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arina.scabelli\Documents\dashboard_fb\assets\sheets\"/>
    </mc:Choice>
  </mc:AlternateContent>
  <xr:revisionPtr revIDLastSave="0" documentId="13_ncr:1_{7D82CC1A-317D-4D16-A684-C3F4E763445C}" xr6:coauthVersionLast="47" xr6:coauthVersionMax="47" xr10:uidLastSave="{00000000-0000-0000-0000-000000000000}"/>
  <bookViews>
    <workbookView xWindow="-108" yWindow="-108" windowWidth="23256" windowHeight="12456" tabRatio="902" xr2:uid="{00000000-000D-0000-FFFF-FFFF00000000}"/>
  </bookViews>
  <sheets>
    <sheet name="DRE" sheetId="1" r:id="rId1"/>
    <sheet name="CMV_Manual" sheetId="2" r:id="rId2"/>
    <sheet name="Fiscal" sheetId="3" r:id="rId3"/>
    <sheet name="Aut_BlueMe_Sem_Pedido" sheetId="4" r:id="rId4"/>
    <sheet name="Aut_BlueMe_Com_Pedido" sheetId="5" r:id="rId5"/>
    <sheet name="Aut_Faturamento_Zig" sheetId="6" r:id="rId6"/>
    <sheet name="Aut_Receitas_Extraord" sheetId="7" r:id="rId7"/>
    <sheet name="BD_Eventos_Novo" sheetId="8" r:id="rId8"/>
    <sheet name="Aut_Folha" sheetId="9" r:id="rId9"/>
    <sheet name="Aut_Descontos" sheetId="10" r:id="rId10"/>
    <sheet name="Aut_Promocoes_Utilizadas" sheetId="11" r:id="rId11"/>
    <sheet name="Aut_Endividamentos" sheetId="12" r:id="rId12"/>
    <sheet name="Aut_Contagem" sheetId="13" r:id="rId13"/>
    <sheet name="Aut_Precos_Insumos" sheetId="14" r:id="rId14"/>
    <sheet name="Aut_Valor_Estoque" sheetId="15" r:id="rId15"/>
    <sheet name="Aut_Precos_Consolidados_Mes" sheetId="16" r:id="rId16"/>
    <sheet name="Aut_Eventos_AeB" sheetId="17" r:id="rId17"/>
    <sheet name="Aut_Transferencias" sheetId="18" r:id="rId18"/>
    <sheet name="Aut_Consumo_Funcionarios" sheetId="19" r:id="rId19"/>
    <sheet name="Aut_Insumos_Producao" sheetId="20" r:id="rId20"/>
    <sheet name="Aut_Ajustes_Manuais" sheetId="21" r:id="rId21"/>
    <sheet name="Aut_Faturamento_Zig_Delivery" sheetId="22" r:id="rId22"/>
    <sheet name="Aut_Consumo_Cartao_Black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3" l="1"/>
  <c r="F70" i="3"/>
  <c r="I69" i="3"/>
  <c r="F69" i="3"/>
  <c r="I68" i="3"/>
  <c r="F68" i="3"/>
  <c r="I67" i="3"/>
  <c r="F67" i="3"/>
  <c r="I66" i="3"/>
  <c r="F66" i="3"/>
  <c r="I65" i="3"/>
  <c r="F65" i="3"/>
  <c r="I64" i="3"/>
  <c r="F64" i="3"/>
  <c r="I63" i="3"/>
  <c r="F63" i="3"/>
  <c r="I62" i="3"/>
  <c r="F62" i="3"/>
  <c r="I61" i="3"/>
  <c r="F61" i="3"/>
  <c r="I60" i="3"/>
  <c r="F60" i="3"/>
  <c r="I59" i="3"/>
  <c r="F59" i="3"/>
  <c r="J37" i="3"/>
  <c r="I37" i="3"/>
  <c r="H37" i="3"/>
  <c r="F37" i="3"/>
  <c r="E37" i="3"/>
  <c r="D37" i="3"/>
  <c r="R7" i="3"/>
  <c r="Q7" i="3"/>
  <c r="P7" i="3"/>
  <c r="S7" i="3" s="1"/>
  <c r="N7" i="3"/>
  <c r="M7" i="3"/>
  <c r="O7" i="3" s="1"/>
  <c r="L7" i="3"/>
  <c r="J7" i="3"/>
  <c r="I7" i="3"/>
  <c r="H7" i="3"/>
  <c r="F7" i="3"/>
  <c r="E7" i="3"/>
  <c r="D7" i="3"/>
  <c r="G7" i="3" s="1"/>
  <c r="Q3" i="3"/>
  <c r="M3" i="3"/>
  <c r="H3" i="3"/>
  <c r="I3" i="3" s="1"/>
  <c r="E3" i="3"/>
  <c r="C29" i="2"/>
  <c r="O28" i="2"/>
  <c r="N28" i="2"/>
  <c r="M28" i="2"/>
  <c r="L28" i="2"/>
  <c r="K28" i="2"/>
  <c r="J28" i="2"/>
  <c r="I28" i="2"/>
  <c r="H28" i="2"/>
  <c r="G28" i="2"/>
  <c r="F28" i="2"/>
  <c r="E28" i="2"/>
  <c r="D28" i="2"/>
  <c r="O27" i="2"/>
  <c r="N27" i="2"/>
  <c r="M27" i="2"/>
  <c r="L27" i="2"/>
  <c r="K27" i="2"/>
  <c r="J27" i="2"/>
  <c r="I27" i="2"/>
  <c r="H27" i="2"/>
  <c r="G27" i="2"/>
  <c r="F27" i="2"/>
  <c r="E27" i="2"/>
  <c r="D27" i="2"/>
  <c r="O26" i="2"/>
  <c r="N26" i="2"/>
  <c r="M26" i="2"/>
  <c r="L26" i="2"/>
  <c r="K26" i="2"/>
  <c r="J26" i="2"/>
  <c r="I26" i="2"/>
  <c r="H26" i="2"/>
  <c r="G26" i="2"/>
  <c r="F26" i="2"/>
  <c r="E26" i="2"/>
  <c r="D26" i="2"/>
  <c r="O25" i="2"/>
  <c r="O29" i="2" s="1"/>
  <c r="N25" i="2"/>
  <c r="N29" i="2" s="1"/>
  <c r="M25" i="2"/>
  <c r="M29" i="2" s="1"/>
  <c r="L25" i="2"/>
  <c r="L29" i="2" s="1"/>
  <c r="K25" i="2"/>
  <c r="K29" i="2" s="1"/>
  <c r="J25" i="2"/>
  <c r="J29" i="2" s="1"/>
  <c r="I25" i="2"/>
  <c r="I29" i="2" s="1"/>
  <c r="H25" i="2"/>
  <c r="H29" i="2" s="1"/>
  <c r="G25" i="2"/>
  <c r="G29" i="2" s="1"/>
  <c r="F25" i="2"/>
  <c r="F29" i="2" s="1"/>
  <c r="E25" i="2"/>
  <c r="E29" i="2" s="1"/>
  <c r="D25" i="2"/>
  <c r="D29" i="2" s="1"/>
  <c r="J23" i="2"/>
  <c r="J33" i="2" s="1"/>
  <c r="C23" i="2"/>
  <c r="C33" i="2" s="1"/>
  <c r="K22" i="2"/>
  <c r="C22" i="2"/>
  <c r="C32" i="2" s="1"/>
  <c r="O20" i="2"/>
  <c r="N20" i="2"/>
  <c r="M20" i="2"/>
  <c r="L20" i="2"/>
  <c r="M8" i="2" s="1"/>
  <c r="K20" i="2"/>
  <c r="J20" i="2"/>
  <c r="I20" i="2"/>
  <c r="H20" i="2"/>
  <c r="G20" i="2"/>
  <c r="F20" i="2"/>
  <c r="E20" i="2"/>
  <c r="D20" i="2"/>
  <c r="O19" i="2"/>
  <c r="N19" i="2"/>
  <c r="M19" i="2"/>
  <c r="L19" i="2"/>
  <c r="M7" i="2" s="1"/>
  <c r="K19" i="2"/>
  <c r="J19" i="2"/>
  <c r="I19" i="2"/>
  <c r="H19" i="2"/>
  <c r="G19" i="2"/>
  <c r="F19" i="2"/>
  <c r="E19" i="2"/>
  <c r="D19" i="2"/>
  <c r="O18" i="2"/>
  <c r="N18" i="2"/>
  <c r="M18" i="2"/>
  <c r="L18" i="2"/>
  <c r="M6" i="2" s="1"/>
  <c r="M23" i="2" s="1"/>
  <c r="M33" i="2" s="1"/>
  <c r="K18" i="2"/>
  <c r="J18" i="2"/>
  <c r="I18" i="2"/>
  <c r="H18" i="2"/>
  <c r="G18" i="2"/>
  <c r="F18" i="2"/>
  <c r="E18" i="2"/>
  <c r="D18" i="2"/>
  <c r="O17" i="2"/>
  <c r="N17" i="2"/>
  <c r="M17" i="2"/>
  <c r="L17" i="2"/>
  <c r="M5" i="2" s="1"/>
  <c r="M22" i="2" s="1"/>
  <c r="K17" i="2"/>
  <c r="J17" i="2"/>
  <c r="I17" i="2"/>
  <c r="H17" i="2"/>
  <c r="G17" i="2"/>
  <c r="F17" i="2"/>
  <c r="E17" i="2"/>
  <c r="D17" i="2"/>
  <c r="O15" i="2"/>
  <c r="N15" i="2"/>
  <c r="M15" i="2"/>
  <c r="L15" i="2"/>
  <c r="K15" i="2"/>
  <c r="J15" i="2"/>
  <c r="I15" i="2"/>
  <c r="H15" i="2"/>
  <c r="G15" i="2"/>
  <c r="F15" i="2"/>
  <c r="E15" i="2"/>
  <c r="D15" i="2"/>
  <c r="O14" i="2"/>
  <c r="N14" i="2"/>
  <c r="M14" i="2"/>
  <c r="L14" i="2"/>
  <c r="K14" i="2"/>
  <c r="J14" i="2"/>
  <c r="I14" i="2"/>
  <c r="H14" i="2"/>
  <c r="G14" i="2"/>
  <c r="F14" i="2"/>
  <c r="E14" i="2"/>
  <c r="D14" i="2"/>
  <c r="O13" i="2"/>
  <c r="N13" i="2"/>
  <c r="M13" i="2"/>
  <c r="L13" i="2"/>
  <c r="K13" i="2"/>
  <c r="J13" i="2"/>
  <c r="I13" i="2"/>
  <c r="H13" i="2"/>
  <c r="G13" i="2"/>
  <c r="F13" i="2"/>
  <c r="E13" i="2"/>
  <c r="D13" i="2"/>
  <c r="AC12" i="2"/>
  <c r="AB12" i="2"/>
  <c r="AA12" i="2"/>
  <c r="Z12" i="2"/>
  <c r="Y12" i="2"/>
  <c r="X12" i="2"/>
  <c r="W12" i="2"/>
  <c r="V12" i="2"/>
  <c r="O12" i="2"/>
  <c r="N12" i="2"/>
  <c r="M12" i="2"/>
  <c r="L12" i="2"/>
  <c r="K12" i="2"/>
  <c r="J12" i="2"/>
  <c r="I12" i="2"/>
  <c r="H12" i="2"/>
  <c r="G12" i="2"/>
  <c r="F12" i="2"/>
  <c r="E12" i="2"/>
  <c r="D12" i="2"/>
  <c r="S11" i="2"/>
  <c r="O11" i="2"/>
  <c r="N11" i="2"/>
  <c r="M11" i="2"/>
  <c r="L11" i="2"/>
  <c r="K11" i="2"/>
  <c r="J11" i="2"/>
  <c r="I11" i="2"/>
  <c r="H11" i="2"/>
  <c r="G11" i="2"/>
  <c r="F11" i="2"/>
  <c r="E11" i="2"/>
  <c r="D11" i="2"/>
  <c r="O10" i="2"/>
  <c r="N10" i="2"/>
  <c r="M10" i="2"/>
  <c r="L10" i="2"/>
  <c r="K10" i="2"/>
  <c r="J10" i="2"/>
  <c r="I10" i="2"/>
  <c r="H10" i="2"/>
  <c r="G10" i="2"/>
  <c r="F10" i="2"/>
  <c r="E10" i="2"/>
  <c r="D10" i="2"/>
  <c r="O9" i="2"/>
  <c r="N9" i="2"/>
  <c r="M9" i="2"/>
  <c r="L9" i="2"/>
  <c r="K9" i="2"/>
  <c r="J9" i="2"/>
  <c r="I9" i="2"/>
  <c r="H9" i="2"/>
  <c r="G9" i="2"/>
  <c r="F9" i="2"/>
  <c r="E9" i="2"/>
  <c r="D9" i="2"/>
  <c r="O8" i="2"/>
  <c r="N8" i="2"/>
  <c r="L8" i="2"/>
  <c r="K8" i="2"/>
  <c r="J8" i="2"/>
  <c r="I8" i="2"/>
  <c r="H8" i="2"/>
  <c r="G8" i="2"/>
  <c r="F8" i="2"/>
  <c r="E8" i="2"/>
  <c r="D8" i="2"/>
  <c r="O7" i="2"/>
  <c r="N7" i="2"/>
  <c r="L7" i="2"/>
  <c r="K7" i="2"/>
  <c r="J7" i="2"/>
  <c r="I7" i="2"/>
  <c r="H7" i="2"/>
  <c r="G7" i="2"/>
  <c r="F7" i="2"/>
  <c r="E7" i="2"/>
  <c r="D7" i="2"/>
  <c r="O6" i="2"/>
  <c r="O23" i="2" s="1"/>
  <c r="O33" i="2" s="1"/>
  <c r="N6" i="2"/>
  <c r="N23" i="2" s="1"/>
  <c r="N33" i="2" s="1"/>
  <c r="L6" i="2"/>
  <c r="K6" i="2"/>
  <c r="K23" i="2" s="1"/>
  <c r="K33" i="2" s="1"/>
  <c r="J6" i="2"/>
  <c r="I6" i="2"/>
  <c r="I23" i="2" s="1"/>
  <c r="I33" i="2" s="1"/>
  <c r="H6" i="2"/>
  <c r="H23" i="2" s="1"/>
  <c r="H33" i="2" s="1"/>
  <c r="G6" i="2"/>
  <c r="G23" i="2" s="1"/>
  <c r="G33" i="2" s="1"/>
  <c r="F6" i="2"/>
  <c r="F23" i="2" s="1"/>
  <c r="F33" i="2" s="1"/>
  <c r="E6" i="2"/>
  <c r="E23" i="2" s="1"/>
  <c r="E33" i="2" s="1"/>
  <c r="D6" i="2"/>
  <c r="D23" i="2" s="1"/>
  <c r="D33" i="2" s="1"/>
  <c r="U5" i="2"/>
  <c r="T5" i="2"/>
  <c r="S5" i="2"/>
  <c r="S12" i="2" s="1"/>
  <c r="R5" i="2"/>
  <c r="O5" i="2"/>
  <c r="O22" i="2" s="1"/>
  <c r="N5" i="2"/>
  <c r="N22" i="2" s="1"/>
  <c r="L5" i="2"/>
  <c r="K5" i="2"/>
  <c r="J5" i="2"/>
  <c r="J22" i="2" s="1"/>
  <c r="I5" i="2"/>
  <c r="H5" i="2"/>
  <c r="G5" i="2"/>
  <c r="G22" i="2" s="1"/>
  <c r="F5" i="2"/>
  <c r="F22" i="2" s="1"/>
  <c r="E5" i="2"/>
  <c r="E22" i="2" s="1"/>
  <c r="D5" i="2"/>
  <c r="BM367" i="1"/>
  <c r="BN367" i="1" s="1"/>
  <c r="BK367" i="1"/>
  <c r="BL367" i="1" s="1"/>
  <c r="BN366" i="1"/>
  <c r="BM366" i="1"/>
  <c r="BK366" i="1"/>
  <c r="BL366" i="1" s="1"/>
  <c r="BK365" i="1"/>
  <c r="BM364" i="1"/>
  <c r="BN364" i="1" s="1"/>
  <c r="BK364" i="1"/>
  <c r="BL364" i="1" s="1"/>
  <c r="BK363" i="1"/>
  <c r="BM362" i="1"/>
  <c r="BN362" i="1" s="1"/>
  <c r="BL362" i="1"/>
  <c r="BK362" i="1"/>
  <c r="BM361" i="1"/>
  <c r="BK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BK360" i="1"/>
  <c r="BH360" i="1"/>
  <c r="BG360" i="1"/>
  <c r="BE360" i="1"/>
  <c r="BD360" i="1"/>
  <c r="BB360" i="1"/>
  <c r="BA360" i="1"/>
  <c r="AY360" i="1"/>
  <c r="AX360" i="1"/>
  <c r="AV360" i="1"/>
  <c r="AU360" i="1"/>
  <c r="AQ360" i="1"/>
  <c r="AN360" i="1"/>
  <c r="AK360" i="1"/>
  <c r="AH360" i="1"/>
  <c r="AE360" i="1"/>
  <c r="AB360" i="1"/>
  <c r="Y360" i="1"/>
  <c r="V360" i="1"/>
  <c r="S360" i="1"/>
  <c r="P360" i="1"/>
  <c r="M360" i="1"/>
  <c r="J360" i="1"/>
  <c r="AZ360" i="1" s="1"/>
  <c r="BK359" i="1"/>
  <c r="BL359" i="1" s="1"/>
  <c r="BH359" i="1"/>
  <c r="BG359" i="1"/>
  <c r="BE359" i="1"/>
  <c r="BD359" i="1"/>
  <c r="BB359" i="1"/>
  <c r="BA359" i="1"/>
  <c r="AY359" i="1"/>
  <c r="AX359" i="1"/>
  <c r="AV359" i="1"/>
  <c r="AU359" i="1"/>
  <c r="AQ359" i="1"/>
  <c r="AN359" i="1"/>
  <c r="BI359" i="1" s="1"/>
  <c r="AK359" i="1"/>
  <c r="AH359" i="1"/>
  <c r="AE359" i="1"/>
  <c r="AB359" i="1"/>
  <c r="BF359" i="1" s="1"/>
  <c r="Y359" i="1"/>
  <c r="V359" i="1"/>
  <c r="S359" i="1"/>
  <c r="BC359" i="1" s="1"/>
  <c r="P359" i="1"/>
  <c r="M359" i="1"/>
  <c r="J359" i="1"/>
  <c r="BK358" i="1"/>
  <c r="BH358" i="1"/>
  <c r="BG358" i="1"/>
  <c r="BE358" i="1"/>
  <c r="BD358" i="1"/>
  <c r="BB358" i="1"/>
  <c r="BA358" i="1"/>
  <c r="AY358" i="1"/>
  <c r="AX358" i="1"/>
  <c r="AV358" i="1"/>
  <c r="AU358" i="1"/>
  <c r="AQ358" i="1"/>
  <c r="AN358" i="1"/>
  <c r="AK358" i="1"/>
  <c r="BI358" i="1" s="1"/>
  <c r="AH358" i="1"/>
  <c r="AE358" i="1"/>
  <c r="AB358" i="1"/>
  <c r="Y358" i="1"/>
  <c r="V358" i="1"/>
  <c r="S358" i="1"/>
  <c r="P358" i="1"/>
  <c r="M358" i="1"/>
  <c r="J358" i="1"/>
  <c r="AZ358" i="1" s="1"/>
  <c r="BK357" i="1"/>
  <c r="BL357" i="1" s="1"/>
  <c r="BH357" i="1"/>
  <c r="BG357" i="1"/>
  <c r="BE357" i="1"/>
  <c r="BD357" i="1"/>
  <c r="BB357" i="1"/>
  <c r="BA357" i="1"/>
  <c r="AY357" i="1"/>
  <c r="AX357" i="1"/>
  <c r="AV357" i="1"/>
  <c r="AU357" i="1"/>
  <c r="AQ357" i="1"/>
  <c r="AN357" i="1"/>
  <c r="AN353" i="1" s="1"/>
  <c r="AK357" i="1"/>
  <c r="AH357" i="1"/>
  <c r="AE357" i="1"/>
  <c r="AB357" i="1"/>
  <c r="BF357" i="1" s="1"/>
  <c r="Y357" i="1"/>
  <c r="V357" i="1"/>
  <c r="S357" i="1"/>
  <c r="BC357" i="1" s="1"/>
  <c r="P357" i="1"/>
  <c r="M357" i="1"/>
  <c r="J357" i="1"/>
  <c r="BK356" i="1"/>
  <c r="BH356" i="1"/>
  <c r="BG356" i="1"/>
  <c r="BE356" i="1"/>
  <c r="BD356" i="1"/>
  <c r="BB356" i="1"/>
  <c r="BA356" i="1"/>
  <c r="AY356" i="1"/>
  <c r="AX356" i="1"/>
  <c r="AV356" i="1"/>
  <c r="AU356" i="1"/>
  <c r="AQ356" i="1"/>
  <c r="AN356" i="1"/>
  <c r="AK356" i="1"/>
  <c r="AH356" i="1"/>
  <c r="AE356" i="1"/>
  <c r="BF356" i="1" s="1"/>
  <c r="AB356" i="1"/>
  <c r="Y356" i="1"/>
  <c r="V356" i="1"/>
  <c r="S356" i="1"/>
  <c r="P356" i="1"/>
  <c r="M356" i="1"/>
  <c r="J356" i="1"/>
  <c r="AZ356" i="1" s="1"/>
  <c r="BK355" i="1"/>
  <c r="BL355" i="1" s="1"/>
  <c r="BH355" i="1"/>
  <c r="BG355" i="1"/>
  <c r="BE355" i="1"/>
  <c r="BD355" i="1"/>
  <c r="BB355" i="1"/>
  <c r="BA355" i="1"/>
  <c r="AY355" i="1"/>
  <c r="AX355" i="1"/>
  <c r="AV355" i="1"/>
  <c r="AU355" i="1"/>
  <c r="AQ355" i="1"/>
  <c r="AN355" i="1"/>
  <c r="AK355" i="1"/>
  <c r="AH355" i="1"/>
  <c r="AE355" i="1"/>
  <c r="AB355" i="1"/>
  <c r="BF355" i="1" s="1"/>
  <c r="Y355" i="1"/>
  <c r="V355" i="1"/>
  <c r="S355" i="1"/>
  <c r="BC355" i="1" s="1"/>
  <c r="P355" i="1"/>
  <c r="M355" i="1"/>
  <c r="J355" i="1"/>
  <c r="BK354" i="1"/>
  <c r="BH354" i="1"/>
  <c r="BH353" i="1" s="1"/>
  <c r="BG354" i="1"/>
  <c r="BE354" i="1"/>
  <c r="BD354" i="1"/>
  <c r="BD353" i="1" s="1"/>
  <c r="BB354" i="1"/>
  <c r="BA354" i="1"/>
  <c r="AY354" i="1"/>
  <c r="AY353" i="1" s="1"/>
  <c r="AX354" i="1"/>
  <c r="AX353" i="1" s="1"/>
  <c r="AV354" i="1"/>
  <c r="AU354" i="1"/>
  <c r="AQ354" i="1"/>
  <c r="AN354" i="1"/>
  <c r="AK354" i="1"/>
  <c r="BI354" i="1" s="1"/>
  <c r="AH354" i="1"/>
  <c r="AE354" i="1"/>
  <c r="AE353" i="1" s="1"/>
  <c r="AB354" i="1"/>
  <c r="BF354" i="1" s="1"/>
  <c r="Y354" i="1"/>
  <c r="V354" i="1"/>
  <c r="S354" i="1"/>
  <c r="P354" i="1"/>
  <c r="P353" i="1" s="1"/>
  <c r="M354" i="1"/>
  <c r="J354" i="1"/>
  <c r="BM354" i="1" s="1"/>
  <c r="BK353" i="1"/>
  <c r="BG353" i="1"/>
  <c r="BM352" i="1"/>
  <c r="BN352" i="1" s="1"/>
  <c r="BK352" i="1"/>
  <c r="BL352" i="1" s="1"/>
  <c r="BK351" i="1"/>
  <c r="BH351" i="1"/>
  <c r="BG351" i="1"/>
  <c r="BE351" i="1"/>
  <c r="BD351" i="1"/>
  <c r="BB351" i="1"/>
  <c r="BA351" i="1"/>
  <c r="AY351" i="1"/>
  <c r="AX351" i="1"/>
  <c r="AV351" i="1"/>
  <c r="AU351" i="1"/>
  <c r="AQ351" i="1"/>
  <c r="AN351" i="1"/>
  <c r="BI351" i="1" s="1"/>
  <c r="AK351" i="1"/>
  <c r="AH351" i="1"/>
  <c r="AE351" i="1"/>
  <c r="AB351" i="1"/>
  <c r="BF351" i="1" s="1"/>
  <c r="Y351" i="1"/>
  <c r="V351" i="1"/>
  <c r="S351" i="1"/>
  <c r="BC351" i="1" s="1"/>
  <c r="P351" i="1"/>
  <c r="M351" i="1"/>
  <c r="J351" i="1"/>
  <c r="AZ351" i="1" s="1"/>
  <c r="BK350" i="1"/>
  <c r="BL350" i="1" s="1"/>
  <c r="BH350" i="1"/>
  <c r="BG350" i="1"/>
  <c r="BE350" i="1"/>
  <c r="BD350" i="1"/>
  <c r="BB350" i="1"/>
  <c r="BA350" i="1"/>
  <c r="AY350" i="1"/>
  <c r="AX350" i="1"/>
  <c r="AV350" i="1"/>
  <c r="AU350" i="1"/>
  <c r="AQ350" i="1"/>
  <c r="AN350" i="1"/>
  <c r="BI350" i="1" s="1"/>
  <c r="AK350" i="1"/>
  <c r="AH350" i="1"/>
  <c r="AE350" i="1"/>
  <c r="AB350" i="1"/>
  <c r="BF350" i="1" s="1"/>
  <c r="Y350" i="1"/>
  <c r="V350" i="1"/>
  <c r="S350" i="1"/>
  <c r="P350" i="1"/>
  <c r="M350" i="1"/>
  <c r="J350" i="1"/>
  <c r="BK349" i="1"/>
  <c r="BL349" i="1" s="1"/>
  <c r="BH349" i="1"/>
  <c r="BG349" i="1"/>
  <c r="BE349" i="1"/>
  <c r="BD349" i="1"/>
  <c r="BB349" i="1"/>
  <c r="BA349" i="1"/>
  <c r="AY349" i="1"/>
  <c r="AX349" i="1"/>
  <c r="AV349" i="1"/>
  <c r="AU349" i="1"/>
  <c r="AQ349" i="1"/>
  <c r="AN349" i="1"/>
  <c r="BI349" i="1" s="1"/>
  <c r="AK349" i="1"/>
  <c r="AH349" i="1"/>
  <c r="AE349" i="1"/>
  <c r="AB349" i="1"/>
  <c r="BF349" i="1" s="1"/>
  <c r="Y349" i="1"/>
  <c r="V349" i="1"/>
  <c r="S349" i="1"/>
  <c r="BC349" i="1" s="1"/>
  <c r="P349" i="1"/>
  <c r="M349" i="1"/>
  <c r="AW349" i="1" s="1"/>
  <c r="J349" i="1"/>
  <c r="BK348" i="1"/>
  <c r="BL348" i="1" s="1"/>
  <c r="BH348" i="1"/>
  <c r="BG348" i="1"/>
  <c r="BE348" i="1"/>
  <c r="BD348" i="1"/>
  <c r="BB348" i="1"/>
  <c r="BA348" i="1"/>
  <c r="AY348" i="1"/>
  <c r="AX348" i="1"/>
  <c r="AV348" i="1"/>
  <c r="AU348" i="1"/>
  <c r="AQ348" i="1"/>
  <c r="AN348" i="1"/>
  <c r="AK348" i="1"/>
  <c r="AH348" i="1"/>
  <c r="AE348" i="1"/>
  <c r="AB348" i="1"/>
  <c r="BF348" i="1" s="1"/>
  <c r="Y348" i="1"/>
  <c r="V348" i="1"/>
  <c r="S348" i="1"/>
  <c r="P348" i="1"/>
  <c r="M348" i="1"/>
  <c r="J348" i="1"/>
  <c r="BK347" i="1"/>
  <c r="BH347" i="1"/>
  <c r="BG347" i="1"/>
  <c r="BE347" i="1"/>
  <c r="BD347" i="1"/>
  <c r="BB347" i="1"/>
  <c r="BA347" i="1"/>
  <c r="AY347" i="1"/>
  <c r="AX347" i="1"/>
  <c r="AV347" i="1"/>
  <c r="AU347" i="1"/>
  <c r="AQ347" i="1"/>
  <c r="AN347" i="1"/>
  <c r="AK347" i="1"/>
  <c r="AH347" i="1"/>
  <c r="AE347" i="1"/>
  <c r="AB347" i="1"/>
  <c r="Y347" i="1"/>
  <c r="V347" i="1"/>
  <c r="S347" i="1"/>
  <c r="P347" i="1"/>
  <c r="M347" i="1"/>
  <c r="J347" i="1"/>
  <c r="BK346" i="1"/>
  <c r="BL346" i="1" s="1"/>
  <c r="BH346" i="1"/>
  <c r="BG346" i="1"/>
  <c r="BE346" i="1"/>
  <c r="BD346" i="1"/>
  <c r="BB346" i="1"/>
  <c r="BA346" i="1"/>
  <c r="AY346" i="1"/>
  <c r="AX346" i="1"/>
  <c r="AV346" i="1"/>
  <c r="AU346" i="1"/>
  <c r="AQ346" i="1"/>
  <c r="AN346" i="1"/>
  <c r="AK346" i="1"/>
  <c r="BI346" i="1" s="1"/>
  <c r="AH346" i="1"/>
  <c r="AE346" i="1"/>
  <c r="AB346" i="1"/>
  <c r="Y346" i="1"/>
  <c r="V346" i="1"/>
  <c r="S346" i="1"/>
  <c r="P346" i="1"/>
  <c r="M346" i="1"/>
  <c r="J346" i="1"/>
  <c r="BM346" i="1" s="1"/>
  <c r="BK345" i="1"/>
  <c r="BL345" i="1" s="1"/>
  <c r="BH345" i="1"/>
  <c r="BG345" i="1"/>
  <c r="BE345" i="1"/>
  <c r="BD345" i="1"/>
  <c r="BB345" i="1"/>
  <c r="BA345" i="1"/>
  <c r="AY345" i="1"/>
  <c r="AX345" i="1"/>
  <c r="AV345" i="1"/>
  <c r="AU345" i="1"/>
  <c r="AQ345" i="1"/>
  <c r="AN345" i="1"/>
  <c r="AK345" i="1"/>
  <c r="BI345" i="1" s="1"/>
  <c r="AH345" i="1"/>
  <c r="AE345" i="1"/>
  <c r="AB345" i="1"/>
  <c r="Y345" i="1"/>
  <c r="V345" i="1"/>
  <c r="S345" i="1"/>
  <c r="P345" i="1"/>
  <c r="M345" i="1"/>
  <c r="J345" i="1"/>
  <c r="BK344" i="1"/>
  <c r="BH344" i="1"/>
  <c r="BG344" i="1"/>
  <c r="BE344" i="1"/>
  <c r="BD344" i="1"/>
  <c r="BB344" i="1"/>
  <c r="BA344" i="1"/>
  <c r="AY344" i="1"/>
  <c r="AX344" i="1"/>
  <c r="AV344" i="1"/>
  <c r="AU344" i="1"/>
  <c r="AQ344" i="1"/>
  <c r="AN344" i="1"/>
  <c r="AK344" i="1"/>
  <c r="BI344" i="1" s="1"/>
  <c r="AH344" i="1"/>
  <c r="BF344" i="1" s="1"/>
  <c r="AE344" i="1"/>
  <c r="AB344" i="1"/>
  <c r="Y344" i="1"/>
  <c r="V344" i="1"/>
  <c r="S344" i="1"/>
  <c r="P344" i="1"/>
  <c r="M344" i="1"/>
  <c r="J344" i="1"/>
  <c r="BK343" i="1"/>
  <c r="BH343" i="1"/>
  <c r="BG343" i="1"/>
  <c r="BE343" i="1"/>
  <c r="BD343" i="1"/>
  <c r="BB343" i="1"/>
  <c r="BA343" i="1"/>
  <c r="AY343" i="1"/>
  <c r="AX343" i="1"/>
  <c r="AV343" i="1"/>
  <c r="AU343" i="1"/>
  <c r="AQ343" i="1"/>
  <c r="AN343" i="1"/>
  <c r="AK343" i="1"/>
  <c r="BI343" i="1" s="1"/>
  <c r="AH343" i="1"/>
  <c r="BF343" i="1" s="1"/>
  <c r="AE343" i="1"/>
  <c r="AB343" i="1"/>
  <c r="Y343" i="1"/>
  <c r="V343" i="1"/>
  <c r="BC343" i="1" s="1"/>
  <c r="S343" i="1"/>
  <c r="P343" i="1"/>
  <c r="M343" i="1"/>
  <c r="J343" i="1"/>
  <c r="BM343" i="1" s="1"/>
  <c r="BK342" i="1"/>
  <c r="BL342" i="1" s="1"/>
  <c r="BH342" i="1"/>
  <c r="BG342" i="1"/>
  <c r="BE342" i="1"/>
  <c r="BD342" i="1"/>
  <c r="BB342" i="1"/>
  <c r="BA342" i="1"/>
  <c r="AY342" i="1"/>
  <c r="AX342" i="1"/>
  <c r="AV342" i="1"/>
  <c r="AU342" i="1"/>
  <c r="AQ342" i="1"/>
  <c r="AN342" i="1"/>
  <c r="AK342" i="1"/>
  <c r="BI342" i="1" s="1"/>
  <c r="AH342" i="1"/>
  <c r="AE342" i="1"/>
  <c r="AB342" i="1"/>
  <c r="BF342" i="1" s="1"/>
  <c r="Y342" i="1"/>
  <c r="BC342" i="1" s="1"/>
  <c r="V342" i="1"/>
  <c r="S342" i="1"/>
  <c r="P342" i="1"/>
  <c r="M342" i="1"/>
  <c r="J342" i="1"/>
  <c r="AZ342" i="1" s="1"/>
  <c r="BK341" i="1"/>
  <c r="BL341" i="1" s="1"/>
  <c r="BH341" i="1"/>
  <c r="BG341" i="1"/>
  <c r="BE341" i="1"/>
  <c r="BD341" i="1"/>
  <c r="BB341" i="1"/>
  <c r="BB334" i="1" s="1"/>
  <c r="BA341" i="1"/>
  <c r="AY341" i="1"/>
  <c r="AX341" i="1"/>
  <c r="AV341" i="1"/>
  <c r="AU341" i="1"/>
  <c r="AQ341" i="1"/>
  <c r="AN341" i="1"/>
  <c r="AK341" i="1"/>
  <c r="BI341" i="1" s="1"/>
  <c r="AH341" i="1"/>
  <c r="AE341" i="1"/>
  <c r="AB341" i="1"/>
  <c r="BF341" i="1" s="1"/>
  <c r="Y341" i="1"/>
  <c r="V341" i="1"/>
  <c r="S341" i="1"/>
  <c r="P341" i="1"/>
  <c r="M341" i="1"/>
  <c r="J341" i="1"/>
  <c r="BM341" i="1" s="1"/>
  <c r="BK340" i="1"/>
  <c r="BL340" i="1" s="1"/>
  <c r="BH340" i="1"/>
  <c r="BG340" i="1"/>
  <c r="BE340" i="1"/>
  <c r="BD340" i="1"/>
  <c r="BB340" i="1"/>
  <c r="BA340" i="1"/>
  <c r="AY340" i="1"/>
  <c r="AX340" i="1"/>
  <c r="AV340" i="1"/>
  <c r="AU340" i="1"/>
  <c r="AQ340" i="1"/>
  <c r="BI340" i="1" s="1"/>
  <c r="AN340" i="1"/>
  <c r="AK340" i="1"/>
  <c r="AH340" i="1"/>
  <c r="AE340" i="1"/>
  <c r="BF340" i="1" s="1"/>
  <c r="AB340" i="1"/>
  <c r="Y340" i="1"/>
  <c r="V340" i="1"/>
  <c r="S340" i="1"/>
  <c r="BC340" i="1" s="1"/>
  <c r="P340" i="1"/>
  <c r="M340" i="1"/>
  <c r="J340" i="1"/>
  <c r="BM340" i="1" s="1"/>
  <c r="BK339" i="1"/>
  <c r="BH339" i="1"/>
  <c r="BG339" i="1"/>
  <c r="BE339" i="1"/>
  <c r="BD339" i="1"/>
  <c r="BB339" i="1"/>
  <c r="BA339" i="1"/>
  <c r="AY339" i="1"/>
  <c r="AX339" i="1"/>
  <c r="AV339" i="1"/>
  <c r="AU339" i="1"/>
  <c r="AQ339" i="1"/>
  <c r="BI339" i="1" s="1"/>
  <c r="AN339" i="1"/>
  <c r="AK339" i="1"/>
  <c r="AH339" i="1"/>
  <c r="AE339" i="1"/>
  <c r="AB339" i="1"/>
  <c r="Y339" i="1"/>
  <c r="V339" i="1"/>
  <c r="S339" i="1"/>
  <c r="BC339" i="1" s="1"/>
  <c r="P339" i="1"/>
  <c r="M339" i="1"/>
  <c r="J339" i="1"/>
  <c r="BK338" i="1"/>
  <c r="BL338" i="1" s="1"/>
  <c r="BH338" i="1"/>
  <c r="BG338" i="1"/>
  <c r="BE338" i="1"/>
  <c r="BD338" i="1"/>
  <c r="BB338" i="1"/>
  <c r="BA338" i="1"/>
  <c r="AY338" i="1"/>
  <c r="AX338" i="1"/>
  <c r="AV338" i="1"/>
  <c r="AU338" i="1"/>
  <c r="AQ338" i="1"/>
  <c r="AN338" i="1"/>
  <c r="AK338" i="1"/>
  <c r="AH338" i="1"/>
  <c r="AE338" i="1"/>
  <c r="AB338" i="1"/>
  <c r="BF338" i="1" s="1"/>
  <c r="Y338" i="1"/>
  <c r="V338" i="1"/>
  <c r="S338" i="1"/>
  <c r="P338" i="1"/>
  <c r="M338" i="1"/>
  <c r="J338" i="1"/>
  <c r="BM338" i="1" s="1"/>
  <c r="BK337" i="1"/>
  <c r="BH337" i="1"/>
  <c r="BG337" i="1"/>
  <c r="BE337" i="1"/>
  <c r="BD337" i="1"/>
  <c r="BB337" i="1"/>
  <c r="BA337" i="1"/>
  <c r="AY337" i="1"/>
  <c r="AX337" i="1"/>
  <c r="AV337" i="1"/>
  <c r="AU337" i="1"/>
  <c r="AQ337" i="1"/>
  <c r="AN337" i="1"/>
  <c r="AK337" i="1"/>
  <c r="BI337" i="1" s="1"/>
  <c r="AH337" i="1"/>
  <c r="AE337" i="1"/>
  <c r="AB337" i="1"/>
  <c r="Y337" i="1"/>
  <c r="V337" i="1"/>
  <c r="S337" i="1"/>
  <c r="BC337" i="1" s="1"/>
  <c r="P337" i="1"/>
  <c r="M337" i="1"/>
  <c r="J337" i="1"/>
  <c r="AZ337" i="1" s="1"/>
  <c r="BK336" i="1"/>
  <c r="BH336" i="1"/>
  <c r="BG336" i="1"/>
  <c r="BE336" i="1"/>
  <c r="BD336" i="1"/>
  <c r="BB336" i="1"/>
  <c r="BA336" i="1"/>
  <c r="AY336" i="1"/>
  <c r="AX336" i="1"/>
  <c r="AV336" i="1"/>
  <c r="AU336" i="1"/>
  <c r="AQ336" i="1"/>
  <c r="AN336" i="1"/>
  <c r="AK336" i="1"/>
  <c r="BI336" i="1" s="1"/>
  <c r="AH336" i="1"/>
  <c r="BF336" i="1" s="1"/>
  <c r="AE336" i="1"/>
  <c r="AB336" i="1"/>
  <c r="Y336" i="1"/>
  <c r="V336" i="1"/>
  <c r="S336" i="1"/>
  <c r="P336" i="1"/>
  <c r="M336" i="1"/>
  <c r="J336" i="1"/>
  <c r="BK335" i="1"/>
  <c r="BL335" i="1" s="1"/>
  <c r="BH335" i="1"/>
  <c r="BH334" i="1" s="1"/>
  <c r="BG335" i="1"/>
  <c r="BE335" i="1"/>
  <c r="BD335" i="1"/>
  <c r="BB335" i="1"/>
  <c r="BA335" i="1"/>
  <c r="AY335" i="1"/>
  <c r="AY334" i="1" s="1"/>
  <c r="AX335" i="1"/>
  <c r="AV335" i="1"/>
  <c r="AV334" i="1" s="1"/>
  <c r="BL334" i="1" s="1"/>
  <c r="AU335" i="1"/>
  <c r="AQ335" i="1"/>
  <c r="AN335" i="1"/>
  <c r="AK335" i="1"/>
  <c r="AK334" i="1" s="1"/>
  <c r="AH335" i="1"/>
  <c r="AH334" i="1" s="1"/>
  <c r="AE335" i="1"/>
  <c r="AB335" i="1"/>
  <c r="Y335" i="1"/>
  <c r="V335" i="1"/>
  <c r="S335" i="1"/>
  <c r="BC335" i="1" s="1"/>
  <c r="P335" i="1"/>
  <c r="M335" i="1"/>
  <c r="J335" i="1"/>
  <c r="BK334" i="1"/>
  <c r="AN334" i="1"/>
  <c r="Y334" i="1"/>
  <c r="BM333" i="1"/>
  <c r="BN333" i="1" s="1"/>
  <c r="BL333" i="1"/>
  <c r="BK333" i="1"/>
  <c r="BK332" i="1"/>
  <c r="BK331" i="1"/>
  <c r="BM330" i="1"/>
  <c r="BN330" i="1" s="1"/>
  <c r="BL330" i="1"/>
  <c r="BK330" i="1"/>
  <c r="BM329" i="1"/>
  <c r="BL329" i="1"/>
  <c r="BK329" i="1"/>
  <c r="BH329" i="1"/>
  <c r="BG329" i="1"/>
  <c r="BE329" i="1"/>
  <c r="BD329" i="1"/>
  <c r="BB329" i="1"/>
  <c r="BA329" i="1"/>
  <c r="AZ329" i="1"/>
  <c r="AY329" i="1"/>
  <c r="AX329" i="1"/>
  <c r="AV329" i="1"/>
  <c r="AU329" i="1"/>
  <c r="BM328" i="1"/>
  <c r="BK328" i="1"/>
  <c r="BH328" i="1"/>
  <c r="BG328" i="1"/>
  <c r="BE328" i="1"/>
  <c r="BD328" i="1"/>
  <c r="BB328" i="1"/>
  <c r="BA328" i="1"/>
  <c r="AZ328" i="1"/>
  <c r="AY328" i="1"/>
  <c r="AX328" i="1"/>
  <c r="AV328" i="1"/>
  <c r="BL328" i="1" s="1"/>
  <c r="AU328" i="1"/>
  <c r="BM327" i="1"/>
  <c r="BK327" i="1"/>
  <c r="BH327" i="1"/>
  <c r="BG327" i="1"/>
  <c r="BE327" i="1"/>
  <c r="BD327" i="1"/>
  <c r="BB327" i="1"/>
  <c r="BA327" i="1"/>
  <c r="AZ327" i="1"/>
  <c r="AY327" i="1"/>
  <c r="AX327" i="1"/>
  <c r="AV327" i="1"/>
  <c r="AU327" i="1"/>
  <c r="BK326" i="1"/>
  <c r="BH326" i="1"/>
  <c r="BG326" i="1"/>
  <c r="BE326" i="1"/>
  <c r="BD326" i="1"/>
  <c r="BB326" i="1"/>
  <c r="BB325" i="1" s="1"/>
  <c r="BA326" i="1"/>
  <c r="AY326" i="1"/>
  <c r="AX326" i="1"/>
  <c r="AV326" i="1"/>
  <c r="AV325" i="1" s="1"/>
  <c r="AU326" i="1"/>
  <c r="BK325" i="1"/>
  <c r="BH325" i="1"/>
  <c r="BN324" i="1"/>
  <c r="BM324" i="1"/>
  <c r="BK324" i="1"/>
  <c r="BL324" i="1" s="1"/>
  <c r="BK323" i="1"/>
  <c r="BN322" i="1"/>
  <c r="BM322" i="1"/>
  <c r="BK322" i="1"/>
  <c r="BL322" i="1" s="1"/>
  <c r="BM321" i="1"/>
  <c r="BL321" i="1"/>
  <c r="BK321" i="1"/>
  <c r="BI321" i="1"/>
  <c r="BH321" i="1"/>
  <c r="BG321" i="1"/>
  <c r="BE321" i="1"/>
  <c r="BD321" i="1"/>
  <c r="BB321" i="1"/>
  <c r="BA321" i="1"/>
  <c r="AZ321" i="1"/>
  <c r="AY321" i="1"/>
  <c r="AX321" i="1"/>
  <c r="AV321" i="1"/>
  <c r="AU321" i="1"/>
  <c r="AQ321" i="1"/>
  <c r="AN321" i="1"/>
  <c r="AK321" i="1"/>
  <c r="AH321" i="1"/>
  <c r="AE321" i="1"/>
  <c r="AB321" i="1"/>
  <c r="BF321" i="1" s="1"/>
  <c r="Y321" i="1"/>
  <c r="V321" i="1"/>
  <c r="S321" i="1"/>
  <c r="BC321" i="1" s="1"/>
  <c r="P321" i="1"/>
  <c r="M321" i="1"/>
  <c r="AW321" i="1" s="1"/>
  <c r="J321" i="1"/>
  <c r="BK320" i="1"/>
  <c r="BL320" i="1" s="1"/>
  <c r="BH320" i="1"/>
  <c r="BG320" i="1"/>
  <c r="BE320" i="1"/>
  <c r="BD320" i="1"/>
  <c r="BC320" i="1"/>
  <c r="BB320" i="1"/>
  <c r="BA320" i="1"/>
  <c r="AZ320" i="1"/>
  <c r="AY320" i="1"/>
  <c r="AX320" i="1"/>
  <c r="AV320" i="1"/>
  <c r="AU320" i="1"/>
  <c r="AQ320" i="1"/>
  <c r="AN320" i="1"/>
  <c r="BI320" i="1" s="1"/>
  <c r="AK320" i="1"/>
  <c r="AH320" i="1"/>
  <c r="AE320" i="1"/>
  <c r="AB320" i="1"/>
  <c r="BF320" i="1" s="1"/>
  <c r="Y320" i="1"/>
  <c r="V320" i="1"/>
  <c r="S320" i="1"/>
  <c r="P320" i="1"/>
  <c r="M320" i="1"/>
  <c r="J320" i="1"/>
  <c r="BN319" i="1"/>
  <c r="BM319" i="1"/>
  <c r="BK319" i="1"/>
  <c r="BL319" i="1" s="1"/>
  <c r="BM318" i="1"/>
  <c r="BK318" i="1"/>
  <c r="BI318" i="1"/>
  <c r="BH318" i="1"/>
  <c r="BG318" i="1"/>
  <c r="BE318" i="1"/>
  <c r="BD318" i="1"/>
  <c r="BB318" i="1"/>
  <c r="BA318" i="1"/>
  <c r="AZ318" i="1"/>
  <c r="AY318" i="1"/>
  <c r="AX318" i="1"/>
  <c r="AV318" i="1"/>
  <c r="BL318" i="1" s="1"/>
  <c r="AU318" i="1"/>
  <c r="AQ318" i="1"/>
  <c r="AN318" i="1"/>
  <c r="AK318" i="1"/>
  <c r="AH318" i="1"/>
  <c r="AE318" i="1"/>
  <c r="AB318" i="1"/>
  <c r="Y318" i="1"/>
  <c r="V318" i="1"/>
  <c r="S318" i="1"/>
  <c r="BC318" i="1" s="1"/>
  <c r="P318" i="1"/>
  <c r="M318" i="1"/>
  <c r="J318" i="1"/>
  <c r="BM317" i="1"/>
  <c r="BN317" i="1" s="1"/>
  <c r="BK317" i="1"/>
  <c r="BL317" i="1" s="1"/>
  <c r="BK316" i="1"/>
  <c r="BM315" i="1"/>
  <c r="BN315" i="1" s="1"/>
  <c r="BL315" i="1"/>
  <c r="BK315" i="1"/>
  <c r="BM314" i="1"/>
  <c r="BK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BL314" i="1" s="1"/>
  <c r="AU314" i="1"/>
  <c r="BN313" i="1"/>
  <c r="BM313" i="1"/>
  <c r="BK313" i="1"/>
  <c r="BL313" i="1" s="1"/>
  <c r="BK312" i="1"/>
  <c r="BK311" i="1"/>
  <c r="BK309" i="1"/>
  <c r="AP308" i="1"/>
  <c r="AM308" i="1"/>
  <c r="AJ308" i="1"/>
  <c r="AG308" i="1"/>
  <c r="AD308" i="1"/>
  <c r="AA308" i="1"/>
  <c r="X308" i="1"/>
  <c r="U308" i="1"/>
  <c r="R308" i="1"/>
  <c r="O308" i="1"/>
  <c r="L308" i="1"/>
  <c r="I308" i="1"/>
  <c r="BK308" i="1" s="1"/>
  <c r="BM307" i="1"/>
  <c r="BN307" i="1" s="1"/>
  <c r="BK307" i="1"/>
  <c r="BL307" i="1" s="1"/>
  <c r="BK306" i="1"/>
  <c r="BK305" i="1"/>
  <c r="BH305" i="1"/>
  <c r="BG305" i="1"/>
  <c r="BE305" i="1"/>
  <c r="BD305" i="1"/>
  <c r="BB305" i="1"/>
  <c r="BA305" i="1"/>
  <c r="AY305" i="1"/>
  <c r="AX305" i="1"/>
  <c r="AV305" i="1"/>
  <c r="BL305" i="1" s="1"/>
  <c r="AU305" i="1"/>
  <c r="BK304" i="1"/>
  <c r="BH304" i="1"/>
  <c r="BG304" i="1"/>
  <c r="BE304" i="1"/>
  <c r="BD304" i="1"/>
  <c r="BB304" i="1"/>
  <c r="BA304" i="1"/>
  <c r="AY304" i="1"/>
  <c r="AX304" i="1"/>
  <c r="AV304" i="1"/>
  <c r="AU304" i="1"/>
  <c r="AQ304" i="1"/>
  <c r="AN304" i="1"/>
  <c r="AK304" i="1"/>
  <c r="AH304" i="1"/>
  <c r="AE304" i="1"/>
  <c r="BF304" i="1" s="1"/>
  <c r="AB304" i="1"/>
  <c r="Y304" i="1"/>
  <c r="V304" i="1"/>
  <c r="S304" i="1"/>
  <c r="BC304" i="1" s="1"/>
  <c r="P304" i="1"/>
  <c r="M304" i="1"/>
  <c r="J304" i="1"/>
  <c r="BK303" i="1"/>
  <c r="BL303" i="1" s="1"/>
  <c r="BH303" i="1"/>
  <c r="BG303" i="1"/>
  <c r="BE303" i="1"/>
  <c r="BE302" i="1" s="1"/>
  <c r="BD303" i="1"/>
  <c r="BD302" i="1" s="1"/>
  <c r="BB303" i="1"/>
  <c r="BA303" i="1"/>
  <c r="AY303" i="1"/>
  <c r="AY302" i="1" s="1"/>
  <c r="AX303" i="1"/>
  <c r="AV303" i="1"/>
  <c r="AU303" i="1"/>
  <c r="AQ303" i="1"/>
  <c r="AN303" i="1"/>
  <c r="AK303" i="1"/>
  <c r="AH303" i="1"/>
  <c r="AE303" i="1"/>
  <c r="AB303" i="1"/>
  <c r="Y303" i="1"/>
  <c r="V303" i="1"/>
  <c r="S303" i="1"/>
  <c r="P303" i="1"/>
  <c r="M303" i="1"/>
  <c r="J303" i="1"/>
  <c r="BK302" i="1"/>
  <c r="BB302" i="1"/>
  <c r="BN301" i="1"/>
  <c r="BM301" i="1"/>
  <c r="BL301" i="1"/>
  <c r="BK301" i="1"/>
  <c r="BK300" i="1"/>
  <c r="BM299" i="1"/>
  <c r="BK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BL299" i="1" s="1"/>
  <c r="AU299" i="1"/>
  <c r="BK298" i="1"/>
  <c r="BH298" i="1"/>
  <c r="BG298" i="1"/>
  <c r="BE298" i="1"/>
  <c r="BD298" i="1"/>
  <c r="BB298" i="1"/>
  <c r="BA298" i="1"/>
  <c r="AY298" i="1"/>
  <c r="AX298" i="1"/>
  <c r="AV298" i="1"/>
  <c r="BL298" i="1" s="1"/>
  <c r="AU298" i="1"/>
  <c r="AQ298" i="1"/>
  <c r="AN298" i="1"/>
  <c r="AK298" i="1"/>
  <c r="AH298" i="1"/>
  <c r="AE298" i="1"/>
  <c r="AB298" i="1"/>
  <c r="Y298" i="1"/>
  <c r="V298" i="1"/>
  <c r="S298" i="1"/>
  <c r="P298" i="1"/>
  <c r="M298" i="1"/>
  <c r="J298" i="1"/>
  <c r="AZ298" i="1" s="1"/>
  <c r="BL297" i="1"/>
  <c r="BK297" i="1"/>
  <c r="BH297" i="1"/>
  <c r="BG297" i="1"/>
  <c r="BE297" i="1"/>
  <c r="BD297" i="1"/>
  <c r="BB297" i="1"/>
  <c r="BA297" i="1"/>
  <c r="AY297" i="1"/>
  <c r="AX297" i="1"/>
  <c r="AV297" i="1"/>
  <c r="AU297" i="1"/>
  <c r="AQ297" i="1"/>
  <c r="AN297" i="1"/>
  <c r="AK297" i="1"/>
  <c r="AH297" i="1"/>
  <c r="AE297" i="1"/>
  <c r="AB297" i="1"/>
  <c r="BF297" i="1" s="1"/>
  <c r="Y297" i="1"/>
  <c r="V297" i="1"/>
  <c r="S297" i="1"/>
  <c r="BC297" i="1" s="1"/>
  <c r="P297" i="1"/>
  <c r="M297" i="1"/>
  <c r="J297" i="1"/>
  <c r="BK296" i="1"/>
  <c r="BH296" i="1"/>
  <c r="BH294" i="1" s="1"/>
  <c r="BG296" i="1"/>
  <c r="BE296" i="1"/>
  <c r="BD296" i="1"/>
  <c r="BB296" i="1"/>
  <c r="BA296" i="1"/>
  <c r="AY296" i="1"/>
  <c r="AX296" i="1"/>
  <c r="AV296" i="1"/>
  <c r="BL296" i="1" s="1"/>
  <c r="AU296" i="1"/>
  <c r="AQ296" i="1"/>
  <c r="AN296" i="1"/>
  <c r="AK296" i="1"/>
  <c r="BI296" i="1" s="1"/>
  <c r="AH296" i="1"/>
  <c r="AE296" i="1"/>
  <c r="AB296" i="1"/>
  <c r="Y296" i="1"/>
  <c r="V296" i="1"/>
  <c r="S296" i="1"/>
  <c r="BC296" i="1" s="1"/>
  <c r="P296" i="1"/>
  <c r="M296" i="1"/>
  <c r="AZ296" i="1" s="1"/>
  <c r="J296" i="1"/>
  <c r="J294" i="1" s="1"/>
  <c r="BK295" i="1"/>
  <c r="BH295" i="1"/>
  <c r="BG295" i="1"/>
  <c r="BG294" i="1" s="1"/>
  <c r="BE295" i="1"/>
  <c r="BE294" i="1" s="1"/>
  <c r="BD295" i="1"/>
  <c r="BD294" i="1" s="1"/>
  <c r="BB295" i="1"/>
  <c r="BA295" i="1"/>
  <c r="BA294" i="1" s="1"/>
  <c r="AY295" i="1"/>
  <c r="AX295" i="1"/>
  <c r="AV295" i="1"/>
  <c r="AU295" i="1"/>
  <c r="AQ295" i="1"/>
  <c r="AQ294" i="1" s="1"/>
  <c r="AN295" i="1"/>
  <c r="AK295" i="1"/>
  <c r="AH295" i="1"/>
  <c r="AH294" i="1" s="1"/>
  <c r="AE295" i="1"/>
  <c r="AE294" i="1" s="1"/>
  <c r="AB295" i="1"/>
  <c r="BF295" i="1" s="1"/>
  <c r="Y295" i="1"/>
  <c r="V295" i="1"/>
  <c r="V294" i="1" s="1"/>
  <c r="S295" i="1"/>
  <c r="S294" i="1" s="1"/>
  <c r="P295" i="1"/>
  <c r="M295" i="1"/>
  <c r="J295" i="1"/>
  <c r="BK294" i="1"/>
  <c r="AV294" i="1"/>
  <c r="AU294" i="1"/>
  <c r="AN294" i="1"/>
  <c r="BM293" i="1"/>
  <c r="BN293" i="1" s="1"/>
  <c r="BL293" i="1"/>
  <c r="BK293" i="1"/>
  <c r="BK292" i="1"/>
  <c r="BM291" i="1"/>
  <c r="BK291" i="1"/>
  <c r="BL291" i="1" s="1"/>
  <c r="BM290" i="1"/>
  <c r="BK290" i="1"/>
  <c r="BL290" i="1" s="1"/>
  <c r="BM289" i="1"/>
  <c r="BK289" i="1"/>
  <c r="BL289" i="1" s="1"/>
  <c r="AQ289" i="1"/>
  <c r="AN289" i="1"/>
  <c r="AK289" i="1"/>
  <c r="AH289" i="1"/>
  <c r="AE289" i="1"/>
  <c r="AB289" i="1"/>
  <c r="Y289" i="1"/>
  <c r="BK288" i="1"/>
  <c r="BL288" i="1" s="1"/>
  <c r="BH288" i="1"/>
  <c r="BG288" i="1"/>
  <c r="BE288" i="1"/>
  <c r="BD288" i="1"/>
  <c r="BB288" i="1"/>
  <c r="BA288" i="1"/>
  <c r="AY288" i="1"/>
  <c r="AX288" i="1"/>
  <c r="AV288" i="1"/>
  <c r="AU288" i="1"/>
  <c r="AQ288" i="1"/>
  <c r="AN288" i="1"/>
  <c r="AK288" i="1"/>
  <c r="BI288" i="1" s="1"/>
  <c r="AH288" i="1"/>
  <c r="AE288" i="1"/>
  <c r="AB288" i="1"/>
  <c r="Y288" i="1"/>
  <c r="V288" i="1"/>
  <c r="S288" i="1"/>
  <c r="P288" i="1"/>
  <c r="M288" i="1"/>
  <c r="J288" i="1"/>
  <c r="BK287" i="1"/>
  <c r="BL287" i="1" s="1"/>
  <c r="BH287" i="1"/>
  <c r="BG287" i="1"/>
  <c r="BE287" i="1"/>
  <c r="BD287" i="1"/>
  <c r="BB287" i="1"/>
  <c r="BA287" i="1"/>
  <c r="AY287" i="1"/>
  <c r="AX287" i="1"/>
  <c r="AV287" i="1"/>
  <c r="AU287" i="1"/>
  <c r="AQ287" i="1"/>
  <c r="AN287" i="1"/>
  <c r="AK287" i="1"/>
  <c r="BI287" i="1" s="1"/>
  <c r="AH287" i="1"/>
  <c r="AE287" i="1"/>
  <c r="AB287" i="1"/>
  <c r="BF287" i="1" s="1"/>
  <c r="Y287" i="1"/>
  <c r="V287" i="1"/>
  <c r="S287" i="1"/>
  <c r="P287" i="1"/>
  <c r="M287" i="1"/>
  <c r="J287" i="1"/>
  <c r="BK286" i="1"/>
  <c r="BL286" i="1" s="1"/>
  <c r="BH286" i="1"/>
  <c r="BG286" i="1"/>
  <c r="BE286" i="1"/>
  <c r="BD286" i="1"/>
  <c r="BB286" i="1"/>
  <c r="BA286" i="1"/>
  <c r="AY286" i="1"/>
  <c r="AX286" i="1"/>
  <c r="AV286" i="1"/>
  <c r="AU286" i="1"/>
  <c r="AQ286" i="1"/>
  <c r="AN286" i="1"/>
  <c r="AK286" i="1"/>
  <c r="AH286" i="1"/>
  <c r="AE286" i="1"/>
  <c r="AB286" i="1"/>
  <c r="BF286" i="1" s="1"/>
  <c r="Y286" i="1"/>
  <c r="BC286" i="1" s="1"/>
  <c r="V286" i="1"/>
  <c r="S286" i="1"/>
  <c r="P286" i="1"/>
  <c r="M286" i="1"/>
  <c r="J286" i="1"/>
  <c r="BK285" i="1"/>
  <c r="BL285" i="1" s="1"/>
  <c r="BH285" i="1"/>
  <c r="BG285" i="1"/>
  <c r="BE285" i="1"/>
  <c r="BD285" i="1"/>
  <c r="BB285" i="1"/>
  <c r="BA285" i="1"/>
  <c r="AY285" i="1"/>
  <c r="AX285" i="1"/>
  <c r="AV285" i="1"/>
  <c r="AU285" i="1"/>
  <c r="AQ285" i="1"/>
  <c r="AN285" i="1"/>
  <c r="AK285" i="1"/>
  <c r="AH285" i="1"/>
  <c r="AE285" i="1"/>
  <c r="AB285" i="1"/>
  <c r="BF285" i="1" s="1"/>
  <c r="Y285" i="1"/>
  <c r="BC285" i="1" s="1"/>
  <c r="V285" i="1"/>
  <c r="S285" i="1"/>
  <c r="P285" i="1"/>
  <c r="M285" i="1"/>
  <c r="J285" i="1"/>
  <c r="BK284" i="1"/>
  <c r="BL284" i="1" s="1"/>
  <c r="BH284" i="1"/>
  <c r="BG284" i="1"/>
  <c r="BE284" i="1"/>
  <c r="BD284" i="1"/>
  <c r="BB284" i="1"/>
  <c r="BA284" i="1"/>
  <c r="AY284" i="1"/>
  <c r="AX284" i="1"/>
  <c r="AV284" i="1"/>
  <c r="AU284" i="1"/>
  <c r="AQ284" i="1"/>
  <c r="AN284" i="1"/>
  <c r="AK284" i="1"/>
  <c r="AH284" i="1"/>
  <c r="AE284" i="1"/>
  <c r="AB284" i="1"/>
  <c r="BF284" i="1" s="1"/>
  <c r="Y284" i="1"/>
  <c r="V284" i="1"/>
  <c r="S284" i="1"/>
  <c r="P284" i="1"/>
  <c r="M284" i="1"/>
  <c r="J284" i="1"/>
  <c r="BK283" i="1"/>
  <c r="BL283" i="1" s="1"/>
  <c r="BH283" i="1"/>
  <c r="BG283" i="1"/>
  <c r="BE283" i="1"/>
  <c r="BD283" i="1"/>
  <c r="BB283" i="1"/>
  <c r="BA283" i="1"/>
  <c r="AY283" i="1"/>
  <c r="AX283" i="1"/>
  <c r="AV283" i="1"/>
  <c r="AU283" i="1"/>
  <c r="AQ283" i="1"/>
  <c r="AN283" i="1"/>
  <c r="AK283" i="1"/>
  <c r="BI283" i="1" s="1"/>
  <c r="AH283" i="1"/>
  <c r="AE283" i="1"/>
  <c r="BF283" i="1" s="1"/>
  <c r="AB283" i="1"/>
  <c r="Y283" i="1"/>
  <c r="V283" i="1"/>
  <c r="S283" i="1"/>
  <c r="P283" i="1"/>
  <c r="M283" i="1"/>
  <c r="J283" i="1"/>
  <c r="BM283" i="1" s="1"/>
  <c r="BK282" i="1"/>
  <c r="BL282" i="1" s="1"/>
  <c r="BH282" i="1"/>
  <c r="BG282" i="1"/>
  <c r="BE282" i="1"/>
  <c r="BD282" i="1"/>
  <c r="BB282" i="1"/>
  <c r="BA282" i="1"/>
  <c r="AY282" i="1"/>
  <c r="AX282" i="1"/>
  <c r="AV282" i="1"/>
  <c r="AU282" i="1"/>
  <c r="AQ282" i="1"/>
  <c r="AN282" i="1"/>
  <c r="AK282" i="1"/>
  <c r="BI282" i="1" s="1"/>
  <c r="AH282" i="1"/>
  <c r="AH280" i="1" s="1"/>
  <c r="AE282" i="1"/>
  <c r="AB282" i="1"/>
  <c r="Y282" i="1"/>
  <c r="V282" i="1"/>
  <c r="S282" i="1"/>
  <c r="P282" i="1"/>
  <c r="M282" i="1"/>
  <c r="J282" i="1"/>
  <c r="BK281" i="1"/>
  <c r="BL281" i="1" s="1"/>
  <c r="BH281" i="1"/>
  <c r="BH280" i="1" s="1"/>
  <c r="BG281" i="1"/>
  <c r="BE281" i="1"/>
  <c r="BD281" i="1"/>
  <c r="BB281" i="1"/>
  <c r="BA281" i="1"/>
  <c r="AY281" i="1"/>
  <c r="AX281" i="1"/>
  <c r="AV281" i="1"/>
  <c r="AU281" i="1"/>
  <c r="AQ281" i="1"/>
  <c r="AN281" i="1"/>
  <c r="AK281" i="1"/>
  <c r="BI281" i="1" s="1"/>
  <c r="AH281" i="1"/>
  <c r="AE281" i="1"/>
  <c r="AB281" i="1"/>
  <c r="AB280" i="1" s="1"/>
  <c r="Y281" i="1"/>
  <c r="V281" i="1"/>
  <c r="S281" i="1"/>
  <c r="P281" i="1"/>
  <c r="M281" i="1"/>
  <c r="J281" i="1"/>
  <c r="BK280" i="1"/>
  <c r="AX280" i="1"/>
  <c r="AV280" i="1"/>
  <c r="V280" i="1"/>
  <c r="M280" i="1"/>
  <c r="BN279" i="1"/>
  <c r="BM279" i="1"/>
  <c r="BK279" i="1"/>
  <c r="BL279" i="1" s="1"/>
  <c r="BK278" i="1"/>
  <c r="BK277" i="1"/>
  <c r="BL277" i="1" s="1"/>
  <c r="BH277" i="1"/>
  <c r="BG277" i="1"/>
  <c r="BE277" i="1"/>
  <c r="BD277" i="1"/>
  <c r="BB277" i="1"/>
  <c r="BA277" i="1"/>
  <c r="AY277" i="1"/>
  <c r="AX277" i="1"/>
  <c r="AV277" i="1"/>
  <c r="AU277" i="1"/>
  <c r="AQ277" i="1"/>
  <c r="AN277" i="1"/>
  <c r="AK277" i="1"/>
  <c r="BI277" i="1" s="1"/>
  <c r="AH277" i="1"/>
  <c r="AE277" i="1"/>
  <c r="AB277" i="1"/>
  <c r="Y277" i="1"/>
  <c r="V277" i="1"/>
  <c r="S277" i="1"/>
  <c r="BC277" i="1" s="1"/>
  <c r="P277" i="1"/>
  <c r="M277" i="1"/>
  <c r="J277" i="1"/>
  <c r="BK276" i="1"/>
  <c r="BL276" i="1" s="1"/>
  <c r="BH276" i="1"/>
  <c r="BG276" i="1"/>
  <c r="BE276" i="1"/>
  <c r="BD276" i="1"/>
  <c r="BB276" i="1"/>
  <c r="BA276" i="1"/>
  <c r="AY276" i="1"/>
  <c r="AX276" i="1"/>
  <c r="AV276" i="1"/>
  <c r="AU276" i="1"/>
  <c r="AQ276" i="1"/>
  <c r="AN276" i="1"/>
  <c r="AK276" i="1"/>
  <c r="AH276" i="1"/>
  <c r="AE276" i="1"/>
  <c r="AB276" i="1"/>
  <c r="Y276" i="1"/>
  <c r="V276" i="1"/>
  <c r="S276" i="1"/>
  <c r="BC276" i="1" s="1"/>
  <c r="P276" i="1"/>
  <c r="M276" i="1"/>
  <c r="J276" i="1"/>
  <c r="BL275" i="1"/>
  <c r="BK275" i="1"/>
  <c r="BH275" i="1"/>
  <c r="BG275" i="1"/>
  <c r="BE275" i="1"/>
  <c r="BD275" i="1"/>
  <c r="BB275" i="1"/>
  <c r="BA275" i="1"/>
  <c r="AY275" i="1"/>
  <c r="AX275" i="1"/>
  <c r="AV275" i="1"/>
  <c r="AU275" i="1"/>
  <c r="AQ275" i="1"/>
  <c r="AN275" i="1"/>
  <c r="AN266" i="1" s="1"/>
  <c r="AK275" i="1"/>
  <c r="AH275" i="1"/>
  <c r="AE275" i="1"/>
  <c r="AB275" i="1"/>
  <c r="Y275" i="1"/>
  <c r="V275" i="1"/>
  <c r="S275" i="1"/>
  <c r="BC275" i="1" s="1"/>
  <c r="P275" i="1"/>
  <c r="M275" i="1"/>
  <c r="J275" i="1"/>
  <c r="BM275" i="1" s="1"/>
  <c r="BK274" i="1"/>
  <c r="BL274" i="1" s="1"/>
  <c r="BH274" i="1"/>
  <c r="BG274" i="1"/>
  <c r="BE274" i="1"/>
  <c r="BD274" i="1"/>
  <c r="BB274" i="1"/>
  <c r="BA274" i="1"/>
  <c r="AY274" i="1"/>
  <c r="AX274" i="1"/>
  <c r="AV274" i="1"/>
  <c r="AU274" i="1"/>
  <c r="AQ274" i="1"/>
  <c r="AN274" i="1"/>
  <c r="AH274" i="1"/>
  <c r="AE274" i="1"/>
  <c r="AB274" i="1"/>
  <c r="AK274" i="1" s="1"/>
  <c r="BI274" i="1" s="1"/>
  <c r="Y274" i="1"/>
  <c r="V274" i="1"/>
  <c r="S274" i="1"/>
  <c r="P274" i="1"/>
  <c r="M274" i="1"/>
  <c r="J274" i="1"/>
  <c r="BM274" i="1" s="1"/>
  <c r="BK273" i="1"/>
  <c r="BL273" i="1" s="1"/>
  <c r="BH273" i="1"/>
  <c r="BG273" i="1"/>
  <c r="BE273" i="1"/>
  <c r="BD273" i="1"/>
  <c r="BB273" i="1"/>
  <c r="BA273" i="1"/>
  <c r="AY273" i="1"/>
  <c r="AX273" i="1"/>
  <c r="AV273" i="1"/>
  <c r="AU273" i="1"/>
  <c r="AQ273" i="1"/>
  <c r="AN273" i="1"/>
  <c r="AK273" i="1"/>
  <c r="BI273" i="1" s="1"/>
  <c r="AH273" i="1"/>
  <c r="AE273" i="1"/>
  <c r="AB273" i="1"/>
  <c r="Y273" i="1"/>
  <c r="V273" i="1"/>
  <c r="S273" i="1"/>
  <c r="P273" i="1"/>
  <c r="M273" i="1"/>
  <c r="J273" i="1"/>
  <c r="BK272" i="1"/>
  <c r="BL272" i="1" s="1"/>
  <c r="BH272" i="1"/>
  <c r="BG272" i="1"/>
  <c r="BE272" i="1"/>
  <c r="BD272" i="1"/>
  <c r="BB272" i="1"/>
  <c r="BA272" i="1"/>
  <c r="AY272" i="1"/>
  <c r="AX272" i="1"/>
  <c r="AV272" i="1"/>
  <c r="AU272" i="1"/>
  <c r="AQ272" i="1"/>
  <c r="AN272" i="1"/>
  <c r="AK272" i="1"/>
  <c r="BI272" i="1" s="1"/>
  <c r="AH272" i="1"/>
  <c r="AE272" i="1"/>
  <c r="AB272" i="1"/>
  <c r="BF272" i="1" s="1"/>
  <c r="Y272" i="1"/>
  <c r="V272" i="1"/>
  <c r="S272" i="1"/>
  <c r="P272" i="1"/>
  <c r="M272" i="1"/>
  <c r="J272" i="1"/>
  <c r="BK271" i="1"/>
  <c r="BL271" i="1" s="1"/>
  <c r="BH271" i="1"/>
  <c r="BG271" i="1"/>
  <c r="BE271" i="1"/>
  <c r="BD271" i="1"/>
  <c r="BB271" i="1"/>
  <c r="BA271" i="1"/>
  <c r="AY271" i="1"/>
  <c r="AX271" i="1"/>
  <c r="AV271" i="1"/>
  <c r="AU271" i="1"/>
  <c r="AQ271" i="1"/>
  <c r="AN271" i="1"/>
  <c r="AK271" i="1"/>
  <c r="AH271" i="1"/>
  <c r="AE271" i="1"/>
  <c r="AB271" i="1"/>
  <c r="BF271" i="1" s="1"/>
  <c r="Y271" i="1"/>
  <c r="BC271" i="1" s="1"/>
  <c r="V271" i="1"/>
  <c r="S271" i="1"/>
  <c r="P271" i="1"/>
  <c r="M271" i="1"/>
  <c r="J271" i="1"/>
  <c r="BK270" i="1"/>
  <c r="BL270" i="1" s="1"/>
  <c r="BH270" i="1"/>
  <c r="BG270" i="1"/>
  <c r="BE270" i="1"/>
  <c r="BD270" i="1"/>
  <c r="BB270" i="1"/>
  <c r="BA270" i="1"/>
  <c r="AY270" i="1"/>
  <c r="AX270" i="1"/>
  <c r="AV270" i="1"/>
  <c r="AU270" i="1"/>
  <c r="AQ270" i="1"/>
  <c r="AN270" i="1"/>
  <c r="AK270" i="1"/>
  <c r="BI270" i="1" s="1"/>
  <c r="AH270" i="1"/>
  <c r="AE270" i="1"/>
  <c r="AB270" i="1"/>
  <c r="BF270" i="1" s="1"/>
  <c r="Y270" i="1"/>
  <c r="BC270" i="1" s="1"/>
  <c r="V270" i="1"/>
  <c r="S270" i="1"/>
  <c r="P270" i="1"/>
  <c r="BM270" i="1" s="1"/>
  <c r="M270" i="1"/>
  <c r="J270" i="1"/>
  <c r="BK269" i="1"/>
  <c r="BL269" i="1" s="1"/>
  <c r="BH269" i="1"/>
  <c r="BG269" i="1"/>
  <c r="BE269" i="1"/>
  <c r="BD269" i="1"/>
  <c r="BB269" i="1"/>
  <c r="BB266" i="1" s="1"/>
  <c r="BA269" i="1"/>
  <c r="AY269" i="1"/>
  <c r="AX269" i="1"/>
  <c r="AV269" i="1"/>
  <c r="AU269" i="1"/>
  <c r="AQ269" i="1"/>
  <c r="AN269" i="1"/>
  <c r="AK269" i="1"/>
  <c r="BI269" i="1" s="1"/>
  <c r="AH269" i="1"/>
  <c r="AE269" i="1"/>
  <c r="AB269" i="1"/>
  <c r="BF269" i="1" s="1"/>
  <c r="Y269" i="1"/>
  <c r="V269" i="1"/>
  <c r="S269" i="1"/>
  <c r="P269" i="1"/>
  <c r="M269" i="1"/>
  <c r="J269" i="1"/>
  <c r="BK268" i="1"/>
  <c r="BL268" i="1" s="1"/>
  <c r="BH268" i="1"/>
  <c r="BG268" i="1"/>
  <c r="BE268" i="1"/>
  <c r="BD268" i="1"/>
  <c r="BB268" i="1"/>
  <c r="BA268" i="1"/>
  <c r="AY268" i="1"/>
  <c r="AX268" i="1"/>
  <c r="AV268" i="1"/>
  <c r="AU268" i="1"/>
  <c r="AQ268" i="1"/>
  <c r="AN268" i="1"/>
  <c r="AK268" i="1"/>
  <c r="BI268" i="1" s="1"/>
  <c r="AH268" i="1"/>
  <c r="AE268" i="1"/>
  <c r="AB268" i="1"/>
  <c r="Y268" i="1"/>
  <c r="V268" i="1"/>
  <c r="S268" i="1"/>
  <c r="P268" i="1"/>
  <c r="M268" i="1"/>
  <c r="J268" i="1"/>
  <c r="BK267" i="1"/>
  <c r="BL267" i="1" s="1"/>
  <c r="BH267" i="1"/>
  <c r="BG267" i="1"/>
  <c r="BE267" i="1"/>
  <c r="BE266" i="1" s="1"/>
  <c r="BD267" i="1"/>
  <c r="BD266" i="1" s="1"/>
  <c r="BB267" i="1"/>
  <c r="BA267" i="1"/>
  <c r="AY267" i="1"/>
  <c r="AX267" i="1"/>
  <c r="AV267" i="1"/>
  <c r="AU267" i="1"/>
  <c r="AQ267" i="1"/>
  <c r="AN267" i="1"/>
  <c r="AK267" i="1"/>
  <c r="BI267" i="1" s="1"/>
  <c r="AH267" i="1"/>
  <c r="AE267" i="1"/>
  <c r="AB267" i="1"/>
  <c r="AB266" i="1" s="1"/>
  <c r="Y267" i="1"/>
  <c r="V267" i="1"/>
  <c r="V266" i="1" s="1"/>
  <c r="S267" i="1"/>
  <c r="P267" i="1"/>
  <c r="M267" i="1"/>
  <c r="J267" i="1"/>
  <c r="BK266" i="1"/>
  <c r="AX266" i="1"/>
  <c r="BM265" i="1"/>
  <c r="BN265" i="1" s="1"/>
  <c r="BK265" i="1"/>
  <c r="BL265" i="1" s="1"/>
  <c r="BK264" i="1"/>
  <c r="BK263" i="1"/>
  <c r="BH263" i="1"/>
  <c r="BG263" i="1"/>
  <c r="BE263" i="1"/>
  <c r="BD263" i="1"/>
  <c r="BB263" i="1"/>
  <c r="BA263" i="1"/>
  <c r="AY263" i="1"/>
  <c r="AX263" i="1"/>
  <c r="AV263" i="1"/>
  <c r="AU263" i="1"/>
  <c r="AQ263" i="1"/>
  <c r="AN263" i="1"/>
  <c r="AK263" i="1"/>
  <c r="AH263" i="1"/>
  <c r="AE263" i="1"/>
  <c r="AB263" i="1"/>
  <c r="Y263" i="1"/>
  <c r="V263" i="1"/>
  <c r="S263" i="1"/>
  <c r="P263" i="1"/>
  <c r="M263" i="1"/>
  <c r="J263" i="1"/>
  <c r="BK262" i="1"/>
  <c r="BH262" i="1"/>
  <c r="BG262" i="1"/>
  <c r="BE262" i="1"/>
  <c r="BD262" i="1"/>
  <c r="BB262" i="1"/>
  <c r="BA262" i="1"/>
  <c r="AY262" i="1"/>
  <c r="AX262" i="1"/>
  <c r="AV262" i="1"/>
  <c r="AU262" i="1"/>
  <c r="AQ262" i="1"/>
  <c r="AN262" i="1"/>
  <c r="AK262" i="1"/>
  <c r="AH262" i="1"/>
  <c r="AE262" i="1"/>
  <c r="AB262" i="1"/>
  <c r="Y262" i="1"/>
  <c r="V262" i="1"/>
  <c r="S262" i="1"/>
  <c r="BC262" i="1" s="1"/>
  <c r="P262" i="1"/>
  <c r="M262" i="1"/>
  <c r="J262" i="1"/>
  <c r="BK261" i="1"/>
  <c r="BH261" i="1"/>
  <c r="BG261" i="1"/>
  <c r="BE261" i="1"/>
  <c r="BD261" i="1"/>
  <c r="BB261" i="1"/>
  <c r="BA261" i="1"/>
  <c r="AY261" i="1"/>
  <c r="AX261" i="1"/>
  <c r="AV261" i="1"/>
  <c r="AU261" i="1"/>
  <c r="AQ261" i="1"/>
  <c r="AN261" i="1"/>
  <c r="AK261" i="1"/>
  <c r="AH261" i="1"/>
  <c r="AE261" i="1"/>
  <c r="AB261" i="1"/>
  <c r="Y261" i="1"/>
  <c r="V261" i="1"/>
  <c r="S261" i="1"/>
  <c r="BC261" i="1" s="1"/>
  <c r="P261" i="1"/>
  <c r="M261" i="1"/>
  <c r="J261" i="1"/>
  <c r="BL260" i="1"/>
  <c r="BK260" i="1"/>
  <c r="BH260" i="1"/>
  <c r="BG260" i="1"/>
  <c r="BE260" i="1"/>
  <c r="BD260" i="1"/>
  <c r="BB260" i="1"/>
  <c r="BA260" i="1"/>
  <c r="AY260" i="1"/>
  <c r="AX260" i="1"/>
  <c r="AV260" i="1"/>
  <c r="AU260" i="1"/>
  <c r="AQ260" i="1"/>
  <c r="AQ255" i="1" s="1"/>
  <c r="AN260" i="1"/>
  <c r="AK260" i="1"/>
  <c r="AH260" i="1"/>
  <c r="AE260" i="1"/>
  <c r="AB260" i="1"/>
  <c r="Y260" i="1"/>
  <c r="V260" i="1"/>
  <c r="S260" i="1"/>
  <c r="P260" i="1"/>
  <c r="M260" i="1"/>
  <c r="J260" i="1"/>
  <c r="BM260" i="1" s="1"/>
  <c r="BK259" i="1"/>
  <c r="BH259" i="1"/>
  <c r="BG259" i="1"/>
  <c r="BE259" i="1"/>
  <c r="BD259" i="1"/>
  <c r="BB259" i="1"/>
  <c r="BA259" i="1"/>
  <c r="AY259" i="1"/>
  <c r="AX259" i="1"/>
  <c r="AV259" i="1"/>
  <c r="BL259" i="1" s="1"/>
  <c r="AU259" i="1"/>
  <c r="AQ259" i="1"/>
  <c r="AN259" i="1"/>
  <c r="AK259" i="1"/>
  <c r="BI259" i="1" s="1"/>
  <c r="AH259" i="1"/>
  <c r="AE259" i="1"/>
  <c r="AB259" i="1"/>
  <c r="Y259" i="1"/>
  <c r="V259" i="1"/>
  <c r="S259" i="1"/>
  <c r="P259" i="1"/>
  <c r="M259" i="1"/>
  <c r="AW259" i="1" s="1"/>
  <c r="J259" i="1"/>
  <c r="BK258" i="1"/>
  <c r="BL258" i="1" s="1"/>
  <c r="BH258" i="1"/>
  <c r="BG258" i="1"/>
  <c r="BE258" i="1"/>
  <c r="BD258" i="1"/>
  <c r="BB258" i="1"/>
  <c r="BA258" i="1"/>
  <c r="AY258" i="1"/>
  <c r="AX258" i="1"/>
  <c r="AV258" i="1"/>
  <c r="AU258" i="1"/>
  <c r="AQ258" i="1"/>
  <c r="BI258" i="1" s="1"/>
  <c r="AN258" i="1"/>
  <c r="AK258" i="1"/>
  <c r="AH258" i="1"/>
  <c r="AE258" i="1"/>
  <c r="AB258" i="1"/>
  <c r="Y258" i="1"/>
  <c r="V258" i="1"/>
  <c r="S258" i="1"/>
  <c r="BC258" i="1" s="1"/>
  <c r="P258" i="1"/>
  <c r="AW258" i="1" s="1"/>
  <c r="M258" i="1"/>
  <c r="J258" i="1"/>
  <c r="BK257" i="1"/>
  <c r="BH257" i="1"/>
  <c r="BG257" i="1"/>
  <c r="BE257" i="1"/>
  <c r="BD257" i="1"/>
  <c r="BB257" i="1"/>
  <c r="BA257" i="1"/>
  <c r="AY257" i="1"/>
  <c r="AX257" i="1"/>
  <c r="AV257" i="1"/>
  <c r="AU257" i="1"/>
  <c r="AQ257" i="1"/>
  <c r="AN257" i="1"/>
  <c r="AK257" i="1"/>
  <c r="AH257" i="1"/>
  <c r="AE257" i="1"/>
  <c r="AB257" i="1"/>
  <c r="BF257" i="1" s="1"/>
  <c r="Y257" i="1"/>
  <c r="V257" i="1"/>
  <c r="S257" i="1"/>
  <c r="P257" i="1"/>
  <c r="M257" i="1"/>
  <c r="J257" i="1"/>
  <c r="BK256" i="1"/>
  <c r="BH256" i="1"/>
  <c r="BG256" i="1"/>
  <c r="BE256" i="1"/>
  <c r="BD256" i="1"/>
  <c r="BB256" i="1"/>
  <c r="BA256" i="1"/>
  <c r="BA255" i="1" s="1"/>
  <c r="AY256" i="1"/>
  <c r="AX256" i="1"/>
  <c r="AX255" i="1" s="1"/>
  <c r="AV256" i="1"/>
  <c r="AV255" i="1" s="1"/>
  <c r="AU256" i="1"/>
  <c r="AQ256" i="1"/>
  <c r="AN256" i="1"/>
  <c r="AN255" i="1" s="1"/>
  <c r="AK256" i="1"/>
  <c r="AH256" i="1"/>
  <c r="AE256" i="1"/>
  <c r="AB256" i="1"/>
  <c r="BF256" i="1" s="1"/>
  <c r="Y256" i="1"/>
  <c r="V256" i="1"/>
  <c r="S256" i="1"/>
  <c r="BC256" i="1" s="1"/>
  <c r="P256" i="1"/>
  <c r="P255" i="1" s="1"/>
  <c r="M256" i="1"/>
  <c r="J256" i="1"/>
  <c r="BK255" i="1"/>
  <c r="BH255" i="1"/>
  <c r="BN254" i="1"/>
  <c r="BM254" i="1"/>
  <c r="BL254" i="1"/>
  <c r="BK254" i="1"/>
  <c r="BK253" i="1"/>
  <c r="BM252" i="1"/>
  <c r="BK252" i="1"/>
  <c r="BL252" i="1" s="1"/>
  <c r="BM251" i="1"/>
  <c r="BK251" i="1"/>
  <c r="BL251" i="1" s="1"/>
  <c r="BK250" i="1"/>
  <c r="BL250" i="1" s="1"/>
  <c r="BH250" i="1"/>
  <c r="BG250" i="1"/>
  <c r="BE250" i="1"/>
  <c r="BD250" i="1"/>
  <c r="BB250" i="1"/>
  <c r="BA250" i="1"/>
  <c r="AY250" i="1"/>
  <c r="AX250" i="1"/>
  <c r="AV250" i="1"/>
  <c r="AU250" i="1"/>
  <c r="AQ250" i="1"/>
  <c r="AN250" i="1"/>
  <c r="AK250" i="1"/>
  <c r="AH250" i="1"/>
  <c r="AE250" i="1"/>
  <c r="AB250" i="1"/>
  <c r="BF250" i="1" s="1"/>
  <c r="Y250" i="1"/>
  <c r="BC250" i="1" s="1"/>
  <c r="V250" i="1"/>
  <c r="S250" i="1"/>
  <c r="P250" i="1"/>
  <c r="M250" i="1"/>
  <c r="J250" i="1"/>
  <c r="BK249" i="1"/>
  <c r="BL249" i="1" s="1"/>
  <c r="BH249" i="1"/>
  <c r="BG249" i="1"/>
  <c r="BE249" i="1"/>
  <c r="BD249" i="1"/>
  <c r="BB249" i="1"/>
  <c r="BA249" i="1"/>
  <c r="AY249" i="1"/>
  <c r="AX249" i="1"/>
  <c r="AV249" i="1"/>
  <c r="AU249" i="1"/>
  <c r="AQ249" i="1"/>
  <c r="AN249" i="1"/>
  <c r="AK249" i="1"/>
  <c r="BI249" i="1" s="1"/>
  <c r="AH249" i="1"/>
  <c r="AE249" i="1"/>
  <c r="AB249" i="1"/>
  <c r="BF249" i="1" s="1"/>
  <c r="Y249" i="1"/>
  <c r="BC249" i="1" s="1"/>
  <c r="V249" i="1"/>
  <c r="S249" i="1"/>
  <c r="P249" i="1"/>
  <c r="M249" i="1"/>
  <c r="J249" i="1"/>
  <c r="BK248" i="1"/>
  <c r="BL248" i="1" s="1"/>
  <c r="BH248" i="1"/>
  <c r="BG248" i="1"/>
  <c r="BE248" i="1"/>
  <c r="BD248" i="1"/>
  <c r="BB248" i="1"/>
  <c r="BA248" i="1"/>
  <c r="AY248" i="1"/>
  <c r="AX248" i="1"/>
  <c r="AV248" i="1"/>
  <c r="AU248" i="1"/>
  <c r="AQ248" i="1"/>
  <c r="AN248" i="1"/>
  <c r="AK248" i="1"/>
  <c r="AH248" i="1"/>
  <c r="AE248" i="1"/>
  <c r="AB248" i="1"/>
  <c r="BF248" i="1" s="1"/>
  <c r="Y248" i="1"/>
  <c r="V248" i="1"/>
  <c r="S248" i="1"/>
  <c r="P248" i="1"/>
  <c r="M248" i="1"/>
  <c r="J248" i="1"/>
  <c r="BK247" i="1"/>
  <c r="BL247" i="1" s="1"/>
  <c r="BH247" i="1"/>
  <c r="BG247" i="1"/>
  <c r="BE247" i="1"/>
  <c r="BD247" i="1"/>
  <c r="BB247" i="1"/>
  <c r="BA247" i="1"/>
  <c r="AY247" i="1"/>
  <c r="AX247" i="1"/>
  <c r="AV247" i="1"/>
  <c r="AU247" i="1"/>
  <c r="AQ247" i="1"/>
  <c r="AN247" i="1"/>
  <c r="AK247" i="1"/>
  <c r="BI247" i="1" s="1"/>
  <c r="AH247" i="1"/>
  <c r="AE247" i="1"/>
  <c r="AB247" i="1"/>
  <c r="Y247" i="1"/>
  <c r="V247" i="1"/>
  <c r="S247" i="1"/>
  <c r="P247" i="1"/>
  <c r="M247" i="1"/>
  <c r="J247" i="1"/>
  <c r="BK246" i="1"/>
  <c r="BH246" i="1"/>
  <c r="BG246" i="1"/>
  <c r="BE246" i="1"/>
  <c r="BD246" i="1"/>
  <c r="BB246" i="1"/>
  <c r="BA246" i="1"/>
  <c r="AY246" i="1"/>
  <c r="AX246" i="1"/>
  <c r="AV246" i="1"/>
  <c r="AU246" i="1"/>
  <c r="AQ246" i="1"/>
  <c r="AN246" i="1"/>
  <c r="AK246" i="1"/>
  <c r="BI246" i="1" s="1"/>
  <c r="AH246" i="1"/>
  <c r="AE246" i="1"/>
  <c r="AB246" i="1"/>
  <c r="Y246" i="1"/>
  <c r="V246" i="1"/>
  <c r="S246" i="1"/>
  <c r="P246" i="1"/>
  <c r="M246" i="1"/>
  <c r="J246" i="1"/>
  <c r="BK245" i="1"/>
  <c r="BL245" i="1" s="1"/>
  <c r="BH245" i="1"/>
  <c r="BG245" i="1"/>
  <c r="BE245" i="1"/>
  <c r="BD245" i="1"/>
  <c r="BB245" i="1"/>
  <c r="BA245" i="1"/>
  <c r="AY245" i="1"/>
  <c r="AX245" i="1"/>
  <c r="AV245" i="1"/>
  <c r="AU245" i="1"/>
  <c r="AQ245" i="1"/>
  <c r="AN245" i="1"/>
  <c r="AK245" i="1"/>
  <c r="BI245" i="1" s="1"/>
  <c r="AH245" i="1"/>
  <c r="AE245" i="1"/>
  <c r="AB245" i="1"/>
  <c r="BF245" i="1" s="1"/>
  <c r="Y245" i="1"/>
  <c r="V245" i="1"/>
  <c r="S245" i="1"/>
  <c r="P245" i="1"/>
  <c r="M245" i="1"/>
  <c r="J245" i="1"/>
  <c r="BK244" i="1"/>
  <c r="BL244" i="1" s="1"/>
  <c r="BH244" i="1"/>
  <c r="BG244" i="1"/>
  <c r="BE244" i="1"/>
  <c r="BD244" i="1"/>
  <c r="BB244" i="1"/>
  <c r="BB243" i="1" s="1"/>
  <c r="BA244" i="1"/>
  <c r="AZ244" i="1"/>
  <c r="AY244" i="1"/>
  <c r="AY243" i="1" s="1"/>
  <c r="AX244" i="1"/>
  <c r="AX243" i="1" s="1"/>
  <c r="AV244" i="1"/>
  <c r="AU244" i="1"/>
  <c r="AQ244" i="1"/>
  <c r="AN244" i="1"/>
  <c r="AK244" i="1"/>
  <c r="AH244" i="1"/>
  <c r="AE244" i="1"/>
  <c r="AB244" i="1"/>
  <c r="Y244" i="1"/>
  <c r="V244" i="1"/>
  <c r="S244" i="1"/>
  <c r="P244" i="1"/>
  <c r="M244" i="1"/>
  <c r="J244" i="1"/>
  <c r="BK243" i="1"/>
  <c r="AV243" i="1"/>
  <c r="AH243" i="1"/>
  <c r="AE243" i="1"/>
  <c r="S243" i="1"/>
  <c r="P243" i="1"/>
  <c r="BN242" i="1"/>
  <c r="BM242" i="1"/>
  <c r="BL242" i="1"/>
  <c r="BK242" i="1"/>
  <c r="BK241" i="1"/>
  <c r="BK240" i="1"/>
  <c r="BL240" i="1" s="1"/>
  <c r="BH240" i="1"/>
  <c r="BG240" i="1"/>
  <c r="BE240" i="1"/>
  <c r="BD240" i="1"/>
  <c r="BB240" i="1"/>
  <c r="BA240" i="1"/>
  <c r="AY240" i="1"/>
  <c r="AX240" i="1"/>
  <c r="AV240" i="1"/>
  <c r="AU240" i="1"/>
  <c r="AQ240" i="1"/>
  <c r="AN240" i="1"/>
  <c r="AK240" i="1"/>
  <c r="AH240" i="1"/>
  <c r="AE240" i="1"/>
  <c r="AB240" i="1"/>
  <c r="Y240" i="1"/>
  <c r="V240" i="1"/>
  <c r="S240" i="1"/>
  <c r="BC240" i="1" s="1"/>
  <c r="P240" i="1"/>
  <c r="M240" i="1"/>
  <c r="J240" i="1"/>
  <c r="BM239" i="1"/>
  <c r="BK239" i="1"/>
  <c r="BH239" i="1"/>
  <c r="BG239" i="1"/>
  <c r="BE239" i="1"/>
  <c r="BD239" i="1"/>
  <c r="BB239" i="1"/>
  <c r="BA239" i="1"/>
  <c r="AY239" i="1"/>
  <c r="AX239" i="1"/>
  <c r="AV239" i="1"/>
  <c r="AU239" i="1"/>
  <c r="AQ239" i="1"/>
  <c r="AN239" i="1"/>
  <c r="AK239" i="1"/>
  <c r="AH239" i="1"/>
  <c r="AE239" i="1"/>
  <c r="AB239" i="1"/>
  <c r="Y239" i="1"/>
  <c r="V239" i="1"/>
  <c r="S239" i="1"/>
  <c r="P239" i="1"/>
  <c r="M239" i="1"/>
  <c r="J239" i="1"/>
  <c r="AZ239" i="1" s="1"/>
  <c r="BK238" i="1"/>
  <c r="BL238" i="1" s="1"/>
  <c r="BH238" i="1"/>
  <c r="BG238" i="1"/>
  <c r="BE238" i="1"/>
  <c r="BD238" i="1"/>
  <c r="BB238" i="1"/>
  <c r="BA238" i="1"/>
  <c r="AY238" i="1"/>
  <c r="AX238" i="1"/>
  <c r="AV238" i="1"/>
  <c r="AU238" i="1"/>
  <c r="AQ238" i="1"/>
  <c r="AN238" i="1"/>
  <c r="AK238" i="1"/>
  <c r="AH238" i="1"/>
  <c r="AE238" i="1"/>
  <c r="AB238" i="1"/>
  <c r="BF238" i="1" s="1"/>
  <c r="Y238" i="1"/>
  <c r="V238" i="1"/>
  <c r="S238" i="1"/>
  <c r="BC238" i="1" s="1"/>
  <c r="P238" i="1"/>
  <c r="M238" i="1"/>
  <c r="J238" i="1"/>
  <c r="BK237" i="1"/>
  <c r="BL237" i="1" s="1"/>
  <c r="BH237" i="1"/>
  <c r="BG237" i="1"/>
  <c r="BE237" i="1"/>
  <c r="BD237" i="1"/>
  <c r="BB237" i="1"/>
  <c r="BA237" i="1"/>
  <c r="AY237" i="1"/>
  <c r="AX237" i="1"/>
  <c r="AV237" i="1"/>
  <c r="AU237" i="1"/>
  <c r="AQ237" i="1"/>
  <c r="AN237" i="1"/>
  <c r="BI237" i="1" s="1"/>
  <c r="AK237" i="1"/>
  <c r="AH237" i="1"/>
  <c r="AE237" i="1"/>
  <c r="AB237" i="1"/>
  <c r="Y237" i="1"/>
  <c r="V237" i="1"/>
  <c r="S237" i="1"/>
  <c r="BC237" i="1" s="1"/>
  <c r="P237" i="1"/>
  <c r="M237" i="1"/>
  <c r="M226" i="1" s="1"/>
  <c r="J237" i="1"/>
  <c r="BK236" i="1"/>
  <c r="BL236" i="1" s="1"/>
  <c r="BH236" i="1"/>
  <c r="BG236" i="1"/>
  <c r="BE236" i="1"/>
  <c r="BD236" i="1"/>
  <c r="BB236" i="1"/>
  <c r="BA236" i="1"/>
  <c r="AY236" i="1"/>
  <c r="AX236" i="1"/>
  <c r="AV236" i="1"/>
  <c r="AU236" i="1"/>
  <c r="AQ236" i="1"/>
  <c r="AN236" i="1"/>
  <c r="AK236" i="1"/>
  <c r="AH236" i="1"/>
  <c r="AE236" i="1"/>
  <c r="AB236" i="1"/>
  <c r="Y236" i="1"/>
  <c r="V236" i="1"/>
  <c r="S236" i="1"/>
  <c r="BC236" i="1" s="1"/>
  <c r="P236" i="1"/>
  <c r="AZ236" i="1" s="1"/>
  <c r="M236" i="1"/>
  <c r="J236" i="1"/>
  <c r="BM236" i="1" s="1"/>
  <c r="BK235" i="1"/>
  <c r="BL235" i="1" s="1"/>
  <c r="BH235" i="1"/>
  <c r="BG235" i="1"/>
  <c r="BE235" i="1"/>
  <c r="BD235" i="1"/>
  <c r="BB235" i="1"/>
  <c r="BA235" i="1"/>
  <c r="AZ235" i="1"/>
  <c r="AY235" i="1"/>
  <c r="AX235" i="1"/>
  <c r="AV235" i="1"/>
  <c r="AU235" i="1"/>
  <c r="AQ235" i="1"/>
  <c r="AN235" i="1"/>
  <c r="AK235" i="1"/>
  <c r="BI235" i="1" s="1"/>
  <c r="AH235" i="1"/>
  <c r="AE235" i="1"/>
  <c r="AB235" i="1"/>
  <c r="Y235" i="1"/>
  <c r="V235" i="1"/>
  <c r="S235" i="1"/>
  <c r="P235" i="1"/>
  <c r="M235" i="1"/>
  <c r="BM235" i="1" s="1"/>
  <c r="J235" i="1"/>
  <c r="BK234" i="1"/>
  <c r="BH234" i="1"/>
  <c r="BG234" i="1"/>
  <c r="BE234" i="1"/>
  <c r="BD234" i="1"/>
  <c r="BB234" i="1"/>
  <c r="BA234" i="1"/>
  <c r="AY234" i="1"/>
  <c r="AX234" i="1"/>
  <c r="AV234" i="1"/>
  <c r="AU234" i="1"/>
  <c r="AQ234" i="1"/>
  <c r="AN234" i="1"/>
  <c r="AK234" i="1"/>
  <c r="BI234" i="1" s="1"/>
  <c r="AH234" i="1"/>
  <c r="AE234" i="1"/>
  <c r="AB234" i="1"/>
  <c r="BF234" i="1" s="1"/>
  <c r="Y234" i="1"/>
  <c r="V234" i="1"/>
  <c r="BC234" i="1" s="1"/>
  <c r="S234" i="1"/>
  <c r="P234" i="1"/>
  <c r="M234" i="1"/>
  <c r="J234" i="1"/>
  <c r="BK233" i="1"/>
  <c r="BH233" i="1"/>
  <c r="BG233" i="1"/>
  <c r="BE233" i="1"/>
  <c r="BD233" i="1"/>
  <c r="BB233" i="1"/>
  <c r="BA233" i="1"/>
  <c r="AY233" i="1"/>
  <c r="AX233" i="1"/>
  <c r="AV233" i="1"/>
  <c r="BL233" i="1" s="1"/>
  <c r="AU233" i="1"/>
  <c r="AQ233" i="1"/>
  <c r="AN233" i="1"/>
  <c r="AK233" i="1"/>
  <c r="BI233" i="1" s="1"/>
  <c r="AH233" i="1"/>
  <c r="AE233" i="1"/>
  <c r="AB233" i="1"/>
  <c r="BF233" i="1" s="1"/>
  <c r="Y233" i="1"/>
  <c r="V233" i="1"/>
  <c r="S233" i="1"/>
  <c r="P233" i="1"/>
  <c r="M233" i="1"/>
  <c r="J233" i="1"/>
  <c r="BK232" i="1"/>
  <c r="BL232" i="1" s="1"/>
  <c r="BH232" i="1"/>
  <c r="BG232" i="1"/>
  <c r="BE232" i="1"/>
  <c r="BD232" i="1"/>
  <c r="BB232" i="1"/>
  <c r="BA232" i="1"/>
  <c r="AY232" i="1"/>
  <c r="AX232" i="1"/>
  <c r="AV232" i="1"/>
  <c r="AU232" i="1"/>
  <c r="AQ232" i="1"/>
  <c r="AN232" i="1"/>
  <c r="AK232" i="1"/>
  <c r="BI232" i="1" s="1"/>
  <c r="AH232" i="1"/>
  <c r="AE232" i="1"/>
  <c r="AB232" i="1"/>
  <c r="BF232" i="1" s="1"/>
  <c r="Y232" i="1"/>
  <c r="V232" i="1"/>
  <c r="S232" i="1"/>
  <c r="P232" i="1"/>
  <c r="M232" i="1"/>
  <c r="J232" i="1"/>
  <c r="BK231" i="1"/>
  <c r="BL231" i="1" s="1"/>
  <c r="BH231" i="1"/>
  <c r="BG231" i="1"/>
  <c r="BE231" i="1"/>
  <c r="BD231" i="1"/>
  <c r="BC231" i="1"/>
  <c r="BB231" i="1"/>
  <c r="BA231" i="1"/>
  <c r="AY231" i="1"/>
  <c r="AX231" i="1"/>
  <c r="AV231" i="1"/>
  <c r="AU231" i="1"/>
  <c r="AQ231" i="1"/>
  <c r="AN231" i="1"/>
  <c r="AK231" i="1"/>
  <c r="AH231" i="1"/>
  <c r="AE231" i="1"/>
  <c r="AB231" i="1"/>
  <c r="BF231" i="1" s="1"/>
  <c r="Y231" i="1"/>
  <c r="V231" i="1"/>
  <c r="S231" i="1"/>
  <c r="P231" i="1"/>
  <c r="M231" i="1"/>
  <c r="J231" i="1"/>
  <c r="BK230" i="1"/>
  <c r="BL230" i="1" s="1"/>
  <c r="BH230" i="1"/>
  <c r="BG230" i="1"/>
  <c r="BE230" i="1"/>
  <c r="BD230" i="1"/>
  <c r="BB230" i="1"/>
  <c r="BA230" i="1"/>
  <c r="AY230" i="1"/>
  <c r="AX230" i="1"/>
  <c r="AV230" i="1"/>
  <c r="AU230" i="1"/>
  <c r="AQ230" i="1"/>
  <c r="AN230" i="1"/>
  <c r="AK230" i="1"/>
  <c r="AH230" i="1"/>
  <c r="AE230" i="1"/>
  <c r="AB230" i="1"/>
  <c r="Y230" i="1"/>
  <c r="V230" i="1"/>
  <c r="S230" i="1"/>
  <c r="P230" i="1"/>
  <c r="M230" i="1"/>
  <c r="J230" i="1"/>
  <c r="AZ230" i="1" s="1"/>
  <c r="BK229" i="1"/>
  <c r="BL229" i="1" s="1"/>
  <c r="BH229" i="1"/>
  <c r="BG229" i="1"/>
  <c r="BE229" i="1"/>
  <c r="BD229" i="1"/>
  <c r="BB229" i="1"/>
  <c r="BA229" i="1"/>
  <c r="AY229" i="1"/>
  <c r="AX229" i="1"/>
  <c r="AV229" i="1"/>
  <c r="AU229" i="1"/>
  <c r="AQ229" i="1"/>
  <c r="AN229" i="1"/>
  <c r="AK229" i="1"/>
  <c r="BI229" i="1" s="1"/>
  <c r="AH229" i="1"/>
  <c r="AE229" i="1"/>
  <c r="AB229" i="1"/>
  <c r="BF229" i="1" s="1"/>
  <c r="Y229" i="1"/>
  <c r="V229" i="1"/>
  <c r="S229" i="1"/>
  <c r="BC229" i="1" s="1"/>
  <c r="P229" i="1"/>
  <c r="M229" i="1"/>
  <c r="J229" i="1"/>
  <c r="AZ229" i="1" s="1"/>
  <c r="BK228" i="1"/>
  <c r="BH228" i="1"/>
  <c r="BG228" i="1"/>
  <c r="BE228" i="1"/>
  <c r="BD228" i="1"/>
  <c r="BB228" i="1"/>
  <c r="BA228" i="1"/>
  <c r="AY228" i="1"/>
  <c r="AX228" i="1"/>
  <c r="AV228" i="1"/>
  <c r="AU228" i="1"/>
  <c r="AQ228" i="1"/>
  <c r="AN228" i="1"/>
  <c r="AK228" i="1"/>
  <c r="BI228" i="1" s="1"/>
  <c r="AH228" i="1"/>
  <c r="AE228" i="1"/>
  <c r="AB228" i="1"/>
  <c r="Y228" i="1"/>
  <c r="V228" i="1"/>
  <c r="S228" i="1"/>
  <c r="P228" i="1"/>
  <c r="M228" i="1"/>
  <c r="J228" i="1"/>
  <c r="BK227" i="1"/>
  <c r="BH227" i="1"/>
  <c r="BG227" i="1"/>
  <c r="BG226" i="1" s="1"/>
  <c r="BE227" i="1"/>
  <c r="BD227" i="1"/>
  <c r="BB227" i="1"/>
  <c r="BA227" i="1"/>
  <c r="AY227" i="1"/>
  <c r="AX227" i="1"/>
  <c r="AV227" i="1"/>
  <c r="AU227" i="1"/>
  <c r="AQ227" i="1"/>
  <c r="AN227" i="1"/>
  <c r="AK227" i="1"/>
  <c r="BI227" i="1" s="1"/>
  <c r="AH227" i="1"/>
  <c r="AE227" i="1"/>
  <c r="AB227" i="1"/>
  <c r="BF227" i="1" s="1"/>
  <c r="Y227" i="1"/>
  <c r="V227" i="1"/>
  <c r="S227" i="1"/>
  <c r="P227" i="1"/>
  <c r="M227" i="1"/>
  <c r="J227" i="1"/>
  <c r="BK226" i="1"/>
  <c r="BM225" i="1"/>
  <c r="BN225" i="1" s="1"/>
  <c r="BL225" i="1"/>
  <c r="BK225" i="1"/>
  <c r="BK224" i="1"/>
  <c r="BK223" i="1"/>
  <c r="BL223" i="1" s="1"/>
  <c r="BH223" i="1"/>
  <c r="BG223" i="1"/>
  <c r="BE223" i="1"/>
  <c r="BD223" i="1"/>
  <c r="BB223" i="1"/>
  <c r="BA223" i="1"/>
  <c r="AY223" i="1"/>
  <c r="AX223" i="1"/>
  <c r="AV223" i="1"/>
  <c r="AU223" i="1"/>
  <c r="AQ223" i="1"/>
  <c r="AN223" i="1"/>
  <c r="AK223" i="1"/>
  <c r="BI223" i="1" s="1"/>
  <c r="AH223" i="1"/>
  <c r="AE223" i="1"/>
  <c r="AB223" i="1"/>
  <c r="BF223" i="1" s="1"/>
  <c r="Y223" i="1"/>
  <c r="V223" i="1"/>
  <c r="S223" i="1"/>
  <c r="P223" i="1"/>
  <c r="M223" i="1"/>
  <c r="J223" i="1"/>
  <c r="BK222" i="1"/>
  <c r="BL222" i="1" s="1"/>
  <c r="BH222" i="1"/>
  <c r="BG222" i="1"/>
  <c r="BE222" i="1"/>
  <c r="BD222" i="1"/>
  <c r="BC222" i="1"/>
  <c r="BB222" i="1"/>
  <c r="BA222" i="1"/>
  <c r="AY222" i="1"/>
  <c r="AX222" i="1"/>
  <c r="AV222" i="1"/>
  <c r="AU222" i="1"/>
  <c r="AQ222" i="1"/>
  <c r="AN222" i="1"/>
  <c r="AK222" i="1"/>
  <c r="AH222" i="1"/>
  <c r="AE222" i="1"/>
  <c r="AB222" i="1"/>
  <c r="BF222" i="1" s="1"/>
  <c r="Y222" i="1"/>
  <c r="V222" i="1"/>
  <c r="S222" i="1"/>
  <c r="P222" i="1"/>
  <c r="M222" i="1"/>
  <c r="J222" i="1"/>
  <c r="BK221" i="1"/>
  <c r="BL221" i="1" s="1"/>
  <c r="BH221" i="1"/>
  <c r="BG221" i="1"/>
  <c r="BE221" i="1"/>
  <c r="BD221" i="1"/>
  <c r="BB221" i="1"/>
  <c r="BA221" i="1"/>
  <c r="AY221" i="1"/>
  <c r="AX221" i="1"/>
  <c r="AV221" i="1"/>
  <c r="AU221" i="1"/>
  <c r="AQ221" i="1"/>
  <c r="AN221" i="1"/>
  <c r="AK221" i="1"/>
  <c r="BI221" i="1" s="1"/>
  <c r="AH221" i="1"/>
  <c r="AE221" i="1"/>
  <c r="AB221" i="1"/>
  <c r="BF221" i="1" s="1"/>
  <c r="Y221" i="1"/>
  <c r="V221" i="1"/>
  <c r="S221" i="1"/>
  <c r="P221" i="1"/>
  <c r="M221" i="1"/>
  <c r="J221" i="1"/>
  <c r="AZ221" i="1" s="1"/>
  <c r="BK220" i="1"/>
  <c r="BL220" i="1" s="1"/>
  <c r="BH220" i="1"/>
  <c r="BG220" i="1"/>
  <c r="BE220" i="1"/>
  <c r="BD220" i="1"/>
  <c r="BB220" i="1"/>
  <c r="BA220" i="1"/>
  <c r="AY220" i="1"/>
  <c r="AX220" i="1"/>
  <c r="AV220" i="1"/>
  <c r="AU220" i="1"/>
  <c r="AQ220" i="1"/>
  <c r="AN220" i="1"/>
  <c r="AK220" i="1"/>
  <c r="BI220" i="1" s="1"/>
  <c r="AH220" i="1"/>
  <c r="AE220" i="1"/>
  <c r="AB220" i="1"/>
  <c r="Y220" i="1"/>
  <c r="V220" i="1"/>
  <c r="S220" i="1"/>
  <c r="P220" i="1"/>
  <c r="M220" i="1"/>
  <c r="J220" i="1"/>
  <c r="AZ220" i="1" s="1"/>
  <c r="BK219" i="1"/>
  <c r="BL219" i="1" s="1"/>
  <c r="BH219" i="1"/>
  <c r="BG219" i="1"/>
  <c r="BE219" i="1"/>
  <c r="BD219" i="1"/>
  <c r="BB219" i="1"/>
  <c r="BA219" i="1"/>
  <c r="AY219" i="1"/>
  <c r="AX219" i="1"/>
  <c r="AV219" i="1"/>
  <c r="AU219" i="1"/>
  <c r="AQ219" i="1"/>
  <c r="AN219" i="1"/>
  <c r="AK219" i="1"/>
  <c r="BI219" i="1" s="1"/>
  <c r="AH219" i="1"/>
  <c r="AE219" i="1"/>
  <c r="AB219" i="1"/>
  <c r="Y219" i="1"/>
  <c r="V219" i="1"/>
  <c r="S219" i="1"/>
  <c r="P219" i="1"/>
  <c r="M219" i="1"/>
  <c r="J219" i="1"/>
  <c r="BK218" i="1"/>
  <c r="BL218" i="1" s="1"/>
  <c r="BH218" i="1"/>
  <c r="BG218" i="1"/>
  <c r="BE218" i="1"/>
  <c r="BD218" i="1"/>
  <c r="BB218" i="1"/>
  <c r="BA218" i="1"/>
  <c r="AY218" i="1"/>
  <c r="AX218" i="1"/>
  <c r="AV218" i="1"/>
  <c r="AU218" i="1"/>
  <c r="AQ218" i="1"/>
  <c r="AN218" i="1"/>
  <c r="AK218" i="1"/>
  <c r="BI218" i="1" s="1"/>
  <c r="AH218" i="1"/>
  <c r="AE218" i="1"/>
  <c r="BF218" i="1" s="1"/>
  <c r="AB218" i="1"/>
  <c r="Y218" i="1"/>
  <c r="V218" i="1"/>
  <c r="S218" i="1"/>
  <c r="BC218" i="1" s="1"/>
  <c r="P218" i="1"/>
  <c r="M218" i="1"/>
  <c r="J218" i="1"/>
  <c r="BK217" i="1"/>
  <c r="BH217" i="1"/>
  <c r="BG217" i="1"/>
  <c r="BE217" i="1"/>
  <c r="BE216" i="1" s="1"/>
  <c r="BD217" i="1"/>
  <c r="BB217" i="1"/>
  <c r="BA217" i="1"/>
  <c r="AY217" i="1"/>
  <c r="AX217" i="1"/>
  <c r="AV217" i="1"/>
  <c r="AU217" i="1"/>
  <c r="AQ217" i="1"/>
  <c r="AN217" i="1"/>
  <c r="AK217" i="1"/>
  <c r="BI217" i="1" s="1"/>
  <c r="AH217" i="1"/>
  <c r="AE217" i="1"/>
  <c r="BF217" i="1" s="1"/>
  <c r="AB217" i="1"/>
  <c r="Y217" i="1"/>
  <c r="V217" i="1"/>
  <c r="S217" i="1"/>
  <c r="P217" i="1"/>
  <c r="P216" i="1" s="1"/>
  <c r="M217" i="1"/>
  <c r="M216" i="1" s="1"/>
  <c r="J217" i="1"/>
  <c r="BK216" i="1"/>
  <c r="AQ216" i="1"/>
  <c r="AN216" i="1"/>
  <c r="BN215" i="1"/>
  <c r="BM215" i="1"/>
  <c r="BK215" i="1"/>
  <c r="BL215" i="1" s="1"/>
  <c r="BK214" i="1"/>
  <c r="BK213" i="1"/>
  <c r="BK212" i="1"/>
  <c r="BL212" i="1" s="1"/>
  <c r="BH212" i="1"/>
  <c r="BG212" i="1"/>
  <c r="BE212" i="1"/>
  <c r="BD212" i="1"/>
  <c r="BB212" i="1"/>
  <c r="BA212" i="1"/>
  <c r="AY212" i="1"/>
  <c r="AX212" i="1"/>
  <c r="AV212" i="1"/>
  <c r="AU212" i="1"/>
  <c r="AQ212" i="1"/>
  <c r="AN212" i="1"/>
  <c r="AK212" i="1"/>
  <c r="BI212" i="1" s="1"/>
  <c r="AH212" i="1"/>
  <c r="AE212" i="1"/>
  <c r="AB212" i="1"/>
  <c r="Y212" i="1"/>
  <c r="V212" i="1"/>
  <c r="S212" i="1"/>
  <c r="P212" i="1"/>
  <c r="M212" i="1"/>
  <c r="J212" i="1"/>
  <c r="AZ212" i="1" s="1"/>
  <c r="BK211" i="1"/>
  <c r="BL211" i="1" s="1"/>
  <c r="BH211" i="1"/>
  <c r="BG211" i="1"/>
  <c r="BE211" i="1"/>
  <c r="BD211" i="1"/>
  <c r="BB211" i="1"/>
  <c r="BA211" i="1"/>
  <c r="AY211" i="1"/>
  <c r="AX211" i="1"/>
  <c r="AV211" i="1"/>
  <c r="AU211" i="1"/>
  <c r="AQ211" i="1"/>
  <c r="AN211" i="1"/>
  <c r="AK211" i="1"/>
  <c r="BI211" i="1" s="1"/>
  <c r="AH211" i="1"/>
  <c r="AE211" i="1"/>
  <c r="AB211" i="1"/>
  <c r="Y211" i="1"/>
  <c r="V211" i="1"/>
  <c r="S211" i="1"/>
  <c r="P211" i="1"/>
  <c r="M211" i="1"/>
  <c r="J211" i="1"/>
  <c r="BM211" i="1" s="1"/>
  <c r="BK210" i="1"/>
  <c r="BL210" i="1" s="1"/>
  <c r="BH210" i="1"/>
  <c r="BG210" i="1"/>
  <c r="BE210" i="1"/>
  <c r="BD210" i="1"/>
  <c r="BB210" i="1"/>
  <c r="BA210" i="1"/>
  <c r="AY210" i="1"/>
  <c r="AX210" i="1"/>
  <c r="AV210" i="1"/>
  <c r="AU210" i="1"/>
  <c r="AQ210" i="1"/>
  <c r="AN210" i="1"/>
  <c r="AK210" i="1"/>
  <c r="BI210" i="1" s="1"/>
  <c r="AH210" i="1"/>
  <c r="AE210" i="1"/>
  <c r="AB210" i="1"/>
  <c r="Y210" i="1"/>
  <c r="V210" i="1"/>
  <c r="S210" i="1"/>
  <c r="P210" i="1"/>
  <c r="M210" i="1"/>
  <c r="J210" i="1"/>
  <c r="BK209" i="1"/>
  <c r="BL209" i="1" s="1"/>
  <c r="BH209" i="1"/>
  <c r="BG209" i="1"/>
  <c r="BE209" i="1"/>
  <c r="BD209" i="1"/>
  <c r="BB209" i="1"/>
  <c r="BA209" i="1"/>
  <c r="AY209" i="1"/>
  <c r="AX209" i="1"/>
  <c r="AV209" i="1"/>
  <c r="AU209" i="1"/>
  <c r="AQ209" i="1"/>
  <c r="AN209" i="1"/>
  <c r="AK209" i="1"/>
  <c r="BI209" i="1" s="1"/>
  <c r="AH209" i="1"/>
  <c r="BF209" i="1" s="1"/>
  <c r="AE209" i="1"/>
  <c r="AB209" i="1"/>
  <c r="Y209" i="1"/>
  <c r="V209" i="1"/>
  <c r="S209" i="1"/>
  <c r="BC209" i="1" s="1"/>
  <c r="P209" i="1"/>
  <c r="M209" i="1"/>
  <c r="J209" i="1"/>
  <c r="BK208" i="1"/>
  <c r="BL208" i="1" s="1"/>
  <c r="BH208" i="1"/>
  <c r="BG208" i="1"/>
  <c r="BE208" i="1"/>
  <c r="BD208" i="1"/>
  <c r="BB208" i="1"/>
  <c r="BA208" i="1"/>
  <c r="AY208" i="1"/>
  <c r="AX208" i="1"/>
  <c r="AV208" i="1"/>
  <c r="AU208" i="1"/>
  <c r="AQ208" i="1"/>
  <c r="AN208" i="1"/>
  <c r="AK208" i="1"/>
  <c r="AH208" i="1"/>
  <c r="AE208" i="1"/>
  <c r="AB208" i="1"/>
  <c r="Y208" i="1"/>
  <c r="V208" i="1"/>
  <c r="S208" i="1"/>
  <c r="BC208" i="1" s="1"/>
  <c r="P208" i="1"/>
  <c r="M208" i="1"/>
  <c r="J208" i="1"/>
  <c r="BK207" i="1"/>
  <c r="BL207" i="1" s="1"/>
  <c r="BH207" i="1"/>
  <c r="BG207" i="1"/>
  <c r="BE207" i="1"/>
  <c r="BD207" i="1"/>
  <c r="BB207" i="1"/>
  <c r="BA207" i="1"/>
  <c r="AY207" i="1"/>
  <c r="AX207" i="1"/>
  <c r="AV207" i="1"/>
  <c r="AU207" i="1"/>
  <c r="AQ207" i="1"/>
  <c r="AN207" i="1"/>
  <c r="AK207" i="1"/>
  <c r="AH207" i="1"/>
  <c r="AE207" i="1"/>
  <c r="AB207" i="1"/>
  <c r="Y207" i="1"/>
  <c r="V207" i="1"/>
  <c r="S207" i="1"/>
  <c r="BC207" i="1" s="1"/>
  <c r="P207" i="1"/>
  <c r="M207" i="1"/>
  <c r="J207" i="1"/>
  <c r="BM207" i="1" s="1"/>
  <c r="BK206" i="1"/>
  <c r="BL206" i="1" s="1"/>
  <c r="BH206" i="1"/>
  <c r="BG206" i="1"/>
  <c r="BE206" i="1"/>
  <c r="BD206" i="1"/>
  <c r="BB206" i="1"/>
  <c r="BA206" i="1"/>
  <c r="AY206" i="1"/>
  <c r="AY205" i="1" s="1"/>
  <c r="AX206" i="1"/>
  <c r="AV206" i="1"/>
  <c r="AU206" i="1"/>
  <c r="AQ206" i="1"/>
  <c r="AN206" i="1"/>
  <c r="AK206" i="1"/>
  <c r="AH206" i="1"/>
  <c r="AE206" i="1"/>
  <c r="AE205" i="1" s="1"/>
  <c r="AB206" i="1"/>
  <c r="AB205" i="1" s="1"/>
  <c r="Y206" i="1"/>
  <c r="Y205" i="1" s="1"/>
  <c r="V206" i="1"/>
  <c r="V205" i="1" s="1"/>
  <c r="S206" i="1"/>
  <c r="BC206" i="1" s="1"/>
  <c r="P206" i="1"/>
  <c r="M206" i="1"/>
  <c r="J206" i="1"/>
  <c r="AZ206" i="1" s="1"/>
  <c r="BK205" i="1"/>
  <c r="BK204" i="1"/>
  <c r="BH204" i="1"/>
  <c r="BG204" i="1"/>
  <c r="BE204" i="1"/>
  <c r="BD204" i="1"/>
  <c r="BB204" i="1"/>
  <c r="BA204" i="1"/>
  <c r="AY204" i="1"/>
  <c r="AX204" i="1"/>
  <c r="AV204" i="1"/>
  <c r="AU204" i="1"/>
  <c r="AQ204" i="1"/>
  <c r="AN204" i="1"/>
  <c r="AK204" i="1"/>
  <c r="BI204" i="1" s="1"/>
  <c r="AH204" i="1"/>
  <c r="AE204" i="1"/>
  <c r="AB204" i="1"/>
  <c r="Y204" i="1"/>
  <c r="V204" i="1"/>
  <c r="S204" i="1"/>
  <c r="P204" i="1"/>
  <c r="M204" i="1"/>
  <c r="J204" i="1"/>
  <c r="BM204" i="1" s="1"/>
  <c r="BK203" i="1"/>
  <c r="BH203" i="1"/>
  <c r="BG203" i="1"/>
  <c r="BE203" i="1"/>
  <c r="BD203" i="1"/>
  <c r="BB203" i="1"/>
  <c r="BA203" i="1"/>
  <c r="AY203" i="1"/>
  <c r="AX203" i="1"/>
  <c r="AV203" i="1"/>
  <c r="AU203" i="1"/>
  <c r="AQ203" i="1"/>
  <c r="AN203" i="1"/>
  <c r="AK203" i="1"/>
  <c r="BI203" i="1" s="1"/>
  <c r="AH203" i="1"/>
  <c r="AE203" i="1"/>
  <c r="AB203" i="1"/>
  <c r="BF203" i="1" s="1"/>
  <c r="Y203" i="1"/>
  <c r="V203" i="1"/>
  <c r="S203" i="1"/>
  <c r="P203" i="1"/>
  <c r="M203" i="1"/>
  <c r="J203" i="1"/>
  <c r="BK202" i="1"/>
  <c r="BH202" i="1"/>
  <c r="BG202" i="1"/>
  <c r="BE202" i="1"/>
  <c r="BD202" i="1"/>
  <c r="BB202" i="1"/>
  <c r="BA202" i="1"/>
  <c r="AY202" i="1"/>
  <c r="AX202" i="1"/>
  <c r="AV202" i="1"/>
  <c r="AU202" i="1"/>
  <c r="AQ202" i="1"/>
  <c r="AN202" i="1"/>
  <c r="AK202" i="1"/>
  <c r="AH202" i="1"/>
  <c r="AE202" i="1"/>
  <c r="AB202" i="1"/>
  <c r="BF202" i="1" s="1"/>
  <c r="Y202" i="1"/>
  <c r="V202" i="1"/>
  <c r="S202" i="1"/>
  <c r="BC202" i="1" s="1"/>
  <c r="P202" i="1"/>
  <c r="M202" i="1"/>
  <c r="J202" i="1"/>
  <c r="BK201" i="1"/>
  <c r="BL201" i="1" s="1"/>
  <c r="BH201" i="1"/>
  <c r="BG201" i="1"/>
  <c r="BE201" i="1"/>
  <c r="BD201" i="1"/>
  <c r="BB201" i="1"/>
  <c r="BB199" i="1" s="1"/>
  <c r="BA201" i="1"/>
  <c r="AY201" i="1"/>
  <c r="AX201" i="1"/>
  <c r="AV201" i="1"/>
  <c r="AU201" i="1"/>
  <c r="AQ201" i="1"/>
  <c r="AN201" i="1"/>
  <c r="AK201" i="1"/>
  <c r="BI201" i="1" s="1"/>
  <c r="AH201" i="1"/>
  <c r="AE201" i="1"/>
  <c r="AB201" i="1"/>
  <c r="BF201" i="1" s="1"/>
  <c r="Y201" i="1"/>
  <c r="V201" i="1"/>
  <c r="S201" i="1"/>
  <c r="BC201" i="1" s="1"/>
  <c r="P201" i="1"/>
  <c r="M201" i="1"/>
  <c r="J201" i="1"/>
  <c r="BK200" i="1"/>
  <c r="BL200" i="1" s="1"/>
  <c r="BH200" i="1"/>
  <c r="BG200" i="1"/>
  <c r="BE200" i="1"/>
  <c r="BD200" i="1"/>
  <c r="BB200" i="1"/>
  <c r="BA200" i="1"/>
  <c r="AZ200" i="1"/>
  <c r="AY200" i="1"/>
  <c r="AY199" i="1" s="1"/>
  <c r="AX200" i="1"/>
  <c r="AX199" i="1" s="1"/>
  <c r="AV200" i="1"/>
  <c r="AU200" i="1"/>
  <c r="AQ200" i="1"/>
  <c r="AN200" i="1"/>
  <c r="AK200" i="1"/>
  <c r="AH200" i="1"/>
  <c r="AH199" i="1" s="1"/>
  <c r="AE200" i="1"/>
  <c r="AE199" i="1" s="1"/>
  <c r="AB200" i="1"/>
  <c r="AB199" i="1" s="1"/>
  <c r="Y200" i="1"/>
  <c r="Y199" i="1" s="1"/>
  <c r="V200" i="1"/>
  <c r="V199" i="1" s="1"/>
  <c r="S200" i="1"/>
  <c r="BC200" i="1" s="1"/>
  <c r="P200" i="1"/>
  <c r="M200" i="1"/>
  <c r="J200" i="1"/>
  <c r="BM200" i="1" s="1"/>
  <c r="BK199" i="1"/>
  <c r="BK198" i="1"/>
  <c r="BH198" i="1"/>
  <c r="BG198" i="1"/>
  <c r="BE198" i="1"/>
  <c r="BD198" i="1"/>
  <c r="BB198" i="1"/>
  <c r="BA198" i="1"/>
  <c r="AY198" i="1"/>
  <c r="AX198" i="1"/>
  <c r="AV198" i="1"/>
  <c r="AU198" i="1"/>
  <c r="AQ198" i="1"/>
  <c r="AN198" i="1"/>
  <c r="AK198" i="1"/>
  <c r="BI198" i="1" s="1"/>
  <c r="AH198" i="1"/>
  <c r="AE198" i="1"/>
  <c r="AB198" i="1"/>
  <c r="Y198" i="1"/>
  <c r="V198" i="1"/>
  <c r="S198" i="1"/>
  <c r="P198" i="1"/>
  <c r="M198" i="1"/>
  <c r="J198" i="1"/>
  <c r="BK197" i="1"/>
  <c r="BL197" i="1" s="1"/>
  <c r="BH197" i="1"/>
  <c r="BG197" i="1"/>
  <c r="BE197" i="1"/>
  <c r="BD197" i="1"/>
  <c r="BB197" i="1"/>
  <c r="BA197" i="1"/>
  <c r="AY197" i="1"/>
  <c r="AX197" i="1"/>
  <c r="AV197" i="1"/>
  <c r="AU197" i="1"/>
  <c r="AQ197" i="1"/>
  <c r="AN197" i="1"/>
  <c r="AK197" i="1"/>
  <c r="BI197" i="1" s="1"/>
  <c r="AH197" i="1"/>
  <c r="AE197" i="1"/>
  <c r="AB197" i="1"/>
  <c r="BF197" i="1" s="1"/>
  <c r="Y197" i="1"/>
  <c r="V197" i="1"/>
  <c r="S197" i="1"/>
  <c r="P197" i="1"/>
  <c r="M197" i="1"/>
  <c r="J197" i="1"/>
  <c r="BM197" i="1" s="1"/>
  <c r="BK196" i="1"/>
  <c r="BL196" i="1" s="1"/>
  <c r="BH196" i="1"/>
  <c r="BG196" i="1"/>
  <c r="BE196" i="1"/>
  <c r="BD196" i="1"/>
  <c r="BB196" i="1"/>
  <c r="BA196" i="1"/>
  <c r="AY196" i="1"/>
  <c r="AX196" i="1"/>
  <c r="AV196" i="1"/>
  <c r="AU196" i="1"/>
  <c r="AQ196" i="1"/>
  <c r="AN196" i="1"/>
  <c r="AK196" i="1"/>
  <c r="AH196" i="1"/>
  <c r="AE196" i="1"/>
  <c r="AB196" i="1"/>
  <c r="BF196" i="1" s="1"/>
  <c r="Y196" i="1"/>
  <c r="V196" i="1"/>
  <c r="S196" i="1"/>
  <c r="BC196" i="1" s="1"/>
  <c r="P196" i="1"/>
  <c r="M196" i="1"/>
  <c r="J196" i="1"/>
  <c r="BK195" i="1"/>
  <c r="BL195" i="1" s="1"/>
  <c r="BH195" i="1"/>
  <c r="BG195" i="1"/>
  <c r="BE195" i="1"/>
  <c r="BD195" i="1"/>
  <c r="BB195" i="1"/>
  <c r="BA195" i="1"/>
  <c r="AY195" i="1"/>
  <c r="AX195" i="1"/>
  <c r="AV195" i="1"/>
  <c r="AU195" i="1"/>
  <c r="AQ195" i="1"/>
  <c r="AN195" i="1"/>
  <c r="AK195" i="1"/>
  <c r="AH195" i="1"/>
  <c r="AE195" i="1"/>
  <c r="AB195" i="1"/>
  <c r="Y195" i="1"/>
  <c r="V195" i="1"/>
  <c r="S195" i="1"/>
  <c r="BC195" i="1" s="1"/>
  <c r="P195" i="1"/>
  <c r="M195" i="1"/>
  <c r="J195" i="1"/>
  <c r="BM195" i="1" s="1"/>
  <c r="BL194" i="1"/>
  <c r="BK194" i="1"/>
  <c r="BH194" i="1"/>
  <c r="BG194" i="1"/>
  <c r="BE194" i="1"/>
  <c r="BD194" i="1"/>
  <c r="BB194" i="1"/>
  <c r="BA194" i="1"/>
  <c r="AY194" i="1"/>
  <c r="AX194" i="1"/>
  <c r="AV194" i="1"/>
  <c r="AU194" i="1"/>
  <c r="AU182" i="1" s="1"/>
  <c r="AQ194" i="1"/>
  <c r="AN194" i="1"/>
  <c r="AK194" i="1"/>
  <c r="BI194" i="1" s="1"/>
  <c r="AH194" i="1"/>
  <c r="AE194" i="1"/>
  <c r="AB194" i="1"/>
  <c r="Y194" i="1"/>
  <c r="V194" i="1"/>
  <c r="S194" i="1"/>
  <c r="BC194" i="1" s="1"/>
  <c r="P194" i="1"/>
  <c r="M194" i="1"/>
  <c r="J194" i="1"/>
  <c r="BM194" i="1" s="1"/>
  <c r="BK193" i="1"/>
  <c r="BH193" i="1"/>
  <c r="BG193" i="1"/>
  <c r="BE193" i="1"/>
  <c r="BD193" i="1"/>
  <c r="BB193" i="1"/>
  <c r="BA193" i="1"/>
  <c r="AY193" i="1"/>
  <c r="AX193" i="1"/>
  <c r="AV193" i="1"/>
  <c r="AU193" i="1"/>
  <c r="AQ193" i="1"/>
  <c r="AN193" i="1"/>
  <c r="BI193" i="1" s="1"/>
  <c r="AK193" i="1"/>
  <c r="AH193" i="1"/>
  <c r="AE193" i="1"/>
  <c r="AB193" i="1"/>
  <c r="BF193" i="1" s="1"/>
  <c r="Y193" i="1"/>
  <c r="V193" i="1"/>
  <c r="S193" i="1"/>
  <c r="BC193" i="1" s="1"/>
  <c r="P193" i="1"/>
  <c r="M193" i="1"/>
  <c r="J193" i="1"/>
  <c r="BK192" i="1"/>
  <c r="BH192" i="1"/>
  <c r="BG192" i="1"/>
  <c r="BE192" i="1"/>
  <c r="BD192" i="1"/>
  <c r="BB192" i="1"/>
  <c r="BA192" i="1"/>
  <c r="AY192" i="1"/>
  <c r="AX192" i="1"/>
  <c r="AV192" i="1"/>
  <c r="AU192" i="1"/>
  <c r="AQ192" i="1"/>
  <c r="AN192" i="1"/>
  <c r="AK192" i="1"/>
  <c r="AH192" i="1"/>
  <c r="AE192" i="1"/>
  <c r="AB192" i="1"/>
  <c r="BF192" i="1" s="1"/>
  <c r="Y192" i="1"/>
  <c r="V192" i="1"/>
  <c r="S192" i="1"/>
  <c r="BC192" i="1" s="1"/>
  <c r="P192" i="1"/>
  <c r="M192" i="1"/>
  <c r="J192" i="1"/>
  <c r="BK191" i="1"/>
  <c r="BL191" i="1" s="1"/>
  <c r="BH191" i="1"/>
  <c r="BG191" i="1"/>
  <c r="BE191" i="1"/>
  <c r="BD191" i="1"/>
  <c r="BB191" i="1"/>
  <c r="BA191" i="1"/>
  <c r="AY191" i="1"/>
  <c r="AX191" i="1"/>
  <c r="AV191" i="1"/>
  <c r="AU191" i="1"/>
  <c r="AQ191" i="1"/>
  <c r="AN191" i="1"/>
  <c r="AK191" i="1"/>
  <c r="AH191" i="1"/>
  <c r="AE191" i="1"/>
  <c r="AB191" i="1"/>
  <c r="BF191" i="1" s="1"/>
  <c r="Y191" i="1"/>
  <c r="V191" i="1"/>
  <c r="S191" i="1"/>
  <c r="BC191" i="1" s="1"/>
  <c r="P191" i="1"/>
  <c r="AW191" i="1" s="1"/>
  <c r="M191" i="1"/>
  <c r="J191" i="1"/>
  <c r="BL190" i="1"/>
  <c r="BK190" i="1"/>
  <c r="BH190" i="1"/>
  <c r="BG190" i="1"/>
  <c r="BE190" i="1"/>
  <c r="BD190" i="1"/>
  <c r="BB190" i="1"/>
  <c r="BA190" i="1"/>
  <c r="AY190" i="1"/>
  <c r="AX190" i="1"/>
  <c r="AV190" i="1"/>
  <c r="AU190" i="1"/>
  <c r="BK189" i="1"/>
  <c r="BL189" i="1" s="1"/>
  <c r="BH189" i="1"/>
  <c r="BG189" i="1"/>
  <c r="BE189" i="1"/>
  <c r="BD189" i="1"/>
  <c r="BB189" i="1"/>
  <c r="BA189" i="1"/>
  <c r="AY189" i="1"/>
  <c r="AX189" i="1"/>
  <c r="AV189" i="1"/>
  <c r="AU189" i="1"/>
  <c r="AQ189" i="1"/>
  <c r="AN189" i="1"/>
  <c r="AK189" i="1"/>
  <c r="BI189" i="1" s="1"/>
  <c r="AH189" i="1"/>
  <c r="AE189" i="1"/>
  <c r="AB189" i="1"/>
  <c r="BF189" i="1" s="1"/>
  <c r="Y189" i="1"/>
  <c r="V189" i="1"/>
  <c r="S189" i="1"/>
  <c r="BC189" i="1" s="1"/>
  <c r="P189" i="1"/>
  <c r="M189" i="1"/>
  <c r="J189" i="1"/>
  <c r="BK188" i="1"/>
  <c r="BH188" i="1"/>
  <c r="BG188" i="1"/>
  <c r="BE188" i="1"/>
  <c r="BD188" i="1"/>
  <c r="BB188" i="1"/>
  <c r="BA188" i="1"/>
  <c r="AY188" i="1"/>
  <c r="AX188" i="1"/>
  <c r="AV188" i="1"/>
  <c r="BL188" i="1" s="1"/>
  <c r="AU188" i="1"/>
  <c r="BK187" i="1"/>
  <c r="BH187" i="1"/>
  <c r="BG187" i="1"/>
  <c r="BE187" i="1"/>
  <c r="BD187" i="1"/>
  <c r="BB187" i="1"/>
  <c r="BA187" i="1"/>
  <c r="AY187" i="1"/>
  <c r="AX187" i="1"/>
  <c r="AV187" i="1"/>
  <c r="AU187" i="1"/>
  <c r="AQ187" i="1"/>
  <c r="AN187" i="1"/>
  <c r="AK187" i="1"/>
  <c r="AH187" i="1"/>
  <c r="AE187" i="1"/>
  <c r="AB187" i="1"/>
  <c r="BF187" i="1" s="1"/>
  <c r="Y187" i="1"/>
  <c r="V187" i="1"/>
  <c r="S187" i="1"/>
  <c r="BC187" i="1" s="1"/>
  <c r="P187" i="1"/>
  <c r="M187" i="1"/>
  <c r="J187" i="1"/>
  <c r="BK186" i="1"/>
  <c r="BL186" i="1" s="1"/>
  <c r="BH186" i="1"/>
  <c r="BG186" i="1"/>
  <c r="BE186" i="1"/>
  <c r="BD186" i="1"/>
  <c r="BB186" i="1"/>
  <c r="BA186" i="1"/>
  <c r="AY186" i="1"/>
  <c r="AX186" i="1"/>
  <c r="AV186" i="1"/>
  <c r="AV182" i="1" s="1"/>
  <c r="BL182" i="1" s="1"/>
  <c r="AU186" i="1"/>
  <c r="BK185" i="1"/>
  <c r="BL185" i="1" s="1"/>
  <c r="BH185" i="1"/>
  <c r="BG185" i="1"/>
  <c r="BE185" i="1"/>
  <c r="BD185" i="1"/>
  <c r="BB185" i="1"/>
  <c r="BA185" i="1"/>
  <c r="AY185" i="1"/>
  <c r="AX185" i="1"/>
  <c r="AV185" i="1"/>
  <c r="AU185" i="1"/>
  <c r="AQ185" i="1"/>
  <c r="AN185" i="1"/>
  <c r="AK185" i="1"/>
  <c r="AH185" i="1"/>
  <c r="AE185" i="1"/>
  <c r="AB185" i="1"/>
  <c r="BF185" i="1" s="1"/>
  <c r="Y185" i="1"/>
  <c r="V185" i="1"/>
  <c r="S185" i="1"/>
  <c r="BC185" i="1" s="1"/>
  <c r="P185" i="1"/>
  <c r="AW185" i="1" s="1"/>
  <c r="M185" i="1"/>
  <c r="J185" i="1"/>
  <c r="BK184" i="1"/>
  <c r="BL184" i="1" s="1"/>
  <c r="BH184" i="1"/>
  <c r="BG184" i="1"/>
  <c r="BE184" i="1"/>
  <c r="BD184" i="1"/>
  <c r="BB184" i="1"/>
  <c r="BA184" i="1"/>
  <c r="AZ184" i="1"/>
  <c r="AY184" i="1"/>
  <c r="AX184" i="1"/>
  <c r="AV184" i="1"/>
  <c r="AU184" i="1"/>
  <c r="AQ184" i="1"/>
  <c r="AN184" i="1"/>
  <c r="AK184" i="1"/>
  <c r="BI184" i="1" s="1"/>
  <c r="AH184" i="1"/>
  <c r="AE184" i="1"/>
  <c r="AB184" i="1"/>
  <c r="BF184" i="1" s="1"/>
  <c r="Y184" i="1"/>
  <c r="V184" i="1"/>
  <c r="S184" i="1"/>
  <c r="P184" i="1"/>
  <c r="M184" i="1"/>
  <c r="BM184" i="1" s="1"/>
  <c r="J184" i="1"/>
  <c r="BK183" i="1"/>
  <c r="BH183" i="1"/>
  <c r="BH182" i="1" s="1"/>
  <c r="BG183" i="1"/>
  <c r="BG182" i="1" s="1"/>
  <c r="BE183" i="1"/>
  <c r="BE182" i="1" s="1"/>
  <c r="BD183" i="1"/>
  <c r="BB183" i="1"/>
  <c r="BB182" i="1" s="1"/>
  <c r="BA183" i="1"/>
  <c r="BA182" i="1" s="1"/>
  <c r="AY183" i="1"/>
  <c r="AX183" i="1"/>
  <c r="AV183" i="1"/>
  <c r="AU183" i="1"/>
  <c r="AQ183" i="1"/>
  <c r="AN183" i="1"/>
  <c r="AK183" i="1"/>
  <c r="BI183" i="1" s="1"/>
  <c r="AH183" i="1"/>
  <c r="AE183" i="1"/>
  <c r="AB183" i="1"/>
  <c r="Y183" i="1"/>
  <c r="V183" i="1"/>
  <c r="S183" i="1"/>
  <c r="P183" i="1"/>
  <c r="M183" i="1"/>
  <c r="J183" i="1"/>
  <c r="BK182" i="1"/>
  <c r="BK181" i="1"/>
  <c r="BL181" i="1" s="1"/>
  <c r="BH181" i="1"/>
  <c r="BG181" i="1"/>
  <c r="BE181" i="1"/>
  <c r="BD181" i="1"/>
  <c r="BB181" i="1"/>
  <c r="BA181" i="1"/>
  <c r="AY181" i="1"/>
  <c r="AX181" i="1"/>
  <c r="AV181" i="1"/>
  <c r="AU181" i="1"/>
  <c r="BK180" i="1"/>
  <c r="BL180" i="1" s="1"/>
  <c r="BH180" i="1"/>
  <c r="BH179" i="1" s="1"/>
  <c r="BG180" i="1"/>
  <c r="BG179" i="1" s="1"/>
  <c r="BE180" i="1"/>
  <c r="BE179" i="1" s="1"/>
  <c r="BD180" i="1"/>
  <c r="BD179" i="1" s="1"/>
  <c r="BB180" i="1"/>
  <c r="BB179" i="1" s="1"/>
  <c r="BA180" i="1"/>
  <c r="BA179" i="1" s="1"/>
  <c r="AY180" i="1"/>
  <c r="AY179" i="1" s="1"/>
  <c r="AX180" i="1"/>
  <c r="AX179" i="1" s="1"/>
  <c r="AV180" i="1"/>
  <c r="AV179" i="1" s="1"/>
  <c r="AU180" i="1"/>
  <c r="AU179" i="1" s="1"/>
  <c r="AQ180" i="1"/>
  <c r="AQ179" i="1" s="1"/>
  <c r="AN180" i="1"/>
  <c r="AN181" i="1" s="1"/>
  <c r="AK180" i="1"/>
  <c r="AH180" i="1"/>
  <c r="AH179" i="1" s="1"/>
  <c r="AE180" i="1"/>
  <c r="AE181" i="1" s="1"/>
  <c r="AB180" i="1"/>
  <c r="BF180" i="1" s="1"/>
  <c r="BF179" i="1" s="1"/>
  <c r="Y180" i="1"/>
  <c r="Y181" i="1" s="1"/>
  <c r="V180" i="1"/>
  <c r="V181" i="1" s="1"/>
  <c r="S180" i="1"/>
  <c r="BC180" i="1" s="1"/>
  <c r="BC179" i="1" s="1"/>
  <c r="P180" i="1"/>
  <c r="P181" i="1" s="1"/>
  <c r="M180" i="1"/>
  <c r="M179" i="1" s="1"/>
  <c r="J180" i="1"/>
  <c r="AP179" i="1"/>
  <c r="AM179" i="1"/>
  <c r="AK179" i="1"/>
  <c r="AJ179" i="1"/>
  <c r="AG179" i="1"/>
  <c r="AD179" i="1"/>
  <c r="AA179" i="1"/>
  <c r="X179" i="1"/>
  <c r="U179" i="1"/>
  <c r="R179" i="1"/>
  <c r="O179" i="1"/>
  <c r="L179" i="1"/>
  <c r="I179" i="1"/>
  <c r="BM178" i="1"/>
  <c r="BK178" i="1"/>
  <c r="BL178" i="1" s="1"/>
  <c r="BM177" i="1"/>
  <c r="BK177" i="1"/>
  <c r="BL177" i="1" s="1"/>
  <c r="BM176" i="1"/>
  <c r="BL176" i="1"/>
  <c r="BK176" i="1"/>
  <c r="BM175" i="1"/>
  <c r="BK175" i="1"/>
  <c r="BL175" i="1" s="1"/>
  <c r="BM174" i="1"/>
  <c r="BK174" i="1"/>
  <c r="BL174" i="1" s="1"/>
  <c r="BM173" i="1"/>
  <c r="BL173" i="1"/>
  <c r="BK173" i="1"/>
  <c r="BM172" i="1"/>
  <c r="BK172" i="1"/>
  <c r="BL172" i="1" s="1"/>
  <c r="BM171" i="1"/>
  <c r="BK171" i="1"/>
  <c r="BL171" i="1" s="1"/>
  <c r="BM170" i="1"/>
  <c r="BK170" i="1"/>
  <c r="BL170" i="1" s="1"/>
  <c r="BM169" i="1"/>
  <c r="BK169" i="1"/>
  <c r="BL169" i="1" s="1"/>
  <c r="BM168" i="1"/>
  <c r="BK168" i="1"/>
  <c r="BL168" i="1" s="1"/>
  <c r="BM167" i="1"/>
  <c r="BL167" i="1"/>
  <c r="BK167" i="1"/>
  <c r="BM166" i="1"/>
  <c r="BK166" i="1"/>
  <c r="BL166" i="1" s="1"/>
  <c r="BM165" i="1"/>
  <c r="BK165" i="1"/>
  <c r="BL165" i="1" s="1"/>
  <c r="BM164" i="1"/>
  <c r="BL164" i="1"/>
  <c r="BK164" i="1"/>
  <c r="BM163" i="1"/>
  <c r="BK163" i="1"/>
  <c r="BL163" i="1" s="1"/>
  <c r="BM162" i="1"/>
  <c r="BK162" i="1"/>
  <c r="BL162" i="1" s="1"/>
  <c r="BM161" i="1"/>
  <c r="BL161" i="1"/>
  <c r="BK161" i="1"/>
  <c r="BM160" i="1"/>
  <c r="BK160" i="1"/>
  <c r="BL160" i="1" s="1"/>
  <c r="BM159" i="1"/>
  <c r="BK159" i="1"/>
  <c r="BL159" i="1" s="1"/>
  <c r="BM158" i="1"/>
  <c r="BL158" i="1"/>
  <c r="BK158" i="1"/>
  <c r="BM157" i="1"/>
  <c r="BK157" i="1"/>
  <c r="BL157" i="1" s="1"/>
  <c r="BM156" i="1"/>
  <c r="BK156" i="1"/>
  <c r="BL156" i="1" s="1"/>
  <c r="BM155" i="1"/>
  <c r="BK155" i="1"/>
  <c r="BL155" i="1" s="1"/>
  <c r="BM154" i="1"/>
  <c r="BK154" i="1"/>
  <c r="BL154" i="1" s="1"/>
  <c r="BM153" i="1"/>
  <c r="BK153" i="1"/>
  <c r="BL153" i="1" s="1"/>
  <c r="BM152" i="1"/>
  <c r="BL152" i="1"/>
  <c r="BK152" i="1"/>
  <c r="BM151" i="1"/>
  <c r="BK151" i="1"/>
  <c r="BL151" i="1" s="1"/>
  <c r="BM150" i="1"/>
  <c r="BL150" i="1"/>
  <c r="BK150" i="1"/>
  <c r="BM149" i="1"/>
  <c r="BL149" i="1"/>
  <c r="BK149" i="1"/>
  <c r="BM148" i="1"/>
  <c r="BK148" i="1"/>
  <c r="BL148" i="1" s="1"/>
  <c r="BM147" i="1"/>
  <c r="BK147" i="1"/>
  <c r="BL147" i="1" s="1"/>
  <c r="BM146" i="1"/>
  <c r="BK146" i="1"/>
  <c r="BL146" i="1" s="1"/>
  <c r="BM145" i="1"/>
  <c r="BK145" i="1"/>
  <c r="BL145" i="1" s="1"/>
  <c r="BM144" i="1"/>
  <c r="BK144" i="1"/>
  <c r="BL144" i="1" s="1"/>
  <c r="BM143" i="1"/>
  <c r="BK143" i="1"/>
  <c r="BL143" i="1" s="1"/>
  <c r="BM142" i="1"/>
  <c r="BK142" i="1"/>
  <c r="BL142" i="1" s="1"/>
  <c r="BM141" i="1"/>
  <c r="BK141" i="1"/>
  <c r="BL141" i="1" s="1"/>
  <c r="BM140" i="1"/>
  <c r="BL140" i="1"/>
  <c r="BK140" i="1"/>
  <c r="BM139" i="1"/>
  <c r="BK139" i="1"/>
  <c r="BL139" i="1" s="1"/>
  <c r="BM138" i="1"/>
  <c r="BK138" i="1"/>
  <c r="BL138" i="1" s="1"/>
  <c r="BM137" i="1"/>
  <c r="BL137" i="1"/>
  <c r="BK137" i="1"/>
  <c r="BM136" i="1"/>
  <c r="BK136" i="1"/>
  <c r="BL136" i="1" s="1"/>
  <c r="BM135" i="1"/>
  <c r="BK135" i="1"/>
  <c r="BL135" i="1" s="1"/>
  <c r="BM134" i="1"/>
  <c r="BK134" i="1"/>
  <c r="BL134" i="1" s="1"/>
  <c r="BM133" i="1"/>
  <c r="BK133" i="1"/>
  <c r="BL133" i="1" s="1"/>
  <c r="BM132" i="1"/>
  <c r="BK132" i="1"/>
  <c r="BL132" i="1" s="1"/>
  <c r="BM131" i="1"/>
  <c r="BL131" i="1"/>
  <c r="BK131" i="1"/>
  <c r="BM130" i="1"/>
  <c r="BK130" i="1"/>
  <c r="BL130" i="1" s="1"/>
  <c r="BM129" i="1"/>
  <c r="BK129" i="1"/>
  <c r="BL129" i="1" s="1"/>
  <c r="BM128" i="1"/>
  <c r="BL128" i="1"/>
  <c r="BK128" i="1"/>
  <c r="BM127" i="1"/>
  <c r="BK127" i="1"/>
  <c r="BL127" i="1" s="1"/>
  <c r="BM126" i="1"/>
  <c r="BK126" i="1"/>
  <c r="BL126" i="1" s="1"/>
  <c r="BM125" i="1"/>
  <c r="BL125" i="1"/>
  <c r="BK125" i="1"/>
  <c r="BM124" i="1"/>
  <c r="BK124" i="1"/>
  <c r="BL124" i="1" s="1"/>
  <c r="BM123" i="1"/>
  <c r="BK123" i="1"/>
  <c r="BL123" i="1" s="1"/>
  <c r="BM122" i="1"/>
  <c r="BL122" i="1"/>
  <c r="BK122" i="1"/>
  <c r="BM121" i="1"/>
  <c r="BK121" i="1"/>
  <c r="BL121" i="1" s="1"/>
  <c r="BK120" i="1"/>
  <c r="BL120" i="1" s="1"/>
  <c r="BI120" i="1"/>
  <c r="BH120" i="1"/>
  <c r="BG120" i="1"/>
  <c r="BE120" i="1"/>
  <c r="BD120" i="1"/>
  <c r="BB120" i="1"/>
  <c r="BA120" i="1"/>
  <c r="AY120" i="1"/>
  <c r="AX120" i="1"/>
  <c r="AV120" i="1"/>
  <c r="AU120" i="1"/>
  <c r="AQ120" i="1"/>
  <c r="AN120" i="1"/>
  <c r="AK120" i="1"/>
  <c r="AH120" i="1"/>
  <c r="AE120" i="1"/>
  <c r="AB120" i="1"/>
  <c r="BF120" i="1" s="1"/>
  <c r="Y120" i="1"/>
  <c r="V120" i="1"/>
  <c r="S120" i="1"/>
  <c r="BC120" i="1" s="1"/>
  <c r="P120" i="1"/>
  <c r="M120" i="1"/>
  <c r="J120" i="1"/>
  <c r="BM120" i="1" s="1"/>
  <c r="BK119" i="1"/>
  <c r="BH119" i="1"/>
  <c r="BG119" i="1"/>
  <c r="BE119" i="1"/>
  <c r="BD119" i="1"/>
  <c r="BB119" i="1"/>
  <c r="BA119" i="1"/>
  <c r="AY119" i="1"/>
  <c r="AX119" i="1"/>
  <c r="AV119" i="1"/>
  <c r="AU119" i="1"/>
  <c r="AQ119" i="1"/>
  <c r="AN119" i="1"/>
  <c r="AK119" i="1"/>
  <c r="BI119" i="1" s="1"/>
  <c r="AH119" i="1"/>
  <c r="AE119" i="1"/>
  <c r="BF119" i="1" s="1"/>
  <c r="AB119" i="1"/>
  <c r="Y119" i="1"/>
  <c r="V119" i="1"/>
  <c r="V107" i="1" s="1"/>
  <c r="S119" i="1"/>
  <c r="P119" i="1"/>
  <c r="M119" i="1"/>
  <c r="J119" i="1"/>
  <c r="BK118" i="1"/>
  <c r="BL118" i="1" s="1"/>
  <c r="BH118" i="1"/>
  <c r="BG118" i="1"/>
  <c r="BE118" i="1"/>
  <c r="BD118" i="1"/>
  <c r="BB118" i="1"/>
  <c r="BA118" i="1"/>
  <c r="AY118" i="1"/>
  <c r="AX118" i="1"/>
  <c r="AV118" i="1"/>
  <c r="AU118" i="1"/>
  <c r="AQ118" i="1"/>
  <c r="AN118" i="1"/>
  <c r="AK118" i="1"/>
  <c r="AH118" i="1"/>
  <c r="AE118" i="1"/>
  <c r="AB118" i="1"/>
  <c r="BF118" i="1" s="1"/>
  <c r="Y118" i="1"/>
  <c r="V118" i="1"/>
  <c r="S118" i="1"/>
  <c r="P118" i="1"/>
  <c r="M118" i="1"/>
  <c r="J118" i="1"/>
  <c r="BK117" i="1"/>
  <c r="BL117" i="1" s="1"/>
  <c r="BH117" i="1"/>
  <c r="BG117" i="1"/>
  <c r="BE117" i="1"/>
  <c r="BD117" i="1"/>
  <c r="BB117" i="1"/>
  <c r="BA117" i="1"/>
  <c r="AY117" i="1"/>
  <c r="AX117" i="1"/>
  <c r="AV117" i="1"/>
  <c r="AU117" i="1"/>
  <c r="AQ117" i="1"/>
  <c r="AN117" i="1"/>
  <c r="AK117" i="1"/>
  <c r="AH117" i="1"/>
  <c r="AE117" i="1"/>
  <c r="AB117" i="1"/>
  <c r="Y117" i="1"/>
  <c r="V117" i="1"/>
  <c r="S117" i="1"/>
  <c r="P117" i="1"/>
  <c r="M117" i="1"/>
  <c r="J117" i="1"/>
  <c r="BK116" i="1"/>
  <c r="BL116" i="1" s="1"/>
  <c r="BH116" i="1"/>
  <c r="BG116" i="1"/>
  <c r="BE116" i="1"/>
  <c r="BD116" i="1"/>
  <c r="BB116" i="1"/>
  <c r="BA116" i="1"/>
  <c r="AY116" i="1"/>
  <c r="AX116" i="1"/>
  <c r="AV116" i="1"/>
  <c r="AU116" i="1"/>
  <c r="AQ116" i="1"/>
  <c r="AN116" i="1"/>
  <c r="AK116" i="1"/>
  <c r="AH116" i="1"/>
  <c r="AE116" i="1"/>
  <c r="AB116" i="1"/>
  <c r="Y116" i="1"/>
  <c r="V116" i="1"/>
  <c r="BC116" i="1" s="1"/>
  <c r="S116" i="1"/>
  <c r="P116" i="1"/>
  <c r="M116" i="1"/>
  <c r="J116" i="1"/>
  <c r="BK115" i="1"/>
  <c r="BL115" i="1" s="1"/>
  <c r="BH115" i="1"/>
  <c r="BG115" i="1"/>
  <c r="BE115" i="1"/>
  <c r="BD115" i="1"/>
  <c r="BB115" i="1"/>
  <c r="BA115" i="1"/>
  <c r="AY115" i="1"/>
  <c r="AX115" i="1"/>
  <c r="AV115" i="1"/>
  <c r="AU115" i="1"/>
  <c r="AQ115" i="1"/>
  <c r="AN115" i="1"/>
  <c r="AK115" i="1"/>
  <c r="AH115" i="1"/>
  <c r="AE115" i="1"/>
  <c r="AB115" i="1"/>
  <c r="Y115" i="1"/>
  <c r="V115" i="1"/>
  <c r="S115" i="1"/>
  <c r="BC115" i="1" s="1"/>
  <c r="P115" i="1"/>
  <c r="BM115" i="1" s="1"/>
  <c r="M115" i="1"/>
  <c r="J115" i="1"/>
  <c r="BL114" i="1"/>
  <c r="BK114" i="1"/>
  <c r="BH114" i="1"/>
  <c r="BG114" i="1"/>
  <c r="BE114" i="1"/>
  <c r="BD114" i="1"/>
  <c r="BB114" i="1"/>
  <c r="BA114" i="1"/>
  <c r="AY114" i="1"/>
  <c r="AX114" i="1"/>
  <c r="AV114" i="1"/>
  <c r="AU114" i="1"/>
  <c r="AQ114" i="1"/>
  <c r="AN114" i="1"/>
  <c r="AK114" i="1"/>
  <c r="BI114" i="1" s="1"/>
  <c r="AH114" i="1"/>
  <c r="AE114" i="1"/>
  <c r="AB114" i="1"/>
  <c r="Y114" i="1"/>
  <c r="V114" i="1"/>
  <c r="S114" i="1"/>
  <c r="P114" i="1"/>
  <c r="M114" i="1"/>
  <c r="J114" i="1"/>
  <c r="BK113" i="1"/>
  <c r="BH113" i="1"/>
  <c r="BG113" i="1"/>
  <c r="BE113" i="1"/>
  <c r="BD113" i="1"/>
  <c r="BB113" i="1"/>
  <c r="BA113" i="1"/>
  <c r="AY113" i="1"/>
  <c r="AX113" i="1"/>
  <c r="AV113" i="1"/>
  <c r="AU113" i="1"/>
  <c r="AQ113" i="1"/>
  <c r="AN113" i="1"/>
  <c r="AK113" i="1"/>
  <c r="BI113" i="1" s="1"/>
  <c r="AH113" i="1"/>
  <c r="AE113" i="1"/>
  <c r="AB113" i="1"/>
  <c r="Y113" i="1"/>
  <c r="V113" i="1"/>
  <c r="S113" i="1"/>
  <c r="P113" i="1"/>
  <c r="M113" i="1"/>
  <c r="J113" i="1"/>
  <c r="BK112" i="1"/>
  <c r="BH112" i="1"/>
  <c r="BG112" i="1"/>
  <c r="BE112" i="1"/>
  <c r="BD112" i="1"/>
  <c r="BB112" i="1"/>
  <c r="BA112" i="1"/>
  <c r="AY112" i="1"/>
  <c r="AX112" i="1"/>
  <c r="AV112" i="1"/>
  <c r="AU112" i="1"/>
  <c r="AQ112" i="1"/>
  <c r="AN112" i="1"/>
  <c r="BI112" i="1" s="1"/>
  <c r="AK112" i="1"/>
  <c r="AH112" i="1"/>
  <c r="AE112" i="1"/>
  <c r="AB112" i="1"/>
  <c r="BF112" i="1" s="1"/>
  <c r="Y112" i="1"/>
  <c r="V112" i="1"/>
  <c r="S112" i="1"/>
  <c r="P112" i="1"/>
  <c r="M112" i="1"/>
  <c r="J112" i="1"/>
  <c r="AW112" i="1" s="1"/>
  <c r="BK111" i="1"/>
  <c r="BH111" i="1"/>
  <c r="BG111" i="1"/>
  <c r="BE111" i="1"/>
  <c r="BD111" i="1"/>
  <c r="BC111" i="1"/>
  <c r="BB111" i="1"/>
  <c r="BA111" i="1"/>
  <c r="AY111" i="1"/>
  <c r="AX111" i="1"/>
  <c r="AV111" i="1"/>
  <c r="AU111" i="1"/>
  <c r="AQ111" i="1"/>
  <c r="AN111" i="1"/>
  <c r="AK111" i="1"/>
  <c r="AH111" i="1"/>
  <c r="AE111" i="1"/>
  <c r="AB111" i="1"/>
  <c r="Y111" i="1"/>
  <c r="V111" i="1"/>
  <c r="S111" i="1"/>
  <c r="P111" i="1"/>
  <c r="M111" i="1"/>
  <c r="J111" i="1"/>
  <c r="AZ111" i="1" s="1"/>
  <c r="BK110" i="1"/>
  <c r="BH110" i="1"/>
  <c r="BG110" i="1"/>
  <c r="BE110" i="1"/>
  <c r="BD110" i="1"/>
  <c r="BB110" i="1"/>
  <c r="BA110" i="1"/>
  <c r="AY110" i="1"/>
  <c r="AX110" i="1"/>
  <c r="AV110" i="1"/>
  <c r="BL110" i="1" s="1"/>
  <c r="AU110" i="1"/>
  <c r="AQ110" i="1"/>
  <c r="BI110" i="1" s="1"/>
  <c r="AN110" i="1"/>
  <c r="AK110" i="1"/>
  <c r="AH110" i="1"/>
  <c r="AE110" i="1"/>
  <c r="AB110" i="1"/>
  <c r="BF110" i="1" s="1"/>
  <c r="Y110" i="1"/>
  <c r="V110" i="1"/>
  <c r="S110" i="1"/>
  <c r="P110" i="1"/>
  <c r="M110" i="1"/>
  <c r="J110" i="1"/>
  <c r="BK109" i="1"/>
  <c r="BH109" i="1"/>
  <c r="BG109" i="1"/>
  <c r="BE109" i="1"/>
  <c r="BD109" i="1"/>
  <c r="BB109" i="1"/>
  <c r="BA109" i="1"/>
  <c r="AY109" i="1"/>
  <c r="AX109" i="1"/>
  <c r="AV109" i="1"/>
  <c r="AU109" i="1"/>
  <c r="AQ109" i="1"/>
  <c r="AN109" i="1"/>
  <c r="AK109" i="1"/>
  <c r="AH109" i="1"/>
  <c r="AE109" i="1"/>
  <c r="AB109" i="1"/>
  <c r="BF109" i="1" s="1"/>
  <c r="Y109" i="1"/>
  <c r="V109" i="1"/>
  <c r="S109" i="1"/>
  <c r="BC109" i="1" s="1"/>
  <c r="P109" i="1"/>
  <c r="M109" i="1"/>
  <c r="J109" i="1"/>
  <c r="BK108" i="1"/>
  <c r="BH108" i="1"/>
  <c r="BG108" i="1"/>
  <c r="BE108" i="1"/>
  <c r="BE107" i="1" s="1"/>
  <c r="BD108" i="1"/>
  <c r="BB108" i="1"/>
  <c r="BB107" i="1" s="1"/>
  <c r="BA108" i="1"/>
  <c r="AY108" i="1"/>
  <c r="AY107" i="1" s="1"/>
  <c r="AX108" i="1"/>
  <c r="AV108" i="1"/>
  <c r="AU108" i="1"/>
  <c r="AQ108" i="1"/>
  <c r="AN108" i="1"/>
  <c r="AK108" i="1"/>
  <c r="AH108" i="1"/>
  <c r="AE108" i="1"/>
  <c r="AB108" i="1"/>
  <c r="AB107" i="1" s="1"/>
  <c r="Y108" i="1"/>
  <c r="V108" i="1"/>
  <c r="S108" i="1"/>
  <c r="S107" i="1" s="1"/>
  <c r="P108" i="1"/>
  <c r="M108" i="1"/>
  <c r="J108" i="1"/>
  <c r="AZ108" i="1" s="1"/>
  <c r="BK107" i="1"/>
  <c r="AV107" i="1"/>
  <c r="BK106" i="1"/>
  <c r="BM105" i="1"/>
  <c r="BN105" i="1" s="1"/>
  <c r="BL105" i="1"/>
  <c r="BK105" i="1"/>
  <c r="BM104" i="1"/>
  <c r="BN104" i="1" s="1"/>
  <c r="BL104" i="1"/>
  <c r="BK104" i="1"/>
  <c r="BK103" i="1"/>
  <c r="BN101" i="1"/>
  <c r="BM101" i="1"/>
  <c r="BK101" i="1"/>
  <c r="BL101" i="1" s="1"/>
  <c r="BN100" i="1"/>
  <c r="BM100" i="1"/>
  <c r="BL100" i="1"/>
  <c r="BK100" i="1"/>
  <c r="BK99" i="1"/>
  <c r="BK98" i="1"/>
  <c r="BL98" i="1" s="1"/>
  <c r="BH98" i="1"/>
  <c r="BG98" i="1"/>
  <c r="BE98" i="1"/>
  <c r="BD98" i="1"/>
  <c r="BB98" i="1"/>
  <c r="BA98" i="1"/>
  <c r="AY98" i="1"/>
  <c r="AX98" i="1"/>
  <c r="AV98" i="1"/>
  <c r="AU98" i="1"/>
  <c r="AQ98" i="1"/>
  <c r="AN98" i="1"/>
  <c r="AK98" i="1"/>
  <c r="BI98" i="1" s="1"/>
  <c r="AH98" i="1"/>
  <c r="AE98" i="1"/>
  <c r="AB98" i="1"/>
  <c r="BF98" i="1" s="1"/>
  <c r="Y98" i="1"/>
  <c r="V98" i="1"/>
  <c r="S98" i="1"/>
  <c r="BC98" i="1" s="1"/>
  <c r="P98" i="1"/>
  <c r="M98" i="1"/>
  <c r="J98" i="1"/>
  <c r="BK97" i="1"/>
  <c r="BH97" i="1"/>
  <c r="BG97" i="1"/>
  <c r="BE97" i="1"/>
  <c r="BD97" i="1"/>
  <c r="BB97" i="1"/>
  <c r="BA97" i="1"/>
  <c r="AY97" i="1"/>
  <c r="AY94" i="1" s="1"/>
  <c r="AX97" i="1"/>
  <c r="AV97" i="1"/>
  <c r="AU97" i="1"/>
  <c r="AQ97" i="1"/>
  <c r="AN97" i="1"/>
  <c r="AK97" i="1"/>
  <c r="BI97" i="1" s="1"/>
  <c r="AH97" i="1"/>
  <c r="AE97" i="1"/>
  <c r="AB97" i="1"/>
  <c r="BF97" i="1" s="1"/>
  <c r="Y97" i="1"/>
  <c r="V97" i="1"/>
  <c r="V94" i="1" s="1"/>
  <c r="S97" i="1"/>
  <c r="BC97" i="1" s="1"/>
  <c r="P97" i="1"/>
  <c r="M97" i="1"/>
  <c r="J97" i="1"/>
  <c r="BK96" i="1"/>
  <c r="BH96" i="1"/>
  <c r="BG96" i="1"/>
  <c r="BE96" i="1"/>
  <c r="BD96" i="1"/>
  <c r="BB96" i="1"/>
  <c r="BA96" i="1"/>
  <c r="AY96" i="1"/>
  <c r="AX96" i="1"/>
  <c r="AV96" i="1"/>
  <c r="BL96" i="1" s="1"/>
  <c r="AU96" i="1"/>
  <c r="AQ96" i="1"/>
  <c r="AN96" i="1"/>
  <c r="AK96" i="1"/>
  <c r="AH96" i="1"/>
  <c r="AE96" i="1"/>
  <c r="AB96" i="1"/>
  <c r="BF96" i="1" s="1"/>
  <c r="Y96" i="1"/>
  <c r="BC96" i="1" s="1"/>
  <c r="V96" i="1"/>
  <c r="S96" i="1"/>
  <c r="P96" i="1"/>
  <c r="M96" i="1"/>
  <c r="J96" i="1"/>
  <c r="BK95" i="1"/>
  <c r="BH95" i="1"/>
  <c r="BG95" i="1"/>
  <c r="BE95" i="1"/>
  <c r="BD95" i="1"/>
  <c r="BD94" i="1" s="1"/>
  <c r="BB95" i="1"/>
  <c r="BB94" i="1" s="1"/>
  <c r="BA95" i="1"/>
  <c r="AY95" i="1"/>
  <c r="AX95" i="1"/>
  <c r="AV95" i="1"/>
  <c r="AU95" i="1"/>
  <c r="AQ95" i="1"/>
  <c r="AQ94" i="1" s="1"/>
  <c r="AN95" i="1"/>
  <c r="AK95" i="1"/>
  <c r="BI95" i="1" s="1"/>
  <c r="AH95" i="1"/>
  <c r="AE95" i="1"/>
  <c r="AB95" i="1"/>
  <c r="BF95" i="1" s="1"/>
  <c r="Y95" i="1"/>
  <c r="Y94" i="1" s="1"/>
  <c r="V95" i="1"/>
  <c r="S95" i="1"/>
  <c r="P95" i="1"/>
  <c r="P94" i="1" s="1"/>
  <c r="M95" i="1"/>
  <c r="J95" i="1"/>
  <c r="BK94" i="1"/>
  <c r="AN94" i="1"/>
  <c r="AH94" i="1"/>
  <c r="AE94" i="1"/>
  <c r="BM93" i="1"/>
  <c r="BN93" i="1" s="1"/>
  <c r="BL93" i="1"/>
  <c r="BK93" i="1"/>
  <c r="BN92" i="1"/>
  <c r="BM92" i="1"/>
  <c r="BK92" i="1"/>
  <c r="BL92" i="1" s="1"/>
  <c r="BK91" i="1"/>
  <c r="BK90" i="1"/>
  <c r="BL90" i="1" s="1"/>
  <c r="BH90" i="1"/>
  <c r="BG90" i="1"/>
  <c r="BE90" i="1"/>
  <c r="BD90" i="1"/>
  <c r="BB90" i="1"/>
  <c r="BA90" i="1"/>
  <c r="AY90" i="1"/>
  <c r="AX90" i="1"/>
  <c r="AV90" i="1"/>
  <c r="AU90" i="1"/>
  <c r="AQ90" i="1"/>
  <c r="AN90" i="1"/>
  <c r="BI90" i="1" s="1"/>
  <c r="AK90" i="1"/>
  <c r="AH90" i="1"/>
  <c r="AE90" i="1"/>
  <c r="AB90" i="1"/>
  <c r="BF90" i="1" s="1"/>
  <c r="Y90" i="1"/>
  <c r="V90" i="1"/>
  <c r="S90" i="1"/>
  <c r="BC90" i="1" s="1"/>
  <c r="P90" i="1"/>
  <c r="M90" i="1"/>
  <c r="J90" i="1"/>
  <c r="BK89" i="1"/>
  <c r="BH89" i="1"/>
  <c r="BG89" i="1"/>
  <c r="BE89" i="1"/>
  <c r="BD89" i="1"/>
  <c r="BD88" i="1" s="1"/>
  <c r="BB89" i="1"/>
  <c r="BB88" i="1" s="1"/>
  <c r="BA89" i="1"/>
  <c r="BA88" i="1" s="1"/>
  <c r="AY89" i="1"/>
  <c r="AY88" i="1" s="1"/>
  <c r="AX89" i="1"/>
  <c r="AX88" i="1" s="1"/>
  <c r="AV89" i="1"/>
  <c r="AV88" i="1" s="1"/>
  <c r="AU89" i="1"/>
  <c r="AU88" i="1" s="1"/>
  <c r="AQ89" i="1"/>
  <c r="AQ88" i="1" s="1"/>
  <c r="AN89" i="1"/>
  <c r="AK89" i="1"/>
  <c r="AH89" i="1"/>
  <c r="AH88" i="1" s="1"/>
  <c r="AE89" i="1"/>
  <c r="AE88" i="1" s="1"/>
  <c r="AB89" i="1"/>
  <c r="AB88" i="1" s="1"/>
  <c r="Y89" i="1"/>
  <c r="Y88" i="1" s="1"/>
  <c r="V89" i="1"/>
  <c r="V88" i="1" s="1"/>
  <c r="S89" i="1"/>
  <c r="BC89" i="1" s="1"/>
  <c r="BC88" i="1" s="1"/>
  <c r="P89" i="1"/>
  <c r="M89" i="1"/>
  <c r="M88" i="1" s="1"/>
  <c r="J89" i="1"/>
  <c r="BH88" i="1"/>
  <c r="BG88" i="1"/>
  <c r="BE88" i="1"/>
  <c r="AP88" i="1"/>
  <c r="AN88" i="1"/>
  <c r="AM88" i="1"/>
  <c r="AK88" i="1"/>
  <c r="AJ88" i="1"/>
  <c r="AG88" i="1"/>
  <c r="AD88" i="1"/>
  <c r="AA88" i="1"/>
  <c r="X88" i="1"/>
  <c r="U88" i="1"/>
  <c r="S88" i="1"/>
  <c r="R88" i="1"/>
  <c r="O88" i="1"/>
  <c r="BM87" i="1"/>
  <c r="BN87" i="1" s="1"/>
  <c r="BK87" i="1"/>
  <c r="BL87" i="1" s="1"/>
  <c r="BK86" i="1"/>
  <c r="BK85" i="1"/>
  <c r="BK84" i="1"/>
  <c r="BL84" i="1" s="1"/>
  <c r="BH84" i="1"/>
  <c r="BG84" i="1"/>
  <c r="BE84" i="1"/>
  <c r="BD84" i="1"/>
  <c r="BB84" i="1"/>
  <c r="BA84" i="1"/>
  <c r="AY84" i="1"/>
  <c r="AX84" i="1"/>
  <c r="AV84" i="1"/>
  <c r="AU84" i="1"/>
  <c r="AQ84" i="1"/>
  <c r="AN84" i="1"/>
  <c r="AK84" i="1"/>
  <c r="BI84" i="1" s="1"/>
  <c r="AH84" i="1"/>
  <c r="AE84" i="1"/>
  <c r="AB84" i="1"/>
  <c r="Y84" i="1"/>
  <c r="V84" i="1"/>
  <c r="S84" i="1"/>
  <c r="P84" i="1"/>
  <c r="M84" i="1"/>
  <c r="J84" i="1"/>
  <c r="BK83" i="1"/>
  <c r="BH83" i="1"/>
  <c r="BG83" i="1"/>
  <c r="BE83" i="1"/>
  <c r="BE82" i="1" s="1"/>
  <c r="BD83" i="1"/>
  <c r="BD82" i="1" s="1"/>
  <c r="BB83" i="1"/>
  <c r="BB82" i="1" s="1"/>
  <c r="BA83" i="1"/>
  <c r="BA82" i="1" s="1"/>
  <c r="AY83" i="1"/>
  <c r="AX83" i="1"/>
  <c r="AV83" i="1"/>
  <c r="AU83" i="1"/>
  <c r="AU82" i="1" s="1"/>
  <c r="AQ83" i="1"/>
  <c r="AN83" i="1"/>
  <c r="AK83" i="1"/>
  <c r="BI83" i="1" s="1"/>
  <c r="AH83" i="1"/>
  <c r="AE83" i="1"/>
  <c r="AB83" i="1"/>
  <c r="BF83" i="1" s="1"/>
  <c r="Y83" i="1"/>
  <c r="V83" i="1"/>
  <c r="S83" i="1"/>
  <c r="P83" i="1"/>
  <c r="P82" i="1" s="1"/>
  <c r="M83" i="1"/>
  <c r="M82" i="1" s="1"/>
  <c r="J83" i="1"/>
  <c r="BK82" i="1"/>
  <c r="AY82" i="1"/>
  <c r="AQ82" i="1"/>
  <c r="AN82" i="1"/>
  <c r="AK82" i="1"/>
  <c r="AH82" i="1"/>
  <c r="AE82" i="1"/>
  <c r="AB82" i="1"/>
  <c r="Y82" i="1"/>
  <c r="V82" i="1"/>
  <c r="S82" i="1"/>
  <c r="J82" i="1"/>
  <c r="BK81" i="1"/>
  <c r="BL81" i="1" s="1"/>
  <c r="BH81" i="1"/>
  <c r="BG81" i="1"/>
  <c r="BE81" i="1"/>
  <c r="BD81" i="1"/>
  <c r="BC81" i="1"/>
  <c r="BB81" i="1"/>
  <c r="BA81" i="1"/>
  <c r="AY81" i="1"/>
  <c r="AX81" i="1"/>
  <c r="AV81" i="1"/>
  <c r="AU81" i="1"/>
  <c r="AQ81" i="1"/>
  <c r="AN81" i="1"/>
  <c r="AK81" i="1"/>
  <c r="AH81" i="1"/>
  <c r="AE81" i="1"/>
  <c r="AB81" i="1"/>
  <c r="BF81" i="1" s="1"/>
  <c r="Y81" i="1"/>
  <c r="V81" i="1"/>
  <c r="S81" i="1"/>
  <c r="P81" i="1"/>
  <c r="M81" i="1"/>
  <c r="J81" i="1"/>
  <c r="BK80" i="1"/>
  <c r="BL80" i="1" s="1"/>
  <c r="BH80" i="1"/>
  <c r="BG80" i="1"/>
  <c r="BE80" i="1"/>
  <c r="BD80" i="1"/>
  <c r="BB80" i="1"/>
  <c r="BA80" i="1"/>
  <c r="AY80" i="1"/>
  <c r="AX80" i="1"/>
  <c r="AV80" i="1"/>
  <c r="AU80" i="1"/>
  <c r="AQ80" i="1"/>
  <c r="AN80" i="1"/>
  <c r="AK80" i="1"/>
  <c r="BI80" i="1" s="1"/>
  <c r="AH80" i="1"/>
  <c r="AE80" i="1"/>
  <c r="AB80" i="1"/>
  <c r="Y80" i="1"/>
  <c r="V80" i="1"/>
  <c r="S80" i="1"/>
  <c r="BC80" i="1" s="1"/>
  <c r="P80" i="1"/>
  <c r="M80" i="1"/>
  <c r="J80" i="1"/>
  <c r="BK79" i="1"/>
  <c r="BL79" i="1" s="1"/>
  <c r="BH79" i="1"/>
  <c r="BG79" i="1"/>
  <c r="BE79" i="1"/>
  <c r="BD79" i="1"/>
  <c r="BB79" i="1"/>
  <c r="BA79" i="1"/>
  <c r="AY79" i="1"/>
  <c r="AX79" i="1"/>
  <c r="AV79" i="1"/>
  <c r="AU79" i="1"/>
  <c r="AQ79" i="1"/>
  <c r="AN79" i="1"/>
  <c r="BI79" i="1" s="1"/>
  <c r="AK79" i="1"/>
  <c r="AH79" i="1"/>
  <c r="AE79" i="1"/>
  <c r="AB79" i="1"/>
  <c r="Y79" i="1"/>
  <c r="V79" i="1"/>
  <c r="S79" i="1"/>
  <c r="P79" i="1"/>
  <c r="M79" i="1"/>
  <c r="J79" i="1"/>
  <c r="BM79" i="1" s="1"/>
  <c r="BK78" i="1"/>
  <c r="BL78" i="1" s="1"/>
  <c r="BH78" i="1"/>
  <c r="BG78" i="1"/>
  <c r="BE78" i="1"/>
  <c r="BE77" i="1" s="1"/>
  <c r="BD78" i="1"/>
  <c r="BB78" i="1"/>
  <c r="BA78" i="1"/>
  <c r="AY78" i="1"/>
  <c r="AX78" i="1"/>
  <c r="AX77" i="1" s="1"/>
  <c r="AV78" i="1"/>
  <c r="AV77" i="1" s="1"/>
  <c r="BL77" i="1" s="1"/>
  <c r="AU78" i="1"/>
  <c r="AU77" i="1" s="1"/>
  <c r="AQ78" i="1"/>
  <c r="AQ77" i="1" s="1"/>
  <c r="AN78" i="1"/>
  <c r="BI78" i="1" s="1"/>
  <c r="AK78" i="1"/>
  <c r="AH78" i="1"/>
  <c r="AE78" i="1"/>
  <c r="AB78" i="1"/>
  <c r="Y78" i="1"/>
  <c r="V78" i="1"/>
  <c r="V77" i="1" s="1"/>
  <c r="S78" i="1"/>
  <c r="BC78" i="1" s="1"/>
  <c r="P78" i="1"/>
  <c r="P77" i="1" s="1"/>
  <c r="M78" i="1"/>
  <c r="M77" i="1" s="1"/>
  <c r="J78" i="1"/>
  <c r="BM78" i="1" s="1"/>
  <c r="BK77" i="1"/>
  <c r="BH77" i="1"/>
  <c r="BK76" i="1"/>
  <c r="BH76" i="1"/>
  <c r="BG76" i="1"/>
  <c r="BE76" i="1"/>
  <c r="BD76" i="1"/>
  <c r="BC76" i="1"/>
  <c r="BB76" i="1"/>
  <c r="BA76" i="1"/>
  <c r="AY76" i="1"/>
  <c r="AX76" i="1"/>
  <c r="AV76" i="1"/>
  <c r="AU76" i="1"/>
  <c r="AQ76" i="1"/>
  <c r="AN76" i="1"/>
  <c r="AK76" i="1"/>
  <c r="AH76" i="1"/>
  <c r="AE76" i="1"/>
  <c r="AB76" i="1"/>
  <c r="BF76" i="1" s="1"/>
  <c r="Y76" i="1"/>
  <c r="V76" i="1"/>
  <c r="S76" i="1"/>
  <c r="P76" i="1"/>
  <c r="P73" i="1" s="1"/>
  <c r="M76" i="1"/>
  <c r="J76" i="1"/>
  <c r="BK75" i="1"/>
  <c r="BL75" i="1" s="1"/>
  <c r="BH75" i="1"/>
  <c r="BG75" i="1"/>
  <c r="BE75" i="1"/>
  <c r="BD75" i="1"/>
  <c r="BC75" i="1"/>
  <c r="BB75" i="1"/>
  <c r="BA75" i="1"/>
  <c r="AY75" i="1"/>
  <c r="AX75" i="1"/>
  <c r="AV75" i="1"/>
  <c r="AU75" i="1"/>
  <c r="AQ75" i="1"/>
  <c r="AN75" i="1"/>
  <c r="AK75" i="1"/>
  <c r="AH75" i="1"/>
  <c r="AE75" i="1"/>
  <c r="AB75" i="1"/>
  <c r="BF75" i="1" s="1"/>
  <c r="Y75" i="1"/>
  <c r="V75" i="1"/>
  <c r="S75" i="1"/>
  <c r="P75" i="1"/>
  <c r="M75" i="1"/>
  <c r="J75" i="1"/>
  <c r="BK74" i="1"/>
  <c r="BL74" i="1" s="1"/>
  <c r="BH74" i="1"/>
  <c r="BG74" i="1"/>
  <c r="BG73" i="1" s="1"/>
  <c r="BE74" i="1"/>
  <c r="BE73" i="1" s="1"/>
  <c r="BD74" i="1"/>
  <c r="BB74" i="1"/>
  <c r="BB73" i="1" s="1"/>
  <c r="BA74" i="1"/>
  <c r="BA73" i="1" s="1"/>
  <c r="AY74" i="1"/>
  <c r="AY73" i="1" s="1"/>
  <c r="AX74" i="1"/>
  <c r="AV74" i="1"/>
  <c r="AV73" i="1" s="1"/>
  <c r="AU74" i="1"/>
  <c r="AU73" i="1" s="1"/>
  <c r="AQ74" i="1"/>
  <c r="AN74" i="1"/>
  <c r="AK74" i="1"/>
  <c r="AH74" i="1"/>
  <c r="AH73" i="1" s="1"/>
  <c r="AE74" i="1"/>
  <c r="AE73" i="1" s="1"/>
  <c r="AB74" i="1"/>
  <c r="Y74" i="1"/>
  <c r="Y73" i="1" s="1"/>
  <c r="V74" i="1"/>
  <c r="S74" i="1"/>
  <c r="S73" i="1" s="1"/>
  <c r="P74" i="1"/>
  <c r="M74" i="1"/>
  <c r="M73" i="1" s="1"/>
  <c r="J74" i="1"/>
  <c r="AZ74" i="1" s="1"/>
  <c r="BK73" i="1"/>
  <c r="AX73" i="1"/>
  <c r="BK72" i="1"/>
  <c r="BL72" i="1" s="1"/>
  <c r="AQ72" i="1"/>
  <c r="AN72" i="1"/>
  <c r="AK72" i="1"/>
  <c r="AH72" i="1"/>
  <c r="AE72" i="1"/>
  <c r="AB72" i="1"/>
  <c r="Y72" i="1"/>
  <c r="V72" i="1"/>
  <c r="S72" i="1"/>
  <c r="P72" i="1"/>
  <c r="M72" i="1"/>
  <c r="J72" i="1"/>
  <c r="BK71" i="1"/>
  <c r="BL71" i="1" s="1"/>
  <c r="AQ71" i="1"/>
  <c r="AN71" i="1"/>
  <c r="AK71" i="1"/>
  <c r="AK70" i="1" s="1"/>
  <c r="AH71" i="1"/>
  <c r="AE71" i="1"/>
  <c r="AB71" i="1"/>
  <c r="Y71" i="1"/>
  <c r="V71" i="1"/>
  <c r="V70" i="1" s="1"/>
  <c r="S71" i="1"/>
  <c r="P71" i="1"/>
  <c r="P70" i="1" s="1"/>
  <c r="M71" i="1"/>
  <c r="M70" i="1" s="1"/>
  <c r="J71" i="1"/>
  <c r="BK70" i="1"/>
  <c r="BL70" i="1" s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H70" i="1"/>
  <c r="AB70" i="1"/>
  <c r="Y70" i="1"/>
  <c r="BK69" i="1"/>
  <c r="BH69" i="1"/>
  <c r="BG69" i="1"/>
  <c r="BE69" i="1"/>
  <c r="BD69" i="1"/>
  <c r="BB69" i="1"/>
  <c r="BA69" i="1"/>
  <c r="AY69" i="1"/>
  <c r="AX69" i="1"/>
  <c r="AV69" i="1"/>
  <c r="AU69" i="1"/>
  <c r="AQ69" i="1"/>
  <c r="AN69" i="1"/>
  <c r="AK69" i="1"/>
  <c r="BI69" i="1" s="1"/>
  <c r="AH69" i="1"/>
  <c r="AE69" i="1"/>
  <c r="AB69" i="1"/>
  <c r="BF69" i="1" s="1"/>
  <c r="Y69" i="1"/>
  <c r="V69" i="1"/>
  <c r="S69" i="1"/>
  <c r="BC69" i="1" s="1"/>
  <c r="P69" i="1"/>
  <c r="M69" i="1"/>
  <c r="J69" i="1"/>
  <c r="BK68" i="1"/>
  <c r="BH68" i="1"/>
  <c r="BG68" i="1"/>
  <c r="BE68" i="1"/>
  <c r="BD68" i="1"/>
  <c r="BB68" i="1"/>
  <c r="BB65" i="1" s="1"/>
  <c r="BA68" i="1"/>
  <c r="AY68" i="1"/>
  <c r="AX68" i="1"/>
  <c r="AV68" i="1"/>
  <c r="AU68" i="1"/>
  <c r="AQ68" i="1"/>
  <c r="AN68" i="1"/>
  <c r="AK68" i="1"/>
  <c r="BI68" i="1" s="1"/>
  <c r="AH68" i="1"/>
  <c r="AE68" i="1"/>
  <c r="AB68" i="1"/>
  <c r="BF68" i="1" s="1"/>
  <c r="Y68" i="1"/>
  <c r="V68" i="1"/>
  <c r="S68" i="1"/>
  <c r="P68" i="1"/>
  <c r="M68" i="1"/>
  <c r="J68" i="1"/>
  <c r="BK67" i="1"/>
  <c r="BL67" i="1" s="1"/>
  <c r="BH67" i="1"/>
  <c r="BG67" i="1"/>
  <c r="BE67" i="1"/>
  <c r="BD67" i="1"/>
  <c r="BB67" i="1"/>
  <c r="BA67" i="1"/>
  <c r="AY67" i="1"/>
  <c r="AX67" i="1"/>
  <c r="AV67" i="1"/>
  <c r="AU67" i="1"/>
  <c r="AQ67" i="1"/>
  <c r="AN67" i="1"/>
  <c r="BI67" i="1" s="1"/>
  <c r="AK67" i="1"/>
  <c r="AH67" i="1"/>
  <c r="AE67" i="1"/>
  <c r="AB67" i="1"/>
  <c r="BF67" i="1" s="1"/>
  <c r="Y67" i="1"/>
  <c r="V67" i="1"/>
  <c r="S67" i="1"/>
  <c r="BC67" i="1" s="1"/>
  <c r="P67" i="1"/>
  <c r="M67" i="1"/>
  <c r="J67" i="1"/>
  <c r="BK66" i="1"/>
  <c r="BL66" i="1" s="1"/>
  <c r="BH66" i="1"/>
  <c r="BG66" i="1"/>
  <c r="BE66" i="1"/>
  <c r="BD66" i="1"/>
  <c r="BD65" i="1" s="1"/>
  <c r="BB66" i="1"/>
  <c r="BA66" i="1"/>
  <c r="BA65" i="1" s="1"/>
  <c r="AY66" i="1"/>
  <c r="AY65" i="1" s="1"/>
  <c r="AX66" i="1"/>
  <c r="AV66" i="1"/>
  <c r="AU66" i="1"/>
  <c r="AQ66" i="1"/>
  <c r="AN66" i="1"/>
  <c r="AN65" i="1" s="1"/>
  <c r="AK66" i="1"/>
  <c r="AH66" i="1"/>
  <c r="AE66" i="1"/>
  <c r="AB66" i="1"/>
  <c r="BF66" i="1" s="1"/>
  <c r="Y66" i="1"/>
  <c r="V66" i="1"/>
  <c r="S66" i="1"/>
  <c r="BC66" i="1" s="1"/>
  <c r="P66" i="1"/>
  <c r="M66" i="1"/>
  <c r="J66" i="1"/>
  <c r="BK65" i="1"/>
  <c r="AH65" i="1"/>
  <c r="AE65" i="1"/>
  <c r="BK64" i="1"/>
  <c r="BL64" i="1" s="1"/>
  <c r="BH64" i="1"/>
  <c r="BG64" i="1"/>
  <c r="BE64" i="1"/>
  <c r="BD64" i="1"/>
  <c r="BD60" i="1" s="1"/>
  <c r="BB64" i="1"/>
  <c r="BA64" i="1"/>
  <c r="AY64" i="1"/>
  <c r="AX64" i="1"/>
  <c r="AV64" i="1"/>
  <c r="AU64" i="1"/>
  <c r="AQ64" i="1"/>
  <c r="BI64" i="1" s="1"/>
  <c r="AN64" i="1"/>
  <c r="AK64" i="1"/>
  <c r="AH64" i="1"/>
  <c r="AE64" i="1"/>
  <c r="AB64" i="1"/>
  <c r="Y64" i="1"/>
  <c r="V64" i="1"/>
  <c r="S64" i="1"/>
  <c r="P64" i="1"/>
  <c r="M64" i="1"/>
  <c r="J64" i="1"/>
  <c r="AZ64" i="1" s="1"/>
  <c r="BK63" i="1"/>
  <c r="BL63" i="1" s="1"/>
  <c r="BH63" i="1"/>
  <c r="BG63" i="1"/>
  <c r="BE63" i="1"/>
  <c r="BD63" i="1"/>
  <c r="BB63" i="1"/>
  <c r="BA63" i="1"/>
  <c r="AY63" i="1"/>
  <c r="AX63" i="1"/>
  <c r="AV63" i="1"/>
  <c r="AU63" i="1"/>
  <c r="AQ63" i="1"/>
  <c r="AN63" i="1"/>
  <c r="AK63" i="1"/>
  <c r="BI63" i="1" s="1"/>
  <c r="AH63" i="1"/>
  <c r="AE63" i="1"/>
  <c r="AB63" i="1"/>
  <c r="Y63" i="1"/>
  <c r="V63" i="1"/>
  <c r="S63" i="1"/>
  <c r="BC63" i="1" s="1"/>
  <c r="P63" i="1"/>
  <c r="M63" i="1"/>
  <c r="J63" i="1"/>
  <c r="BM63" i="1" s="1"/>
  <c r="BK62" i="1"/>
  <c r="BH62" i="1"/>
  <c r="BG62" i="1"/>
  <c r="BE62" i="1"/>
  <c r="BD62" i="1"/>
  <c r="BB62" i="1"/>
  <c r="BA62" i="1"/>
  <c r="AY62" i="1"/>
  <c r="AX62" i="1"/>
  <c r="AV62" i="1"/>
  <c r="AU62" i="1"/>
  <c r="AQ62" i="1"/>
  <c r="AN62" i="1"/>
  <c r="AK62" i="1"/>
  <c r="AK60" i="1" s="1"/>
  <c r="AH62" i="1"/>
  <c r="AE62" i="1"/>
  <c r="BF62" i="1" s="1"/>
  <c r="AB62" i="1"/>
  <c r="Y62" i="1"/>
  <c r="V62" i="1"/>
  <c r="S62" i="1"/>
  <c r="BC62" i="1" s="1"/>
  <c r="P62" i="1"/>
  <c r="M62" i="1"/>
  <c r="J62" i="1"/>
  <c r="BM62" i="1" s="1"/>
  <c r="BK61" i="1"/>
  <c r="BL61" i="1" s="1"/>
  <c r="BH61" i="1"/>
  <c r="BG61" i="1"/>
  <c r="BE61" i="1"/>
  <c r="BE60" i="1" s="1"/>
  <c r="BD61" i="1"/>
  <c r="BB61" i="1"/>
  <c r="BB60" i="1" s="1"/>
  <c r="BA61" i="1"/>
  <c r="BA60" i="1" s="1"/>
  <c r="AY61" i="1"/>
  <c r="AX61" i="1"/>
  <c r="AV61" i="1"/>
  <c r="AU61" i="1"/>
  <c r="AQ61" i="1"/>
  <c r="AN61" i="1"/>
  <c r="AN60" i="1" s="1"/>
  <c r="AK61" i="1"/>
  <c r="AH61" i="1"/>
  <c r="AE61" i="1"/>
  <c r="AB61" i="1"/>
  <c r="BF61" i="1" s="1"/>
  <c r="Y61" i="1"/>
  <c r="V61" i="1"/>
  <c r="S61" i="1"/>
  <c r="P61" i="1"/>
  <c r="P60" i="1" s="1"/>
  <c r="M61" i="1"/>
  <c r="J61" i="1"/>
  <c r="BM61" i="1" s="1"/>
  <c r="BK60" i="1"/>
  <c r="BK59" i="1"/>
  <c r="BL59" i="1" s="1"/>
  <c r="BH59" i="1"/>
  <c r="BG59" i="1"/>
  <c r="BG57" i="1" s="1"/>
  <c r="BE59" i="1"/>
  <c r="BD59" i="1"/>
  <c r="BB59" i="1"/>
  <c r="BA59" i="1"/>
  <c r="AY59" i="1"/>
  <c r="AX59" i="1"/>
  <c r="AV59" i="1"/>
  <c r="AU59" i="1"/>
  <c r="AQ59" i="1"/>
  <c r="AN59" i="1"/>
  <c r="AK59" i="1"/>
  <c r="AK57" i="1" s="1"/>
  <c r="AH59" i="1"/>
  <c r="AE59" i="1"/>
  <c r="AB59" i="1"/>
  <c r="Y59" i="1"/>
  <c r="V59" i="1"/>
  <c r="S59" i="1"/>
  <c r="P59" i="1"/>
  <c r="M59" i="1"/>
  <c r="BM59" i="1" s="1"/>
  <c r="J59" i="1"/>
  <c r="AZ59" i="1" s="1"/>
  <c r="BK58" i="1"/>
  <c r="BL58" i="1" s="1"/>
  <c r="BH58" i="1"/>
  <c r="BG58" i="1"/>
  <c r="BE58" i="1"/>
  <c r="BE57" i="1" s="1"/>
  <c r="BD58" i="1"/>
  <c r="BD57" i="1" s="1"/>
  <c r="BB58" i="1"/>
  <c r="BA58" i="1"/>
  <c r="AY58" i="1"/>
  <c r="AY57" i="1" s="1"/>
  <c r="AX58" i="1"/>
  <c r="AX57" i="1" s="1"/>
  <c r="AV58" i="1"/>
  <c r="AV57" i="1" s="1"/>
  <c r="BL57" i="1" s="1"/>
  <c r="AU58" i="1"/>
  <c r="AU57" i="1" s="1"/>
  <c r="AQ58" i="1"/>
  <c r="AQ57" i="1" s="1"/>
  <c r="AN58" i="1"/>
  <c r="AN57" i="1" s="1"/>
  <c r="AK58" i="1"/>
  <c r="AH58" i="1"/>
  <c r="AH57" i="1" s="1"/>
  <c r="AE58" i="1"/>
  <c r="AE57" i="1" s="1"/>
  <c r="AB58" i="1"/>
  <c r="BF58" i="1" s="1"/>
  <c r="Y58" i="1"/>
  <c r="V58" i="1"/>
  <c r="S58" i="1"/>
  <c r="P58" i="1"/>
  <c r="P57" i="1" s="1"/>
  <c r="M58" i="1"/>
  <c r="J58" i="1"/>
  <c r="BK57" i="1"/>
  <c r="BH57" i="1"/>
  <c r="BB57" i="1"/>
  <c r="BA57" i="1"/>
  <c r="V57" i="1"/>
  <c r="S57" i="1"/>
  <c r="J57" i="1"/>
  <c r="AP56" i="1"/>
  <c r="AM56" i="1"/>
  <c r="AJ56" i="1"/>
  <c r="AG56" i="1"/>
  <c r="AD56" i="1"/>
  <c r="AA56" i="1"/>
  <c r="X56" i="1"/>
  <c r="U56" i="1"/>
  <c r="R56" i="1"/>
  <c r="O56" i="1"/>
  <c r="L56" i="1"/>
  <c r="I56" i="1"/>
  <c r="BM55" i="1"/>
  <c r="BN55" i="1" s="1"/>
  <c r="BK55" i="1"/>
  <c r="BL55" i="1" s="1"/>
  <c r="BK54" i="1"/>
  <c r="BK53" i="1"/>
  <c r="BK52" i="1"/>
  <c r="BL52" i="1" s="1"/>
  <c r="BH52" i="1"/>
  <c r="BG52" i="1"/>
  <c r="BE52" i="1"/>
  <c r="BD52" i="1"/>
  <c r="BB52" i="1"/>
  <c r="BA52" i="1"/>
  <c r="AY52" i="1"/>
  <c r="AX52" i="1"/>
  <c r="AV52" i="1"/>
  <c r="AU52" i="1"/>
  <c r="AQ52" i="1"/>
  <c r="AN52" i="1"/>
  <c r="AK52" i="1"/>
  <c r="BI52" i="1" s="1"/>
  <c r="AH52" i="1"/>
  <c r="AE52" i="1"/>
  <c r="AB52" i="1"/>
  <c r="Y52" i="1"/>
  <c r="V52" i="1"/>
  <c r="S52" i="1"/>
  <c r="BC52" i="1" s="1"/>
  <c r="P52" i="1"/>
  <c r="M52" i="1"/>
  <c r="J52" i="1"/>
  <c r="AZ52" i="1" s="1"/>
  <c r="BK51" i="1"/>
  <c r="BH51" i="1"/>
  <c r="BG51" i="1"/>
  <c r="BE51" i="1"/>
  <c r="BD51" i="1"/>
  <c r="BB51" i="1"/>
  <c r="BA51" i="1"/>
  <c r="AY51" i="1"/>
  <c r="AX51" i="1"/>
  <c r="AV51" i="1"/>
  <c r="AV49" i="1" s="1"/>
  <c r="BL49" i="1" s="1"/>
  <c r="AU51" i="1"/>
  <c r="AQ51" i="1"/>
  <c r="AN51" i="1"/>
  <c r="AK51" i="1"/>
  <c r="BI51" i="1" s="1"/>
  <c r="AH51" i="1"/>
  <c r="AE51" i="1"/>
  <c r="AB51" i="1"/>
  <c r="BF51" i="1" s="1"/>
  <c r="Y51" i="1"/>
  <c r="V51" i="1"/>
  <c r="S51" i="1"/>
  <c r="P51" i="1"/>
  <c r="M51" i="1"/>
  <c r="J51" i="1"/>
  <c r="BK50" i="1"/>
  <c r="BL50" i="1" s="1"/>
  <c r="BH50" i="1"/>
  <c r="BG50" i="1"/>
  <c r="BE50" i="1"/>
  <c r="BD50" i="1"/>
  <c r="BD49" i="1" s="1"/>
  <c r="BB50" i="1"/>
  <c r="BA50" i="1"/>
  <c r="AY50" i="1"/>
  <c r="AX50" i="1"/>
  <c r="AV50" i="1"/>
  <c r="AU50" i="1"/>
  <c r="AQ50" i="1"/>
  <c r="AQ49" i="1" s="1"/>
  <c r="AN50" i="1"/>
  <c r="AN49" i="1" s="1"/>
  <c r="AK50" i="1"/>
  <c r="AK49" i="1" s="1"/>
  <c r="AH50" i="1"/>
  <c r="AE50" i="1"/>
  <c r="AB50" i="1"/>
  <c r="BF50" i="1" s="1"/>
  <c r="Y50" i="1"/>
  <c r="V50" i="1"/>
  <c r="S50" i="1"/>
  <c r="BC50" i="1" s="1"/>
  <c r="P50" i="1"/>
  <c r="M50" i="1"/>
  <c r="J50" i="1"/>
  <c r="BK49" i="1"/>
  <c r="BB49" i="1"/>
  <c r="BA49" i="1"/>
  <c r="AX49" i="1"/>
  <c r="BK48" i="1"/>
  <c r="BL48" i="1" s="1"/>
  <c r="BH48" i="1"/>
  <c r="BG48" i="1"/>
  <c r="BE48" i="1"/>
  <c r="BD48" i="1"/>
  <c r="BB48" i="1"/>
  <c r="BA48" i="1"/>
  <c r="AY48" i="1"/>
  <c r="AX48" i="1"/>
  <c r="AV48" i="1"/>
  <c r="AU48" i="1"/>
  <c r="AQ48" i="1"/>
  <c r="AN48" i="1"/>
  <c r="AK48" i="1"/>
  <c r="BI48" i="1" s="1"/>
  <c r="AH48" i="1"/>
  <c r="AE48" i="1"/>
  <c r="AB48" i="1"/>
  <c r="BF48" i="1" s="1"/>
  <c r="Y48" i="1"/>
  <c r="V48" i="1"/>
  <c r="S48" i="1"/>
  <c r="P48" i="1"/>
  <c r="M48" i="1"/>
  <c r="J48" i="1"/>
  <c r="BK47" i="1"/>
  <c r="BL47" i="1" s="1"/>
  <c r="BH47" i="1"/>
  <c r="BG47" i="1"/>
  <c r="BE47" i="1"/>
  <c r="BD47" i="1"/>
  <c r="BB47" i="1"/>
  <c r="BA47" i="1"/>
  <c r="AY47" i="1"/>
  <c r="AX47" i="1"/>
  <c r="AV47" i="1"/>
  <c r="AU47" i="1"/>
  <c r="AQ47" i="1"/>
  <c r="AN47" i="1"/>
  <c r="AK47" i="1"/>
  <c r="BI47" i="1" s="1"/>
  <c r="AH47" i="1"/>
  <c r="AE47" i="1"/>
  <c r="AB47" i="1"/>
  <c r="BF47" i="1" s="1"/>
  <c r="Y47" i="1"/>
  <c r="V47" i="1"/>
  <c r="S47" i="1"/>
  <c r="P47" i="1"/>
  <c r="M47" i="1"/>
  <c r="J47" i="1"/>
  <c r="BK46" i="1"/>
  <c r="BL46" i="1" s="1"/>
  <c r="BH46" i="1"/>
  <c r="BG46" i="1"/>
  <c r="BE46" i="1"/>
  <c r="BD46" i="1"/>
  <c r="BB46" i="1"/>
  <c r="BA46" i="1"/>
  <c r="AY46" i="1"/>
  <c r="AX46" i="1"/>
  <c r="AV46" i="1"/>
  <c r="AU46" i="1"/>
  <c r="AQ46" i="1"/>
  <c r="AN46" i="1"/>
  <c r="AK46" i="1"/>
  <c r="AH46" i="1"/>
  <c r="AE46" i="1"/>
  <c r="AB46" i="1"/>
  <c r="BF46" i="1" s="1"/>
  <c r="Y46" i="1"/>
  <c r="V46" i="1"/>
  <c r="BC46" i="1" s="1"/>
  <c r="S46" i="1"/>
  <c r="P46" i="1"/>
  <c r="M46" i="1"/>
  <c r="J46" i="1"/>
  <c r="BK45" i="1"/>
  <c r="BH45" i="1"/>
  <c r="BG45" i="1"/>
  <c r="BE45" i="1"/>
  <c r="BD45" i="1"/>
  <c r="BC45" i="1"/>
  <c r="BB45" i="1"/>
  <c r="BA45" i="1"/>
  <c r="AY45" i="1"/>
  <c r="AX45" i="1"/>
  <c r="AX43" i="1" s="1"/>
  <c r="AX42" i="1" s="1"/>
  <c r="AX53" i="1" s="1"/>
  <c r="AV45" i="1"/>
  <c r="BL45" i="1" s="1"/>
  <c r="AU45" i="1"/>
  <c r="AQ45" i="1"/>
  <c r="AN45" i="1"/>
  <c r="AK45" i="1"/>
  <c r="AH45" i="1"/>
  <c r="AE45" i="1"/>
  <c r="AE43" i="1" s="1"/>
  <c r="AB45" i="1"/>
  <c r="Y45" i="1"/>
  <c r="V45" i="1"/>
  <c r="S45" i="1"/>
  <c r="P45" i="1"/>
  <c r="M45" i="1"/>
  <c r="AZ45" i="1" s="1"/>
  <c r="J45" i="1"/>
  <c r="BK44" i="1"/>
  <c r="BL44" i="1" s="1"/>
  <c r="BH44" i="1"/>
  <c r="BG44" i="1"/>
  <c r="BE44" i="1"/>
  <c r="BD44" i="1"/>
  <c r="BB44" i="1"/>
  <c r="BA44" i="1"/>
  <c r="AY44" i="1"/>
  <c r="AY43" i="1" s="1"/>
  <c r="AX44" i="1"/>
  <c r="AV44" i="1"/>
  <c r="AV43" i="1" s="1"/>
  <c r="AV42" i="1" s="1"/>
  <c r="AU44" i="1"/>
  <c r="AQ44" i="1"/>
  <c r="AN44" i="1"/>
  <c r="AK44" i="1"/>
  <c r="AH44" i="1"/>
  <c r="AE44" i="1"/>
  <c r="AB44" i="1"/>
  <c r="BF44" i="1" s="1"/>
  <c r="Y44" i="1"/>
  <c r="V44" i="1"/>
  <c r="S44" i="1"/>
  <c r="BC44" i="1" s="1"/>
  <c r="P44" i="1"/>
  <c r="M44" i="1"/>
  <c r="J44" i="1"/>
  <c r="AZ44" i="1" s="1"/>
  <c r="BK43" i="1"/>
  <c r="BH43" i="1"/>
  <c r="AP42" i="1"/>
  <c r="AM42" i="1"/>
  <c r="AJ42" i="1"/>
  <c r="AG42" i="1"/>
  <c r="AD42" i="1"/>
  <c r="AA42" i="1"/>
  <c r="X42" i="1"/>
  <c r="U42" i="1"/>
  <c r="R42" i="1"/>
  <c r="O42" i="1"/>
  <c r="L42" i="1"/>
  <c r="I42" i="1"/>
  <c r="BN41" i="1"/>
  <c r="BM41" i="1"/>
  <c r="BK41" i="1"/>
  <c r="BL41" i="1" s="1"/>
  <c r="BK40" i="1"/>
  <c r="BK39" i="1"/>
  <c r="BM38" i="1"/>
  <c r="BK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BK37" i="1"/>
  <c r="BH37" i="1"/>
  <c r="BG37" i="1"/>
  <c r="BE37" i="1"/>
  <c r="BD37" i="1"/>
  <c r="BB37" i="1"/>
  <c r="BA37" i="1"/>
  <c r="AY37" i="1"/>
  <c r="AX37" i="1"/>
  <c r="AV37" i="1"/>
  <c r="AU37" i="1"/>
  <c r="AQ37" i="1"/>
  <c r="AQ34" i="1" s="1"/>
  <c r="AN37" i="1"/>
  <c r="AK37" i="1"/>
  <c r="BI37" i="1" s="1"/>
  <c r="AH37" i="1"/>
  <c r="AE37" i="1"/>
  <c r="AB37" i="1"/>
  <c r="Y37" i="1"/>
  <c r="V37" i="1"/>
  <c r="S37" i="1"/>
  <c r="S34" i="1" s="1"/>
  <c r="P37" i="1"/>
  <c r="P34" i="1" s="1"/>
  <c r="M37" i="1"/>
  <c r="M34" i="1" s="1"/>
  <c r="J37" i="1"/>
  <c r="BM36" i="1"/>
  <c r="BK36" i="1"/>
  <c r="BL36" i="1" s="1"/>
  <c r="BH36" i="1"/>
  <c r="BG36" i="1"/>
  <c r="BE36" i="1"/>
  <c r="BD36" i="1"/>
  <c r="BB36" i="1"/>
  <c r="BA36" i="1"/>
  <c r="AZ36" i="1"/>
  <c r="AY36" i="1"/>
  <c r="AX36" i="1"/>
  <c r="AV36" i="1"/>
  <c r="AU36" i="1"/>
  <c r="AQ36" i="1"/>
  <c r="AN36" i="1"/>
  <c r="AK36" i="1"/>
  <c r="AE36" i="1"/>
  <c r="AB36" i="1"/>
  <c r="Y36" i="1"/>
  <c r="V36" i="1"/>
  <c r="S36" i="1"/>
  <c r="BC36" i="1" s="1"/>
  <c r="P36" i="1"/>
  <c r="M36" i="1"/>
  <c r="J36" i="1"/>
  <c r="BK35" i="1"/>
  <c r="BL35" i="1" s="1"/>
  <c r="BI35" i="1"/>
  <c r="BH35" i="1"/>
  <c r="BH34" i="1" s="1"/>
  <c r="BG35" i="1"/>
  <c r="BE35" i="1"/>
  <c r="BD35" i="1"/>
  <c r="BB35" i="1"/>
  <c r="BA35" i="1"/>
  <c r="AY35" i="1"/>
  <c r="AX35" i="1"/>
  <c r="AV35" i="1"/>
  <c r="AU35" i="1"/>
  <c r="AQ35" i="1"/>
  <c r="AN35" i="1"/>
  <c r="AK35" i="1"/>
  <c r="AE35" i="1"/>
  <c r="AB35" i="1"/>
  <c r="S35" i="1"/>
  <c r="P35" i="1"/>
  <c r="M35" i="1"/>
  <c r="BK34" i="1"/>
  <c r="BN33" i="1"/>
  <c r="BM33" i="1"/>
  <c r="BL33" i="1"/>
  <c r="BK33" i="1"/>
  <c r="BK32" i="1"/>
  <c r="BN31" i="1"/>
  <c r="BM31" i="1"/>
  <c r="BK31" i="1"/>
  <c r="BL31" i="1" s="1"/>
  <c r="BK30" i="1"/>
  <c r="BL30" i="1" s="1"/>
  <c r="BH30" i="1"/>
  <c r="BG30" i="1"/>
  <c r="BE30" i="1"/>
  <c r="BD30" i="1"/>
  <c r="BB30" i="1"/>
  <c r="BB27" i="1" s="1"/>
  <c r="BA30" i="1"/>
  <c r="AY30" i="1"/>
  <c r="AX30" i="1"/>
  <c r="AV30" i="1"/>
  <c r="AU30" i="1"/>
  <c r="BM29" i="1"/>
  <c r="BK29" i="1"/>
  <c r="BL29" i="1" s="1"/>
  <c r="BH29" i="1"/>
  <c r="BH27" i="1" s="1"/>
  <c r="BG29" i="1"/>
  <c r="BE29" i="1"/>
  <c r="BE27" i="1" s="1"/>
  <c r="BD29" i="1"/>
  <c r="BB29" i="1"/>
  <c r="BA29" i="1"/>
  <c r="AZ29" i="1"/>
  <c r="AY29" i="1"/>
  <c r="AX29" i="1"/>
  <c r="AV29" i="1"/>
  <c r="AU29" i="1"/>
  <c r="Y29" i="1"/>
  <c r="V29" i="1"/>
  <c r="S29" i="1"/>
  <c r="BC29" i="1" s="1"/>
  <c r="P29" i="1"/>
  <c r="M29" i="1"/>
  <c r="J29" i="1"/>
  <c r="BK28" i="1"/>
  <c r="BH28" i="1"/>
  <c r="BG28" i="1"/>
  <c r="BG27" i="1" s="1"/>
  <c r="BE28" i="1"/>
  <c r="BD28" i="1"/>
  <c r="BD27" i="1" s="1"/>
  <c r="BB28" i="1"/>
  <c r="BA28" i="1"/>
  <c r="AY28" i="1"/>
  <c r="AX28" i="1"/>
  <c r="AX27" i="1" s="1"/>
  <c r="AV28" i="1"/>
  <c r="AV27" i="1" s="1"/>
  <c r="AU28" i="1"/>
  <c r="AU27" i="1" s="1"/>
  <c r="BK27" i="1"/>
  <c r="BN26" i="1"/>
  <c r="BM26" i="1"/>
  <c r="BL26" i="1"/>
  <c r="BK26" i="1"/>
  <c r="BK25" i="1"/>
  <c r="BK24" i="1"/>
  <c r="BH24" i="1"/>
  <c r="BG24" i="1"/>
  <c r="BE24" i="1"/>
  <c r="BD24" i="1"/>
  <c r="BB24" i="1"/>
  <c r="BB21" i="1" s="1"/>
  <c r="BA24" i="1"/>
  <c r="BA21" i="1" s="1"/>
  <c r="AY24" i="1"/>
  <c r="AX24" i="1"/>
  <c r="AV24" i="1"/>
  <c r="AU24" i="1"/>
  <c r="AQ24" i="1"/>
  <c r="AN24" i="1"/>
  <c r="AK24" i="1"/>
  <c r="AH24" i="1"/>
  <c r="BF24" i="1" s="1"/>
  <c r="AE24" i="1"/>
  <c r="AB24" i="1"/>
  <c r="Y24" i="1"/>
  <c r="Y21" i="1" s="1"/>
  <c r="V24" i="1"/>
  <c r="V21" i="1" s="1"/>
  <c r="S24" i="1"/>
  <c r="P24" i="1"/>
  <c r="M24" i="1"/>
  <c r="J24" i="1"/>
  <c r="BK23" i="1"/>
  <c r="BH23" i="1"/>
  <c r="BG23" i="1"/>
  <c r="BE23" i="1"/>
  <c r="BD23" i="1"/>
  <c r="BC23" i="1"/>
  <c r="BB23" i="1"/>
  <c r="BA23" i="1"/>
  <c r="AY23" i="1"/>
  <c r="AX23" i="1"/>
  <c r="AV23" i="1"/>
  <c r="BL23" i="1" s="1"/>
  <c r="AU23" i="1"/>
  <c r="AQ23" i="1"/>
  <c r="AN23" i="1"/>
  <c r="AK23" i="1"/>
  <c r="AH23" i="1"/>
  <c r="AE23" i="1"/>
  <c r="AB23" i="1"/>
  <c r="AB21" i="1" s="1"/>
  <c r="Y23" i="1"/>
  <c r="V23" i="1"/>
  <c r="S23" i="1"/>
  <c r="P23" i="1"/>
  <c r="M23" i="1"/>
  <c r="M21" i="1" s="1"/>
  <c r="J23" i="1"/>
  <c r="BK22" i="1"/>
  <c r="BL22" i="1" s="1"/>
  <c r="BH22" i="1"/>
  <c r="BG22" i="1"/>
  <c r="BE22" i="1"/>
  <c r="BD22" i="1"/>
  <c r="BD21" i="1" s="1"/>
  <c r="BB22" i="1"/>
  <c r="BA22" i="1"/>
  <c r="AY22" i="1"/>
  <c r="AX22" i="1"/>
  <c r="AV22" i="1"/>
  <c r="AU22" i="1"/>
  <c r="AQ22" i="1"/>
  <c r="AQ21" i="1" s="1"/>
  <c r="AN22" i="1"/>
  <c r="AN21" i="1" s="1"/>
  <c r="AK22" i="1"/>
  <c r="AH22" i="1"/>
  <c r="AH21" i="1" s="1"/>
  <c r="AE22" i="1"/>
  <c r="AE21" i="1" s="1"/>
  <c r="AB22" i="1"/>
  <c r="Y22" i="1"/>
  <c r="V22" i="1"/>
  <c r="S22" i="1"/>
  <c r="BC22" i="1" s="1"/>
  <c r="P22" i="1"/>
  <c r="P21" i="1" s="1"/>
  <c r="M22" i="1"/>
  <c r="J22" i="1"/>
  <c r="BK21" i="1"/>
  <c r="AY21" i="1"/>
  <c r="AX21" i="1"/>
  <c r="AP20" i="1"/>
  <c r="AM20" i="1"/>
  <c r="AK20" i="1"/>
  <c r="AJ20" i="1"/>
  <c r="AG20" i="1"/>
  <c r="AD20" i="1"/>
  <c r="AA20" i="1"/>
  <c r="X20" i="1"/>
  <c r="U20" i="1"/>
  <c r="S20" i="1"/>
  <c r="R20" i="1"/>
  <c r="O20" i="1"/>
  <c r="L20" i="1"/>
  <c r="I20" i="1"/>
  <c r="BK19" i="1"/>
  <c r="BL19" i="1" s="1"/>
  <c r="BI19" i="1"/>
  <c r="BH19" i="1"/>
  <c r="BG19" i="1"/>
  <c r="BE19" i="1"/>
  <c r="BD19" i="1"/>
  <c r="BB19" i="1"/>
  <c r="BA19" i="1"/>
  <c r="AY19" i="1"/>
  <c r="AX19" i="1"/>
  <c r="AW19" i="1"/>
  <c r="AV19" i="1"/>
  <c r="AU19" i="1"/>
  <c r="AQ19" i="1"/>
  <c r="R16" i="3" s="1"/>
  <c r="AN19" i="1"/>
  <c r="Q16" i="3" s="1"/>
  <c r="AK19" i="1"/>
  <c r="P16" i="3" s="1"/>
  <c r="AH19" i="1"/>
  <c r="N16" i="3" s="1"/>
  <c r="AE19" i="1"/>
  <c r="M16" i="3" s="1"/>
  <c r="AB19" i="1"/>
  <c r="Y19" i="1"/>
  <c r="J16" i="3" s="1"/>
  <c r="V19" i="1"/>
  <c r="I16" i="3" s="1"/>
  <c r="S19" i="1"/>
  <c r="H16" i="3" s="1"/>
  <c r="P19" i="1"/>
  <c r="F16" i="3" s="1"/>
  <c r="M19" i="1"/>
  <c r="E16" i="3" s="1"/>
  <c r="J19" i="1"/>
  <c r="D16" i="3" s="1"/>
  <c r="BK18" i="1"/>
  <c r="BH18" i="1"/>
  <c r="BG18" i="1"/>
  <c r="BE18" i="1"/>
  <c r="BD18" i="1"/>
  <c r="BB18" i="1"/>
  <c r="BA18" i="1"/>
  <c r="AY18" i="1"/>
  <c r="AX18" i="1"/>
  <c r="AV18" i="1"/>
  <c r="AU18" i="1"/>
  <c r="AQ18" i="1"/>
  <c r="R15" i="3" s="1"/>
  <c r="AN18" i="1"/>
  <c r="Q15" i="3" s="1"/>
  <c r="AK18" i="1"/>
  <c r="P15" i="3" s="1"/>
  <c r="AH18" i="1"/>
  <c r="N15" i="3" s="1"/>
  <c r="AE18" i="1"/>
  <c r="M15" i="3" s="1"/>
  <c r="AB18" i="1"/>
  <c r="L15" i="3" s="1"/>
  <c r="Y18" i="1"/>
  <c r="J15" i="3" s="1"/>
  <c r="V18" i="1"/>
  <c r="I15" i="3" s="1"/>
  <c r="S18" i="1"/>
  <c r="P18" i="1"/>
  <c r="M18" i="1"/>
  <c r="E15" i="3" s="1"/>
  <c r="J18" i="1"/>
  <c r="BM17" i="1"/>
  <c r="BK17" i="1"/>
  <c r="BL17" i="1" s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BK16" i="1"/>
  <c r="BH16" i="1"/>
  <c r="BG16" i="1"/>
  <c r="BE16" i="1"/>
  <c r="BD16" i="1"/>
  <c r="BC16" i="1"/>
  <c r="BB16" i="1"/>
  <c r="BA16" i="1"/>
  <c r="AY16" i="1"/>
  <c r="AX16" i="1"/>
  <c r="AV16" i="1"/>
  <c r="AV8" i="1" s="1"/>
  <c r="AU16" i="1"/>
  <c r="AQ16" i="1"/>
  <c r="R6" i="3" s="1"/>
  <c r="AN16" i="1"/>
  <c r="Q6" i="3" s="1"/>
  <c r="AK16" i="1"/>
  <c r="P6" i="3" s="1"/>
  <c r="AH16" i="1"/>
  <c r="N6" i="3" s="1"/>
  <c r="AE16" i="1"/>
  <c r="M6" i="3" s="1"/>
  <c r="AB16" i="1"/>
  <c r="L6" i="3" s="1"/>
  <c r="Y16" i="1"/>
  <c r="J6" i="3" s="1"/>
  <c r="V16" i="1"/>
  <c r="I6" i="3" s="1"/>
  <c r="S16" i="1"/>
  <c r="H6" i="3" s="1"/>
  <c r="P16" i="1"/>
  <c r="F6" i="3" s="1"/>
  <c r="M16" i="1"/>
  <c r="E6" i="3" s="1"/>
  <c r="J16" i="1"/>
  <c r="BM15" i="1"/>
  <c r="BL15" i="1"/>
  <c r="BK15" i="1"/>
  <c r="BH15" i="1"/>
  <c r="BG15" i="1"/>
  <c r="BE15" i="1"/>
  <c r="BD15" i="1"/>
  <c r="BB15" i="1"/>
  <c r="BA15" i="1"/>
  <c r="AZ15" i="1"/>
  <c r="AY15" i="1"/>
  <c r="AX15" i="1"/>
  <c r="AV15" i="1"/>
  <c r="AU15" i="1"/>
  <c r="AQ15" i="1"/>
  <c r="R5" i="3" s="1"/>
  <c r="AN15" i="1"/>
  <c r="Q5" i="3" s="1"/>
  <c r="AK15" i="1"/>
  <c r="AH15" i="1"/>
  <c r="N5" i="3" s="1"/>
  <c r="AE15" i="1"/>
  <c r="M5" i="3" s="1"/>
  <c r="AB15" i="1"/>
  <c r="L5" i="3" s="1"/>
  <c r="Y15" i="1"/>
  <c r="J5" i="3" s="1"/>
  <c r="V15" i="1"/>
  <c r="I5" i="3" s="1"/>
  <c r="S15" i="1"/>
  <c r="H5" i="3" s="1"/>
  <c r="P15" i="1"/>
  <c r="F5" i="3" s="1"/>
  <c r="M15" i="1"/>
  <c r="E5" i="3" s="1"/>
  <c r="J15" i="1"/>
  <c r="D5" i="3" s="1"/>
  <c r="BM14" i="1"/>
  <c r="BK14" i="1"/>
  <c r="BL14" i="1" s="1"/>
  <c r="BI14" i="1"/>
  <c r="BH14" i="1"/>
  <c r="BG14" i="1"/>
  <c r="BG20" i="1" s="1"/>
  <c r="BE14" i="1"/>
  <c r="BD14" i="1"/>
  <c r="BB14" i="1"/>
  <c r="BB20" i="1" s="1"/>
  <c r="BA14" i="1"/>
  <c r="AZ14" i="1"/>
  <c r="AY14" i="1"/>
  <c r="AX14" i="1"/>
  <c r="AV14" i="1"/>
  <c r="AU14" i="1"/>
  <c r="AQ14" i="1"/>
  <c r="R10" i="3" s="1"/>
  <c r="AN14" i="1"/>
  <c r="Q10" i="3" s="1"/>
  <c r="AK14" i="1"/>
  <c r="P10" i="3" s="1"/>
  <c r="AH14" i="1"/>
  <c r="AE14" i="1"/>
  <c r="AB14" i="1"/>
  <c r="Y14" i="1"/>
  <c r="V14" i="1"/>
  <c r="AW14" i="1" s="1"/>
  <c r="S14" i="1"/>
  <c r="H10" i="3" s="1"/>
  <c r="P14" i="1"/>
  <c r="F10" i="3" s="1"/>
  <c r="M14" i="1"/>
  <c r="E10" i="3" s="1"/>
  <c r="J14" i="1"/>
  <c r="D10" i="3" s="1"/>
  <c r="BK13" i="1"/>
  <c r="BI13" i="1"/>
  <c r="BH13" i="1"/>
  <c r="BG13" i="1"/>
  <c r="BF13" i="1"/>
  <c r="BE13" i="1"/>
  <c r="BD13" i="1"/>
  <c r="BC13" i="1"/>
  <c r="BB13" i="1"/>
  <c r="BA13" i="1"/>
  <c r="AY13" i="1"/>
  <c r="AX13" i="1"/>
  <c r="AV13" i="1"/>
  <c r="AU13" i="1"/>
  <c r="AQ13" i="1"/>
  <c r="R11" i="3" s="1"/>
  <c r="AN13" i="1"/>
  <c r="Q11" i="3" s="1"/>
  <c r="AK13" i="1"/>
  <c r="P11" i="3" s="1"/>
  <c r="AH13" i="1"/>
  <c r="N11" i="3" s="1"/>
  <c r="AE13" i="1"/>
  <c r="M11" i="3" s="1"/>
  <c r="AB13" i="1"/>
  <c r="L11" i="3" s="1"/>
  <c r="Y13" i="1"/>
  <c r="J11" i="3" s="1"/>
  <c r="V13" i="1"/>
  <c r="I11" i="3" s="1"/>
  <c r="S13" i="1"/>
  <c r="H11" i="3" s="1"/>
  <c r="P13" i="1"/>
  <c r="F11" i="3" s="1"/>
  <c r="M13" i="1"/>
  <c r="E11" i="3" s="1"/>
  <c r="J13" i="1"/>
  <c r="AW13" i="1" s="1"/>
  <c r="BK12" i="1"/>
  <c r="BL12" i="1" s="1"/>
  <c r="BH12" i="1"/>
  <c r="BG12" i="1"/>
  <c r="BE12" i="1"/>
  <c r="BD12" i="1"/>
  <c r="BB12" i="1"/>
  <c r="BA12" i="1"/>
  <c r="AY12" i="1"/>
  <c r="AX12" i="1"/>
  <c r="AV12" i="1"/>
  <c r="AU12" i="1"/>
  <c r="AQ12" i="1"/>
  <c r="R8" i="3" s="1"/>
  <c r="AN12" i="1"/>
  <c r="Q8" i="3" s="1"/>
  <c r="AK12" i="1"/>
  <c r="AH12" i="1"/>
  <c r="N8" i="3" s="1"/>
  <c r="AE12" i="1"/>
  <c r="M8" i="3" s="1"/>
  <c r="AB12" i="1"/>
  <c r="L8" i="3" s="1"/>
  <c r="O8" i="3" s="1"/>
  <c r="Y12" i="1"/>
  <c r="J8" i="3" s="1"/>
  <c r="V12" i="1"/>
  <c r="I8" i="3" s="1"/>
  <c r="S12" i="1"/>
  <c r="H8" i="3" s="1"/>
  <c r="K8" i="3" s="1"/>
  <c r="P12" i="1"/>
  <c r="F8" i="3" s="1"/>
  <c r="M12" i="1"/>
  <c r="E8" i="3" s="1"/>
  <c r="J12" i="1"/>
  <c r="BK11" i="1"/>
  <c r="BH11" i="1"/>
  <c r="BG11" i="1"/>
  <c r="BE11" i="1"/>
  <c r="BD11" i="1"/>
  <c r="BC11" i="1"/>
  <c r="BB11" i="1"/>
  <c r="BA11" i="1"/>
  <c r="AY11" i="1"/>
  <c r="AX11" i="1"/>
  <c r="AV11" i="1"/>
  <c r="AU11" i="1"/>
  <c r="AQ11" i="1"/>
  <c r="R14" i="3" s="1"/>
  <c r="AN11" i="1"/>
  <c r="Q14" i="3" s="1"/>
  <c r="AK11" i="1"/>
  <c r="P14" i="3" s="1"/>
  <c r="AH11" i="1"/>
  <c r="N14" i="3" s="1"/>
  <c r="AE11" i="1"/>
  <c r="M14" i="3" s="1"/>
  <c r="AB11" i="1"/>
  <c r="L14" i="3" s="1"/>
  <c r="Y11" i="1"/>
  <c r="J14" i="3" s="1"/>
  <c r="V11" i="1"/>
  <c r="I14" i="3" s="1"/>
  <c r="S11" i="1"/>
  <c r="H14" i="3" s="1"/>
  <c r="P11" i="1"/>
  <c r="F14" i="3" s="1"/>
  <c r="M11" i="1"/>
  <c r="E14" i="3" s="1"/>
  <c r="J11" i="1"/>
  <c r="D14" i="3" s="1"/>
  <c r="BK10" i="1"/>
  <c r="BL10" i="1" s="1"/>
  <c r="BH10" i="1"/>
  <c r="BG10" i="1"/>
  <c r="BE10" i="1"/>
  <c r="BD10" i="1"/>
  <c r="BC10" i="1"/>
  <c r="BB10" i="1"/>
  <c r="BA10" i="1"/>
  <c r="AY10" i="1"/>
  <c r="AX10" i="1"/>
  <c r="AV10" i="1"/>
  <c r="AU10" i="1"/>
  <c r="AQ10" i="1"/>
  <c r="R13" i="3" s="1"/>
  <c r="AN10" i="1"/>
  <c r="Q13" i="3" s="1"/>
  <c r="AK10" i="1"/>
  <c r="P13" i="3" s="1"/>
  <c r="S13" i="3" s="1"/>
  <c r="AH10" i="1"/>
  <c r="N13" i="3" s="1"/>
  <c r="AE10" i="1"/>
  <c r="M13" i="3" s="1"/>
  <c r="AB10" i="1"/>
  <c r="L13" i="3" s="1"/>
  <c r="Y10" i="1"/>
  <c r="J13" i="3" s="1"/>
  <c r="V10" i="1"/>
  <c r="I13" i="3" s="1"/>
  <c r="S10" i="1"/>
  <c r="H13" i="3" s="1"/>
  <c r="P10" i="1"/>
  <c r="F13" i="3" s="1"/>
  <c r="M10" i="1"/>
  <c r="E13" i="3" s="1"/>
  <c r="J10" i="1"/>
  <c r="D13" i="3" s="1"/>
  <c r="BK9" i="1"/>
  <c r="BL9" i="1" s="1"/>
  <c r="BH9" i="1"/>
  <c r="BH8" i="1" s="1"/>
  <c r="BH91" i="1" s="1"/>
  <c r="BG9" i="1"/>
  <c r="BE9" i="1"/>
  <c r="BD9" i="1"/>
  <c r="BB9" i="1"/>
  <c r="BB8" i="1" s="1"/>
  <c r="BA9" i="1"/>
  <c r="AY9" i="1"/>
  <c r="AX9" i="1"/>
  <c r="AV9" i="1"/>
  <c r="AU9" i="1"/>
  <c r="AQ9" i="1"/>
  <c r="R12" i="3" s="1"/>
  <c r="AN9" i="1"/>
  <c r="Q12" i="3" s="1"/>
  <c r="AK9" i="1"/>
  <c r="P12" i="3" s="1"/>
  <c r="AH9" i="1"/>
  <c r="N12" i="3" s="1"/>
  <c r="AE9" i="1"/>
  <c r="M12" i="3" s="1"/>
  <c r="AB9" i="1"/>
  <c r="L12" i="3" s="1"/>
  <c r="O12" i="3" s="1"/>
  <c r="Y9" i="1"/>
  <c r="J12" i="3" s="1"/>
  <c r="V9" i="1"/>
  <c r="I12" i="3" s="1"/>
  <c r="S9" i="1"/>
  <c r="H12" i="3" s="1"/>
  <c r="P9" i="1"/>
  <c r="F12" i="3" s="1"/>
  <c r="M9" i="1"/>
  <c r="E12" i="3" s="1"/>
  <c r="J9" i="1"/>
  <c r="D12" i="3" s="1"/>
  <c r="BK8" i="1"/>
  <c r="Y8" i="1"/>
  <c r="V8" i="1"/>
  <c r="AQ5" i="1"/>
  <c r="AN5" i="1"/>
  <c r="AK5" i="1"/>
  <c r="AH5" i="1"/>
  <c r="AE5" i="1"/>
  <c r="AB5" i="1"/>
  <c r="Y5" i="1"/>
  <c r="V5" i="1"/>
  <c r="AR11" i="1" s="1"/>
  <c r="S5" i="1"/>
  <c r="P5" i="1"/>
  <c r="M5" i="1"/>
  <c r="J5" i="1"/>
  <c r="BF37" i="1" l="1"/>
  <c r="AU34" i="1"/>
  <c r="AY34" i="1"/>
  <c r="BL37" i="1"/>
  <c r="AX34" i="1"/>
  <c r="AX39" i="1" s="1"/>
  <c r="BL8" i="1"/>
  <c r="G13" i="3"/>
  <c r="G14" i="3"/>
  <c r="BL13" i="1"/>
  <c r="BD8" i="1"/>
  <c r="BD25" i="1" s="1"/>
  <c r="BG8" i="1"/>
  <c r="N4" i="3"/>
  <c r="N20" i="3" s="1"/>
  <c r="BL11" i="1"/>
  <c r="AU20" i="1"/>
  <c r="AV20" i="1"/>
  <c r="S6" i="3"/>
  <c r="K7" i="3"/>
  <c r="T7" i="3" s="1"/>
  <c r="AU8" i="1"/>
  <c r="AX8" i="1"/>
  <c r="AX20" i="1"/>
  <c r="BE8" i="1"/>
  <c r="BE91" i="1" s="1"/>
  <c r="M4" i="3"/>
  <c r="M25" i="3" s="1"/>
  <c r="BH20" i="1"/>
  <c r="K12" i="3"/>
  <c r="AY8" i="1"/>
  <c r="AY91" i="1" s="1"/>
  <c r="BA8" i="1"/>
  <c r="AY20" i="1"/>
  <c r="BL16" i="1"/>
  <c r="O15" i="3"/>
  <c r="AT23" i="1"/>
  <c r="BN23" i="1" s="1"/>
  <c r="BI22" i="1"/>
  <c r="BE21" i="1"/>
  <c r="Y25" i="1"/>
  <c r="BI23" i="1"/>
  <c r="BF23" i="1"/>
  <c r="BI24" i="1"/>
  <c r="BG21" i="1"/>
  <c r="BG32" i="1" s="1"/>
  <c r="BM23" i="1"/>
  <c r="BH21" i="1"/>
  <c r="BH32" i="1" s="1"/>
  <c r="BH40" i="1" s="1"/>
  <c r="BM24" i="1"/>
  <c r="AU21" i="1"/>
  <c r="AU25" i="1" s="1"/>
  <c r="AK21" i="1"/>
  <c r="BF22" i="1"/>
  <c r="AY27" i="1"/>
  <c r="BL28" i="1"/>
  <c r="BA27" i="1"/>
  <c r="BL38" i="1"/>
  <c r="BD34" i="1"/>
  <c r="AB34" i="1"/>
  <c r="AN34" i="1"/>
  <c r="AN39" i="1" s="1"/>
  <c r="BA34" i="1"/>
  <c r="BE34" i="1"/>
  <c r="BE39" i="1" s="1"/>
  <c r="AE34" i="1"/>
  <c r="BC37" i="1"/>
  <c r="AV34" i="1"/>
  <c r="BL34" i="1" s="1"/>
  <c r="BH39" i="1"/>
  <c r="BG34" i="1"/>
  <c r="AY42" i="1"/>
  <c r="AY53" i="1" s="1"/>
  <c r="BL43" i="1"/>
  <c r="Y43" i="1"/>
  <c r="AN43" i="1"/>
  <c r="AN42" i="1" s="1"/>
  <c r="AN53" i="1" s="1"/>
  <c r="BD43" i="1"/>
  <c r="BD42" i="1" s="1"/>
  <c r="BH49" i="1"/>
  <c r="BH42" i="1" s="1"/>
  <c r="L102" i="1"/>
  <c r="BM44" i="1"/>
  <c r="BE43" i="1"/>
  <c r="BE42" i="1" s="1"/>
  <c r="BE53" i="1" s="1"/>
  <c r="BI46" i="1"/>
  <c r="M49" i="1"/>
  <c r="AZ51" i="1"/>
  <c r="BM52" i="1"/>
  <c r="Y49" i="1"/>
  <c r="AH49" i="1"/>
  <c r="BG43" i="1"/>
  <c r="AB43" i="1"/>
  <c r="AB42" i="1" s="1"/>
  <c r="AB54" i="1" s="1"/>
  <c r="BM45" i="1"/>
  <c r="P49" i="1"/>
  <c r="BA43" i="1"/>
  <c r="BF43" i="1"/>
  <c r="M43" i="1"/>
  <c r="M42" i="1" s="1"/>
  <c r="M53" i="1" s="1"/>
  <c r="AU43" i="1"/>
  <c r="V49" i="1"/>
  <c r="AY49" i="1"/>
  <c r="AD102" i="1"/>
  <c r="AB49" i="1"/>
  <c r="AH43" i="1"/>
  <c r="BF45" i="1"/>
  <c r="BB43" i="1"/>
  <c r="P43" i="1"/>
  <c r="P42" i="1" s="1"/>
  <c r="BE49" i="1"/>
  <c r="BF52" i="1"/>
  <c r="BF49" i="1" s="1"/>
  <c r="V43" i="1"/>
  <c r="V42" i="1" s="1"/>
  <c r="V53" i="1" s="1"/>
  <c r="AE49" i="1"/>
  <c r="BF84" i="1"/>
  <c r="BF82" i="1" s="1"/>
  <c r="M57" i="1"/>
  <c r="AT57" i="1" s="1"/>
  <c r="S60" i="1"/>
  <c r="AY60" i="1"/>
  <c r="AX60" i="1"/>
  <c r="AX56" i="1" s="1"/>
  <c r="BM64" i="1"/>
  <c r="Y65" i="1"/>
  <c r="V65" i="1"/>
  <c r="AE70" i="1"/>
  <c r="AN73" i="1"/>
  <c r="AN56" i="1" s="1"/>
  <c r="BH73" i="1"/>
  <c r="BI75" i="1"/>
  <c r="AN77" i="1"/>
  <c r="BI81" i="1"/>
  <c r="P65" i="1"/>
  <c r="P56" i="1" s="1"/>
  <c r="BC77" i="1"/>
  <c r="AY77" i="1"/>
  <c r="AW80" i="1"/>
  <c r="BI82" i="1"/>
  <c r="BG82" i="1"/>
  <c r="BC58" i="1"/>
  <c r="BC57" i="1" s="1"/>
  <c r="BC59" i="1"/>
  <c r="BC61" i="1"/>
  <c r="AW64" i="1"/>
  <c r="AN70" i="1"/>
  <c r="BL73" i="1"/>
  <c r="BC79" i="1"/>
  <c r="AZ79" i="1"/>
  <c r="BH82" i="1"/>
  <c r="BH56" i="1" s="1"/>
  <c r="Y57" i="1"/>
  <c r="AE60" i="1"/>
  <c r="BG65" i="1"/>
  <c r="AQ70" i="1"/>
  <c r="BL76" i="1"/>
  <c r="Y77" i="1"/>
  <c r="BM84" i="1"/>
  <c r="BF65" i="1"/>
  <c r="BH65" i="1"/>
  <c r="BM74" i="1"/>
  <c r="AE77" i="1"/>
  <c r="AE56" i="1" s="1"/>
  <c r="BM80" i="1"/>
  <c r="AZ80" i="1"/>
  <c r="BI58" i="1"/>
  <c r="AB73" i="1"/>
  <c r="AU60" i="1"/>
  <c r="AU56" i="1" s="1"/>
  <c r="BD73" i="1"/>
  <c r="V60" i="1"/>
  <c r="BI62" i="1"/>
  <c r="BM67" i="1"/>
  <c r="BL69" i="1"/>
  <c r="AH77" i="1"/>
  <c r="BG77" i="1"/>
  <c r="BA77" i="1"/>
  <c r="AX82" i="1"/>
  <c r="J60" i="1"/>
  <c r="BM60" i="1" s="1"/>
  <c r="BM71" i="1"/>
  <c r="AQ60" i="1"/>
  <c r="BH60" i="1"/>
  <c r="AU65" i="1"/>
  <c r="S70" i="1"/>
  <c r="AK77" i="1"/>
  <c r="BF80" i="1"/>
  <c r="BB77" i="1"/>
  <c r="BB56" i="1" s="1"/>
  <c r="BC83" i="1"/>
  <c r="BC82" i="1" s="1"/>
  <c r="BC84" i="1"/>
  <c r="BI89" i="1"/>
  <c r="BI88" i="1" s="1"/>
  <c r="BL89" i="1"/>
  <c r="BE94" i="1"/>
  <c r="BI96" i="1"/>
  <c r="BG94" i="1"/>
  <c r="BL95" i="1"/>
  <c r="BM96" i="1"/>
  <c r="BH94" i="1"/>
  <c r="BM98" i="1"/>
  <c r="AU94" i="1"/>
  <c r="BC95" i="1"/>
  <c r="BC94" i="1" s="1"/>
  <c r="M94" i="1"/>
  <c r="M99" i="1" s="1"/>
  <c r="BA94" i="1"/>
  <c r="AX94" i="1"/>
  <c r="AX99" i="1" s="1"/>
  <c r="BF108" i="1"/>
  <c r="BH107" i="1"/>
  <c r="BM114" i="1"/>
  <c r="J107" i="1"/>
  <c r="BC112" i="1"/>
  <c r="AW113" i="1"/>
  <c r="BL113" i="1"/>
  <c r="BA107" i="1"/>
  <c r="BI117" i="1"/>
  <c r="BI118" i="1"/>
  <c r="BL119" i="1"/>
  <c r="AE107" i="1"/>
  <c r="AH107" i="1"/>
  <c r="AW114" i="1"/>
  <c r="AW115" i="1"/>
  <c r="AZ115" i="1"/>
  <c r="BM116" i="1"/>
  <c r="AW118" i="1"/>
  <c r="BM119" i="1"/>
  <c r="BI111" i="1"/>
  <c r="AN107" i="1"/>
  <c r="BF113" i="1"/>
  <c r="BL108" i="1"/>
  <c r="AQ107" i="1"/>
  <c r="BL109" i="1"/>
  <c r="BC117" i="1"/>
  <c r="BC118" i="1"/>
  <c r="AW119" i="1"/>
  <c r="AW108" i="1"/>
  <c r="M107" i="1"/>
  <c r="BL111" i="1"/>
  <c r="BI115" i="1"/>
  <c r="BF116" i="1"/>
  <c r="AU107" i="1"/>
  <c r="P107" i="1"/>
  <c r="AX107" i="1"/>
  <c r="BL112" i="1"/>
  <c r="BF117" i="1"/>
  <c r="V179" i="1"/>
  <c r="S181" i="1"/>
  <c r="P179" i="1"/>
  <c r="Y179" i="1"/>
  <c r="BI180" i="1"/>
  <c r="BI179" i="1" s="1"/>
  <c r="BK179" i="1"/>
  <c r="S179" i="1"/>
  <c r="AB179" i="1"/>
  <c r="AW180" i="1"/>
  <c r="AW179" i="1" s="1"/>
  <c r="AB181" i="1"/>
  <c r="BF181" i="1" s="1"/>
  <c r="AN179" i="1"/>
  <c r="BM198" i="1"/>
  <c r="AW184" i="1"/>
  <c r="BD182" i="1"/>
  <c r="BC197" i="1"/>
  <c r="AW193" i="1"/>
  <c r="BI185" i="1"/>
  <c r="BI191" i="1"/>
  <c r="AW189" i="1"/>
  <c r="AZ194" i="1"/>
  <c r="AW198" i="1"/>
  <c r="BL183" i="1"/>
  <c r="BM183" i="1"/>
  <c r="BI187" i="1"/>
  <c r="BI192" i="1"/>
  <c r="BF195" i="1"/>
  <c r="BF198" i="1"/>
  <c r="AX182" i="1"/>
  <c r="BL187" i="1"/>
  <c r="BM189" i="1"/>
  <c r="BC183" i="1"/>
  <c r="AY182" i="1"/>
  <c r="BC184" i="1"/>
  <c r="BM185" i="1"/>
  <c r="AW187" i="1"/>
  <c r="BM191" i="1"/>
  <c r="AW192" i="1"/>
  <c r="AZ193" i="1"/>
  <c r="BL193" i="1"/>
  <c r="AU199" i="1"/>
  <c r="BC203" i="1"/>
  <c r="BF204" i="1"/>
  <c r="AV199" i="1"/>
  <c r="P199" i="1"/>
  <c r="BG199" i="1"/>
  <c r="BD199" i="1"/>
  <c r="BH199" i="1"/>
  <c r="BM201" i="1"/>
  <c r="BL202" i="1"/>
  <c r="BL203" i="1"/>
  <c r="BC212" i="1"/>
  <c r="BM210" i="1"/>
  <c r="AU205" i="1"/>
  <c r="BM212" i="1"/>
  <c r="BB205" i="1"/>
  <c r="BB106" i="1" s="1"/>
  <c r="BM206" i="1"/>
  <c r="AX205" i="1"/>
  <c r="BF207" i="1"/>
  <c r="AW211" i="1"/>
  <c r="BH205" i="1"/>
  <c r="BF210" i="1"/>
  <c r="BF211" i="1"/>
  <c r="BG205" i="1"/>
  <c r="AV205" i="1"/>
  <c r="BL205" i="1" s="1"/>
  <c r="P205" i="1"/>
  <c r="BF208" i="1"/>
  <c r="AY106" i="1"/>
  <c r="BD205" i="1"/>
  <c r="AH216" i="1"/>
  <c r="BH216" i="1"/>
  <c r="BM220" i="1"/>
  <c r="AX216" i="1"/>
  <c r="BC220" i="1"/>
  <c r="BC221" i="1"/>
  <c r="AE216" i="1"/>
  <c r="BG216" i="1"/>
  <c r="BG224" i="1" s="1"/>
  <c r="BM221" i="1"/>
  <c r="BB216" i="1"/>
  <c r="BB224" i="1" s="1"/>
  <c r="Y216" i="1"/>
  <c r="Y224" i="1" s="1"/>
  <c r="AW219" i="1"/>
  <c r="BD216" i="1"/>
  <c r="BF219" i="1"/>
  <c r="BF220" i="1"/>
  <c r="BC223" i="1"/>
  <c r="BD226" i="1"/>
  <c r="BE226" i="1"/>
  <c r="BM230" i="1"/>
  <c r="AW230" i="1"/>
  <c r="AW228" i="1"/>
  <c r="J226" i="1"/>
  <c r="BI236" i="1"/>
  <c r="BF239" i="1"/>
  <c r="AU226" i="1"/>
  <c r="AW229" i="1"/>
  <c r="BL227" i="1"/>
  <c r="BM229" i="1"/>
  <c r="P226" i="1"/>
  <c r="AY226" i="1"/>
  <c r="AW231" i="1"/>
  <c r="BF237" i="1"/>
  <c r="AW239" i="1"/>
  <c r="Y226" i="1"/>
  <c r="BC230" i="1"/>
  <c r="BI238" i="1"/>
  <c r="BI239" i="1"/>
  <c r="BI240" i="1"/>
  <c r="AB226" i="1"/>
  <c r="BC232" i="1"/>
  <c r="BC233" i="1"/>
  <c r="BC235" i="1"/>
  <c r="AW236" i="1"/>
  <c r="BL239" i="1"/>
  <c r="AB243" i="1"/>
  <c r="BF247" i="1"/>
  <c r="BL243" i="1"/>
  <c r="AU243" i="1"/>
  <c r="BL246" i="1"/>
  <c r="BM248" i="1"/>
  <c r="Y243" i="1"/>
  <c r="BF246" i="1"/>
  <c r="BG243" i="1"/>
  <c r="BG253" i="1" s="1"/>
  <c r="AN243" i="1"/>
  <c r="BH243" i="1"/>
  <c r="BH253" i="1" s="1"/>
  <c r="AQ243" i="1"/>
  <c r="AW247" i="1"/>
  <c r="BD243" i="1"/>
  <c r="BE243" i="1"/>
  <c r="BM247" i="1"/>
  <c r="BC247" i="1"/>
  <c r="BM249" i="1"/>
  <c r="BC245" i="1"/>
  <c r="BC248" i="1"/>
  <c r="BA243" i="1"/>
  <c r="AB255" i="1"/>
  <c r="BB255" i="1"/>
  <c r="BC260" i="1"/>
  <c r="BC263" i="1"/>
  <c r="AH255" i="1"/>
  <c r="BF260" i="1"/>
  <c r="BF261" i="1"/>
  <c r="BF262" i="1"/>
  <c r="BF263" i="1"/>
  <c r="V255" i="1"/>
  <c r="BM261" i="1"/>
  <c r="BD255" i="1"/>
  <c r="BF258" i="1"/>
  <c r="BI257" i="1"/>
  <c r="BL255" i="1"/>
  <c r="BL256" i="1"/>
  <c r="BI260" i="1"/>
  <c r="BI261" i="1"/>
  <c r="BI262" i="1"/>
  <c r="BI263" i="1"/>
  <c r="BL257" i="1"/>
  <c r="AU255" i="1"/>
  <c r="BM259" i="1"/>
  <c r="BL263" i="1"/>
  <c r="BL261" i="1"/>
  <c r="BL262" i="1"/>
  <c r="BF273" i="1"/>
  <c r="BH266" i="1"/>
  <c r="BM267" i="1"/>
  <c r="AU266" i="1"/>
  <c r="BM268" i="1"/>
  <c r="AV266" i="1"/>
  <c r="BM269" i="1"/>
  <c r="BM276" i="1"/>
  <c r="AH266" i="1"/>
  <c r="P266" i="1"/>
  <c r="BL266" i="1"/>
  <c r="AW267" i="1"/>
  <c r="BF274" i="1"/>
  <c r="BG266" i="1"/>
  <c r="BC269" i="1"/>
  <c r="BC272" i="1"/>
  <c r="BI275" i="1"/>
  <c r="AW268" i="1"/>
  <c r="AW274" i="1"/>
  <c r="BF275" i="1"/>
  <c r="BF276" i="1"/>
  <c r="BF277" i="1"/>
  <c r="BF288" i="1"/>
  <c r="BL280" i="1"/>
  <c r="AQ280" i="1"/>
  <c r="AW283" i="1"/>
  <c r="BM284" i="1"/>
  <c r="P280" i="1"/>
  <c r="BC283" i="1"/>
  <c r="BF282" i="1"/>
  <c r="AN280" i="1"/>
  <c r="AY280" i="1"/>
  <c r="BM285" i="1"/>
  <c r="Y280" i="1"/>
  <c r="Y292" i="1" s="1"/>
  <c r="BC284" i="1"/>
  <c r="BC287" i="1"/>
  <c r="BE280" i="1"/>
  <c r="BB280" i="1"/>
  <c r="BD280" i="1"/>
  <c r="AW288" i="1"/>
  <c r="Y294" i="1"/>
  <c r="BC295" i="1"/>
  <c r="BB294" i="1"/>
  <c r="AB294" i="1"/>
  <c r="AK294" i="1"/>
  <c r="BL294" i="1"/>
  <c r="BL295" i="1"/>
  <c r="AY294" i="1"/>
  <c r="BM296" i="1"/>
  <c r="BI298" i="1"/>
  <c r="BM298" i="1"/>
  <c r="M294" i="1"/>
  <c r="AX294" i="1"/>
  <c r="BG302" i="1"/>
  <c r="AU302" i="1"/>
  <c r="BL304" i="1"/>
  <c r="BA302" i="1"/>
  <c r="AU306" i="1"/>
  <c r="AX302" i="1"/>
  <c r="AX306" i="1" s="1"/>
  <c r="BG325" i="1"/>
  <c r="BE325" i="1"/>
  <c r="BD325" i="1"/>
  <c r="BG334" i="1"/>
  <c r="AQ334" i="1"/>
  <c r="BL336" i="1"/>
  <c r="BI338" i="1"/>
  <c r="BF346" i="1"/>
  <c r="BF347" i="1"/>
  <c r="AZ350" i="1"/>
  <c r="BM351" i="1"/>
  <c r="AN363" i="1"/>
  <c r="BE334" i="1"/>
  <c r="M334" i="1"/>
  <c r="V334" i="1"/>
  <c r="AW342" i="1"/>
  <c r="AW345" i="1"/>
  <c r="AW351" i="1"/>
  <c r="AW336" i="1"/>
  <c r="AW339" i="1"/>
  <c r="AU334" i="1"/>
  <c r="P334" i="1"/>
  <c r="P363" i="1" s="1"/>
  <c r="BL339" i="1"/>
  <c r="BA334" i="1"/>
  <c r="AX334" i="1"/>
  <c r="BC336" i="1"/>
  <c r="BC338" i="1"/>
  <c r="AZ339" i="1"/>
  <c r="BL343" i="1"/>
  <c r="AZ344" i="1"/>
  <c r="BL344" i="1"/>
  <c r="BL347" i="1"/>
  <c r="AW337" i="1"/>
  <c r="BD334" i="1"/>
  <c r="AB334" i="1"/>
  <c r="BF337" i="1"/>
  <c r="AW340" i="1"/>
  <c r="BC341" i="1"/>
  <c r="AZ347" i="1"/>
  <c r="BC348" i="1"/>
  <c r="BC346" i="1"/>
  <c r="J334" i="1"/>
  <c r="BL337" i="1"/>
  <c r="BM337" i="1"/>
  <c r="AZ349" i="1"/>
  <c r="AE334" i="1"/>
  <c r="AE363" i="1" s="1"/>
  <c r="BF339" i="1"/>
  <c r="BC344" i="1"/>
  <c r="BC345" i="1"/>
  <c r="BC347" i="1"/>
  <c r="BF358" i="1"/>
  <c r="AW354" i="1"/>
  <c r="AZ354" i="1"/>
  <c r="BI355" i="1"/>
  <c r="BI356" i="1"/>
  <c r="BL353" i="1"/>
  <c r="AV353" i="1"/>
  <c r="BI360" i="1"/>
  <c r="BM356" i="1"/>
  <c r="BM358" i="1"/>
  <c r="M353" i="1"/>
  <c r="BL356" i="1"/>
  <c r="AU353" i="1"/>
  <c r="Y353" i="1"/>
  <c r="BL361" i="1"/>
  <c r="BC356" i="1"/>
  <c r="BC358" i="1"/>
  <c r="BB353" i="1"/>
  <c r="BB363" i="1" s="1"/>
  <c r="BA325" i="1"/>
  <c r="BL327" i="1"/>
  <c r="AY325" i="1"/>
  <c r="BL326" i="1"/>
  <c r="BL325" i="1"/>
  <c r="AX325" i="1"/>
  <c r="AU325" i="1"/>
  <c r="BL217" i="1"/>
  <c r="AV216" i="1"/>
  <c r="AV224" i="1" s="1"/>
  <c r="BL224" i="1" s="1"/>
  <c r="AY216" i="1"/>
  <c r="AY224" i="1" s="1"/>
  <c r="BM107" i="1"/>
  <c r="AX292" i="1"/>
  <c r="AX25" i="1"/>
  <c r="AT12" i="1"/>
  <c r="AB8" i="1"/>
  <c r="AH8" i="1"/>
  <c r="AH25" i="1" s="1"/>
  <c r="AR10" i="1"/>
  <c r="AR13" i="1"/>
  <c r="AK8" i="1"/>
  <c r="AT10" i="1"/>
  <c r="N10" i="3"/>
  <c r="N9" i="3" s="1"/>
  <c r="AH20" i="1"/>
  <c r="BD20" i="1"/>
  <c r="AT9" i="1"/>
  <c r="BF9" i="1"/>
  <c r="AW10" i="1"/>
  <c r="BI10" i="1"/>
  <c r="P8" i="3"/>
  <c r="S8" i="3" s="1"/>
  <c r="BI12" i="1"/>
  <c r="BC12" i="1"/>
  <c r="M31" i="3"/>
  <c r="AG102" i="1"/>
  <c r="BG91" i="1"/>
  <c r="AZ11" i="1"/>
  <c r="BM11" i="1"/>
  <c r="AE25" i="1"/>
  <c r="AS23" i="1"/>
  <c r="BD54" i="1"/>
  <c r="AY56" i="1"/>
  <c r="D11" i="3"/>
  <c r="BM13" i="1"/>
  <c r="AZ13" i="1"/>
  <c r="O13" i="3"/>
  <c r="S14" i="3"/>
  <c r="O11" i="3"/>
  <c r="P5" i="3"/>
  <c r="BI15" i="1"/>
  <c r="BI20" i="1" s="1"/>
  <c r="AK34" i="1"/>
  <c r="BI36" i="1"/>
  <c r="BI34" i="1" s="1"/>
  <c r="AW45" i="1"/>
  <c r="AW52" i="1"/>
  <c r="C63" i="3"/>
  <c r="V305" i="1"/>
  <c r="V91" i="1"/>
  <c r="E9" i="3"/>
  <c r="AT13" i="1"/>
  <c r="AS17" i="1"/>
  <c r="AN8" i="1"/>
  <c r="AQ8" i="1"/>
  <c r="AQ99" i="1" s="1"/>
  <c r="AT360" i="1"/>
  <c r="AR359" i="1"/>
  <c r="AT354" i="1"/>
  <c r="BN354" i="1" s="1"/>
  <c r="AT351" i="1"/>
  <c r="BN351" i="1" s="1"/>
  <c r="AR350" i="1"/>
  <c r="AT345" i="1"/>
  <c r="AR344" i="1"/>
  <c r="AS360" i="1"/>
  <c r="AS354" i="1"/>
  <c r="AS351" i="1"/>
  <c r="AS345" i="1"/>
  <c r="AS361" i="1"/>
  <c r="AS355" i="1"/>
  <c r="AR361" i="1"/>
  <c r="AT356" i="1"/>
  <c r="BN356" i="1" s="1"/>
  <c r="AR355" i="1"/>
  <c r="AS357" i="1"/>
  <c r="AT358" i="1"/>
  <c r="AR357" i="1"/>
  <c r="AS359" i="1"/>
  <c r="AS344" i="1"/>
  <c r="AT340" i="1"/>
  <c r="BN340" i="1" s="1"/>
  <c r="AR339" i="1"/>
  <c r="AR360" i="1"/>
  <c r="AS356" i="1"/>
  <c r="AT350" i="1"/>
  <c r="AT348" i="1"/>
  <c r="AS340" i="1"/>
  <c r="AT320" i="1"/>
  <c r="AR356" i="1"/>
  <c r="AS350" i="1"/>
  <c r="AS348" i="1"/>
  <c r="AT341" i="1"/>
  <c r="BN341" i="1" s="1"/>
  <c r="AR340" i="1"/>
  <c r="AT335" i="1"/>
  <c r="AS326" i="1"/>
  <c r="AS320" i="1"/>
  <c r="AS304" i="1"/>
  <c r="AS295" i="1"/>
  <c r="AT359" i="1"/>
  <c r="AR348" i="1"/>
  <c r="AS341" i="1"/>
  <c r="AS335" i="1"/>
  <c r="AS329" i="1"/>
  <c r="AR326" i="1"/>
  <c r="AT321" i="1"/>
  <c r="BN321" i="1" s="1"/>
  <c r="AR320" i="1"/>
  <c r="AT318" i="1"/>
  <c r="BN318" i="1" s="1"/>
  <c r="AR304" i="1"/>
  <c r="AT296" i="1"/>
  <c r="BN296" i="1" s="1"/>
  <c r="AR295" i="1"/>
  <c r="AR345" i="1"/>
  <c r="AT342" i="1"/>
  <c r="AR341" i="1"/>
  <c r="AT336" i="1"/>
  <c r="AR335" i="1"/>
  <c r="AR329" i="1"/>
  <c r="AS321" i="1"/>
  <c r="AS318" i="1"/>
  <c r="AT355" i="1"/>
  <c r="AS342" i="1"/>
  <c r="AS336" i="1"/>
  <c r="AR321" i="1"/>
  <c r="AR318" i="1"/>
  <c r="AR305" i="1"/>
  <c r="AT297" i="1"/>
  <c r="AR296" i="1"/>
  <c r="AR342" i="1"/>
  <c r="AT337" i="1"/>
  <c r="BN337" i="1" s="1"/>
  <c r="AR336" i="1"/>
  <c r="AS297" i="1"/>
  <c r="AS358" i="1"/>
  <c r="AR351" i="1"/>
  <c r="AT346" i="1"/>
  <c r="BN346" i="1" s="1"/>
  <c r="AT343" i="1"/>
  <c r="BN343" i="1" s="1"/>
  <c r="AS337" i="1"/>
  <c r="AT314" i="1"/>
  <c r="BN314" i="1" s="1"/>
  <c r="AT298" i="1"/>
  <c r="BN298" i="1" s="1"/>
  <c r="AR297" i="1"/>
  <c r="AT361" i="1"/>
  <c r="BN361" i="1" s="1"/>
  <c r="AR358" i="1"/>
  <c r="AT349" i="1"/>
  <c r="AS346" i="1"/>
  <c r="AS343" i="1"/>
  <c r="AT338" i="1"/>
  <c r="BN338" i="1" s="1"/>
  <c r="AR337" i="1"/>
  <c r="AS328" i="1"/>
  <c r="AS314" i="1"/>
  <c r="AS298" i="1"/>
  <c r="AS349" i="1"/>
  <c r="AT347" i="1"/>
  <c r="AR346" i="1"/>
  <c r="AR343" i="1"/>
  <c r="AS338" i="1"/>
  <c r="AT357" i="1"/>
  <c r="AR354" i="1"/>
  <c r="AR349" i="1"/>
  <c r="AS347" i="1"/>
  <c r="AT339" i="1"/>
  <c r="AR338" i="1"/>
  <c r="AR327" i="1"/>
  <c r="AS299" i="1"/>
  <c r="AR347" i="1"/>
  <c r="AT344" i="1"/>
  <c r="AS339" i="1"/>
  <c r="AT303" i="1"/>
  <c r="AR299" i="1"/>
  <c r="AS327" i="1"/>
  <c r="AT304" i="1"/>
  <c r="AT284" i="1"/>
  <c r="BN284" i="1" s="1"/>
  <c r="AR283" i="1"/>
  <c r="AT275" i="1"/>
  <c r="BN275" i="1" s="1"/>
  <c r="AR274" i="1"/>
  <c r="AT269" i="1"/>
  <c r="AR268" i="1"/>
  <c r="AT260" i="1"/>
  <c r="BN260" i="1" s="1"/>
  <c r="AR259" i="1"/>
  <c r="AS252" i="1"/>
  <c r="AT248" i="1"/>
  <c r="AR247" i="1"/>
  <c r="AS303" i="1"/>
  <c r="AT299" i="1"/>
  <c r="BN299" i="1" s="1"/>
  <c r="AS284" i="1"/>
  <c r="AS275" i="1"/>
  <c r="AS269" i="1"/>
  <c r="AS260" i="1"/>
  <c r="AR252" i="1"/>
  <c r="AS248" i="1"/>
  <c r="AR303" i="1"/>
  <c r="AT291" i="1"/>
  <c r="BN291" i="1" s="1"/>
  <c r="AT285" i="1"/>
  <c r="AR284" i="1"/>
  <c r="AT276" i="1"/>
  <c r="AR275" i="1"/>
  <c r="AT270" i="1"/>
  <c r="BN270" i="1" s="1"/>
  <c r="AR269" i="1"/>
  <c r="AT261" i="1"/>
  <c r="BN261" i="1" s="1"/>
  <c r="AR260" i="1"/>
  <c r="AT249" i="1"/>
  <c r="BN249" i="1" s="1"/>
  <c r="AR248" i="1"/>
  <c r="AS291" i="1"/>
  <c r="AT289" i="1"/>
  <c r="BN289" i="1" s="1"/>
  <c r="AS285" i="1"/>
  <c r="AS276" i="1"/>
  <c r="AS270" i="1"/>
  <c r="AS261" i="1"/>
  <c r="AS249" i="1"/>
  <c r="AS240" i="1"/>
  <c r="AT295" i="1"/>
  <c r="AR291" i="1"/>
  <c r="AS289" i="1"/>
  <c r="AT286" i="1"/>
  <c r="AR285" i="1"/>
  <c r="AT277" i="1"/>
  <c r="AR276" i="1"/>
  <c r="AT271" i="1"/>
  <c r="AR270" i="1"/>
  <c r="AT262" i="1"/>
  <c r="AR261" i="1"/>
  <c r="AT256" i="1"/>
  <c r="AT250" i="1"/>
  <c r="AR249" i="1"/>
  <c r="AT244" i="1"/>
  <c r="AR240" i="1"/>
  <c r="AR298" i="1"/>
  <c r="AT287" i="1"/>
  <c r="AR286" i="1"/>
  <c r="AT281" i="1"/>
  <c r="AR277" i="1"/>
  <c r="AT272" i="1"/>
  <c r="AR271" i="1"/>
  <c r="AT263" i="1"/>
  <c r="AR262" i="1"/>
  <c r="AT257" i="1"/>
  <c r="AR256" i="1"/>
  <c r="AT251" i="1"/>
  <c r="BN251" i="1" s="1"/>
  <c r="AR250" i="1"/>
  <c r="AT245" i="1"/>
  <c r="AR244" i="1"/>
  <c r="AT288" i="1"/>
  <c r="AR287" i="1"/>
  <c r="AT282" i="1"/>
  <c r="AR281" i="1"/>
  <c r="AT273" i="1"/>
  <c r="AR272" i="1"/>
  <c r="AT267" i="1"/>
  <c r="BN267" i="1" s="1"/>
  <c r="AR263" i="1"/>
  <c r="AT258" i="1"/>
  <c r="AR257" i="1"/>
  <c r="AR251" i="1"/>
  <c r="AT246" i="1"/>
  <c r="AR245" i="1"/>
  <c r="AT290" i="1"/>
  <c r="BN290" i="1" s="1"/>
  <c r="AS288" i="1"/>
  <c r="AS282" i="1"/>
  <c r="AS273" i="1"/>
  <c r="AS267" i="1"/>
  <c r="AS258" i="1"/>
  <c r="AS246" i="1"/>
  <c r="AR328" i="1"/>
  <c r="AS296" i="1"/>
  <c r="AS290" i="1"/>
  <c r="AR288" i="1"/>
  <c r="AT283" i="1"/>
  <c r="BN283" i="1" s="1"/>
  <c r="AR282" i="1"/>
  <c r="AT274" i="1"/>
  <c r="BN274" i="1" s="1"/>
  <c r="AR273" i="1"/>
  <c r="AT268" i="1"/>
  <c r="BN268" i="1" s="1"/>
  <c r="AR267" i="1"/>
  <c r="AT259" i="1"/>
  <c r="AR258" i="1"/>
  <c r="AT247" i="1"/>
  <c r="BN247" i="1" s="1"/>
  <c r="AR290" i="1"/>
  <c r="AS283" i="1"/>
  <c r="AS274" i="1"/>
  <c r="AS268" i="1"/>
  <c r="AS259" i="1"/>
  <c r="AT252" i="1"/>
  <c r="BN252" i="1" s="1"/>
  <c r="AS247" i="1"/>
  <c r="AS272" i="1"/>
  <c r="AS251" i="1"/>
  <c r="AR239" i="1"/>
  <c r="AS235" i="1"/>
  <c r="AS229" i="1"/>
  <c r="AS220" i="1"/>
  <c r="AT212" i="1"/>
  <c r="BN212" i="1" s="1"/>
  <c r="AR211" i="1"/>
  <c r="AT206" i="1"/>
  <c r="BN206" i="1" s="1"/>
  <c r="AR205" i="1"/>
  <c r="AT200" i="1"/>
  <c r="BN200" i="1" s="1"/>
  <c r="AR199" i="1"/>
  <c r="AT194" i="1"/>
  <c r="BN194" i="1" s="1"/>
  <c r="AR314" i="1"/>
  <c r="AS271" i="1"/>
  <c r="AS250" i="1"/>
  <c r="AT236" i="1"/>
  <c r="BN236" i="1" s="1"/>
  <c r="AR235" i="1"/>
  <c r="AT230" i="1"/>
  <c r="BN230" i="1" s="1"/>
  <c r="AR229" i="1"/>
  <c r="AT221" i="1"/>
  <c r="BN221" i="1" s="1"/>
  <c r="AR220" i="1"/>
  <c r="AS212" i="1"/>
  <c r="AS206" i="1"/>
  <c r="AS200" i="1"/>
  <c r="AS194" i="1"/>
  <c r="AS263" i="1"/>
  <c r="AS236" i="1"/>
  <c r="AS230" i="1"/>
  <c r="AS221" i="1"/>
  <c r="AR212" i="1"/>
  <c r="AT207" i="1"/>
  <c r="BN207" i="1" s="1"/>
  <c r="AR206" i="1"/>
  <c r="AT201" i="1"/>
  <c r="BN201" i="1" s="1"/>
  <c r="AR200" i="1"/>
  <c r="AT195" i="1"/>
  <c r="BN195" i="1" s="1"/>
  <c r="AR194" i="1"/>
  <c r="AS305" i="1"/>
  <c r="AS262" i="1"/>
  <c r="AT240" i="1"/>
  <c r="AT237" i="1"/>
  <c r="AR236" i="1"/>
  <c r="AT231" i="1"/>
  <c r="AR230" i="1"/>
  <c r="AT222" i="1"/>
  <c r="AR221" i="1"/>
  <c r="AS207" i="1"/>
  <c r="AS201" i="1"/>
  <c r="AS195" i="1"/>
  <c r="AS287" i="1"/>
  <c r="AS237" i="1"/>
  <c r="AS231" i="1"/>
  <c r="AS222" i="1"/>
  <c r="AT208" i="1"/>
  <c r="AR207" i="1"/>
  <c r="AT202" i="1"/>
  <c r="AR201" i="1"/>
  <c r="AT196" i="1"/>
  <c r="AR195" i="1"/>
  <c r="AS286" i="1"/>
  <c r="AT238" i="1"/>
  <c r="AR237" i="1"/>
  <c r="AT232" i="1"/>
  <c r="AR231" i="1"/>
  <c r="AT223" i="1"/>
  <c r="AR222" i="1"/>
  <c r="AT217" i="1"/>
  <c r="AS208" i="1"/>
  <c r="AS202" i="1"/>
  <c r="AS196" i="1"/>
  <c r="AR289" i="1"/>
  <c r="AS277" i="1"/>
  <c r="AS257" i="1"/>
  <c r="AS233" i="1"/>
  <c r="AS227" i="1"/>
  <c r="AS218" i="1"/>
  <c r="AT210" i="1"/>
  <c r="BN210" i="1" s="1"/>
  <c r="AR209" i="1"/>
  <c r="AT204" i="1"/>
  <c r="BN204" i="1" s="1"/>
  <c r="AR203" i="1"/>
  <c r="AT198" i="1"/>
  <c r="BN198" i="1" s="1"/>
  <c r="AR197" i="1"/>
  <c r="AS256" i="1"/>
  <c r="AT234" i="1"/>
  <c r="AR233" i="1"/>
  <c r="AT228" i="1"/>
  <c r="AR227" i="1"/>
  <c r="AT219" i="1"/>
  <c r="AR218" i="1"/>
  <c r="AS210" i="1"/>
  <c r="AS204" i="1"/>
  <c r="AS198" i="1"/>
  <c r="AS281" i="1"/>
  <c r="AS244" i="1"/>
  <c r="AT239" i="1"/>
  <c r="BN239" i="1" s="1"/>
  <c r="AS234" i="1"/>
  <c r="AS228" i="1"/>
  <c r="AS219" i="1"/>
  <c r="AT211" i="1"/>
  <c r="BN211" i="1" s="1"/>
  <c r="AR210" i="1"/>
  <c r="AR204" i="1"/>
  <c r="AR198" i="1"/>
  <c r="AS239" i="1"/>
  <c r="AT235" i="1"/>
  <c r="BN235" i="1" s="1"/>
  <c r="AR234" i="1"/>
  <c r="AT229" i="1"/>
  <c r="AR228" i="1"/>
  <c r="AT220" i="1"/>
  <c r="BN220" i="1" s="1"/>
  <c r="AR219" i="1"/>
  <c r="AS211" i="1"/>
  <c r="AS205" i="1"/>
  <c r="AS199" i="1"/>
  <c r="AS193" i="1"/>
  <c r="AS190" i="1"/>
  <c r="AS184" i="1"/>
  <c r="AR176" i="1"/>
  <c r="AT174" i="1"/>
  <c r="BN174" i="1" s="1"/>
  <c r="AS169" i="1"/>
  <c r="AR164" i="1"/>
  <c r="AT162" i="1"/>
  <c r="BN162" i="1" s="1"/>
  <c r="AS157" i="1"/>
  <c r="AR152" i="1"/>
  <c r="AT150" i="1"/>
  <c r="BN150" i="1" s="1"/>
  <c r="AS145" i="1"/>
  <c r="AR140" i="1"/>
  <c r="AT138" i="1"/>
  <c r="BN138" i="1" s="1"/>
  <c r="AS133" i="1"/>
  <c r="AR128" i="1"/>
  <c r="AT126" i="1"/>
  <c r="BN126" i="1" s="1"/>
  <c r="AS121" i="1"/>
  <c r="AS115" i="1"/>
  <c r="AS109" i="1"/>
  <c r="AT233" i="1"/>
  <c r="AT191" i="1"/>
  <c r="BN191" i="1" s="1"/>
  <c r="AR190" i="1"/>
  <c r="AT185" i="1"/>
  <c r="BN185" i="1" s="1"/>
  <c r="AR184" i="1"/>
  <c r="AS174" i="1"/>
  <c r="AR169" i="1"/>
  <c r="AT167" i="1"/>
  <c r="BN167" i="1" s="1"/>
  <c r="AS162" i="1"/>
  <c r="AR157" i="1"/>
  <c r="AT155" i="1"/>
  <c r="BN155" i="1" s="1"/>
  <c r="AS150" i="1"/>
  <c r="AR145" i="1"/>
  <c r="AT143" i="1"/>
  <c r="BN143" i="1" s="1"/>
  <c r="AS138" i="1"/>
  <c r="AR133" i="1"/>
  <c r="AT131" i="1"/>
  <c r="BN131" i="1" s="1"/>
  <c r="AS126" i="1"/>
  <c r="AR121" i="1"/>
  <c r="AT116" i="1"/>
  <c r="BN116" i="1" s="1"/>
  <c r="AR115" i="1"/>
  <c r="AT218" i="1"/>
  <c r="AS191" i="1"/>
  <c r="AS185" i="1"/>
  <c r="AS179" i="1"/>
  <c r="AR174" i="1"/>
  <c r="AT172" i="1"/>
  <c r="BN172" i="1" s="1"/>
  <c r="AS167" i="1"/>
  <c r="AR162" i="1"/>
  <c r="AT160" i="1"/>
  <c r="BN160" i="1" s="1"/>
  <c r="AS155" i="1"/>
  <c r="AR150" i="1"/>
  <c r="AT148" i="1"/>
  <c r="BN148" i="1" s="1"/>
  <c r="AS143" i="1"/>
  <c r="AR138" i="1"/>
  <c r="AT136" i="1"/>
  <c r="BN136" i="1" s="1"/>
  <c r="AS131" i="1"/>
  <c r="AR126" i="1"/>
  <c r="AT124" i="1"/>
  <c r="BN124" i="1" s="1"/>
  <c r="AS116" i="1"/>
  <c r="AS232" i="1"/>
  <c r="AT192" i="1"/>
  <c r="AR191" i="1"/>
  <c r="AR185" i="1"/>
  <c r="AT180" i="1"/>
  <c r="AR179" i="1"/>
  <c r="AT177" i="1"/>
  <c r="BN177" i="1" s="1"/>
  <c r="AS172" i="1"/>
  <c r="AR167" i="1"/>
  <c r="AT165" i="1"/>
  <c r="BN165" i="1" s="1"/>
  <c r="AS160" i="1"/>
  <c r="AR155" i="1"/>
  <c r="AT153" i="1"/>
  <c r="BN153" i="1" s="1"/>
  <c r="AS148" i="1"/>
  <c r="AR143" i="1"/>
  <c r="AT141" i="1"/>
  <c r="BN141" i="1" s="1"/>
  <c r="AS136" i="1"/>
  <c r="AR131" i="1"/>
  <c r="AT129" i="1"/>
  <c r="BN129" i="1" s="1"/>
  <c r="AS124" i="1"/>
  <c r="AT117" i="1"/>
  <c r="AR116" i="1"/>
  <c r="AT111" i="1"/>
  <c r="AR110" i="1"/>
  <c r="AR232" i="1"/>
  <c r="AS217" i="1"/>
  <c r="AS192" i="1"/>
  <c r="AS186" i="1"/>
  <c r="AS180" i="1"/>
  <c r="AS177" i="1"/>
  <c r="AR172" i="1"/>
  <c r="AT170" i="1"/>
  <c r="BN170" i="1" s="1"/>
  <c r="AS165" i="1"/>
  <c r="AR160" i="1"/>
  <c r="AT158" i="1"/>
  <c r="BN158" i="1" s="1"/>
  <c r="AS153" i="1"/>
  <c r="AR148" i="1"/>
  <c r="AT146" i="1"/>
  <c r="BN146" i="1" s="1"/>
  <c r="AS141" i="1"/>
  <c r="AR136" i="1"/>
  <c r="AT134" i="1"/>
  <c r="BN134" i="1" s="1"/>
  <c r="AS129" i="1"/>
  <c r="AR124" i="1"/>
  <c r="AT122" i="1"/>
  <c r="BN122" i="1" s="1"/>
  <c r="AS117" i="1"/>
  <c r="AR246" i="1"/>
  <c r="AS245" i="1"/>
  <c r="AS238" i="1"/>
  <c r="AR217" i="1"/>
  <c r="AT209" i="1"/>
  <c r="AR192" i="1"/>
  <c r="AT187" i="1"/>
  <c r="AR186" i="1"/>
  <c r="AR180" i="1"/>
  <c r="AR177" i="1"/>
  <c r="AT175" i="1"/>
  <c r="BN175" i="1" s="1"/>
  <c r="AS170" i="1"/>
  <c r="AR165" i="1"/>
  <c r="AT163" i="1"/>
  <c r="BN163" i="1" s="1"/>
  <c r="AS158" i="1"/>
  <c r="AR153" i="1"/>
  <c r="AT151" i="1"/>
  <c r="BN151" i="1" s="1"/>
  <c r="AS146" i="1"/>
  <c r="AR141" i="1"/>
  <c r="AT139" i="1"/>
  <c r="BN139" i="1" s="1"/>
  <c r="AS134" i="1"/>
  <c r="AR129" i="1"/>
  <c r="AT127" i="1"/>
  <c r="BN127" i="1" s="1"/>
  <c r="AS122" i="1"/>
  <c r="AT118" i="1"/>
  <c r="AR238" i="1"/>
  <c r="AS223" i="1"/>
  <c r="AS209" i="1"/>
  <c r="AT203" i="1"/>
  <c r="AS187" i="1"/>
  <c r="AS181" i="1"/>
  <c r="AS175" i="1"/>
  <c r="AR170" i="1"/>
  <c r="AT168" i="1"/>
  <c r="BN168" i="1" s="1"/>
  <c r="AS163" i="1"/>
  <c r="AR158" i="1"/>
  <c r="AT156" i="1"/>
  <c r="BN156" i="1" s="1"/>
  <c r="AS151" i="1"/>
  <c r="AR146" i="1"/>
  <c r="AT144" i="1"/>
  <c r="BN144" i="1" s="1"/>
  <c r="AS139" i="1"/>
  <c r="AR134" i="1"/>
  <c r="AT132" i="1"/>
  <c r="BN132" i="1" s="1"/>
  <c r="AS127" i="1"/>
  <c r="AR122" i="1"/>
  <c r="AS118" i="1"/>
  <c r="AR223" i="1"/>
  <c r="AR208" i="1"/>
  <c r="AS203" i="1"/>
  <c r="AT197" i="1"/>
  <c r="BN197" i="1" s="1"/>
  <c r="AT193" i="1"/>
  <c r="AR187" i="1"/>
  <c r="AR181" i="1"/>
  <c r="AR175" i="1"/>
  <c r="AT173" i="1"/>
  <c r="BN173" i="1" s="1"/>
  <c r="AS168" i="1"/>
  <c r="AR163" i="1"/>
  <c r="AT161" i="1"/>
  <c r="BN161" i="1" s="1"/>
  <c r="AS156" i="1"/>
  <c r="AR151" i="1"/>
  <c r="AT149" i="1"/>
  <c r="BN149" i="1" s="1"/>
  <c r="AS144" i="1"/>
  <c r="AR139" i="1"/>
  <c r="AT137" i="1"/>
  <c r="BN137" i="1" s="1"/>
  <c r="AS132" i="1"/>
  <c r="AR127" i="1"/>
  <c r="AT125" i="1"/>
  <c r="BN125" i="1" s="1"/>
  <c r="AT119" i="1"/>
  <c r="AR118" i="1"/>
  <c r="AT113" i="1"/>
  <c r="AR112" i="1"/>
  <c r="AR202" i="1"/>
  <c r="AS197" i="1"/>
  <c r="AR193" i="1"/>
  <c r="AS188" i="1"/>
  <c r="AS182" i="1"/>
  <c r="AT178" i="1"/>
  <c r="BN178" i="1" s="1"/>
  <c r="AS173" i="1"/>
  <c r="AR168" i="1"/>
  <c r="AT166" i="1"/>
  <c r="BN166" i="1" s="1"/>
  <c r="AS161" i="1"/>
  <c r="AR156" i="1"/>
  <c r="AT154" i="1"/>
  <c r="BN154" i="1" s="1"/>
  <c r="AS149" i="1"/>
  <c r="AR144" i="1"/>
  <c r="AT142" i="1"/>
  <c r="BN142" i="1" s="1"/>
  <c r="AS137" i="1"/>
  <c r="AR132" i="1"/>
  <c r="AT130" i="1"/>
  <c r="BN130" i="1" s="1"/>
  <c r="AS125" i="1"/>
  <c r="AS119" i="1"/>
  <c r="AR196" i="1"/>
  <c r="AT189" i="1"/>
  <c r="BN189" i="1" s="1"/>
  <c r="AR188" i="1"/>
  <c r="AT183" i="1"/>
  <c r="BN183" i="1" s="1"/>
  <c r="AR182" i="1"/>
  <c r="AS178" i="1"/>
  <c r="AR173" i="1"/>
  <c r="AT171" i="1"/>
  <c r="BN171" i="1" s="1"/>
  <c r="AS166" i="1"/>
  <c r="AR161" i="1"/>
  <c r="AT159" i="1"/>
  <c r="BN159" i="1" s="1"/>
  <c r="AS154" i="1"/>
  <c r="AR149" i="1"/>
  <c r="AT147" i="1"/>
  <c r="BN147" i="1" s="1"/>
  <c r="AS142" i="1"/>
  <c r="AR137" i="1"/>
  <c r="AT135" i="1"/>
  <c r="BN135" i="1" s="1"/>
  <c r="AS130" i="1"/>
  <c r="AR125" i="1"/>
  <c r="AT123" i="1"/>
  <c r="BN123" i="1" s="1"/>
  <c r="AT120" i="1"/>
  <c r="BN120" i="1" s="1"/>
  <c r="AR119" i="1"/>
  <c r="AT114" i="1"/>
  <c r="BN114" i="1" s="1"/>
  <c r="AR113" i="1"/>
  <c r="AS189" i="1"/>
  <c r="AS183" i="1"/>
  <c r="AR178" i="1"/>
  <c r="AT176" i="1"/>
  <c r="BN176" i="1" s="1"/>
  <c r="AS171" i="1"/>
  <c r="AR166" i="1"/>
  <c r="AT164" i="1"/>
  <c r="BN164" i="1" s="1"/>
  <c r="AS159" i="1"/>
  <c r="AR154" i="1"/>
  <c r="AT152" i="1"/>
  <c r="BN152" i="1" s="1"/>
  <c r="AS147" i="1"/>
  <c r="AR142" i="1"/>
  <c r="AT140" i="1"/>
  <c r="BN140" i="1" s="1"/>
  <c r="AS135" i="1"/>
  <c r="AR130" i="1"/>
  <c r="AT128" i="1"/>
  <c r="BN128" i="1" s="1"/>
  <c r="AS123" i="1"/>
  <c r="AS120" i="1"/>
  <c r="AS114" i="1"/>
  <c r="AT227" i="1"/>
  <c r="AR189" i="1"/>
  <c r="AT184" i="1"/>
  <c r="BN184" i="1" s="1"/>
  <c r="AR183" i="1"/>
  <c r="AS176" i="1"/>
  <c r="AR171" i="1"/>
  <c r="AT169" i="1"/>
  <c r="BN169" i="1" s="1"/>
  <c r="AS164" i="1"/>
  <c r="AR159" i="1"/>
  <c r="AT157" i="1"/>
  <c r="BN157" i="1" s="1"/>
  <c r="AS152" i="1"/>
  <c r="AR147" i="1"/>
  <c r="AT145" i="1"/>
  <c r="BN145" i="1" s="1"/>
  <c r="AS140" i="1"/>
  <c r="AR135" i="1"/>
  <c r="AT133" i="1"/>
  <c r="BN133" i="1" s="1"/>
  <c r="AS128" i="1"/>
  <c r="AR123" i="1"/>
  <c r="AT121" i="1"/>
  <c r="BN121" i="1" s="1"/>
  <c r="AR120" i="1"/>
  <c r="AT115" i="1"/>
  <c r="BN115" i="1" s="1"/>
  <c r="AR114" i="1"/>
  <c r="AS110" i="1"/>
  <c r="AS98" i="1"/>
  <c r="AS84" i="1"/>
  <c r="AS78" i="1"/>
  <c r="AS69" i="1"/>
  <c r="AS63" i="1"/>
  <c r="AS57" i="1"/>
  <c r="AS48" i="1"/>
  <c r="AS107" i="1"/>
  <c r="AR98" i="1"/>
  <c r="AR84" i="1"/>
  <c r="AT79" i="1"/>
  <c r="BN79" i="1" s="1"/>
  <c r="AR78" i="1"/>
  <c r="AR69" i="1"/>
  <c r="AT64" i="1"/>
  <c r="BN64" i="1" s="1"/>
  <c r="AR63" i="1"/>
  <c r="AR107" i="1"/>
  <c r="AS79" i="1"/>
  <c r="AS73" i="1"/>
  <c r="AS70" i="1"/>
  <c r="AS64" i="1"/>
  <c r="AS58" i="1"/>
  <c r="AT80" i="1"/>
  <c r="BN80" i="1" s="1"/>
  <c r="AR79" i="1"/>
  <c r="AT74" i="1"/>
  <c r="BN74" i="1" s="1"/>
  <c r="AR73" i="1"/>
  <c r="AT71" i="1"/>
  <c r="BN71" i="1" s="1"/>
  <c r="AR70" i="1"/>
  <c r="AR64" i="1"/>
  <c r="AT59" i="1"/>
  <c r="BN59" i="1" s="1"/>
  <c r="AR58" i="1"/>
  <c r="AS111" i="1"/>
  <c r="AT108" i="1"/>
  <c r="AS80" i="1"/>
  <c r="AS74" i="1"/>
  <c r="AS71" i="1"/>
  <c r="AS65" i="1"/>
  <c r="AS59" i="1"/>
  <c r="AR111" i="1"/>
  <c r="AS108" i="1"/>
  <c r="AT95" i="1"/>
  <c r="AT89" i="1"/>
  <c r="AT81" i="1"/>
  <c r="AR80" i="1"/>
  <c r="AT75" i="1"/>
  <c r="AR74" i="1"/>
  <c r="AR71" i="1"/>
  <c r="AT66" i="1"/>
  <c r="AR65" i="1"/>
  <c r="AR59" i="1"/>
  <c r="AS113" i="1"/>
  <c r="AR108" i="1"/>
  <c r="AS95" i="1"/>
  <c r="AS89" i="1"/>
  <c r="AS81" i="1"/>
  <c r="AS75" i="1"/>
  <c r="AS66" i="1"/>
  <c r="AS60" i="1"/>
  <c r="AR117" i="1"/>
  <c r="AT109" i="1"/>
  <c r="AS96" i="1"/>
  <c r="AS90" i="1"/>
  <c r="AS82" i="1"/>
  <c r="AS76" i="1"/>
  <c r="AT72" i="1"/>
  <c r="AS67" i="1"/>
  <c r="AS61" i="1"/>
  <c r="AR109" i="1"/>
  <c r="AT97" i="1"/>
  <c r="AR96" i="1"/>
  <c r="AR90" i="1"/>
  <c r="AT83" i="1"/>
  <c r="AR82" i="1"/>
  <c r="AR76" i="1"/>
  <c r="AS72" i="1"/>
  <c r="AT68" i="1"/>
  <c r="AR67" i="1"/>
  <c r="AT62" i="1"/>
  <c r="BN62" i="1" s="1"/>
  <c r="AR61" i="1"/>
  <c r="AT112" i="1"/>
  <c r="AS97" i="1"/>
  <c r="AS83" i="1"/>
  <c r="AS112" i="1"/>
  <c r="AT110" i="1"/>
  <c r="AT98" i="1"/>
  <c r="BN98" i="1" s="1"/>
  <c r="AR97" i="1"/>
  <c r="AT84" i="1"/>
  <c r="BN84" i="1" s="1"/>
  <c r="AR83" i="1"/>
  <c r="AT78" i="1"/>
  <c r="BN78" i="1" s="1"/>
  <c r="AR77" i="1"/>
  <c r="AT69" i="1"/>
  <c r="AR68" i="1"/>
  <c r="AT63" i="1"/>
  <c r="BN63" i="1" s="1"/>
  <c r="AR62" i="1"/>
  <c r="AS68" i="1"/>
  <c r="AT52" i="1"/>
  <c r="BN52" i="1" s="1"/>
  <c r="AS43" i="1"/>
  <c r="AT29" i="1"/>
  <c r="BN29" i="1" s="1"/>
  <c r="AR28" i="1"/>
  <c r="AR19" i="1"/>
  <c r="AT14" i="1"/>
  <c r="BN14" i="1" s="1"/>
  <c r="AR60" i="1"/>
  <c r="AS52" i="1"/>
  <c r="AT44" i="1"/>
  <c r="AR43" i="1"/>
  <c r="AS35" i="1"/>
  <c r="AS29" i="1"/>
  <c r="AS20" i="1"/>
  <c r="AS14" i="1"/>
  <c r="AT67" i="1"/>
  <c r="BN67" i="1" s="1"/>
  <c r="AT58" i="1"/>
  <c r="AR52" i="1"/>
  <c r="AS49" i="1"/>
  <c r="AS44" i="1"/>
  <c r="AT36" i="1"/>
  <c r="BN36" i="1" s="1"/>
  <c r="AR35" i="1"/>
  <c r="AR29" i="1"/>
  <c r="AR20" i="1"/>
  <c r="AT15" i="1"/>
  <c r="BN15" i="1" s="1"/>
  <c r="AR14" i="1"/>
  <c r="AT90" i="1"/>
  <c r="AS77" i="1"/>
  <c r="AR49" i="1"/>
  <c r="AT45" i="1"/>
  <c r="BN45" i="1" s="1"/>
  <c r="AR44" i="1"/>
  <c r="AS36" i="1"/>
  <c r="AS30" i="1"/>
  <c r="AS15" i="1"/>
  <c r="AR89" i="1"/>
  <c r="AR66" i="1"/>
  <c r="AS62" i="1"/>
  <c r="AS45" i="1"/>
  <c r="AT37" i="1"/>
  <c r="AR36" i="1"/>
  <c r="AR30" i="1"/>
  <c r="AT22" i="1"/>
  <c r="AT16" i="1"/>
  <c r="AR15" i="1"/>
  <c r="AT50" i="1"/>
  <c r="AT46" i="1"/>
  <c r="AR45" i="1"/>
  <c r="AS37" i="1"/>
  <c r="AS22" i="1"/>
  <c r="AS16" i="1"/>
  <c r="AS10" i="1"/>
  <c r="AR95" i="1"/>
  <c r="AT76" i="1"/>
  <c r="AS47" i="1"/>
  <c r="AR38" i="1"/>
  <c r="AT24" i="1"/>
  <c r="AR23" i="1"/>
  <c r="AT18" i="1"/>
  <c r="AR17" i="1"/>
  <c r="AT51" i="1"/>
  <c r="AR47" i="1"/>
  <c r="AS24" i="1"/>
  <c r="AS18" i="1"/>
  <c r="AR75" i="1"/>
  <c r="AS51" i="1"/>
  <c r="AT48" i="1"/>
  <c r="AR24" i="1"/>
  <c r="AT19" i="1"/>
  <c r="AR18" i="1"/>
  <c r="AR72" i="1"/>
  <c r="AR51" i="1"/>
  <c r="AR48" i="1"/>
  <c r="AS28" i="1"/>
  <c r="AS19" i="1"/>
  <c r="AS13" i="1"/>
  <c r="J8" i="1"/>
  <c r="J241" i="1" s="1"/>
  <c r="T3" i="1"/>
  <c r="M8" i="1"/>
  <c r="M292" i="1" s="1"/>
  <c r="V3" i="1"/>
  <c r="P8" i="1"/>
  <c r="P25" i="1" s="1"/>
  <c r="Y3" i="1"/>
  <c r="S8" i="1"/>
  <c r="S91" i="1" s="1"/>
  <c r="AW9" i="1"/>
  <c r="BI9" i="1"/>
  <c r="AZ10" i="1"/>
  <c r="BM10" i="1"/>
  <c r="D8" i="3"/>
  <c r="G8" i="3" s="1"/>
  <c r="T8" i="3" s="1"/>
  <c r="BM12" i="1"/>
  <c r="AZ12" i="1"/>
  <c r="AW12" i="1"/>
  <c r="AR12" i="1"/>
  <c r="BF12" i="1"/>
  <c r="Q4" i="3"/>
  <c r="BL18" i="1"/>
  <c r="AK25" i="1"/>
  <c r="BH25" i="1"/>
  <c r="AE42" i="1"/>
  <c r="BA42" i="1"/>
  <c r="BD53" i="1"/>
  <c r="AR50" i="1"/>
  <c r="AS11" i="1"/>
  <c r="J10" i="3"/>
  <c r="J9" i="3" s="1"/>
  <c r="Y20" i="1"/>
  <c r="AV21" i="1"/>
  <c r="AV32" i="1" s="1"/>
  <c r="BL24" i="1"/>
  <c r="BL27" i="1"/>
  <c r="AY39" i="1"/>
  <c r="AS50" i="1"/>
  <c r="BI66" i="1"/>
  <c r="BI65" i="1" s="1"/>
  <c r="AK65" i="1"/>
  <c r="AK56" i="1" s="1"/>
  <c r="AW81" i="1"/>
  <c r="BM81" i="1"/>
  <c r="AZ81" i="1"/>
  <c r="AR81" i="1"/>
  <c r="AT82" i="1"/>
  <c r="BH99" i="1"/>
  <c r="I10" i="3"/>
  <c r="I9" i="3" s="1"/>
  <c r="V20" i="1"/>
  <c r="AU32" i="1"/>
  <c r="AU40" i="1" s="1"/>
  <c r="AX32" i="1"/>
  <c r="AX40" i="1" s="1"/>
  <c r="AS46" i="1"/>
  <c r="BG42" i="1"/>
  <c r="AZ9" i="1"/>
  <c r="BM9" i="1"/>
  <c r="AE8" i="1"/>
  <c r="AE91" i="1" s="1"/>
  <c r="S12" i="3"/>
  <c r="AT11" i="1"/>
  <c r="BF11" i="1"/>
  <c r="R9" i="3"/>
  <c r="L10" i="3"/>
  <c r="L9" i="3" s="1"/>
  <c r="BF14" i="1"/>
  <c r="AB20" i="1"/>
  <c r="BA20" i="1"/>
  <c r="BA25" i="1"/>
  <c r="BA32" i="1"/>
  <c r="BA40" i="1" s="1"/>
  <c r="P39" i="1"/>
  <c r="AQ39" i="1"/>
  <c r="AK43" i="1"/>
  <c r="AK42" i="1" s="1"/>
  <c r="BI44" i="1"/>
  <c r="BB42" i="1"/>
  <c r="BM47" i="1"/>
  <c r="AT47" i="1"/>
  <c r="P99" i="1"/>
  <c r="J43" i="1"/>
  <c r="AW46" i="1"/>
  <c r="BM46" i="1"/>
  <c r="AZ46" i="1"/>
  <c r="AT96" i="1"/>
  <c r="BN96" i="1" s="1"/>
  <c r="D6" i="3"/>
  <c r="G6" i="3" s="1"/>
  <c r="AW16" i="1"/>
  <c r="BM16" i="1"/>
  <c r="AZ16" i="1"/>
  <c r="AZ20" i="1" s="1"/>
  <c r="AR16" i="1"/>
  <c r="H15" i="3"/>
  <c r="K15" i="3" s="1"/>
  <c r="U11" i="2"/>
  <c r="BC18" i="1"/>
  <c r="BK20" i="1"/>
  <c r="BL20" i="1" s="1"/>
  <c r="BB25" i="1"/>
  <c r="S21" i="1"/>
  <c r="BC24" i="1"/>
  <c r="BC21" i="1" s="1"/>
  <c r="BE32" i="1"/>
  <c r="BB32" i="1"/>
  <c r="S39" i="1"/>
  <c r="AW37" i="1"/>
  <c r="BM37" i="1"/>
  <c r="AZ37" i="1"/>
  <c r="AR37" i="1"/>
  <c r="BK42" i="1"/>
  <c r="BL42" i="1" s="1"/>
  <c r="BM48" i="1"/>
  <c r="AX54" i="1"/>
  <c r="AN25" i="1"/>
  <c r="BD39" i="1"/>
  <c r="AR46" i="1"/>
  <c r="AY214" i="1"/>
  <c r="BG107" i="1"/>
  <c r="BG106" i="1" s="1"/>
  <c r="J33" i="3"/>
  <c r="J27" i="3"/>
  <c r="V25" i="1"/>
  <c r="BB34" i="1"/>
  <c r="AQ43" i="1"/>
  <c r="AQ42" i="1" s="1"/>
  <c r="BG60" i="1"/>
  <c r="BG56" i="1" s="1"/>
  <c r="AW50" i="1"/>
  <c r="AW49" i="1" s="1"/>
  <c r="AZ50" i="1"/>
  <c r="AZ49" i="1" s="1"/>
  <c r="BM50" i="1"/>
  <c r="J49" i="1"/>
  <c r="BM49" i="1" s="1"/>
  <c r="BC9" i="1"/>
  <c r="BF10" i="1"/>
  <c r="G12" i="3"/>
  <c r="T12" i="3" s="1"/>
  <c r="AR9" i="1"/>
  <c r="AW11" i="1"/>
  <c r="BI11" i="1"/>
  <c r="BE20" i="1"/>
  <c r="AT17" i="1"/>
  <c r="BN17" i="1" s="1"/>
  <c r="L16" i="3"/>
  <c r="BF19" i="1"/>
  <c r="AQ25" i="1"/>
  <c r="AB39" i="1"/>
  <c r="AE39" i="1"/>
  <c r="BA39" i="1"/>
  <c r="AS38" i="1"/>
  <c r="AV53" i="1"/>
  <c r="BL53" i="1" s="1"/>
  <c r="AV54" i="1"/>
  <c r="BL54" i="1" s="1"/>
  <c r="BI45" i="1"/>
  <c r="BC47" i="1"/>
  <c r="BC43" i="1" s="1"/>
  <c r="S43" i="1"/>
  <c r="S42" i="1" s="1"/>
  <c r="AW48" i="1"/>
  <c r="AW51" i="1"/>
  <c r="AT61" i="1"/>
  <c r="BN61" i="1" s="1"/>
  <c r="AV292" i="1"/>
  <c r="BL292" i="1" s="1"/>
  <c r="AV91" i="1"/>
  <c r="BL91" i="1" s="1"/>
  <c r="AS12" i="1"/>
  <c r="C64" i="3"/>
  <c r="Y305" i="1"/>
  <c r="M10" i="3"/>
  <c r="M9" i="3" s="1"/>
  <c r="AE20" i="1"/>
  <c r="AS9" i="1"/>
  <c r="K13" i="3"/>
  <c r="T13" i="3" s="1"/>
  <c r="K11" i="3"/>
  <c r="H9" i="3"/>
  <c r="L4" i="3"/>
  <c r="O5" i="3"/>
  <c r="AW22" i="1"/>
  <c r="J21" i="1"/>
  <c r="BM22" i="1"/>
  <c r="AZ22" i="1"/>
  <c r="AR22" i="1"/>
  <c r="AU39" i="1"/>
  <c r="AT38" i="1"/>
  <c r="BN38" i="1" s="1"/>
  <c r="BG39" i="1"/>
  <c r="P53" i="1"/>
  <c r="P54" i="1"/>
  <c r="AN54" i="1"/>
  <c r="BC48" i="1"/>
  <c r="BC51" i="1"/>
  <c r="BC49" i="1" s="1"/>
  <c r="AR57" i="1"/>
  <c r="J4" i="3"/>
  <c r="AW15" i="1"/>
  <c r="AW20" i="1" s="1"/>
  <c r="E33" i="3"/>
  <c r="E27" i="3"/>
  <c r="M20" i="1"/>
  <c r="AB57" i="1"/>
  <c r="AW58" i="1"/>
  <c r="BI59" i="1"/>
  <c r="BC64" i="1"/>
  <c r="BC60" i="1" s="1"/>
  <c r="BM69" i="1"/>
  <c r="BM72" i="1"/>
  <c r="AW74" i="1"/>
  <c r="X102" i="1"/>
  <c r="BA91" i="1"/>
  <c r="BI94" i="1"/>
  <c r="D15" i="3"/>
  <c r="R11" i="2"/>
  <c r="R12" i="2" s="1"/>
  <c r="F33" i="3"/>
  <c r="F27" i="3"/>
  <c r="M39" i="1"/>
  <c r="AW44" i="1"/>
  <c r="BI50" i="1"/>
  <c r="BI49" i="1" s="1"/>
  <c r="AH60" i="1"/>
  <c r="AV65" i="1"/>
  <c r="BL65" i="1" s="1"/>
  <c r="BL68" i="1"/>
  <c r="AW75" i="1"/>
  <c r="BM75" i="1"/>
  <c r="AZ75" i="1"/>
  <c r="BI76" i="1"/>
  <c r="Y91" i="1"/>
  <c r="AX91" i="1"/>
  <c r="AB91" i="1"/>
  <c r="BB99" i="1"/>
  <c r="BE99" i="1"/>
  <c r="BC110" i="1"/>
  <c r="Y107" i="1"/>
  <c r="K16" i="3"/>
  <c r="H33" i="3"/>
  <c r="H27" i="3"/>
  <c r="P20" i="1"/>
  <c r="BM58" i="1"/>
  <c r="AB60" i="1"/>
  <c r="BF63" i="1"/>
  <c r="BF60" i="1" s="1"/>
  <c r="BF64" i="1"/>
  <c r="BC68" i="1"/>
  <c r="BC65" i="1" s="1"/>
  <c r="AA102" i="1"/>
  <c r="F15" i="3"/>
  <c r="F9" i="3" s="1"/>
  <c r="T11" i="2"/>
  <c r="BF18" i="1"/>
  <c r="I33" i="3"/>
  <c r="I27" i="3"/>
  <c r="AZ58" i="1"/>
  <c r="AZ57" i="1" s="1"/>
  <c r="AW59" i="1"/>
  <c r="BI61" i="1"/>
  <c r="BI60" i="1" s="1"/>
  <c r="BM76" i="1"/>
  <c r="BB91" i="1"/>
  <c r="AH91" i="1"/>
  <c r="AW95" i="1"/>
  <c r="J94" i="1"/>
  <c r="BM95" i="1"/>
  <c r="AZ95" i="1"/>
  <c r="BG99" i="1"/>
  <c r="AV106" i="1"/>
  <c r="BL106" i="1" s="1"/>
  <c r="BD107" i="1"/>
  <c r="K14" i="3"/>
  <c r="S10" i="3"/>
  <c r="R4" i="3"/>
  <c r="BC15" i="1"/>
  <c r="AW18" i="1"/>
  <c r="BI18" i="1"/>
  <c r="M33" i="3"/>
  <c r="M27" i="3"/>
  <c r="AN20" i="1"/>
  <c r="AW24" i="1"/>
  <c r="BG49" i="1"/>
  <c r="BL51" i="1"/>
  <c r="BK56" i="1"/>
  <c r="I102" i="1"/>
  <c r="M60" i="1"/>
  <c r="M56" i="1" s="1"/>
  <c r="AQ65" i="1"/>
  <c r="BE65" i="1"/>
  <c r="BE56" i="1" s="1"/>
  <c r="BF74" i="1"/>
  <c r="BF73" i="1" s="1"/>
  <c r="AW79" i="1"/>
  <c r="BM82" i="1"/>
  <c r="AJ102" i="1"/>
  <c r="AQ91" i="1"/>
  <c r="G5" i="3"/>
  <c r="BF16" i="1"/>
  <c r="N33" i="3"/>
  <c r="N27" i="3"/>
  <c r="AZ19" i="1"/>
  <c r="BM19" i="1"/>
  <c r="AW47" i="1"/>
  <c r="AZ48" i="1"/>
  <c r="S49" i="1"/>
  <c r="AU49" i="1"/>
  <c r="AU42" i="1" s="1"/>
  <c r="BM51" i="1"/>
  <c r="BM57" i="1"/>
  <c r="AW66" i="1"/>
  <c r="J65" i="1"/>
  <c r="BM66" i="1"/>
  <c r="AZ66" i="1"/>
  <c r="AB77" i="1"/>
  <c r="BF78" i="1"/>
  <c r="BD77" i="1"/>
  <c r="BD56" i="1" s="1"/>
  <c r="BF79" i="1"/>
  <c r="O102" i="1"/>
  <c r="AK91" i="1"/>
  <c r="AW89" i="1"/>
  <c r="AW88" i="1" s="1"/>
  <c r="J88" i="1"/>
  <c r="BM89" i="1"/>
  <c r="AZ89" i="1"/>
  <c r="BM97" i="1"/>
  <c r="AU99" i="1"/>
  <c r="S11" i="3"/>
  <c r="P9" i="3"/>
  <c r="BC14" i="1"/>
  <c r="BC20" i="1" s="1"/>
  <c r="E4" i="3"/>
  <c r="K6" i="3"/>
  <c r="S16" i="3"/>
  <c r="P33" i="3"/>
  <c r="P27" i="3"/>
  <c r="AQ20" i="1"/>
  <c r="AW23" i="1"/>
  <c r="M65" i="1"/>
  <c r="R102" i="1"/>
  <c r="AM102" i="1"/>
  <c r="BM90" i="1"/>
  <c r="Y99" i="1"/>
  <c r="AV94" i="1"/>
  <c r="BL97" i="1"/>
  <c r="BM109" i="1"/>
  <c r="O14" i="3"/>
  <c r="Q9" i="3"/>
  <c r="G10" i="3"/>
  <c r="F4" i="3"/>
  <c r="BF15" i="1"/>
  <c r="AZ18" i="1"/>
  <c r="BM18" i="1"/>
  <c r="Q33" i="3"/>
  <c r="Q27" i="3"/>
  <c r="AZ24" i="1"/>
  <c r="BF59" i="1"/>
  <c r="BF57" i="1" s="1"/>
  <c r="AV60" i="1"/>
  <c r="BL60" i="1" s="1"/>
  <c r="BL62" i="1"/>
  <c r="BI74" i="1"/>
  <c r="AN91" i="1"/>
  <c r="P88" i="1"/>
  <c r="BF94" i="1"/>
  <c r="H4" i="3"/>
  <c r="K5" i="3"/>
  <c r="BI16" i="1"/>
  <c r="S15" i="3"/>
  <c r="R33" i="3"/>
  <c r="R27" i="3"/>
  <c r="BC19" i="1"/>
  <c r="J20" i="1"/>
  <c r="AZ47" i="1"/>
  <c r="Y60" i="1"/>
  <c r="Y56" i="1" s="1"/>
  <c r="S65" i="1"/>
  <c r="S56" i="1" s="1"/>
  <c r="AX65" i="1"/>
  <c r="BM83" i="1"/>
  <c r="U102" i="1"/>
  <c r="AP102" i="1"/>
  <c r="AW110" i="1"/>
  <c r="I4" i="3"/>
  <c r="O6" i="3"/>
  <c r="G16" i="3"/>
  <c r="D33" i="3"/>
  <c r="D27" i="3"/>
  <c r="AZ23" i="1"/>
  <c r="BA56" i="1"/>
  <c r="BM68" i="1"/>
  <c r="AQ73" i="1"/>
  <c r="BI77" i="1"/>
  <c r="BL83" i="1"/>
  <c r="AV82" i="1"/>
  <c r="BL82" i="1" s="1"/>
  <c r="AU91" i="1"/>
  <c r="AN99" i="1"/>
  <c r="BD99" i="1"/>
  <c r="V99" i="1"/>
  <c r="AB65" i="1"/>
  <c r="V73" i="1"/>
  <c r="V56" i="1" s="1"/>
  <c r="J77" i="1"/>
  <c r="BM77" i="1" s="1"/>
  <c r="BK88" i="1"/>
  <c r="BL88" i="1" s="1"/>
  <c r="AB94" i="1"/>
  <c r="BM108" i="1"/>
  <c r="BM110" i="1"/>
  <c r="AZ110" i="1"/>
  <c r="BF111" i="1"/>
  <c r="BF107" i="1" s="1"/>
  <c r="BM112" i="1"/>
  <c r="AH186" i="1"/>
  <c r="AK186" i="1"/>
  <c r="AK107" i="1"/>
  <c r="BF114" i="1"/>
  <c r="AN186" i="1"/>
  <c r="AW63" i="1"/>
  <c r="AW69" i="1"/>
  <c r="S77" i="1"/>
  <c r="AW78" i="1"/>
  <c r="AW84" i="1"/>
  <c r="AK94" i="1"/>
  <c r="AW98" i="1"/>
  <c r="AE99" i="1"/>
  <c r="AY99" i="1"/>
  <c r="BL107" i="1"/>
  <c r="AW117" i="1"/>
  <c r="BM117" i="1"/>
  <c r="AZ117" i="1"/>
  <c r="AQ186" i="1"/>
  <c r="AW62" i="1"/>
  <c r="AW68" i="1"/>
  <c r="AK73" i="1"/>
  <c r="BC74" i="1"/>
  <c r="BC73" i="1" s="1"/>
  <c r="AW83" i="1"/>
  <c r="AW97" i="1"/>
  <c r="BM113" i="1"/>
  <c r="BF115" i="1"/>
  <c r="M186" i="1"/>
  <c r="BC181" i="1"/>
  <c r="AZ63" i="1"/>
  <c r="AZ69" i="1"/>
  <c r="AZ78" i="1"/>
  <c r="AZ77" i="1" s="1"/>
  <c r="AZ84" i="1"/>
  <c r="BF89" i="1"/>
  <c r="BF88" i="1" s="1"/>
  <c r="AZ98" i="1"/>
  <c r="AW109" i="1"/>
  <c r="AW107" i="1" s="1"/>
  <c r="BI109" i="1"/>
  <c r="AW111" i="1"/>
  <c r="P186" i="1"/>
  <c r="M241" i="1"/>
  <c r="BD241" i="1"/>
  <c r="AW61" i="1"/>
  <c r="AW60" i="1" s="1"/>
  <c r="AW67" i="1"/>
  <c r="AW76" i="1"/>
  <c r="AW90" i="1"/>
  <c r="AW96" i="1"/>
  <c r="BL179" i="1"/>
  <c r="BE241" i="1"/>
  <c r="AZ62" i="1"/>
  <c r="AZ68" i="1"/>
  <c r="J70" i="1"/>
  <c r="BM70" i="1" s="1"/>
  <c r="J73" i="1"/>
  <c r="AZ83" i="1"/>
  <c r="AZ82" i="1" s="1"/>
  <c r="AZ97" i="1"/>
  <c r="BC108" i="1"/>
  <c r="BC113" i="1"/>
  <c r="V186" i="1"/>
  <c r="S94" i="1"/>
  <c r="BI108" i="1"/>
  <c r="AZ109" i="1"/>
  <c r="Y186" i="1"/>
  <c r="AQ292" i="1"/>
  <c r="AZ61" i="1"/>
  <c r="AZ67" i="1"/>
  <c r="AZ76" i="1"/>
  <c r="AZ90" i="1"/>
  <c r="AZ96" i="1"/>
  <c r="BM111" i="1"/>
  <c r="BC114" i="1"/>
  <c r="BI116" i="1"/>
  <c r="AE186" i="1"/>
  <c r="AZ112" i="1"/>
  <c r="AZ118" i="1"/>
  <c r="BM118" i="1"/>
  <c r="AH181" i="1"/>
  <c r="AB186" i="1"/>
  <c r="AZ187" i="1"/>
  <c r="BM187" i="1"/>
  <c r="BL192" i="1"/>
  <c r="M199" i="1"/>
  <c r="AQ199" i="1"/>
  <c r="BI202" i="1"/>
  <c r="BE199" i="1"/>
  <c r="BA216" i="1"/>
  <c r="BA224" i="1" s="1"/>
  <c r="BM227" i="1"/>
  <c r="AW235" i="1"/>
  <c r="AW240" i="1"/>
  <c r="AH253" i="1"/>
  <c r="AB253" i="1"/>
  <c r="BA253" i="1"/>
  <c r="BI266" i="1"/>
  <c r="AW116" i="1"/>
  <c r="BC119" i="1"/>
  <c r="AK181" i="1"/>
  <c r="BI181" i="1" s="1"/>
  <c r="BM192" i="1"/>
  <c r="AQ205" i="1"/>
  <c r="BI208" i="1"/>
  <c r="BE205" i="1"/>
  <c r="AW212" i="1"/>
  <c r="AN224" i="1"/>
  <c r="V216" i="1"/>
  <c r="V224" i="1" s="1"/>
  <c r="BC219" i="1"/>
  <c r="AX224" i="1"/>
  <c r="BI222" i="1"/>
  <c r="BI216" i="1" s="1"/>
  <c r="AU241" i="1"/>
  <c r="BM228" i="1"/>
  <c r="BL228" i="1"/>
  <c r="BI230" i="1"/>
  <c r="AK226" i="1"/>
  <c r="AK241" i="1" s="1"/>
  <c r="AW234" i="1"/>
  <c r="AZ180" i="1"/>
  <c r="AZ179" i="1" s="1"/>
  <c r="BM180" i="1"/>
  <c r="BF183" i="1"/>
  <c r="AZ192" i="1"/>
  <c r="AW196" i="1"/>
  <c r="BM196" i="1"/>
  <c r="AZ196" i="1"/>
  <c r="BF212" i="1"/>
  <c r="BD224" i="1"/>
  <c r="P241" i="1"/>
  <c r="BE253" i="1"/>
  <c r="AU278" i="1"/>
  <c r="BM277" i="1"/>
  <c r="AZ277" i="1"/>
  <c r="M266" i="1"/>
  <c r="BI303" i="1"/>
  <c r="BG306" i="1"/>
  <c r="AQ181" i="1"/>
  <c r="J199" i="1"/>
  <c r="BM199" i="1" s="1"/>
  <c r="AW202" i="1"/>
  <c r="BM202" i="1"/>
  <c r="AZ202" i="1"/>
  <c r="BE224" i="1"/>
  <c r="AW222" i="1"/>
  <c r="S226" i="1"/>
  <c r="BC227" i="1"/>
  <c r="BB253" i="1"/>
  <c r="BB306" i="1"/>
  <c r="AZ116" i="1"/>
  <c r="J181" i="1"/>
  <c r="AT181" i="1" s="1"/>
  <c r="AZ185" i="1"/>
  <c r="AZ191" i="1"/>
  <c r="BF194" i="1"/>
  <c r="BL198" i="1"/>
  <c r="BA199" i="1"/>
  <c r="BM203" i="1"/>
  <c r="J205" i="1"/>
  <c r="AW208" i="1"/>
  <c r="BM208" i="1"/>
  <c r="AZ208" i="1"/>
  <c r="BF216" i="1"/>
  <c r="AW223" i="1"/>
  <c r="BM223" i="1"/>
  <c r="AZ223" i="1"/>
  <c r="V226" i="1"/>
  <c r="V241" i="1" s="1"/>
  <c r="AX226" i="1"/>
  <c r="AX241" i="1" s="1"/>
  <c r="BI231" i="1"/>
  <c r="AN226" i="1"/>
  <c r="AN241" i="1" s="1"/>
  <c r="AW237" i="1"/>
  <c r="BF240" i="1"/>
  <c r="AU264" i="1"/>
  <c r="AW120" i="1"/>
  <c r="M181" i="1"/>
  <c r="AW183" i="1"/>
  <c r="BF200" i="1"/>
  <c r="BF199" i="1" s="1"/>
  <c r="BL204" i="1"/>
  <c r="BA205" i="1"/>
  <c r="M205" i="1"/>
  <c r="BM209" i="1"/>
  <c r="BC228" i="1"/>
  <c r="AY241" i="1"/>
  <c r="BM238" i="1"/>
  <c r="AZ238" i="1"/>
  <c r="AW238" i="1"/>
  <c r="BI248" i="1"/>
  <c r="AK243" i="1"/>
  <c r="AK253" i="1" s="1"/>
  <c r="AW273" i="1"/>
  <c r="BC282" i="1"/>
  <c r="AW282" i="1"/>
  <c r="AW285" i="1"/>
  <c r="J186" i="1"/>
  <c r="BF206" i="1"/>
  <c r="AW217" i="1"/>
  <c r="J216" i="1"/>
  <c r="BM217" i="1"/>
  <c r="AZ217" i="1"/>
  <c r="AE224" i="1"/>
  <c r="Y241" i="1"/>
  <c r="BF235" i="1"/>
  <c r="BM245" i="1"/>
  <c r="AZ245" i="1"/>
  <c r="AW245" i="1"/>
  <c r="BM246" i="1"/>
  <c r="AZ246" i="1"/>
  <c r="AW246" i="1"/>
  <c r="S280" i="1"/>
  <c r="S292" i="1" s="1"/>
  <c r="BC281" i="1"/>
  <c r="BC280" i="1" s="1"/>
  <c r="AV300" i="1"/>
  <c r="BL300" i="1" s="1"/>
  <c r="M224" i="1"/>
  <c r="AB241" i="1"/>
  <c r="AW232" i="1"/>
  <c r="BM232" i="1"/>
  <c r="AZ232" i="1"/>
  <c r="AU253" i="1"/>
  <c r="AZ114" i="1"/>
  <c r="AZ120" i="1"/>
  <c r="AZ183" i="1"/>
  <c r="AZ189" i="1"/>
  <c r="BC198" i="1"/>
  <c r="AK199" i="1"/>
  <c r="AH205" i="1"/>
  <c r="AU216" i="1"/>
  <c r="AU224" i="1" s="1"/>
  <c r="BH224" i="1"/>
  <c r="BF236" i="1"/>
  <c r="AX253" i="1"/>
  <c r="AB264" i="1"/>
  <c r="J179" i="1"/>
  <c r="S186" i="1"/>
  <c r="BM193" i="1"/>
  <c r="BI195" i="1"/>
  <c r="AN199" i="1"/>
  <c r="AW204" i="1"/>
  <c r="S199" i="1"/>
  <c r="BC204" i="1"/>
  <c r="BC199" i="1" s="1"/>
  <c r="AK205" i="1"/>
  <c r="S216" i="1"/>
  <c r="S224" i="1" s="1"/>
  <c r="BM218" i="1"/>
  <c r="AH224" i="1"/>
  <c r="AE226" i="1"/>
  <c r="AE241" i="1" s="1"/>
  <c r="BA226" i="1"/>
  <c r="BA241" i="1" s="1"/>
  <c r="AK255" i="1"/>
  <c r="AK264" i="1" s="1"/>
  <c r="AH292" i="1"/>
  <c r="AZ113" i="1"/>
  <c r="AZ119" i="1"/>
  <c r="AW194" i="1"/>
  <c r="BL199" i="1"/>
  <c r="AN205" i="1"/>
  <c r="AW210" i="1"/>
  <c r="S205" i="1"/>
  <c r="BC210" i="1"/>
  <c r="BC205" i="1" s="1"/>
  <c r="BC211" i="1"/>
  <c r="BM219" i="1"/>
  <c r="BG241" i="1"/>
  <c r="AH226" i="1"/>
  <c r="AH241" i="1" s="1"/>
  <c r="BF230" i="1"/>
  <c r="BM233" i="1"/>
  <c r="BC244" i="1"/>
  <c r="V243" i="1"/>
  <c r="V253" i="1" s="1"/>
  <c r="BG278" i="1"/>
  <c r="BE292" i="1"/>
  <c r="AE179" i="1"/>
  <c r="BI196" i="1"/>
  <c r="BI207" i="1"/>
  <c r="AW220" i="1"/>
  <c r="AQ226" i="1"/>
  <c r="AQ241" i="1" s="1"/>
  <c r="BH226" i="1"/>
  <c r="BH241" i="1" s="1"/>
  <c r="BB226" i="1"/>
  <c r="BB241" i="1" s="1"/>
  <c r="BM234" i="1"/>
  <c r="BL234" i="1"/>
  <c r="AE253" i="1"/>
  <c r="AW195" i="1"/>
  <c r="AW201" i="1"/>
  <c r="AW207" i="1"/>
  <c r="AB216" i="1"/>
  <c r="AB224" i="1" s="1"/>
  <c r="AN264" i="1"/>
  <c r="BG255" i="1"/>
  <c r="BG264" i="1" s="1"/>
  <c r="AX278" i="1"/>
  <c r="V300" i="1"/>
  <c r="AQ300" i="1"/>
  <c r="AK300" i="1"/>
  <c r="AW221" i="1"/>
  <c r="S253" i="1"/>
  <c r="AY253" i="1"/>
  <c r="AW244" i="1"/>
  <c r="BB278" i="1"/>
  <c r="AH278" i="1"/>
  <c r="AE266" i="1"/>
  <c r="AE278" i="1" s="1"/>
  <c r="BF268" i="1"/>
  <c r="BM281" i="1"/>
  <c r="BM282" i="1"/>
  <c r="BI284" i="1"/>
  <c r="AK280" i="1"/>
  <c r="AK292" i="1" s="1"/>
  <c r="AB300" i="1"/>
  <c r="AW200" i="1"/>
  <c r="BI200" i="1"/>
  <c r="AW206" i="1"/>
  <c r="BI206" i="1"/>
  <c r="AZ222" i="1"/>
  <c r="BM222" i="1"/>
  <c r="BF228" i="1"/>
  <c r="BF226" i="1" s="1"/>
  <c r="AZ231" i="1"/>
  <c r="BM231" i="1"/>
  <c r="AZ237" i="1"/>
  <c r="BM237" i="1"/>
  <c r="BC239" i="1"/>
  <c r="AZ240" i="1"/>
  <c r="BM240" i="1"/>
  <c r="M243" i="1"/>
  <c r="M253" i="1" s="1"/>
  <c r="AW256" i="1"/>
  <c r="AK266" i="1"/>
  <c r="AK278" i="1" s="1"/>
  <c r="BC273" i="1"/>
  <c r="AU280" i="1"/>
  <c r="AU292" i="1" s="1"/>
  <c r="BI285" i="1"/>
  <c r="AZ195" i="1"/>
  <c r="AZ201" i="1"/>
  <c r="AZ207" i="1"/>
  <c r="AK216" i="1"/>
  <c r="AK224" i="1" s="1"/>
  <c r="BC217" i="1"/>
  <c r="BM244" i="1"/>
  <c r="M255" i="1"/>
  <c r="M264" i="1" s="1"/>
  <c r="BM256" i="1"/>
  <c r="AZ256" i="1"/>
  <c r="BM257" i="1"/>
  <c r="BM258" i="1"/>
  <c r="BH278" i="1"/>
  <c r="BC274" i="1"/>
  <c r="AW277" i="1"/>
  <c r="V292" i="1"/>
  <c r="P292" i="1"/>
  <c r="BI286" i="1"/>
  <c r="AW295" i="1"/>
  <c r="AX300" i="1"/>
  <c r="AW296" i="1"/>
  <c r="Y253" i="1"/>
  <c r="V264" i="1"/>
  <c r="S255" i="1"/>
  <c r="BC257" i="1"/>
  <c r="AV278" i="1"/>
  <c r="BL278" i="1" s="1"/>
  <c r="AW286" i="1"/>
  <c r="Y300" i="1"/>
  <c r="AZ211" i="1"/>
  <c r="AW218" i="1"/>
  <c r="AW227" i="1"/>
  <c r="AW233" i="1"/>
  <c r="BF244" i="1"/>
  <c r="BF243" i="1" s="1"/>
  <c r="BC246" i="1"/>
  <c r="BI250" i="1"/>
  <c r="AV264" i="1"/>
  <c r="BL264" i="1" s="1"/>
  <c r="Y255" i="1"/>
  <c r="Y264" i="1" s="1"/>
  <c r="BC259" i="1"/>
  <c r="S266" i="1"/>
  <c r="S278" i="1" s="1"/>
  <c r="BI271" i="1"/>
  <c r="AB292" i="1"/>
  <c r="BB292" i="1"/>
  <c r="BM286" i="1"/>
  <c r="AZ286" i="1"/>
  <c r="BM287" i="1"/>
  <c r="BM288" i="1"/>
  <c r="BA300" i="1"/>
  <c r="AW197" i="1"/>
  <c r="AW203" i="1"/>
  <c r="AW209" i="1"/>
  <c r="AZ219" i="1"/>
  <c r="AV226" i="1"/>
  <c r="AZ228" i="1"/>
  <c r="AZ234" i="1"/>
  <c r="AX264" i="1"/>
  <c r="BB264" i="1"/>
  <c r="AY255" i="1"/>
  <c r="AW262" i="1"/>
  <c r="AB278" i="1"/>
  <c r="BC267" i="1"/>
  <c r="AQ266" i="1"/>
  <c r="AQ278" i="1" s="1"/>
  <c r="AE280" i="1"/>
  <c r="AE292" i="1" s="1"/>
  <c r="BA280" i="1"/>
  <c r="BA292" i="1" s="1"/>
  <c r="BD300" i="1"/>
  <c r="BB300" i="1"/>
  <c r="AZ198" i="1"/>
  <c r="AZ204" i="1"/>
  <c r="AZ210" i="1"/>
  <c r="BA264" i="1"/>
  <c r="BM262" i="1"/>
  <c r="AZ262" i="1"/>
  <c r="BM263" i="1"/>
  <c r="AN278" i="1"/>
  <c r="V278" i="1"/>
  <c r="BC268" i="1"/>
  <c r="BE300" i="1"/>
  <c r="AH300" i="1"/>
  <c r="AZ218" i="1"/>
  <c r="AZ227" i="1"/>
  <c r="AZ233" i="1"/>
  <c r="BI244" i="1"/>
  <c r="BD253" i="1"/>
  <c r="AW250" i="1"/>
  <c r="AH264" i="1"/>
  <c r="BD264" i="1"/>
  <c r="Y266" i="1"/>
  <c r="Y278" i="1" s="1"/>
  <c r="BA266" i="1"/>
  <c r="BA278" i="1" s="1"/>
  <c r="AY266" i="1"/>
  <c r="AY278" i="1" s="1"/>
  <c r="AW271" i="1"/>
  <c r="BG280" i="1"/>
  <c r="BG292" i="1" s="1"/>
  <c r="BC288" i="1"/>
  <c r="J300" i="1"/>
  <c r="AZ197" i="1"/>
  <c r="AZ203" i="1"/>
  <c r="AZ209" i="1"/>
  <c r="AV253" i="1"/>
  <c r="BL253" i="1" s="1"/>
  <c r="BM250" i="1"/>
  <c r="AZ250" i="1"/>
  <c r="BH264" i="1"/>
  <c r="BI256" i="1"/>
  <c r="BI255" i="1" s="1"/>
  <c r="BE255" i="1"/>
  <c r="BE264" i="1" s="1"/>
  <c r="AE255" i="1"/>
  <c r="BF259" i="1"/>
  <c r="BM271" i="1"/>
  <c r="AZ271" i="1"/>
  <c r="BM272" i="1"/>
  <c r="BM273" i="1"/>
  <c r="BI276" i="1"/>
  <c r="BH292" i="1"/>
  <c r="AN292" i="1"/>
  <c r="BH300" i="1"/>
  <c r="AW249" i="1"/>
  <c r="AW261" i="1"/>
  <c r="AW270" i="1"/>
  <c r="AW276" i="1"/>
  <c r="BM295" i="1"/>
  <c r="BF298" i="1"/>
  <c r="BC303" i="1"/>
  <c r="AV302" i="1"/>
  <c r="BM304" i="1"/>
  <c r="AW318" i="1"/>
  <c r="BH363" i="1"/>
  <c r="BG300" i="1"/>
  <c r="AZ295" i="1"/>
  <c r="V302" i="1"/>
  <c r="AW248" i="1"/>
  <c r="AW260" i="1"/>
  <c r="AW269" i="1"/>
  <c r="AW275" i="1"/>
  <c r="AW284" i="1"/>
  <c r="P294" i="1"/>
  <c r="AU300" i="1"/>
  <c r="AE300" i="1"/>
  <c r="BI297" i="1"/>
  <c r="Y302" i="1"/>
  <c r="AZ249" i="1"/>
  <c r="AZ261" i="1"/>
  <c r="J266" i="1"/>
  <c r="BF267" i="1"/>
  <c r="AZ270" i="1"/>
  <c r="AZ276" i="1"/>
  <c r="AZ285" i="1"/>
  <c r="BA306" i="1"/>
  <c r="AV363" i="1"/>
  <c r="M32" i="2"/>
  <c r="M24" i="2"/>
  <c r="AZ248" i="1"/>
  <c r="AZ260" i="1"/>
  <c r="AZ269" i="1"/>
  <c r="AZ275" i="1"/>
  <c r="J280" i="1"/>
  <c r="BF281" i="1"/>
  <c r="AZ284" i="1"/>
  <c r="BI295" i="1"/>
  <c r="AW297" i="1"/>
  <c r="BD306" i="1"/>
  <c r="BF318" i="1"/>
  <c r="J243" i="1"/>
  <c r="AZ247" i="1"/>
  <c r="J255" i="1"/>
  <c r="AZ259" i="1"/>
  <c r="AZ268" i="1"/>
  <c r="AZ274" i="1"/>
  <c r="AZ283" i="1"/>
  <c r="BF296" i="1"/>
  <c r="Y363" i="1"/>
  <c r="AW257" i="1"/>
  <c r="AW263" i="1"/>
  <c r="AW272" i="1"/>
  <c r="AW281" i="1"/>
  <c r="AW287" i="1"/>
  <c r="AW298" i="1"/>
  <c r="BH302" i="1"/>
  <c r="BF335" i="1"/>
  <c r="BF334" i="1" s="1"/>
  <c r="AZ258" i="1"/>
  <c r="AZ267" i="1"/>
  <c r="AZ273" i="1"/>
  <c r="AZ282" i="1"/>
  <c r="AZ288" i="1"/>
  <c r="AN300" i="1"/>
  <c r="BC298" i="1"/>
  <c r="BC294" i="1" s="1"/>
  <c r="BM303" i="1"/>
  <c r="AZ303" i="1"/>
  <c r="AW303" i="1"/>
  <c r="BI304" i="1"/>
  <c r="BD363" i="1"/>
  <c r="AZ257" i="1"/>
  <c r="AZ263" i="1"/>
  <c r="AZ272" i="1"/>
  <c r="AZ281" i="1"/>
  <c r="AZ287" i="1"/>
  <c r="AZ297" i="1"/>
  <c r="BM297" i="1"/>
  <c r="BF303" i="1"/>
  <c r="S334" i="1"/>
  <c r="BM334" i="1" s="1"/>
  <c r="AW335" i="1"/>
  <c r="BI335" i="1"/>
  <c r="AW341" i="1"/>
  <c r="BM342" i="1"/>
  <c r="BM345" i="1"/>
  <c r="AW347" i="1"/>
  <c r="BC350" i="1"/>
  <c r="BC334" i="1" s="1"/>
  <c r="S353" i="1"/>
  <c r="AQ353" i="1"/>
  <c r="AQ363" i="1" s="1"/>
  <c r="BL360" i="1"/>
  <c r="AW304" i="1"/>
  <c r="AW320" i="1"/>
  <c r="AZ336" i="1"/>
  <c r="BM336" i="1"/>
  <c r="BF345" i="1"/>
  <c r="AZ345" i="1"/>
  <c r="AW350" i="1"/>
  <c r="AB353" i="1"/>
  <c r="J353" i="1"/>
  <c r="BM357" i="1"/>
  <c r="BC360" i="1"/>
  <c r="AW360" i="1"/>
  <c r="BM360" i="1"/>
  <c r="N32" i="2"/>
  <c r="N24" i="2"/>
  <c r="O32" i="2"/>
  <c r="O24" i="2"/>
  <c r="AZ335" i="1"/>
  <c r="BM335" i="1"/>
  <c r="AZ341" i="1"/>
  <c r="AW344" i="1"/>
  <c r="BM350" i="1"/>
  <c r="BL354" i="1"/>
  <c r="D22" i="2"/>
  <c r="L23" i="2"/>
  <c r="AZ304" i="1"/>
  <c r="BM320" i="1"/>
  <c r="BC354" i="1"/>
  <c r="BF360" i="1"/>
  <c r="BF353" i="1" s="1"/>
  <c r="E32" i="2"/>
  <c r="E24" i="2"/>
  <c r="AZ340" i="1"/>
  <c r="BM344" i="1"/>
  <c r="BI348" i="1"/>
  <c r="V353" i="1"/>
  <c r="V363" i="1" s="1"/>
  <c r="F32" i="2"/>
  <c r="F24" i="2"/>
  <c r="T12" i="2"/>
  <c r="AW338" i="1"/>
  <c r="BM347" i="1"/>
  <c r="BL351" i="1"/>
  <c r="AX363" i="1"/>
  <c r="BL358" i="1"/>
  <c r="G32" i="2"/>
  <c r="G24" i="2"/>
  <c r="U12" i="2"/>
  <c r="BM339" i="1"/>
  <c r="AW343" i="1"/>
  <c r="AW346" i="1"/>
  <c r="AY363" i="1"/>
  <c r="BE353" i="1"/>
  <c r="BE363" i="1" s="1"/>
  <c r="AW358" i="1"/>
  <c r="H22" i="2"/>
  <c r="K24" i="2"/>
  <c r="K32" i="2"/>
  <c r="BM348" i="1"/>
  <c r="AZ348" i="1"/>
  <c r="AW348" i="1"/>
  <c r="BM349" i="1"/>
  <c r="BA353" i="1"/>
  <c r="BA363" i="1" s="1"/>
  <c r="BM355" i="1"/>
  <c r="AZ355" i="1"/>
  <c r="AW355" i="1"/>
  <c r="I22" i="2"/>
  <c r="AZ338" i="1"/>
  <c r="BI347" i="1"/>
  <c r="AH353" i="1"/>
  <c r="AH363" i="1" s="1"/>
  <c r="AW356" i="1"/>
  <c r="BM359" i="1"/>
  <c r="J24" i="2"/>
  <c r="J32" i="2"/>
  <c r="AZ343" i="1"/>
  <c r="AZ346" i="1"/>
  <c r="BG363" i="1"/>
  <c r="AK353" i="1"/>
  <c r="AK363" i="1" s="1"/>
  <c r="M363" i="1"/>
  <c r="BI357" i="1"/>
  <c r="L22" i="2"/>
  <c r="C24" i="2"/>
  <c r="AW359" i="1"/>
  <c r="AZ359" i="1"/>
  <c r="AW357" i="1"/>
  <c r="AZ357" i="1"/>
  <c r="BG40" i="1" l="1"/>
  <c r="T14" i="3"/>
  <c r="P264" i="1"/>
  <c r="P253" i="1"/>
  <c r="BD292" i="1"/>
  <c r="P278" i="1"/>
  <c r="D4" i="3"/>
  <c r="AY102" i="1"/>
  <c r="AY103" i="1" s="1"/>
  <c r="M20" i="3"/>
  <c r="AY306" i="1"/>
  <c r="P300" i="1"/>
  <c r="AQ224" i="1"/>
  <c r="AY264" i="1"/>
  <c r="AQ264" i="1"/>
  <c r="S25" i="1"/>
  <c r="N25" i="3"/>
  <c r="AY300" i="1"/>
  <c r="AY32" i="1"/>
  <c r="AY40" i="1" s="1"/>
  <c r="AY213" i="1"/>
  <c r="S264" i="1"/>
  <c r="AY25" i="1"/>
  <c r="BE25" i="1"/>
  <c r="BD32" i="1"/>
  <c r="BD40" i="1" s="1"/>
  <c r="N31" i="3"/>
  <c r="AN253" i="1"/>
  <c r="AQ253" i="1"/>
  <c r="AY54" i="1"/>
  <c r="BD278" i="1"/>
  <c r="AY292" i="1"/>
  <c r="K4" i="3"/>
  <c r="M91" i="1"/>
  <c r="BE102" i="1"/>
  <c r="BE103" i="1" s="1"/>
  <c r="BD91" i="1"/>
  <c r="K10" i="3"/>
  <c r="K9" i="3" s="1"/>
  <c r="K17" i="3" s="1"/>
  <c r="AE264" i="1"/>
  <c r="BE306" i="1"/>
  <c r="M278" i="1"/>
  <c r="BE278" i="1"/>
  <c r="BG25" i="1"/>
  <c r="BN24" i="1"/>
  <c r="BG102" i="1"/>
  <c r="BG103" i="1" s="1"/>
  <c r="BF21" i="1"/>
  <c r="BI21" i="1"/>
  <c r="AV39" i="1"/>
  <c r="BL39" i="1" s="1"/>
  <c r="BE40" i="1"/>
  <c r="BH54" i="1"/>
  <c r="BH53" i="1"/>
  <c r="V54" i="1"/>
  <c r="M54" i="1"/>
  <c r="AW43" i="1"/>
  <c r="BF42" i="1"/>
  <c r="BE54" i="1"/>
  <c r="BF53" i="1"/>
  <c r="AZ43" i="1"/>
  <c r="AZ42" i="1" s="1"/>
  <c r="AH42" i="1"/>
  <c r="AH53" i="1" s="1"/>
  <c r="Y42" i="1"/>
  <c r="BN44" i="1"/>
  <c r="AB53" i="1"/>
  <c r="AT49" i="1"/>
  <c r="BN49" i="1" s="1"/>
  <c r="AN85" i="1"/>
  <c r="AN86" i="1"/>
  <c r="AU85" i="1"/>
  <c r="AU86" i="1"/>
  <c r="BH86" i="1"/>
  <c r="BH85" i="1"/>
  <c r="BH102" i="1"/>
  <c r="BH103" i="1" s="1"/>
  <c r="AE85" i="1"/>
  <c r="AE86" i="1"/>
  <c r="BB85" i="1"/>
  <c r="BB86" i="1"/>
  <c r="BB102" i="1"/>
  <c r="BB103" i="1" s="1"/>
  <c r="BA102" i="1"/>
  <c r="BA103" i="1" s="1"/>
  <c r="AV56" i="1"/>
  <c r="AW82" i="1"/>
  <c r="AH56" i="1"/>
  <c r="AH86" i="1" s="1"/>
  <c r="BC56" i="1"/>
  <c r="BC85" i="1" s="1"/>
  <c r="AZ73" i="1"/>
  <c r="BF77" i="1"/>
  <c r="BF56" i="1" s="1"/>
  <c r="BF85" i="1" s="1"/>
  <c r="BI57" i="1"/>
  <c r="AQ56" i="1"/>
  <c r="BA99" i="1"/>
  <c r="AX102" i="1"/>
  <c r="AX103" i="1" s="1"/>
  <c r="AW94" i="1"/>
  <c r="AZ107" i="1"/>
  <c r="AX106" i="1"/>
  <c r="AX308" i="1" s="1"/>
  <c r="BN119" i="1"/>
  <c r="BA106" i="1"/>
  <c r="AT186" i="1"/>
  <c r="BH106" i="1"/>
  <c r="BH213" i="1" s="1"/>
  <c r="BD106" i="1"/>
  <c r="BD308" i="1" s="1"/>
  <c r="BD309" i="1" s="1"/>
  <c r="AU106" i="1"/>
  <c r="AU214" i="1" s="1"/>
  <c r="AZ199" i="1"/>
  <c r="BB214" i="1"/>
  <c r="BB213" i="1"/>
  <c r="AU213" i="1"/>
  <c r="AZ205" i="1"/>
  <c r="BE106" i="1"/>
  <c r="BE214" i="1" s="1"/>
  <c r="BF205" i="1"/>
  <c r="BL216" i="1"/>
  <c r="BN229" i="1"/>
  <c r="BB308" i="1"/>
  <c r="BI226" i="1"/>
  <c r="BN248" i="1"/>
  <c r="AZ243" i="1"/>
  <c r="BG308" i="1"/>
  <c r="BC255" i="1"/>
  <c r="BF255" i="1"/>
  <c r="BE308" i="1"/>
  <c r="BE311" i="1" s="1"/>
  <c r="BN259" i="1"/>
  <c r="BN269" i="1"/>
  <c r="BN276" i="1"/>
  <c r="BF280" i="1"/>
  <c r="BN285" i="1"/>
  <c r="BI280" i="1"/>
  <c r="BF294" i="1"/>
  <c r="AU363" i="1"/>
  <c r="BF363" i="1"/>
  <c r="AZ334" i="1"/>
  <c r="AB363" i="1"/>
  <c r="BN358" i="1"/>
  <c r="AZ353" i="1"/>
  <c r="AZ363" i="1" s="1"/>
  <c r="AW353" i="1"/>
  <c r="BI353" i="1"/>
  <c r="BN9" i="1"/>
  <c r="BN304" i="1"/>
  <c r="BN282" i="1"/>
  <c r="BN272" i="1"/>
  <c r="BN262" i="1"/>
  <c r="BN350" i="1"/>
  <c r="BN360" i="1"/>
  <c r="BN108" i="1"/>
  <c r="BN37" i="1"/>
  <c r="BN12" i="1"/>
  <c r="BN228" i="1"/>
  <c r="BN196" i="1"/>
  <c r="BN295" i="1"/>
  <c r="BN348" i="1"/>
  <c r="BN339" i="1"/>
  <c r="BN218" i="1"/>
  <c r="BN46" i="1"/>
  <c r="AW266" i="1"/>
  <c r="BN117" i="1"/>
  <c r="AZ266" i="1"/>
  <c r="BN57" i="1"/>
  <c r="BN320" i="1"/>
  <c r="BN256" i="1"/>
  <c r="AT88" i="1"/>
  <c r="BN359" i="1"/>
  <c r="BN345" i="1"/>
  <c r="BN250" i="1"/>
  <c r="BN113" i="1"/>
  <c r="BN83" i="1"/>
  <c r="BN109" i="1"/>
  <c r="BN66" i="1"/>
  <c r="BN232" i="1"/>
  <c r="BN118" i="1"/>
  <c r="BN233" i="1"/>
  <c r="BN111" i="1"/>
  <c r="BN347" i="1"/>
  <c r="AR88" i="1"/>
  <c r="BN238" i="1"/>
  <c r="BN90" i="1"/>
  <c r="BN82" i="1"/>
  <c r="BN263" i="1"/>
  <c r="BN257" i="1"/>
  <c r="BN231" i="1"/>
  <c r="BN202" i="1"/>
  <c r="BN180" i="1"/>
  <c r="BN336" i="1"/>
  <c r="BN51" i="1"/>
  <c r="BN76" i="1"/>
  <c r="BN75" i="1"/>
  <c r="BN110" i="1"/>
  <c r="BN237" i="1"/>
  <c r="BN89" i="1"/>
  <c r="BN258" i="1"/>
  <c r="BN288" i="1"/>
  <c r="BN222" i="1"/>
  <c r="AR8" i="1"/>
  <c r="AS353" i="1"/>
  <c r="BN349" i="1"/>
  <c r="BN217" i="1"/>
  <c r="BN287" i="1"/>
  <c r="BN244" i="1"/>
  <c r="BN68" i="1"/>
  <c r="BN286" i="1"/>
  <c r="BN223" i="1"/>
  <c r="BN192" i="1"/>
  <c r="BN19" i="1"/>
  <c r="BN95" i="1"/>
  <c r="BN50" i="1"/>
  <c r="AT255" i="1"/>
  <c r="BN355" i="1"/>
  <c r="BN271" i="1"/>
  <c r="AT21" i="1"/>
  <c r="BN240" i="1"/>
  <c r="BN277" i="1"/>
  <c r="BN72" i="1"/>
  <c r="BN81" i="1"/>
  <c r="AS325" i="1"/>
  <c r="BN344" i="1"/>
  <c r="BN335" i="1"/>
  <c r="BN219" i="1"/>
  <c r="BN209" i="1"/>
  <c r="BN69" i="1"/>
  <c r="AR42" i="1"/>
  <c r="AR53" i="1" s="1"/>
  <c r="AS255" i="1"/>
  <c r="BN281" i="1"/>
  <c r="BN357" i="1"/>
  <c r="BN303" i="1"/>
  <c r="BN246" i="1"/>
  <c r="BN193" i="1"/>
  <c r="BN245" i="1"/>
  <c r="BN208" i="1"/>
  <c r="BN58" i="1"/>
  <c r="Y86" i="1"/>
  <c r="Y85" i="1"/>
  <c r="I21" i="3"/>
  <c r="I22" i="3"/>
  <c r="I32" i="3"/>
  <c r="I26" i="3"/>
  <c r="AW363" i="1"/>
  <c r="V86" i="1"/>
  <c r="V85" i="1"/>
  <c r="BL32" i="1"/>
  <c r="AV40" i="1"/>
  <c r="BL40" i="1" s="1"/>
  <c r="AQ85" i="1"/>
  <c r="AQ86" i="1"/>
  <c r="M23" i="3"/>
  <c r="M21" i="3" s="1"/>
  <c r="M32" i="3"/>
  <c r="M26" i="3"/>
  <c r="M29" i="3" s="1"/>
  <c r="AE327" i="1" s="1"/>
  <c r="M17" i="3"/>
  <c r="BC42" i="1"/>
  <c r="M85" i="1"/>
  <c r="M86" i="1"/>
  <c r="J21" i="3"/>
  <c r="J22" i="3"/>
  <c r="J32" i="3"/>
  <c r="J26" i="3"/>
  <c r="AZ53" i="1"/>
  <c r="L23" i="3"/>
  <c r="L22" i="3" s="1"/>
  <c r="L32" i="3"/>
  <c r="L26" i="3"/>
  <c r="AK85" i="1"/>
  <c r="AK86" i="1"/>
  <c r="N23" i="3"/>
  <c r="N21" i="3" s="1"/>
  <c r="N32" i="3"/>
  <c r="N26" i="3"/>
  <c r="N29" i="3" s="1"/>
  <c r="AH327" i="1" s="1"/>
  <c r="N17" i="3"/>
  <c r="BN227" i="1"/>
  <c r="Y188" i="1"/>
  <c r="Y190" i="1"/>
  <c r="M190" i="1"/>
  <c r="M182" i="1" s="1"/>
  <c r="M106" i="1" s="1"/>
  <c r="M188" i="1"/>
  <c r="AQ190" i="1"/>
  <c r="AQ188" i="1"/>
  <c r="AQ182" i="1" s="1"/>
  <c r="AQ106" i="1" s="1"/>
  <c r="AK188" i="1"/>
  <c r="BI186" i="1"/>
  <c r="AK190" i="1"/>
  <c r="T16" i="3"/>
  <c r="G33" i="3"/>
  <c r="G27" i="3"/>
  <c r="BN97" i="1"/>
  <c r="AW42" i="1"/>
  <c r="AW21" i="1"/>
  <c r="BN16" i="1"/>
  <c r="BN47" i="1"/>
  <c r="Q17" i="3"/>
  <c r="Q31" i="3"/>
  <c r="Q25" i="3"/>
  <c r="Q20" i="3"/>
  <c r="AS34" i="1"/>
  <c r="AS42" i="1"/>
  <c r="AT77" i="1"/>
  <c r="BN77" i="1" s="1"/>
  <c r="BN11" i="1"/>
  <c r="BF8" i="1"/>
  <c r="BF264" i="1" s="1"/>
  <c r="R17" i="3"/>
  <c r="R31" i="3"/>
  <c r="R25" i="3"/>
  <c r="R20" i="3"/>
  <c r="AW199" i="1"/>
  <c r="AW280" i="1"/>
  <c r="AW292" i="1" s="1"/>
  <c r="G30" i="2"/>
  <c r="G34" i="2"/>
  <c r="BN297" i="1"/>
  <c r="BA308" i="1"/>
  <c r="BN273" i="1"/>
  <c r="J224" i="1"/>
  <c r="BM216" i="1"/>
  <c r="BM205" i="1"/>
  <c r="AB99" i="1"/>
  <c r="K31" i="3"/>
  <c r="K25" i="3"/>
  <c r="K20" i="3"/>
  <c r="K36" i="3" s="1"/>
  <c r="S33" i="3"/>
  <c r="S27" i="3"/>
  <c r="AZ88" i="1"/>
  <c r="BM65" i="1"/>
  <c r="J56" i="1"/>
  <c r="O4" i="3"/>
  <c r="F32" i="3"/>
  <c r="F26" i="3"/>
  <c r="F21" i="3"/>
  <c r="F22" i="3"/>
  <c r="BB54" i="1"/>
  <c r="BB53" i="1"/>
  <c r="BF20" i="1"/>
  <c r="C61" i="3"/>
  <c r="P305" i="1"/>
  <c r="P302" i="1" s="1"/>
  <c r="P224" i="1"/>
  <c r="N3" i="1"/>
  <c r="P3" i="1"/>
  <c r="AT60" i="1"/>
  <c r="BN60" i="1" s="1"/>
  <c r="AR226" i="1"/>
  <c r="AS226" i="1"/>
  <c r="AR255" i="1"/>
  <c r="AT243" i="1"/>
  <c r="AT334" i="1"/>
  <c r="BN334" i="1" s="1"/>
  <c r="C70" i="3"/>
  <c r="AQ305" i="1"/>
  <c r="AQ302" i="1" s="1"/>
  <c r="AQ3" i="1"/>
  <c r="AT8" i="1"/>
  <c r="AX309" i="1"/>
  <c r="AU53" i="1"/>
  <c r="AU54" i="1"/>
  <c r="AZ216" i="1"/>
  <c r="I32" i="2"/>
  <c r="I24" i="2"/>
  <c r="Y35" i="1"/>
  <c r="Y34" i="1" s="1"/>
  <c r="K34" i="2"/>
  <c r="K30" i="2"/>
  <c r="M34" i="2"/>
  <c r="M30" i="2"/>
  <c r="AW216" i="1"/>
  <c r="BI107" i="1"/>
  <c r="I31" i="3"/>
  <c r="I34" i="3" s="1"/>
  <c r="I25" i="3"/>
  <c r="I20" i="3"/>
  <c r="I17" i="3"/>
  <c r="H17" i="3"/>
  <c r="H31" i="3"/>
  <c r="H25" i="3"/>
  <c r="H29" i="3" s="1"/>
  <c r="H20" i="3"/>
  <c r="AW65" i="1"/>
  <c r="AZ94" i="1"/>
  <c r="L31" i="3"/>
  <c r="L25" i="3"/>
  <c r="L20" i="3"/>
  <c r="L17" i="3"/>
  <c r="BG85" i="1"/>
  <c r="BG86" i="1"/>
  <c r="BG213" i="1"/>
  <c r="BG214" i="1"/>
  <c r="T6" i="3"/>
  <c r="BI43" i="1"/>
  <c r="BI42" i="1" s="1"/>
  <c r="O10" i="3"/>
  <c r="O9" i="3" s="1"/>
  <c r="AR34" i="1"/>
  <c r="AR266" i="1"/>
  <c r="AT266" i="1"/>
  <c r="AR334" i="1"/>
  <c r="AR325" i="1"/>
  <c r="C69" i="3"/>
  <c r="AN305" i="1"/>
  <c r="AN302" i="1" s="1"/>
  <c r="AN3" i="1"/>
  <c r="M34" i="3"/>
  <c r="AE329" i="1" s="1"/>
  <c r="AV86" i="1"/>
  <c r="BL86" i="1" s="1"/>
  <c r="AV85" i="1"/>
  <c r="BL85" i="1" s="1"/>
  <c r="AT73" i="1"/>
  <c r="AX85" i="1"/>
  <c r="AX86" i="1"/>
  <c r="H32" i="2"/>
  <c r="H24" i="2"/>
  <c r="V35" i="1"/>
  <c r="E34" i="2"/>
  <c r="E30" i="2"/>
  <c r="S363" i="1"/>
  <c r="BM255" i="1"/>
  <c r="J264" i="1"/>
  <c r="BM264" i="1" s="1"/>
  <c r="AY308" i="1"/>
  <c r="BL226" i="1"/>
  <c r="AV241" i="1"/>
  <c r="BL241" i="1" s="1"/>
  <c r="AZ255" i="1"/>
  <c r="BN203" i="1"/>
  <c r="S99" i="1"/>
  <c r="BM226" i="1"/>
  <c r="AX214" i="1"/>
  <c r="AX213" i="1"/>
  <c r="S85" i="1"/>
  <c r="S86" i="1"/>
  <c r="E17" i="3"/>
  <c r="E31" i="3"/>
  <c r="E25" i="3"/>
  <c r="E20" i="3"/>
  <c r="BM88" i="1"/>
  <c r="J91" i="1"/>
  <c r="D31" i="3"/>
  <c r="D25" i="3"/>
  <c r="D20" i="3"/>
  <c r="K33" i="3"/>
  <c r="K27" i="3"/>
  <c r="AW73" i="1"/>
  <c r="J31" i="3"/>
  <c r="J25" i="3"/>
  <c r="J20" i="3"/>
  <c r="J17" i="3"/>
  <c r="H26" i="3"/>
  <c r="H21" i="3"/>
  <c r="H22" i="3"/>
  <c r="H32" i="3"/>
  <c r="BN48" i="1"/>
  <c r="BM43" i="1"/>
  <c r="J42" i="1"/>
  <c r="AK54" i="1"/>
  <c r="AK53" i="1"/>
  <c r="R23" i="3"/>
  <c r="R22" i="3" s="1"/>
  <c r="R32" i="3"/>
  <c r="R26" i="3"/>
  <c r="R21" i="3"/>
  <c r="AV25" i="1"/>
  <c r="BL25" i="1" s="1"/>
  <c r="BL21" i="1"/>
  <c r="C60" i="3"/>
  <c r="M305" i="1"/>
  <c r="M302" i="1" s="1"/>
  <c r="M300" i="1"/>
  <c r="K3" i="1"/>
  <c r="M3" i="1"/>
  <c r="AT70" i="1"/>
  <c r="BN70" i="1" s="1"/>
  <c r="AS266" i="1"/>
  <c r="BA214" i="1"/>
  <c r="BA213" i="1"/>
  <c r="AW294" i="1"/>
  <c r="BN234" i="1"/>
  <c r="AT226" i="1"/>
  <c r="AK39" i="1"/>
  <c r="BN13" i="1"/>
  <c r="P85" i="1"/>
  <c r="P86" i="1"/>
  <c r="J34" i="2"/>
  <c r="J30" i="2"/>
  <c r="BC353" i="1"/>
  <c r="BC363" i="1" s="1"/>
  <c r="BI294" i="1"/>
  <c r="Y306" i="1"/>
  <c r="BC266" i="1"/>
  <c r="S188" i="1"/>
  <c r="BC186" i="1"/>
  <c r="S190" i="1"/>
  <c r="BC226" i="1"/>
  <c r="AE188" i="1"/>
  <c r="AE190" i="1"/>
  <c r="V188" i="1"/>
  <c r="V190" i="1"/>
  <c r="V182" i="1" s="1"/>
  <c r="V106" i="1" s="1"/>
  <c r="BN18" i="1"/>
  <c r="S9" i="3"/>
  <c r="BL56" i="1"/>
  <c r="AS8" i="1"/>
  <c r="BA54" i="1"/>
  <c r="BA53" i="1"/>
  <c r="AS216" i="1"/>
  <c r="AS243" i="1"/>
  <c r="G11" i="3"/>
  <c r="D9" i="3"/>
  <c r="D17" i="3" s="1"/>
  <c r="C68" i="3"/>
  <c r="AK305" i="1"/>
  <c r="AK3" i="1"/>
  <c r="BC25" i="1"/>
  <c r="C59" i="3"/>
  <c r="J305" i="1"/>
  <c r="J3" i="1"/>
  <c r="H3" i="1"/>
  <c r="BM8" i="1"/>
  <c r="AR280" i="1"/>
  <c r="BL363" i="1"/>
  <c r="BN342" i="1"/>
  <c r="AU308" i="1"/>
  <c r="BI243" i="1"/>
  <c r="AW226" i="1"/>
  <c r="BM179" i="1"/>
  <c r="S300" i="1"/>
  <c r="S241" i="1"/>
  <c r="BM241" i="1" s="1"/>
  <c r="AZ60" i="1"/>
  <c r="AH188" i="1"/>
  <c r="AH190" i="1"/>
  <c r="BM20" i="1"/>
  <c r="P91" i="1"/>
  <c r="G15" i="3"/>
  <c r="T15" i="3" s="1"/>
  <c r="BC8" i="1"/>
  <c r="BC264" i="1" s="1"/>
  <c r="C66" i="3"/>
  <c r="AE305" i="1"/>
  <c r="AE302" i="1" s="1"/>
  <c r="AE3" i="1"/>
  <c r="AE54" i="1"/>
  <c r="AE53" i="1"/>
  <c r="BN10" i="1"/>
  <c r="AR94" i="1"/>
  <c r="AR216" i="1"/>
  <c r="AS280" i="1"/>
  <c r="AS302" i="1"/>
  <c r="AR294" i="1"/>
  <c r="AY85" i="1"/>
  <c r="AY86" i="1"/>
  <c r="BM353" i="1"/>
  <c r="J363" i="1"/>
  <c r="BF99" i="1"/>
  <c r="BK102" i="1"/>
  <c r="AT107" i="1"/>
  <c r="E22" i="3"/>
  <c r="E32" i="3"/>
  <c r="E26" i="3"/>
  <c r="E21" i="3"/>
  <c r="C34" i="2"/>
  <c r="C30" i="2"/>
  <c r="BF266" i="1"/>
  <c r="BF278" i="1" s="1"/>
  <c r="BM294" i="1"/>
  <c r="BC216" i="1"/>
  <c r="AW255" i="1"/>
  <c r="BI205" i="1"/>
  <c r="BC107" i="1"/>
  <c r="P188" i="1"/>
  <c r="P190" i="1"/>
  <c r="AN190" i="1"/>
  <c r="AN188" i="1"/>
  <c r="BN112" i="1"/>
  <c r="BA85" i="1"/>
  <c r="BA86" i="1"/>
  <c r="AV102" i="1"/>
  <c r="AV103" i="1" s="1"/>
  <c r="BL103" i="1" s="1"/>
  <c r="BL94" i="1"/>
  <c r="AV99" i="1"/>
  <c r="BL99" i="1" s="1"/>
  <c r="AW57" i="1"/>
  <c r="AR56" i="1"/>
  <c r="AR21" i="1"/>
  <c r="S53" i="1"/>
  <c r="S54" i="1"/>
  <c r="BB39" i="1"/>
  <c r="BB40" i="1"/>
  <c r="AS27" i="1"/>
  <c r="AT20" i="1"/>
  <c r="AS88" i="1"/>
  <c r="AT179" i="1"/>
  <c r="AT280" i="1"/>
  <c r="AR353" i="1"/>
  <c r="AS294" i="1"/>
  <c r="M25" i="1"/>
  <c r="AS334" i="1"/>
  <c r="M36" i="3"/>
  <c r="AE30" i="1"/>
  <c r="O34" i="2"/>
  <c r="O30" i="2"/>
  <c r="AQ53" i="1"/>
  <c r="AQ54" i="1"/>
  <c r="L32" i="2"/>
  <c r="L24" i="2"/>
  <c r="AH35" i="1"/>
  <c r="F34" i="2"/>
  <c r="F30" i="2"/>
  <c r="L33" i="2"/>
  <c r="AH36" i="1"/>
  <c r="BI334" i="1"/>
  <c r="BI363" i="1" s="1"/>
  <c r="BH306" i="1"/>
  <c r="J292" i="1"/>
  <c r="BM292" i="1" s="1"/>
  <c r="BM280" i="1"/>
  <c r="BM266" i="1"/>
  <c r="J278" i="1"/>
  <c r="BM278" i="1" s="1"/>
  <c r="V306" i="1"/>
  <c r="AV306" i="1"/>
  <c r="BL306" i="1" s="1"/>
  <c r="BL302" i="1"/>
  <c r="AV308" i="1"/>
  <c r="AZ226" i="1"/>
  <c r="AW205" i="1"/>
  <c r="AW243" i="1"/>
  <c r="BC243" i="1"/>
  <c r="BC253" i="1" s="1"/>
  <c r="AW181" i="1"/>
  <c r="BM181" i="1"/>
  <c r="BN181" i="1" s="1"/>
  <c r="AZ181" i="1"/>
  <c r="BN187" i="1"/>
  <c r="AK99" i="1"/>
  <c r="F17" i="3"/>
  <c r="F31" i="3"/>
  <c r="F34" i="3" s="1"/>
  <c r="F25" i="3"/>
  <c r="F20" i="3"/>
  <c r="AU102" i="1"/>
  <c r="AU103" i="1" s="1"/>
  <c r="AB56" i="1"/>
  <c r="AZ21" i="1"/>
  <c r="AZ8" i="1"/>
  <c r="AZ253" i="1" s="1"/>
  <c r="BI8" i="1"/>
  <c r="BI224" i="1" s="1"/>
  <c r="AT43" i="1"/>
  <c r="AR27" i="1"/>
  <c r="AS94" i="1"/>
  <c r="AS106" i="1"/>
  <c r="AT199" i="1"/>
  <c r="BN199" i="1" s="1"/>
  <c r="AT216" i="1"/>
  <c r="AR243" i="1"/>
  <c r="L63" i="3"/>
  <c r="N36" i="3"/>
  <c r="AH30" i="1"/>
  <c r="C67" i="3"/>
  <c r="AH305" i="1"/>
  <c r="AH302" i="1" s="1"/>
  <c r="AH99" i="1"/>
  <c r="AH3" i="1"/>
  <c r="AH54" i="1"/>
  <c r="AW91" i="1"/>
  <c r="G4" i="3"/>
  <c r="BI278" i="1"/>
  <c r="P23" i="3"/>
  <c r="P32" i="3"/>
  <c r="P26" i="3"/>
  <c r="AW99" i="1"/>
  <c r="AZ280" i="1"/>
  <c r="D32" i="2"/>
  <c r="D24" i="2"/>
  <c r="J35" i="1"/>
  <c r="N34" i="2"/>
  <c r="N30" i="2"/>
  <c r="AW334" i="1"/>
  <c r="AZ294" i="1"/>
  <c r="BI199" i="1"/>
  <c r="BI73" i="1"/>
  <c r="BI56" i="1" s="1"/>
  <c r="T10" i="3"/>
  <c r="BN22" i="1"/>
  <c r="L33" i="3"/>
  <c r="L27" i="3"/>
  <c r="O16" i="3"/>
  <c r="BG54" i="1"/>
  <c r="BG53" i="1"/>
  <c r="BD85" i="1"/>
  <c r="BD86" i="1"/>
  <c r="AW8" i="1"/>
  <c r="AS21" i="1"/>
  <c r="AT94" i="1"/>
  <c r="AT294" i="1"/>
  <c r="AT353" i="1"/>
  <c r="C65" i="3"/>
  <c r="AB305" i="1"/>
  <c r="AB3" i="1"/>
  <c r="AB25" i="1"/>
  <c r="J99" i="1"/>
  <c r="BM94" i="1"/>
  <c r="BE85" i="1"/>
  <c r="BE86" i="1"/>
  <c r="BI39" i="1"/>
  <c r="J253" i="1"/>
  <c r="BM253" i="1" s="1"/>
  <c r="BM243" i="1"/>
  <c r="AW186" i="1"/>
  <c r="J190" i="1"/>
  <c r="J188" i="1"/>
  <c r="BM186" i="1"/>
  <c r="AZ186" i="1"/>
  <c r="AB188" i="1"/>
  <c r="BF186" i="1"/>
  <c r="AB190" i="1"/>
  <c r="BM73" i="1"/>
  <c r="AW77" i="1"/>
  <c r="Q23" i="3"/>
  <c r="Q22" i="3" s="1"/>
  <c r="Q32" i="3"/>
  <c r="Q26" i="3"/>
  <c r="AZ65" i="1"/>
  <c r="AZ56" i="1" s="1"/>
  <c r="AV213" i="1"/>
  <c r="BL213" i="1" s="1"/>
  <c r="AV214" i="1"/>
  <c r="BL214" i="1" s="1"/>
  <c r="J25" i="1"/>
  <c r="BM21" i="1"/>
  <c r="L64" i="3"/>
  <c r="C62" i="3"/>
  <c r="S305" i="1"/>
  <c r="S3" i="1"/>
  <c r="Q3" i="1"/>
  <c r="AT65" i="1"/>
  <c r="AR106" i="1"/>
  <c r="AS56" i="1"/>
  <c r="AT205" i="1"/>
  <c r="AR302" i="1"/>
  <c r="S5" i="3"/>
  <c r="S4" i="3" s="1"/>
  <c r="P4" i="3"/>
  <c r="N34" i="3" l="1"/>
  <c r="AH329" i="1" s="1"/>
  <c r="BG311" i="1"/>
  <c r="AW264" i="1"/>
  <c r="I29" i="3"/>
  <c r="L21" i="3"/>
  <c r="AW241" i="1"/>
  <c r="BF292" i="1"/>
  <c r="P21" i="3"/>
  <c r="P38" i="3" s="1"/>
  <c r="Q21" i="3"/>
  <c r="J29" i="3"/>
  <c r="Y327" i="1" s="1"/>
  <c r="E29" i="3"/>
  <c r="BD102" i="1"/>
  <c r="BD103" i="1" s="1"/>
  <c r="J34" i="3"/>
  <c r="Y329" i="1" s="1"/>
  <c r="E34" i="3"/>
  <c r="BC300" i="1"/>
  <c r="BB311" i="1"/>
  <c r="BM25" i="1"/>
  <c r="AT42" i="1"/>
  <c r="Y54" i="1"/>
  <c r="Y53" i="1"/>
  <c r="AX311" i="1"/>
  <c r="AH85" i="1"/>
  <c r="P182" i="1"/>
  <c r="P106" i="1" s="1"/>
  <c r="BC188" i="1"/>
  <c r="J182" i="1"/>
  <c r="BM99" i="1"/>
  <c r="BN186" i="1"/>
  <c r="BD214" i="1"/>
  <c r="BD213" i="1"/>
  <c r="Y182" i="1"/>
  <c r="Y106" i="1" s="1"/>
  <c r="Y308" i="1" s="1"/>
  <c r="BH308" i="1"/>
  <c r="BH214" i="1"/>
  <c r="BE213" i="1"/>
  <c r="BB309" i="1"/>
  <c r="BG309" i="1"/>
  <c r="BE309" i="1"/>
  <c r="AW278" i="1"/>
  <c r="BM300" i="1"/>
  <c r="BN88" i="1"/>
  <c r="AT91" i="1"/>
  <c r="BM224" i="1"/>
  <c r="AR25" i="1"/>
  <c r="AR224" i="1"/>
  <c r="AR292" i="1"/>
  <c r="AR241" i="1"/>
  <c r="AT25" i="1"/>
  <c r="AR363" i="1"/>
  <c r="AR264" i="1"/>
  <c r="AS363" i="1"/>
  <c r="AR91" i="1"/>
  <c r="AR253" i="1"/>
  <c r="AT300" i="1"/>
  <c r="AT224" i="1"/>
  <c r="BN21" i="1"/>
  <c r="AT253" i="1"/>
  <c r="BN253" i="1" s="1"/>
  <c r="BN8" i="1"/>
  <c r="AT292" i="1"/>
  <c r="BN292" i="1" s="1"/>
  <c r="AT278" i="1"/>
  <c r="BN278" i="1" s="1"/>
  <c r="BN266" i="1"/>
  <c r="AT264" i="1"/>
  <c r="BN264" i="1" s="1"/>
  <c r="BN255" i="1"/>
  <c r="AR54" i="1"/>
  <c r="AS264" i="1"/>
  <c r="AT363" i="1"/>
  <c r="BN73" i="1"/>
  <c r="AS25" i="1"/>
  <c r="AT241" i="1"/>
  <c r="BN241" i="1" s="1"/>
  <c r="AR278" i="1"/>
  <c r="BN243" i="1"/>
  <c r="BN353" i="1"/>
  <c r="BN226" i="1"/>
  <c r="AR300" i="1"/>
  <c r="BN280" i="1"/>
  <c r="AT56" i="1"/>
  <c r="AT85" i="1" s="1"/>
  <c r="V213" i="1"/>
  <c r="V214" i="1"/>
  <c r="V308" i="1"/>
  <c r="P213" i="1"/>
  <c r="P214" i="1"/>
  <c r="AZ86" i="1"/>
  <c r="AZ85" i="1"/>
  <c r="BI86" i="1"/>
  <c r="BI85" i="1"/>
  <c r="AQ213" i="1"/>
  <c r="AQ214" i="1"/>
  <c r="M213" i="1"/>
  <c r="M214" i="1"/>
  <c r="O23" i="3"/>
  <c r="O37" i="3" s="1"/>
  <c r="O32" i="3"/>
  <c r="O26" i="3"/>
  <c r="H36" i="3"/>
  <c r="S30" i="1"/>
  <c r="G31" i="3"/>
  <c r="T4" i="3"/>
  <c r="G25" i="3"/>
  <c r="G20" i="3"/>
  <c r="AS253" i="1"/>
  <c r="AE182" i="1"/>
  <c r="AE106" i="1" s="1"/>
  <c r="AW300" i="1"/>
  <c r="V34" i="1"/>
  <c r="BC35" i="1"/>
  <c r="BC34" i="1" s="1"/>
  <c r="L69" i="3"/>
  <c r="I30" i="2"/>
  <c r="I34" i="2"/>
  <c r="AQ308" i="1"/>
  <c r="AQ306" i="1"/>
  <c r="J85" i="1"/>
  <c r="BM85" i="1" s="1"/>
  <c r="J86" i="1"/>
  <c r="BM86" i="1" s="1"/>
  <c r="BM56" i="1"/>
  <c r="BN205" i="1"/>
  <c r="AW53" i="1"/>
  <c r="AW54" i="1"/>
  <c r="AZ278" i="1"/>
  <c r="L37" i="3"/>
  <c r="AB29" i="1"/>
  <c r="BG316" i="1"/>
  <c r="BG323" i="1" s="1"/>
  <c r="BG331" i="1" s="1"/>
  <c r="BG312" i="1"/>
  <c r="Q38" i="3"/>
  <c r="AN28" i="1"/>
  <c r="BM188" i="1"/>
  <c r="AZ188" i="1"/>
  <c r="AW188" i="1"/>
  <c r="AT188" i="1"/>
  <c r="S17" i="3"/>
  <c r="S31" i="3"/>
  <c r="S25" i="3"/>
  <c r="S20" i="3"/>
  <c r="S36" i="3" s="1"/>
  <c r="T5" i="3"/>
  <c r="BF224" i="1"/>
  <c r="AS300" i="1"/>
  <c r="AE306" i="1"/>
  <c r="AS224" i="1"/>
  <c r="BC241" i="1"/>
  <c r="D36" i="3"/>
  <c r="J30" i="1"/>
  <c r="AY309" i="1"/>
  <c r="AY311" i="1"/>
  <c r="H30" i="2"/>
  <c r="H34" i="2"/>
  <c r="I36" i="3"/>
  <c r="V30" i="1"/>
  <c r="L70" i="3"/>
  <c r="BN65" i="1"/>
  <c r="BC53" i="1"/>
  <c r="BC54" i="1"/>
  <c r="I38" i="3"/>
  <c r="V28" i="1"/>
  <c r="V27" i="1" s="1"/>
  <c r="V32" i="1" s="1"/>
  <c r="BN94" i="1"/>
  <c r="AB85" i="1"/>
  <c r="AB86" i="1"/>
  <c r="Q37" i="3"/>
  <c r="AN29" i="1"/>
  <c r="AR85" i="1"/>
  <c r="AR86" i="1"/>
  <c r="E38" i="3"/>
  <c r="M28" i="1"/>
  <c r="L66" i="3"/>
  <c r="J106" i="1"/>
  <c r="AW305" i="1"/>
  <c r="AW302" i="1" s="1"/>
  <c r="AZ305" i="1"/>
  <c r="AZ302" i="1" s="1"/>
  <c r="BM305" i="1"/>
  <c r="AT305" i="1"/>
  <c r="AT302" i="1" s="1"/>
  <c r="J302" i="1"/>
  <c r="BC190" i="1"/>
  <c r="BC182" i="1" s="1"/>
  <c r="BC106" i="1" s="1"/>
  <c r="H38" i="3"/>
  <c r="S28" i="1"/>
  <c r="P308" i="1"/>
  <c r="P306" i="1"/>
  <c r="AZ91" i="1"/>
  <c r="BN216" i="1"/>
  <c r="BF241" i="1"/>
  <c r="AS54" i="1"/>
  <c r="AS53" i="1"/>
  <c r="T27" i="3"/>
  <c r="AH182" i="1"/>
  <c r="AH106" i="1" s="1"/>
  <c r="BM190" i="1"/>
  <c r="AZ190" i="1"/>
  <c r="AW190" i="1"/>
  <c r="AT190" i="1"/>
  <c r="AZ300" i="1"/>
  <c r="AR308" i="1"/>
  <c r="AR306" i="1"/>
  <c r="BF305" i="1"/>
  <c r="BF302" i="1" s="1"/>
  <c r="AB302" i="1"/>
  <c r="O27" i="3"/>
  <c r="O33" i="3"/>
  <c r="T33" i="3" s="1"/>
  <c r="AS213" i="1"/>
  <c r="AS214" i="1"/>
  <c r="F36" i="3"/>
  <c r="P30" i="1"/>
  <c r="AW253" i="1"/>
  <c r="BH309" i="1"/>
  <c r="BH311" i="1"/>
  <c r="BF253" i="1"/>
  <c r="AW56" i="1"/>
  <c r="BC99" i="1"/>
  <c r="BC91" i="1"/>
  <c r="BN179" i="1"/>
  <c r="C51" i="3"/>
  <c r="C50" i="3"/>
  <c r="C49" i="3"/>
  <c r="C48" i="3"/>
  <c r="C71" i="3"/>
  <c r="C47" i="3"/>
  <c r="C58" i="3"/>
  <c r="D70" i="3" s="1"/>
  <c r="H70" i="3" s="1"/>
  <c r="J70" i="3" s="1"/>
  <c r="K70" i="3" s="1"/>
  <c r="M70" i="3" s="1"/>
  <c r="AQ326" i="1" s="1"/>
  <c r="C57" i="3"/>
  <c r="D69" i="3" s="1"/>
  <c r="H69" i="3" s="1"/>
  <c r="J69" i="3" s="1"/>
  <c r="K69" i="3" s="1"/>
  <c r="M69" i="3" s="1"/>
  <c r="AN326" i="1" s="1"/>
  <c r="C56" i="3"/>
  <c r="C55" i="3"/>
  <c r="L59" i="3"/>
  <c r="C54" i="3"/>
  <c r="C53" i="3"/>
  <c r="C52" i="3"/>
  <c r="S182" i="1"/>
  <c r="S106" i="1" s="1"/>
  <c r="R38" i="3"/>
  <c r="AQ28" i="1"/>
  <c r="L36" i="3"/>
  <c r="AB30" i="1"/>
  <c r="BF30" i="1" s="1"/>
  <c r="L61" i="3"/>
  <c r="AS39" i="1"/>
  <c r="AZ54" i="1"/>
  <c r="AE28" i="1"/>
  <c r="L62" i="3"/>
  <c r="P17" i="3"/>
  <c r="P31" i="3"/>
  <c r="P34" i="3" s="1"/>
  <c r="AK329" i="1" s="1"/>
  <c r="P25" i="3"/>
  <c r="P29" i="3" s="1"/>
  <c r="AK327" i="1" s="1"/>
  <c r="P20" i="3"/>
  <c r="BI99" i="1"/>
  <c r="F29" i="3"/>
  <c r="AZ224" i="1"/>
  <c r="AS85" i="1"/>
  <c r="AS86" i="1"/>
  <c r="AS99" i="1"/>
  <c r="AZ241" i="1"/>
  <c r="AS91" i="1"/>
  <c r="BC224" i="1"/>
  <c r="AS306" i="1"/>
  <c r="AS308" i="1"/>
  <c r="BI253" i="1"/>
  <c r="AS278" i="1"/>
  <c r="J36" i="3"/>
  <c r="Y30" i="1"/>
  <c r="BM91" i="1"/>
  <c r="L34" i="3"/>
  <c r="AB329" i="1" s="1"/>
  <c r="BF329" i="1" s="1"/>
  <c r="AW224" i="1"/>
  <c r="BA311" i="1"/>
  <c r="BA309" i="1"/>
  <c r="R36" i="3"/>
  <c r="AQ30" i="1"/>
  <c r="Q36" i="3"/>
  <c r="AN30" i="1"/>
  <c r="BI190" i="1"/>
  <c r="N37" i="3"/>
  <c r="AH29" i="1"/>
  <c r="BI292" i="1"/>
  <c r="BF190" i="1"/>
  <c r="L29" i="3"/>
  <c r="AB327" i="1" s="1"/>
  <c r="BF327" i="1" s="1"/>
  <c r="BF188" i="1"/>
  <c r="BF182" i="1" s="1"/>
  <c r="BF106" i="1" s="1"/>
  <c r="AB182" i="1"/>
  <c r="AB106" i="1" s="1"/>
  <c r="J34" i="1"/>
  <c r="AW35" i="1"/>
  <c r="AZ35" i="1"/>
  <c r="AZ34" i="1" s="1"/>
  <c r="BM35" i="1"/>
  <c r="AT35" i="1"/>
  <c r="AT34" i="1" s="1"/>
  <c r="P37" i="3"/>
  <c r="AK29" i="1"/>
  <c r="BF36" i="1"/>
  <c r="AW36" i="1"/>
  <c r="BI264" i="1"/>
  <c r="BN107" i="1"/>
  <c r="AS292" i="1"/>
  <c r="AU311" i="1"/>
  <c r="AU309" i="1"/>
  <c r="BI305" i="1"/>
  <c r="BI302" i="1" s="1"/>
  <c r="AK302" i="1"/>
  <c r="S32" i="3"/>
  <c r="S26" i="3"/>
  <c r="S23" i="3"/>
  <c r="S37" i="3" s="1"/>
  <c r="BC278" i="1"/>
  <c r="R37" i="3"/>
  <c r="AQ29" i="1"/>
  <c r="BC327" i="1"/>
  <c r="AT327" i="1"/>
  <c r="BN327" i="1" s="1"/>
  <c r="K22" i="3"/>
  <c r="K23" i="3"/>
  <c r="K37" i="3" s="1"/>
  <c r="K32" i="3"/>
  <c r="K26" i="3"/>
  <c r="K28" i="3" s="1"/>
  <c r="AR39" i="1"/>
  <c r="AZ99" i="1"/>
  <c r="AS241" i="1"/>
  <c r="R29" i="3"/>
  <c r="AQ327" i="1" s="1"/>
  <c r="Q29" i="3"/>
  <c r="AN327" i="1" s="1"/>
  <c r="BB312" i="1"/>
  <c r="BB316" i="1"/>
  <c r="BB323" i="1" s="1"/>
  <c r="BB331" i="1" s="1"/>
  <c r="N22" i="3"/>
  <c r="AH28" i="1" s="1"/>
  <c r="AH27" i="1" s="1"/>
  <c r="AH32" i="1" s="1"/>
  <c r="M37" i="3"/>
  <c r="AE29" i="1"/>
  <c r="BC86" i="1"/>
  <c r="AZ292" i="1"/>
  <c r="L65" i="3"/>
  <c r="AR213" i="1"/>
  <c r="AR214" i="1"/>
  <c r="AH306" i="1"/>
  <c r="AR32" i="1"/>
  <c r="AR40" i="1" s="1"/>
  <c r="AV309" i="1"/>
  <c r="BL309" i="1" s="1"/>
  <c r="AV311" i="1"/>
  <c r="BL308" i="1"/>
  <c r="D34" i="2"/>
  <c r="D30" i="2"/>
  <c r="P22" i="3"/>
  <c r="L67" i="3"/>
  <c r="AT53" i="1"/>
  <c r="AT54" i="1"/>
  <c r="AS32" i="1"/>
  <c r="AS102" i="1" s="1"/>
  <c r="AS103" i="1" s="1"/>
  <c r="BN294" i="1"/>
  <c r="BL102" i="1"/>
  <c r="BN20" i="1"/>
  <c r="L68" i="3"/>
  <c r="BC329" i="1"/>
  <c r="AT329" i="1"/>
  <c r="BN329" i="1" s="1"/>
  <c r="E36" i="3"/>
  <c r="M30" i="1"/>
  <c r="R34" i="3"/>
  <c r="AQ329" i="1" s="1"/>
  <c r="Q34" i="3"/>
  <c r="AN329" i="1" s="1"/>
  <c r="BI188" i="1"/>
  <c r="AK182" i="1"/>
  <c r="AK106" i="1" s="1"/>
  <c r="BE312" i="1"/>
  <c r="BE316" i="1"/>
  <c r="BE323" i="1" s="1"/>
  <c r="BE331" i="1" s="1"/>
  <c r="M22" i="3"/>
  <c r="M38" i="3" s="1"/>
  <c r="AR99" i="1"/>
  <c r="BI53" i="1"/>
  <c r="BI54" i="1"/>
  <c r="AX312" i="1"/>
  <c r="AX316" i="1"/>
  <c r="AX323" i="1" s="1"/>
  <c r="AX331" i="1" s="1"/>
  <c r="F38" i="3"/>
  <c r="P28" i="1"/>
  <c r="P27" i="1" s="1"/>
  <c r="P32" i="1" s="1"/>
  <c r="K34" i="3"/>
  <c r="J38" i="3"/>
  <c r="Y28" i="1"/>
  <c r="Y27" i="1" s="1"/>
  <c r="Y32" i="1" s="1"/>
  <c r="Y102" i="1" s="1"/>
  <c r="Y103" i="1" s="1"/>
  <c r="BF86" i="1"/>
  <c r="AT99" i="1"/>
  <c r="BN99" i="1" s="1"/>
  <c r="BI25" i="1"/>
  <c r="BI91" i="1"/>
  <c r="BM42" i="1"/>
  <c r="J53" i="1"/>
  <c r="BM53" i="1" s="1"/>
  <c r="J54" i="1"/>
  <c r="BM54" i="1" s="1"/>
  <c r="L38" i="3"/>
  <c r="AB28" i="1"/>
  <c r="BF54" i="1"/>
  <c r="BF25" i="1"/>
  <c r="BC305" i="1"/>
  <c r="BC302" i="1" s="1"/>
  <c r="S302" i="1"/>
  <c r="AZ25" i="1"/>
  <c r="AH34" i="1"/>
  <c r="BF35" i="1"/>
  <c r="BF34" i="1" s="1"/>
  <c r="AN182" i="1"/>
  <c r="AN106" i="1" s="1"/>
  <c r="BM363" i="1"/>
  <c r="D22" i="3"/>
  <c r="D32" i="3"/>
  <c r="D34" i="3" s="1"/>
  <c r="D26" i="3"/>
  <c r="D29" i="3" s="1"/>
  <c r="D21" i="3"/>
  <c r="M308" i="1"/>
  <c r="M306" i="1"/>
  <c r="BN43" i="1"/>
  <c r="AZ264" i="1"/>
  <c r="H34" i="3"/>
  <c r="AT3" i="1"/>
  <c r="AR3" i="1"/>
  <c r="BI300" i="1"/>
  <c r="L34" i="2"/>
  <c r="L30" i="2"/>
  <c r="G9" i="3"/>
  <c r="G17" i="3" s="1"/>
  <c r="T17" i="3" s="1"/>
  <c r="T11" i="3"/>
  <c r="L60" i="3"/>
  <c r="AN306" i="1"/>
  <c r="Y39" i="1"/>
  <c r="O20" i="3"/>
  <c r="O36" i="3" s="1"/>
  <c r="O17" i="3"/>
  <c r="O31" i="3"/>
  <c r="O25" i="3"/>
  <c r="BF91" i="1"/>
  <c r="BC292" i="1"/>
  <c r="AW25" i="1"/>
  <c r="BI241" i="1"/>
  <c r="BF300" i="1"/>
  <c r="S28" i="3" l="1"/>
  <c r="BD311" i="1"/>
  <c r="BD316" i="1" s="1"/>
  <c r="BD323" i="1" s="1"/>
  <c r="BD331" i="1" s="1"/>
  <c r="S34" i="3"/>
  <c r="N38" i="3"/>
  <c r="K21" i="3"/>
  <c r="M27" i="1"/>
  <c r="M32" i="1" s="1"/>
  <c r="AN325" i="1"/>
  <c r="O28" i="3"/>
  <c r="O29" i="3" s="1"/>
  <c r="O39" i="3" s="1"/>
  <c r="AK28" i="1"/>
  <c r="O34" i="3"/>
  <c r="AW329" i="1"/>
  <c r="D65" i="3"/>
  <c r="H65" i="3" s="1"/>
  <c r="J65" i="3" s="1"/>
  <c r="K65" i="3" s="1"/>
  <c r="M65" i="3" s="1"/>
  <c r="AB326" i="1" s="1"/>
  <c r="BF326" i="1" s="1"/>
  <c r="BN25" i="1"/>
  <c r="BN42" i="1"/>
  <c r="AW182" i="1"/>
  <c r="AW106" i="1" s="1"/>
  <c r="Y214" i="1"/>
  <c r="Y213" i="1"/>
  <c r="BI182" i="1"/>
  <c r="BI106" i="1" s="1"/>
  <c r="BI213" i="1" s="1"/>
  <c r="AT182" i="1"/>
  <c r="AT106" i="1" s="1"/>
  <c r="AT308" i="1" s="1"/>
  <c r="BD312" i="1"/>
  <c r="BM182" i="1"/>
  <c r="AZ182" i="1"/>
  <c r="AZ106" i="1" s="1"/>
  <c r="AZ213" i="1" s="1"/>
  <c r="BN300" i="1"/>
  <c r="BN91" i="1"/>
  <c r="BN224" i="1"/>
  <c r="BN363" i="1"/>
  <c r="AR102" i="1"/>
  <c r="AR103" i="1" s="1"/>
  <c r="BN54" i="1"/>
  <c r="BN56" i="1"/>
  <c r="BN305" i="1"/>
  <c r="AT86" i="1"/>
  <c r="BN86" i="1" s="1"/>
  <c r="AS40" i="1"/>
  <c r="BN190" i="1"/>
  <c r="BI28" i="1"/>
  <c r="AW214" i="1"/>
  <c r="AW213" i="1"/>
  <c r="BC213" i="1"/>
  <c r="BC214" i="1"/>
  <c r="AB27" i="1"/>
  <c r="AB32" i="1" s="1"/>
  <c r="BF28" i="1"/>
  <c r="D38" i="3"/>
  <c r="J28" i="1"/>
  <c r="AZ39" i="1"/>
  <c r="AQ27" i="1"/>
  <c r="AQ32" i="1" s="1"/>
  <c r="AN27" i="1"/>
  <c r="AN32" i="1" s="1"/>
  <c r="AE213" i="1"/>
  <c r="AE214" i="1"/>
  <c r="AQ309" i="1"/>
  <c r="BF39" i="1"/>
  <c r="AK308" i="1"/>
  <c r="AK306" i="1"/>
  <c r="AE27" i="1"/>
  <c r="AE32" i="1" s="1"/>
  <c r="D59" i="3"/>
  <c r="H59" i="3" s="1"/>
  <c r="J59" i="3" s="1"/>
  <c r="K59" i="3" s="1"/>
  <c r="AW327" i="1"/>
  <c r="AU316" i="1"/>
  <c r="AU323" i="1" s="1"/>
  <c r="AU331" i="1" s="1"/>
  <c r="AU312" i="1"/>
  <c r="AW34" i="1"/>
  <c r="P309" i="1"/>
  <c r="AZ306" i="1"/>
  <c r="BE332" i="1"/>
  <c r="BE365" i="1"/>
  <c r="BM34" i="1"/>
  <c r="BN34" i="1" s="1"/>
  <c r="J39" i="1"/>
  <c r="S213" i="1"/>
  <c r="S214" i="1"/>
  <c r="D60" i="3"/>
  <c r="H60" i="3" s="1"/>
  <c r="J60" i="3" s="1"/>
  <c r="K60" i="3" s="1"/>
  <c r="M60" i="3" s="1"/>
  <c r="M326" i="1" s="1"/>
  <c r="M325" i="1" s="1"/>
  <c r="BD332" i="1"/>
  <c r="BD365" i="1"/>
  <c r="AW308" i="1"/>
  <c r="AW306" i="1"/>
  <c r="BN85" i="1"/>
  <c r="T20" i="3"/>
  <c r="G36" i="3"/>
  <c r="T36" i="3" s="1"/>
  <c r="AT39" i="1"/>
  <c r="Y309" i="1"/>
  <c r="Y311" i="1"/>
  <c r="Y40" i="1"/>
  <c r="AB214" i="1"/>
  <c r="AB213" i="1"/>
  <c r="AS309" i="1"/>
  <c r="AS311" i="1"/>
  <c r="D64" i="3"/>
  <c r="H64" i="3" s="1"/>
  <c r="J64" i="3" s="1"/>
  <c r="K64" i="3" s="1"/>
  <c r="M64" i="3" s="1"/>
  <c r="Y326" i="1" s="1"/>
  <c r="Y325" i="1" s="1"/>
  <c r="D61" i="3"/>
  <c r="H61" i="3" s="1"/>
  <c r="J61" i="3" s="1"/>
  <c r="K61" i="3" s="1"/>
  <c r="M61" i="3" s="1"/>
  <c r="P326" i="1" s="1"/>
  <c r="P325" i="1" s="1"/>
  <c r="J213" i="1"/>
  <c r="J214" i="1"/>
  <c r="BM106" i="1"/>
  <c r="BG332" i="1"/>
  <c r="BG365" i="1"/>
  <c r="T25" i="3"/>
  <c r="O22" i="3"/>
  <c r="T31" i="3"/>
  <c r="T34" i="3" s="1"/>
  <c r="AH39" i="1"/>
  <c r="AH40" i="1"/>
  <c r="AH102" i="1"/>
  <c r="AH103" i="1" s="1"/>
  <c r="K38" i="3"/>
  <c r="S22" i="3"/>
  <c r="BN53" i="1"/>
  <c r="AX332" i="1"/>
  <c r="AX365" i="1"/>
  <c r="S21" i="3"/>
  <c r="BA312" i="1"/>
  <c r="BA316" i="1"/>
  <c r="BA323" i="1" s="1"/>
  <c r="BA331" i="1" s="1"/>
  <c r="BI327" i="1"/>
  <c r="L71" i="3"/>
  <c r="BM30" i="1"/>
  <c r="AZ30" i="1"/>
  <c r="AT30" i="1"/>
  <c r="BC30" i="1"/>
  <c r="AN214" i="1"/>
  <c r="AN213" i="1"/>
  <c r="BF213" i="1"/>
  <c r="BF214" i="1"/>
  <c r="AH213" i="1"/>
  <c r="AH214" i="1"/>
  <c r="AY316" i="1"/>
  <c r="AY323" i="1" s="1"/>
  <c r="AY331" i="1" s="1"/>
  <c r="AY312" i="1"/>
  <c r="M40" i="1"/>
  <c r="M102" i="1"/>
  <c r="M103" i="1" s="1"/>
  <c r="K29" i="3"/>
  <c r="K39" i="3" s="1"/>
  <c r="Y328" i="1"/>
  <c r="BB332" i="1"/>
  <c r="BB365" i="1"/>
  <c r="BI29" i="1"/>
  <c r="BI329" i="1"/>
  <c r="D67" i="3"/>
  <c r="H67" i="3" s="1"/>
  <c r="J67" i="3" s="1"/>
  <c r="K67" i="3" s="1"/>
  <c r="M67" i="3" s="1"/>
  <c r="AH326" i="1" s="1"/>
  <c r="AB306" i="1"/>
  <c r="AB308" i="1"/>
  <c r="D62" i="3"/>
  <c r="H62" i="3" s="1"/>
  <c r="J62" i="3" s="1"/>
  <c r="K62" i="3" s="1"/>
  <c r="M62" i="3" s="1"/>
  <c r="S326" i="1" s="1"/>
  <c r="BC28" i="1"/>
  <c r="BC27" i="1" s="1"/>
  <c r="BC32" i="1" s="1"/>
  <c r="BC102" i="1" s="1"/>
  <c r="BC103" i="1" s="1"/>
  <c r="S27" i="1"/>
  <c r="S32" i="1" s="1"/>
  <c r="S29" i="3"/>
  <c r="S39" i="3" s="1"/>
  <c r="AQ328" i="1"/>
  <c r="BI328" i="1" s="1"/>
  <c r="P36" i="3"/>
  <c r="AK30" i="1"/>
  <c r="BI30" i="1" s="1"/>
  <c r="D66" i="3"/>
  <c r="H66" i="3" s="1"/>
  <c r="J66" i="3" s="1"/>
  <c r="K66" i="3" s="1"/>
  <c r="M66" i="3" s="1"/>
  <c r="AE326" i="1" s="1"/>
  <c r="AE325" i="1" s="1"/>
  <c r="BF29" i="1"/>
  <c r="AW29" i="1"/>
  <c r="M309" i="1"/>
  <c r="S308" i="1"/>
  <c r="S306" i="1"/>
  <c r="AH308" i="1"/>
  <c r="D68" i="3"/>
  <c r="H68" i="3" s="1"/>
  <c r="J68" i="3" s="1"/>
  <c r="K68" i="3" s="1"/>
  <c r="M68" i="3" s="1"/>
  <c r="AK326" i="1" s="1"/>
  <c r="AW86" i="1"/>
  <c r="AW85" i="1"/>
  <c r="BF308" i="1"/>
  <c r="BF306" i="1"/>
  <c r="BC39" i="1"/>
  <c r="V309" i="1"/>
  <c r="P40" i="1"/>
  <c r="P102" i="1"/>
  <c r="P103" i="1" s="1"/>
  <c r="BL311" i="1"/>
  <c r="AV312" i="1"/>
  <c r="BL312" i="1" s="1"/>
  <c r="AV316" i="1"/>
  <c r="D63" i="3"/>
  <c r="H63" i="3" s="1"/>
  <c r="J63" i="3" s="1"/>
  <c r="K63" i="3" s="1"/>
  <c r="M63" i="3" s="1"/>
  <c r="V326" i="1" s="1"/>
  <c r="V325" i="1" s="1"/>
  <c r="G32" i="3"/>
  <c r="T32" i="3" s="1"/>
  <c r="G26" i="3"/>
  <c r="T26" i="3" s="1"/>
  <c r="T9" i="3"/>
  <c r="G23" i="3"/>
  <c r="G22" i="3" s="1"/>
  <c r="AQ325" i="1"/>
  <c r="V40" i="1"/>
  <c r="V39" i="1"/>
  <c r="V102" i="1"/>
  <c r="V103" i="1" s="1"/>
  <c r="AK214" i="1"/>
  <c r="AK213" i="1"/>
  <c r="AN308" i="1"/>
  <c r="BC308" i="1"/>
  <c r="BC306" i="1"/>
  <c r="BM302" i="1"/>
  <c r="BN302" i="1" s="1"/>
  <c r="J306" i="1"/>
  <c r="BM306" i="1" s="1"/>
  <c r="J308" i="1"/>
  <c r="BI308" i="1"/>
  <c r="BI306" i="1"/>
  <c r="BN35" i="1"/>
  <c r="BH312" i="1"/>
  <c r="BH316" i="1"/>
  <c r="BH323" i="1" s="1"/>
  <c r="BH331" i="1" s="1"/>
  <c r="AR309" i="1"/>
  <c r="AT306" i="1"/>
  <c r="AE308" i="1"/>
  <c r="BN188" i="1"/>
  <c r="O21" i="3"/>
  <c r="AT213" i="1" l="1"/>
  <c r="AT214" i="1"/>
  <c r="O38" i="3"/>
  <c r="T22" i="3"/>
  <c r="AH328" i="1"/>
  <c r="BF328" i="1" s="1"/>
  <c r="AB325" i="1"/>
  <c r="AW30" i="1"/>
  <c r="BC40" i="1"/>
  <c r="BN182" i="1"/>
  <c r="BN106" i="1"/>
  <c r="AZ308" i="1"/>
  <c r="AZ214" i="1"/>
  <c r="V311" i="1"/>
  <c r="V316" i="1" s="1"/>
  <c r="V323" i="1" s="1"/>
  <c r="V331" i="1" s="1"/>
  <c r="BM214" i="1"/>
  <c r="BM213" i="1"/>
  <c r="AR311" i="1"/>
  <c r="AR312" i="1" s="1"/>
  <c r="M311" i="1"/>
  <c r="M312" i="1" s="1"/>
  <c r="BN30" i="1"/>
  <c r="J309" i="1"/>
  <c r="BM308" i="1"/>
  <c r="BN308" i="1" s="1"/>
  <c r="AH309" i="1"/>
  <c r="AH311" i="1"/>
  <c r="AW328" i="1"/>
  <c r="BC328" i="1"/>
  <c r="AT328" i="1"/>
  <c r="BN328" i="1" s="1"/>
  <c r="Y316" i="1"/>
  <c r="Y323" i="1" s="1"/>
  <c r="Y331" i="1" s="1"/>
  <c r="Y312" i="1"/>
  <c r="AW39" i="1"/>
  <c r="AE309" i="1"/>
  <c r="BN306" i="1"/>
  <c r="S309" i="1"/>
  <c r="S40" i="1"/>
  <c r="S102" i="1"/>
  <c r="S103" i="1" s="1"/>
  <c r="BM39" i="1"/>
  <c r="BN39" i="1" s="1"/>
  <c r="AU332" i="1"/>
  <c r="AU365" i="1"/>
  <c r="AN40" i="1"/>
  <c r="AN102" i="1"/>
  <c r="AN103" i="1" s="1"/>
  <c r="G37" i="3"/>
  <c r="T37" i="3" s="1"/>
  <c r="T23" i="3"/>
  <c r="BC309" i="1"/>
  <c r="BC311" i="1"/>
  <c r="AQ40" i="1"/>
  <c r="AQ102" i="1"/>
  <c r="AE40" i="1"/>
  <c r="AE102" i="1"/>
  <c r="AE103" i="1" s="1"/>
  <c r="BH332" i="1"/>
  <c r="BH365" i="1"/>
  <c r="AN309" i="1"/>
  <c r="BF309" i="1"/>
  <c r="AH325" i="1"/>
  <c r="BA332" i="1"/>
  <c r="BA365" i="1"/>
  <c r="G34" i="3"/>
  <c r="AK309" i="1"/>
  <c r="BM28" i="1"/>
  <c r="AZ28" i="1"/>
  <c r="AZ27" i="1" s="1"/>
  <c r="AZ32" i="1" s="1"/>
  <c r="J27" i="1"/>
  <c r="AW28" i="1"/>
  <c r="AW27" i="1" s="1"/>
  <c r="AW32" i="1" s="1"/>
  <c r="AW102" i="1" s="1"/>
  <c r="AW103" i="1" s="1"/>
  <c r="AT28" i="1"/>
  <c r="AT27" i="1" s="1"/>
  <c r="AT32" i="1" s="1"/>
  <c r="G21" i="3"/>
  <c r="AS312" i="1"/>
  <c r="AS316" i="1"/>
  <c r="AS323" i="1" s="1"/>
  <c r="AS331" i="1" s="1"/>
  <c r="AW309" i="1"/>
  <c r="AZ309" i="1"/>
  <c r="AV323" i="1"/>
  <c r="BL316" i="1"/>
  <c r="S38" i="3"/>
  <c r="G28" i="3"/>
  <c r="BF27" i="1"/>
  <c r="BF32" i="1" s="1"/>
  <c r="AT309" i="1"/>
  <c r="BC326" i="1"/>
  <c r="S325" i="1"/>
  <c r="K71" i="3"/>
  <c r="M59" i="3"/>
  <c r="BF325" i="1"/>
  <c r="AB309" i="1"/>
  <c r="AY332" i="1"/>
  <c r="AY365" i="1"/>
  <c r="BI309" i="1"/>
  <c r="P311" i="1"/>
  <c r="AB40" i="1"/>
  <c r="AB102" i="1"/>
  <c r="AB103" i="1" s="1"/>
  <c r="BI27" i="1"/>
  <c r="BI32" i="1" s="1"/>
  <c r="AK325" i="1"/>
  <c r="BI326" i="1"/>
  <c r="BI325" i="1" s="1"/>
  <c r="AK27" i="1"/>
  <c r="AK32" i="1" s="1"/>
  <c r="BN214" i="1" l="1"/>
  <c r="BN213" i="1"/>
  <c r="AB311" i="1"/>
  <c r="AB312" i="1" s="1"/>
  <c r="V312" i="1"/>
  <c r="BC325" i="1"/>
  <c r="AR316" i="1"/>
  <c r="AR323" i="1" s="1"/>
  <c r="AR331" i="1" s="1"/>
  <c r="AR332" i="1" s="1"/>
  <c r="M316" i="1"/>
  <c r="M323" i="1" s="1"/>
  <c r="M331" i="1" s="1"/>
  <c r="M332" i="1" s="1"/>
  <c r="BN28" i="1"/>
  <c r="BF40" i="1"/>
  <c r="BF102" i="1"/>
  <c r="T28" i="3"/>
  <c r="G29" i="3"/>
  <c r="AS332" i="1"/>
  <c r="AS365" i="1"/>
  <c r="BC312" i="1"/>
  <c r="BC316" i="1"/>
  <c r="BC323" i="1" s="1"/>
  <c r="V332" i="1"/>
  <c r="V365" i="1"/>
  <c r="AW40" i="1"/>
  <c r="AV331" i="1"/>
  <c r="BL323" i="1"/>
  <c r="M71" i="3"/>
  <c r="M72" i="3" s="1"/>
  <c r="J326" i="1"/>
  <c r="J32" i="1"/>
  <c r="BM27" i="1"/>
  <c r="BN27" i="1" s="1"/>
  <c r="AN311" i="1"/>
  <c r="S311" i="1"/>
  <c r="BI40" i="1"/>
  <c r="BI102" i="1"/>
  <c r="AZ102" i="1"/>
  <c r="AZ40" i="1"/>
  <c r="Y332" i="1"/>
  <c r="Y365" i="1"/>
  <c r="AH312" i="1"/>
  <c r="AH316" i="1"/>
  <c r="AH323" i="1" s="1"/>
  <c r="AH331" i="1" s="1"/>
  <c r="AT40" i="1"/>
  <c r="AT102" i="1"/>
  <c r="AW311" i="1"/>
  <c r="T21" i="3"/>
  <c r="G38" i="3"/>
  <c r="T38" i="3" s="1"/>
  <c r="P316" i="1"/>
  <c r="P323" i="1" s="1"/>
  <c r="P331" i="1" s="1"/>
  <c r="P312" i="1"/>
  <c r="AK102" i="1"/>
  <c r="AK40" i="1"/>
  <c r="AQ103" i="1"/>
  <c r="AQ311" i="1"/>
  <c r="AE311" i="1"/>
  <c r="BM309" i="1"/>
  <c r="BN309" i="1" s="1"/>
  <c r="AB316" i="1" l="1"/>
  <c r="AB323" i="1" s="1"/>
  <c r="AB331" i="1" s="1"/>
  <c r="AB365" i="1" s="1"/>
  <c r="BC331" i="1"/>
  <c r="BC332" i="1" s="1"/>
  <c r="AR365" i="1"/>
  <c r="M365" i="1"/>
  <c r="AH332" i="1"/>
  <c r="AH365" i="1"/>
  <c r="J325" i="1"/>
  <c r="BM326" i="1"/>
  <c r="AZ326" i="1"/>
  <c r="AZ325" i="1" s="1"/>
  <c r="AW326" i="1"/>
  <c r="AW325" i="1" s="1"/>
  <c r="AT326" i="1"/>
  <c r="AT325" i="1" s="1"/>
  <c r="P332" i="1"/>
  <c r="P365" i="1"/>
  <c r="AZ103" i="1"/>
  <c r="AZ311" i="1"/>
  <c r="AW312" i="1"/>
  <c r="AW316" i="1"/>
  <c r="AW323" i="1" s="1"/>
  <c r="BI103" i="1"/>
  <c r="BI311" i="1"/>
  <c r="AV332" i="1"/>
  <c r="BL332" i="1" s="1"/>
  <c r="BL331" i="1"/>
  <c r="AV365" i="1"/>
  <c r="BL365" i="1" s="1"/>
  <c r="G39" i="3"/>
  <c r="T39" i="3" s="1"/>
  <c r="T29" i="3"/>
  <c r="AK103" i="1"/>
  <c r="AK311" i="1"/>
  <c r="S312" i="1"/>
  <c r="S316" i="1"/>
  <c r="S323" i="1" s="1"/>
  <c r="S331" i="1" s="1"/>
  <c r="AE316" i="1"/>
  <c r="AE323" i="1" s="1"/>
  <c r="AE331" i="1" s="1"/>
  <c r="AE312" i="1"/>
  <c r="AQ312" i="1"/>
  <c r="AQ316" i="1"/>
  <c r="AQ323" i="1" s="1"/>
  <c r="AQ331" i="1" s="1"/>
  <c r="AN312" i="1"/>
  <c r="AN316" i="1"/>
  <c r="AN323" i="1" s="1"/>
  <c r="AN331" i="1" s="1"/>
  <c r="BF103" i="1"/>
  <c r="BF311" i="1"/>
  <c r="AT103" i="1"/>
  <c r="AT311" i="1"/>
  <c r="BM32" i="1"/>
  <c r="BN32" i="1" s="1"/>
  <c r="J40" i="1"/>
  <c r="BM40" i="1" s="1"/>
  <c r="BN40" i="1" s="1"/>
  <c r="J102" i="1"/>
  <c r="AB332" i="1" l="1"/>
  <c r="BC365" i="1"/>
  <c r="BF312" i="1"/>
  <c r="BF316" i="1"/>
  <c r="BF323" i="1" s="1"/>
  <c r="BF331" i="1" s="1"/>
  <c r="AW331" i="1"/>
  <c r="AN332" i="1"/>
  <c r="AN365" i="1"/>
  <c r="BI312" i="1"/>
  <c r="BI316" i="1"/>
  <c r="BI323" i="1" s="1"/>
  <c r="BI331" i="1" s="1"/>
  <c r="AQ332" i="1"/>
  <c r="AQ365" i="1"/>
  <c r="BN326" i="1"/>
  <c r="BM102" i="1"/>
  <c r="BN102" i="1" s="1"/>
  <c r="J103" i="1"/>
  <c r="BM103" i="1" s="1"/>
  <c r="BN103" i="1" s="1"/>
  <c r="J311" i="1"/>
  <c r="BM325" i="1"/>
  <c r="BN325" i="1" s="1"/>
  <c r="S332" i="1"/>
  <c r="S365" i="1"/>
  <c r="AZ312" i="1"/>
  <c r="AZ316" i="1"/>
  <c r="AZ323" i="1" s="1"/>
  <c r="AZ331" i="1" s="1"/>
  <c r="AE332" i="1"/>
  <c r="AE365" i="1"/>
  <c r="AT312" i="1"/>
  <c r="AT316" i="1"/>
  <c r="AT323" i="1" s="1"/>
  <c r="AT331" i="1" s="1"/>
  <c r="AK312" i="1"/>
  <c r="AK316" i="1"/>
  <c r="AK323" i="1" s="1"/>
  <c r="AK331" i="1" s="1"/>
  <c r="AT332" i="1" l="1"/>
  <c r="AT365" i="1"/>
  <c r="AZ332" i="1"/>
  <c r="AZ365" i="1"/>
  <c r="BI332" i="1"/>
  <c r="BI365" i="1"/>
  <c r="AW332" i="1"/>
  <c r="AW365" i="1"/>
  <c r="AK332" i="1"/>
  <c r="AK365" i="1"/>
  <c r="J316" i="1"/>
  <c r="J312" i="1"/>
  <c r="BM312" i="1" s="1"/>
  <c r="BN312" i="1" s="1"/>
  <c r="BM311" i="1"/>
  <c r="BN311" i="1" s="1"/>
  <c r="BF332" i="1"/>
  <c r="BF365" i="1"/>
  <c r="BM316" i="1" l="1"/>
  <c r="BN316" i="1" s="1"/>
  <c r="J323" i="1"/>
  <c r="BM323" i="1" l="1"/>
  <c r="BN323" i="1" s="1"/>
  <c r="J331" i="1"/>
  <c r="J332" i="1" l="1"/>
  <c r="BM332" i="1" s="1"/>
  <c r="BN332" i="1" s="1"/>
  <c r="BM331" i="1"/>
  <c r="BN331" i="1" s="1"/>
  <c r="J365" i="1"/>
  <c r="BM365" i="1" s="1"/>
  <c r="BN36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Beatriz Lima</author>
  </authors>
  <commentList>
    <comment ref="A3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Beatriz Lima:
Fatura de Locação 
Não paga o ISS  </t>
        </r>
      </text>
    </comment>
    <comment ref="D305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Beatriz Lima:
Gerente Fin 3k
Compras 1.125k 
Analista Fin 1,8k 
Analista Fin 1,250K
Total R$ 7. 175</t>
        </r>
      </text>
    </comment>
  </commentList>
</comments>
</file>

<file path=xl/sharedStrings.xml><?xml version="1.0" encoding="utf-8"?>
<sst xmlns="http://schemas.openxmlformats.org/spreadsheetml/2006/main" count="98593" uniqueCount="4704">
  <si>
    <t>BAR LEO</t>
  </si>
  <si>
    <t xml:space="preserve">Acumulado </t>
  </si>
  <si>
    <t>ANO</t>
  </si>
  <si>
    <t>1º TRIMESTRE</t>
  </si>
  <si>
    <t>2º TRIMESTRE</t>
  </si>
  <si>
    <t>3º TRIMESTRE</t>
  </si>
  <si>
    <t>4º TRIMESTRE</t>
  </si>
  <si>
    <t>REAL 25</t>
  </si>
  <si>
    <t xml:space="preserve">ORÇADO </t>
  </si>
  <si>
    <t>REAL 26</t>
  </si>
  <si>
    <t>REAL 2026</t>
  </si>
  <si>
    <t>Validação orçado</t>
  </si>
  <si>
    <t>Validação real</t>
  </si>
  <si>
    <t>FATURAMENTO BRUTO</t>
  </si>
  <si>
    <t>PARÂMETROS UTILIZADOS</t>
  </si>
  <si>
    <t>Alimentação</t>
  </si>
  <si>
    <t xml:space="preserve">Estim. Mensal </t>
  </si>
  <si>
    <t>Preencher base de Faturamento A&amp;B&amp;C</t>
  </si>
  <si>
    <t>Bebida</t>
  </si>
  <si>
    <t>Artístico (couvert/shows)</t>
  </si>
  <si>
    <t>Gifts</t>
  </si>
  <si>
    <t>Vendas Lojinha</t>
  </si>
  <si>
    <t>Serviço</t>
  </si>
  <si>
    <t xml:space="preserve">Gorjeta Fórmula </t>
  </si>
  <si>
    <t>13% sobre A&amp;B&amp;C</t>
  </si>
  <si>
    <t>Eventos A&amp;B</t>
  </si>
  <si>
    <t>Preencher base de Eventos</t>
  </si>
  <si>
    <t>Eventos Couvert</t>
  </si>
  <si>
    <t>Eventos Locações</t>
  </si>
  <si>
    <t>Eventos Rebate Fornecedores</t>
  </si>
  <si>
    <t>Comissão sobre venda dos fornecedores homologados</t>
  </si>
  <si>
    <t>Delivery</t>
  </si>
  <si>
    <t>Preencher base de Delivery</t>
  </si>
  <si>
    <t>Outras Receitas</t>
  </si>
  <si>
    <t>Coleta de Oleo e etc</t>
  </si>
  <si>
    <t>Eventos</t>
  </si>
  <si>
    <t>(-) Desconto sobre Venda</t>
  </si>
  <si>
    <t>Premissas</t>
  </si>
  <si>
    <t>Valores</t>
  </si>
  <si>
    <t>% Incid</t>
  </si>
  <si>
    <t>Descontos - Operação</t>
  </si>
  <si>
    <t>Alimentação OP/ Correção de Problemas</t>
  </si>
  <si>
    <t>Desconto - Alimentação Escritório</t>
  </si>
  <si>
    <t>Cartão FB / Alimentação Escritório</t>
  </si>
  <si>
    <t>Descontos - Marketing</t>
  </si>
  <si>
    <t>Permutas e Ações Gerais</t>
  </si>
  <si>
    <t>% sobre Receita Bruta</t>
  </si>
  <si>
    <t>(-) Impostos sobre Venda</t>
  </si>
  <si>
    <t>PIS / COFINS</t>
  </si>
  <si>
    <t>Base Fiscal</t>
  </si>
  <si>
    <t>ICMS</t>
  </si>
  <si>
    <t>ISS</t>
  </si>
  <si>
    <t>RECEITA LÍQUIDA</t>
  </si>
  <si>
    <t>(-) Custo Mercadoria Vendida</t>
  </si>
  <si>
    <t>Alimentação D</t>
  </si>
  <si>
    <t>Bebida D</t>
  </si>
  <si>
    <t>Embalagens</t>
  </si>
  <si>
    <t>% sobre Receita Líquida</t>
  </si>
  <si>
    <t>(-) Custos Artístico Geral</t>
  </si>
  <si>
    <t>Custos Artístico</t>
  </si>
  <si>
    <t>Cachê de Músicos e Artistas</t>
  </si>
  <si>
    <t>Alimentação e Transporte</t>
  </si>
  <si>
    <t>Estim. Mensal</t>
  </si>
  <si>
    <t>Viagens e Estadias</t>
  </si>
  <si>
    <t>Taxas e Licenças - Artístico</t>
  </si>
  <si>
    <t>Contr/Prov - ECAD Valor Mensal</t>
  </si>
  <si>
    <t>MDO Terceirizada - Artístico</t>
  </si>
  <si>
    <t>Custos Ténico de Som</t>
  </si>
  <si>
    <t>Técnico de Som / Luz</t>
  </si>
  <si>
    <t>Contr/Prov</t>
  </si>
  <si>
    <t>Locação de Equipamentos Fixo</t>
  </si>
  <si>
    <t>Locação de Equipamentos Variável</t>
  </si>
  <si>
    <t>% sobre Receita Artístico</t>
  </si>
  <si>
    <t>(-) Custos Eventos</t>
  </si>
  <si>
    <t>MDO</t>
  </si>
  <si>
    <t>MDO Terceirizada - Eventos</t>
  </si>
  <si>
    <t>Equipe de Eventos</t>
  </si>
  <si>
    <t>Comissões de Vendas - Eventos</t>
  </si>
  <si>
    <t>% sobre o Faturamento de Eventos</t>
  </si>
  <si>
    <t>Serviços de Terceiros - Eventos</t>
  </si>
  <si>
    <t>Serviços Terceirizados - Eventos</t>
  </si>
  <si>
    <t xml:space="preserve">Estaff / Limpeza </t>
  </si>
  <si>
    <t>Serviço de Segurança - Eventos</t>
  </si>
  <si>
    <t>Estaff</t>
  </si>
  <si>
    <t>Artistas e Palestrantes - Eventos</t>
  </si>
  <si>
    <t>Convidados</t>
  </si>
  <si>
    <t>Decoração - Eventos</t>
  </si>
  <si>
    <t>Material de Consumo</t>
  </si>
  <si>
    <t>Material Descartável - Eventos</t>
  </si>
  <si>
    <t>Brindes e Confraternizações - Eventos</t>
  </si>
  <si>
    <t>Material de Escritório - Eventos</t>
  </si>
  <si>
    <t>Material de Manutenção - Eventos</t>
  </si>
  <si>
    <t>Manutenção Geral</t>
  </si>
  <si>
    <t>Serviço de Manutenção - Estrutura - Eventos</t>
  </si>
  <si>
    <t>Estrutura Predial</t>
  </si>
  <si>
    <t>Serviço de Manutenção - Equipamentos - Eventos</t>
  </si>
  <si>
    <t>Equipamentos</t>
  </si>
  <si>
    <t>Transportes</t>
  </si>
  <si>
    <t>Viagens e Estadias - Eventos</t>
  </si>
  <si>
    <t>Passagem aérea/Hotel</t>
  </si>
  <si>
    <t>Transporte Equipe - Eventos</t>
  </si>
  <si>
    <t>Uber/Taxi/Estacionamento para Equipe</t>
  </si>
  <si>
    <t>Fretes e Carretos - Eventos</t>
  </si>
  <si>
    <t>Locações</t>
  </si>
  <si>
    <t>Locação de Utensílios - Eventos</t>
  </si>
  <si>
    <t>Locação de Equipamentos - Eventos</t>
  </si>
  <si>
    <t>Locação de Mobiliário - Eventos</t>
  </si>
  <si>
    <t>Locação de Coberturas - Eventos</t>
  </si>
  <si>
    <t>Estrutura Externa</t>
  </si>
  <si>
    <t>Repasses Locação de Espaço</t>
  </si>
  <si>
    <t>Repasse Gazit - Locação Aroo</t>
  </si>
  <si>
    <t>Repasse Gazit - Locação Anexo Abaru</t>
  </si>
  <si>
    <t>% sobre Receita de Eventos</t>
  </si>
  <si>
    <t>(-) Dedução da Gorjeta</t>
  </si>
  <si>
    <t xml:space="preserve">  -  Comissões e Gorjeta</t>
  </si>
  <si>
    <t>Valor Líquido Distribuído</t>
  </si>
  <si>
    <t xml:space="preserve">Impostos + Taxa Cartão + % Estaff </t>
  </si>
  <si>
    <t>(-) Deduções sobre Venda</t>
  </si>
  <si>
    <t>Meios de pagamento</t>
  </si>
  <si>
    <t>Taxa Cartão</t>
  </si>
  <si>
    <t>Meios de pagamento - Delivery</t>
  </si>
  <si>
    <t xml:space="preserve">Taxa de Delivery </t>
  </si>
  <si>
    <t>Inadimplência</t>
  </si>
  <si>
    <t>Contas em Aberto</t>
  </si>
  <si>
    <t>Outros D</t>
  </si>
  <si>
    <t>Outras Deduções</t>
  </si>
  <si>
    <t>Devolução de Cliente</t>
  </si>
  <si>
    <t>MARGEM BRUTA DE CONTRIBUIÇÃO</t>
  </si>
  <si>
    <t>% sobre Receita</t>
  </si>
  <si>
    <t>PESSOAL</t>
  </si>
  <si>
    <t>PJ</t>
  </si>
  <si>
    <t xml:space="preserve">  - Squad</t>
  </si>
  <si>
    <t xml:space="preserve">  - Gerente</t>
  </si>
  <si>
    <t xml:space="preserve">  - Subgerente</t>
  </si>
  <si>
    <t xml:space="preserve">  - Coordenador</t>
  </si>
  <si>
    <t xml:space="preserve">  - Administrativa</t>
  </si>
  <si>
    <t xml:space="preserve">  - Chefe de Cozinha</t>
  </si>
  <si>
    <t xml:space="preserve">  - Chefe de Bar</t>
  </si>
  <si>
    <t xml:space="preserve">  - Sub Chefe de Cozinha</t>
  </si>
  <si>
    <t xml:space="preserve">  - Sub Chefe De Bar</t>
  </si>
  <si>
    <t xml:space="preserve">  - Maitre</t>
  </si>
  <si>
    <t xml:space="preserve">  - Chefe de Fila</t>
  </si>
  <si>
    <t xml:space="preserve">  - Hostess</t>
  </si>
  <si>
    <t>Salários</t>
  </si>
  <si>
    <t xml:space="preserve">  -  Maitre</t>
  </si>
  <si>
    <t>Salário Bruto com INSS Segurado dentro do valor</t>
  </si>
  <si>
    <t xml:space="preserve">  -  Garçon III</t>
  </si>
  <si>
    <t xml:space="preserve">  -  Garçon II</t>
  </si>
  <si>
    <t xml:space="preserve">  -  Garçon I</t>
  </si>
  <si>
    <t xml:space="preserve">  -  Passador de Chopp</t>
  </si>
  <si>
    <t xml:space="preserve">  -  Cumin</t>
  </si>
  <si>
    <t xml:space="preserve">  -  Sub Chefe de Bar</t>
  </si>
  <si>
    <t xml:space="preserve">  -  Bartender III</t>
  </si>
  <si>
    <t xml:space="preserve">  -  Bartender II</t>
  </si>
  <si>
    <t xml:space="preserve">  -  Bartender I</t>
  </si>
  <si>
    <t xml:space="preserve">  -  Bar Back</t>
  </si>
  <si>
    <t xml:space="preserve">  -  Barista III</t>
  </si>
  <si>
    <t xml:space="preserve">  -  Barista II</t>
  </si>
  <si>
    <t xml:space="preserve">  -  Barista I</t>
  </si>
  <si>
    <t xml:space="preserve">  -  Chopeiro III</t>
  </si>
  <si>
    <t xml:space="preserve">  -  Chopeiro II</t>
  </si>
  <si>
    <t xml:space="preserve">  -  Chopeiro I</t>
  </si>
  <si>
    <t xml:space="preserve">  -  Sub Chefe de Cozinha</t>
  </si>
  <si>
    <t xml:space="preserve">  -  Cozinheiro Líder</t>
  </si>
  <si>
    <t xml:space="preserve">  -  Cozinheiro III</t>
  </si>
  <si>
    <t xml:space="preserve">  -  Cozinheiro II</t>
  </si>
  <si>
    <t xml:space="preserve">  -  Cozinheiro I</t>
  </si>
  <si>
    <t xml:space="preserve">  -  Ajud cozinha</t>
  </si>
  <si>
    <t xml:space="preserve">  -  Saladeiro</t>
  </si>
  <si>
    <t xml:space="preserve">  -  Pia</t>
  </si>
  <si>
    <t xml:space="preserve">  -  Sub Chefe de Confeitaria</t>
  </si>
  <si>
    <t xml:space="preserve">  -  Confeiteiro III</t>
  </si>
  <si>
    <t xml:space="preserve">  -  Confeiteiro II</t>
  </si>
  <si>
    <t xml:space="preserve">  -  Confeiteiro I</t>
  </si>
  <si>
    <t xml:space="preserve">  -  Copeiro</t>
  </si>
  <si>
    <t xml:space="preserve">  -  Pizzaiolo</t>
  </si>
  <si>
    <t xml:space="preserve">  -  Ajudante de Pizzaiolo</t>
  </si>
  <si>
    <t xml:space="preserve">  -  Boqueta</t>
  </si>
  <si>
    <t xml:space="preserve">  -  Churrasqueiro I</t>
  </si>
  <si>
    <t xml:space="preserve">  -  Churrasqueiro II</t>
  </si>
  <si>
    <t xml:space="preserve">  -  Churrasqueiro III</t>
  </si>
  <si>
    <t xml:space="preserve">  -  Ajud Limpeza</t>
  </si>
  <si>
    <t xml:space="preserve">  -  Estoquista III</t>
  </si>
  <si>
    <t xml:space="preserve">  -  Estoquista II</t>
  </si>
  <si>
    <t xml:space="preserve">  -  Estoquista I</t>
  </si>
  <si>
    <t xml:space="preserve">  -  Chefe de Manutenção</t>
  </si>
  <si>
    <t xml:space="preserve">  -  Aux. Manutenção III</t>
  </si>
  <si>
    <t xml:space="preserve">  -  Aux. Manutenção II</t>
  </si>
  <si>
    <t xml:space="preserve">  -  Aux. Manutenção I</t>
  </si>
  <si>
    <t xml:space="preserve">  -  Chefe da Portaria</t>
  </si>
  <si>
    <t xml:space="preserve">  -  Porteiro III</t>
  </si>
  <si>
    <t xml:space="preserve">  -  Porteiro II</t>
  </si>
  <si>
    <t xml:space="preserve">  -  Porteiro I</t>
  </si>
  <si>
    <t xml:space="preserve">  -  Hostess III</t>
  </si>
  <si>
    <t xml:space="preserve">  -  Hostess II</t>
  </si>
  <si>
    <t xml:space="preserve">  -  Hostess I</t>
  </si>
  <si>
    <t xml:space="preserve">  -  Chefe de Bilheteria</t>
  </si>
  <si>
    <t xml:space="preserve">  -  Bilheteiro III</t>
  </si>
  <si>
    <t xml:space="preserve">  -  Bilheteiro II</t>
  </si>
  <si>
    <t xml:space="preserve">  -  Bilheteiro I</t>
  </si>
  <si>
    <t xml:space="preserve">  -  Caixa</t>
  </si>
  <si>
    <t xml:space="preserve">  -  Operador de Delivery</t>
  </si>
  <si>
    <t>E-Staff</t>
  </si>
  <si>
    <t>Acréscimo</t>
  </si>
  <si>
    <t>Mão de Obra Extra</t>
  </si>
  <si>
    <t xml:space="preserve">  -  Gorjeta (Retenção Estaff) (+)</t>
  </si>
  <si>
    <t>Encargos e Provisões</t>
  </si>
  <si>
    <t xml:space="preserve">  -  FGTS</t>
  </si>
  <si>
    <t>Definir com o DP a base de cálculo para todos os impostos sobre Folha.</t>
  </si>
  <si>
    <t>Incidencias: salário e gorjeta e adicional noturno</t>
  </si>
  <si>
    <t xml:space="preserve">  -  INSS Patronal</t>
  </si>
  <si>
    <t xml:space="preserve">Incidencias: salário e gorjeta </t>
  </si>
  <si>
    <t xml:space="preserve">  -  INSS Segurados</t>
  </si>
  <si>
    <t>Incidencias: salário e gorjeta / Não entra como Custo  Está dentro do valor bruto de Salário</t>
  </si>
  <si>
    <t xml:space="preserve">  -  13º Salário</t>
  </si>
  <si>
    <t>Salário dividido por 12 x</t>
  </si>
  <si>
    <t xml:space="preserve">  -  Férias</t>
  </si>
  <si>
    <t>Férias (salário + média de gorjeta) + 1/3 - Salário está no salário, consideramos 1/3 aqui</t>
  </si>
  <si>
    <t xml:space="preserve">  -  FGTS sobre 13º Salários</t>
  </si>
  <si>
    <t>FGTS s/ 13º</t>
  </si>
  <si>
    <t xml:space="preserve">  -  FGTS sobre Férias</t>
  </si>
  <si>
    <t>FGTS s/ Férias</t>
  </si>
  <si>
    <t xml:space="preserve">  -  INSS sobre 13º Salários</t>
  </si>
  <si>
    <t>INSS s/ 13º</t>
  </si>
  <si>
    <t xml:space="preserve">  -  INSS sobre Férias</t>
  </si>
  <si>
    <t>INSS s/ Férias</t>
  </si>
  <si>
    <t xml:space="preserve">  -  Rescisão</t>
  </si>
  <si>
    <t xml:space="preserve">Sugestão - atribuir valor maximo de rescisão por mês </t>
  </si>
  <si>
    <t xml:space="preserve">  -  Multa Rescisória</t>
  </si>
  <si>
    <t xml:space="preserve"> 40% do saldo do FGTS do colaborador</t>
  </si>
  <si>
    <t xml:space="preserve">  -  Ações trabalhistas</t>
  </si>
  <si>
    <t xml:space="preserve">Valor lançado em sistema </t>
  </si>
  <si>
    <t xml:space="preserve">  -  Adicional Noturno</t>
  </si>
  <si>
    <t xml:space="preserve">(Salário / 220 x Nº de horas noturnas x1,142857) </t>
  </si>
  <si>
    <t>4 horas - 40% OP</t>
  </si>
  <si>
    <t xml:space="preserve">  -  Hora Extra</t>
  </si>
  <si>
    <t>Salário / 220 x 2  =  1 horas - 5% dos funcionários</t>
  </si>
  <si>
    <t xml:space="preserve">  -  Remuneração Variável</t>
  </si>
  <si>
    <t xml:space="preserve">  -  Premiação</t>
  </si>
  <si>
    <t>Benefícios</t>
  </si>
  <si>
    <t xml:space="preserve">  -  Vale-transporte</t>
  </si>
  <si>
    <t xml:space="preserve">  -  Assist. Médica</t>
  </si>
  <si>
    <t xml:space="preserve">  -  Assist. Odontologica</t>
  </si>
  <si>
    <t xml:space="preserve">  -  Seguro de Vida</t>
  </si>
  <si>
    <t xml:space="preserve">Custo por colaborador </t>
  </si>
  <si>
    <t xml:space="preserve">  -  Ajuda de Custo</t>
  </si>
  <si>
    <t>Outros B</t>
  </si>
  <si>
    <t xml:space="preserve">  -  Uniformes Manutenção e Reposição</t>
  </si>
  <si>
    <t xml:space="preserve">  -  Exames Periódicos</t>
  </si>
  <si>
    <t>Discutir esse assunto, valor por func com todos os exames - Estimado 10%</t>
  </si>
  <si>
    <t xml:space="preserve">  -  Diversos - Vale Combustível</t>
  </si>
  <si>
    <t xml:space="preserve">  -  Gratificações</t>
  </si>
  <si>
    <t xml:space="preserve">  -  Cursos e Treinamentos</t>
  </si>
  <si>
    <t xml:space="preserve">  -  Alimentação Funcionário</t>
  </si>
  <si>
    <t xml:space="preserve">  -  Pro Labore</t>
  </si>
  <si>
    <t>% sobre Receita c/ Squad</t>
  </si>
  <si>
    <t>% sobre Receita s/ Squad</t>
  </si>
  <si>
    <t>Custo de Ocupação</t>
  </si>
  <si>
    <t>Aluguel de Imoveis</t>
  </si>
  <si>
    <t>Condominio</t>
  </si>
  <si>
    <t>IPTU</t>
  </si>
  <si>
    <t>Fundo de Promoção</t>
  </si>
  <si>
    <t>Seguro Patrimonial</t>
  </si>
  <si>
    <t>Arrendamento</t>
  </si>
  <si>
    <t>Taxas publicas administrativas - Ocupação</t>
  </si>
  <si>
    <t>Utilidades</t>
  </si>
  <si>
    <t>Agua/Esgoto</t>
  </si>
  <si>
    <t>Energia Eletrica</t>
  </si>
  <si>
    <t>Gas de Cozinha</t>
  </si>
  <si>
    <t>Higiene e Limpeza</t>
  </si>
  <si>
    <t>Descartaveis</t>
  </si>
  <si>
    <t>Controle de Pragas</t>
  </si>
  <si>
    <t>Coleta de lixo</t>
  </si>
  <si>
    <t>Utensilios</t>
  </si>
  <si>
    <t>Serviços Graficos</t>
  </si>
  <si>
    <t>Custas Cartório</t>
  </si>
  <si>
    <t>Material de Escritorio</t>
  </si>
  <si>
    <t>Serviços de Limpeza</t>
  </si>
  <si>
    <t>Serviço de Lavanderia</t>
  </si>
  <si>
    <t>Material de Consumo - Gelo/ Gas CO2/ Carvao /Velas</t>
  </si>
  <si>
    <t>Informática e TI</t>
  </si>
  <si>
    <t>Telefone</t>
  </si>
  <si>
    <t>Internet</t>
  </si>
  <si>
    <t>TV por assinatura/musica ambiente</t>
  </si>
  <si>
    <t>Sistemas de Segurança e Alarme</t>
  </si>
  <si>
    <t>Sistemas Gerais - Operacionais</t>
  </si>
  <si>
    <t>Sistemas Gerais - Financeiros</t>
  </si>
  <si>
    <t>Sistemas Gerais - Comunicação e Marketing</t>
  </si>
  <si>
    <t>Despesas Gerais</t>
  </si>
  <si>
    <t>Manutenção Predial</t>
  </si>
  <si>
    <t>Manutenção de Equipamentos</t>
  </si>
  <si>
    <t>Manutenção de Mobiliário</t>
  </si>
  <si>
    <t>Material de Manutenção</t>
  </si>
  <si>
    <t>Decoração/Paisagismo e Jardinagem</t>
  </si>
  <si>
    <t>Fretes e Carretos</t>
  </si>
  <si>
    <t>Conduções/Taxi/Uber</t>
  </si>
  <si>
    <t>Viagens e Estadias - Operação</t>
  </si>
  <si>
    <t>Marketing</t>
  </si>
  <si>
    <t>Agência de Propaganda</t>
  </si>
  <si>
    <t>Assessoria de Imprensa</t>
  </si>
  <si>
    <t>Assessoria de Relações Públicas</t>
  </si>
  <si>
    <t>Influenciadores</t>
  </si>
  <si>
    <t>Publicidade e Propaganda</t>
  </si>
  <si>
    <t>Pesquisa de Mercado</t>
  </si>
  <si>
    <t>Sessão de Fotos/Captação de Vídeo</t>
  </si>
  <si>
    <t>Produção Gráfica e Material Institucional</t>
  </si>
  <si>
    <t>Eventos de Marketing</t>
  </si>
  <si>
    <t>Brindes e Confraternizações</t>
  </si>
  <si>
    <t>Ferramentas de Marketing</t>
  </si>
  <si>
    <t>Serviços de Terceiros</t>
  </si>
  <si>
    <t>Assessoria Contabil</t>
  </si>
  <si>
    <t>Assessoria RH</t>
  </si>
  <si>
    <t>Assessoria em Geral</t>
  </si>
  <si>
    <t>Assessoria Financeira</t>
  </si>
  <si>
    <t>Assessoria Jurídica</t>
  </si>
  <si>
    <t>Assessoria de Alimentos e Bebidas</t>
  </si>
  <si>
    <t>Assessoria de Projetos</t>
  </si>
  <si>
    <t>Serviços de Segurança</t>
  </si>
  <si>
    <t>Valet/Motoboy</t>
  </si>
  <si>
    <t>Locação de Equipamentos</t>
  </si>
  <si>
    <t>Locações de Equipamentos - Operacionais</t>
  </si>
  <si>
    <t>Locação de Equipamentos - Informatica e TI</t>
  </si>
  <si>
    <t>Locações de Equipamentos - Comunicação e Marketing</t>
  </si>
  <si>
    <t>Locação de Utensílios</t>
  </si>
  <si>
    <t>Sistema de Franquias</t>
  </si>
  <si>
    <t>Royalties</t>
  </si>
  <si>
    <t>Fundo de Propaganda</t>
  </si>
  <si>
    <t>Fee Gestão FB</t>
  </si>
  <si>
    <t>Contrato %</t>
  </si>
  <si>
    <t>TOTAL - DESPESAS OPERATIVAS</t>
  </si>
  <si>
    <t>EBITDA</t>
  </si>
  <si>
    <t>(-) Depreciação/Amortização</t>
  </si>
  <si>
    <t>CAPEX / 60</t>
  </si>
  <si>
    <t>EBIT</t>
  </si>
  <si>
    <t>(+/-) Receitas/Despesas Financeiras</t>
  </si>
  <si>
    <t>(+) Receitas de Patrocínio</t>
  </si>
  <si>
    <t xml:space="preserve">Base - COMERCIAL </t>
  </si>
  <si>
    <t>(-) Despesas de Patrocínio</t>
  </si>
  <si>
    <t>Base - DESPESA COMERCIAL</t>
  </si>
  <si>
    <t>Resultado Antes do IR</t>
  </si>
  <si>
    <t>(-) Impostos</t>
  </si>
  <si>
    <t>Drivers</t>
  </si>
  <si>
    <t>Valores fixos</t>
  </si>
  <si>
    <t>SIMPLES</t>
  </si>
  <si>
    <t>Estim. Mensal - Base Fiscal</t>
  </si>
  <si>
    <t>IRPJ</t>
  </si>
  <si>
    <t>IRPJ 10%</t>
  </si>
  <si>
    <t>CSLL</t>
  </si>
  <si>
    <t>Resultado Líquido</t>
  </si>
  <si>
    <t>(-) CAPEX (Investimentos)</t>
  </si>
  <si>
    <t xml:space="preserve">Investimento - Construção - Obra </t>
  </si>
  <si>
    <t>Investimento - Equipamentos</t>
  </si>
  <si>
    <t>Investimento - Utensílios</t>
  </si>
  <si>
    <t>Investimento - Mobiliário e Decoração</t>
  </si>
  <si>
    <t>Investimento - Projetos</t>
  </si>
  <si>
    <t>Investimento - Paisagismo</t>
  </si>
  <si>
    <t>Investimento - Sistemas Gerais - Implantação</t>
  </si>
  <si>
    <t>Investimento - Marketing</t>
  </si>
  <si>
    <t>Investimento - Uniformes</t>
  </si>
  <si>
    <t>Investimento - Despesas pré-operacionais</t>
  </si>
  <si>
    <t>Investimento - Taxa de Licença</t>
  </si>
  <si>
    <t>Investimento - Outros luvas</t>
  </si>
  <si>
    <t>Investimento - Ativos AMBEV</t>
  </si>
  <si>
    <t>Investimento - Estrutura Chopp - Balcão</t>
  </si>
  <si>
    <t>Investimento - Estrutura Chopp - Camara Refrigerada</t>
  </si>
  <si>
    <t>Investimento - Estrutura Chopp - Chopeira</t>
  </si>
  <si>
    <t>(+/-) Outras variações no fluxo de caixa</t>
  </si>
  <si>
    <t>Remuneração Variável</t>
  </si>
  <si>
    <t>Dividendos</t>
  </si>
  <si>
    <t>Endividamento Geral</t>
  </si>
  <si>
    <t>Processo Judicial</t>
  </si>
  <si>
    <t>Processo Civil</t>
  </si>
  <si>
    <t>Recurso Processual</t>
  </si>
  <si>
    <t>Empréstimos Gerais</t>
  </si>
  <si>
    <t>Total - Variações s/ Resultado Líquido</t>
  </si>
  <si>
    <t>FCF</t>
  </si>
  <si>
    <t>Saldo Operacional</t>
  </si>
  <si>
    <t>MEMÓRIA DE CÁLCULO DAS PROJEÇÕES DE CUSTOS COM IMPOSTOS E PESSOAL</t>
  </si>
  <si>
    <t>Premissas e parâmetros usados...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</si>
  <si>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</si>
  <si>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</si>
  <si>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</si>
  <si>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</si>
  <si>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</si>
  <si>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</si>
  <si>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</si>
  <si>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</si>
  <si>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</si>
  <si>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</si>
  <si>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</si>
  <si>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</si>
  <si>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Ano 1</t>
  </si>
  <si>
    <t>Receita Bruta Total</t>
  </si>
  <si>
    <t>Grau de formalidade do Faturamento (% Rec. Bruta)</t>
  </si>
  <si>
    <t>Receita Bruta Total (PD)</t>
  </si>
  <si>
    <t>Receita Bruta Anual Acumulada (PD)</t>
  </si>
  <si>
    <t>Premissas sobre Impostos</t>
  </si>
  <si>
    <t xml:space="preserve">Qual Modelo ? </t>
  </si>
  <si>
    <t>Alíquota de Tributação - SIMPLES</t>
  </si>
  <si>
    <t>Alíquota de Tributação - SIMPLES (cont. param.)</t>
  </si>
  <si>
    <t>Alíquota de Tributação - PIS/COFINS</t>
  </si>
  <si>
    <t>Alíquota de Tributação - IRPJ (presumido)</t>
  </si>
  <si>
    <t>L. Presumido ?</t>
  </si>
  <si>
    <t>S</t>
  </si>
  <si>
    <t>Alíquota de Tributação - CSLL (presumido)</t>
  </si>
  <si>
    <t>Alíquota de Tributação - CPMF</t>
  </si>
  <si>
    <t>Alíquota de Tributação - ICMS</t>
  </si>
  <si>
    <t>Alíquota de Tributação - ISS</t>
  </si>
  <si>
    <t>Elegível ao SIMPLES ? (critério: faturamento)</t>
  </si>
  <si>
    <t>Fat. Max.</t>
  </si>
  <si>
    <t>Utilização do SIMPLES no Exercício</t>
  </si>
  <si>
    <t>Usa Simples ?</t>
  </si>
  <si>
    <t>N</t>
  </si>
  <si>
    <t>Premissas para Apuração de IRPJ e CSL</t>
  </si>
  <si>
    <t>Resultado antes do IR</t>
  </si>
  <si>
    <t>Prejuízos Acumulados</t>
  </si>
  <si>
    <t>Despesas Pre-op</t>
  </si>
  <si>
    <t>Dedução de Prejuízos Acumulados</t>
  </si>
  <si>
    <t>Limite dedutível prejuízo</t>
  </si>
  <si>
    <t>Base para cálculo do IRPJ e CSL</t>
  </si>
  <si>
    <t>Faixa LAIR  &gt;</t>
  </si>
  <si>
    <t>Valores distribuidos mensalmente - IRPJ</t>
  </si>
  <si>
    <t>Aliq. IRPJ</t>
  </si>
  <si>
    <t>Valores distribuidos mensalmente - CSL</t>
  </si>
  <si>
    <t>Aliq. CSL</t>
  </si>
  <si>
    <t>Plano de Pessoal</t>
  </si>
  <si>
    <t>Quadro de funcionários, por função</t>
  </si>
  <si>
    <t>Salário base, por função</t>
  </si>
  <si>
    <t>CLT</t>
  </si>
  <si>
    <t>Presumido</t>
  </si>
  <si>
    <t>FGTS</t>
  </si>
  <si>
    <t>INSS</t>
  </si>
  <si>
    <t>13º Salários</t>
  </si>
  <si>
    <t>Férias</t>
  </si>
  <si>
    <t>FGTS / INSS sobre 13º Salários</t>
  </si>
  <si>
    <t>FGTS / INSS sobre Férias</t>
  </si>
  <si>
    <t>Contribuições</t>
  </si>
  <si>
    <t>Multa Rescisória</t>
  </si>
  <si>
    <t>Ações Trabalhistas</t>
  </si>
  <si>
    <t>Adicional Noturno</t>
  </si>
  <si>
    <t>Hora Extra</t>
  </si>
  <si>
    <t>Premiação</t>
  </si>
  <si>
    <t>Utiliza alíquotas do SIMPLES ?</t>
  </si>
  <si>
    <t>Métricas Faturamento</t>
  </si>
  <si>
    <t># Atendimentos</t>
  </si>
  <si>
    <t>Tkt Médio (R$)</t>
  </si>
  <si>
    <t>% Alimentos</t>
  </si>
  <si>
    <t>% Bebidas</t>
  </si>
  <si>
    <t xml:space="preserve">% Artístico (Couvert/shows) </t>
  </si>
  <si>
    <t>% Gifts</t>
  </si>
  <si>
    <t>% Serviço</t>
  </si>
  <si>
    <t>% Eventos A&amp;B</t>
  </si>
  <si>
    <t>% Eventos Couvert</t>
  </si>
  <si>
    <t>% Eventos Locações</t>
  </si>
  <si>
    <t>% Outros - Delivery</t>
  </si>
  <si>
    <t>% Outras Receitas</t>
  </si>
  <si>
    <t>Métricas Desconto</t>
  </si>
  <si>
    <t>% Descontos</t>
  </si>
  <si>
    <t>RAMP-UP de Vendas</t>
  </si>
  <si>
    <t>BAR LEO CENTRO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</si>
  <si>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</si>
  <si>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</si>
  <si>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</si>
  <si>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</si>
  <si>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</si>
  <si>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</si>
  <si>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</si>
  <si>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</si>
  <si>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</si>
  <si>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</si>
  <si>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</si>
  <si>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</si>
  <si>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</si>
  <si>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(+) Estoque inicial Alimento</t>
  </si>
  <si>
    <t xml:space="preserve">ZigPay </t>
  </si>
  <si>
    <t>(+) Estoque inicial Bebida</t>
  </si>
  <si>
    <t xml:space="preserve">Eventos </t>
  </si>
  <si>
    <t>(+) Estoque inicial Produção Cozinha</t>
  </si>
  <si>
    <t xml:space="preserve">Reveillon </t>
  </si>
  <si>
    <t>(+) Estoque inicial Produção Bar</t>
  </si>
  <si>
    <t>Comanda Aberta/Couvert</t>
  </si>
  <si>
    <t>(+) Compra de Alimento</t>
  </si>
  <si>
    <t>Descontos</t>
  </si>
  <si>
    <t>(+) Compra de Bebida</t>
  </si>
  <si>
    <t>Promoções Utilizadas</t>
  </si>
  <si>
    <t>(+)Entradas transferência Alimento</t>
  </si>
  <si>
    <t>(+)Entradas transferência Bebidas</t>
  </si>
  <si>
    <t>A&amp;B Final para calculo do CMV na DRE</t>
  </si>
  <si>
    <t>(-) Saídas transferencia Alimento</t>
  </si>
  <si>
    <t>(-) Saídas transferencia Bebidas</t>
  </si>
  <si>
    <t>(-) Consumo Funcionário</t>
  </si>
  <si>
    <t>(-) Perdas /baixas manuais</t>
  </si>
  <si>
    <t>(-) Fechamento Alimento, estoque final</t>
  </si>
  <si>
    <t>(-) Fechamento Bebida, estoque final</t>
  </si>
  <si>
    <t>(-) Fechamento Produção Cozinha</t>
  </si>
  <si>
    <t>(-) Fechamento Produção Bar</t>
  </si>
  <si>
    <t>(=) Custo Alimento Vendido</t>
  </si>
  <si>
    <t>(=) Custo Bebida Vendida</t>
  </si>
  <si>
    <t>Somatorio A&amp;B</t>
  </si>
  <si>
    <t>Venda De Alimento</t>
  </si>
  <si>
    <t>Venda De Bebida</t>
  </si>
  <si>
    <t>Eventos (A&amp;B)</t>
  </si>
  <si>
    <t>Soma A&amp;B + Eventos</t>
  </si>
  <si>
    <t>%</t>
  </si>
  <si>
    <t>CMV Alimento</t>
  </si>
  <si>
    <t>CMV Bebida</t>
  </si>
  <si>
    <t>CMV Geral</t>
  </si>
  <si>
    <t>Descrição</t>
  </si>
  <si>
    <t>1º TRI</t>
  </si>
  <si>
    <t>2º TRI</t>
  </si>
  <si>
    <t>3º TRI</t>
  </si>
  <si>
    <t>4º TRI</t>
  </si>
  <si>
    <t>Total</t>
  </si>
  <si>
    <t>Receita Serviços</t>
  </si>
  <si>
    <t>Receita Comércio</t>
  </si>
  <si>
    <t>Serviço (Gorjeta)</t>
  </si>
  <si>
    <t>Outras Receitas Não operacional</t>
  </si>
  <si>
    <t>Total receitas</t>
  </si>
  <si>
    <t>PIS</t>
  </si>
  <si>
    <t>COFINS</t>
  </si>
  <si>
    <t xml:space="preserve">IRPJ s/ Serviço </t>
  </si>
  <si>
    <t xml:space="preserve">IRPJ s/ Comercio  </t>
  </si>
  <si>
    <t>IRPJ Não operacional</t>
  </si>
  <si>
    <t>IRPJ Adicional</t>
  </si>
  <si>
    <t>IRPJ Total</t>
  </si>
  <si>
    <t xml:space="preserve">CSLL s/ Serviço </t>
  </si>
  <si>
    <t xml:space="preserve">CSLL s/ Comercio  </t>
  </si>
  <si>
    <t>CSLL Não operacional</t>
  </si>
  <si>
    <t>CSLL Total</t>
  </si>
  <si>
    <t>Vencimento mensal dia 10 (ISS)</t>
  </si>
  <si>
    <t>Vencimento mensal dia 20 (ICMS)</t>
  </si>
  <si>
    <t>Vencimento mensal dia 25 (PIS E COFINS)</t>
  </si>
  <si>
    <t>Vencimento trimestral dia 30 (IRPJ E CSLL)</t>
  </si>
  <si>
    <t>Simulação de 2025 no Simples Nacional</t>
  </si>
  <si>
    <t>Valor - R$</t>
  </si>
  <si>
    <t>Acumulado 12 meses</t>
  </si>
  <si>
    <t>Faixa</t>
  </si>
  <si>
    <t>Resultado</t>
  </si>
  <si>
    <t>Dedução</t>
  </si>
  <si>
    <t>Valor recolhimento DAS</t>
  </si>
  <si>
    <t>Valor recolhimento ICMS</t>
  </si>
  <si>
    <t>Custo total - R$</t>
  </si>
  <si>
    <t>Obs</t>
  </si>
  <si>
    <t>Alíquota efetiva</t>
  </si>
  <si>
    <t>1ª</t>
  </si>
  <si>
    <t>2ª</t>
  </si>
  <si>
    <t>3ª</t>
  </si>
  <si>
    <t>4ª</t>
  </si>
  <si>
    <t>5ª</t>
  </si>
  <si>
    <t>6ª</t>
  </si>
  <si>
    <t>tdr_ID</t>
  </si>
  <si>
    <t>Casa</t>
  </si>
  <si>
    <t>Fornecedor</t>
  </si>
  <si>
    <t>Doc_Serie</t>
  </si>
  <si>
    <t>Data_Emissao</t>
  </si>
  <si>
    <t>Data_Vencimento</t>
  </si>
  <si>
    <t>Class_Cont_Grupo_1</t>
  </si>
  <si>
    <t>Class_Cont_Grupo_2</t>
  </si>
  <si>
    <t>Observacao</t>
  </si>
  <si>
    <t>Valor_Original</t>
  </si>
  <si>
    <t>Valor_Liquido</t>
  </si>
  <si>
    <t>Plano_de_Contas</t>
  </si>
  <si>
    <t>Cargo</t>
  </si>
  <si>
    <t>Cargo_DRE</t>
  </si>
  <si>
    <t>Status_Provisao_Real</t>
  </si>
  <si>
    <t>Status_Pagamento</t>
  </si>
  <si>
    <t>Mes_Texto</t>
  </si>
  <si>
    <t>BIT_CANCELADA</t>
  </si>
  <si>
    <t>Bar Léo - Centro</t>
  </si>
  <si>
    <t>JESUMINA MORAE MARQUES</t>
  </si>
  <si>
    <t>RENOVAÇÃO DO ARRENDAMENTO - 01/2025</t>
  </si>
  <si>
    <t>Provisionado</t>
  </si>
  <si>
    <t>07/2031</t>
  </si>
  <si>
    <t>06/2031</t>
  </si>
  <si>
    <t>05/2031</t>
  </si>
  <si>
    <t>04/2031</t>
  </si>
  <si>
    <t>03/2031</t>
  </si>
  <si>
    <t>02/2031</t>
  </si>
  <si>
    <t>01/2031</t>
  </si>
  <si>
    <t>12/2030</t>
  </si>
  <si>
    <t>11/2030</t>
  </si>
  <si>
    <t>10/2030</t>
  </si>
  <si>
    <t>09/2030</t>
  </si>
  <si>
    <t>08/2030</t>
  </si>
  <si>
    <t>07/2030</t>
  </si>
  <si>
    <t>06/2030</t>
  </si>
  <si>
    <t>05/2030</t>
  </si>
  <si>
    <t>04/2030</t>
  </si>
  <si>
    <t>03/2030</t>
  </si>
  <si>
    <t>02/2030</t>
  </si>
  <si>
    <t>01/2030</t>
  </si>
  <si>
    <t>12/2029</t>
  </si>
  <si>
    <t>11/2029</t>
  </si>
  <si>
    <t>10/2029</t>
  </si>
  <si>
    <t>09/2029</t>
  </si>
  <si>
    <t>08/2029</t>
  </si>
  <si>
    <t>07/2029</t>
  </si>
  <si>
    <t>06/2029</t>
  </si>
  <si>
    <t>05/2029</t>
  </si>
  <si>
    <t>04/2029</t>
  </si>
  <si>
    <t>03/2029</t>
  </si>
  <si>
    <t>02/2029</t>
  </si>
  <si>
    <t>01/2029</t>
  </si>
  <si>
    <t>12/2028</t>
  </si>
  <si>
    <t>11/2028</t>
  </si>
  <si>
    <t>10/2028</t>
  </si>
  <si>
    <t>NEO4 CONSULTORIA IMOBILIARIA</t>
  </si>
  <si>
    <t xml:space="preserve">ALUGUEL MENSAL - CONTRATO 36 MESES - PERIODO 01/11/2025 A 31/10/2028 </t>
  </si>
  <si>
    <t>09/2028</t>
  </si>
  <si>
    <t>08/2028</t>
  </si>
  <si>
    <t>07/2028</t>
  </si>
  <si>
    <t>06/2028</t>
  </si>
  <si>
    <t>30/30</t>
  </si>
  <si>
    <t>Endividamento</t>
  </si>
  <si>
    <t xml:space="preserve">ACORDO RECOLHIMENTO IR ATÉ DEZEMBRO/2022 - ENTRADA + 30 PARCELAS </t>
  </si>
  <si>
    <t>05/2028</t>
  </si>
  <si>
    <t>04/2028</t>
  </si>
  <si>
    <t>29/30</t>
  </si>
  <si>
    <t>03/2028</t>
  </si>
  <si>
    <t>28/30</t>
  </si>
  <si>
    <t>02/2028</t>
  </si>
  <si>
    <t>27/30</t>
  </si>
  <si>
    <t>01/2028</t>
  </si>
  <si>
    <t>26/30</t>
  </si>
  <si>
    <t>12/2027</t>
  </si>
  <si>
    <t>25/30</t>
  </si>
  <si>
    <t>11/2027</t>
  </si>
  <si>
    <t>24/30</t>
  </si>
  <si>
    <t>BAR LÉO LTDA - EPP</t>
  </si>
  <si>
    <t>PARC35/35</t>
  </si>
  <si>
    <t>ACORDO PARA QUITAÇÃO DE DÉBITOS PRETÉRITOS ASSINADA EM 23/12/2024</t>
  </si>
  <si>
    <t>Real</t>
  </si>
  <si>
    <t>10/2027</t>
  </si>
  <si>
    <t>23/30</t>
  </si>
  <si>
    <t>PARC34/35</t>
  </si>
  <si>
    <t>09/2027</t>
  </si>
  <si>
    <t>22/30</t>
  </si>
  <si>
    <t>PARC33/35</t>
  </si>
  <si>
    <t>08/2027</t>
  </si>
  <si>
    <t>21/30</t>
  </si>
  <si>
    <t>PARC32/35</t>
  </si>
  <si>
    <t>07/2027</t>
  </si>
  <si>
    <t>20/30</t>
  </si>
  <si>
    <t>PARC31/35</t>
  </si>
  <si>
    <t>06/2027</t>
  </si>
  <si>
    <t>19/30</t>
  </si>
  <si>
    <t>PARC30/35</t>
  </si>
  <si>
    <t>05/2027</t>
  </si>
  <si>
    <t>18/30</t>
  </si>
  <si>
    <t>PARC29/35</t>
  </si>
  <si>
    <t>04/2027</t>
  </si>
  <si>
    <t>17/30</t>
  </si>
  <si>
    <t>PARC28/35</t>
  </si>
  <si>
    <t>03/2027</t>
  </si>
  <si>
    <t>SIMPLES NACIONAL</t>
  </si>
  <si>
    <t>12/12</t>
  </si>
  <si>
    <t xml:space="preserve"> Parcelamento SIMPLES NACIONAL - 12/2025, 01/2026,02/2026
</t>
  </si>
  <si>
    <t>16/30</t>
  </si>
  <si>
    <t>PROVISAO</t>
  </si>
  <si>
    <t>02/2027</t>
  </si>
  <si>
    <t>PARC27/35</t>
  </si>
  <si>
    <t>11/12</t>
  </si>
  <si>
    <t>NEW KONTROLL SYSTEM COMERCIO DE EQUIPAMENTOS ELETRONICOS LTDA</t>
  </si>
  <si>
    <t xml:space="preserve">SISTEMA DE MONITORAMENTO REF /2026
</t>
  </si>
  <si>
    <t>15/30</t>
  </si>
  <si>
    <t>SALARIOS CLT</t>
  </si>
  <si>
    <t>Mão de Obra - Salários</t>
  </si>
  <si>
    <t>MDO CLT - Salário</t>
  </si>
  <si>
    <t>01/2026 - Líquidos Folha Mensal - Léo</t>
  </si>
  <si>
    <t>01/2027</t>
  </si>
  <si>
    <t>PARC26/35</t>
  </si>
  <si>
    <t>VALE TRANSPORTE</t>
  </si>
  <si>
    <t>Mão de Obra - Benefícios</t>
  </si>
  <si>
    <t xml:space="preserve">AJUDA DE CUSTO FREXOS 03/03 REF 01/2026
</t>
  </si>
  <si>
    <t xml:space="preserve">AJUDA DE CUSTO FREXOS 02/03 REF 01/2026
</t>
  </si>
  <si>
    <t>10/12</t>
  </si>
  <si>
    <t>PJ 47604306000110</t>
  </si>
  <si>
    <t>Mão de Obra - PJ</t>
  </si>
  <si>
    <t>MDO PJ Fixo</t>
  </si>
  <si>
    <t>SALÁRIO PJ - 2ª PARCELA</t>
  </si>
  <si>
    <t>COORDENADOR</t>
  </si>
  <si>
    <t xml:space="preserve">AJUDA DE CUSTO FREXOS 01/03 REF /2026
</t>
  </si>
  <si>
    <t xml:space="preserve">DENIS DOS SANTOS - ME </t>
  </si>
  <si>
    <t>Manutenção</t>
  </si>
  <si>
    <t xml:space="preserve">MENSALIDADE - MANUTENÇÃO REF  /2026
</t>
  </si>
  <si>
    <t>PORTO SEGURO CIA DE SEGUROS GERAIS</t>
  </si>
  <si>
    <t xml:space="preserve">PORTO SEGURO - LEO </t>
  </si>
  <si>
    <t xml:space="preserve">VT TOP </t>
  </si>
  <si>
    <t>SALARIOS FUNCIONARIOS EXTRA</t>
  </si>
  <si>
    <t>ADIANTAMENTO PRESTADORES ARMINDO/ JOSE/ LUIZ -.REF /2025</t>
  </si>
  <si>
    <t>14/30</t>
  </si>
  <si>
    <t>VT SP TRANS</t>
  </si>
  <si>
    <t>MACHINE SERVICE LTDA</t>
  </si>
  <si>
    <t>SERVIÇOS DE SEGURANÇA PERIODO DE 16 A 30  REF  /2026</t>
  </si>
  <si>
    <t>Impostos sobre Venda</t>
  </si>
  <si>
    <t>EMPRESA SIMPLES NACIONAL ATINGIL O SUBLIMITE DE R$ 3.600.000,00 DE FATURAMENTO.</t>
  </si>
  <si>
    <t>BRH SAUDE OCUPACIONAL LTDA</t>
  </si>
  <si>
    <t>Mão de Obra - Encargos e Provisões</t>
  </si>
  <si>
    <t>INSS Segurados</t>
  </si>
  <si>
    <t>IRRF</t>
  </si>
  <si>
    <t>IRRF - MDO CLT - Salário</t>
  </si>
  <si>
    <t>IRRF PRESTADOR PJ</t>
  </si>
  <si>
    <t>Imposto de Renda</t>
  </si>
  <si>
    <t>IRPJ - IMPOSTO SOBRE A RENDA DAS PESSOAS JURIDICAS</t>
  </si>
  <si>
    <t>COMISSOES E GORJETAS</t>
  </si>
  <si>
    <t>Gorjeta</t>
  </si>
  <si>
    <t>GORJETA PRESTADORES ARMINDO/ JOSE/ LUIZ - PERIODO 20 A 19.REF 01/2025</t>
  </si>
  <si>
    <t>PARC25/35</t>
  </si>
  <si>
    <t>TELEFONICA BRASIL S/A</t>
  </si>
  <si>
    <t xml:space="preserve">CONTA 8999 2578 0713 REF  /2026
</t>
  </si>
  <si>
    <t>SERVIÇOS DE SEGURANÇA PERIODO DE 01 A 15 REF  /2026</t>
  </si>
  <si>
    <t>BLUEME</t>
  </si>
  <si>
    <t xml:space="preserve">MENSALIDADE USO DA PLATAFORMA BLUEME  REF  /2026
</t>
  </si>
  <si>
    <t>ELETROPAULO METROPOLITANA ELETRICIDADE DE SAO PAULO SA</t>
  </si>
  <si>
    <t xml:space="preserve">ENERGIA ELETRICA INST 58672109 REF /2026
</t>
  </si>
  <si>
    <t>AROMIZY LOCACAO E DISTRIBUICAO LTDA.</t>
  </si>
  <si>
    <t>LOCAÇÃO DE EQUIPAMENTOS DISPENSER FIO DENTAL, ESSENCIA ,ODORIZADOR REF  /2026</t>
  </si>
  <si>
    <t xml:space="preserve">ENERGIA ELETRICA INST 58672117 REF /2026
</t>
  </si>
  <si>
    <t>9/12</t>
  </si>
  <si>
    <t>IRRF DE ALUGUEL /2026</t>
  </si>
  <si>
    <t>CONCIERGE IA SOLUCOES LTDA</t>
  </si>
  <si>
    <t>SISTEMA DE DISPAROS - DIONISIO IA REF /2026</t>
  </si>
  <si>
    <t>MANUTENCAO PREDIAL OCUPACAO REF /2026</t>
  </si>
  <si>
    <t xml:space="preserve">KAMINO INSTITUICAO DE PAGAMENTO LTDA </t>
  </si>
  <si>
    <t>Despesas Financeiras</t>
  </si>
  <si>
    <t>Tarifas Bancárias</t>
  </si>
  <si>
    <t xml:space="preserve">DESPESAS BANCARIAS - MENSALIDADE KAMINO REF /2026
</t>
  </si>
  <si>
    <t>ALPHALIX AMBIENTEAL LOC/ DE EQUIPAMENTOS EIRELI</t>
  </si>
  <si>
    <t xml:space="preserve">COLETA DE LIXO E RESIDUOS REF /2026
</t>
  </si>
  <si>
    <t>ZENDESK BRASIL SOFTWARE CORPORATIVO LTDA.</t>
  </si>
  <si>
    <t xml:space="preserve">FINAL 2190 - RATEIO ZENDESK CARTÃO DE CRÉDITO ESCRITÓRIO REF  /2026
</t>
  </si>
  <si>
    <t>STAR COPIAS COMERCIO E SERVICOS LTDA</t>
  </si>
  <si>
    <t>LOCACAO DE IMPRESSORA REF  /2026</t>
  </si>
  <si>
    <t xml:space="preserve">DUO COMUNICA LTDA </t>
  </si>
  <si>
    <t xml:space="preserve">ASSESSORIA DE IMPRENSA REF  /2026
</t>
  </si>
  <si>
    <t>MACRO CONTABILIDADE E CONSULTORIA LTDA</t>
  </si>
  <si>
    <t>M145/24 - MENSALIDADE CONTRATO</t>
  </si>
  <si>
    <t xml:space="preserve">INTERNET - CONTA 8999 2575 7114 REF  /2026
</t>
  </si>
  <si>
    <t>PAGAMENTO PRESTADORES ARMINDO/ JOSE/ LUIZ -.REF /2025</t>
  </si>
  <si>
    <t>13/30</t>
  </si>
  <si>
    <t>CIA DE SANEAMENTO BASICO DO ESTADO DE SAO PAULO SABESP</t>
  </si>
  <si>
    <t xml:space="preserve">AGUA / ESGOTO - FORNECIMENTO 86040722721010 REF  /2026
</t>
  </si>
  <si>
    <t>STEMME TELECOMUNICACOES DO BRASIL LTDA</t>
  </si>
  <si>
    <t xml:space="preserve">WIFI CONVIDADOS GERENCIAMENTO DE REDE AUTENTICACAO DE ACESSOS DE USUARIOS REF /2026
</t>
  </si>
  <si>
    <t>PJ 26502601000196</t>
  </si>
  <si>
    <t>SALÁRIO PJ</t>
  </si>
  <si>
    <t>LIDER DE SQUAD</t>
  </si>
  <si>
    <t>PJ 55834644000177</t>
  </si>
  <si>
    <t>ANALISTA EXECUTIVA DE EVENTOS</t>
  </si>
  <si>
    <t>RUBENS OLIVEIRA DA SILVA - ME</t>
  </si>
  <si>
    <t xml:space="preserve">AGENCIA DE PROPAGANDA MENSALIDADE SANDUICHE REF  /2026
</t>
  </si>
  <si>
    <t>SÓCIO SANDUICHE</t>
  </si>
  <si>
    <t xml:space="preserve">  - Diretoria</t>
  </si>
  <si>
    <t>PJ 47823688000173</t>
  </si>
  <si>
    <t xml:space="preserve">SALÁRIO PJ </t>
  </si>
  <si>
    <t>GERENTE</t>
  </si>
  <si>
    <t>02/2026 - Adiantamento Salarial</t>
  </si>
  <si>
    <t xml:space="preserve">FORTALEZA PORTARIA E LIMPEZA ME </t>
  </si>
  <si>
    <t xml:space="preserve">SEGURANÇA NOTURNO REF 01/2025
</t>
  </si>
  <si>
    <t>PJ 55774785000141</t>
  </si>
  <si>
    <t>ANALISTA DE COMPRAS DO SQUAD</t>
  </si>
  <si>
    <t>OPUS CONSULTORIA E PESQUISA LTDA</t>
  </si>
  <si>
    <t>CLIENTE OCULTO REF  /2026</t>
  </si>
  <si>
    <t>FACEBOOK SERVICOS ONLINE DO BRASIL LTDA.</t>
  </si>
  <si>
    <t xml:space="preserve">FINAL 0028 MARKETING - FACEBOOK - REF /2026
</t>
  </si>
  <si>
    <t>COMPANHIA DE GAS DE SAO PAULO</t>
  </si>
  <si>
    <t xml:space="preserve">COMGAS USUARIO 60834854 - REF  /2026
</t>
  </si>
  <si>
    <t>HEADCHEF SEGURANCA DOS ALIM E GARANTIA D</t>
  </si>
  <si>
    <t xml:space="preserve"> ASSESSORIA GERAL NUTRICIONISTA REF  /2026</t>
  </si>
  <si>
    <t xml:space="preserve">SPOTIFY </t>
  </si>
  <si>
    <t>CARTAO FINAL 2333 - MUSICA AMBIENTE REF  /2026</t>
  </si>
  <si>
    <t>TAMARA SANTOS RIBEIRO</t>
  </si>
  <si>
    <t>ADMINISTRATIVO</t>
  </si>
  <si>
    <t>MARCOS APARECIDO WERNECK</t>
  </si>
  <si>
    <t>DEDETIZACAO CONTROLE DE PRAGAS REF  02/2026</t>
  </si>
  <si>
    <t>PARC24/35</t>
  </si>
  <si>
    <t>8/12</t>
  </si>
  <si>
    <t>SISTEMA DE DISPAROS -  DIONISIO IA REF  /2026</t>
  </si>
  <si>
    <t xml:space="preserve">ABRASEL SAO PAULO </t>
  </si>
  <si>
    <t xml:space="preserve">MENSALIDADE ABRASEL REF  /2026
</t>
  </si>
  <si>
    <t>12/30</t>
  </si>
  <si>
    <t>PARC23/35</t>
  </si>
  <si>
    <t>7/12</t>
  </si>
  <si>
    <t>IRRF DE ALUGUEL 02/2026</t>
  </si>
  <si>
    <t>IPTU REF  /2026</t>
  </si>
  <si>
    <t>ALUGUEL MENSAL - CONTRATO 36 MESES - PERIODO 01/11/2025 A 31/10/2028 - DESCONTO DE 5% NOS 12 PRIMEIROS MESES</t>
  </si>
  <si>
    <t>11/30</t>
  </si>
  <si>
    <t>PARC22/35</t>
  </si>
  <si>
    <t>6/12</t>
  </si>
  <si>
    <t>ESTAFF SOLUCOES TECNOLOGICAS DE AGENCIAMENTO LTDA</t>
  </si>
  <si>
    <t>Mão de Obra - Extra</t>
  </si>
  <si>
    <t>MAO DE OBRA EXTRA DE  REF 0/2026</t>
  </si>
  <si>
    <t>10/30</t>
  </si>
  <si>
    <t>PARC21/35</t>
  </si>
  <si>
    <t>17082026</t>
  </si>
  <si>
    <t xml:space="preserve">AJUDA DE CUSTO FREXOS 03/03 REF 08/2026
</t>
  </si>
  <si>
    <t>5/12</t>
  </si>
  <si>
    <t>10082026</t>
  </si>
  <si>
    <t xml:space="preserve">AJUDA DE CUSTO FREXOS 02/03 REF 08/2026
</t>
  </si>
  <si>
    <t>STAR.FRIO DISTRIBUIDORA DE AR CONDICIONADO E PECAS LTDA EРР</t>
  </si>
  <si>
    <t>08</t>
  </si>
  <si>
    <t>Investimento - CAPEX</t>
  </si>
  <si>
    <t>INVESTIMENTOS COMPRA E INSTALAÇAO DE AR CONDICIONADO BAR LEO EM 3X 3500 EM 18/06 3500 18/07 E 2430 18/08 REF  08/2026</t>
  </si>
  <si>
    <t>03082026</t>
  </si>
  <si>
    <t xml:space="preserve">AJUDA DE CUSTO FREXOS 01/03 REF 08/2026
</t>
  </si>
  <si>
    <t>2656082026</t>
  </si>
  <si>
    <t>ADIANTAMENTO PRESTADORES ARMINDO/ JOSE/ LUIZ -.REF 08/2025</t>
  </si>
  <si>
    <t>9/30</t>
  </si>
  <si>
    <t>PAGAMENTO PRESTADORES ARMINDO/ JOSE/ LUIZ -.REF 08/2025</t>
  </si>
  <si>
    <t>PARC20/35</t>
  </si>
  <si>
    <t>15072026</t>
  </si>
  <si>
    <t xml:space="preserve">AJUDA DE CUSTO FREXOS 03/03 REF 07/2026
</t>
  </si>
  <si>
    <t>ESHOWS PROMOCOES ARTISTICAS LTDA</t>
  </si>
  <si>
    <t>Custos Artístico Geral</t>
  </si>
  <si>
    <t>CACHE ARTISTAS PERIODO DE  REF 0/2026</t>
  </si>
  <si>
    <t>08072026</t>
  </si>
  <si>
    <t xml:space="preserve">AJUDA DE CUSTO FREXOS 02/03 REF 07/2026
</t>
  </si>
  <si>
    <t>4/12</t>
  </si>
  <si>
    <t>850660294</t>
  </si>
  <si>
    <t>1</t>
  </si>
  <si>
    <t>Pago</t>
  </si>
  <si>
    <t>MILI PRODUCOES LTDA</t>
  </si>
  <si>
    <t>Movimentação e instalação de TV + cconfiguração</t>
  </si>
  <si>
    <t>TYPEFORM</t>
  </si>
  <si>
    <t>IN-2026-0297843</t>
  </si>
  <si>
    <t>Rateamento de 127 - Bar Léo - Centro (12.5%)</t>
  </si>
  <si>
    <t>JULIO CESAR DALECIO AZEVEDO</t>
  </si>
  <si>
    <t>66</t>
  </si>
  <si>
    <t>CAPTACAO E EDICAO AUDIOVISUAL EVENTO APAS DE 18/05 A 21/05 REF 07/2026</t>
  </si>
  <si>
    <t>MARIA CRISTINA LEMOS</t>
  </si>
  <si>
    <t>527529 072026</t>
  </si>
  <si>
    <t>07/2026 férias 30 dias início em 06/07</t>
  </si>
  <si>
    <t>Processamento</t>
  </si>
  <si>
    <t>07</t>
  </si>
  <si>
    <t>INVESTIMENTOS COMPRA E INSTALAÇAO DE AR CONDICIONADO BAR LEO EM 3X 3500 EM 18/06 3500 18/07 E 2430 18/08 REF  07/2026</t>
  </si>
  <si>
    <t>JOSENILDO MENDES DE CARVALHO</t>
  </si>
  <si>
    <t>072026</t>
  </si>
  <si>
    <t>MANUTENCAO DO CANTEIRO DE FLORES DAS CALCADAS DO LEO REF 06/2026</t>
  </si>
  <si>
    <t>9655</t>
  </si>
  <si>
    <t xml:space="preserve">WIFI CONVIDADOS GERENCIAMENTO DE REDE AUTENTICACAO DE ACESSOS DE USUARIOS REF 07/2026
</t>
  </si>
  <si>
    <t>12649845</t>
  </si>
  <si>
    <t>2656072026</t>
  </si>
  <si>
    <t>ADIANTAMENTO PRESTADORES ARMINDO/ JOSE/ LUIZ -.REF 07/2025</t>
  </si>
  <si>
    <t>11938</t>
  </si>
  <si>
    <t>8/30</t>
  </si>
  <si>
    <t>01072026</t>
  </si>
  <si>
    <t xml:space="preserve">AJUDA DE CUSTO FREXOS 01/03 REF 07/2026
</t>
  </si>
  <si>
    <t xml:space="preserve">SEGURANÇA NOTURNO REF 06/2026
</t>
  </si>
  <si>
    <t>PAGAMENTO PRESTADORES ARMINDO/ JOSE/ LUIZ -.REF 07/2025</t>
  </si>
  <si>
    <t>174</t>
  </si>
  <si>
    <t xml:space="preserve">MENSALIDADE - MANUTENÇÃO REF  07/2026
</t>
  </si>
  <si>
    <t>296256991</t>
  </si>
  <si>
    <t>5817</t>
  </si>
  <si>
    <t>PETTY CASH</t>
  </si>
  <si>
    <t>75062026</t>
  </si>
  <si>
    <t xml:space="preserve">AGUARDANDO RECIBO </t>
  </si>
  <si>
    <t>BANCO VR</t>
  </si>
  <si>
    <t>Deduções sobre Venda</t>
  </si>
  <si>
    <t>TICKET</t>
  </si>
  <si>
    <t>ALELO INSTITUICAO DE PAGAMENTO SA</t>
  </si>
  <si>
    <t>SODEXO</t>
  </si>
  <si>
    <t>TAXA DE FISCALIZAÇÃO DE ESTABELECIMENTOS</t>
  </si>
  <si>
    <t>06/202</t>
  </si>
  <si>
    <t>TFE 2026</t>
  </si>
  <si>
    <t>062026</t>
  </si>
  <si>
    <t>FINAL 0028 - FACEBOOK 06/2026</t>
  </si>
  <si>
    <t>844472348</t>
  </si>
  <si>
    <t>MAO DE OBRA EXTRA DE 22/06 A 28/06 REF 06/2026</t>
  </si>
  <si>
    <t>CACHE ARTISTAS PERIODO DE 22/06 A 28/06 REF 06/2026</t>
  </si>
  <si>
    <t>KALVIN OZEAS AFONSO</t>
  </si>
  <si>
    <t>53820062026</t>
  </si>
  <si>
    <t>REEMBOLSO COMPRA DE ITENS PARA DECORACAO DO BAR NA COPA REF 06/2026</t>
  </si>
  <si>
    <t>PARC19/35</t>
  </si>
  <si>
    <t>RD GESTAO E SISTEMAS S.A.</t>
  </si>
  <si>
    <t>4090253</t>
  </si>
  <si>
    <t>Rateamento de 127 - Bar Léo - Centro (8.33%)</t>
  </si>
  <si>
    <t>839510294</t>
  </si>
  <si>
    <t>MAO DE OBRA EXTRA DE15/06 A 21/06 REF 06/2026</t>
  </si>
  <si>
    <t xml:space="preserve">839649383 </t>
  </si>
  <si>
    <t>CACHE ARTISTAS PERIODO DE 15/06 A 21/06  REF 06/2026</t>
  </si>
  <si>
    <t>262026</t>
  </si>
  <si>
    <t>REEBOLSO REF A COMPRA DE CESTO DE LIMPEZA PARA MANUTENCAO PREVENTIVA REF 06/2026</t>
  </si>
  <si>
    <t>0453417513</t>
  </si>
  <si>
    <t>Rateamento de 127 - Bar Léo - Centro (3.6890%)</t>
  </si>
  <si>
    <t xml:space="preserve">2049682165 </t>
  </si>
  <si>
    <t xml:space="preserve">CONTA 8999 2578 0713 REF  06/2026
</t>
  </si>
  <si>
    <t>VANESSA YEGROS RIBEIRO</t>
  </si>
  <si>
    <t>114</t>
  </si>
  <si>
    <t>UNIFORMES CAMISETAS DA COPA REF 06/2026</t>
  </si>
  <si>
    <t>PRINT TECH IMPRESSOES TECNICAS LTDA</t>
  </si>
  <si>
    <t>5693</t>
  </si>
  <si>
    <t>MATERIAL INSTITUCIONAL 35 DISPALYS, COPRES 4X4, COCUHÊ 115 G/M2 REF 06/2026</t>
  </si>
  <si>
    <t>834792864</t>
  </si>
  <si>
    <t>CACHE ARTISTAS PERIODO DE 08/06 A 14/06 REF 06/2026</t>
  </si>
  <si>
    <t>834497414</t>
  </si>
  <si>
    <t>MAO DE OBRA EXTRA DE 08/06  A 14/06  REF 06/2026</t>
  </si>
  <si>
    <t>310</t>
  </si>
  <si>
    <t xml:space="preserve">MENSALIDADE USO DA PLATAFORMA BLUEME  REF 06 /2026
</t>
  </si>
  <si>
    <t>365</t>
  </si>
  <si>
    <t>SERVIÇOS DE SEGURANÇA PERIODO DE 01/06 A 15/06 REF 06 /2026</t>
  </si>
  <si>
    <t>15062026</t>
  </si>
  <si>
    <t xml:space="preserve">AJUDA DE CUSTO FREXOS 03/03 REF 06/2026
</t>
  </si>
  <si>
    <t>7128779</t>
  </si>
  <si>
    <t xml:space="preserve">ENERGIA ELETRICA INST 58672109 REF 06/2026
</t>
  </si>
  <si>
    <t>LALAMOVE TECNOLOGIA (BRASIL) LTDA</t>
  </si>
  <si>
    <t>33297052026</t>
  </si>
  <si>
    <t>Despesas com Transporte / Hospedagem</t>
  </si>
  <si>
    <t>Reteio Lalamove - competência 05/2026</t>
  </si>
  <si>
    <t>RD STATION</t>
  </si>
  <si>
    <t>279102</t>
  </si>
  <si>
    <t>BANCO DO BRASIL SA</t>
  </si>
  <si>
    <t>36644</t>
  </si>
  <si>
    <t>LOCAÇÃO DE EQUIPAMENTOS DISPENSER FIO DENTAL, ESSENCIA ,ODORIZADOR REF  06/2026</t>
  </si>
  <si>
    <t>4062026</t>
  </si>
  <si>
    <t>829167451</t>
  </si>
  <si>
    <t>CACHE ARTISTAS PERIODO DE 01/06 A 07/06 REF 06/2026</t>
  </si>
  <si>
    <t xml:space="preserve">829061722 </t>
  </si>
  <si>
    <t>MAO DE OBRA EXTRA DE 01/06 A 07/07  REF /2026</t>
  </si>
  <si>
    <t>3/12</t>
  </si>
  <si>
    <t>08062026</t>
  </si>
  <si>
    <t>71287680</t>
  </si>
  <si>
    <t xml:space="preserve">ENERGIA ELETRICA INST 58672117 REF 06/2026
</t>
  </si>
  <si>
    <t>TIAGO HERNANDES JARDIM 387168718809</t>
  </si>
  <si>
    <t>95</t>
  </si>
  <si>
    <t>PRODUCAO DE CONTEUDO PINTURA DE RUA PARA COPA REF 06/2026</t>
  </si>
  <si>
    <t>WELLINGTON DE PAULA LOBATO</t>
  </si>
  <si>
    <t>30</t>
  </si>
  <si>
    <t>PINTURA E ARTE LETTERING E REPRODUCAO DE LOGOTIPO REF 06/2026</t>
  </si>
  <si>
    <t>5672</t>
  </si>
  <si>
    <t>MATERIAL INSTITUCIONAL 21 IMPRESSÕES DE FOTOS A4,COUCHÊ FOSCO 300 G/M2  REF 06/2026</t>
  </si>
  <si>
    <t>20PETTY062026</t>
  </si>
  <si>
    <t>Custo Mercadoria Vendida</t>
  </si>
  <si>
    <t>Insumos - Alimentos</t>
  </si>
  <si>
    <t xml:space="preserve">FINAL 2073 -  COUVE  PARA PRODUÇÃO NÃO VEIO NO PEDIDO  REF 06/2026
</t>
  </si>
  <si>
    <t>21PETTY062026</t>
  </si>
  <si>
    <t>22PETTY062026</t>
  </si>
  <si>
    <t xml:space="preserve">FINAL 2073 -  AGRIAO  PARA PRODUÇÃO NÃO VEIO NO PEDIDO  REF 06/2026
</t>
  </si>
  <si>
    <t>ALEXSANDRA GRACIELE DA SILVA</t>
  </si>
  <si>
    <t>23PETTY062026</t>
  </si>
  <si>
    <t xml:space="preserve">FINAL 2073 -  SACO ALVEJADO  PARA PRODUÇÃO NÃO VEIO NO PEDIDO  REF 06/2026
</t>
  </si>
  <si>
    <t>JOAO BATISTA DA COSTA SOBRINHO</t>
  </si>
  <si>
    <t>24PETTY062026</t>
  </si>
  <si>
    <t xml:space="preserve">FINAL 2073 -  MECANISMO ACOPLADO PARA MANUTENCAO PREVENTIVA  REF 06/2026
</t>
  </si>
  <si>
    <t>25PETTY062026</t>
  </si>
  <si>
    <t xml:space="preserve">FINAL 2073 -  FARINHA PARA PRODUÇÃO NÃO VEIO NO PEDIDO  REF 06/2026
</t>
  </si>
  <si>
    <t>ADRIANA APARECIDA DE JESUS</t>
  </si>
  <si>
    <t>26PETTY062026</t>
  </si>
  <si>
    <t>27PETTY062026</t>
  </si>
  <si>
    <t xml:space="preserve">FINAL 2073 -  CAFE PARA PRODUÇÃO NÃO VEIO NO PEDIDO  REF 06/2026
</t>
  </si>
  <si>
    <t>29PETTY062026</t>
  </si>
  <si>
    <t xml:space="preserve">FINAL 2073 -  MANTEIGA PARA PRODUÇÃO NÃO VEIO NO PEDIDO  REF 06/2026
</t>
  </si>
  <si>
    <t>475</t>
  </si>
  <si>
    <t>SISTEMA DE DISPAROS -  DIONISIO IA REF 06/2026</t>
  </si>
  <si>
    <t>EVERTON DE SOUSA PEREIRA</t>
  </si>
  <si>
    <t>16PETTY062026</t>
  </si>
  <si>
    <t xml:space="preserve">823401494 </t>
  </si>
  <si>
    <t>MAO DE OBRA EXTRA DE 25/05 A 31/05 REF05 /2026</t>
  </si>
  <si>
    <t>19PETTY062026</t>
  </si>
  <si>
    <t>IRRF DE ALUGUEL 06/2026</t>
  </si>
  <si>
    <t>79070</t>
  </si>
  <si>
    <t>MANUTENCAO PREDIAL OCUPACAO SEGURO DE INCENDIO ANUAL PARCELA 01/06 REF 06/2026</t>
  </si>
  <si>
    <t>28PETTY062026</t>
  </si>
  <si>
    <t xml:space="preserve">FINAL 2073 -  CABO HDMI PARA MANUTENCAO PREVENTIVA  REF 06/2026
</t>
  </si>
  <si>
    <t>18PETTY062026</t>
  </si>
  <si>
    <t xml:space="preserve">FINAL 2073 -  ESCAROLA  PARA PRODUÇÃO NÃO VEIO NO PEDIDO  REF 06/2026
</t>
  </si>
  <si>
    <t>12PETTY062026</t>
  </si>
  <si>
    <t>11PETTY062026</t>
  </si>
  <si>
    <t xml:space="preserve">FINAL 2073 -  INTERRUPTOR PARA MANUTENCAO PREVENTIVA  REF 06/2026
</t>
  </si>
  <si>
    <t>10PETTY062026</t>
  </si>
  <si>
    <t xml:space="preserve">FINAL 2073 -  FEIJAO  PARA PRODUÇÃO NÃO VEIO NO PEDIDO  REF 06/2026
</t>
  </si>
  <si>
    <t>9PETTY062026</t>
  </si>
  <si>
    <t>8PETTY062026</t>
  </si>
  <si>
    <t xml:space="preserve">FINAL 2073 -  PILHA PARA CONTROLE DA TV  REF 06/2026
</t>
  </si>
  <si>
    <t>15PETTY062026</t>
  </si>
  <si>
    <t xml:space="preserve">FINAL 2073 -  COLHER  PARA COZINHA UTENSILIOS EM FALTA  REF 06/2026
</t>
  </si>
  <si>
    <t>17PETTY062026</t>
  </si>
  <si>
    <t xml:space="preserve">FINAL 2073 -  MEL  PARA PRODUÇÃO NÃO VEIO NO PEDIDO  REF 06/2026
</t>
  </si>
  <si>
    <t>1PETTY062026</t>
  </si>
  <si>
    <t xml:space="preserve">FINAL 2073 -  ARTIGOS DE LIMPEZA NÃO VEIO NO PEDIDO  REF 06/2026
</t>
  </si>
  <si>
    <t>2PETTY062026</t>
  </si>
  <si>
    <t xml:space="preserve">FINAL 2073 -  LIMAO  PARA PRODUÇÃO NÃO VEIO NO PEDIDO  REF 06/2026
</t>
  </si>
  <si>
    <t>3PETTY062026</t>
  </si>
  <si>
    <t xml:space="preserve">FINAL 2073 -  FRUTAS  PARA PRODUÇÃO NÃO VEIO NO PEDIDO  REF 06/2026
</t>
  </si>
  <si>
    <t>4PETTY062026</t>
  </si>
  <si>
    <t xml:space="preserve">FINAL 2073 -  RAPADURA  PARA PRODUÇÃO NÃO VEIO NO PEDIDO  REF 06/2026
</t>
  </si>
  <si>
    <t>5PETTY062026</t>
  </si>
  <si>
    <t>Insumos - Embalagens</t>
  </si>
  <si>
    <t>FINAL 2073 -  EMBALAGENS NÃO VEIO NO PEDIDO  REF 06/2026</t>
  </si>
  <si>
    <t>6PETTY062026</t>
  </si>
  <si>
    <t xml:space="preserve">FINAL 2073 -  PAPEL HIGIENICO NÃO VEIO NO PEDIDO  REF 06/2026
</t>
  </si>
  <si>
    <t>7PETTY062026</t>
  </si>
  <si>
    <t xml:space="preserve">FINAL 2073 -  PAO  PARA PRODUÇÃO NÃO VEIO NO PEDIDO  REF 06/2026
</t>
  </si>
  <si>
    <t>SOUL URBANISMO COMERCIO DE MOVEIS E SERVICOS LTDA</t>
  </si>
  <si>
    <t>2200</t>
  </si>
  <si>
    <t>ENTRADA PARA CONSTRUCAO DO PARKLET LEO REF 06/2026</t>
  </si>
  <si>
    <t>14PETTY062026</t>
  </si>
  <si>
    <t xml:space="preserve">FINAL 2073 -  CHEIRO VERDE  PARA PRODUÇÃO NÃO VEIO NO PEDIDO  REF 06/2026
</t>
  </si>
  <si>
    <t>13PETTY062026</t>
  </si>
  <si>
    <t xml:space="preserve">FINAL 2073 -  EXTENSAO PARA MANUTENCAO PREVENTIVA  REF 06/2026
</t>
  </si>
  <si>
    <t>GERALDO ANULINO FERREIRA</t>
  </si>
  <si>
    <t>192026</t>
  </si>
  <si>
    <t>SERVICOS DE LIMPEZA FOGAO INJETORES E QUEIMADORES REF 06/2026</t>
  </si>
  <si>
    <t>101</t>
  </si>
  <si>
    <t>INVESTIMENTOS COMPRA E INSTALAÇAO DE AR CONDICIONADO BAR LEO EM 3X 3500 EM 18/06 3500 18/07 E 2430 18/08 REF 06/2026</t>
  </si>
  <si>
    <t>Colocado no Banco</t>
  </si>
  <si>
    <t>Rodrigo Rocha Freire</t>
  </si>
  <si>
    <t>242026</t>
  </si>
  <si>
    <t>Custos de Eventos</t>
  </si>
  <si>
    <t>SERVIÇO DE APOIO EVENTO APAS SHOW DE 17 A 21/05 REF 06/2026</t>
  </si>
  <si>
    <t>Luiz Carlos Aves da Silva</t>
  </si>
  <si>
    <t>232026</t>
  </si>
  <si>
    <t>DAYANNA GAMA DE SOUZA</t>
  </si>
  <si>
    <t>PRODUCAO APAS SHOW DE 17 A 21/05 REF 06/2026</t>
  </si>
  <si>
    <t>FS EQUIPAMENTOS LTDA</t>
  </si>
  <si>
    <t>14</t>
  </si>
  <si>
    <t>GERENCIAMENTO EVENTO APAS SHOW DE 17 A 21/05 REF 06/2026</t>
  </si>
  <si>
    <t>99</t>
  </si>
  <si>
    <t>202657823646</t>
  </si>
  <si>
    <t xml:space="preserve">AGUA / ESGOTO - FORNECIMENTO 86040722721010 REF 06/2026
</t>
  </si>
  <si>
    <t>190</t>
  </si>
  <si>
    <t>CLIENTE OCULTO REF  06/2026</t>
  </si>
  <si>
    <t>.</t>
  </si>
  <si>
    <t>6885492985</t>
  </si>
  <si>
    <t>1392026</t>
  </si>
  <si>
    <t xml:space="preserve"> AGENCIA DE PROPAGANDA MENSALIDADE SANDUICHE REF 06 /2026
</t>
  </si>
  <si>
    <t>9509</t>
  </si>
  <si>
    <t xml:space="preserve">WIFI CONVIDADOS GERENCIAMENTO DE REDE AUTENTICACAO DE ACESSOS DE USUARIOS REF 06/2026
</t>
  </si>
  <si>
    <t>8594065</t>
  </si>
  <si>
    <t xml:space="preserve">DESPESAS BANCARIAS - MENSALIDADE KAMINO REF 06/2026
</t>
  </si>
  <si>
    <t>709</t>
  </si>
  <si>
    <t xml:space="preserve">ASSESSORIA DE IMPRENSA REF 06/2026
</t>
  </si>
  <si>
    <t xml:space="preserve">193178 </t>
  </si>
  <si>
    <t xml:space="preserve">MENSALIDADE ABRASEL REF  06/2026
</t>
  </si>
  <si>
    <t>CARTAO FINAL 2333 - MUSICA AMBIENTE REF 06/2026</t>
  </si>
  <si>
    <t>168</t>
  </si>
  <si>
    <t xml:space="preserve">MENSALIDADE - MANUTENÇÃO REF 06 /2026
</t>
  </si>
  <si>
    <t xml:space="preserve">SEGURANÇA NOTURNO REF 06/2025
</t>
  </si>
  <si>
    <t>01062026</t>
  </si>
  <si>
    <t xml:space="preserve">AJUDA DE CUSTO FREXOS 01/06 REF 06/2026
</t>
  </si>
  <si>
    <t>135000 062026</t>
  </si>
  <si>
    <t>7/30</t>
  </si>
  <si>
    <t>65575 062026</t>
  </si>
  <si>
    <t xml:space="preserve">147031482 </t>
  </si>
  <si>
    <t xml:space="preserve">COMGAS USUARIO 60834854 - REF 06/2026
</t>
  </si>
  <si>
    <t>2656062026</t>
  </si>
  <si>
    <t>ADIANTAMENTO PRESTADORES ARMINDO/ JOSE/ LUIZ -.REF 06/2025</t>
  </si>
  <si>
    <t>5509</t>
  </si>
  <si>
    <t>LOCACAO DE IMPRESSORA REF 06/2026</t>
  </si>
  <si>
    <t>11586</t>
  </si>
  <si>
    <t>IPTU  PARCELA 06/10 REF  06/2026</t>
  </si>
  <si>
    <t>116</t>
  </si>
  <si>
    <t>2244</t>
  </si>
  <si>
    <t xml:space="preserve"> ASSESSORIA GERAL NUTRICIONISTA REF 06 /2026</t>
  </si>
  <si>
    <t>2047382593</t>
  </si>
  <si>
    <t xml:space="preserve">INTERNET - CONTA 8999 2575 7114 REF  06/2026
</t>
  </si>
  <si>
    <t>62</t>
  </si>
  <si>
    <t>54363</t>
  </si>
  <si>
    <t xml:space="preserve">COLETA DE LIXO E RESIDUOS REF 06/2026
</t>
  </si>
  <si>
    <t>52</t>
  </si>
  <si>
    <t>165460 062026</t>
  </si>
  <si>
    <t>PAGAMENTO PRESTADORES ARMINDO/ JOSE/ LUIZ -.REF 06 /2025</t>
  </si>
  <si>
    <t xml:space="preserve">823832627 </t>
  </si>
  <si>
    <t xml:space="preserve">SISTEMA DE MONITORAMENTO REF 05/2026
</t>
  </si>
  <si>
    <t>ARENA TECNOLOGIA DA INFORMACAO EIRELI- ME</t>
  </si>
  <si>
    <t>7003</t>
  </si>
  <si>
    <t>FRETE OPERACIONAL DE 18 A 21/05 EVENTO APAS REF 05/2026</t>
  </si>
  <si>
    <t>IFOOD.COM AGENCIA DE RESTAURANTES ONLINE SA</t>
  </si>
  <si>
    <t>TAXA DELIVERY</t>
  </si>
  <si>
    <t>ZIGPAY LTDAS -ME</t>
  </si>
  <si>
    <t xml:space="preserve"> Taxa Sobre Adquirência Integrada</t>
  </si>
  <si>
    <t>823916041</t>
  </si>
  <si>
    <t>CACHE ARTISTAS PERIODO DE 25/05 A 31/05 REF 05/2026</t>
  </si>
  <si>
    <t>MAIO2026</t>
  </si>
  <si>
    <t>NF 54041 ALPHALIX AMBIENTAL LOCACAO</t>
  </si>
  <si>
    <t>LEDWAVE PAINEIS ELETRONICOS</t>
  </si>
  <si>
    <t>Insumos - Bebidas</t>
  </si>
  <si>
    <t>287234 052026</t>
  </si>
  <si>
    <t xml:space="preserve"> INSS Segurados - 05/2026</t>
  </si>
  <si>
    <t>345</t>
  </si>
  <si>
    <t>SERVIÇOS DE SEGURANÇA PERIODO DE 16/05 A 31/05 REF  05/2026</t>
  </si>
  <si>
    <t>220741 052026</t>
  </si>
  <si>
    <t>Guia FGTS - 05/2026</t>
  </si>
  <si>
    <t>5056</t>
  </si>
  <si>
    <t>IN-2026-0241420</t>
  </si>
  <si>
    <t>VERIDIANA GOMES</t>
  </si>
  <si>
    <t>10062026</t>
  </si>
  <si>
    <t>TRANSPORTE EVENTO APA REF 05/2026</t>
  </si>
  <si>
    <t>817703176</t>
  </si>
  <si>
    <t>MAO DE OBRA EXTRA DE 18/05 A 24/05  REF 05/2026</t>
  </si>
  <si>
    <t>1451</t>
  </si>
  <si>
    <t>DEDETIZACAO CONTROLE DE PRAGAS REF 05/2026</t>
  </si>
  <si>
    <t xml:space="preserve">823846100 </t>
  </si>
  <si>
    <t>TROCA DE SENSOR E DO TECLADO DAS CAMERAS REF 05/2026</t>
  </si>
  <si>
    <t>817922098</t>
  </si>
  <si>
    <t>CACHE ARTISTAS PERIODO DE 18/05 A 24/05 REF 05/2026</t>
  </si>
  <si>
    <t>25062026</t>
  </si>
  <si>
    <t>GORJETA PRESTADORES ARMINDO/ JOSE/ LUIZ - PERIODO 20/04 A 19/05.REF 05/2025</t>
  </si>
  <si>
    <t>PARC18/35</t>
  </si>
  <si>
    <t>Taxa de Sistema</t>
  </si>
  <si>
    <t>MATHEUS STENIO SENA SILVA 39652121843</t>
  </si>
  <si>
    <t>25</t>
  </si>
  <si>
    <t>FREELANCER SESSAO E TRATAMENTO EVENTO APA  REF 05/2026</t>
  </si>
  <si>
    <t>Designer - Pleno</t>
  </si>
  <si>
    <t xml:space="preserve">2043083920 </t>
  </si>
  <si>
    <t xml:space="preserve">CONTA 8999 2578 0713 REF  05/2026
</t>
  </si>
  <si>
    <t>CIELO</t>
  </si>
  <si>
    <t xml:space="preserve">812975882 </t>
  </si>
  <si>
    <t>MAO DE OBRA EXTRA DE 11/05 A 17/05 REF 05/2026</t>
  </si>
  <si>
    <t xml:space="preserve">813013211 </t>
  </si>
  <si>
    <t>CACHE ARTISTAS PERIODO DE 11/05 A 17/05 REF 05/2026</t>
  </si>
  <si>
    <t>ALUGUEL MAQUININHA - BAR LEO 05/2026</t>
  </si>
  <si>
    <t>323</t>
  </si>
  <si>
    <t>SERVIÇOS DE SEGURANÇA PERIODO DE 01/05 A 15/05 REF  05/2026</t>
  </si>
  <si>
    <t>295</t>
  </si>
  <si>
    <t xml:space="preserve">MENSALIDADE USO DA PLATAFORMA BLUEME  REF 05 /2026
</t>
  </si>
  <si>
    <t>15052026</t>
  </si>
  <si>
    <t xml:space="preserve">AJUDA DE CUSTO FREXOS 03/03 REF 05/2026
</t>
  </si>
  <si>
    <t>4008934</t>
  </si>
  <si>
    <t>Rateamento de 127 - Bar Léo - Centro (8.34%)</t>
  </si>
  <si>
    <t>4009179</t>
  </si>
  <si>
    <t>Rateamento de 127 - Bar Léo - Centro (4.8191%)</t>
  </si>
  <si>
    <t>62855467</t>
  </si>
  <si>
    <t xml:space="preserve">ENERGIA ELETRICA INST 58672109 REF 05/2026
</t>
  </si>
  <si>
    <t xml:space="preserve">807763194 </t>
  </si>
  <si>
    <t>CACHE ARTISTAS PERIODO DE 04/05 A 10/05  REF 05/2026</t>
  </si>
  <si>
    <t xml:space="preserve">807654207 </t>
  </si>
  <si>
    <t>MAO DE OBRA EXTRA DE 04/05 A 10/05 REF 05/2026</t>
  </si>
  <si>
    <t>36129</t>
  </si>
  <si>
    <t>LOCAÇÃO DE EQUIPAMENTOS DISPENSER FIO DENTAL, ESSENCIA ,ODORIZADOR REF 05/2026</t>
  </si>
  <si>
    <t>SERIDO ARTIGOS P/ RESTAURANTE LTDA - PP</t>
  </si>
  <si>
    <t>14545</t>
  </si>
  <si>
    <t>COMPRA DE UNIFORMES OPERAÇÃO 05/2026</t>
  </si>
  <si>
    <t>2/12</t>
  </si>
  <si>
    <t xml:space="preserve">  Parcelamento SIMPLES NACIONAL - 12/2025, 01/2026,02/2026
</t>
  </si>
  <si>
    <t xml:space="preserve">62855468 </t>
  </si>
  <si>
    <t xml:space="preserve">ENERGIA ELETRICA INST 58672117 REF 05/2026
</t>
  </si>
  <si>
    <t>08052026</t>
  </si>
  <si>
    <t xml:space="preserve">AJUDA DE CUSTO FREXOS 02/03 REF 05/2026
</t>
  </si>
  <si>
    <t>802103329</t>
  </si>
  <si>
    <t>CACHE ARTISTAS PERIODO DE 01/05 A 03/05 REF 05/2026</t>
  </si>
  <si>
    <t>17-052026</t>
  </si>
  <si>
    <t xml:space="preserve">FINAL 2073 -  PEPINO PARA PRODUÇÃO NÃO VEIO NO PEDIDO  REF 05/2026
</t>
  </si>
  <si>
    <t>10-052026</t>
  </si>
  <si>
    <t xml:space="preserve">FINAL 2073 -  PANO NÃO VEIO NO PEDIDO  REF 05/2026
</t>
  </si>
  <si>
    <t>11-052026</t>
  </si>
  <si>
    <t xml:space="preserve">FINAL 2073 -  ETIQUETA DE PRECO ACABOU   REF 05/2026
</t>
  </si>
  <si>
    <t>12-052026</t>
  </si>
  <si>
    <t xml:space="preserve">FINAL 2073 -  TOMADAS PARA MANUTENCAO PREVENTIVA  REF 05/2026
</t>
  </si>
  <si>
    <t>46-052026</t>
  </si>
  <si>
    <t xml:space="preserve">FINAL 2073 -  ORIENTAL COMERCIO PARA PRODUÇÃO NÃO VEIO NO PEDIDO  REF 05/2026
</t>
  </si>
  <si>
    <t>13-052026</t>
  </si>
  <si>
    <t xml:space="preserve">FINAL 2073 -  CREME PARA PRODUÇÃO NÃO VEIO NO PEDIDO  REF 05/2026
</t>
  </si>
  <si>
    <t>14-052026</t>
  </si>
  <si>
    <t xml:space="preserve">FINAL 2073 -  ALFACE PARA PRODUÇÃO NÃO VEIO NO PEDIDO  REF 05/2026
</t>
  </si>
  <si>
    <t>15-052026</t>
  </si>
  <si>
    <t xml:space="preserve">FINAL 2073 -  PAO PARA PRODUÇÃO NÃO VEIO NO PEDIDO  REF 05/2026
</t>
  </si>
  <si>
    <t>16-052026</t>
  </si>
  <si>
    <t xml:space="preserve">FINAL 2073 -  BERINJELA PARA PRODUÇÃO NÃO VEIO NO PEDIDO  REF 05/2026
</t>
  </si>
  <si>
    <t>9-052026</t>
  </si>
  <si>
    <t xml:space="preserve">FINAL 2073 -  OVO PARA PRODUÇÃO NÃO VEIO NO PEDIDO  REF 05/2026
</t>
  </si>
  <si>
    <t>18-05206</t>
  </si>
  <si>
    <t xml:space="preserve">FINAL 2073 -  BANANA PARA PRODUÇÃO NÃO VEIO NO PEDIDO  REF 05/2026
</t>
  </si>
  <si>
    <t>19-052026</t>
  </si>
  <si>
    <t xml:space="preserve">FINAL 2073 -  CANETA PARA ESCRITORIO E SALAO  REF 05/2026
</t>
  </si>
  <si>
    <t>20-052026</t>
  </si>
  <si>
    <t xml:space="preserve">FINAL 2073 -  SACOLAS PARA VIAGEM NÃO VEIO NO PEDIDO  REF 05/2026
</t>
  </si>
  <si>
    <t>1PETTY052026</t>
  </si>
  <si>
    <t xml:space="preserve">FINAL 2073 -  COUVE PARA PRODUÇÃO NÃO VEIO NO PEDIDO  REF 05/2026
</t>
  </si>
  <si>
    <t>21-052026</t>
  </si>
  <si>
    <t xml:space="preserve">FINAL 2073 -  LEITE CONDENSADO PARA PRODUÇÃO NÃO VEIO NO PEDIDO  REF 05/2026
</t>
  </si>
  <si>
    <t>43-052026</t>
  </si>
  <si>
    <t>4-052026</t>
  </si>
  <si>
    <t xml:space="preserve">FINAL 2073 -  TAMPA  PARA COZINHA UTENSILIOS EM FALTA  REF 05/2026
</t>
  </si>
  <si>
    <t>3-052026</t>
  </si>
  <si>
    <t xml:space="preserve">FINAL 2073 -  FARINHA PARA PRODUÇÃO NÃO VEIO NO PEDIDO  REF 05/2026
</t>
  </si>
  <si>
    <t>2-052026</t>
  </si>
  <si>
    <t>MF CORDEIRO COM BEBIDAS</t>
  </si>
  <si>
    <t>35131</t>
  </si>
  <si>
    <t>LOCACAO DE CHOPEIRA EVENTO APAS SHOW 18 A 22 DE MAIO REF 05/2026</t>
  </si>
  <si>
    <t>REC 339000 052026</t>
  </si>
  <si>
    <t>GORJETA REFERENTE AO PERIODO 20/04/2026 A 19/05/2026</t>
  </si>
  <si>
    <t>5-052026</t>
  </si>
  <si>
    <t xml:space="preserve">FINAL 2073 -  LINGUIÇA PARA PRODUÇÃO NÃO VEIO NO PEDIDO  REF 05/2026
</t>
  </si>
  <si>
    <t>40-052026</t>
  </si>
  <si>
    <t>41-052026</t>
  </si>
  <si>
    <t>42-052026</t>
  </si>
  <si>
    <t xml:space="preserve">FINAL 2073 - BANANA PARA PRODUÇÃO NÃO VEIO NO PEDIDO  REF 05/2026
</t>
  </si>
  <si>
    <t>6-052026</t>
  </si>
  <si>
    <t xml:space="preserve">FINAL 2073 -  POTES  PARA COZINHA UTENSILIOS EM FALTA  REF 05/2026
</t>
  </si>
  <si>
    <t>7-052026</t>
  </si>
  <si>
    <t xml:space="preserve">FINAL 2073 -  PIMENTA PARA PRODUÇÃO NÃO VEIO NO PEDIDO  REF 05/2026
</t>
  </si>
  <si>
    <t>8-052026</t>
  </si>
  <si>
    <t>38-042026</t>
  </si>
  <si>
    <t xml:space="preserve"> FINAL 2073 - COENTRO PARA PRODUÇÃO NÃO VEIO NO PEDIDO  REF 04/2026
</t>
  </si>
  <si>
    <t>32-052026</t>
  </si>
  <si>
    <t xml:space="preserve">FINAL 2073 -  PRATOS  PARA SALAO UTENSILIOS EM FALTA  REF 05/2026
</t>
  </si>
  <si>
    <t>31-052026</t>
  </si>
  <si>
    <t xml:space="preserve">FINAL 2073 -  PECAS PARA MANUTENCAO PREVENTIVA  REF 05/2026
</t>
  </si>
  <si>
    <t>30-052026</t>
  </si>
  <si>
    <t xml:space="preserve">FINAL 2073 -  FACAS E UTENSILIOS PARA COZINHA UTENSILIOS EM FALTA  REF 05/2026
</t>
  </si>
  <si>
    <t>Z0101 - Ref.:8 Smartpos R$20 cada</t>
  </si>
  <si>
    <t>Z0101 - Aluguel de 3 PDVs a R$20 cada</t>
  </si>
  <si>
    <t>Z0101 - Ref.:2 Pdv's R$20 cada</t>
  </si>
  <si>
    <t>29-052026</t>
  </si>
  <si>
    <t xml:space="preserve">FINAL 2073 -  COLHER  PARA COZINHA UTENSILIOS EM FALTA  REF 05/2026
</t>
  </si>
  <si>
    <t>28-052026</t>
  </si>
  <si>
    <t xml:space="preserve">FINAL 2073 -  BROCA PARA MANUTENCAO PREVENTIVA  REF 05/2026
</t>
  </si>
  <si>
    <t>44-052026</t>
  </si>
  <si>
    <t>33-052026</t>
  </si>
  <si>
    <t xml:space="preserve">FINAL 2073 -  BORDADOS UNIFORMES  REF 05/2026
</t>
  </si>
  <si>
    <t>34-052026</t>
  </si>
  <si>
    <t xml:space="preserve">FINAL 2073 -  DETERGENTE NÃO VEIO NO PEDIDO  REF 05/2026
</t>
  </si>
  <si>
    <t>35-052026</t>
  </si>
  <si>
    <t xml:space="preserve">FINAL 2073 -  PECAS EM INOX PARA COZINHA UTENSILIOS EM FALTA  REF 05/2026
</t>
  </si>
  <si>
    <t>36-052026</t>
  </si>
  <si>
    <t xml:space="preserve">FINAL 2073 -  MECANISMO BLUNK PARA MANUTENCAO PREVENTIVA  REF 05/2026
</t>
  </si>
  <si>
    <t>366</t>
  </si>
  <si>
    <t>SISTEMA DE DISPAROS -  DIONISIO IA REF 05 /2026</t>
  </si>
  <si>
    <t>25-052026</t>
  </si>
  <si>
    <t xml:space="preserve">FINAL 2073 -  FORMINHAS PARA COZINHA UTENSILIOS EM FALTA  REF 05/2026
</t>
  </si>
  <si>
    <t>22-052026</t>
  </si>
  <si>
    <t xml:space="preserve">FINAL 2073 -  AGRIAO PARA PRODUÇÃO NÃO VEIO NO PEDIDO  REF 05/2026
</t>
  </si>
  <si>
    <t>45-052026</t>
  </si>
  <si>
    <t>23-052026</t>
  </si>
  <si>
    <t xml:space="preserve">FINAL 2073 -  VALVULA PARA PANELA DE PRESSAO A ANTIGA ABRIU  REF 05/2026
</t>
  </si>
  <si>
    <t>24-052026</t>
  </si>
  <si>
    <t>78802</t>
  </si>
  <si>
    <t>IRRF DE ALUGUEL 05/2026</t>
  </si>
  <si>
    <t>26-052026</t>
  </si>
  <si>
    <t>27-052026</t>
  </si>
  <si>
    <t xml:space="preserve">FINAL 2073 - CADEADO PARA ESTOQUE  REF 05/2026
</t>
  </si>
  <si>
    <t xml:space="preserve">801901829 </t>
  </si>
  <si>
    <t>MAO DE OBRA EXTRA DE  01/05 A 03/05 REF 05/2026</t>
  </si>
  <si>
    <t>39-052026</t>
  </si>
  <si>
    <t>38-052026</t>
  </si>
  <si>
    <t>37-052026</t>
  </si>
  <si>
    <t xml:space="preserve">FINAL 2073 - DISPENSER PARA COZINHA UTENSILIOS EM FALTA  REF 05/2026
</t>
  </si>
  <si>
    <t>61</t>
  </si>
  <si>
    <t>186466</t>
  </si>
  <si>
    <t xml:space="preserve">MENSALIDADE ABRASEL REF  05/2026
</t>
  </si>
  <si>
    <t>052026</t>
  </si>
  <si>
    <t>CARTAO FINAL 2333 - MUSICA AMBIENTE REF  05/2026</t>
  </si>
  <si>
    <t>363188</t>
  </si>
  <si>
    <t xml:space="preserve">DESPESAS BANCARIAS - MENSALIDADE KAMINO REF 05/2026
</t>
  </si>
  <si>
    <t>179555 052026</t>
  </si>
  <si>
    <t>160</t>
  </si>
  <si>
    <t xml:space="preserve">MENSALIDADE - MANUTENÇÃO REF  05/2026
</t>
  </si>
  <si>
    <t>54041</t>
  </si>
  <si>
    <t xml:space="preserve">COLETA DE LIXO E RESIDUOS REF 05/2026
</t>
  </si>
  <si>
    <t>REC 135000 052026</t>
  </si>
  <si>
    <t>899925757114</t>
  </si>
  <si>
    <t xml:space="preserve">INTERNET - CONTA 8999 2575 7114 REF 05 /2026
</t>
  </si>
  <si>
    <t xml:space="preserve">SEGURANÇA NOTURNO REF 05/2025
</t>
  </si>
  <si>
    <t>693</t>
  </si>
  <si>
    <t xml:space="preserve">ASSESSORIA DE IMPRENSA REF  05/2026
</t>
  </si>
  <si>
    <t>72497 052026</t>
  </si>
  <si>
    <t>139</t>
  </si>
  <si>
    <t>D.D.T. SERVICE SOCIEDADE EMPRESARIAL LTDA</t>
  </si>
  <si>
    <t>4736</t>
  </si>
  <si>
    <t>DEDETIZACAO CONTROLE DE PRAGAS REF  05/2026</t>
  </si>
  <si>
    <t>164</t>
  </si>
  <si>
    <t>CLIENTE OCULTO REF 05 /2026</t>
  </si>
  <si>
    <t xml:space="preserve"> ALUGUEL MENSAL - CONTRATO 36 MESES - PERIODO 01/11/2025 A 31/10/2028 - DESCONTO DE 5% NOS 12 PRIMEIROS MESES</t>
  </si>
  <si>
    <t>202646951356</t>
  </si>
  <si>
    <t xml:space="preserve">AGUA / ESGOTO - FORNECIMENTO 86040722721010 REF 05 /2026
</t>
  </si>
  <si>
    <t>2656052026</t>
  </si>
  <si>
    <t>PAGAMENTO PRESTADORES ARMINDO/ JOSE/ LUIZ -.REF 05/2025</t>
  </si>
  <si>
    <t>IPTU REF 05/2026</t>
  </si>
  <si>
    <t>2145</t>
  </si>
  <si>
    <t xml:space="preserve"> ASSESSORIA GERAL NUTRICIONISTA REF  05/2026</t>
  </si>
  <si>
    <t>6/30</t>
  </si>
  <si>
    <t>ADIANTAMENTO PRESTADORES ARMINDO/ JOSE/ LUIZ -.REF 05/2025</t>
  </si>
  <si>
    <t>145293904</t>
  </si>
  <si>
    <t xml:space="preserve">COMGAS USUARIO 60834854 - REF  05/2026
</t>
  </si>
  <si>
    <t>105</t>
  </si>
  <si>
    <t>50</t>
  </si>
  <si>
    <t>1272026</t>
  </si>
  <si>
    <t xml:space="preserve">AGENCIA DE PROPAGANDA MENSALIDADE SANDUICHE REF 05 /2026
</t>
  </si>
  <si>
    <t>9357</t>
  </si>
  <si>
    <t xml:space="preserve">WIFI CONVIDADOS GERENCIAMENTO DE REDE AUTENTICACAO DE ACESSOS DE USUARIOS REF 05/2026
</t>
  </si>
  <si>
    <t>112</t>
  </si>
  <si>
    <t>6922 052026</t>
  </si>
  <si>
    <t>01052026</t>
  </si>
  <si>
    <t xml:space="preserve">AJUDA DE CUSTO FREXOS 01/03 REF 05/2026
</t>
  </si>
  <si>
    <t>5392</t>
  </si>
  <si>
    <t>LOCACAO DE IMPRESSORA REF  05/2026</t>
  </si>
  <si>
    <t>11309</t>
  </si>
  <si>
    <t>MENSALIDADE - CONTRATO : M145/24 RPS 15491 REF  05/2026</t>
  </si>
  <si>
    <t>297</t>
  </si>
  <si>
    <t>SERVIÇOS DE SEGURANÇA PERIODO DE 16 A 30  REF 04 /2026</t>
  </si>
  <si>
    <t>171460 042026</t>
  </si>
  <si>
    <t>IRRF - 04/2026.</t>
  </si>
  <si>
    <t>222547 042026</t>
  </si>
  <si>
    <t xml:space="preserve">GUIA FGTS - 04/2026 </t>
  </si>
  <si>
    <t>290899 042026</t>
  </si>
  <si>
    <t>INSS Segurados - 04/2026</t>
  </si>
  <si>
    <t>ABRIL2026</t>
  </si>
  <si>
    <t>3890</t>
  </si>
  <si>
    <t>MAO DE OBRA EXTRA DE  27/04 A 30/04 REF 04/2026</t>
  </si>
  <si>
    <t>250</t>
  </si>
  <si>
    <t>SISTEMA DE DISPAROS -  DIONISIO IA REF  04/2026</t>
  </si>
  <si>
    <t xml:space="preserve">IFOOD. COM AGENCIA DE RESTAURANTES ONLINE S.A </t>
  </si>
  <si>
    <t xml:space="preserve"> TAXA DELIVERY</t>
  </si>
  <si>
    <t>REC 371000 042026</t>
  </si>
  <si>
    <t>GORJETA REFERENTE AO PERÍODO DE 20/03/2026 A 19/04/2026</t>
  </si>
  <si>
    <t>796604402</t>
  </si>
  <si>
    <t>CACHE ARTISTAS PERIODO DE 20/04 A 26/04 REF 04/2026</t>
  </si>
  <si>
    <t>796477243</t>
  </si>
  <si>
    <t>MAO DE OBRA EXTRA DE 20/04 A 26/04 REF 04/2026</t>
  </si>
  <si>
    <t>042026</t>
  </si>
  <si>
    <t>GORJETA PRESTADORES ARMINDO/ JOSE/ LUIZ - PERIODO 20/03 A 19/04 REF 04/2025</t>
  </si>
  <si>
    <t>PARC17/35</t>
  </si>
  <si>
    <t>791970343</t>
  </si>
  <si>
    <t>CACHE ARTISTAS PERIODO DE 13/04 A 19/04 REF 04/2026</t>
  </si>
  <si>
    <t xml:space="preserve">IMPRESSAO ARTES GRAFICAS LTDA </t>
  </si>
  <si>
    <t>7896</t>
  </si>
  <si>
    <t>MATERIAL INSTITUCIONAL FLYER PARA DELIVERY REF 04/2026</t>
  </si>
  <si>
    <t>791876778</t>
  </si>
  <si>
    <t>MAO DE OBRA EXTRA DE 13/04 A 19/04 REF 04/2026</t>
  </si>
  <si>
    <t xml:space="preserve">2036425881 </t>
  </si>
  <si>
    <t xml:space="preserve">CONTA 8999 2578 0713 REF  04/2026
</t>
  </si>
  <si>
    <t>787117406</t>
  </si>
  <si>
    <t>CACHE ARTISTAS PERIODO DE06/04 A 12/04 REF 04/2026</t>
  </si>
  <si>
    <t>15042026</t>
  </si>
  <si>
    <t xml:space="preserve">AJUDA DE CUSTO FREXOS 03/03 REF 04/2026
</t>
  </si>
  <si>
    <t>279</t>
  </si>
  <si>
    <t xml:space="preserve">MENSALIDADE USO DA PLATAFORMA BLUEME  REF 04/2026
</t>
  </si>
  <si>
    <t>280</t>
  </si>
  <si>
    <t>SERVIÇOS DE SEGURANÇA PERIODO DE 01/04 A 15/04 REF  04/2026</t>
  </si>
  <si>
    <t>Rateamento de 127 - Bar Léo - Centro (3.8456%)</t>
  </si>
  <si>
    <t>ARMINDO DA SILVA FREITAS</t>
  </si>
  <si>
    <t>142026</t>
  </si>
  <si>
    <t>REEMBOLSO MANUTECAO ESPELHO DO BAR QUE QUEBROU REF 04/2026</t>
  </si>
  <si>
    <t>786969428</t>
  </si>
  <si>
    <t>MAO DE OBRA EXTRA DE 06/04 A 12/04 REF 04/2026</t>
  </si>
  <si>
    <t xml:space="preserve">54148751 </t>
  </si>
  <si>
    <t xml:space="preserve">ENERGIA ELETRICA INST 58672109 REF 04/2026
</t>
  </si>
  <si>
    <t xml:space="preserve">35629 </t>
  </si>
  <si>
    <t>LOCAÇÃO DE EQUIPAMENTOS DISPENSER FIO DENTAL, ESSENCIA ,ODORIZADOR REF 04/2026</t>
  </si>
  <si>
    <t>ELLOHUB PRINT MKT ONLINE E OFFLINE LTDA</t>
  </si>
  <si>
    <t>368</t>
  </si>
  <si>
    <t>Rateamento de 127 - Bar Léo - Centro (33.40%)</t>
  </si>
  <si>
    <t>1/12 ADESÃO</t>
  </si>
  <si>
    <t xml:space="preserve">781568201 </t>
  </si>
  <si>
    <t>CACHE ARTISTAS PERIODO DE 01/04 A 05/04 REF 04/2026</t>
  </si>
  <si>
    <t>08042026</t>
  </si>
  <si>
    <t xml:space="preserve">AJUDA DE CUSTO FREXOS 02/03 REF 04/2026
</t>
  </si>
  <si>
    <t xml:space="preserve">54148752 </t>
  </si>
  <si>
    <t>IOF s/ Operações Financeiras</t>
  </si>
  <si>
    <t>4539042026</t>
  </si>
  <si>
    <t>Rateamento de 127 - Bar Léo - Centro (7.69%)</t>
  </si>
  <si>
    <t>1076042026</t>
  </si>
  <si>
    <t xml:space="preserve">781484336 </t>
  </si>
  <si>
    <t>MAO DE OBRA EXTRA DE 01/04 A 05/04 REF 04/2026</t>
  </si>
  <si>
    <t>6-042026</t>
  </si>
  <si>
    <t xml:space="preserve">FINAL 2073 - FARINHA  PARA PRODUÇÃO NÃO VEIO NO PEDIDO  REF 04/2026
</t>
  </si>
  <si>
    <t>18-042026FINAL 2073 - LARANJA PARA PRODUÇÃO NÃO VEIO NO PEDIDO  REF 04/2026</t>
  </si>
  <si>
    <t xml:space="preserve">FINAL 2073 - LARANJA PARA PRODUÇÃO NÃO VEIO NO PEDIDO  REF 04/2026
</t>
  </si>
  <si>
    <t>17-042026</t>
  </si>
  <si>
    <t xml:space="preserve">FINAL 2073 - CLIPS PARA ESCRITORIO  REF 04/2026
</t>
  </si>
  <si>
    <t>16-042026</t>
  </si>
  <si>
    <t>15-042026</t>
  </si>
  <si>
    <t xml:space="preserve">FINAL 2073 - PINOS E TOMADA  MANUTENÇÃO PREVENTIVA REF 04/2026
</t>
  </si>
  <si>
    <t>14-042026</t>
  </si>
  <si>
    <t xml:space="preserve">FINAL 2073 - FOLHAS PARA PRODUÇÃO NÃO VEIO NO PEDIDO  REF 04/2026
</t>
  </si>
  <si>
    <t>13-042026</t>
  </si>
  <si>
    <t xml:space="preserve">FINAL 2073 - CANETAS PARA SALAO REF 04/2026
</t>
  </si>
  <si>
    <t>12-042026</t>
  </si>
  <si>
    <t>11-042026</t>
  </si>
  <si>
    <t xml:space="preserve">FINAL 2073 - AGRIAO PARA PRODUÇÃO NÃO VEIO NO PEDIDO  REF 04/2026
</t>
  </si>
  <si>
    <t>10-042026</t>
  </si>
  <si>
    <t>9-042026</t>
  </si>
  <si>
    <t>8-042026</t>
  </si>
  <si>
    <t xml:space="preserve"> FINAL 2073 - LIMAO  PARA PRODUÇÃO NÃO VEIO NO PEDIDO  REF 04/2026
</t>
  </si>
  <si>
    <t>7-042026</t>
  </si>
  <si>
    <t xml:space="preserve">FINAL 2073 - COENTRO  PARA PRODUÇÃO NÃO VEIO NO PEDIDO  REF 04/2026
</t>
  </si>
  <si>
    <t>19-042026</t>
  </si>
  <si>
    <t xml:space="preserve">FINAL 2073 -  MANTEIGA  PARA PRODUÇÃO NÃO VEIO NO PEDIDO  REF 04/2026
</t>
  </si>
  <si>
    <t>5-042026</t>
  </si>
  <si>
    <t xml:space="preserve">FINAL 2073 - PAO  PARA PRODUÇÃO NÃO VEIO NO PEDIDO  REF 04/2026
</t>
  </si>
  <si>
    <t>4-042026</t>
  </si>
  <si>
    <t>3-042026</t>
  </si>
  <si>
    <t xml:space="preserve">FINAL 2073 - COUVE PARA PRODUÇÃO NÃO VEIO NO PEDIDO  REF 04/2026
</t>
  </si>
  <si>
    <t>2-042026</t>
  </si>
  <si>
    <t xml:space="preserve">FINAL 2073 - AZEITE PARA PRODUÇÃO NÃO VEIO NO PEDIDO  REF 04/2026
</t>
  </si>
  <si>
    <t>1-042026</t>
  </si>
  <si>
    <t xml:space="preserve">FINAL 2073 - MELACO PARA PRODUÇÃO NÃO VEIO NO PEDIDO  REF 04/2026
</t>
  </si>
  <si>
    <t>VORTEX LIMPACOIFA SISTEMAS DE VENTILAÇÃO LTDA</t>
  </si>
  <si>
    <t>399</t>
  </si>
  <si>
    <t>MANUTENÇÃO PREVENTIVA DO SISTEMA DE EXAUSTÃO DE COZINHA INDUSTRIAL REF 04/2026</t>
  </si>
  <si>
    <t>IN-2026-0183542</t>
  </si>
  <si>
    <t>713121 042026</t>
  </si>
  <si>
    <t>04/2026 - Férias -  30 dias 22/04/2026</t>
  </si>
  <si>
    <t>MAO DE OBRA EXTRA DE 30 E 31/03 REF 03/2026</t>
  </si>
  <si>
    <t>906795042026</t>
  </si>
  <si>
    <t xml:space="preserve">  IRRF DE ALUGUEL 04/2026</t>
  </si>
  <si>
    <t>776223771</t>
  </si>
  <si>
    <t>CACHE ARTISTAS PERIODO DE 23/03 A 29/03 REF 03/2026</t>
  </si>
  <si>
    <t>31-042026</t>
  </si>
  <si>
    <t>39-042026</t>
  </si>
  <si>
    <t xml:space="preserve">FINAL 2073 - GAS RECARGA DE EMERGENCIA REF 04/2026
</t>
  </si>
  <si>
    <t>37-042026</t>
  </si>
  <si>
    <t>36-042026</t>
  </si>
  <si>
    <t>35-042026</t>
  </si>
  <si>
    <t>34-042026</t>
  </si>
  <si>
    <t>33-042026</t>
  </si>
  <si>
    <t xml:space="preserve">FINAL 2073 - CANELA  PARA PRODUÇÃO NÃO VEIO NO PEDIDO  REF 04/2026
</t>
  </si>
  <si>
    <t>32-042026</t>
  </si>
  <si>
    <t>30-042026</t>
  </si>
  <si>
    <t xml:space="preserve">FINAL 2073 - BARRA E DOBRADICA  MANUTENÇÃO PREVENTIVA REF 04/2026
</t>
  </si>
  <si>
    <t>29-042026</t>
  </si>
  <si>
    <t xml:space="preserve">FINAL 2073 - SACOS ALVEJADOS NÃO VEIO NO PEDIDO REF 04/2026
</t>
  </si>
  <si>
    <t>28-042026</t>
  </si>
  <si>
    <t xml:space="preserve">FINAL 2073 - BOIDACASPER REF 04/2026
</t>
  </si>
  <si>
    <t>27-042026</t>
  </si>
  <si>
    <t xml:space="preserve">FINAL 2073 - BIFES  PARA PRODUÇÃO NÃO VEIO NO PEDIDO  REF 04/2026
</t>
  </si>
  <si>
    <t>26-042026</t>
  </si>
  <si>
    <t xml:space="preserve">FINAL 2073 - DETERGENTE NÃO VEIO NO PEDIDO REF 04/2026
</t>
  </si>
  <si>
    <t>25-042026</t>
  </si>
  <si>
    <t xml:space="preserve">FINAL 2073 - SALSA  PARA PRODUÇÃO NÃO VEIO NO PEDIDO  REF 04/2026
</t>
  </si>
  <si>
    <t>24-042026</t>
  </si>
  <si>
    <t>23-042026</t>
  </si>
  <si>
    <t>22-042026</t>
  </si>
  <si>
    <t xml:space="preserve">FINAL 2073 - CONCERTO PORTA  MANUTENÇÃO PREVENTIVA REF 04/2026
</t>
  </si>
  <si>
    <t>21-042026</t>
  </si>
  <si>
    <t xml:space="preserve"> FINAL 2073 - FARINHA  PARA PRODUÇÃO NÃO VEIO NO PEDIDO  REF 04/2026
</t>
  </si>
  <si>
    <t>20-042026</t>
  </si>
  <si>
    <t xml:space="preserve">FINAL 2073 -  BEASY RIO PRETO APOIO REF 04/2026
</t>
  </si>
  <si>
    <t>78528</t>
  </si>
  <si>
    <t>IPTU REF  04/2026</t>
  </si>
  <si>
    <t>10467</t>
  </si>
  <si>
    <t xml:space="preserve">  DESPESAS BANCARIAS - MENSALIDADE KAMINO REF 04/2026
</t>
  </si>
  <si>
    <t>REC 135000 042026</t>
  </si>
  <si>
    <t>104</t>
  </si>
  <si>
    <t xml:space="preserve">SISTEMA DE MONITORAMENTO REF 04/2026
</t>
  </si>
  <si>
    <t>53740</t>
  </si>
  <si>
    <t xml:space="preserve">COLETA DE LIXO E RESIDUOS REF 04/2026
</t>
  </si>
  <si>
    <t>9231</t>
  </si>
  <si>
    <t xml:space="preserve">WIFI CONVIDADOS GERENCIAMENTO DE REDE AUTENTICACAO DE ACESSOS DE USUARIOS REF 04/2026
</t>
  </si>
  <si>
    <t xml:space="preserve">2034133605 </t>
  </si>
  <si>
    <t xml:space="preserve">INTERNET - CONTA 8999 2575 7114 REF  04/2026
</t>
  </si>
  <si>
    <t>110</t>
  </si>
  <si>
    <t>1172026</t>
  </si>
  <si>
    <t xml:space="preserve">AGENCIA DE PROPAGANDA MENSALIDADE SANDUICHE REF  05/2026
</t>
  </si>
  <si>
    <t>2656042026</t>
  </si>
  <si>
    <t>PAGAMENTO PRESTADORES ARMINDO/ JOSE/ LUIZ -.REF 04/2025</t>
  </si>
  <si>
    <t xml:space="preserve">    ALUGUEL MENSAL - CONTRATO 36 MESES - PERIODO 01/11/2025 A 31/10/2028 - DESCONTO DE 5% NOS 12 PRIMEIROS MESES</t>
  </si>
  <si>
    <t>5255</t>
  </si>
  <si>
    <t>LOCACAO DE IMPRESSORA REF  04/2026</t>
  </si>
  <si>
    <t>48</t>
  </si>
  <si>
    <t>4639</t>
  </si>
  <si>
    <t>DEDETIZACAO CONTROLE DE PRAGAS REF 04 /2026</t>
  </si>
  <si>
    <t>6922 042026</t>
  </si>
  <si>
    <t>2075</t>
  </si>
  <si>
    <t xml:space="preserve">  ASSESSORIA GERAL NUTRICIONISTA REF  04/2026</t>
  </si>
  <si>
    <t>5/30</t>
  </si>
  <si>
    <t>01042026</t>
  </si>
  <si>
    <t xml:space="preserve">AJUDA DE CUSTO FREXOS 01/03 REF 04/2026
</t>
  </si>
  <si>
    <t xml:space="preserve">143515328 </t>
  </si>
  <si>
    <t xml:space="preserve">COMGAS USUARIO 60834854 - REF  04/2026
</t>
  </si>
  <si>
    <t>69846 042026</t>
  </si>
  <si>
    <t>91</t>
  </si>
  <si>
    <t>ADIANTAMENTO PRESTADORES ARMINDO/ JOSE/ LUIZ -.REF 04 /2025</t>
  </si>
  <si>
    <t xml:space="preserve">8604072721010 </t>
  </si>
  <si>
    <t xml:space="preserve">AGUA / ESGOTO - FORNECIMENTO 86040722721010 REF  04/2026
</t>
  </si>
  <si>
    <t>SEGURANÇA NOTURNO REF 04/2026</t>
  </si>
  <si>
    <t>153</t>
  </si>
  <si>
    <t xml:space="preserve">MENSALIDADE - MANUTENÇÃO REF  04/2026
</t>
  </si>
  <si>
    <t>REC 200000 042026</t>
  </si>
  <si>
    <t>757527955</t>
  </si>
  <si>
    <t>CLIENTE OCULTO REF  03/2026</t>
  </si>
  <si>
    <t xml:space="preserve">185721 </t>
  </si>
  <si>
    <t xml:space="preserve">MENSALIDADE ABRASEL REF  04/2026
</t>
  </si>
  <si>
    <t>60</t>
  </si>
  <si>
    <t xml:space="preserve">11162 </t>
  </si>
  <si>
    <t>MENSALIDADE - CONTRATO : M145/24 RPS 15297 REF 04/ 2026</t>
  </si>
  <si>
    <t>CARTAO FINAL 2333 - MUSICA AMBIENTE REF  04/2026</t>
  </si>
  <si>
    <t>147452 042026</t>
  </si>
  <si>
    <t>677</t>
  </si>
  <si>
    <t xml:space="preserve">ASSESSORIA DE IMPRENSA REF 04/2026
</t>
  </si>
  <si>
    <t>IN-2026-0123494</t>
  </si>
  <si>
    <t>INV13501114</t>
  </si>
  <si>
    <t>Rateamento de 127 - Bar Léo - Centro (20%)</t>
  </si>
  <si>
    <t>KEETA DELIVERY BRASIL LTDA</t>
  </si>
  <si>
    <t xml:space="preserve"> TAXA DELIVERY </t>
  </si>
  <si>
    <t>MAR2026</t>
  </si>
  <si>
    <t>IRRF PRESTADOR PJ - NF 10780 MACRO CONTABILIDADE</t>
  </si>
  <si>
    <t>34018 032026</t>
  </si>
  <si>
    <t>IRRF - 03/2026</t>
  </si>
  <si>
    <t>3114</t>
  </si>
  <si>
    <t>COMP. 03/2026</t>
  </si>
  <si>
    <t>775946851</t>
  </si>
  <si>
    <t>MAO DE OBRA EXTRA DE 23/03 A 29/03 REF 03/2026</t>
  </si>
  <si>
    <t>186320 032026</t>
  </si>
  <si>
    <t xml:space="preserve">03/2026 - FGTS </t>
  </si>
  <si>
    <t>229326 032026</t>
  </si>
  <si>
    <t>INSS Segurados - 03-2026</t>
  </si>
  <si>
    <t>252</t>
  </si>
  <si>
    <t xml:space="preserve"> SERVIÇOS DE SEGURANÇA PERIODO DE 16/03 A 30/03  REF  03/2026</t>
  </si>
  <si>
    <t>SIMPLES 03/2026</t>
  </si>
  <si>
    <t>ACORDO 4/4</t>
  </si>
  <si>
    <t xml:space="preserve">  DARF IRRF ACORDO PARCELA 4/4.</t>
  </si>
  <si>
    <t>8640032026</t>
  </si>
  <si>
    <t>GORJETA PRESTADORES ARMINDO/ JOSE/ LUIZ - PERIODO 20 A 19.REF 03/2025</t>
  </si>
  <si>
    <t xml:space="preserve">773634651 </t>
  </si>
  <si>
    <t>CACHE ARTISTAS PERIODO DE16/03 A 22/03 REF 03/2026</t>
  </si>
  <si>
    <t>PARC16/35</t>
  </si>
  <si>
    <t xml:space="preserve">771119453 </t>
  </si>
  <si>
    <t>MAO DE OBRA EXTRA DE 16/03 A 22/03  REF 03/2026</t>
  </si>
  <si>
    <t xml:space="preserve">2029880228 </t>
  </si>
  <si>
    <t xml:space="preserve">CONTA 8999 2578 0713 REF  03/2026
</t>
  </si>
  <si>
    <t xml:space="preserve">768032183 </t>
  </si>
  <si>
    <t>CACHE ARTISTAS PERIODO DE 09/03 A 15/03 REF 03/2026</t>
  </si>
  <si>
    <t>7814</t>
  </si>
  <si>
    <t>MATERIAL INSTITUCIONAL FLYER PARA DELIVERY  REF 03/2026</t>
  </si>
  <si>
    <t>132636</t>
  </si>
  <si>
    <t>132031</t>
  </si>
  <si>
    <t>JND SOLUCOES TECNICAS EIRELI</t>
  </si>
  <si>
    <t>8305</t>
  </si>
  <si>
    <t>ANÁLISE DE ÁGUA DE 1 PONTO DE COLETA REF 03/2026.</t>
  </si>
  <si>
    <t>766249883</t>
  </si>
  <si>
    <t>MAO DE OBRA EXTRA DE 09/03 A 15/03 REF 03/2026</t>
  </si>
  <si>
    <t>222</t>
  </si>
  <si>
    <t xml:space="preserve"> SERVIÇOS DE SEGURANÇA PERIODO DE 01/03  A 15/03  REF 03 /2026</t>
  </si>
  <si>
    <t>264</t>
  </si>
  <si>
    <t xml:space="preserve">MENSALIDADE USO DA PLATAFORMA BLUEME REF 03 /2026
</t>
  </si>
  <si>
    <t>16032026</t>
  </si>
  <si>
    <t xml:space="preserve"> AJUDA DE CUSTO FREXOS 03/03 REF 03/2026
</t>
  </si>
  <si>
    <t>Rateamento de 127 - Bar Léo - Centro (4.2078%)</t>
  </si>
  <si>
    <t xml:space="preserve">45606984 </t>
  </si>
  <si>
    <t xml:space="preserve">ENERGIA ELETRICA INST 58672109 REF 03/2026
</t>
  </si>
  <si>
    <t>35093</t>
  </si>
  <si>
    <t>LOCAÇÃO DE EQUIPAMENTOS DISPENSER FIO DENTAL, ESSENCIA ,ODORIZADOR REF 03/2026</t>
  </si>
  <si>
    <t>761193413</t>
  </si>
  <si>
    <t>CACHE ARTISTAS PERIODO DE 02/03 A 08/03  REF 03/2026</t>
  </si>
  <si>
    <t>761049675</t>
  </si>
  <si>
    <t>MAO DE OBRA EXTRA DE02/03 A 08/03 REF 02/2026</t>
  </si>
  <si>
    <t xml:space="preserve">45606985 </t>
  </si>
  <si>
    <t xml:space="preserve">ENERGIA ELETRICA INST 58672117 REF 03/2026
</t>
  </si>
  <si>
    <t>09032026</t>
  </si>
  <si>
    <t xml:space="preserve">AJUDA DE CUSTO FREXOS 02/03 REF 03/2026
</t>
  </si>
  <si>
    <t>755235552</t>
  </si>
  <si>
    <t>MAO DE OBRA EXTRA DE 23/02 A 28/02 REF 02/2026</t>
  </si>
  <si>
    <t>032026</t>
  </si>
  <si>
    <t xml:space="preserve">FINAL 0028 MARKETING - FACEBOOK - REF 03/2026
</t>
  </si>
  <si>
    <t>01032026</t>
  </si>
  <si>
    <t xml:space="preserve">AJUDA DE CUSTO FREXOS 01/03 REF 03 /2026
</t>
  </si>
  <si>
    <t>168928 032026</t>
  </si>
  <si>
    <t>78238</t>
  </si>
  <si>
    <t>IPTU REF  03/2026</t>
  </si>
  <si>
    <t xml:space="preserve">  ALUGUEL MENSAL - CONTRATO 36 MESES - PERIODO 01/11/2025 A 31/10/2028 - DESCONTO DE 5% NOS 12 PRIMEIROS MESES</t>
  </si>
  <si>
    <t xml:space="preserve">  CARTAO FINAL 2333 - MUSICA AMBIENTE REF 03 /2026</t>
  </si>
  <si>
    <t xml:space="preserve"> RENOVAÇÃO DO ARRENDAMENTO - 01/2025</t>
  </si>
  <si>
    <t>71346 032026</t>
  </si>
  <si>
    <t xml:space="preserve">7852514 </t>
  </si>
  <si>
    <t xml:space="preserve">DESPESAS BANCARIAS - MENSALIDADE KAMINO REF 03/2026
</t>
  </si>
  <si>
    <t>5127</t>
  </si>
  <si>
    <t>LOCACAO DE IMPRESSORA REF 03 /2026</t>
  </si>
  <si>
    <t>491380 032026</t>
  </si>
  <si>
    <t>03/2026 - FÉRIAS 30 DIAS INÍCIO EM 23/03/2026.</t>
  </si>
  <si>
    <t>144</t>
  </si>
  <si>
    <t xml:space="preserve">MENSALIDADE - MANUTENÇÃO REF 02 /2026
</t>
  </si>
  <si>
    <t>671</t>
  </si>
  <si>
    <t xml:space="preserve">ASSESSORIA DE IMPRENSA REF  03/2026
</t>
  </si>
  <si>
    <t>9105</t>
  </si>
  <si>
    <t xml:space="preserve">WIFI CONVIDADOS GERENCIAMENTO DE REDE AUTENTICACAO DE ACESSOS DE USUARIOS REF 03/2026
</t>
  </si>
  <si>
    <t>1072026</t>
  </si>
  <si>
    <t xml:space="preserve">AGENCIA DE PROPAGANDA MENSALIDADE SANDUICHE REF 03 /2026
</t>
  </si>
  <si>
    <t>4558</t>
  </si>
  <si>
    <t>DEDETIZACAO CONTROLE DE PRAGAS REF  03/2026</t>
  </si>
  <si>
    <t>6922 032026</t>
  </si>
  <si>
    <t>731</t>
  </si>
  <si>
    <t>ADIANTAMENTO PRESTADORES ARMINDO/ JOSE/ LUIZ -.REF 03/2025</t>
  </si>
  <si>
    <t>87</t>
  </si>
  <si>
    <t>2018</t>
  </si>
  <si>
    <t xml:space="preserve"> ASSESSORIA GERAL NUTRICIONISTA REF  03/2026</t>
  </si>
  <si>
    <t>43</t>
  </si>
  <si>
    <t>4/30</t>
  </si>
  <si>
    <t xml:space="preserve">  ACORDO RECOLHIMENTO IR ATÉ DEZEMBRO/2022 - ENTRADA + 30 PARCELAS </t>
  </si>
  <si>
    <t>53424</t>
  </si>
  <si>
    <t xml:space="preserve">COLETA DE LIXO E RESIDUOS REF 03/2026
</t>
  </si>
  <si>
    <t>REC 135000 032026</t>
  </si>
  <si>
    <t>200000 032026</t>
  </si>
  <si>
    <t xml:space="preserve">181895 </t>
  </si>
  <si>
    <t>MENSALIDADE ABRASEL REF 03/2026</t>
  </si>
  <si>
    <t>59</t>
  </si>
  <si>
    <t>10780</t>
  </si>
  <si>
    <t>MENSALIDADE - CONTRATO : M145/24 RPS REF 03/2026</t>
  </si>
  <si>
    <t xml:space="preserve">7601013  </t>
  </si>
  <si>
    <t xml:space="preserve">INTERNET - CONTA 8999 2575 7114 REF 03 /2026
</t>
  </si>
  <si>
    <t>2656032026</t>
  </si>
  <si>
    <t>PAGAMENTO PRESTADORES ARMINDO/ JOSE/ LUIZ -.REF 03/2025</t>
  </si>
  <si>
    <t>141.752833</t>
  </si>
  <si>
    <t xml:space="preserve">COMGAS USUARIO 60834854 - REF  03/2026
</t>
  </si>
  <si>
    <t xml:space="preserve">02626144269 </t>
  </si>
  <si>
    <t xml:space="preserve">AGUA / ESGOTO - FORNECIMENTO 86040722721010 REF  03/2026
</t>
  </si>
  <si>
    <t>103</t>
  </si>
  <si>
    <t xml:space="preserve">SISTEMA DE MONITORAMENTO REF 03/2026
</t>
  </si>
  <si>
    <t>320260002</t>
  </si>
  <si>
    <t xml:space="preserve">SEGURANÇA NOTURNO REF 03/2026
</t>
  </si>
  <si>
    <t>40-032026</t>
  </si>
  <si>
    <t xml:space="preserve">FINAL 2073 - COLHER PARA SALAO REF 03/2026
</t>
  </si>
  <si>
    <t>6-032026</t>
  </si>
  <si>
    <t xml:space="preserve">FINAL 2073 -  MARACUJA  PARA PRODUÇÃO NÃO VEIO NO PEDIDO REF 03/2026
</t>
  </si>
  <si>
    <t>5-032026</t>
  </si>
  <si>
    <t xml:space="preserve">FINAL 2073 -  SULFITE PARA ESCRITORIO REF 03/2026
</t>
  </si>
  <si>
    <t>4-032026</t>
  </si>
  <si>
    <t xml:space="preserve">FINAL 2073 -  CAFE PARA PRODUÇÃO NÃO VEIO NO PEDIDO REF 03/2026
</t>
  </si>
  <si>
    <t>3-032026</t>
  </si>
  <si>
    <t xml:space="preserve">FINAL 2073 -  FRUTAS PARA PRODUÇÃO NÃO VEIO NO PEDIDO REF 03/2026
</t>
  </si>
  <si>
    <t>2-032026</t>
  </si>
  <si>
    <t xml:space="preserve">FINAL 2073 -  MANTEIGA PARA PRODUÇÃO NÃO VEIO NO PEDIDO REF 03/2026
</t>
  </si>
  <si>
    <t>1-032026</t>
  </si>
  <si>
    <t>34-032026</t>
  </si>
  <si>
    <t xml:space="preserve">FINAL 2073 - ROSCA ALUMINIO  MANUTENÇÃO PREVENTIVA REF 03/2026
</t>
  </si>
  <si>
    <t>35-032026</t>
  </si>
  <si>
    <t xml:space="preserve">FINAL 2073 - LIMAO PARA PRODUÇÃO NÃO VEIO NO PEDIDO REF 03/2026
</t>
  </si>
  <si>
    <t>36-032026</t>
  </si>
  <si>
    <t xml:space="preserve">FINAL 2073 - PAO PARA PRODUÇÃO NÃO VEIO NO PEDIDO REF 03/2026
</t>
  </si>
  <si>
    <t>37-032026</t>
  </si>
  <si>
    <t xml:space="preserve">FINAL 2073 - FRUTAS PARA PRODUÇÃO NÃO VEIO NO PEDIDO REF 03/2026
</t>
  </si>
  <si>
    <t>38-032026</t>
  </si>
  <si>
    <t>39-032026</t>
  </si>
  <si>
    <t xml:space="preserve"> MANUTENCAO PREDIAL OCUPACAO REF 03/2026</t>
  </si>
  <si>
    <t>32-032026</t>
  </si>
  <si>
    <t xml:space="preserve">FINAL 2073 -  SACOLAS PARA DELIVERY REF 03/2026
</t>
  </si>
  <si>
    <t xml:space="preserve"> IRRF DE ALUGUEL 03/2026</t>
  </si>
  <si>
    <t>41-032026</t>
  </si>
  <si>
    <t xml:space="preserve">FINAL 2073 - BANANA PARA PRODUÇÃO NÃO VEIO NO PEDIDO REF 03/2026
</t>
  </si>
  <si>
    <t xml:space="preserve">MARCELO ANTONIO FERREIRA </t>
  </si>
  <si>
    <t>PROCESSO Nº 1001321-69.2025.5.02.0075 - MARCELO ANTONIO FERREIRA</t>
  </si>
  <si>
    <t>305000 032026</t>
  </si>
  <si>
    <t>GORJETA REFERENTE AO PERIODO 20/02/2026 A 19/03/2026</t>
  </si>
  <si>
    <t>8-032026</t>
  </si>
  <si>
    <t xml:space="preserve">FINAL 2073 -  PAO PARA PRODUÇÃO NÃO VEIO NO PEDIDO REF 03/2026
</t>
  </si>
  <si>
    <t>33-032026</t>
  </si>
  <si>
    <t xml:space="preserve">FINAL 2073 - COUVE PARA PRODUÇÃO NÃO VEIO NO PEDIDO  REF 03/2026
</t>
  </si>
  <si>
    <t>31-032026</t>
  </si>
  <si>
    <t xml:space="preserve">FINAL 2073 -  GUARDANAPO PARA SALAO REF 03/2026
</t>
  </si>
  <si>
    <t>30-032026</t>
  </si>
  <si>
    <t>29-032026</t>
  </si>
  <si>
    <t>28-032026</t>
  </si>
  <si>
    <t xml:space="preserve">FINAL 2073 - ACUCAR PARA PRODUÇÃO NÃO VEIO NO PEDIDO  REF 03/2026
</t>
  </si>
  <si>
    <t>27-032026</t>
  </si>
  <si>
    <t xml:space="preserve">FINAL 2073 - AGRIAO PARA PRODUÇÃO NÃO VEIO NO PEDIDO REF 03/2026
</t>
  </si>
  <si>
    <t>26-032026</t>
  </si>
  <si>
    <t xml:space="preserve">FINAL 2073 - PAO PARA PRODUÇÃO NÃO VEIO NO PEDIDO  REF 03/2026
</t>
  </si>
  <si>
    <t>25-032026FINAL 2073 - COUVE PARA PRODUÇÃO NÃO VEIO NO PEDIDO  REF 03/2026</t>
  </si>
  <si>
    <t>24-032026</t>
  </si>
  <si>
    <t>23-032026</t>
  </si>
  <si>
    <t xml:space="preserve">FINAL 2073 - CAFE PARA PRODUÇÃO NÃO VEIO NO PEDIDO REF 03/2026
</t>
  </si>
  <si>
    <t>22-032026</t>
  </si>
  <si>
    <t xml:space="preserve">FINAL 2073 - FARINHA PARA PRODUÇÃO NÃO VEIO NO PEDIDO  REF 03/2026
</t>
  </si>
  <si>
    <t>21-032026</t>
  </si>
  <si>
    <t>19-032026</t>
  </si>
  <si>
    <t>7-032026</t>
  </si>
  <si>
    <t xml:space="preserve">FINAL 2073 -  BERINJELA   PARA PRODUÇÃO NÃO VEIO NO PEDIDO REF 03/2026
</t>
  </si>
  <si>
    <t>9-032026</t>
  </si>
  <si>
    <t xml:space="preserve"> FINAL 2073 - GENGIBRE PARA PRODUÇÃO NÃO VEIO NO PEDIDO  REF 03/2026
</t>
  </si>
  <si>
    <t>10-032026</t>
  </si>
  <si>
    <t xml:space="preserve">FINAL 2073 - BATATA PARA PRODUÇÃO NÃO VEIO NO PEDIDO  REF 03/2026
</t>
  </si>
  <si>
    <t>11-032026</t>
  </si>
  <si>
    <t xml:space="preserve">FINAL 2073 - PAO PARA PRODUÇÃO NÃO VEIO NO PEDIDO   REF 03/2026
</t>
  </si>
  <si>
    <t>12-032026</t>
  </si>
  <si>
    <t xml:space="preserve">FINAL 2073 - CALIBRACAO DE TERMOMETRO REF 03/2026
</t>
  </si>
  <si>
    <t>13-032026</t>
  </si>
  <si>
    <t xml:space="preserve">FINAL 2073 - ESCUMADEIRA UTENSILIOS  REF 03/2026
</t>
  </si>
  <si>
    <t>14-032026</t>
  </si>
  <si>
    <t>15-032026</t>
  </si>
  <si>
    <t xml:space="preserve">FINAL 2073 -  MORANGO PARA PRODUÇÃO NÃO VEIO NO PEDIDO REF 03/2026
</t>
  </si>
  <si>
    <t>16-032026</t>
  </si>
  <si>
    <t xml:space="preserve">FINAL 2073 -  MEXERICA PARA PRODUÇÃO NÃO VEIO NO PEDIDO REF 03/2026
</t>
  </si>
  <si>
    <t>17-032026</t>
  </si>
  <si>
    <t xml:space="preserve">FINAL 2073 -  RAPADURA PARA PRODUÇÃO NÃO VEIO NO PEDIDO  REF 03/2026
</t>
  </si>
  <si>
    <t>18-032026</t>
  </si>
  <si>
    <t>20-032026</t>
  </si>
  <si>
    <t>YNV13434531</t>
  </si>
  <si>
    <t>FEV2026</t>
  </si>
  <si>
    <t xml:space="preserve">  TAXA DELIVERY</t>
  </si>
  <si>
    <t xml:space="preserve"> TAXA DELIVERY - Dez/25 - 66,24 / Jan/26 -  98,28</t>
  </si>
  <si>
    <t>204</t>
  </si>
  <si>
    <t>SERVIÇOS DE SEGURANÇA PERIODO DE 16 A 28 REF 02 /2026</t>
  </si>
  <si>
    <t xml:space="preserve">  Taxa Sobre Adquirência Integrada</t>
  </si>
  <si>
    <t>ACORDO 3/4</t>
  </si>
  <si>
    <t xml:space="preserve">         DARF IRRF ACORDO PARCELA 3/4</t>
  </si>
  <si>
    <t>81264 022026</t>
  </si>
  <si>
    <t>IRRF - 02/2026 - Bar Léo</t>
  </si>
  <si>
    <t>187093 022026</t>
  </si>
  <si>
    <t>Guia FGTS - 02/2026 - Bar Léo</t>
  </si>
  <si>
    <t>06 IRRF - REMUNER SERV PRESTADOS POR PJ
PA:02/2026 Vencimento:20/03/2026</t>
  </si>
  <si>
    <t>229594 022026</t>
  </si>
  <si>
    <t>INSS Segurados - 02/2026 - Bar Léo</t>
  </si>
  <si>
    <t>2087</t>
  </si>
  <si>
    <t>SERVICOS MEDICOS DE CONSULTORIA E GESTAO</t>
  </si>
  <si>
    <t>0000</t>
  </si>
  <si>
    <t>755189677</t>
  </si>
  <si>
    <t>CACHE ARTISTAS PERIODO DE 23/02 A 28/02 REF /2026</t>
  </si>
  <si>
    <t>022026</t>
  </si>
  <si>
    <t xml:space="preserve"> GORJETA PRESTADORES ARMINDO/ JOSE/ LUIZ - PERIODO 20 A 19.REF 02/2025</t>
  </si>
  <si>
    <t>ACORDO 2/4</t>
  </si>
  <si>
    <t xml:space="preserve"> DARF IRRF ACORDO PARCELA 2/4</t>
  </si>
  <si>
    <t>749827207</t>
  </si>
  <si>
    <t>CACHE ARTISTAS PERIODO DE 16/02 A 22/02 REF /2026</t>
  </si>
  <si>
    <t>PARC15/35</t>
  </si>
  <si>
    <t>745810909</t>
  </si>
  <si>
    <t>CACHE ARTISTAS PERIODO 09/02 A 15/02 REF 02/2026</t>
  </si>
  <si>
    <t>749820800</t>
  </si>
  <si>
    <t>MAO DE OBRA EXTRA DE 16 A 22 REF 02/2026</t>
  </si>
  <si>
    <t xml:space="preserve">6569272 </t>
  </si>
  <si>
    <t xml:space="preserve"> CONTA 8999 2578 0713 REF  02/2026
</t>
  </si>
  <si>
    <t xml:space="preserve">37737117 </t>
  </si>
  <si>
    <t>ENERGIA ELETRICA INST 58672117 REF 02/2026</t>
  </si>
  <si>
    <t xml:space="preserve"> DEBITO REF. ALUGUEL DAS MAQUININHAS</t>
  </si>
  <si>
    <t>745744446</t>
  </si>
  <si>
    <t xml:space="preserve">MAO DE OBRA EXTRA DE 09/02 A  15/02 REF 01/2026
</t>
  </si>
  <si>
    <t>Rateamento de 127 - Bar Léo - Centro (3.7033%)</t>
  </si>
  <si>
    <t>249</t>
  </si>
  <si>
    <t xml:space="preserve">MENSALIDADE USO DA PLATAFORMA BLUEME  REF  02/2026
</t>
  </si>
  <si>
    <t>30016022026</t>
  </si>
  <si>
    <t xml:space="preserve">AJUDA DE CUSTO FREXOS 03/03 REF 02/2026
</t>
  </si>
  <si>
    <t xml:space="preserve">37256455  </t>
  </si>
  <si>
    <t xml:space="preserve">ENERGIA ELETRICA INST 58672109 REF 02/2026
</t>
  </si>
  <si>
    <t>34650</t>
  </si>
  <si>
    <t>LOCAÇÃO DE EQUIPAMENTOS DISPENSER FIO DENTAL, ESSENCIA ,ODORIZADOR REF 02 /2026</t>
  </si>
  <si>
    <t>740787908</t>
  </si>
  <si>
    <t xml:space="preserve"> MAO DE OBRA EXTRA DE 02/08 A 08/02 REF 02/2026
</t>
  </si>
  <si>
    <t>740819184</t>
  </si>
  <si>
    <t>CACHE ARTISTAS PERIODO DE 02/02 A 08/02  REF 02/2026</t>
  </si>
  <si>
    <t>30009022026</t>
  </si>
  <si>
    <t xml:space="preserve">AJUDA DE CUSTO FREXOS 02/03 REF 02/2026
</t>
  </si>
  <si>
    <t>734731559</t>
  </si>
  <si>
    <t xml:space="preserve">MAO DE OBRA EXTRA DE 26/01 A 01/02 REF 01/2026
</t>
  </si>
  <si>
    <t>73513868</t>
  </si>
  <si>
    <t>CACHE ARTISTAS PERIODO DE 26/01 A 01/02  REF 01/2026</t>
  </si>
  <si>
    <t>6PETTY02026</t>
  </si>
  <si>
    <t xml:space="preserve">FINAL 2073 - FORMA DE INOX PARA ATENDIMENTO REF 02/2026
</t>
  </si>
  <si>
    <t>140.118.619</t>
  </si>
  <si>
    <t xml:space="preserve">COMGAS USUARIO 60834854 - REF  02/2026
</t>
  </si>
  <si>
    <t>7PETTY022026</t>
  </si>
  <si>
    <t xml:space="preserve">FINAL 2073 - TEMPERO PARA PRODUÇÃO NÃO VEIO NO PEDIDO REF 02/2026
</t>
  </si>
  <si>
    <t>2656022026</t>
  </si>
  <si>
    <t>PAGAMENTO PRESTADORES ARMINDO/ JOSE/ LUIZ -.REF 02/2025</t>
  </si>
  <si>
    <t xml:space="preserve">2021032232 </t>
  </si>
  <si>
    <t xml:space="preserve"> INTERNET - CONTA 8999 2575 7114 REF 02 /2026
</t>
  </si>
  <si>
    <t>5PETTY022026</t>
  </si>
  <si>
    <t xml:space="preserve">FINAL 2073 - COLHER PARA ATENDIMENTO REF 02/2026
</t>
  </si>
  <si>
    <t>10531</t>
  </si>
  <si>
    <t>MENSALIDADE - CONTRATO : M145/24 RPS 14713 REF 02/2026</t>
  </si>
  <si>
    <t>8PETTY022026</t>
  </si>
  <si>
    <t>9PETTY022026</t>
  </si>
  <si>
    <t xml:space="preserve">FINAL 2073 - PAO PARA PRODUÇÃO NÃO VEIO NO PEDIDO REF 02/2026
</t>
  </si>
  <si>
    <t>53038</t>
  </si>
  <si>
    <t xml:space="preserve">COLETA DE LIXO E RESIDUOS REF 02/2026
</t>
  </si>
  <si>
    <t>10PETTY022026</t>
  </si>
  <si>
    <t>5034</t>
  </si>
  <si>
    <t>LOCACAO DE IMPRESSORA REF 02 /2026</t>
  </si>
  <si>
    <t>11PETTY02026</t>
  </si>
  <si>
    <t xml:space="preserve">FINAL 2073 - ALFACE PARA PRODUÇÃO NÃO VEIO NO PEDIDO REF 02/2026
</t>
  </si>
  <si>
    <t>1971</t>
  </si>
  <si>
    <t xml:space="preserve"> ASSESSORIA GERAL NUTRICIONISTA REF 02 /2026</t>
  </si>
  <si>
    <t>710</t>
  </si>
  <si>
    <t>CLIENTE OCULTO REF 02 /2026</t>
  </si>
  <si>
    <t>ADIANTAMENTO PRESTADORES ARMINDO/ JOSE/ LUIZ -.REF 02/2025</t>
  </si>
  <si>
    <t>13PETTY022026</t>
  </si>
  <si>
    <t xml:space="preserve">FINAL 2073 - LAMPADAS  MANUTENÇÃO PREVENTIVA REF 02/2026
</t>
  </si>
  <si>
    <t>14PETTY022026</t>
  </si>
  <si>
    <t xml:space="preserve">FINAL 2073 - DETERGENTE NÃO VEIO NO PEDIDO REF 02/2026
</t>
  </si>
  <si>
    <t>102</t>
  </si>
  <si>
    <t>SISTEMA DE MONITORAMENTO REF 02/2026</t>
  </si>
  <si>
    <t>40</t>
  </si>
  <si>
    <t>83</t>
  </si>
  <si>
    <t>REC 135000 022026</t>
  </si>
  <si>
    <t xml:space="preserve"> SALÁRIO PJ</t>
  </si>
  <si>
    <t>31366 022026</t>
  </si>
  <si>
    <t>VT COMPLEMENTO EVERTON - COMP. 02/2026</t>
  </si>
  <si>
    <t>6922 022026</t>
  </si>
  <si>
    <t>REC 150000 022026</t>
  </si>
  <si>
    <t>022025</t>
  </si>
  <si>
    <t xml:space="preserve"> SEGURANÇA NOTURNO REF 01/2025</t>
  </si>
  <si>
    <t>8984</t>
  </si>
  <si>
    <t xml:space="preserve"> GERENCIAMENTO DE REDE AUTENTICACAO DE ACESSOS DE USUARIOS  REF 02/2026
</t>
  </si>
  <si>
    <t>4PETTY022026</t>
  </si>
  <si>
    <t xml:space="preserve">FINAL 2073 - TERMOMETRO CALIBRACAO MANUTENÇÃO DE EQUIPAMENTOS REF 02/2026
</t>
  </si>
  <si>
    <t>58</t>
  </si>
  <si>
    <t>89828</t>
  </si>
  <si>
    <t>89831</t>
  </si>
  <si>
    <t>89832</t>
  </si>
  <si>
    <t>1PETTY022026</t>
  </si>
  <si>
    <t xml:space="preserve">FINAL 2073 - ARROZ PARA PRODUÇÃO NÃO VEIO NO PEDIDO REF 02/2026
</t>
  </si>
  <si>
    <t>2PETTY022026</t>
  </si>
  <si>
    <t>12PETTY022026</t>
  </si>
  <si>
    <t xml:space="preserve">FINAL 2073 - VALVULA MANUTENÇÃO PREVENTIVA REF 02/2026
</t>
  </si>
  <si>
    <t>3PETTY022026</t>
  </si>
  <si>
    <t xml:space="preserve">FINAL 2073 - SOLDA DE ALUMINIO  MANUTENÇÃO PREVENTIVA REF 02/2026
</t>
  </si>
  <si>
    <t xml:space="preserve">2026156284441 </t>
  </si>
  <si>
    <t xml:space="preserve">AGUA / ESGOTO - FORNECIMENTO 86040722721010 REF  02/2026
</t>
  </si>
  <si>
    <t>26PETTY022026</t>
  </si>
  <si>
    <t xml:space="preserve">FINAL 2073 - PASTAS PARA ORGANIZAÇÃO DOS DOCUMENTOS REF 02/2027
</t>
  </si>
  <si>
    <t>JUCELITO MOURA</t>
  </si>
  <si>
    <t>082026</t>
  </si>
  <si>
    <t xml:space="preserve">SEGURANÇA NOTURNO REF 02/2025
</t>
  </si>
  <si>
    <t>27PETTY022026</t>
  </si>
  <si>
    <t>FINAL 2073 - ALIMENTOS  REF 02/2026</t>
  </si>
  <si>
    <t>135000 022026</t>
  </si>
  <si>
    <t>3/30</t>
  </si>
  <si>
    <t>30002022026</t>
  </si>
  <si>
    <t xml:space="preserve">AJUDA DE CUSTO FREXOS 01/03 REF 02/2026
</t>
  </si>
  <si>
    <t>4460</t>
  </si>
  <si>
    <t>CARTAO FINAL 2333 - MUSICA AMBIENTE REF 02 /2026</t>
  </si>
  <si>
    <t>7711648</t>
  </si>
  <si>
    <t xml:space="preserve">DESPESAS BANCARIAS - MENSALIDADE KAMINO REF 02/2026
</t>
  </si>
  <si>
    <t>28PETTY022026</t>
  </si>
  <si>
    <t>FINAL 2073 - ARROZ  PARA PRODUÇÃO REF 02/2026</t>
  </si>
  <si>
    <t>328000 022026</t>
  </si>
  <si>
    <t xml:space="preserve">Gorjeta referente ao período de 20/01/2026 a 19/02/2026						
</t>
  </si>
  <si>
    <t>PJ 49877008000120</t>
  </si>
  <si>
    <t>MAO DE OBRA EXTRA - CBB</t>
  </si>
  <si>
    <t>ANALISTA DE MARKETING</t>
  </si>
  <si>
    <t xml:space="preserve">  - Analista</t>
  </si>
  <si>
    <t>78003</t>
  </si>
  <si>
    <t>IPTU REF 02/2026</t>
  </si>
  <si>
    <t>BOL 77965</t>
  </si>
  <si>
    <t xml:space="preserve">  ALUGUEL REF 02/2026</t>
  </si>
  <si>
    <t xml:space="preserve">  RENOVAÇÃO DO ARRENDAMENTO - 01/2025</t>
  </si>
  <si>
    <t>37324 022026</t>
  </si>
  <si>
    <t>154340 022026</t>
  </si>
  <si>
    <t>136</t>
  </si>
  <si>
    <t>15PETTY022026</t>
  </si>
  <si>
    <t xml:space="preserve">FINAL 2073 - FARINHA PARA PRODUÇÃO NÃO VEIO NO PEDIDO REF 02/2026
</t>
  </si>
  <si>
    <t>594</t>
  </si>
  <si>
    <t xml:space="preserve">AGENCIA DE PROPAGANDA MENSALIDADE SANDUICHE REF 02 /2026
</t>
  </si>
  <si>
    <t>16PETTY022026</t>
  </si>
  <si>
    <t xml:space="preserve">FINAL 2073 - MANTEIGA PARA PRODUÇÃO NÃO VEIO NO PEDIDO REF 02/2026
</t>
  </si>
  <si>
    <t>659</t>
  </si>
  <si>
    <t xml:space="preserve">ASSESSORIA DE IMPRENSA REF 02 /2026
</t>
  </si>
  <si>
    <t>17PETTY022026</t>
  </si>
  <si>
    <t>18PETTY022026</t>
  </si>
  <si>
    <t xml:space="preserve">FINAL 2073 - LIMAO PARA PRODUÇÃO NÃO VEIO NO PEDIDO REF 02/2026
</t>
  </si>
  <si>
    <t>25PETTY02026</t>
  </si>
  <si>
    <t xml:space="preserve">FINAL 2073 - LARANJAS PARA PRODUÇÃO NÃO VEIO NO PEDIDO REF 02/2026
</t>
  </si>
  <si>
    <t>19PETTY022026</t>
  </si>
  <si>
    <t xml:space="preserve">FINAL 2073 - BANANA PARA PRODUÇÃO NÃO VEIO NO PEDIDO REF 02/2026
</t>
  </si>
  <si>
    <t>20PETTY022026</t>
  </si>
  <si>
    <t>24PETTY022026</t>
  </si>
  <si>
    <t xml:space="preserve">FINAL 2073 - TORNEIRA  MANUTENÇÃO PREVENTIVA REF 02/2026
</t>
  </si>
  <si>
    <t>23PETTY022026</t>
  </si>
  <si>
    <t>21PETTY02026</t>
  </si>
  <si>
    <t xml:space="preserve">FINAL 2073 - PAPEL HIGIENICO NÃO VEIO NO PEDIDO REF 02/2026
</t>
  </si>
  <si>
    <t>22PETTY02026</t>
  </si>
  <si>
    <t xml:space="preserve">FINAL 2073 - SACO DE LIXO NÃO VEIO NO PEDIDO REF 02/2026
</t>
  </si>
  <si>
    <t xml:space="preserve"> MANUTENCAO PREDIAL OCUPACAO REF 02/2026</t>
  </si>
  <si>
    <t xml:space="preserve"> IRRF DE ALUGUEL 02/2026</t>
  </si>
  <si>
    <t>JAN2026</t>
  </si>
  <si>
    <t>06 IRRF - REMUNER SERV PRESTADOS POR PJ
PA:01/2026 Vencimento:20/02/2026</t>
  </si>
  <si>
    <t>968</t>
  </si>
  <si>
    <t>52853</t>
  </si>
  <si>
    <t xml:space="preserve"> COLETA DE LIXO E RESIDUOS REF 01/2026
</t>
  </si>
  <si>
    <t>Janeiro/2026</t>
  </si>
  <si>
    <t xml:space="preserve">  GUIA RECALCULADA EMPRESA SIMPLES NACIONAL ATINGIL O SUBLIMITE DE R$ 3.600.000,00 DE FATURAMENTO.</t>
  </si>
  <si>
    <t xml:space="preserve"> INSS Segurados</t>
  </si>
  <si>
    <t xml:space="preserve">729344667 </t>
  </si>
  <si>
    <t>CACHE ARTISTAS PERIODO 19/01 A 25/01 SHOW 24/01 REF 01/2026</t>
  </si>
  <si>
    <t>729478168</t>
  </si>
  <si>
    <t xml:space="preserve">MAO DE OBRA EXTRA DE 19/01 A 25/01 REF 01/2026
</t>
  </si>
  <si>
    <t>012026</t>
  </si>
  <si>
    <t xml:space="preserve">  GORJETA PRESTADORES ARMINDO/ JOSE/ LUIZ - PERIODO 20 A 19.REF 01/2025</t>
  </si>
  <si>
    <t>PARC14/35</t>
  </si>
  <si>
    <t>899925780713</t>
  </si>
  <si>
    <t xml:space="preserve"> CONTA 8999 2578 0713 REF 01/2026
</t>
  </si>
  <si>
    <t xml:space="preserve">724326658 </t>
  </si>
  <si>
    <t>CACHE ARTISTAS PERIODO 12/01 A 18/01 REF 01/2026</t>
  </si>
  <si>
    <t xml:space="preserve">724375072 </t>
  </si>
  <si>
    <t xml:space="preserve"> MAO DE OBRA EXTRA DE 12/01 A 18/01 REF 01/2026
</t>
  </si>
  <si>
    <t>119</t>
  </si>
  <si>
    <t>SERVIÇOS DE SEGURANÇA PERIODO DE 01 A 15 REF 01/2026</t>
  </si>
  <si>
    <t>235</t>
  </si>
  <si>
    <t xml:space="preserve">MENSALIDADE USO DA PLATAFORMA BLUEME  REF 02 /2026
</t>
  </si>
  <si>
    <t>ATELIE CAROL NUNES LTDA</t>
  </si>
  <si>
    <t>247</t>
  </si>
  <si>
    <t>SESSAO E TRATAMENTO DE FOTOS CARDAPIO LEO REF 01/2026</t>
  </si>
  <si>
    <t>82</t>
  </si>
  <si>
    <t>CAPTACAO DE CONTEUDO PARA INSTAGRAM 85 ANOS BAR LEO REF 01/2026</t>
  </si>
  <si>
    <t>VORTEX LIMPCOIFA SISTEMAS DE VENTILACAO LTDA</t>
  </si>
  <si>
    <t>318</t>
  </si>
  <si>
    <t xml:space="preserve">MANUTENÇÃO PREVENTIVA DO SISTEMA DE EXAUSTÃO DE COZINHA INDUSTRIAL REF 01/2026
</t>
  </si>
  <si>
    <t xml:space="preserve">FILIPE GUIMARAES NEVARES </t>
  </si>
  <si>
    <t>72</t>
  </si>
  <si>
    <t>CAPTACAO DE CONTEUDO DIA 22/12 BAR LEO REF 01/2026</t>
  </si>
  <si>
    <t>28227773</t>
  </si>
  <si>
    <t xml:space="preserve">ENERGIA ELETRICA INST 58672109 REF 01/2026
</t>
  </si>
  <si>
    <t>719042701</t>
  </si>
  <si>
    <t>MAO DE OBRA EXTRA DE 05/01 A 11/01 REF 01/2026</t>
  </si>
  <si>
    <t>719167093</t>
  </si>
  <si>
    <t xml:space="preserve"> CACHE ARTISTAS PERIODO 05/01 A 11/01 REF 01/2026</t>
  </si>
  <si>
    <t>34091</t>
  </si>
  <si>
    <t xml:space="preserve">  LOCAÇÃO DE EQUIPAMENTOS DISPENSER FIO DENTAL, ESSENCIA ,ODORIZADOR REF 01 /2026</t>
  </si>
  <si>
    <t>SEGUROS SURA S/A</t>
  </si>
  <si>
    <t>PARC 6/6</t>
  </si>
  <si>
    <t>RATEIO - SEGURO PATRIMONIAL - APOLICE 150306</t>
  </si>
  <si>
    <t>28227774</t>
  </si>
  <si>
    <t xml:space="preserve">ENERGIA ELETRICA INST 58672117 REF 01/2026
</t>
  </si>
  <si>
    <t>128</t>
  </si>
  <si>
    <t xml:space="preserve"> SERVIÇO DE MANUTENÇÃO REF 01/2026</t>
  </si>
  <si>
    <t>241552013201824</t>
  </si>
  <si>
    <t>MARKETING - FACEBOOK - Relatório de cobrança: 01/12/2025 a 01/01/2026</t>
  </si>
  <si>
    <t>713545706</t>
  </si>
  <si>
    <t>CACHE ARTISTAS PERIODO 01/01 A 04/01 REF 01/2026</t>
  </si>
  <si>
    <t xml:space="preserve">713376227 </t>
  </si>
  <si>
    <t xml:space="preserve">MAO DE OBRA EXTRA DE 01/01 A 04/01 REF 01/2026
</t>
  </si>
  <si>
    <t>45PETTY012026</t>
  </si>
  <si>
    <t xml:space="preserve">FINAL 2073 - PAPEL E DETERGENTE NÃO VEIO NO PEDIDO REF 01/2026
</t>
  </si>
  <si>
    <t>44PETTY012026</t>
  </si>
  <si>
    <t xml:space="preserve">FINAL 2073 - MANTEIGA PARA PRODUÇÃO NÃO VEIO NO PEDIDO REF 01/2026
</t>
  </si>
  <si>
    <t xml:space="preserve">  LALAMOVE ENTREGAS REF 01/2026</t>
  </si>
  <si>
    <t>150000 012026</t>
  </si>
  <si>
    <t>MARIVALDO FREIRE DOS SANTOS</t>
  </si>
  <si>
    <t>REC270000 012026</t>
  </si>
  <si>
    <t>4341290</t>
  </si>
  <si>
    <t xml:space="preserve"> INTERNET - CONTA 8999 2575 7114 REF  /2026</t>
  </si>
  <si>
    <t xml:space="preserve">AJUDA DE CUSTO FREXOS 01/03 REF 01/2026
</t>
  </si>
  <si>
    <t>IRRF SOBRE ALUGUEL VENC. 10/02/2026</t>
  </si>
  <si>
    <t>BOL 77701</t>
  </si>
  <si>
    <t xml:space="preserve"> IPTU - PARCELA 1/10 - PAGO PELA ID 175477</t>
  </si>
  <si>
    <t>REC 422000 012026</t>
  </si>
  <si>
    <t>GORJETA  PERIODO 20/12/2025 A 19/01/2026</t>
  </si>
  <si>
    <t>575</t>
  </si>
  <si>
    <t xml:space="preserve">AGENCIA DE PROPAGANDA MENSALIDADE SANDUICHE REF 01/2026
</t>
  </si>
  <si>
    <t>BAR DO LUIZ FERNANDES</t>
  </si>
  <si>
    <t>218</t>
  </si>
  <si>
    <t>COMPRA DE SALGADOS PARA ANIVERSARIO LEO REF 01/2026</t>
  </si>
  <si>
    <t>6922 012026</t>
  </si>
  <si>
    <t>10447 012026</t>
  </si>
  <si>
    <t xml:space="preserve">COMPLEMENTO VALE TRANSPORTE COMP. 01/2026 </t>
  </si>
  <si>
    <t>8262</t>
  </si>
  <si>
    <t xml:space="preserve">DESPESAS BANCARIAS - MENSALIDADE KAMINO REF 01/2026
</t>
  </si>
  <si>
    <t xml:space="preserve"> CARTAO FINAL 2333 - MUSICA AMBIENTE REF  01/2026</t>
  </si>
  <si>
    <t>2/30</t>
  </si>
  <si>
    <t>SISTEMA DE MONITORAMENTO REF 01/2026</t>
  </si>
  <si>
    <t>GOMES D ELIA EQUIP. HIGIENE LTDA - WESCO</t>
  </si>
  <si>
    <t>187531</t>
  </si>
  <si>
    <t xml:space="preserve"> LOCAÇÃO DE EQUIPAMENTOS DISPENSER FIO DENTAL, ESSENCIA ,ODORIZADOR REF 01/2026</t>
  </si>
  <si>
    <t>52026</t>
  </si>
  <si>
    <t>FINAL 2190 - RATEIO TYPFORM CARTÃO DE CRÉDITO ESCRITÓRIO REF 01 /2026</t>
  </si>
  <si>
    <t xml:space="preserve"> FINAL 2190 - RATEIO ZENDESK CARTÃO DE CRÉDITO ESCRITÓRIO REF  01/2026
</t>
  </si>
  <si>
    <t>644</t>
  </si>
  <si>
    <t xml:space="preserve">ASSESSORIA DE IMPRENSA REF 01/2026
</t>
  </si>
  <si>
    <t>8890</t>
  </si>
  <si>
    <t>GERENCIAMENTO DE REDE AUTENTICACAO DE ACESSOS DE USUARIOS REF 01/2026</t>
  </si>
  <si>
    <t>2656012026</t>
  </si>
  <si>
    <t>ADIANTAMENTO PRESTADORES ARMINDO/ JOSE/ LUIZ -.REF 01/2025</t>
  </si>
  <si>
    <t>32</t>
  </si>
  <si>
    <t xml:space="preserve"> CLIENTE OCULTO REF 01/2026</t>
  </si>
  <si>
    <t>1888</t>
  </si>
  <si>
    <t xml:space="preserve"> ASSESSORIA GERAL NUTRICIONISTA REF  01/2026</t>
  </si>
  <si>
    <t>4928</t>
  </si>
  <si>
    <t>LOCACAO DE IMPRESSORA REF  01/2026</t>
  </si>
  <si>
    <t>012025</t>
  </si>
  <si>
    <t>SEGURANÇA NOTURNO REF 01/2025</t>
  </si>
  <si>
    <t>138231110</t>
  </si>
  <si>
    <t>COMGAS USUARIO 60834854 - REF  /2026</t>
  </si>
  <si>
    <t xml:space="preserve">2026067854 </t>
  </si>
  <si>
    <t xml:space="preserve">AGUA / ESGOTO - FORNECIMENTO 86040722721010 REF  01/2026
</t>
  </si>
  <si>
    <t>10258</t>
  </si>
  <si>
    <t>MENSALIDADE - CONTRATO : M145/24 RPS 14440 REF  01/2026</t>
  </si>
  <si>
    <t>7611</t>
  </si>
  <si>
    <t>IMPRESSA DE PLACA ANO NOVO E 50 UNDS DE CINTAS JOELHO DE PORCO REF 01/2026</t>
  </si>
  <si>
    <t>55</t>
  </si>
  <si>
    <t>165829 012026</t>
  </si>
  <si>
    <t>SP TRANS 01/2026</t>
  </si>
  <si>
    <t>60070 012026</t>
  </si>
  <si>
    <t>VT TOP 01/2026</t>
  </si>
  <si>
    <t>174226</t>
  </si>
  <si>
    <t xml:space="preserve"> MENSALIDADE ABRASEL REF 01/2026
</t>
  </si>
  <si>
    <t>21PETTY012026</t>
  </si>
  <si>
    <t xml:space="preserve">FINAL 2073 - AGRIAO PARA PRODUÇÃO NÃO VEIO NO PEDIDO REF 01/2026
</t>
  </si>
  <si>
    <t>42PETTY012026</t>
  </si>
  <si>
    <t xml:space="preserve">FINAL 2073 - CHAVEIRO PARA CHAVE QUEBRADA REF 01/2026
</t>
  </si>
  <si>
    <t>40PETTY012026</t>
  </si>
  <si>
    <t xml:space="preserve">FINAL 2073 - COUVE PARA PRODUÇÃO NÃO VEIO NO PEDIDO REF 01/2026
</t>
  </si>
  <si>
    <t>39PETTY012026</t>
  </si>
  <si>
    <t xml:space="preserve">FINAL 2073 - PLACA E SUPORTE MANUTENCAO PREVENTIVA REF 01/2026
</t>
  </si>
  <si>
    <t>38PETTY012026</t>
  </si>
  <si>
    <t xml:space="preserve">FINAL 2073 - ESPARADRAPO  PARA CAIXA DE PRIMEIROS SOCORROS REF 01/2026
</t>
  </si>
  <si>
    <t>13PETTY012026</t>
  </si>
  <si>
    <t xml:space="preserve">FINAL 2073 - LARANJA PARA PRODUÇÃO NÃO VEIO NO PEDIDO REF 01/2026
</t>
  </si>
  <si>
    <t>37PETTY012026</t>
  </si>
  <si>
    <t xml:space="preserve">FINAL 2073 - MEXERICA PARA PRODUÇÃO NÃO VEIO NO PEDIDO REF 01/2026
</t>
  </si>
  <si>
    <t>36PETTY012026</t>
  </si>
  <si>
    <t xml:space="preserve">FINAL 2073 - LARANJA PARA PRODUÇÃO NÃO VEIO NO PEDIDO REF 01/2026
</t>
  </si>
  <si>
    <t>39</t>
  </si>
  <si>
    <t>14PETTY012026</t>
  </si>
  <si>
    <t xml:space="preserve">FINAL 2073 - COLA MANUTENÇÃO PREVENTIVA REF 12/2025
</t>
  </si>
  <si>
    <t>15PETTY012026</t>
  </si>
  <si>
    <t xml:space="preserve">FINAL 2073 - ARREBITE MANUTENÇÃO PREVENTIVA REF 12/2025
</t>
  </si>
  <si>
    <t>16PETTY012026</t>
  </si>
  <si>
    <t xml:space="preserve">FINAL 2073 - DETERGENTE NÃO VEIO NO PEDIDO REF 01/2026
</t>
  </si>
  <si>
    <t>18PETTY012026</t>
  </si>
  <si>
    <t xml:space="preserve">FINAL 2073 - PAO NÃO VEIO NO PEDIDO REF 01/2027
</t>
  </si>
  <si>
    <t>19PETTY012026</t>
  </si>
  <si>
    <t xml:space="preserve">FINAL 2073 - LIMAO PARA PRODUÇÃO NÃO VEIO NO PEDIDO REF 01/2026
</t>
  </si>
  <si>
    <t>20PETTY012026</t>
  </si>
  <si>
    <t xml:space="preserve">FINAL 2073 - ALFACE NÃO VEIO NO PEDIDO REF 01/2027
</t>
  </si>
  <si>
    <t>41PETTY012026</t>
  </si>
  <si>
    <t>35PETTY012026</t>
  </si>
  <si>
    <t xml:space="preserve">FINAL 2073 - CORTADOR PARA PRODUÇÃO REF 01/2026
</t>
  </si>
  <si>
    <t>34PETTY012026</t>
  </si>
  <si>
    <t xml:space="preserve">FINAL 2073 - DESCASCADOR PARA PRODUÇÃO REF 01/2026
</t>
  </si>
  <si>
    <t>33PETTY012026</t>
  </si>
  <si>
    <t xml:space="preserve">FINAL 2073 - SACOLAS NÃO VEIO NO PEDIDO REF 01/2026
</t>
  </si>
  <si>
    <t>32PETTY012026</t>
  </si>
  <si>
    <t>31PETTY012026</t>
  </si>
  <si>
    <t xml:space="preserve">FINAL 2073 - COPO E COLHER PARA ATENDIMENTO REF 12/2025
</t>
  </si>
  <si>
    <t>30PETTY012026</t>
  </si>
  <si>
    <t xml:space="preserve">FINAL 2073 - ABRACADEIRA MANUTENÇÃO PREVENTIVA REF 12/2025
</t>
  </si>
  <si>
    <t>29PETTY012026</t>
  </si>
  <si>
    <t xml:space="preserve">FINAL 2073 - MICROMOTOR MANUTENÇÃO PREVENTIVA REF 01/2026
</t>
  </si>
  <si>
    <t>28PETTY012026</t>
  </si>
  <si>
    <t xml:space="preserve">FINAL 2073 - TEMPERO PARA PRODUÇÃO NÃO VEIO NO PEDIDO REF 01/2026
</t>
  </si>
  <si>
    <t>26PETTY012026</t>
  </si>
  <si>
    <t>25PETTY012026</t>
  </si>
  <si>
    <t xml:space="preserve">FINAL 2073 - PAO BAGUETE NÃO VEIO NO PEDIDO REF 01/2027
</t>
  </si>
  <si>
    <t>24PETTY012026</t>
  </si>
  <si>
    <t xml:space="preserve">FINAL 2073 - LIQUIDIFICADOR PARA OPERÇÃO REF 01/2026
</t>
  </si>
  <si>
    <t>23PETTY012026</t>
  </si>
  <si>
    <t xml:space="preserve">FINAL 2073 - DESENTUPIDOR MANUTENÇÃO PREVENTIVA REF 01/2026
</t>
  </si>
  <si>
    <t>22PETTY012026</t>
  </si>
  <si>
    <t xml:space="preserve">FINAL 2073 - RAMEQUIM PARA ATENDIMENTO REF 12/2025
</t>
  </si>
  <si>
    <t>17PETTY012026</t>
  </si>
  <si>
    <t xml:space="preserve">FINAL 2073 - </t>
  </si>
  <si>
    <t>8PETTY012026</t>
  </si>
  <si>
    <t xml:space="preserve">FINAL 2073 - PANO MULTIUSO NÃO VEIO NO PEDIDO REF 01/2026
</t>
  </si>
  <si>
    <t>7PETTY012026</t>
  </si>
  <si>
    <t xml:space="preserve">FINAL 2073 - REPOLHO PARA PRODUÇÃO NÃO VEIO NO PEDIDO REF 01/2026
</t>
  </si>
  <si>
    <t>6PETTY012026</t>
  </si>
  <si>
    <t>5PETTY012026</t>
  </si>
  <si>
    <t xml:space="preserve">FINAL 2073 - MAIONESE PARA PRODUÇÃO NÃO VEIO NO PEDIDO REF 01/2026
</t>
  </si>
  <si>
    <t>4PETTY012026</t>
  </si>
  <si>
    <t xml:space="preserve">FINAL 2073 - MARACUJA PARA PRODUÇÃO NÃO VEIO NO PEDIDO REF 01/2026
</t>
  </si>
  <si>
    <t>3PETTY012026</t>
  </si>
  <si>
    <t>2PETTY012026</t>
  </si>
  <si>
    <t xml:space="preserve">FINAL 2073 - LEGUMES PARA PRODUÇÃO NÃO VEIO NO PEDIDO REF 01/2026
</t>
  </si>
  <si>
    <t>1PETTY012026</t>
  </si>
  <si>
    <t xml:space="preserve">FINAL 2073 - BATATA PARA PRODUÇÃO NÃO VEIO NO PEDIDO REF 01/2026
</t>
  </si>
  <si>
    <t>9PETTY012026</t>
  </si>
  <si>
    <t xml:space="preserve">FINAL 2073 - PEPINO PARA PRODUÇÃO NÃO VEIO NO PEDIDO REF 01/2026
</t>
  </si>
  <si>
    <t>135000 012026</t>
  </si>
  <si>
    <t>27PETTY012026</t>
  </si>
  <si>
    <t>10PETTY012026</t>
  </si>
  <si>
    <t xml:space="preserve">FINAL 2073 - REBITE PERCURANTE MANUTENÇÃO PREVENTIVA REF 01/2027
</t>
  </si>
  <si>
    <t>43PETTY012026</t>
  </si>
  <si>
    <t xml:space="preserve">FINAL 2073 - MATERIAL DE ESCRITORIO REF 01/2026
</t>
  </si>
  <si>
    <t>12PETTY012026</t>
  </si>
  <si>
    <t>11PETTY012026</t>
  </si>
  <si>
    <t xml:space="preserve">FINAL 2073 - CASA DOS MOTORES MANUTENÇÃO PREVENTIVA REF 12/2025
</t>
  </si>
  <si>
    <t>79</t>
  </si>
  <si>
    <t>Rebate de taxa referente ao mês 12</t>
  </si>
  <si>
    <t>713376227</t>
  </si>
  <si>
    <t xml:space="preserve">MAO DE OBRA EXTRA DE 29/12 A 31/12 REF 12/2025
</t>
  </si>
  <si>
    <t>122025</t>
  </si>
  <si>
    <t>GORJETA PRESTADORES ARMINDO/ JOSE/ LUIZ - PERIODO 20/11 A 19/12.REF 12/2025</t>
  </si>
  <si>
    <t>SERVIÇOS DE SEGURANÇA PERIODO DE 01/12 A 15/12 REF 12/2025</t>
  </si>
  <si>
    <t>DEZ2025</t>
  </si>
  <si>
    <t>Taxa Sobre Adquirência Integrada</t>
  </si>
  <si>
    <t>ACORDO 1/4</t>
  </si>
  <si>
    <t xml:space="preserve">   DARF IRRF ACORDO DE ALUGUEL 1/4</t>
  </si>
  <si>
    <t>219</t>
  </si>
  <si>
    <t>MENSALIDADE USO DA PLATAFORMA BLUEME 12/2025</t>
  </si>
  <si>
    <t>85977</t>
  </si>
  <si>
    <t>Exames Periodicos</t>
  </si>
  <si>
    <t>1795</t>
  </si>
  <si>
    <t>FAT 88</t>
  </si>
  <si>
    <t>SERVIÇOS DE SEGURANÇA PERIODO DE 15/12 A 31/12 REF 12/2025</t>
  </si>
  <si>
    <t xml:space="preserve">709344719 </t>
  </si>
  <si>
    <t>PERIODO 22-28/12/2025</t>
  </si>
  <si>
    <t xml:space="preserve">709356954 </t>
  </si>
  <si>
    <t>MAO DE OBRA EXTRA DE 22/12 A 28/12 REF 12/2025</t>
  </si>
  <si>
    <t xml:space="preserve">696444854 </t>
  </si>
  <si>
    <t>PERIODO 1-7/12/2025</t>
  </si>
  <si>
    <t>7534/7536</t>
  </si>
  <si>
    <t>631</t>
  </si>
  <si>
    <t xml:space="preserve"> ASSESSORIA DE IMPRENSA 12/2025
</t>
  </si>
  <si>
    <t xml:space="preserve"> Nº DA CONTA: 8999 2578 0713</t>
  </si>
  <si>
    <t>PARC13/35</t>
  </si>
  <si>
    <t xml:space="preserve">706159541  </t>
  </si>
  <si>
    <t>PERIODO 15-21/12/2025</t>
  </si>
  <si>
    <t xml:space="preserve">7066035004 </t>
  </si>
  <si>
    <t>MAO DE OBRA EXTRA DE 15/12 A 21/12  REF 12/2025</t>
  </si>
  <si>
    <t>PROV</t>
  </si>
  <si>
    <t xml:space="preserve">DESPESAS BANCARIAS - MENSALIDADE KAMINO </t>
  </si>
  <si>
    <t>136820890</t>
  </si>
  <si>
    <t>USUARIO 60834854 - 556,793 M3</t>
  </si>
  <si>
    <t>FERNANDO ARAUJO DA SILVA</t>
  </si>
  <si>
    <t>97</t>
  </si>
  <si>
    <t>COMPRA 20LTS GLICOL  REF 12/2025</t>
  </si>
  <si>
    <t>ELIZABETH BISPO 17087401807</t>
  </si>
  <si>
    <t>A VISTA 16122025</t>
  </si>
  <si>
    <t xml:space="preserve"> A VISTA - AGUA E GELO</t>
  </si>
  <si>
    <t>FAT 72</t>
  </si>
  <si>
    <t>PERIODO 1-15/12/2025</t>
  </si>
  <si>
    <t>PLAN 11012026</t>
  </si>
  <si>
    <t>2025124676786</t>
  </si>
  <si>
    <t>RGI 91806992</t>
  </si>
  <si>
    <t>BOL 685847546</t>
  </si>
  <si>
    <t>PERIODO 17-23/11/2025</t>
  </si>
  <si>
    <t xml:space="preserve">701337944 </t>
  </si>
  <si>
    <t>MAO DE OBRA EXTRA DE 08/12 A 14/12 REF 12/2025</t>
  </si>
  <si>
    <t>701250444</t>
  </si>
  <si>
    <t xml:space="preserve">PERIODO 8-14/12/2025 </t>
  </si>
  <si>
    <t xml:space="preserve">SERVETEC MANUTENÇÕES- NEILTON FERREIRA DE JESUS </t>
  </si>
  <si>
    <t>1032</t>
  </si>
  <si>
    <t>MANUTENÇÃO MAQUINA DE FRANGOS REF 12/2025</t>
  </si>
  <si>
    <t>4798</t>
  </si>
  <si>
    <t>198 PÁGINAS EM A4 NO VALOR DE R$0,06 CADA E 01 EQUIPAMENTO NO VALOR UNITÁRIO DE R$104,87, UM TOTAL</t>
  </si>
  <si>
    <t>019486116</t>
  </si>
  <si>
    <t>INSTALAÇÃO 58672109</t>
  </si>
  <si>
    <t>33581</t>
  </si>
  <si>
    <t xml:space="preserve"> LOCAÇÃO DE EQUIPAMENTOS DISPENSER FIO DENTAL, ESSENCIA ,ODORIZADOR REF 12/2025
</t>
  </si>
  <si>
    <t>PARC 5/6</t>
  </si>
  <si>
    <t>SEGURO PATRIMONIAL RATEIO</t>
  </si>
  <si>
    <t>168326</t>
  </si>
  <si>
    <t xml:space="preserve">ASSESSORIA FINANCEIRA - MENSALIDADE ABRASEL - 12/2025
</t>
  </si>
  <si>
    <t>4283</t>
  </si>
  <si>
    <t>34191570070442098084165843990006513030000055000</t>
  </si>
  <si>
    <t>019486117</t>
  </si>
  <si>
    <t>INST. 58672117</t>
  </si>
  <si>
    <t>696500182</t>
  </si>
  <si>
    <t>MAO DE OBRA EXTRA PERIODO DE 01/12 A 07/12 REF 12/2025</t>
  </si>
  <si>
    <t>FAT 649</t>
  </si>
  <si>
    <t xml:space="preserve">CLIENTE - OCULTO </t>
  </si>
  <si>
    <t>52010</t>
  </si>
  <si>
    <t>PERIODO 26/10-25/11/2025 - 100 SACOS</t>
  </si>
  <si>
    <t>BUSINESS TO SUCESS LTDA</t>
  </si>
  <si>
    <t>FERRAMENTO FALAÊ (CONTRATO 9 LOJAS RATEADO) - 05/2025</t>
  </si>
  <si>
    <t>A VISTA 04122025</t>
  </si>
  <si>
    <t>8755</t>
  </si>
  <si>
    <t>GERENCIAMENTO DE REDE AUTENTICACAO DE ACESSOS DE USUARIOS</t>
  </si>
  <si>
    <t>Nº da conta : 8999 2575 7114</t>
  </si>
  <si>
    <t>10039</t>
  </si>
  <si>
    <t xml:space="preserve">MENSALIDADE - Contrato: M145/24 RPS 14215 REF 12/2025
</t>
  </si>
  <si>
    <t>RUBENS OLIVEIRA ANDRADE DA SILVA</t>
  </si>
  <si>
    <t>563</t>
  </si>
  <si>
    <t>AGENCIA DE PROPAGANDA</t>
  </si>
  <si>
    <t>3853</t>
  </si>
  <si>
    <t>7559</t>
  </si>
  <si>
    <t>DISPLAY DE MESA REF 12/2025</t>
  </si>
  <si>
    <t>5002</t>
  </si>
  <si>
    <t>150002</t>
  </si>
  <si>
    <t>34PETTY122025</t>
  </si>
  <si>
    <t xml:space="preserve"> FINAL 2073 - REF 12/2025
</t>
  </si>
  <si>
    <t>209801 132025</t>
  </si>
  <si>
    <t>13/2025  - INSS sobre 2ª parcela 13º salário.</t>
  </si>
  <si>
    <t>PLAN 20122025</t>
  </si>
  <si>
    <t>54</t>
  </si>
  <si>
    <t>35PETTY122025</t>
  </si>
  <si>
    <t xml:space="preserve"> CARTAO FINAL 2333 - MUSICA AMBIENTE REF 12/2025</t>
  </si>
  <si>
    <t>PLAN 01122025</t>
  </si>
  <si>
    <t>AJUDA DE CUSTO</t>
  </si>
  <si>
    <t>PLAN 08122025</t>
  </si>
  <si>
    <t>PLAN 15122025</t>
  </si>
  <si>
    <t>FINAL 2190 - RATEIO ZENDESK CARTÃO DE CRÉDITO ESCRITÓRIO 12/2025</t>
  </si>
  <si>
    <t>REC 12</t>
  </si>
  <si>
    <t>FINAL 2190 - RATEIO TYPFORM CARTÃO DE CRÉDITO ESCRITÓRIO 12/2025</t>
  </si>
  <si>
    <t>36</t>
  </si>
  <si>
    <t>33PETTY122025</t>
  </si>
  <si>
    <t>36PETTY122025</t>
  </si>
  <si>
    <t>DARFs IRRF Sobre Aluguel 10/01/2026</t>
  </si>
  <si>
    <t>270000 122025</t>
  </si>
  <si>
    <t xml:space="preserve">GORJETA MARIVALDO 20/11 A 19/12. </t>
  </si>
  <si>
    <t>PJ 62690378000111</t>
  </si>
  <si>
    <t>11</t>
  </si>
  <si>
    <t xml:space="preserve">DISTRATO MARIA RITA </t>
  </si>
  <si>
    <t>506446244</t>
  </si>
  <si>
    <t>SISTEMA DE MONITORAMENTO REF 12/2025</t>
  </si>
  <si>
    <t>7532</t>
  </si>
  <si>
    <t xml:space="preserve">02 unds. Impressão para Cavalete - 120 unds. Display Mesa -100 unds. Cartas+Envelope Branco- 400 unds. Bandeirinhas de Petiscos -120 unds. Cardápios REF ANIVERSARIO LEO </t>
  </si>
  <si>
    <t>186348</t>
  </si>
  <si>
    <t>HIGIENE E LIMPEZA</t>
  </si>
  <si>
    <t>BOL 122025</t>
  </si>
  <si>
    <t>RP02</t>
  </si>
  <si>
    <t>SEGURANÇA DA RUA</t>
  </si>
  <si>
    <t>7476</t>
  </si>
  <si>
    <t xml:space="preserve">50 unidades Display de Mesa - 02 unds. Placas Banheiro </t>
  </si>
  <si>
    <t>24PETTY122025</t>
  </si>
  <si>
    <t xml:space="preserve">FINAL 2073 - REF 12/2025 - FALTA RECIBO
</t>
  </si>
  <si>
    <t>16PETTY122025</t>
  </si>
  <si>
    <t xml:space="preserve">FINAL 2073 - BANANA PARA PRODUÇÃO NÃO VEIO NO PEDIDO REF 12/2025
</t>
  </si>
  <si>
    <t>6922 122025</t>
  </si>
  <si>
    <t>15PETTY122025</t>
  </si>
  <si>
    <t xml:space="preserve">FINAL 2073 - LIMAO  PARA PRODUÇÃO NÃO VEIO NO PEDIDO REF 12/2025
</t>
  </si>
  <si>
    <t>BOL 77364</t>
  </si>
  <si>
    <t>Iptu - 2025 - parcela 10/10</t>
  </si>
  <si>
    <t>MARIA DE FATIMA ARAUJO DE OLIVEIRA</t>
  </si>
  <si>
    <t>1098</t>
  </si>
  <si>
    <t>MOELA USADA PARA O EVENTO DE ANIVERSÁRIO DO BAR</t>
  </si>
  <si>
    <t>14PETTY122025</t>
  </si>
  <si>
    <t xml:space="preserve">FINAL 2073 - ALFACE PARA PRODUÇÃO NÃO VEIO NO PEDIDO REF 12/2025
</t>
  </si>
  <si>
    <t>13PETTY122025</t>
  </si>
  <si>
    <t>12PETTY122025</t>
  </si>
  <si>
    <t xml:space="preserve">FINAL 2073 - QUIBELA PARA PRODUÇÃO NÃO VEIO NO PEDIDO REF 12/2025
</t>
  </si>
  <si>
    <t>11PETTY122025</t>
  </si>
  <si>
    <t xml:space="preserve">FINAL 2073 - MICROMOTOR MANUTENÇÃO PREVENTIVA REF 12/2025
</t>
  </si>
  <si>
    <t>10PETTY122025</t>
  </si>
  <si>
    <t xml:space="preserve">FINAL 2073 - FILTRO MANUTENÇÃO PREVENTIVA REF 12/2025
</t>
  </si>
  <si>
    <t>17PETTY122025</t>
  </si>
  <si>
    <t xml:space="preserve">FINAL 2073 - VALVULA E GAS MANUTENÇÃO PREVENTIVA REF 12/2025
</t>
  </si>
  <si>
    <t>9PETTY122025</t>
  </si>
  <si>
    <t xml:space="preserve">FINAL 2073 - DESCARTAVEIS  NÃO VEIO NO PEDIDO REF 12/2025
</t>
  </si>
  <si>
    <t>8PETTY122025</t>
  </si>
  <si>
    <t xml:space="preserve">FINAL 2073 - LEITE CONDENSADO  PARA PRODUÇÃO NÃO VEIO NO PEDIDO REF 12/2025
</t>
  </si>
  <si>
    <t>7PETTY122025</t>
  </si>
  <si>
    <t xml:space="preserve">FINAL 2073 - SACOLA E DESCARTAVEIS NÃO VEIO NO PEDIDO REF 12/2025
</t>
  </si>
  <si>
    <t>5PETTY122025</t>
  </si>
  <si>
    <t>FINAL 2073 - BATATA PARA PRODUÇÃO NÃO VEIO NO PEDIDO REF 12/2025</t>
  </si>
  <si>
    <t>2PETTY122025</t>
  </si>
  <si>
    <t xml:space="preserve"> FINAL 2073 - REF 12/2025</t>
  </si>
  <si>
    <t>1PETTY122025</t>
  </si>
  <si>
    <t>4PETTY122025</t>
  </si>
  <si>
    <t xml:space="preserve">FINAL 2073 - MARTELO MANUTENÇÃO PREVENTIVA REF 12/2025
</t>
  </si>
  <si>
    <t>3PETTY122025</t>
  </si>
  <si>
    <t xml:space="preserve">FINAL 2073 - CAIXA ACOPLADA MANUTENÇÃO PREVENTIVA REF 12/2025
</t>
  </si>
  <si>
    <t>22PETTY122025</t>
  </si>
  <si>
    <t>75</t>
  </si>
  <si>
    <t>31PETTY122025</t>
  </si>
  <si>
    <t>30PETTY122025</t>
  </si>
  <si>
    <t>29PETTY122025</t>
  </si>
  <si>
    <t>28PETTY122025</t>
  </si>
  <si>
    <t>FINAL 2073 - REF 12/2025</t>
  </si>
  <si>
    <t>27PETTY122025</t>
  </si>
  <si>
    <t>26PETTY122025</t>
  </si>
  <si>
    <t>25PETTY122025</t>
  </si>
  <si>
    <t>23PETTY122025</t>
  </si>
  <si>
    <t xml:space="preserve">FINAL 2073 - CONTADOR 3P 220V MANUTENÇÃO PREVENTIVA REF 12/2025
</t>
  </si>
  <si>
    <t>32PETTY122025</t>
  </si>
  <si>
    <t>21PETTY122025</t>
  </si>
  <si>
    <t>FINAL 2073 - ALFACE PARA PRODUÇÃO NÃO VEIO NO PEDIDO REF 12/2025</t>
  </si>
  <si>
    <t>20PETTY122025</t>
  </si>
  <si>
    <t xml:space="preserve">FINAL 2073 - SACO ALVEJADO 
</t>
  </si>
  <si>
    <t>19PETTY122025</t>
  </si>
  <si>
    <t xml:space="preserve">FINAL 2073 - COLHER NÃO VEIO NO PEDIDO REF 12/2025
</t>
  </si>
  <si>
    <t>10115</t>
  </si>
  <si>
    <t>Contrato: M145/24 - 50% PARCELA ADICIONAL ANUAL</t>
  </si>
  <si>
    <t>152545 122025</t>
  </si>
  <si>
    <t>SPTRANS COMP. 12/2025</t>
  </si>
  <si>
    <t>55620 122025</t>
  </si>
  <si>
    <t>TOP COMP. 12/2025</t>
  </si>
  <si>
    <t>18PETTY122025</t>
  </si>
  <si>
    <t xml:space="preserve">FINAL 2073 - PAO DE FORMA PARA PRODUÇÃO NÃO VEIO NO PEDIDO REF 12/2025
</t>
  </si>
  <si>
    <t>1/30</t>
  </si>
  <si>
    <t>ID_Loja</t>
  </si>
  <si>
    <t>Loja</t>
  </si>
  <si>
    <t>Data_Recebimento</t>
  </si>
  <si>
    <t>Valor_Cotacao</t>
  </si>
  <si>
    <t>Valor_Liq_Alimentos</t>
  </si>
  <si>
    <t>Valor_Liq_Bebidas</t>
  </si>
  <si>
    <t>Valor_Liq_Descart_Hig_Limp</t>
  </si>
  <si>
    <t>Valor_Gelo_Gas_Carvao_Velas</t>
  </si>
  <si>
    <t>Valor_Utensilios</t>
  </si>
  <si>
    <t>Valor_Liq_Outros</t>
  </si>
  <si>
    <t>IM</t>
  </si>
  <si>
    <t>228</t>
  </si>
  <si>
    <t>LATICINIOS PIRAMIDE LTDA</t>
  </si>
  <si>
    <t>86325</t>
  </si>
  <si>
    <t>WPP COMERCIO DE CARNES LTDA</t>
  </si>
  <si>
    <t>80310</t>
  </si>
  <si>
    <t>80115</t>
  </si>
  <si>
    <t>PSSS LTDA</t>
  </si>
  <si>
    <t>319</t>
  </si>
  <si>
    <t>MARCOS SILVA DO NASCIMENTO</t>
  </si>
  <si>
    <t>1104</t>
  </si>
  <si>
    <t>LPQBR RESTAURANTES E PADARIAS LTDA</t>
  </si>
  <si>
    <t>89084</t>
  </si>
  <si>
    <t>FRONT BEBIDAS LTDA</t>
  </si>
  <si>
    <t>810049</t>
  </si>
  <si>
    <t>MARIO PEDRO FELICIANO - HORTIFRUTI</t>
  </si>
  <si>
    <t>481491</t>
  </si>
  <si>
    <t>EAU - DISTRIBUIDORA DE AGUA MINERAL LTDA</t>
  </si>
  <si>
    <t>314171</t>
  </si>
  <si>
    <t>DTK COMERCIO DE ALIMENTOS LTDA</t>
  </si>
  <si>
    <t>87359</t>
  </si>
  <si>
    <t>87358</t>
  </si>
  <si>
    <t>DO CHEF DISTRIBUIDORA DE ALIMENTOS LTDA</t>
  </si>
  <si>
    <t>2691</t>
  </si>
  <si>
    <t>CRYSTALMIX COMERCIO E MANUTENCAO DE EQUI</t>
  </si>
  <si>
    <t>35237</t>
  </si>
  <si>
    <t>EMPORIO M&amp;L COMERCIO DE ALIM E BEBIDAS LTDA</t>
  </si>
  <si>
    <t>521051</t>
  </si>
  <si>
    <t>CECILIA TSUYACO ARAKI SILVA LTDA</t>
  </si>
  <si>
    <t>394511</t>
  </si>
  <si>
    <t>FNS COMERCIO E IMPORTAÇÃO LTDA</t>
  </si>
  <si>
    <t>393464</t>
  </si>
  <si>
    <t>88992</t>
  </si>
  <si>
    <t>80146</t>
  </si>
  <si>
    <t>80032</t>
  </si>
  <si>
    <t>NESTLE BRASIL LTDA</t>
  </si>
  <si>
    <t>6717644</t>
  </si>
  <si>
    <t>6725665</t>
  </si>
  <si>
    <t>1076</t>
  </si>
  <si>
    <t>88978</t>
  </si>
  <si>
    <t>393917</t>
  </si>
  <si>
    <t>393671</t>
  </si>
  <si>
    <t>518969</t>
  </si>
  <si>
    <t>518927</t>
  </si>
  <si>
    <t>480467</t>
  </si>
  <si>
    <t>479994</t>
  </si>
  <si>
    <t>312011</t>
  </si>
  <si>
    <t>2360</t>
  </si>
  <si>
    <t>DISTRIBUIDORA E IMPORTADORA IRMAOS AVELINO LTDA</t>
  </si>
  <si>
    <t>486762</t>
  </si>
  <si>
    <t>B.B DISTRIBUIDORA DE CARNES LTDA</t>
  </si>
  <si>
    <t>424221</t>
  </si>
  <si>
    <t>ANDREIA SANTOS FREITAS DUARTE</t>
  </si>
  <si>
    <t>2676</t>
  </si>
  <si>
    <t>DEOLINDA DOS SANTOS FREITAS</t>
  </si>
  <si>
    <t>2669</t>
  </si>
  <si>
    <t>AMBEV S. A. - CDD SAO PAULO</t>
  </si>
  <si>
    <t>229006</t>
  </si>
  <si>
    <t>218769</t>
  </si>
  <si>
    <t>35613</t>
  </si>
  <si>
    <t>NOVA COMERCIAL PESCADOS LTDA</t>
  </si>
  <si>
    <t>34488</t>
  </si>
  <si>
    <t>MULTIFRANGOS COMERCIO DE ALIMENTOS LTDA</t>
  </si>
  <si>
    <t>969553</t>
  </si>
  <si>
    <t>271</t>
  </si>
  <si>
    <t>PARAMU COMERCIO E REPRESENTACAO DE PRODUTOS ALIMENTICIOS</t>
  </si>
  <si>
    <t>18255</t>
  </si>
  <si>
    <t>DISTRIBUIDORA DPRO LTDA</t>
  </si>
  <si>
    <t>398286</t>
  </si>
  <si>
    <t>235270</t>
  </si>
  <si>
    <t>235271</t>
  </si>
  <si>
    <t>240877</t>
  </si>
  <si>
    <t>DISTRIBUIDORA ARENA VIP COMERCIO DE BEBIDAS LTDA</t>
  </si>
  <si>
    <t>12415</t>
  </si>
  <si>
    <t>FG7 COMERCIO E DISTRIBUICAO DE BEBIDAS LTDA</t>
  </si>
  <si>
    <t>815060</t>
  </si>
  <si>
    <t>J.K. COMERCIO DE GENEROS ALIMENICIOS LTDA</t>
  </si>
  <si>
    <t>1817</t>
  </si>
  <si>
    <t>520320</t>
  </si>
  <si>
    <t>86373</t>
  </si>
  <si>
    <t>AROUMAR DISTRIBUIDORA DE PRODUTOS ALIMENTICIOS LTDA</t>
  </si>
  <si>
    <t>1067670</t>
  </si>
  <si>
    <t xml:space="preserve">FORTE ALIMENTOS COM. IMPORTAÇÃO LTDA </t>
  </si>
  <si>
    <t>380435</t>
  </si>
  <si>
    <t>30.365.122 HIDEKI HENRIQUE KAWAMOTO</t>
  </si>
  <si>
    <t>1976</t>
  </si>
  <si>
    <t>2715</t>
  </si>
  <si>
    <t>80218</t>
  </si>
  <si>
    <t>1086</t>
  </si>
  <si>
    <t>394128</t>
  </si>
  <si>
    <t>394343</t>
  </si>
  <si>
    <t>2515</t>
  </si>
  <si>
    <t>480802</t>
  </si>
  <si>
    <t>2441</t>
  </si>
  <si>
    <t>2600</t>
  </si>
  <si>
    <t>481188</t>
  </si>
  <si>
    <t>394418</t>
  </si>
  <si>
    <t>2639</t>
  </si>
  <si>
    <t>89032</t>
  </si>
  <si>
    <t>JUNDIA FOODS DISTRIBUIDORA DE PRODUTOA ALIMENTICIOS LTDA</t>
  </si>
  <si>
    <t>633647</t>
  </si>
  <si>
    <t>KING COMERCIO E IMPORTACAO DE BEBIDAS LTDA</t>
  </si>
  <si>
    <t>128339</t>
  </si>
  <si>
    <t>RCS COMERCIAL DE ALIMENTOS LTDA</t>
  </si>
  <si>
    <t>11883</t>
  </si>
  <si>
    <t>86125</t>
  </si>
  <si>
    <t>188886</t>
  </si>
  <si>
    <t>35126</t>
  </si>
  <si>
    <t>35049</t>
  </si>
  <si>
    <t xml:space="preserve">NOVA MIX </t>
  </si>
  <si>
    <t>2655276</t>
  </si>
  <si>
    <t>227</t>
  </si>
  <si>
    <t>85896</t>
  </si>
  <si>
    <t>34951</t>
  </si>
  <si>
    <t>85207</t>
  </si>
  <si>
    <t>84752</t>
  </si>
  <si>
    <t>226</t>
  </si>
  <si>
    <t>85899</t>
  </si>
  <si>
    <t>968204</t>
  </si>
  <si>
    <t>34326</t>
  </si>
  <si>
    <t>18195</t>
  </si>
  <si>
    <t>VON BLUMENAU INDUSTRIA E COMERCIO LTDA</t>
  </si>
  <si>
    <t>4461</t>
  </si>
  <si>
    <t>LEITESOL INDUSTRIA E COMERCIO</t>
  </si>
  <si>
    <t>749551</t>
  </si>
  <si>
    <t>RIACHUELO 75 MATERIAIS HIDRAULICOS E ELETRICOS</t>
  </si>
  <si>
    <t>6256</t>
  </si>
  <si>
    <t>PRELUDIO CHARCUTARIA LTDA</t>
  </si>
  <si>
    <t>921</t>
  </si>
  <si>
    <t>PAPELNAP COMERCIO DE ARTIGOSDESCARTAVEIS LTDA</t>
  </si>
  <si>
    <t>1151</t>
  </si>
  <si>
    <t>1070</t>
  </si>
  <si>
    <t>88943</t>
  </si>
  <si>
    <t>1242</t>
  </si>
  <si>
    <t xml:space="preserve">807953 </t>
  </si>
  <si>
    <t xml:space="preserve">377927 </t>
  </si>
  <si>
    <t>809080</t>
  </si>
  <si>
    <t>393479</t>
  </si>
  <si>
    <t>393232</t>
  </si>
  <si>
    <t>518122</t>
  </si>
  <si>
    <t>517759</t>
  </si>
  <si>
    <t>517568</t>
  </si>
  <si>
    <t>479657</t>
  </si>
  <si>
    <t>84268</t>
  </si>
  <si>
    <t>83989</t>
  </si>
  <si>
    <t>2267</t>
  </si>
  <si>
    <t>2154</t>
  </si>
  <si>
    <t>79855</t>
  </si>
  <si>
    <t>79878</t>
  </si>
  <si>
    <t>2134</t>
  </si>
  <si>
    <t>DECOMARTIN IND. COM DE VID E CRIST</t>
  </si>
  <si>
    <t>31952</t>
  </si>
  <si>
    <t>DISTRIBUIDORA CÂNTAROS DO BRASIL EIRELI</t>
  </si>
  <si>
    <t>1064705</t>
  </si>
  <si>
    <t>2612</t>
  </si>
  <si>
    <t>211650</t>
  </si>
  <si>
    <t>211649</t>
  </si>
  <si>
    <t>35519</t>
  </si>
  <si>
    <t>34847</t>
  </si>
  <si>
    <t>395911</t>
  </si>
  <si>
    <t>83660</t>
  </si>
  <si>
    <t>224</t>
  </si>
  <si>
    <t>1956</t>
  </si>
  <si>
    <t>128032</t>
  </si>
  <si>
    <t>967319</t>
  </si>
  <si>
    <t>34162</t>
  </si>
  <si>
    <t>34195</t>
  </si>
  <si>
    <t>18142</t>
  </si>
  <si>
    <t>376734</t>
  </si>
  <si>
    <t>82957</t>
  </si>
  <si>
    <t>1063086</t>
  </si>
  <si>
    <t>CG FOOD´S DISTRIBUIDORA DE ALIMENTOS LTDA</t>
  </si>
  <si>
    <t>191325</t>
  </si>
  <si>
    <t>82530</t>
  </si>
  <si>
    <t>2713</t>
  </si>
  <si>
    <t>88900</t>
  </si>
  <si>
    <t>88875</t>
  </si>
  <si>
    <t>309629</t>
  </si>
  <si>
    <t>9680</t>
  </si>
  <si>
    <t>2594</t>
  </si>
  <si>
    <t>516398</t>
  </si>
  <si>
    <t>516677</t>
  </si>
  <si>
    <t>516396</t>
  </si>
  <si>
    <t>804716</t>
  </si>
  <si>
    <t>79737</t>
  </si>
  <si>
    <t>79738</t>
  </si>
  <si>
    <t>1043</t>
  </si>
  <si>
    <t>393065</t>
  </si>
  <si>
    <t>478602</t>
  </si>
  <si>
    <t>479017</t>
  </si>
  <si>
    <t>2010</t>
  </si>
  <si>
    <t>2710</t>
  </si>
  <si>
    <t>85438</t>
  </si>
  <si>
    <t>11784</t>
  </si>
  <si>
    <t>1056</t>
  </si>
  <si>
    <t>479306</t>
  </si>
  <si>
    <t>85631</t>
  </si>
  <si>
    <t>630530</t>
  </si>
  <si>
    <t xml:space="preserve">MS FRANGOS LTDA </t>
  </si>
  <si>
    <t>6820</t>
  </si>
  <si>
    <t>34695</t>
  </si>
  <si>
    <t>134</t>
  </si>
  <si>
    <t>392832</t>
  </si>
  <si>
    <t>965548</t>
  </si>
  <si>
    <t>11745</t>
  </si>
  <si>
    <t>FREIRE &amp; AMORIM COMERCIO DE PAES E ALIME</t>
  </si>
  <si>
    <t>16972</t>
  </si>
  <si>
    <t>HORTIFRUTI CIUFFI LTDA</t>
  </si>
  <si>
    <t>32030</t>
  </si>
  <si>
    <t>77</t>
  </si>
  <si>
    <t>MEAT HUNTER IMPORT EXPORT AND DISTRIBUTION LTDA</t>
  </si>
  <si>
    <t>10193</t>
  </si>
  <si>
    <t>1028</t>
  </si>
  <si>
    <t>6665788</t>
  </si>
  <si>
    <t>88842</t>
  </si>
  <si>
    <t>88792</t>
  </si>
  <si>
    <t>85127</t>
  </si>
  <si>
    <t>627857</t>
  </si>
  <si>
    <t xml:space="preserve">804979 </t>
  </si>
  <si>
    <t>375490</t>
  </si>
  <si>
    <t>375480</t>
  </si>
  <si>
    <t xml:space="preserve">374355 </t>
  </si>
  <si>
    <t>797354</t>
  </si>
  <si>
    <t>392662</t>
  </si>
  <si>
    <t>392426</t>
  </si>
  <si>
    <t xml:space="preserve">514223 </t>
  </si>
  <si>
    <t>515401</t>
  </si>
  <si>
    <t>515395</t>
  </si>
  <si>
    <t>514196</t>
  </si>
  <si>
    <t>478366</t>
  </si>
  <si>
    <t>478340</t>
  </si>
  <si>
    <t>477958</t>
  </si>
  <si>
    <t>308715</t>
  </si>
  <si>
    <t>81777</t>
  </si>
  <si>
    <t>81391</t>
  </si>
  <si>
    <t xml:space="preserve">80548 </t>
  </si>
  <si>
    <t>1825</t>
  </si>
  <si>
    <t>1948</t>
  </si>
  <si>
    <t>2680</t>
  </si>
  <si>
    <t>2628</t>
  </si>
  <si>
    <t xml:space="preserve"> 2546</t>
  </si>
  <si>
    <t>BRASALIMENT IND E COMERCIO DE CARNES LTD</t>
  </si>
  <si>
    <t>704666</t>
  </si>
  <si>
    <t>188885</t>
  </si>
  <si>
    <t>192923</t>
  </si>
  <si>
    <t xml:space="preserve">422002 </t>
  </si>
  <si>
    <t>421871</t>
  </si>
  <si>
    <t>1061734</t>
  </si>
  <si>
    <t>1060509</t>
  </si>
  <si>
    <t>964173</t>
  </si>
  <si>
    <t>744913</t>
  </si>
  <si>
    <t>31940</t>
  </si>
  <si>
    <t>79496</t>
  </si>
  <si>
    <t>2759</t>
  </si>
  <si>
    <t>176046</t>
  </si>
  <si>
    <t>392253</t>
  </si>
  <si>
    <t>392297</t>
  </si>
  <si>
    <t>392279</t>
  </si>
  <si>
    <t>31878</t>
  </si>
  <si>
    <t>9548</t>
  </si>
  <si>
    <t>221</t>
  </si>
  <si>
    <t>34435</t>
  </si>
  <si>
    <t>477293</t>
  </si>
  <si>
    <t>1708</t>
  </si>
  <si>
    <t>31779</t>
  </si>
  <si>
    <t>392051</t>
  </si>
  <si>
    <t>33673</t>
  </si>
  <si>
    <t>1017</t>
  </si>
  <si>
    <t>79351</t>
  </si>
  <si>
    <t>79345</t>
  </si>
  <si>
    <t>CALDEIRAO CONSERVS ALIMENTICIAS LTDA</t>
  </si>
  <si>
    <t>43971</t>
  </si>
  <si>
    <t>80311</t>
  </si>
  <si>
    <t>8104</t>
  </si>
  <si>
    <t>514020</t>
  </si>
  <si>
    <t>513799</t>
  </si>
  <si>
    <t>2585</t>
  </si>
  <si>
    <t>171835</t>
  </si>
  <si>
    <t>84903</t>
  </si>
  <si>
    <t>CEPEL COMERCIO DE PAPEIS E EMBALAGENS LTDA</t>
  </si>
  <si>
    <t>647</t>
  </si>
  <si>
    <t>1668</t>
  </si>
  <si>
    <t>1556</t>
  </si>
  <si>
    <t>476518</t>
  </si>
  <si>
    <t>84799</t>
  </si>
  <si>
    <t>1003</t>
  </si>
  <si>
    <t>9824</t>
  </si>
  <si>
    <t>79181</t>
  </si>
  <si>
    <t>421215</t>
  </si>
  <si>
    <t>2574</t>
  </si>
  <si>
    <t>373100</t>
  </si>
  <si>
    <t>2592</t>
  </si>
  <si>
    <t>79330</t>
  </si>
  <si>
    <t>79043</t>
  </si>
  <si>
    <t>513663</t>
  </si>
  <si>
    <t>513291</t>
  </si>
  <si>
    <t>512991</t>
  </si>
  <si>
    <t>793283</t>
  </si>
  <si>
    <t>306158</t>
  </si>
  <si>
    <t>167437</t>
  </si>
  <si>
    <t>167436</t>
  </si>
  <si>
    <t>165277</t>
  </si>
  <si>
    <t>163013</t>
  </si>
  <si>
    <t>163014</t>
  </si>
  <si>
    <t>31790</t>
  </si>
  <si>
    <t>JJR PECAS E BORRACHAS PARA GELADEIRA LTDA</t>
  </si>
  <si>
    <t>2259</t>
  </si>
  <si>
    <t>88714</t>
  </si>
  <si>
    <t>220</t>
  </si>
  <si>
    <t>3701</t>
  </si>
  <si>
    <t>31726</t>
  </si>
  <si>
    <t>31639</t>
  </si>
  <si>
    <t>391873</t>
  </si>
  <si>
    <t>391652</t>
  </si>
  <si>
    <t>84699</t>
  </si>
  <si>
    <t>961226</t>
  </si>
  <si>
    <t>88700</t>
  </si>
  <si>
    <t>88681</t>
  </si>
  <si>
    <t>11633</t>
  </si>
  <si>
    <t>79863</t>
  </si>
  <si>
    <t>127219</t>
  </si>
  <si>
    <t>392455</t>
  </si>
  <si>
    <t>156427</t>
  </si>
  <si>
    <t>305068</t>
  </si>
  <si>
    <t>511650</t>
  </si>
  <si>
    <t>512111</t>
  </si>
  <si>
    <t>512074</t>
  </si>
  <si>
    <t>2728</t>
  </si>
  <si>
    <t>78122</t>
  </si>
  <si>
    <t>78121</t>
  </si>
  <si>
    <t>371895</t>
  </si>
  <si>
    <t>2541</t>
  </si>
  <si>
    <t>1057499</t>
  </si>
  <si>
    <t>9650</t>
  </si>
  <si>
    <t>1897</t>
  </si>
  <si>
    <t>9692</t>
  </si>
  <si>
    <t>78979</t>
  </si>
  <si>
    <t>79019</t>
  </si>
  <si>
    <t>79051</t>
  </si>
  <si>
    <t>978</t>
  </si>
  <si>
    <t>475728</t>
  </si>
  <si>
    <t>476215</t>
  </si>
  <si>
    <t>1386</t>
  </si>
  <si>
    <t>1503</t>
  </si>
  <si>
    <t>2527</t>
  </si>
  <si>
    <t>152511</t>
  </si>
  <si>
    <t>127044</t>
  </si>
  <si>
    <t>622573</t>
  </si>
  <si>
    <t>960617</t>
  </si>
  <si>
    <t>2629538</t>
  </si>
  <si>
    <t>34164</t>
  </si>
  <si>
    <t>3659</t>
  </si>
  <si>
    <t>391468</t>
  </si>
  <si>
    <t>391238</t>
  </si>
  <si>
    <t>84437</t>
  </si>
  <si>
    <t>6432515</t>
  </si>
  <si>
    <t>217</t>
  </si>
  <si>
    <t>16789</t>
  </si>
  <si>
    <t>474473</t>
  </si>
  <si>
    <t>88578</t>
  </si>
  <si>
    <t>391087</t>
  </si>
  <si>
    <t>475478</t>
  </si>
  <si>
    <t>1339</t>
  </si>
  <si>
    <t>973</t>
  </si>
  <si>
    <t>84195</t>
  </si>
  <si>
    <t>371176</t>
  </si>
  <si>
    <t>76639</t>
  </si>
  <si>
    <t>420154</t>
  </si>
  <si>
    <t>78882</t>
  </si>
  <si>
    <t>1250</t>
  </si>
  <si>
    <t>420036</t>
  </si>
  <si>
    <t>475094</t>
  </si>
  <si>
    <t>475180</t>
  </si>
  <si>
    <t>2510</t>
  </si>
  <si>
    <t>510397</t>
  </si>
  <si>
    <t>510316</t>
  </si>
  <si>
    <t>1055935</t>
  </si>
  <si>
    <t>1883</t>
  </si>
  <si>
    <t>77019</t>
  </si>
  <si>
    <t>739986</t>
  </si>
  <si>
    <t>2576</t>
  </si>
  <si>
    <t>786302</t>
  </si>
  <si>
    <t xml:space="preserve">565982 </t>
  </si>
  <si>
    <t>142320</t>
  </si>
  <si>
    <t>135159</t>
  </si>
  <si>
    <t>131744</t>
  </si>
  <si>
    <t>88562</t>
  </si>
  <si>
    <t>3606</t>
  </si>
  <si>
    <t>2625916</t>
  </si>
  <si>
    <t>390744</t>
  </si>
  <si>
    <t>390898</t>
  </si>
  <si>
    <t>78793</t>
  </si>
  <si>
    <t>NATURAL FRESH FRUIT COMERCIO DE POLPAS DE FRUTAS LTDA</t>
  </si>
  <si>
    <t>2839</t>
  </si>
  <si>
    <t>1124</t>
  </si>
  <si>
    <t>474733</t>
  </si>
  <si>
    <t>1196</t>
  </si>
  <si>
    <t>9331</t>
  </si>
  <si>
    <t>961</t>
  </si>
  <si>
    <t>78754</t>
  </si>
  <si>
    <t>419565</t>
  </si>
  <si>
    <t>2462</t>
  </si>
  <si>
    <t>508561</t>
  </si>
  <si>
    <t>1868</t>
  </si>
  <si>
    <t>1054705</t>
  </si>
  <si>
    <t>369565</t>
  </si>
  <si>
    <t>75785</t>
  </si>
  <si>
    <t>509512</t>
  </si>
  <si>
    <t>508856</t>
  </si>
  <si>
    <t>508559</t>
  </si>
  <si>
    <t>782109</t>
  </si>
  <si>
    <t>302759</t>
  </si>
  <si>
    <t>124933</t>
  </si>
  <si>
    <t>75586</t>
  </si>
  <si>
    <t>88530</t>
  </si>
  <si>
    <t>88472</t>
  </si>
  <si>
    <t>88516</t>
  </si>
  <si>
    <t>216</t>
  </si>
  <si>
    <t>DISTRIBUIDORA FLD DE HORTIFRUTIGRANJEIROS LTDA</t>
  </si>
  <si>
    <t>406139</t>
  </si>
  <si>
    <t>83947</t>
  </si>
  <si>
    <t>33875</t>
  </si>
  <si>
    <t>390555</t>
  </si>
  <si>
    <t>390562</t>
  </si>
  <si>
    <t>33001</t>
  </si>
  <si>
    <t>CASA DE CARNES P.J.J.LTDA</t>
  </si>
  <si>
    <t>46232</t>
  </si>
  <si>
    <t xml:space="preserve">LATICINIOS CATUPIRY LTDA </t>
  </si>
  <si>
    <t xml:space="preserve">5001899951  </t>
  </si>
  <si>
    <t>618836</t>
  </si>
  <si>
    <t>126701</t>
  </si>
  <si>
    <t>3567</t>
  </si>
  <si>
    <t>88380</t>
  </si>
  <si>
    <t>88422</t>
  </si>
  <si>
    <t>112370</t>
  </si>
  <si>
    <t>117646</t>
  </si>
  <si>
    <t>117647</t>
  </si>
  <si>
    <t>108887</t>
  </si>
  <si>
    <t xml:space="preserve">6523901 </t>
  </si>
  <si>
    <t>4340</t>
  </si>
  <si>
    <t>800287</t>
  </si>
  <si>
    <t>473709</t>
  </si>
  <si>
    <t>507250</t>
  </si>
  <si>
    <t>74834</t>
  </si>
  <si>
    <t>74572</t>
  </si>
  <si>
    <t>2427</t>
  </si>
  <si>
    <t>83725</t>
  </si>
  <si>
    <t>945</t>
  </si>
  <si>
    <t>418928</t>
  </si>
  <si>
    <t>78597</t>
  </si>
  <si>
    <t>9121</t>
  </si>
  <si>
    <t>MURILLO S DUARTE COMERCIAL LTDA</t>
  </si>
  <si>
    <t>2414</t>
  </si>
  <si>
    <t>507865</t>
  </si>
  <si>
    <t>1064</t>
  </si>
  <si>
    <t>474060</t>
  </si>
  <si>
    <t>699177</t>
  </si>
  <si>
    <t>215</t>
  </si>
  <si>
    <t>3520</t>
  </si>
  <si>
    <t>390354</t>
  </si>
  <si>
    <t>2618059</t>
  </si>
  <si>
    <t>11440</t>
  </si>
  <si>
    <t>390128</t>
  </si>
  <si>
    <t>126542</t>
  </si>
  <si>
    <t>88451</t>
  </si>
  <si>
    <t>73987</t>
  </si>
  <si>
    <t>894</t>
  </si>
  <si>
    <t>2563</t>
  </si>
  <si>
    <t>418564</t>
  </si>
  <si>
    <t>418464</t>
  </si>
  <si>
    <t>1052214</t>
  </si>
  <si>
    <t>100757</t>
  </si>
  <si>
    <t>99353</t>
  </si>
  <si>
    <t>94229</t>
  </si>
  <si>
    <t>33141</t>
  </si>
  <si>
    <t xml:space="preserve">300170 </t>
  </si>
  <si>
    <t>472935</t>
  </si>
  <si>
    <t>473326</t>
  </si>
  <si>
    <t>505350</t>
  </si>
  <si>
    <t>505534</t>
  </si>
  <si>
    <t>505933</t>
  </si>
  <si>
    <t>367652</t>
  </si>
  <si>
    <t>387692</t>
  </si>
  <si>
    <t>930</t>
  </si>
  <si>
    <t xml:space="preserve">6514999 </t>
  </si>
  <si>
    <t>78452</t>
  </si>
  <si>
    <t>213</t>
  </si>
  <si>
    <t xml:space="preserve">389730 </t>
  </si>
  <si>
    <t xml:space="preserve">389957 </t>
  </si>
  <si>
    <t>126385</t>
  </si>
  <si>
    <t>83486</t>
  </si>
  <si>
    <t>1851</t>
  </si>
  <si>
    <t>6187</t>
  </si>
  <si>
    <t>32733</t>
  </si>
  <si>
    <t>17489</t>
  </si>
  <si>
    <t>3484</t>
  </si>
  <si>
    <t>470123</t>
  </si>
  <si>
    <t>16629</t>
  </si>
  <si>
    <t>78330</t>
  </si>
  <si>
    <t>472669</t>
  </si>
  <si>
    <t>389640</t>
  </si>
  <si>
    <t>389636</t>
  </si>
  <si>
    <t>472177</t>
  </si>
  <si>
    <t>3455</t>
  </si>
  <si>
    <t>389391</t>
  </si>
  <si>
    <t>72169</t>
  </si>
  <si>
    <t>11346</t>
  </si>
  <si>
    <t>83286</t>
  </si>
  <si>
    <t>17415</t>
  </si>
  <si>
    <t>904</t>
  </si>
  <si>
    <t>MAR DIRETO POC COMERCIO DE PEIXES LTDA</t>
  </si>
  <si>
    <t>120306</t>
  </si>
  <si>
    <t>504283</t>
  </si>
  <si>
    <t>649</t>
  </si>
  <si>
    <t>33513</t>
  </si>
  <si>
    <t>417850</t>
  </si>
  <si>
    <t>88389</t>
  </si>
  <si>
    <t>33043</t>
  </si>
  <si>
    <t xml:space="preserve">ARENA VIP DISTRIBUIDORA DE BEBIDAS LTDA </t>
  </si>
  <si>
    <t>2923</t>
  </si>
  <si>
    <t>798561</t>
  </si>
  <si>
    <t>612584</t>
  </si>
  <si>
    <t>61427</t>
  </si>
  <si>
    <t>65868</t>
  </si>
  <si>
    <t>74483</t>
  </si>
  <si>
    <t>1583</t>
  </si>
  <si>
    <t>1047804</t>
  </si>
  <si>
    <t>1049023</t>
  </si>
  <si>
    <t>416798</t>
  </si>
  <si>
    <t>417278</t>
  </si>
  <si>
    <t>417427</t>
  </si>
  <si>
    <t>261031</t>
  </si>
  <si>
    <t>305</t>
  </si>
  <si>
    <t>384</t>
  </si>
  <si>
    <t>478</t>
  </si>
  <si>
    <t>71306</t>
  </si>
  <si>
    <t>297823</t>
  </si>
  <si>
    <t>470696</t>
  </si>
  <si>
    <t>471008</t>
  </si>
  <si>
    <t>471382</t>
  </si>
  <si>
    <t>501635</t>
  </si>
  <si>
    <t>502034</t>
  </si>
  <si>
    <t>502223</t>
  </si>
  <si>
    <t>503368</t>
  </si>
  <si>
    <t>385348</t>
  </si>
  <si>
    <t>877</t>
  </si>
  <si>
    <t>2530</t>
  </si>
  <si>
    <t>2538</t>
  </si>
  <si>
    <t>2544</t>
  </si>
  <si>
    <t>2489</t>
  </si>
  <si>
    <t>78018</t>
  </si>
  <si>
    <t>78046</t>
  </si>
  <si>
    <t>78165</t>
  </si>
  <si>
    <t>70585</t>
  </si>
  <si>
    <t>2079</t>
  </si>
  <si>
    <t>71924</t>
  </si>
  <si>
    <t>582</t>
  </si>
  <si>
    <t>471784</t>
  </si>
  <si>
    <t>71925</t>
  </si>
  <si>
    <t>32428</t>
  </si>
  <si>
    <t>79240</t>
  </si>
  <si>
    <t>898</t>
  </si>
  <si>
    <t>389212</t>
  </si>
  <si>
    <t>211</t>
  </si>
  <si>
    <t>2607145</t>
  </si>
  <si>
    <t>TRAMONTINA SUDESTE S.A</t>
  </si>
  <si>
    <t>2451617</t>
  </si>
  <si>
    <t>3401</t>
  </si>
  <si>
    <t>830</t>
  </si>
  <si>
    <t>17350</t>
  </si>
  <si>
    <t>32281</t>
  </si>
  <si>
    <t>11299</t>
  </si>
  <si>
    <t>86044</t>
  </si>
  <si>
    <t>764822</t>
  </si>
  <si>
    <t>388994</t>
  </si>
  <si>
    <t>470420</t>
  </si>
  <si>
    <t>70514</t>
  </si>
  <si>
    <t>33377</t>
  </si>
  <si>
    <t>82847</t>
  </si>
  <si>
    <t>608905</t>
  </si>
  <si>
    <t>1811</t>
  </si>
  <si>
    <t>951166</t>
  </si>
  <si>
    <t>17272</t>
  </si>
  <si>
    <t>824</t>
  </si>
  <si>
    <t>3362</t>
  </si>
  <si>
    <t>3363</t>
  </si>
  <si>
    <t>Scala Convertedora de Papeis Ltda</t>
  </si>
  <si>
    <t xml:space="preserve">86864 </t>
  </si>
  <si>
    <t>388812</t>
  </si>
  <si>
    <t>210</t>
  </si>
  <si>
    <t>388583</t>
  </si>
  <si>
    <t>77791</t>
  </si>
  <si>
    <t>2459</t>
  </si>
  <si>
    <t>852</t>
  </si>
  <si>
    <t>66671</t>
  </si>
  <si>
    <t>40823</t>
  </si>
  <si>
    <t>469591</t>
  </si>
  <si>
    <t>3302</t>
  </si>
  <si>
    <t>388179</t>
  </si>
  <si>
    <t>388387</t>
  </si>
  <si>
    <t>82571</t>
  </si>
  <si>
    <t>125888</t>
  </si>
  <si>
    <t>PIRAMIDES COMERCIO DE AGUAS MINEIRAIS E BEBIDAS EM GERAL LTDA</t>
  </si>
  <si>
    <t>149048</t>
  </si>
  <si>
    <t>950073</t>
  </si>
  <si>
    <t>53493-53495</t>
  </si>
  <si>
    <t>48691</t>
  </si>
  <si>
    <t>69252</t>
  </si>
  <si>
    <t>362851</t>
  </si>
  <si>
    <t>500905</t>
  </si>
  <si>
    <t>416263</t>
  </si>
  <si>
    <t>CALEBE EQUIPAMENTOS INDUSTRIAIS EIRELI</t>
  </si>
  <si>
    <t>13148</t>
  </si>
  <si>
    <t>12076</t>
  </si>
  <si>
    <t>500641</t>
  </si>
  <si>
    <t>2445</t>
  </si>
  <si>
    <t>69027</t>
  </si>
  <si>
    <t>77852</t>
  </si>
  <si>
    <t>469970</t>
  </si>
  <si>
    <t>120</t>
  </si>
  <si>
    <t>234</t>
  </si>
  <si>
    <t>470360</t>
  </si>
  <si>
    <t>6429549</t>
  </si>
  <si>
    <t>208</t>
  </si>
  <si>
    <t>45791</t>
  </si>
  <si>
    <t>2596209</t>
  </si>
  <si>
    <t>31909</t>
  </si>
  <si>
    <t>207</t>
  </si>
  <si>
    <t>16459</t>
  </si>
  <si>
    <t>387986</t>
  </si>
  <si>
    <t>REBAL COMERCIAL LTDA</t>
  </si>
  <si>
    <t>295001</t>
  </si>
  <si>
    <t>22696</t>
  </si>
  <si>
    <t>27379</t>
  </si>
  <si>
    <t>37112</t>
  </si>
  <si>
    <t>28721</t>
  </si>
  <si>
    <t>1043071</t>
  </si>
  <si>
    <t>1044517</t>
  </si>
  <si>
    <t>ATELIE GASTRONOMICO E UTENSILIOS LTDA</t>
  </si>
  <si>
    <t>287</t>
  </si>
  <si>
    <t>2535</t>
  </si>
  <si>
    <t>32960</t>
  </si>
  <si>
    <t>66672</t>
  </si>
  <si>
    <t>67791</t>
  </si>
  <si>
    <t>468560</t>
  </si>
  <si>
    <t>468960</t>
  </si>
  <si>
    <t>469276</t>
  </si>
  <si>
    <t>497710</t>
  </si>
  <si>
    <t>498249</t>
  </si>
  <si>
    <t>499274</t>
  </si>
  <si>
    <t>499608</t>
  </si>
  <si>
    <t>387761</t>
  </si>
  <si>
    <t xml:space="preserve">360351 </t>
  </si>
  <si>
    <t xml:space="preserve">361396 </t>
  </si>
  <si>
    <t>361613</t>
  </si>
  <si>
    <t>77733</t>
  </si>
  <si>
    <t>77540</t>
  </si>
  <si>
    <t>4381</t>
  </si>
  <si>
    <t>3257</t>
  </si>
  <si>
    <t xml:space="preserve">794385 </t>
  </si>
  <si>
    <t>ZEON REFRIGERAÇÃO LTDA</t>
  </si>
  <si>
    <t>82965</t>
  </si>
  <si>
    <t xml:space="preserve">82959 </t>
  </si>
  <si>
    <t>82951</t>
  </si>
  <si>
    <t xml:space="preserve">HORTIFRUTI DO CHEF LTDA </t>
  </si>
  <si>
    <t>29290</t>
  </si>
  <si>
    <t>29381</t>
  </si>
  <si>
    <t>29459</t>
  </si>
  <si>
    <t>603885</t>
  </si>
  <si>
    <t>82349</t>
  </si>
  <si>
    <t>82390</t>
  </si>
  <si>
    <t>82391</t>
  </si>
  <si>
    <t>836</t>
  </si>
  <si>
    <t>948508</t>
  </si>
  <si>
    <t>2352</t>
  </si>
  <si>
    <t>2366</t>
  </si>
  <si>
    <t>2379</t>
  </si>
  <si>
    <t>2394</t>
  </si>
  <si>
    <t>2407</t>
  </si>
  <si>
    <t>804</t>
  </si>
  <si>
    <t>206</t>
  </si>
  <si>
    <t>45729</t>
  </si>
  <si>
    <t>387361</t>
  </si>
  <si>
    <t>387562</t>
  </si>
  <si>
    <t>387598</t>
  </si>
  <si>
    <t>753716</t>
  </si>
  <si>
    <t>754666</t>
  </si>
  <si>
    <t>793716</t>
  </si>
  <si>
    <t>1768</t>
  </si>
  <si>
    <t>82126</t>
  </si>
  <si>
    <t>816</t>
  </si>
  <si>
    <t>11127</t>
  </si>
  <si>
    <t>946853</t>
  </si>
  <si>
    <t>2592580</t>
  </si>
  <si>
    <t>3209</t>
  </si>
  <si>
    <t xml:space="preserve">BGC COMERCIO DE UTENSILIOS </t>
  </si>
  <si>
    <t>2104</t>
  </si>
  <si>
    <t>28337</t>
  </si>
  <si>
    <t>1042473</t>
  </si>
  <si>
    <t>414742</t>
  </si>
  <si>
    <t>414743</t>
  </si>
  <si>
    <t>65979</t>
  </si>
  <si>
    <t>292268</t>
  </si>
  <si>
    <t>468037</t>
  </si>
  <si>
    <t>468183</t>
  </si>
  <si>
    <t>497280</t>
  </si>
  <si>
    <t>382190</t>
  </si>
  <si>
    <t>792661</t>
  </si>
  <si>
    <t>29167</t>
  </si>
  <si>
    <t>29213</t>
  </si>
  <si>
    <t>82026</t>
  </si>
  <si>
    <t>807</t>
  </si>
  <si>
    <t>2335</t>
  </si>
  <si>
    <t>2341</t>
  </si>
  <si>
    <t>790</t>
  </si>
  <si>
    <t>a</t>
  </si>
  <si>
    <t>9562</t>
  </si>
  <si>
    <t>11679</t>
  </si>
  <si>
    <t>692444</t>
  </si>
  <si>
    <t>203</t>
  </si>
  <si>
    <t>387172</t>
  </si>
  <si>
    <t>387026</t>
  </si>
  <si>
    <t>32730</t>
  </si>
  <si>
    <t>3187</t>
  </si>
  <si>
    <t>31396</t>
  </si>
  <si>
    <t>781</t>
  </si>
  <si>
    <t>793</t>
  </si>
  <si>
    <t>2285</t>
  </si>
  <si>
    <t>2288</t>
  </si>
  <si>
    <t>778</t>
  </si>
  <si>
    <t>77241</t>
  </si>
  <si>
    <t>77295</t>
  </si>
  <si>
    <t>77323</t>
  </si>
  <si>
    <t>997228</t>
  </si>
  <si>
    <t>999949</t>
  </si>
  <si>
    <t>999950</t>
  </si>
  <si>
    <t>414204</t>
  </si>
  <si>
    <t xml:space="preserve">179025 </t>
  </si>
  <si>
    <t>64689</t>
  </si>
  <si>
    <t>291683</t>
  </si>
  <si>
    <t>2588</t>
  </si>
  <si>
    <t>467299</t>
  </si>
  <si>
    <t>467593</t>
  </si>
  <si>
    <t>495721</t>
  </si>
  <si>
    <t>495928</t>
  </si>
  <si>
    <t xml:space="preserve">747307 </t>
  </si>
  <si>
    <t>791424</t>
  </si>
  <si>
    <t>1741</t>
  </si>
  <si>
    <t>29097</t>
  </si>
  <si>
    <t>29021</t>
  </si>
  <si>
    <t>16685</t>
  </si>
  <si>
    <t>3118</t>
  </si>
  <si>
    <t>CRYSTALMIXX-GAS COMERCIO E MANUTENCAO DE EQUIPAMENTOS DE GAS LTDA</t>
  </si>
  <si>
    <t xml:space="preserve">32550 </t>
  </si>
  <si>
    <t>386558</t>
  </si>
  <si>
    <t>386812</t>
  </si>
  <si>
    <t>596371</t>
  </si>
  <si>
    <t>81831</t>
  </si>
  <si>
    <t>81844</t>
  </si>
  <si>
    <t>16938</t>
  </si>
  <si>
    <t>6330269</t>
  </si>
  <si>
    <t>77042</t>
  </si>
  <si>
    <t>77130</t>
  </si>
  <si>
    <t>77166</t>
  </si>
  <si>
    <t>31174</t>
  </si>
  <si>
    <t>31207</t>
  </si>
  <si>
    <t>31258</t>
  </si>
  <si>
    <t>984244</t>
  </si>
  <si>
    <t>986859</t>
  </si>
  <si>
    <t>993534</t>
  </si>
  <si>
    <t>1039484</t>
  </si>
  <si>
    <t>2517</t>
  </si>
  <si>
    <t>63685</t>
  </si>
  <si>
    <t xml:space="preserve">63893 </t>
  </si>
  <si>
    <t>466621</t>
  </si>
  <si>
    <t>466932</t>
  </si>
  <si>
    <t>493881</t>
  </si>
  <si>
    <t>494462</t>
  </si>
  <si>
    <t>494772</t>
  </si>
  <si>
    <t>494836</t>
  </si>
  <si>
    <t xml:space="preserve">355822 </t>
  </si>
  <si>
    <t xml:space="preserve">744369 </t>
  </si>
  <si>
    <t xml:space="preserve">356616 </t>
  </si>
  <si>
    <t>28840</t>
  </si>
  <si>
    <t>28890</t>
  </si>
  <si>
    <t>28943</t>
  </si>
  <si>
    <t>81608</t>
  </si>
  <si>
    <t>770</t>
  </si>
  <si>
    <t>776</t>
  </si>
  <si>
    <t>2248</t>
  </si>
  <si>
    <t>2257</t>
  </si>
  <si>
    <t xml:space="preserve">6330658 </t>
  </si>
  <si>
    <t>6318727</t>
  </si>
  <si>
    <t>386142</t>
  </si>
  <si>
    <t>386385</t>
  </si>
  <si>
    <t>EVA FATIMA LORINI</t>
  </si>
  <si>
    <t>202</t>
  </si>
  <si>
    <t>BERNARDO FREIRE DE AGUIAR -ARTISTA</t>
  </si>
  <si>
    <t>16320</t>
  </si>
  <si>
    <t>81568</t>
  </si>
  <si>
    <t>943424</t>
  </si>
  <si>
    <t>3074</t>
  </si>
  <si>
    <t>ZEON REGRIGERAÇÃO LTDA</t>
  </si>
  <si>
    <t>80736</t>
  </si>
  <si>
    <t>80714</t>
  </si>
  <si>
    <t>957955</t>
  </si>
  <si>
    <t>962267</t>
  </si>
  <si>
    <t>493811</t>
  </si>
  <si>
    <t>355647</t>
  </si>
  <si>
    <t>789347</t>
  </si>
  <si>
    <t>28670</t>
  </si>
  <si>
    <t>28758</t>
  </si>
  <si>
    <t>760</t>
  </si>
  <si>
    <t>76970</t>
  </si>
  <si>
    <t>30869</t>
  </si>
  <si>
    <t>971376</t>
  </si>
  <si>
    <t>971377</t>
  </si>
  <si>
    <t>975951</t>
  </si>
  <si>
    <t>977578</t>
  </si>
  <si>
    <t>2471</t>
  </si>
  <si>
    <t>2479</t>
  </si>
  <si>
    <t>2518</t>
  </si>
  <si>
    <t>2536</t>
  </si>
  <si>
    <t>412999</t>
  </si>
  <si>
    <t>62795</t>
  </si>
  <si>
    <t>63202</t>
  </si>
  <si>
    <t>288513</t>
  </si>
  <si>
    <t>465102</t>
  </si>
  <si>
    <t>466123</t>
  </si>
  <si>
    <t>30974</t>
  </si>
  <si>
    <t>942075</t>
  </si>
  <si>
    <t>199</t>
  </si>
  <si>
    <t>198</t>
  </si>
  <si>
    <t>385969</t>
  </si>
  <si>
    <t>492017</t>
  </si>
  <si>
    <t>491984</t>
  </si>
  <si>
    <t>32284</t>
  </si>
  <si>
    <t>61280</t>
  </si>
  <si>
    <t>MERCADO PAGO.COM REPRESENTACOES LTDA</t>
  </si>
  <si>
    <t>103428</t>
  </si>
  <si>
    <t>177645</t>
  </si>
  <si>
    <t>412454</t>
  </si>
  <si>
    <t>957956</t>
  </si>
  <si>
    <t>AD ZUPA COMERCIAL LTDA</t>
  </si>
  <si>
    <t>4082</t>
  </si>
  <si>
    <t>42621</t>
  </si>
  <si>
    <t>76832</t>
  </si>
  <si>
    <t>76750</t>
  </si>
  <si>
    <t>76693</t>
  </si>
  <si>
    <t>385723</t>
  </si>
  <si>
    <t>739573</t>
  </si>
  <si>
    <t>353787</t>
  </si>
  <si>
    <t>353900</t>
  </si>
  <si>
    <t>1724</t>
  </si>
  <si>
    <t>28493</t>
  </si>
  <si>
    <t>28448</t>
  </si>
  <si>
    <t>28594</t>
  </si>
  <si>
    <t>81369</t>
  </si>
  <si>
    <t>737</t>
  </si>
  <si>
    <t>746</t>
  </si>
  <si>
    <t>10941</t>
  </si>
  <si>
    <t>3024</t>
  </si>
  <si>
    <t>3038</t>
  </si>
  <si>
    <t>787353</t>
  </si>
  <si>
    <t>WIDE STOCK COMERCIO E DISTRIBUICAO LTDA</t>
  </si>
  <si>
    <t>425709</t>
  </si>
  <si>
    <t>53938</t>
  </si>
  <si>
    <t>385534</t>
  </si>
  <si>
    <t>81101</t>
  </si>
  <si>
    <t>28345</t>
  </si>
  <si>
    <t>28287</t>
  </si>
  <si>
    <t>589273</t>
  </si>
  <si>
    <t>1701</t>
  </si>
  <si>
    <t>81095</t>
  </si>
  <si>
    <t>81100</t>
  </si>
  <si>
    <t>722</t>
  </si>
  <si>
    <t>2974</t>
  </si>
  <si>
    <t>385279</t>
  </si>
  <si>
    <t>76635</t>
  </si>
  <si>
    <t>937166</t>
  </si>
  <si>
    <t>583715</t>
  </si>
  <si>
    <t>80980</t>
  </si>
  <si>
    <t>30362</t>
  </si>
  <si>
    <t>944441</t>
  </si>
  <si>
    <t>944442</t>
  </si>
  <si>
    <t>948784</t>
  </si>
  <si>
    <t>948785</t>
  </si>
  <si>
    <t>2435</t>
  </si>
  <si>
    <t>2453</t>
  </si>
  <si>
    <t>24933</t>
  </si>
  <si>
    <t>411640</t>
  </si>
  <si>
    <t>411674</t>
  </si>
  <si>
    <t>412182</t>
  </si>
  <si>
    <t>256400</t>
  </si>
  <si>
    <t>176128</t>
  </si>
  <si>
    <t>176541</t>
  </si>
  <si>
    <t>60304</t>
  </si>
  <si>
    <t>60868</t>
  </si>
  <si>
    <t>286331</t>
  </si>
  <si>
    <t>464122</t>
  </si>
  <si>
    <t>454450</t>
  </si>
  <si>
    <t>491499</t>
  </si>
  <si>
    <t>491244</t>
  </si>
  <si>
    <t>786548</t>
  </si>
  <si>
    <t>81017</t>
  </si>
  <si>
    <t>914761</t>
  </si>
  <si>
    <t>81015</t>
  </si>
  <si>
    <t>197</t>
  </si>
  <si>
    <t>385124</t>
  </si>
  <si>
    <t>939091</t>
  </si>
  <si>
    <t>16607</t>
  </si>
  <si>
    <t>2938</t>
  </si>
  <si>
    <t>176055</t>
  </si>
  <si>
    <t>31976</t>
  </si>
  <si>
    <t>384891</t>
  </si>
  <si>
    <t>288736</t>
  </si>
  <si>
    <t xml:space="preserve">938723 </t>
  </si>
  <si>
    <t>124618</t>
  </si>
  <si>
    <t>364728</t>
  </si>
  <si>
    <t xml:space="preserve">DISTRIBUIDORA DE CARNES CANTAREIRA </t>
  </si>
  <si>
    <t>48944</t>
  </si>
  <si>
    <t>HORTA NOVA DISTRIBUIDORA DE HORTIFRUTI LTDA</t>
  </si>
  <si>
    <t>8335</t>
  </si>
  <si>
    <t>8289</t>
  </si>
  <si>
    <t>195</t>
  </si>
  <si>
    <t>384488</t>
  </si>
  <si>
    <t xml:space="preserve">490089 </t>
  </si>
  <si>
    <t xml:space="preserve">489961 </t>
  </si>
  <si>
    <t>489786</t>
  </si>
  <si>
    <t>489333</t>
  </si>
  <si>
    <t>463846</t>
  </si>
  <si>
    <t>59779</t>
  </si>
  <si>
    <t>59778</t>
  </si>
  <si>
    <t>31798</t>
  </si>
  <si>
    <t xml:space="preserve">175450 </t>
  </si>
  <si>
    <t>2410</t>
  </si>
  <si>
    <t>2397</t>
  </si>
  <si>
    <t>76592</t>
  </si>
  <si>
    <t>423788</t>
  </si>
  <si>
    <t>2904</t>
  </si>
  <si>
    <t>2890</t>
  </si>
  <si>
    <t>30414</t>
  </si>
  <si>
    <t>702</t>
  </si>
  <si>
    <t>698</t>
  </si>
  <si>
    <t xml:space="preserve">80898 </t>
  </si>
  <si>
    <t>80892</t>
  </si>
  <si>
    <t>58933</t>
  </si>
  <si>
    <t>410944</t>
  </si>
  <si>
    <t>411282</t>
  </si>
  <si>
    <t xml:space="preserve">58764 </t>
  </si>
  <si>
    <t xml:space="preserve">284701 </t>
  </si>
  <si>
    <t>462789</t>
  </si>
  <si>
    <t>462924</t>
  </si>
  <si>
    <t>463029</t>
  </si>
  <si>
    <t>489254</t>
  </si>
  <si>
    <t>785632</t>
  </si>
  <si>
    <t>8192</t>
  </si>
  <si>
    <t>8228</t>
  </si>
  <si>
    <t>8259</t>
  </si>
  <si>
    <t>76422</t>
  </si>
  <si>
    <t>76508</t>
  </si>
  <si>
    <t>907314</t>
  </si>
  <si>
    <t>914760</t>
  </si>
  <si>
    <t>920648</t>
  </si>
  <si>
    <t>925547</t>
  </si>
  <si>
    <t>10785</t>
  </si>
  <si>
    <t>2861</t>
  </si>
  <si>
    <t>423001</t>
  </si>
  <si>
    <t>686675</t>
  </si>
  <si>
    <t>384370</t>
  </si>
  <si>
    <t>174405</t>
  </si>
  <si>
    <t>16183</t>
  </si>
  <si>
    <t>880656</t>
  </si>
  <si>
    <t>688</t>
  </si>
  <si>
    <t>680</t>
  </si>
  <si>
    <t>935835</t>
  </si>
  <si>
    <t>936232</t>
  </si>
  <si>
    <t>30126</t>
  </si>
  <si>
    <t>16457</t>
  </si>
  <si>
    <t>16490</t>
  </si>
  <si>
    <t>2876</t>
  </si>
  <si>
    <t>76763</t>
  </si>
  <si>
    <t>2342</t>
  </si>
  <si>
    <t>2348</t>
  </si>
  <si>
    <t>2377</t>
  </si>
  <si>
    <t>31418</t>
  </si>
  <si>
    <t>410513</t>
  </si>
  <si>
    <t>2486</t>
  </si>
  <si>
    <t>45082</t>
  </si>
  <si>
    <t>174913</t>
  </si>
  <si>
    <t>31609</t>
  </si>
  <si>
    <t>31663</t>
  </si>
  <si>
    <t>31692</t>
  </si>
  <si>
    <t>461987</t>
  </si>
  <si>
    <t>462469</t>
  </si>
  <si>
    <t>383864</t>
  </si>
  <si>
    <t>80872</t>
  </si>
  <si>
    <t>80871</t>
  </si>
  <si>
    <t>80862</t>
  </si>
  <si>
    <t>80825</t>
  </si>
  <si>
    <t>80795</t>
  </si>
  <si>
    <t>80782</t>
  </si>
  <si>
    <t>80739</t>
  </si>
  <si>
    <t>124415</t>
  </si>
  <si>
    <t>124317</t>
  </si>
  <si>
    <t>579693</t>
  </si>
  <si>
    <t>8133</t>
  </si>
  <si>
    <t>1670</t>
  </si>
  <si>
    <t>384264</t>
  </si>
  <si>
    <t>384123</t>
  </si>
  <si>
    <t>384055</t>
  </si>
  <si>
    <t>384149</t>
  </si>
  <si>
    <t>272922</t>
  </si>
  <si>
    <t>76282</t>
  </si>
  <si>
    <t>76263</t>
  </si>
  <si>
    <t>4313</t>
  </si>
  <si>
    <t>487604</t>
  </si>
  <si>
    <t xml:space="preserve">282385 </t>
  </si>
  <si>
    <t>57725</t>
  </si>
  <si>
    <t>902748</t>
  </si>
  <si>
    <t>900620</t>
  </si>
  <si>
    <t>900619</t>
  </si>
  <si>
    <t>8030</t>
  </si>
  <si>
    <t xml:space="preserve">2340 </t>
  </si>
  <si>
    <t>2334</t>
  </si>
  <si>
    <t xml:space="preserve">891354 </t>
  </si>
  <si>
    <t xml:space="preserve">29289 </t>
  </si>
  <si>
    <t>ZEON REFRIGERACAO E AR CONDICIONADO EIRELI</t>
  </si>
  <si>
    <t xml:space="preserve">75657 </t>
  </si>
  <si>
    <t xml:space="preserve">76133 </t>
  </si>
  <si>
    <t>2829</t>
  </si>
  <si>
    <t>669</t>
  </si>
  <si>
    <t xml:space="preserve">80607 </t>
  </si>
  <si>
    <t xml:space="preserve">7957 </t>
  </si>
  <si>
    <t xml:space="preserve">7843 </t>
  </si>
  <si>
    <t>1655</t>
  </si>
  <si>
    <t xml:space="preserve">783028 </t>
  </si>
  <si>
    <t>720066</t>
  </si>
  <si>
    <t xml:space="preserve">486205 </t>
  </si>
  <si>
    <t>461640</t>
  </si>
  <si>
    <t xml:space="preserve">461225 </t>
  </si>
  <si>
    <t xml:space="preserve">280810 </t>
  </si>
  <si>
    <t>56628</t>
  </si>
  <si>
    <t xml:space="preserve">174364 </t>
  </si>
  <si>
    <t>2474</t>
  </si>
  <si>
    <t xml:space="preserve">409930 </t>
  </si>
  <si>
    <t xml:space="preserve">887332 </t>
  </si>
  <si>
    <t xml:space="preserve">885094 </t>
  </si>
  <si>
    <t>75811</t>
  </si>
  <si>
    <t>383720</t>
  </si>
  <si>
    <t>16397</t>
  </si>
  <si>
    <t>80702</t>
  </si>
  <si>
    <t>192</t>
  </si>
  <si>
    <t>383623</t>
  </si>
  <si>
    <t>382268</t>
  </si>
  <si>
    <t>2792</t>
  </si>
  <si>
    <t>645</t>
  </si>
  <si>
    <t>80451</t>
  </si>
  <si>
    <t>574481</t>
  </si>
  <si>
    <t>16051</t>
  </si>
  <si>
    <t xml:space="preserve">715560 </t>
  </si>
  <si>
    <t>.711254</t>
  </si>
  <si>
    <t>383451</t>
  </si>
  <si>
    <t>383192</t>
  </si>
  <si>
    <t xml:space="preserve">31265 </t>
  </si>
  <si>
    <t>173633</t>
  </si>
  <si>
    <t>933597</t>
  </si>
  <si>
    <t>76012</t>
  </si>
  <si>
    <t>421351</t>
  </si>
  <si>
    <t>75977</t>
  </si>
  <si>
    <t>625</t>
  </si>
  <si>
    <t>624</t>
  </si>
  <si>
    <t>80326</t>
  </si>
  <si>
    <t>80308</t>
  </si>
  <si>
    <t>7747</t>
  </si>
  <si>
    <t>7645</t>
  </si>
  <si>
    <t>1602</t>
  </si>
  <si>
    <t>781586</t>
  </si>
  <si>
    <t>484401</t>
  </si>
  <si>
    <t>460863</t>
  </si>
  <si>
    <t>279732</t>
  </si>
  <si>
    <t>55617</t>
  </si>
  <si>
    <t>2308</t>
  </si>
  <si>
    <t>2307</t>
  </si>
  <si>
    <t>173131</t>
  </si>
  <si>
    <t>172750</t>
  </si>
  <si>
    <t>12094</t>
  </si>
  <si>
    <t>409300</t>
  </si>
  <si>
    <t>409221</t>
  </si>
  <si>
    <t>873395</t>
  </si>
  <si>
    <t xml:space="preserve">421056 </t>
  </si>
  <si>
    <t>16209</t>
  </si>
  <si>
    <t>2738</t>
  </si>
  <si>
    <t>10638</t>
  </si>
  <si>
    <t>392981</t>
  </si>
  <si>
    <t>382711</t>
  </si>
  <si>
    <t>861725</t>
  </si>
  <si>
    <t>Data_Evento</t>
  </si>
  <si>
    <t>Categoria</t>
  </si>
  <si>
    <t>Soma_Valor_Transacao_Bruto</t>
  </si>
  <si>
    <t>Soma_Desconto</t>
  </si>
  <si>
    <t>Soma_Valor_Transacao_Liquido</t>
  </si>
  <si>
    <t>7/2026</t>
  </si>
  <si>
    <t>Bebidas</t>
  </si>
  <si>
    <t>Alimentos</t>
  </si>
  <si>
    <t>Couvert</t>
  </si>
  <si>
    <t>6/2026</t>
  </si>
  <si>
    <t>5/2026</t>
  </si>
  <si>
    <t>4/2026</t>
  </si>
  <si>
    <t>3/2026</t>
  </si>
  <si>
    <t>2/2026</t>
  </si>
  <si>
    <t>1/2026</t>
  </si>
  <si>
    <t>ID_receita</t>
  </si>
  <si>
    <t>Cliente</t>
  </si>
  <si>
    <t>Classificacao</t>
  </si>
  <si>
    <t>ID_Evento</t>
  </si>
  <si>
    <t>Nome_Evento</t>
  </si>
  <si>
    <t>Tipo_Evento</t>
  </si>
  <si>
    <t>Modelo_Evento</t>
  </si>
  <si>
    <t>Valor_Total</t>
  </si>
  <si>
    <t>Data_Ocorrencia</t>
  </si>
  <si>
    <t>Recebimento_Parcela</t>
  </si>
  <si>
    <t>Valor_Parcela</t>
  </si>
  <si>
    <t>Status_Pgto</t>
  </si>
  <si>
    <t>Categ_AB</t>
  </si>
  <si>
    <t>Categ_Aluguel</t>
  </si>
  <si>
    <t>Categ_Artist</t>
  </si>
  <si>
    <t>Categ_Couvert</t>
  </si>
  <si>
    <t>Categ_Locacao</t>
  </si>
  <si>
    <t>Categ_Patroc</t>
  </si>
  <si>
    <t>Categ_Taxa_Serv</t>
  </si>
  <si>
    <t>Ocorrencia_Mes_Texto</t>
  </si>
  <si>
    <t>Recebimento_Mes_Texto</t>
  </si>
  <si>
    <t>LIRIUM RECICLAGEM</t>
  </si>
  <si>
    <t>Coleta de Óleo</t>
  </si>
  <si>
    <t>11/2025</t>
  </si>
  <si>
    <t>ID_Parcela</t>
  </si>
  <si>
    <t>Nome_do_Evento</t>
  </si>
  <si>
    <t>Comercial_Responsável</t>
  </si>
  <si>
    <t>Valor Total</t>
  </si>
  <si>
    <t>Valor AB</t>
  </si>
  <si>
    <t>Valor Taxa Serviço</t>
  </si>
  <si>
    <t>Valor Locação Espaço</t>
  </si>
  <si>
    <t>Valor Contratação Artístico</t>
  </si>
  <si>
    <t>Valor Contratação Técnico de Som</t>
  </si>
  <si>
    <t>Valor Contatação Bilheteria/Couvert Artístico</t>
  </si>
  <si>
    <t>Valor Locação Gerador</t>
  </si>
  <si>
    <t>Valor Locação Decoração/Mobiliário</t>
  </si>
  <si>
    <t>Valor Locação Utensílios</t>
  </si>
  <si>
    <t>Valor Mão de Obra Extra</t>
  </si>
  <si>
    <t>Valor Comissão BV</t>
  </si>
  <si>
    <t>Valor Taxa Administrativa</t>
  </si>
  <si>
    <t>Valor Extras Gerais</t>
  </si>
  <si>
    <t>Valor_Imposto</t>
  </si>
  <si>
    <t>Valor Acréscimo Forma de Pagamento</t>
  </si>
  <si>
    <t>Mes_Texto_Evento</t>
  </si>
  <si>
    <t>Mes_Texto_Recebimento</t>
  </si>
  <si>
    <t>PRO_251245_FABRICADEBARES</t>
  </si>
  <si>
    <t>Nathalia Santos</t>
  </si>
  <si>
    <t>Pacote Exclusivo</t>
  </si>
  <si>
    <t>Permuta</t>
  </si>
  <si>
    <t xml:space="preserve">PRO_251183_EstelaBarLéo </t>
  </si>
  <si>
    <t>ID_CASA</t>
  </si>
  <si>
    <t>CNPJ_CASA</t>
  </si>
  <si>
    <t>NUM_MATRICULA_FUNC</t>
  </si>
  <si>
    <t>NOME_FUNC</t>
  </si>
  <si>
    <t>CPF_FUNC</t>
  </si>
  <si>
    <t>CODIGO_VERBA</t>
  </si>
  <si>
    <t>VERBA</t>
  </si>
  <si>
    <t>PROCESSO</t>
  </si>
  <si>
    <t>QUANTIDADE</t>
  </si>
  <si>
    <t>VALOR</t>
  </si>
  <si>
    <t>DATA_CALCULO</t>
  </si>
  <si>
    <t>DATA_PAGAMENTO</t>
  </si>
  <si>
    <t>57.174.128/0001-99</t>
  </si>
  <si>
    <t>129.869.018-83</t>
  </si>
  <si>
    <t>1 - Mensal</t>
  </si>
  <si>
    <t>039.305.495-06</t>
  </si>
  <si>
    <t>388.649.638-47</t>
  </si>
  <si>
    <t>068.413.376-89</t>
  </si>
  <si>
    <t>412.597.638-46</t>
  </si>
  <si>
    <t>Unidade</t>
  </si>
  <si>
    <t>Mês</t>
  </si>
  <si>
    <t>Total Desc</t>
  </si>
  <si>
    <t>CMV</t>
  </si>
  <si>
    <t>Permanece no Desconto</t>
  </si>
  <si>
    <t>Aloca no Centro de Custo</t>
  </si>
  <si>
    <t>Centro de Custo</t>
  </si>
  <si>
    <t>Dedução Faturamento - Alimento</t>
  </si>
  <si>
    <t>Dedução Faturamento - Bebida</t>
  </si>
  <si>
    <t>Descontos - DRE</t>
  </si>
  <si>
    <t>[Ação de Marketing] - Captação de Imagens</t>
  </si>
  <si>
    <t>30% DIVERTI - CPF</t>
  </si>
  <si>
    <t>30% ESHOWS - CPF</t>
  </si>
  <si>
    <t>30% ESHOWS - RG</t>
  </si>
  <si>
    <t>30% FÁBRICA DE BARES - CPF</t>
  </si>
  <si>
    <t>30% FÁBRICA DE BARES - RG</t>
  </si>
  <si>
    <t>COLABORADORES (30%)</t>
  </si>
  <si>
    <t>CONVÊNIO</t>
  </si>
  <si>
    <t>CORTESIA</t>
  </si>
  <si>
    <t>OPERACIONAL</t>
  </si>
  <si>
    <t>PROMOÇÃO</t>
  </si>
  <si>
    <t>SEM JUSTIFICATIVA</t>
  </si>
  <si>
    <t>TESTE</t>
  </si>
  <si>
    <t>Produto</t>
  </si>
  <si>
    <t>Promoção</t>
  </si>
  <si>
    <t>Categoria Produto</t>
  </si>
  <si>
    <t>Quantidade de usos</t>
  </si>
  <si>
    <t>Desconto total</t>
  </si>
  <si>
    <t>A&amp;B</t>
  </si>
  <si>
    <t>SCHNITZEL</t>
  </si>
  <si>
    <t>ALIMENTOS</t>
  </si>
  <si>
    <t>A</t>
  </si>
  <si>
    <t>JOELHO DE PORCO PORÇÃO</t>
  </si>
  <si>
    <t>PORÇÕES</t>
  </si>
  <si>
    <t>File à Parmegiana (Individual)</t>
  </si>
  <si>
    <t>Clássicos</t>
  </si>
  <si>
    <t>CHOPP BRAHMA BLACK</t>
  </si>
  <si>
    <t>CHOPP</t>
  </si>
  <si>
    <t>B</t>
  </si>
  <si>
    <t>Caldinho de Feijão</t>
  </si>
  <si>
    <t>SALADAS E CALDOS</t>
  </si>
  <si>
    <t>CHOPP BRAHMA CLARO</t>
  </si>
  <si>
    <t>Combinado do Seu Luiz</t>
  </si>
  <si>
    <t>BOLINHO DE CARNE - UNIDADE</t>
  </si>
  <si>
    <t>RABADA DO LEO</t>
  </si>
  <si>
    <t>ÍDOLO BRASILEIRO</t>
  </si>
  <si>
    <t>PRATOS PRINCIPAIS</t>
  </si>
  <si>
    <t>SALMÃO DO LÉO - INDIVIDUAL</t>
  </si>
  <si>
    <t>OSWALDO ARANHA</t>
  </si>
  <si>
    <t>CANAPÉ HACKPETER</t>
  </si>
  <si>
    <t>PEPSI ZERO</t>
  </si>
  <si>
    <t>SOFTS</t>
  </si>
  <si>
    <t>ÁGUA COM GÁS</t>
  </si>
  <si>
    <t>MINEIRÃO</t>
  </si>
  <si>
    <t>PRATOS DO DIA</t>
  </si>
  <si>
    <t>PUDIM DE LEITE CONDENSADO</t>
  </si>
  <si>
    <t>SOBREMESAS</t>
  </si>
  <si>
    <t>JARRA SUCO DE MARACUJÁ</t>
  </si>
  <si>
    <t>BEBIDAS</t>
  </si>
  <si>
    <t>DA FEITICEIRA</t>
  </si>
  <si>
    <t>SABORES DO LÉO</t>
  </si>
  <si>
    <t>CAFÉ ESPRESSO</t>
  </si>
  <si>
    <t>PARA FINALIZAR</t>
  </si>
  <si>
    <t>LINGUIÇA PROVOLETA</t>
  </si>
  <si>
    <t>APERITIVOS</t>
  </si>
  <si>
    <t>LEBERKASE</t>
  </si>
  <si>
    <t>Chopp Brahma Claro - Sábado</t>
  </si>
  <si>
    <t>Chope</t>
  </si>
  <si>
    <t>BOLOVO LEO</t>
  </si>
  <si>
    <t>REFEIÇÃO</t>
  </si>
  <si>
    <t>MIT GOULASH</t>
  </si>
  <si>
    <t>FILET JK</t>
  </si>
  <si>
    <t>FEIJOADA AMIGOS DO LÉO (Serve Dois)</t>
  </si>
  <si>
    <t>TIRICORICO</t>
  </si>
  <si>
    <t>BACALHOADA</t>
  </si>
  <si>
    <t>PASTÉIS MISTO</t>
  </si>
  <si>
    <t>H2O Limão</t>
  </si>
  <si>
    <t>Softs</t>
  </si>
  <si>
    <t>BOLINHO DE BACALHAU - UNID</t>
  </si>
  <si>
    <t>Entradas</t>
  </si>
  <si>
    <t>FEIJOADA NA CUMBUCA</t>
  </si>
  <si>
    <t>FILET A PARMEGIANA  (Serve Dois)</t>
  </si>
  <si>
    <t>SCHUPFNUDEL</t>
  </si>
  <si>
    <t>GALINHADA DO LEO</t>
  </si>
  <si>
    <t>LOMBO DE PORCO ASSADO</t>
  </si>
  <si>
    <t>Chopp Brahma Claro Double - HH -  de sexta 17h às 19h.</t>
  </si>
  <si>
    <t>JARRA LIMONADA SUIÇA</t>
  </si>
  <si>
    <t>MESTRE DA BOTECAGEM</t>
  </si>
  <si>
    <t>DOSE CACHAÇA ENG. CANTAREIRA OURO</t>
  </si>
  <si>
    <t>DOSES</t>
  </si>
  <si>
    <t>DOSE SCHNAPS DO LÉO</t>
  </si>
  <si>
    <t>ÍDOLO BRASILEIRO (serve dois)</t>
  </si>
  <si>
    <t>CAIPIRINHA BAR LÉO</t>
  </si>
  <si>
    <t>JARRA SUCO DE ABACAXI</t>
  </si>
  <si>
    <t>SODA</t>
  </si>
  <si>
    <t>JARRA SUCO DE LARANJA</t>
  </si>
  <si>
    <t>CAIPIRINHA MARANHÃO</t>
  </si>
  <si>
    <t>Aperol Spritz</t>
  </si>
  <si>
    <t>Fora da Carta</t>
  </si>
  <si>
    <t>SANDUICHE BLUMENAU</t>
  </si>
  <si>
    <t>SANDUÍCHES</t>
  </si>
  <si>
    <t>SANDUICHE POLACO</t>
  </si>
  <si>
    <t>BERINJELA À PARMEGIANA (INDIVIDUAL)</t>
  </si>
  <si>
    <t>ARROZ BRANCO</t>
  </si>
  <si>
    <t>ACOMPANHAMENTOS</t>
  </si>
  <si>
    <t>CANAPÉ ROSBIFE DE LAGARTO</t>
  </si>
  <si>
    <t>CANAPÉS</t>
  </si>
  <si>
    <t>GUARANÁ</t>
  </si>
  <si>
    <t>ÁGUA SEM GÁS</t>
  </si>
  <si>
    <t>PANCETA CROCANTE</t>
  </si>
  <si>
    <t>RED BULL TRADICIONAL</t>
  </si>
  <si>
    <t>PEPSI</t>
  </si>
  <si>
    <t>GUARANÁ ZERO</t>
  </si>
  <si>
    <t>Creme De Papaya</t>
  </si>
  <si>
    <t>Sobremesas</t>
  </si>
  <si>
    <t>STRUDEL DE MAÇÃ</t>
  </si>
  <si>
    <t>BOLINHO DE CARNE - PORÇÃO</t>
  </si>
  <si>
    <t>CANAPÉ BLUMENAU EM PASTA</t>
  </si>
  <si>
    <t>Couvert Entrada</t>
  </si>
  <si>
    <t>SCHNITZEL APERITIVO</t>
  </si>
  <si>
    <t>SALADA CAESAR ALEMÃ</t>
  </si>
  <si>
    <t>FEIJÃO</t>
  </si>
  <si>
    <t>FILET JK (Serve Dois)</t>
  </si>
  <si>
    <t>FEIJOADA ARRUMADINHA</t>
  </si>
  <si>
    <t>PRATOS EXECUTIVOS</t>
  </si>
  <si>
    <t>CAIPIRINHA CHACRINHA</t>
  </si>
  <si>
    <t>FRITAS ACOMPANHAMENTO</t>
  </si>
  <si>
    <t>VIRADO A PAULISTA</t>
  </si>
  <si>
    <t>TAÇA DE SORVETE</t>
  </si>
  <si>
    <t>SANDUICHE HACKPETER</t>
  </si>
  <si>
    <t>ÁGUA DE COCO KERO COCO 330 ml</t>
  </si>
  <si>
    <t>CAIPIRINHA COMBINADO DO LÉO</t>
  </si>
  <si>
    <t>CAXAMBU</t>
  </si>
  <si>
    <t>SORVETE DE CREME COM FRUTAS</t>
  </si>
  <si>
    <t>SALMÃO DO LÉO - SERVE DOIS</t>
  </si>
  <si>
    <t>SODA ZERO</t>
  </si>
  <si>
    <t>Mar do Léo = SERVE DUAS PESSOAS</t>
  </si>
  <si>
    <t>Sugestão do Cheff</t>
  </si>
  <si>
    <t>PASTÉIS MISTO (Meia Proção)</t>
  </si>
  <si>
    <t>TONICA ZERO</t>
  </si>
  <si>
    <t>WEBER HAUS 7 MADEIRAS</t>
  </si>
  <si>
    <t>BERINJELA À PARMEGIANA  (Serve Dois)</t>
  </si>
  <si>
    <t>Cachaça Engenho Cantareira Diamante 750ml</t>
  </si>
  <si>
    <t>CANAPÉ ROCOCÓ</t>
  </si>
  <si>
    <t>Lascas de Parmesão</t>
  </si>
  <si>
    <t>Bobó de camarão</t>
  </si>
  <si>
    <t>FILÉ A PARMEGIANA</t>
  </si>
  <si>
    <t>Chopp Brahma Claro Amigos do Leo</t>
  </si>
  <si>
    <t>Copo Shot Bar Léo</t>
  </si>
  <si>
    <t>GIFTS</t>
  </si>
  <si>
    <t>Eisbein</t>
  </si>
  <si>
    <t>DOSE CONHAQUE FUNDADOR</t>
  </si>
  <si>
    <t>Licores/Aperitivos/Shots</t>
  </si>
  <si>
    <t>CAIPIRINHA MAZZAROPI</t>
  </si>
  <si>
    <t>Linguiça Blumenau Meio Kg</t>
  </si>
  <si>
    <t>SANDUICHE DE ROSBIFE</t>
  </si>
  <si>
    <t>CAIPI URUGUAI</t>
  </si>
  <si>
    <t>CAIPI SELEÇOFF</t>
  </si>
  <si>
    <t>CERVEJA BUDWEISER ZERO LONG NECK 330ml</t>
  </si>
  <si>
    <t>CERVEJAS LONG NECK</t>
  </si>
  <si>
    <t>PASTEL DE CAMARÃO C CATUPIRY</t>
  </si>
  <si>
    <t>OSWALDO ARANHA  (Serve Dois)</t>
  </si>
  <si>
    <t>CAIPI COLÔMBIA</t>
  </si>
  <si>
    <t>CAIPI BRASIL</t>
  </si>
  <si>
    <t>CAIPI NOVA ZELANDIA</t>
  </si>
  <si>
    <t>Vinho Tinto Caiado 750ml</t>
  </si>
  <si>
    <t>Vinhos Tintos</t>
  </si>
  <si>
    <t>ID_Despesa_ID_Parcela</t>
  </si>
  <si>
    <t>Empresa</t>
  </si>
  <si>
    <t>Fornecedor_Razao_Social</t>
  </si>
  <si>
    <t>Class_Cont_1</t>
  </si>
  <si>
    <t>Class_Cont_2</t>
  </si>
  <si>
    <t>Parcelamento</t>
  </si>
  <si>
    <t>Qtd_Parcelas</t>
  </si>
  <si>
    <t>Num_Parcela</t>
  </si>
  <si>
    <t>Data_Realiz_Pgto</t>
  </si>
  <si>
    <t>Descricao</t>
  </si>
  <si>
    <t>Mes_Texto_Vencimento</t>
  </si>
  <si>
    <t>Mes_Texto_Pagamento</t>
  </si>
  <si>
    <t>223204</t>
  </si>
  <si>
    <t>False</t>
  </si>
  <si>
    <t>223203</t>
  </si>
  <si>
    <t>223202</t>
  </si>
  <si>
    <t>223201</t>
  </si>
  <si>
    <t>223200</t>
  </si>
  <si>
    <t>223199</t>
  </si>
  <si>
    <t>223198</t>
  </si>
  <si>
    <t>223197</t>
  </si>
  <si>
    <t>223196</t>
  </si>
  <si>
    <t>223195</t>
  </si>
  <si>
    <t>223194</t>
  </si>
  <si>
    <t>223193</t>
  </si>
  <si>
    <t>217693-13586</t>
  </si>
  <si>
    <t>True</t>
  </si>
  <si>
    <t>Pendente</t>
  </si>
  <si>
    <t>217693-13585</t>
  </si>
  <si>
    <t>217693-13584</t>
  </si>
  <si>
    <t>217693-13583</t>
  </si>
  <si>
    <t>217693-13582</t>
  </si>
  <si>
    <t>217693-13581</t>
  </si>
  <si>
    <t>217693-13580</t>
  </si>
  <si>
    <t>217693-13579</t>
  </si>
  <si>
    <t>217693-13578</t>
  </si>
  <si>
    <t>217661</t>
  </si>
  <si>
    <t>210827</t>
  </si>
  <si>
    <t>208873</t>
  </si>
  <si>
    <t>208872</t>
  </si>
  <si>
    <t>208871</t>
  </si>
  <si>
    <t>178199</t>
  </si>
  <si>
    <t>4/4</t>
  </si>
  <si>
    <t xml:space="preserve">  ACORDO ALUGUEL E OUTROS DO PERIODO 1/11/2024 A 30/09/2025 - 4 PARCELAS</t>
  </si>
  <si>
    <t>178198</t>
  </si>
  <si>
    <t>3/4</t>
  </si>
  <si>
    <t xml:space="preserve">   ACORDO ALUGUEL E OUTROS DO PERIODO 1/11/2024 A 30/09/2025 - 4 PARCELAS</t>
  </si>
  <si>
    <t>178197</t>
  </si>
  <si>
    <t>2/4</t>
  </si>
  <si>
    <t>ACORDO ALUGUEL E OUTROS DO PERIODO 1/11/2024 A 30/09/2025 - 4 PARCELAS</t>
  </si>
  <si>
    <t>178196</t>
  </si>
  <si>
    <t>1/4</t>
  </si>
  <si>
    <t>ACORDO ALUGUEL E OUTROS DO PERIODO 1/11/2024 A 30/09/2025 - 4 PARCELAS (RETENÇÃO IR)</t>
  </si>
  <si>
    <t>175550</t>
  </si>
  <si>
    <t>175549</t>
  </si>
  <si>
    <t>175548</t>
  </si>
  <si>
    <t>175547</t>
  </si>
  <si>
    <t>175546</t>
  </si>
  <si>
    <t>175545</t>
  </si>
  <si>
    <t>175544</t>
  </si>
  <si>
    <t>175543</t>
  </si>
  <si>
    <t>175542</t>
  </si>
  <si>
    <t>175541</t>
  </si>
  <si>
    <t>175540</t>
  </si>
  <si>
    <t>175539</t>
  </si>
  <si>
    <t>175538</t>
  </si>
  <si>
    <t>175537</t>
  </si>
  <si>
    <t>175536</t>
  </si>
  <si>
    <t>175535</t>
  </si>
  <si>
    <t>175534</t>
  </si>
  <si>
    <t>175533</t>
  </si>
  <si>
    <t>175532</t>
  </si>
  <si>
    <t>175531</t>
  </si>
  <si>
    <t>175530</t>
  </si>
  <si>
    <t>175529</t>
  </si>
  <si>
    <t>175528</t>
  </si>
  <si>
    <t>175527</t>
  </si>
  <si>
    <t>175526</t>
  </si>
  <si>
    <t>175525</t>
  </si>
  <si>
    <t>175524</t>
  </si>
  <si>
    <t>175523</t>
  </si>
  <si>
    <t>175522</t>
  </si>
  <si>
    <t>175521</t>
  </si>
  <si>
    <t>175469</t>
  </si>
  <si>
    <t>175468</t>
  </si>
  <si>
    <t>175467</t>
  </si>
  <si>
    <t>175466</t>
  </si>
  <si>
    <t>131665</t>
  </si>
  <si>
    <t>LALDINO LOURIVAL DE SOUZA</t>
  </si>
  <si>
    <t>(PAGAR VIA EBM) Guia de recolhimento Previdenciário - Processo nº 1000155-06.2016.5.02.0014 - LALDINO LOURIVAL DE SOUZA x GLUK</t>
  </si>
  <si>
    <t>05/2025</t>
  </si>
  <si>
    <t>118857</t>
  </si>
  <si>
    <t>TRIBUNAL REGIONAL DO TRABALHO DA 2A REGIAO</t>
  </si>
  <si>
    <t xml:space="preserve">81400000030218863 </t>
  </si>
  <si>
    <t>Guia para pagamento dos honorários periciais - Processo: 10001550620165020014 - LALDINO LOURIVAL DE SOUZA x GLUK</t>
  </si>
  <si>
    <t>03/2025</t>
  </si>
  <si>
    <t>99589</t>
  </si>
  <si>
    <t>Renegociado</t>
  </si>
  <si>
    <t>ALUGUEL MENSAL</t>
  </si>
  <si>
    <t>01/2025</t>
  </si>
  <si>
    <t>98083</t>
  </si>
  <si>
    <t>98082</t>
  </si>
  <si>
    <t>98081</t>
  </si>
  <si>
    <t>98080</t>
  </si>
  <si>
    <t>98079</t>
  </si>
  <si>
    <t>98078</t>
  </si>
  <si>
    <t>98077</t>
  </si>
  <si>
    <t>98076</t>
  </si>
  <si>
    <t>98075</t>
  </si>
  <si>
    <t>98074</t>
  </si>
  <si>
    <t>98073</t>
  </si>
  <si>
    <t>98072</t>
  </si>
  <si>
    <t>98071</t>
  </si>
  <si>
    <t>98070</t>
  </si>
  <si>
    <t>98069</t>
  </si>
  <si>
    <t>98068</t>
  </si>
  <si>
    <t>98067</t>
  </si>
  <si>
    <t>98066</t>
  </si>
  <si>
    <t>98065</t>
  </si>
  <si>
    <t>98064</t>
  </si>
  <si>
    <t>98063</t>
  </si>
  <si>
    <t>98062</t>
  </si>
  <si>
    <t>98061</t>
  </si>
  <si>
    <t>98060</t>
  </si>
  <si>
    <t>PARC12/35</t>
  </si>
  <si>
    <t>98059</t>
  </si>
  <si>
    <t>PARC11/35</t>
  </si>
  <si>
    <t>10/2025</t>
  </si>
  <si>
    <t>98058</t>
  </si>
  <si>
    <t>PARC10/35</t>
  </si>
  <si>
    <t>09/2025</t>
  </si>
  <si>
    <t>98057</t>
  </si>
  <si>
    <t>PARC9</t>
  </si>
  <si>
    <t>08/2025</t>
  </si>
  <si>
    <t>98056</t>
  </si>
  <si>
    <t>PARC8</t>
  </si>
  <si>
    <t>07/2025</t>
  </si>
  <si>
    <t>98055</t>
  </si>
  <si>
    <t>PARC7</t>
  </si>
  <si>
    <t>06/2025</t>
  </si>
  <si>
    <t>98054</t>
  </si>
  <si>
    <t>PARC6</t>
  </si>
  <si>
    <t>98053</t>
  </si>
  <si>
    <t>PARC5</t>
  </si>
  <si>
    <t>04/2025</t>
  </si>
  <si>
    <t>98052</t>
  </si>
  <si>
    <t>PARC4</t>
  </si>
  <si>
    <t>98051</t>
  </si>
  <si>
    <t>PARC3</t>
  </si>
  <si>
    <t>02/2025</t>
  </si>
  <si>
    <t>98050</t>
  </si>
  <si>
    <t>PARC2</t>
  </si>
  <si>
    <t>98049</t>
  </si>
  <si>
    <t>PARC1</t>
  </si>
  <si>
    <t>ENDIVIDAMENTO</t>
  </si>
  <si>
    <t xml:space="preserve"> ENDIVIDAMENTO</t>
  </si>
  <si>
    <t>12/2024</t>
  </si>
  <si>
    <t>89123-6285</t>
  </si>
  <si>
    <t>JOAQUIM FERNANDO LOPES SANTOS</t>
  </si>
  <si>
    <t>PAGAMENTO ACORDO - JOAQUIM FERNANDO LOPES SANTOS</t>
  </si>
  <si>
    <t>89123-6284</t>
  </si>
  <si>
    <t>89123-6283</t>
  </si>
  <si>
    <t>81579</t>
  </si>
  <si>
    <t>LINKTEL TELECOMUNICACÕES DO BRASIL LTDA</t>
  </si>
  <si>
    <t>102024</t>
  </si>
  <si>
    <t>ACORDO REF. OS MESES 04, 05 E 09/2024 - JÁ CORRIGIRAM PARA AS PROXIMAS NF VIR EM NOME DA AURORA.</t>
  </si>
  <si>
    <t>10/2024</t>
  </si>
  <si>
    <t>66052</t>
  </si>
  <si>
    <t>COMERCIAL LP IMPORTACAO E EXPORTACAO LTDA</t>
  </si>
  <si>
    <t>FEGARO</t>
  </si>
  <si>
    <t>Acordo celebrado referente aos débitos devidos das NFs 059.896/01, 059.806/01, 059.492/01.Valor negociado: R$ 9.597,54, utilizando como base o valor original dos débitos, qual seja, o valor de R$ 8.725,04 + 10%.</t>
  </si>
  <si>
    <t>07/2024</t>
  </si>
  <si>
    <t>64623</t>
  </si>
  <si>
    <t>IRRF SOBRE ALUGUEL - CLAUDIA 14901972812</t>
  </si>
  <si>
    <t>64616</t>
  </si>
  <si>
    <t>IRRF REF ALUGUEL (EDUARDO 04699019854)</t>
  </si>
  <si>
    <t>64609</t>
  </si>
  <si>
    <t>IRRF REF ALUGUEL (FRANCISCO 05545813888)</t>
  </si>
  <si>
    <t>64602</t>
  </si>
  <si>
    <t>IRRF SOBRE ALUGUEL - (FRANCISCO 055.458.138-88)</t>
  </si>
  <si>
    <t>64595</t>
  </si>
  <si>
    <t>IRRF SOBRE ALUGUEL BAR LEO - (EDUARDO 046.990.198-54)</t>
  </si>
  <si>
    <t>64588</t>
  </si>
  <si>
    <t>IRRF SOBR ALUGUEL - (CLAUDIA 149.019.728-12)</t>
  </si>
  <si>
    <t>61994</t>
  </si>
  <si>
    <t>ACORDO CELEBRADO COM LINKTEL, SENDO PAGO O VALOR ORIGINAL DO DÉBITO + 10%</t>
  </si>
  <si>
    <t>55448-2409</t>
  </si>
  <si>
    <t>PROCESSO TRABALHISTA</t>
  </si>
  <si>
    <t>(PAGAR VIA EBM) PROCESSO Nº 1000155-06.2016.5.02.0014 - LALDINO LOURIVAL DE SOUZA x GLUKACORDO NO VALOR DE R$ 38.000,00 EM 10 PARCELAS DE R$ 3.800,00</t>
  </si>
  <si>
    <t>55448-2408</t>
  </si>
  <si>
    <t>55448-2407</t>
  </si>
  <si>
    <t>55448-2406</t>
  </si>
  <si>
    <t>55448-2405</t>
  </si>
  <si>
    <t>11/2024</t>
  </si>
  <si>
    <t>55448-2404</t>
  </si>
  <si>
    <t>55448-2403</t>
  </si>
  <si>
    <t>09/2024</t>
  </si>
  <si>
    <t>55448-2402</t>
  </si>
  <si>
    <t>08/2024</t>
  </si>
  <si>
    <t>55448-2401</t>
  </si>
  <si>
    <t>55448-2400</t>
  </si>
  <si>
    <t>06/2024</t>
  </si>
  <si>
    <t>54211</t>
  </si>
  <si>
    <t>20240516</t>
  </si>
  <si>
    <t xml:space="preserve">REF. A CONTA DA ENEL INST. 58672117 - PARCELA 1/06 </t>
  </si>
  <si>
    <t>05/2024</t>
  </si>
  <si>
    <t>33032-374</t>
  </si>
  <si>
    <t>MULTIFOODS COM DE ALIM E BEBIDAS LTDA</t>
  </si>
  <si>
    <t>MULTIFOODS COM</t>
  </si>
  <si>
    <t>ACORDO MULTIFOODS - GLUK</t>
  </si>
  <si>
    <t>33032-373</t>
  </si>
  <si>
    <t>33032-372</t>
  </si>
  <si>
    <t>33032-371</t>
  </si>
  <si>
    <t>33032-370</t>
  </si>
  <si>
    <t>33032-369</t>
  </si>
  <si>
    <t>33032-368</t>
  </si>
  <si>
    <t>33032-367</t>
  </si>
  <si>
    <t>33032-366</t>
  </si>
  <si>
    <t>33032-365</t>
  </si>
  <si>
    <t>33032-364</t>
  </si>
  <si>
    <t>33032-363</t>
  </si>
  <si>
    <t>04/2024</t>
  </si>
  <si>
    <t>33032-362</t>
  </si>
  <si>
    <t>03/2024</t>
  </si>
  <si>
    <t>22418</t>
  </si>
  <si>
    <t>ANDERSON LEANDRO DO NASCIMENTO</t>
  </si>
  <si>
    <t>PROCESSO 1000473-28.2022.5.05.0709-ANDERSON LEANDROX GLUK</t>
  </si>
  <si>
    <t>02/2023</t>
  </si>
  <si>
    <t>22360</t>
  </si>
  <si>
    <t>03/2023</t>
  </si>
  <si>
    <t>22283</t>
  </si>
  <si>
    <t>ENERGIA ELETRICA</t>
  </si>
  <si>
    <t>NF: 61695227000193 001202209 - -</t>
  </si>
  <si>
    <t>01/2022</t>
  </si>
  <si>
    <t>21218</t>
  </si>
  <si>
    <t xml:space="preserve"> RECURSO PROCESSUAL</t>
  </si>
  <si>
    <t>EMBARGOS A EXECUÇÃO- GLUK</t>
  </si>
  <si>
    <t>09/2023</t>
  </si>
  <si>
    <t>21110</t>
  </si>
  <si>
    <t>ZIGPAY</t>
  </si>
  <si>
    <t>ENDIVIDAMENTO - Nov/22 R$2.457,88 e Jan 23 R$2.700,54 - PARCELA 2</t>
  </si>
  <si>
    <t>05/2023</t>
  </si>
  <si>
    <t>20998</t>
  </si>
  <si>
    <t>06/2023</t>
  </si>
  <si>
    <t>20515</t>
  </si>
  <si>
    <t>01/2023</t>
  </si>
  <si>
    <t>20282</t>
  </si>
  <si>
    <t>04/2023</t>
  </si>
  <si>
    <t>20271</t>
  </si>
  <si>
    <t>ENDIVIDAMENTO - Nov/22 R$2.457,88 e Jan 23 R$2.700,54 - PARCELA 1</t>
  </si>
  <si>
    <t>19869</t>
  </si>
  <si>
    <t>19812</t>
  </si>
  <si>
    <t>19708</t>
  </si>
  <si>
    <t>IMPORTAÇÃO - VIA BANCO DE DADOS</t>
  </si>
  <si>
    <t>19707</t>
  </si>
  <si>
    <t>NF: 61695227000193 001202217 - -</t>
  </si>
  <si>
    <t>19319</t>
  </si>
  <si>
    <t>19168</t>
  </si>
  <si>
    <t>07/2023</t>
  </si>
  <si>
    <t>ID_Contagem</t>
  </si>
  <si>
    <t>Data_Contagem</t>
  </si>
  <si>
    <t>ID_Insumo</t>
  </si>
  <si>
    <t>Insumo</t>
  </si>
  <si>
    <t>Quantidade</t>
  </si>
  <si>
    <t>Unidade_Medida</t>
  </si>
  <si>
    <t>AGUA MINERAL C/ GAS DIAMOND 310ML</t>
  </si>
  <si>
    <t>UN</t>
  </si>
  <si>
    <t>MOSTARDA AMARELA FRASCO C/300G ZILSE UN</t>
  </si>
  <si>
    <t>MOSTARDA ESCURA ZILSE 300G</t>
  </si>
  <si>
    <t>AGUA TONICA ANTARCTICA 350ML</t>
  </si>
  <si>
    <t>OVO BRANCO UN</t>
  </si>
  <si>
    <t>STEINHAEGER DOBLE W 900ML</t>
  </si>
  <si>
    <t>GR</t>
  </si>
  <si>
    <t>AGUA MINERAL S/ GAS LINDOYA 310ML</t>
  </si>
  <si>
    <t>AGUA TONICA ANTARTICA DIET 350ML C/12</t>
  </si>
  <si>
    <t>CX</t>
  </si>
  <si>
    <t>OVO CAIPIRA UN</t>
  </si>
  <si>
    <t>CACHACA DE SCHNAPS DO LEO L</t>
  </si>
  <si>
    <t>LT</t>
  </si>
  <si>
    <t>PEPINO EM CONSERVA HEMMER C/300G</t>
  </si>
  <si>
    <t>PT</t>
  </si>
  <si>
    <t>PAO QUADRADO INTEGRAL WICKBOLD C/400G</t>
  </si>
  <si>
    <t>PC</t>
  </si>
  <si>
    <t>CERVEJA MALZBIER BRAHMA LN 355ML</t>
  </si>
  <si>
    <t>AZEITE EXTRA VIRGEM GALLO 250ML UN</t>
  </si>
  <si>
    <t>LARANJA PERA CASCA FINA KG</t>
  </si>
  <si>
    <t>KG</t>
  </si>
  <si>
    <t>CHUCRUTE HEMMER C/450G</t>
  </si>
  <si>
    <t>TOMATE CEREJA KG</t>
  </si>
  <si>
    <t>FILE MIGNON 4/5 S/ CORDAO KG</t>
  </si>
  <si>
    <t>PATINHO KG</t>
  </si>
  <si>
    <t>BUDWEISER ZERO LONG NECK 330ML C/24</t>
  </si>
  <si>
    <t>BATATA ASTERIX GRAUDA NOIVA KG</t>
  </si>
  <si>
    <t>LEITE INTEGRAL ITALAC 1L</t>
  </si>
  <si>
    <t>PATINHO MOIDO KG</t>
  </si>
  <si>
    <t>GUARANA ANTARCTICA LATA 350ML UN</t>
  </si>
  <si>
    <t>LINGUICA CARACOL C/ PROVOLONE KG</t>
  </si>
  <si>
    <t>ACUCAR REFINADO UNIAO 1KG UN</t>
  </si>
  <si>
    <t>MOLHO INGLES KENKO 1L</t>
  </si>
  <si>
    <t>VINHO TINTO MASCARA DE FUEGO CABERNET 750ML</t>
  </si>
  <si>
    <t>CEBOLA BRANCA KG</t>
  </si>
  <si>
    <t>FILE DE SALMAO COM PELE CONGELADO KG</t>
  </si>
  <si>
    <t>LINGUICA BLUMENAU DEFUMADA KG</t>
  </si>
  <si>
    <t>SAL SACHE CISNE 1000X0,001G</t>
  </si>
  <si>
    <t>LINGUICA DEFUMADA BLUMENAU DICALANI KG</t>
  </si>
  <si>
    <t>FEIJAO CARIOCA KICALDO 1KG</t>
  </si>
  <si>
    <t>MASSA DE PASTEL HIDEKI C/2,5 KG</t>
  </si>
  <si>
    <t>MOSTARDA AMARELA ZILSE GALAO 3KG UN</t>
  </si>
  <si>
    <t>OLEO DE SOJA LIZA 900ML</t>
  </si>
  <si>
    <t>MUSCULO DIANTEIRO KG</t>
  </si>
  <si>
    <t>RABADA SERRADA BRASIL KG</t>
  </si>
  <si>
    <t>FARINHA DE TRIGO ANACONDA 1KG</t>
  </si>
  <si>
    <t>CACHACA ORIGINAL PRATA ENGENHO CANTAREIRA 750ML</t>
  </si>
  <si>
    <t>LEITE CONDENSADO MOCA C/395G UN</t>
  </si>
  <si>
    <t>SAL GROSSO CISNE C/1KG</t>
  </si>
  <si>
    <t>CHOPP BRAHMA CLARO 50L</t>
  </si>
  <si>
    <t>BARRIL</t>
  </si>
  <si>
    <t>VODKA SMIRNOFF RED 998ML</t>
  </si>
  <si>
    <t>AGUA DE COCO KERO COCO 330ML</t>
  </si>
  <si>
    <t>JOELHO SUINO SALMORADO DIANTEIRO KG</t>
  </si>
  <si>
    <t>FARINHA DE ROSCA SANTA KG</t>
  </si>
  <si>
    <t>LAGARTO RED KG</t>
  </si>
  <si>
    <t>GUARANA ANTARCTICA DIET LATA 350ML UN</t>
  </si>
  <si>
    <t>CREME DE LEITE NESTLE 300G LATA UN</t>
  </si>
  <si>
    <t>MOSTARDA AM HEMMER 3,6KG</t>
  </si>
  <si>
    <t>FR</t>
  </si>
  <si>
    <t>LIMAO TAHITI KG</t>
  </si>
  <si>
    <t>MARACUJA AZEDO KG</t>
  </si>
  <si>
    <t>CACHACA DOCE VIDA ENGENHO CANTAREIRA 500ML</t>
  </si>
  <si>
    <t>PEPSI ZERO LATA 350ML C/12</t>
  </si>
  <si>
    <t>VINHO BRANCO MASCARA DE FUEGO SAUVIGNON 750ML</t>
  </si>
  <si>
    <t>QUEIJO MUSSARELA TRES MARIAS KG</t>
  </si>
  <si>
    <t>ARROZ BRANCO TIPO 1 TIO JOAO C/5KG</t>
  </si>
  <si>
    <t>BATATA BEM BRASIL FINA FAST FOOD CONGELADA 2KG UN</t>
  </si>
  <si>
    <t>ABACAXI PEROLA KG</t>
  </si>
  <si>
    <t>MARGARINA COM SAL QUALY 500G UN</t>
  </si>
  <si>
    <t>FILE MIGNON BOVINO MEDALHAO 220 A 260GR RESFRIDO KG</t>
  </si>
  <si>
    <t>PEPSI ZERO LATA 350ML</t>
  </si>
  <si>
    <t>SODA LIMONADA ANTARCTICA DIET LATA 350ML</t>
  </si>
  <si>
    <t>JOELHO SUINO DEFUMADO TRASEIRO KG</t>
  </si>
  <si>
    <t>PEITO DE FRANGO SEM OSSO E SEM PELE KG</t>
  </si>
  <si>
    <t>SAQUE AZUMA KIRIN DOURADO 740ML</t>
  </si>
  <si>
    <t>QUEIJO GORGONZOLA QUATA KG</t>
  </si>
  <si>
    <t>QUEIJO PARMESAO LA SERENISSIMA KG</t>
  </si>
  <si>
    <t>CATCHUP HEMMER TRADICIONAL 320G</t>
  </si>
  <si>
    <t>FARINHA DE COPIOBA KG</t>
  </si>
  <si>
    <t>FARINHA PANKO ROMARIZ C/1KG</t>
  </si>
  <si>
    <t>FUBA MIMOSO KG</t>
  </si>
  <si>
    <t>LINGUICA TOSCANA AURORA 5KG</t>
  </si>
  <si>
    <t>BACALHAU LASCAS PORTO KG</t>
  </si>
  <si>
    <t>BISTECA SUINA KG</t>
  </si>
  <si>
    <t>COSTELA BOVINA GAUCHA KG</t>
  </si>
  <si>
    <t>CACHACA DIAMANTE OURO ENGENHO CANTAREIRA 750ML</t>
  </si>
  <si>
    <t>COPA DI CALLANI KG</t>
  </si>
  <si>
    <t>LINGUICA CALABRESA KG</t>
  </si>
  <si>
    <t>CHORIZO BASSY KG</t>
  </si>
  <si>
    <t>APERITIVO APEROL 750ML</t>
  </si>
  <si>
    <t>CARNE SECA COXAO DURO KG</t>
  </si>
  <si>
    <t>AZEITONA PTA AZAPA 90/110 DISALERNO 2KG</t>
  </si>
  <si>
    <t>AZEITONA VERDE GORDAL 70/80 RIBEIRAO C/2KG</t>
  </si>
  <si>
    <t>BD</t>
  </si>
  <si>
    <t>KETCHUP HEMMER 3,8KG</t>
  </si>
  <si>
    <t>FEIJAO PRETO CAMIL C/2KG</t>
  </si>
  <si>
    <t>VINAGRE BALSAMICO DE MODENA GALLO 250ML</t>
  </si>
  <si>
    <t>ENERGETICO RED BULL TROPICAL 250ML</t>
  </si>
  <si>
    <t>GUARANA ANTARCTICA LATA 350ML C/12 PC</t>
  </si>
  <si>
    <t>H2OH LIMAO 500ML C/12</t>
  </si>
  <si>
    <t>PRESUNTO COZIDO KG</t>
  </si>
  <si>
    <t>QUEIJO PRATO TRES MARIAS KG</t>
  </si>
  <si>
    <t>COSTELA SUINA SALGADA SERRADA EM 2 PARTES KG</t>
  </si>
  <si>
    <t>PIMENTA CUMARI KG</t>
  </si>
  <si>
    <t>AZEITE EXTRAVIRGEM LA RIOJA 5L</t>
  </si>
  <si>
    <t>GALAO</t>
  </si>
  <si>
    <t>FEIJAO VERMELHO KG</t>
  </si>
  <si>
    <t>MOLHO DE PIMENTA TABASCO RED 60ML</t>
  </si>
  <si>
    <t>MOLHO SHOYO TRADICIONAL SAKURA C/1,010L UN</t>
  </si>
  <si>
    <t>PALMITO INTEIRO BELO MONTE 1,8KG</t>
  </si>
  <si>
    <t>VINAGRE DE VINHO BRANCO CASTELO 4% 750ML UN</t>
  </si>
  <si>
    <t>CEBOLA ROXA KG</t>
  </si>
  <si>
    <t>PIMENTA BODE AMARELA KG</t>
  </si>
  <si>
    <t>PIMENTA MALAGUETA VERDE KG</t>
  </si>
  <si>
    <t>PIMENTA MALAGUETA VERMELHA KG</t>
  </si>
  <si>
    <t>TOMATE CARMEM SALADA KG</t>
  </si>
  <si>
    <t>COXA E SOBRECOXA COM OSSO E COM PELE KG</t>
  </si>
  <si>
    <t>LOMBO SUINO SALGADO KG</t>
  </si>
  <si>
    <t>PANCETA SUINA KG</t>
  </si>
  <si>
    <t>PE SUINO SALGADO KG</t>
  </si>
  <si>
    <t>GELO EM CUBO C/5KG</t>
  </si>
  <si>
    <t>CHOPP BRAHMA BLACK 30L</t>
  </si>
  <si>
    <t>VODKA KETEL ONE 1L</t>
  </si>
  <si>
    <t>CAFE NESPRESSO RISTRETTO PRO CAPSULA C/50</t>
  </si>
  <si>
    <t>ENERGETICO RED BULL MELANCIA 250ML C/4</t>
  </si>
  <si>
    <t>ENERGETICO RED BULL ORIGINAL 250ML</t>
  </si>
  <si>
    <t>SALSICHA TIPO FRANKFURT DI CALLANI KG</t>
  </si>
  <si>
    <t>SALSICHAO C/ PICLES KG</t>
  </si>
  <si>
    <t>SORVETE DE CREME GELATO 1KG</t>
  </si>
  <si>
    <t>BACALHAU LOMBO GADUS MORHUA KG</t>
  </si>
  <si>
    <t>RABO SUINO SALGADO INTEIRO KG</t>
  </si>
  <si>
    <t>GOIABADA CASCAO BARRA CEPERA C/400G</t>
  </si>
  <si>
    <t>CAFE PILAO ALMOFADA 500G</t>
  </si>
  <si>
    <t>COGUMELO FATIADO YGUARA BALDE C/2KG</t>
  </si>
  <si>
    <t>COPA LOMBO SUINO KG</t>
  </si>
  <si>
    <t>FEIJAO BRANCO CAMIL C/2KG</t>
  </si>
  <si>
    <t>MAIONESE HELLMANNS C/3KG</t>
  </si>
  <si>
    <t>MASSA FOLHADA AROSA 1KG UN</t>
  </si>
  <si>
    <t>PAPRICA DOCE 500GR</t>
  </si>
  <si>
    <t>QUIRELA DE MILHO XEREM KG</t>
  </si>
  <si>
    <t>TEMPERO BAIANO KG</t>
  </si>
  <si>
    <t>ALHO COMUM KG</t>
  </si>
  <si>
    <t>ALHO DESCASCADO KG</t>
  </si>
  <si>
    <t>BANANA NANICA KG</t>
  </si>
  <si>
    <t>COUVE MANTEIGA KG</t>
  </si>
  <si>
    <t>ERVILHA CONGELADA KG</t>
  </si>
  <si>
    <t>LIMAO SICILIANO KG</t>
  </si>
  <si>
    <t>PIMENTA BODE VERMELHA KG</t>
  </si>
  <si>
    <t>PIMENTA CAMBUCI KG</t>
  </si>
  <si>
    <t>PIMENTA DE CHEIRO VERDE KG</t>
  </si>
  <si>
    <t>PIMENTA DEDO DE MOCA KG</t>
  </si>
  <si>
    <t>TANGERINA IMPORTADA KG</t>
  </si>
  <si>
    <t>PRIME RIB SUINO KG</t>
  </si>
  <si>
    <t>APERITIVO JAGERMEISTER 700ML</t>
  </si>
  <si>
    <t>CACHACA VELHO BARREIRO 910ML</t>
  </si>
  <si>
    <t>CACHACA WEBER HAUS PREMIUM 7 MADEIRAS 750ML</t>
  </si>
  <si>
    <t>GIN TANQUERAY 750ML</t>
  </si>
  <si>
    <t>LICOR STEINHAEGER SCHLICHTE ALEMAO 700ML</t>
  </si>
  <si>
    <t>RUM BACARDI CARTA OURO 980ML</t>
  </si>
  <si>
    <t>VERMOUTH MARTINI ROSSO 750ML</t>
  </si>
  <si>
    <t>ESPUMANTE SALTON BRUT 750ML</t>
  </si>
  <si>
    <t>ENERGETICO RED BULL ORIGINAL 250ML C/6</t>
  </si>
  <si>
    <t>GALAO DE AGUA 20L UN</t>
  </si>
  <si>
    <t>PEPSI COLA LATA 350ML</t>
  </si>
  <si>
    <t>VINHO TINTO CONCHA Y TORO CARMENERE 750ML</t>
  </si>
  <si>
    <t>VINHO TINTO CONCHAY Y TORO MERLOT 750ML</t>
  </si>
  <si>
    <t>ORELHA SUINA SALGADA KG</t>
  </si>
  <si>
    <t>COLORAU EM PO PENINA KG</t>
  </si>
  <si>
    <t>OREGANO KG</t>
  </si>
  <si>
    <t>LIMAO CRAVO KG</t>
  </si>
  <si>
    <t>BACON AURORA KG</t>
  </si>
  <si>
    <t>CONHAQUE FUNDADOR 750ML</t>
  </si>
  <si>
    <t>LICOR DE CASSIS STOCK 720ML</t>
  </si>
  <si>
    <t>RUM BACARDI SUPERIOR CARTA BLANCA 980ML</t>
  </si>
  <si>
    <t>WHISKY JOHNNIE WALKER RED LABEL 1L</t>
  </si>
  <si>
    <t>RAPADURA KG</t>
  </si>
  <si>
    <t>ADOCANTE SUCRALOSE SACHE LINEA 1000X5GR CX</t>
  </si>
  <si>
    <t>ALCAPARRA MEDIA DI SALERNO C/2KG</t>
  </si>
  <si>
    <t>AMIDO DE MILHO MAIZENA 1KG UN</t>
  </si>
  <si>
    <t>AZEITONA PORTUGUESA C/2KG</t>
  </si>
  <si>
    <t>BATATA PALHA AMAVITA C/1KG</t>
  </si>
  <si>
    <t>CALDO DE CARNE KNORR C/1,010KG</t>
  </si>
  <si>
    <t>CEBOLINHA CRISTAL SABORETTI 2KG</t>
  </si>
  <si>
    <t>CREME DE LEITE CULINARIO KG</t>
  </si>
  <si>
    <t>FARINHA DE MANDIOCA CRUA YOKI 5KG</t>
  </si>
  <si>
    <t>GORDURA VEGETAL HIDROGENADA SAUDE FRY 14,5KG</t>
  </si>
  <si>
    <t>GRAO DE BICO CAMIL C/2KG</t>
  </si>
  <si>
    <t>MEL FLORISMEL SILVESTRE C/1KG</t>
  </si>
  <si>
    <t>MELADO DE CANA KG</t>
  </si>
  <si>
    <t>OLEO DE SOJA COCAMAR 18L</t>
  </si>
  <si>
    <t>PAPRICA PICANTE PCT 500G UN</t>
  </si>
  <si>
    <t>TOMATE PELADO OLIVATTO C/2,55KG</t>
  </si>
  <si>
    <t>ALFACE ROMANA KG</t>
  </si>
  <si>
    <t>ALHO PORO KG</t>
  </si>
  <si>
    <t>BATATA BOLINHA KG</t>
  </si>
  <si>
    <t>BERINJELA KG</t>
  </si>
  <si>
    <t>CAJU KG</t>
  </si>
  <si>
    <t>CEBOLINHA KG</t>
  </si>
  <si>
    <t>FRUTAS VERMELHAS CONGELADA KG</t>
  </si>
  <si>
    <t>LOURO FRESCO KG</t>
  </si>
  <si>
    <t>MAMAO FORMOSA KG</t>
  </si>
  <si>
    <t>MAMAO PAPAYA KG</t>
  </si>
  <si>
    <t>MORANGO KG</t>
  </si>
  <si>
    <t>PIMENTA BIQUINHO KG</t>
  </si>
  <si>
    <t>PIMENTA CHOCOLATE KG</t>
  </si>
  <si>
    <t>REPOLHO BRANCO KG</t>
  </si>
  <si>
    <t>SALSA KG</t>
  </si>
  <si>
    <t>SALSAO KG</t>
  </si>
  <si>
    <t xml:space="preserve">UVA VERDE KG </t>
  </si>
  <si>
    <t>REQUEIJAO CATUPIRY BISNAGA C/1,5KG</t>
  </si>
  <si>
    <t>APERITIVO ANGOSTURA 200ML</t>
  </si>
  <si>
    <t>APERITIVO NOILLY PRAT DRY 750ML</t>
  </si>
  <si>
    <t>CONHAQUE DOMECQ 1L</t>
  </si>
  <si>
    <t>GIN APOTHEK 750ML</t>
  </si>
  <si>
    <t>LICOR COINTREAU 700ML</t>
  </si>
  <si>
    <t>LICOR DIEGO ZAMORA 43 700ML</t>
  </si>
  <si>
    <t>LICOR FRANGELICO 700ML</t>
  </si>
  <si>
    <t>TEQUILA JOSE CUERVO OURO 750ML</t>
  </si>
  <si>
    <t>TEQUILA JOSE CUERVO PRATA 750ML</t>
  </si>
  <si>
    <t>WHISKY JACK DANIELS 1L</t>
  </si>
  <si>
    <t>WHISKY JOHNNIE WALKER BLACK LABEL 1L</t>
  </si>
  <si>
    <t>H2OH LIMONETO 500ML C/12UN</t>
  </si>
  <si>
    <t>SODA LIMONADA ANTARCTICA LATA 350ML C/12</t>
  </si>
  <si>
    <t>SUCO DE TOMATE RAIOLA 1L</t>
  </si>
  <si>
    <t>MANTEIGA S/ SAL TRES MARIAS 5KG</t>
  </si>
  <si>
    <t>SALAME DI CALLANI KG</t>
  </si>
  <si>
    <t>APERITIVO CAMPARI 998ML</t>
  </si>
  <si>
    <t>WHISKY CHIVAS REGAL 12 ANOS 1L</t>
  </si>
  <si>
    <t>ALFACE AMERICANA KG</t>
  </si>
  <si>
    <t>FEIJAO FRADINHO KG</t>
  </si>
  <si>
    <t>ALHO FRITO KG</t>
  </si>
  <si>
    <t>ALHO TRITURADO FRITO</t>
  </si>
  <si>
    <t>GENGIBRE KG</t>
  </si>
  <si>
    <t>UVA PASSA PRETA SEM SEMENTE C/1KG</t>
  </si>
  <si>
    <t>STELLA ARTOIS SEM GLUTEN LONG NECK 330ML C/24</t>
  </si>
  <si>
    <t>APERITIVO BRASILBERG UNDERBERG 920ML</t>
  </si>
  <si>
    <t>RADICHIO KG</t>
  </si>
  <si>
    <t>COENTRO KG</t>
  </si>
  <si>
    <t>MANJERIQUINHO KG</t>
  </si>
  <si>
    <t>ALECRIM KG</t>
  </si>
  <si>
    <t>HORTELA HIDROPONICA KG</t>
  </si>
  <si>
    <t>ACUCAR SACHE UNIAO 5G C/1000</t>
  </si>
  <si>
    <t>RAPADURA MINEIRA JR</t>
  </si>
  <si>
    <t>PAPRICA PICANTE KG</t>
  </si>
  <si>
    <t>OLEO DE SOJA SAUDE C/900ML</t>
  </si>
  <si>
    <t>SAL GROSSO CISNE 10X1KG</t>
  </si>
  <si>
    <t>LINGUICA PAIO KG</t>
  </si>
  <si>
    <t>FEIJAO CARIOCA CAMIL C/2KG</t>
  </si>
  <si>
    <t>SALSICHA COM ALHO BERNA KG</t>
  </si>
  <si>
    <t>CREME DE LEITE UHT ITALAC 200ML</t>
  </si>
  <si>
    <t>FEIJAO FRADINHO CAMIL C/2KG</t>
  </si>
  <si>
    <t>NOZ MOSCADA EM PO KG</t>
  </si>
  <si>
    <t>CENOURA KG</t>
  </si>
  <si>
    <t>BROCOLIS RAMOSO KG</t>
  </si>
  <si>
    <t>BROTO DE SALSA KG</t>
  </si>
  <si>
    <t>GALINHA CAIPIRA KG</t>
  </si>
  <si>
    <t>PANCETA SUINA PERDIGAO KG</t>
  </si>
  <si>
    <t>CHORIZO KG</t>
  </si>
  <si>
    <t>RABADA BOVINA CERRADA E LIMPA KG</t>
  </si>
  <si>
    <t>TOMATE SALADA DEBORA GRAUDO KG</t>
  </si>
  <si>
    <t>TOMATE MOLHO ITALIANO KG</t>
  </si>
  <si>
    <t>PE SUINO SALGADO PERDIAO CX C/13KG</t>
  </si>
  <si>
    <t>UVA ITALIA KG</t>
  </si>
  <si>
    <t>SODA LIMONADA ANTARCTICA DIET LATA 350ML C/12</t>
  </si>
  <si>
    <t>PEPSI COLA LATA 350ML C/12</t>
  </si>
  <si>
    <t>AGUA TONICA ANTARCTICA 350ML C/12</t>
  </si>
  <si>
    <t>GUARANA ANTARCTICA DIET LATA 350ML C/12</t>
  </si>
  <si>
    <t>AGUA TONICA DIET ANTARCTICA 350ML C/12</t>
  </si>
  <si>
    <t>AGUA MINERAL SEM GAS LINDOIA PREMIUM  310ML C/12</t>
  </si>
  <si>
    <t>AGUA MINERAL C/ GAS DIAMOND 310ML 12UN</t>
  </si>
  <si>
    <t xml:space="preserve">PEPINO ZILSE 300G </t>
  </si>
  <si>
    <t>ENERGETICO RED BULL ORIGINAL 250ML C/24UN</t>
  </si>
  <si>
    <t>ENERGETICO RED BULL TROPICAL 250ML  C/24UN</t>
  </si>
  <si>
    <t>ACETO BALSAMICO ANDALUZIA 500ML</t>
  </si>
  <si>
    <t>CERVEJA MALZBIER BRAHMA LN 355ML C/ 24UN</t>
  </si>
  <si>
    <t>ENERGETICO RED BULL MELANCIA 250ML  C/24UN</t>
  </si>
  <si>
    <t>PAPRICA DOCE PCT/500G UN</t>
  </si>
  <si>
    <t>UVA PASSA PRETA KG</t>
  </si>
  <si>
    <t>ALFACE FRIZE KG</t>
  </si>
  <si>
    <t>MACA VERDE KG</t>
  </si>
  <si>
    <t>PEPINO JAPONES KG</t>
  </si>
  <si>
    <t>TOMATE SWEET KG</t>
  </si>
  <si>
    <t>UVA THOMPSOM KG</t>
  </si>
  <si>
    <t>CARNE SECA COXÃO DURO DI CALLANI KG</t>
  </si>
  <si>
    <t>TOMATE PELADO DI SALERNO 2,55KG</t>
  </si>
  <si>
    <t xml:space="preserve">JOELHO TRASEIRO  SUINO FRESCO MEDIA 2,5KG </t>
  </si>
  <si>
    <t xml:space="preserve">MOSTARDA ESCURA ZILSE 3KG UN </t>
  </si>
  <si>
    <t>LAGARTO KG</t>
  </si>
  <si>
    <t>ARROZ BRANCO TIPO 1 CAMIL C/5KG</t>
  </si>
  <si>
    <t>ACETO BALSAMICO GALLO C/250ML UN</t>
  </si>
  <si>
    <t>PIMENTA DE CHEIRO AMARELA KG</t>
  </si>
  <si>
    <t>FARINHA DE TRIGO ANACONDA TIPO 1 PREMIUM C/1KG</t>
  </si>
  <si>
    <t>PRESUNTO COZIDO MAGRO KG</t>
  </si>
  <si>
    <t>ESPINAFRE KG</t>
  </si>
  <si>
    <t>PIMENTAO VERMELHO KG</t>
  </si>
  <si>
    <t>CARAMBOLA KG</t>
  </si>
  <si>
    <t>LEITE INTEGRAL QUATA 1L UN</t>
  </si>
  <si>
    <t>AGUA MINERAL COM GAS LINDOIA PREMIUM  310ML C/12</t>
  </si>
  <si>
    <t>SAL REFINADO CISNE 10X1KG</t>
  </si>
  <si>
    <t>FILE DE FRANGO KG</t>
  </si>
  <si>
    <t>MACA GALA KG</t>
  </si>
  <si>
    <t>PAPRICA DEFUMADA PCT 500G UN</t>
  </si>
  <si>
    <t>AGUA MINERAL SEM GAS DIAMOND 310ML C/12</t>
  </si>
  <si>
    <t>PAO DE MIGA INTEGRAL 0,6 KG UN</t>
  </si>
  <si>
    <t>AGUA MINERAL COM GAS DIAMOND 310ML C/12</t>
  </si>
  <si>
    <t>PARGO FRESCO INTEIRO E LIMPO KG</t>
  </si>
  <si>
    <t>FUBA MIMOSO YOKI C/1KG</t>
  </si>
  <si>
    <t>GORDURA VEGETAL FRY SAUDE 14,5KG</t>
  </si>
  <si>
    <t>COSTELA SUINA DEFUMADA KG</t>
  </si>
  <si>
    <t>MORANGO CONGELADO KG</t>
  </si>
  <si>
    <t>QUIABO KG</t>
  </si>
  <si>
    <t>RABANETE KG</t>
  </si>
  <si>
    <t>LICOR SAMBUCA MOLINARI EXTRA 750ML</t>
  </si>
  <si>
    <t>CHUCRUTE ZILSE 400GR</t>
  </si>
  <si>
    <t>GOIABA VERMELHA KG</t>
  </si>
  <si>
    <t>CHORIZO BB GRILL KG</t>
  </si>
  <si>
    <t>APERITIVO STEINHAEGER DOBLE W STANDARD 900ML</t>
  </si>
  <si>
    <t>AGUA MINERAL GALAO  20L</t>
  </si>
  <si>
    <t>ENERGETICO RED BULL TROPICAL 250ML C/4</t>
  </si>
  <si>
    <t>ID_Insumo_Nivel_5</t>
  </si>
  <si>
    <t>Nome_Insumo_Nivel_5</t>
  </si>
  <si>
    <t>Nome_Incumo_Nivel_1</t>
  </si>
  <si>
    <t>Valor_Cotado</t>
  </si>
  <si>
    <t>Valor_Unidade_Medida</t>
  </si>
  <si>
    <t>Kg</t>
  </si>
  <si>
    <t>SACO ALVEJADO BRANCO 45X65 UN</t>
  </si>
  <si>
    <t>DESCARTAVEIS/HIGIENE E LIMPEZA</t>
  </si>
  <si>
    <t>SABAO EM PO MACIEZ TIXAN C/5KG</t>
  </si>
  <si>
    <t>PA DE LIXO COLETORA COM CABO DE CHAPA DE ALUMINIO UN</t>
  </si>
  <si>
    <t>UTENSILIOS</t>
  </si>
  <si>
    <t>UNIDADE</t>
  </si>
  <si>
    <t>AGUA SANITARIA LARILIMP 5L UN</t>
  </si>
  <si>
    <t>PAPEL TOALHA INTER/ 100% CELULOSE SULLEG C/2000</t>
  </si>
  <si>
    <t>DESINFETANTE LAVANDA LARILIMP 5L UN</t>
  </si>
  <si>
    <t>LIMPA CHAPA GRILL CLEANER 5L</t>
  </si>
  <si>
    <t>PAPEL HIGIENICO ROLAO PREMIUM SULLEG 300M C/8UN</t>
  </si>
  <si>
    <t>PANO MULTIUSO 28X240 C/600PANOS UM</t>
  </si>
  <si>
    <t>LIMPA ALUMINIO LARILIMP 5L</t>
  </si>
  <si>
    <t>PALITO DE DENTE EMBALADO BILLA C/ 2000UN</t>
  </si>
  <si>
    <t>AGRIAO HIGIENIZADO KG</t>
  </si>
  <si>
    <t>ESCAROLA KG</t>
  </si>
  <si>
    <t>GAS CO2 UN</t>
  </si>
  <si>
    <t>GELO / GAS / CARVAO / VELAS</t>
  </si>
  <si>
    <t>TAMPA PP BANDEJA 3 COMP. 1400ML C/300UN</t>
  </si>
  <si>
    <t>DESPESAS OPERACIONAIS</t>
  </si>
  <si>
    <t>NF VENCIDA REF. AO MES 05/2026</t>
  </si>
  <si>
    <t>LINGUICA TOSCANA AURORA KG</t>
  </si>
  <si>
    <t>LARANJA PERA KG</t>
  </si>
  <si>
    <t>BACON MANTA KG</t>
  </si>
  <si>
    <t>MANGA VERDE KG</t>
  </si>
  <si>
    <t>SACO DE LIXO 60L PRETO GROSSO 65X80CM (ENTRE 3KG A 4KG)</t>
  </si>
  <si>
    <t>PACOTE</t>
  </si>
  <si>
    <t>SACO DE LIXO 100L BL PRETO GROSSO 95X120 4K UN</t>
  </si>
  <si>
    <t>CAMARAO CINZA PEQUENO LIMPO EVISCERADO 50/60 KG</t>
  </si>
  <si>
    <t>LUVA NITR M SEM TALCO C/100</t>
  </si>
  <si>
    <t>AVENTAL DE PVC BRANCO 1,20X0,70 UN</t>
  </si>
  <si>
    <t>ALCOOL 46º LIQUIDO 1L UN</t>
  </si>
  <si>
    <t>LUVA EMBORRACHADA G AMARELA UN</t>
  </si>
  <si>
    <t>ETIQUETA PRODUCAO 63X50MM C/1000 PLASTIFICADA  UN</t>
  </si>
  <si>
    <t>PAPEL HIGIENICO ROLAO NOBRE 300M C/8</t>
  </si>
  <si>
    <t>DETERGENTE NEUTRO LIMPOL 5L</t>
  </si>
  <si>
    <t>STELLA ARTOIS LONG NECK 330ML C/24</t>
  </si>
  <si>
    <t>OLEO DE SOJA LIZA C/900ML</t>
  </si>
  <si>
    <t>KIWI KG</t>
  </si>
  <si>
    <t>Farinha Copioba – 1Kg</t>
  </si>
  <si>
    <t>GAS COLIMIX 1.6M³  UN</t>
  </si>
  <si>
    <t>GAS</t>
  </si>
  <si>
    <t xml:space="preserve">ALIMENTOS </t>
  </si>
  <si>
    <t>N/A</t>
  </si>
  <si>
    <t>GORDURA VEGETAL COAMO FRY C/14,5 KG</t>
  </si>
  <si>
    <t>LUVA NITR G SEM TALCO PRETA C/100</t>
  </si>
  <si>
    <t>VASSOURA NYLON SAO BERNARDO COM CABO UN</t>
  </si>
  <si>
    <t>ENXAGUANTE BUCAL SABOR MENTA HALITO PURO 1L</t>
  </si>
  <si>
    <t>PAPEL ALUMINIO ROLO  45X65M UN</t>
  </si>
  <si>
    <t>BOBINA PICOTADA 40X60 C/500 UN</t>
  </si>
  <si>
    <t>ALCOOL 70 PARA CHOPEIRA</t>
  </si>
  <si>
    <t>BORRIFADOR PULVERIZADOR SPRAY PLASTICO 500ML UN</t>
  </si>
  <si>
    <t>GUARDANAPO TIPO 13X14 TV C/2000</t>
  </si>
  <si>
    <t>SACO PLASTICO BOBINA PICOTADA ROLL 20X30 KG</t>
  </si>
  <si>
    <t>SACO PLASTICO BOBINA PICOTADA ROLL 40X60 KG</t>
  </si>
  <si>
    <t>CACHACA DE SCHNAPS DO LEO 750ML</t>
  </si>
  <si>
    <t>QUEIJO PARMESAO CAPA PRETA KG</t>
  </si>
  <si>
    <t>ROLO LA SINT 9CM TIGRE</t>
  </si>
  <si>
    <t xml:space="preserve">UTENSILIOS </t>
  </si>
  <si>
    <t>LATA CORALIT TOTAL BALANCE BR PRETO 0,9L</t>
  </si>
  <si>
    <t>LATA SUVINIL AC FO RENDE&amp;COBRE MUITO BRANCO3,6L</t>
  </si>
  <si>
    <t>LATA ACRILICO PEG E PINT EUCATEX CAJU DE PIRANGI 16L</t>
  </si>
  <si>
    <t xml:space="preserve"> TRINCHA PARA METAIS/ESMALTE 100MM </t>
  </si>
  <si>
    <t xml:space="preserve">TRINCHA PARA METAIS/ESMALTE 3 </t>
  </si>
  <si>
    <t>LATA ACRILICO PEG E PINTE AZUL PROFUNDO 16L</t>
  </si>
  <si>
    <t>ROLO PARA PAREDE LATEX 230MM</t>
  </si>
  <si>
    <t>LATA ACRILICO PEG E PINT EUCATEX VERDE RECIFE 18L</t>
  </si>
  <si>
    <t>BANDEJA PLASTICA AZUL GRANDE 230MM TIGRE</t>
  </si>
  <si>
    <t>GUARDANAPO QUADRADO FOLHA DUPLA COM LOGO 24X22 C/5000 UM</t>
  </si>
  <si>
    <t>DESCAETAVEIS</t>
  </si>
  <si>
    <t>Pc</t>
  </si>
  <si>
    <t>ACUCAR CRISTAL UNIAO C/1KG</t>
  </si>
  <si>
    <t xml:space="preserve">COPO CALDERETA 350ML </t>
  </si>
  <si>
    <t>ESPONJA FIBRACO TININDO 3M C/5 UN</t>
  </si>
  <si>
    <t>PALITO DE DENTE BAMBU 2,0 X 65MM CX C/500</t>
  </si>
  <si>
    <t>MARMITEX D6 500ML COM TAMPA THERMOPRAT C/100</t>
  </si>
  <si>
    <t>DESINCRUSTANTE 5L UN</t>
  </si>
  <si>
    <t>LEITE INTEGRAL ITALAC C/12</t>
  </si>
  <si>
    <t xml:space="preserve">BEBIDAS </t>
  </si>
  <si>
    <t>SACO DE LIXO 20L PRETO C/ 100UN</t>
  </si>
  <si>
    <t>TOUCA NYLION PRETA C/100UN</t>
  </si>
  <si>
    <t>ESPONJA LOUCA DELICADA SCOTCH BRITE UN</t>
  </si>
  <si>
    <t>PAPEL TOALHA BOBINA LUXO BIA PAPER C/6X20X200M C/6 ROLOS</t>
  </si>
  <si>
    <t>DETERGENTE DESINCRUSTANTE VERSATIL 5L</t>
  </si>
  <si>
    <t>SACO PLASTICO BOBINA PICOTADA ROLL 30X40 KG</t>
  </si>
  <si>
    <t>DETERGENTE NEUTRO SUPREMA 5L UN</t>
  </si>
  <si>
    <t>PAO FRANCES KG</t>
  </si>
  <si>
    <t>FARINHA DE ROSCA KG</t>
  </si>
  <si>
    <t xml:space="preserve">ALIMENTOS -  PIX SEM JUROS  79398030934 </t>
  </si>
  <si>
    <t>MANDIOCA KG</t>
  </si>
  <si>
    <t>ESPIGA MILHO VERDE KG</t>
  </si>
  <si>
    <t xml:space="preserve"> ALIMENTOS </t>
  </si>
  <si>
    <t>OLEO DE ALGODAO SAUDE C/14,5KG</t>
  </si>
  <si>
    <t>BALDE</t>
  </si>
  <si>
    <t xml:space="preserve">AGUA E GELO </t>
  </si>
  <si>
    <t xml:space="preserve"> ALIMENTOS - BOLETO DIA 27 MAS NAO HAVERA ALTERACAO ATE DIA 01/06  - UTILIZAR O MESMO
7</t>
  </si>
  <si>
    <t>DESCARTAVEIS</t>
  </si>
  <si>
    <t>MOLHO DE PIMENTA TABASCO RED C/60ML</t>
  </si>
  <si>
    <t>CERVEJA CORONA ZERO SUNBREW LONG NECK 330ML C/24</t>
  </si>
  <si>
    <t>CORONA EXTRA LONG NECK 330ML C/24</t>
  </si>
  <si>
    <t>2B84 - BARRA 3,00 METROS -CM</t>
  </si>
  <si>
    <t>MANUTENCAO - VENCIMENTO 06/05</t>
  </si>
  <si>
    <t>BATATA ASTERIX FLORAO KG</t>
  </si>
  <si>
    <t>BANDEJA FIBRA RETANGULAR FNS CR-750B 750ML C/ 300 UN</t>
  </si>
  <si>
    <t xml:space="preserve"> UTENSILIOS</t>
  </si>
  <si>
    <t>TAMPA PP P/ CR-750B ; 1000B ; 1400B  C/300 UN</t>
  </si>
  <si>
    <t xml:space="preserve">ALIMENTOS - PAGAMENTO A VISTA </t>
  </si>
  <si>
    <t>MUSCULO TRASEIRO KG</t>
  </si>
  <si>
    <t>BOBINA TERMICA DE PDV PALHA 80X30 C/30UN</t>
  </si>
  <si>
    <t xml:space="preserve"> BEBIDAS </t>
  </si>
  <si>
    <t>COMPRA DE PAO MENSAL REF 04/2026</t>
  </si>
  <si>
    <t xml:space="preserve"> BEBIDAS</t>
  </si>
  <si>
    <t>PRESUNTO COZIDO MAGRO AURORA KG</t>
  </si>
  <si>
    <t>NOZ MOSCADA INTEIRA KG</t>
  </si>
  <si>
    <t>FARINHA DE TRIGO TP1 ANACONDA 1KG</t>
  </si>
  <si>
    <t>OSSOBUCO KG</t>
  </si>
  <si>
    <t>SABONETE LIQUIDO PARA DISPENSER INOVE BANHEIRO PCD UN</t>
  </si>
  <si>
    <t>CANUDO BIODEGRADAVEL MEXEDOR C/2000 UN</t>
  </si>
  <si>
    <t>SABONETE LIQUIDO ERVA DOCE DEOLINE 5L UM</t>
  </si>
  <si>
    <t xml:space="preserve">ALIEMENTOS </t>
  </si>
  <si>
    <t xml:space="preserve">QUEIJO  REQUEIJAO TIROLEZ C/1,5KG </t>
  </si>
  <si>
    <t>RODO DE PLASTICO COM CABO CONDOR 40CM UN</t>
  </si>
  <si>
    <t>LUVA SEM TALCO G PRETA C/100</t>
  </si>
  <si>
    <t>BROCOLIS COMUM KG</t>
  </si>
  <si>
    <t>ALIMENTOS PAGAMENTO VIA TRANFERENCIA APOS UM MES DE EMISSAO DA NOTA 
Chave PIX 14.596.528/0001-80
Banco Santander
Agência 1551
Conta 13000114-2
CNPJ 14.596.528/0001-80
LPQBR Restaurantes e Padaria Ltda</t>
  </si>
  <si>
    <t>BOWL KRAFT SALAD 750ML C/300UN</t>
  </si>
  <si>
    <t>EMBALAGENS</t>
  </si>
  <si>
    <t>TAMPA PET BOWL SALAD 750ML C/300UN</t>
  </si>
  <si>
    <t>PAPEL MANTEIGA PERSONALIZADO BAR LEO C/ 600 FOLHAS UN </t>
  </si>
  <si>
    <t xml:space="preserve">EMBALAGENS </t>
  </si>
  <si>
    <t>AGRIAO HIDROPONICO KG</t>
  </si>
  <si>
    <t>FEIJAO DE CORDA KG</t>
  </si>
  <si>
    <t>RABADA BOVINA KG</t>
  </si>
  <si>
    <t>AZEITONA PRETA AZAPA ARCOBELLO C/2KG</t>
  </si>
  <si>
    <t xml:space="preserve">GAS </t>
  </si>
  <si>
    <t>BANDEJA FIBRA RETANGULAR FNS CR-1400b 1400ML C/ 300 UN</t>
  </si>
  <si>
    <t>BLEND CARNE MOIDA 80% ACEM / 20% PEITO KG</t>
  </si>
  <si>
    <t>CAMARAO CINZA EVISCERADO 30X45 KG</t>
  </si>
  <si>
    <t>ORELHA SUINA SEM SAL KG</t>
  </si>
  <si>
    <t>FRIGIDEIRA TRAMONTINA TREMTO EM FERRO ANTIADERENTE EXCELLENT 30CM UN</t>
  </si>
  <si>
    <t xml:space="preserve"> UTENSILIOS A VISTA </t>
  </si>
  <si>
    <t>TABUA PARA CHURRASCO EM MADEIRA TECA C/ GRILL OVAL EM FERRO FUNDIDO C/ CABO TRAMONTINA UN</t>
  </si>
  <si>
    <t>FILE DE TILAPIA KG</t>
  </si>
  <si>
    <t>CÓDIGO DE DEFESA DO CONSUMIDOR 2026 LIVRO CDC ATUALIZADO</t>
  </si>
  <si>
    <t>DISPENSER FIO DENTAL WESCO ADVANCED UN</t>
  </si>
  <si>
    <t>GUARDANAPO QUADRADO FOLHA DUPLA BRANCO E BORDA CALANDRA 24X22 C/5000 UN</t>
  </si>
  <si>
    <t>QUEIJO PARMESAO KG</t>
  </si>
  <si>
    <t>COPO DESCARTAVEL 50ML C/5000 UM</t>
  </si>
  <si>
    <t>RALADOR INOX 4 FACES 22,5CM UN</t>
  </si>
  <si>
    <t>Un</t>
  </si>
  <si>
    <t>FACA 6 POLEGADAS CABO VERDE</t>
  </si>
  <si>
    <t>ESPUMADEIRA ACO INOX</t>
  </si>
  <si>
    <t>RAMEQUIN POLIPROPILENO 30ML BRANCO UN</t>
  </si>
  <si>
    <t>RAMEKIN PORCELANA BRANCA 200ML HOTEL RESTAURANTE COR BRANCO CANELADO</t>
  </si>
  <si>
    <t>RAMEQUIN POLIPROPILENO 90 ML BRANCO UN</t>
  </si>
  <si>
    <t>FACA 8 POLEGAS CABO BRANCO UN</t>
  </si>
  <si>
    <t>N/A VM</t>
  </si>
  <si>
    <t>COPO DE VIDRO DOSE TEQUILA NADIR 60ML UN</t>
  </si>
  <si>
    <t>COPO BAIXO BISTRO NADIR 320ML UN</t>
  </si>
  <si>
    <t>VASSOURA NOVICA AZUL BETTANIN COM CABO UN</t>
  </si>
  <si>
    <t>PAPEL TOALHA BOBINA NOBREPAPPER 9X250X8 UN</t>
  </si>
  <si>
    <t>FILTRO COBRE 1POL GE/ FAUSTO 1/4X1/16 UN</t>
  </si>
  <si>
    <t xml:space="preserve">  MATERIAL DE MANUTENCAO</t>
  </si>
  <si>
    <t>TUBO COBRE EXFOSF 0,124 KG/M FLEX 1/4</t>
  </si>
  <si>
    <t>REFIL TURBOSET OXIGENIO 1L/110B UN</t>
  </si>
  <si>
    <t>COMPRESSOR TECUMSEH 1/3HP 220V UN</t>
  </si>
  <si>
    <t>TERMOSTATO FG TC 900E POWER 115V/230V</t>
  </si>
  <si>
    <t>TUBO BLINDADO BRANCO 1 INVERTER</t>
  </si>
  <si>
    <t xml:space="preserve">TUBO BLINDADO BRANCO 1/4 INVERTER </t>
  </si>
  <si>
    <t>TUBO BLINDADO BRANCO 3/8 INVERTER EPEX</t>
  </si>
  <si>
    <t>TUBO COBRE EXFOSF 0,193 KG/M FLEX 3/8</t>
  </si>
  <si>
    <t>FILTRO SECADOR DANF DML033 3/8R</t>
  </si>
  <si>
    <t>GAS R22 13,62KG DUPONT</t>
  </si>
  <si>
    <t>GAS R134A 13,62KG</t>
  </si>
  <si>
    <t>COMPRESSOR EMBRACO 1/4* 110V R134 EMR80HLR UN</t>
  </si>
  <si>
    <t xml:space="preserve">  HIGIENE E LIMPEZA</t>
  </si>
  <si>
    <t>JARRA DE VIDRO MEDIDORA 500ML</t>
  </si>
  <si>
    <t>BANDEJA FIBRA VEGETAL 3 COMPARTIMENTO 1400ML</t>
  </si>
  <si>
    <t>POTE PARA MOLHO KRAFT  90ML C/2000UN</t>
  </si>
  <si>
    <t>TAMPA PET PARA POTE DE MOLHO 90ML C/2000UN</t>
  </si>
  <si>
    <t xml:space="preserve"> HIGIENE E LIMPEZA</t>
  </si>
  <si>
    <t>FIO DENTAL HALITO PURO 200M</t>
  </si>
  <si>
    <t>ANCHO GRILL BB PEDAÇO  800G/1KG</t>
  </si>
  <si>
    <t>KG'</t>
  </si>
  <si>
    <t>PAO QUADRADO 43% INTEGRAL WICKBOLD C/450G UN</t>
  </si>
  <si>
    <t>AGUA MINERAL SEM GAS LINDOIA PREMIUM  510ML C/12</t>
  </si>
  <si>
    <t>AGUA</t>
  </si>
  <si>
    <t xml:space="preserve">ALIMENTOS CHAVE PIX 11986122470 </t>
  </si>
  <si>
    <t>LIXEIRAS DE 15L COM PEDAL BRANCA</t>
  </si>
  <si>
    <t xml:space="preserve">HIGIENE E LIMPEZA ID COMPLEMENTAR 3221306 </t>
  </si>
  <si>
    <t>LICOR JAGERMEISTER COLD BREW COFFEE 700ML UN</t>
  </si>
  <si>
    <t>ALIMENTOS -</t>
  </si>
  <si>
    <t>SACOLA KRAFT 27X18X30 C/100</t>
  </si>
  <si>
    <t>TELA MICTORIO LIMAO PREMISSE UN</t>
  </si>
  <si>
    <t>PAPEL TOALHA BOBINA NOBRE 08/26 C/6UN</t>
  </si>
  <si>
    <t>UNIAO SCHRADER ¼ SAE X ¼ SOLDA 100M UN</t>
  </si>
  <si>
    <t xml:space="preserve">MATERIAL DE MANUTENCAO </t>
  </si>
  <si>
    <t>GAS R134A LATA 1 KG DUPONT UN</t>
  </si>
  <si>
    <t>MATERIAL DE MANUTENCAO</t>
  </si>
  <si>
    <t>STELLA ARTOIS PURE GOLD  BIB 12L UN</t>
  </si>
  <si>
    <t>COZIVAPORE ALUMINIO VIGOR UN</t>
  </si>
  <si>
    <t>GRAO DE BICO KG</t>
  </si>
  <si>
    <t>VALVULA EXTRATORA DE CHOPP TIPO S</t>
  </si>
  <si>
    <t>BOLACHA DE CHOPP LAMINA DIVERSOS UN</t>
  </si>
  <si>
    <t>KETCHUP ZILSE 350G UN</t>
  </si>
  <si>
    <t xml:space="preserve">  ALIMENTOS </t>
  </si>
  <si>
    <t xml:space="preserve"> ALIMENTOS</t>
  </si>
  <si>
    <t xml:space="preserve">HIGIENE E LIMPEZA </t>
  </si>
  <si>
    <t>SACOLA ALTA DENSIDADE BRANCA 45X60CM</t>
  </si>
  <si>
    <t>ALIMENTOS NOTA EM ATRASO DE NOV/2025 CHAVE PIX EXCLUSIVO PARA ACORDOS : financeiro@twfoods.com.br</t>
  </si>
  <si>
    <t>ALFACE MIMOSA KG</t>
  </si>
  <si>
    <t>ALIMENTOS - BANCO ITAÚ 
PIX: 05.058.229/0002-81
RAZÃO: SORVETES JUNDIÁ INDÚSTRIA E COMÉRCIO LTDA.</t>
  </si>
  <si>
    <t>LIXEIRA 100LT COM PEDAL</t>
  </si>
  <si>
    <t>MARGARINA QUALY C/ SAL 500G C/ 12UN</t>
  </si>
  <si>
    <t>GUARDANAPO FOLHA DUPLA 23,5X24 COM LOGO C/5000</t>
  </si>
  <si>
    <t>CREME DE LEITE PIRACANJUBA TP 1,030 KG  UN</t>
  </si>
  <si>
    <t>SALSICHA TIPO FRANKFURT KG</t>
  </si>
  <si>
    <t xml:space="preserve">ESPONJA DUPLA FACE TININDO 3M C/10 UN </t>
  </si>
  <si>
    <t>GAS COLIMIX 8.0M³ UN</t>
  </si>
  <si>
    <t>FACA DE SOBREMESA PACIFC  EM ACO INOX TRAMONTINA UN</t>
  </si>
  <si>
    <t>FRANGO INTEIRO KG</t>
  </si>
  <si>
    <t xml:space="preserve">  ALIMENTOS (RENEGOCIADO / VENCIMENTO ORIGINAL 03/02/2026)</t>
  </si>
  <si>
    <t>LIMPA VIDRO EVALAR 5L</t>
  </si>
  <si>
    <t>PAPEL TOALHA INTERF/ FOLHA DUPLA OUROPEL C/22,5X20,5 C/2000</t>
  </si>
  <si>
    <t>PIMENTA DO REINO GRAO KG</t>
  </si>
  <si>
    <t>AZEITONA VERDE GORDAL 80/90 DI SALERNO C/2KG</t>
  </si>
  <si>
    <t xml:space="preserve"> ALIMENTOS ID COMPLEMENTAR 3027704</t>
  </si>
  <si>
    <t>ALIMENTOS ID COMPLEMENTAR 3046240</t>
  </si>
  <si>
    <t>MARMITEX D2 1000ML COM TAMPA THEMOPRAT C/100</t>
  </si>
  <si>
    <t>GAS R22 LATA 1KG DUPONT UN</t>
  </si>
  <si>
    <t xml:space="preserve">  MANUTENCAO</t>
  </si>
  <si>
    <t>COMPRESSOR SCROLL PANA 5TR 220/3  UN</t>
  </si>
  <si>
    <t>FILE MIGNON BOVINO MEDALHAO 200 A 240GR KG</t>
  </si>
  <si>
    <t>COMPRESSOR ELGIN 7/8HP UN</t>
  </si>
  <si>
    <t>REMOVEDOR SEM CHEIRO UN</t>
  </si>
  <si>
    <t>ALIMENTOS - FALTOU COPA NO VALOR DE 402,90</t>
  </si>
  <si>
    <t xml:space="preserve">EMBALAGEM PARA FRANGO ASSADO C/100UN </t>
  </si>
  <si>
    <t xml:space="preserve">ALIMENTOS REQUISISAO COMPLEMENTAR 2931781 </t>
  </si>
  <si>
    <t>COPO CHOPP BLACK 430ML UN</t>
  </si>
  <si>
    <t>TOUCA TNT BRANCA C/100UN</t>
  </si>
  <si>
    <t xml:space="preserve">ALIMENTOS - FALTOU INCLUIR NA REQUISICAO FEIJAO E RAPADURA </t>
  </si>
  <si>
    <t>ID_Nivel_4</t>
  </si>
  <si>
    <t>Categoria_Insumo</t>
  </si>
  <si>
    <t>Preco_Medio_Pago_no_Mes</t>
  </si>
  <si>
    <t>Data_Ultima_Compra</t>
  </si>
  <si>
    <t>Valor_Ultima_Compra</t>
  </si>
  <si>
    <t>Valor_Ultima_Compra_Global</t>
  </si>
  <si>
    <t>Valor_em_Estoque</t>
  </si>
  <si>
    <t>MOSTARDA ESCURA HEMMER GALÃO 3,6KG</t>
  </si>
  <si>
    <t>MASSA DE PASTEL ROLO PASTIFICIO MARTINS KG</t>
  </si>
  <si>
    <t>LINGUICA CALABRESA RETA SEARA KG</t>
  </si>
  <si>
    <t>LINGUICA PAIO AURORA KG</t>
  </si>
  <si>
    <t>SALSICHA C/ ALHO KG</t>
  </si>
  <si>
    <t>OLEO DE SOJA SOYA 900ML</t>
  </si>
  <si>
    <t>VINHO TINTO SECO PICCOLI 4,6L</t>
  </si>
  <si>
    <t>FARINHA DE AMENDOA KG</t>
  </si>
  <si>
    <t>TOMATE ITALIANO MOLHO KG</t>
  </si>
  <si>
    <t>CAFE NESPRESSO RISTRETTO INDIA CAPSULA C/50</t>
  </si>
  <si>
    <t>LINGUICA CALABRESA AURORA KG</t>
  </si>
  <si>
    <t>KETCHUP TRADICIONAL HEMMER C/3,8KG</t>
  </si>
  <si>
    <t>FARINHA DE MANDIOCA FINA YOKI 1KG</t>
  </si>
  <si>
    <t>LICOR CURACAU FINO STOCK 720ML</t>
  </si>
  <si>
    <t>CREME DE LEITE NESTLE C/200G UN</t>
  </si>
  <si>
    <t>MACARRAO FETTUCCINE DIVELLA C/500G</t>
  </si>
  <si>
    <t>PAPRICA DEFUMADA KG</t>
  </si>
  <si>
    <t>CARNE SECA TRASEIRA KG</t>
  </si>
  <si>
    <t>LICOR DRAMBUIE 750ML</t>
  </si>
  <si>
    <t>MOSTARDA AMARELA HEMMER C/200G</t>
  </si>
  <si>
    <t>PEITO DE FRANGO S/ OSSO S/ PELE KG</t>
  </si>
  <si>
    <t>SAL REFINADO CISNE 1KG</t>
  </si>
  <si>
    <t>GOIABADA CASCAO ZELIA C/ 500G UN</t>
  </si>
  <si>
    <t>PAPRICA DOCE TEMPERABEM C/500G</t>
  </si>
  <si>
    <t>PAPRICA PICANTE TEMPERABEM C/500G</t>
  </si>
  <si>
    <t>AGUA MINERAL S/ GAS DIAMOND 310ML</t>
  </si>
  <si>
    <t>CEBOLINHA CRISTAL YGUARA C/2KG</t>
  </si>
  <si>
    <t>TOMATE DEBORA GRAUDO KG</t>
  </si>
  <si>
    <t>CEBOLA EM PO KG</t>
  </si>
  <si>
    <t>MELADO DE CANA JR C/1,3KG</t>
  </si>
  <si>
    <t>BACALHAU COD MORHUA 07/09 C/ 25KG</t>
  </si>
  <si>
    <t>SALMAO DEFUMADO KG</t>
  </si>
  <si>
    <t>FILE MIGNON 4/5 S/ CORDAO ARROBA KG</t>
  </si>
  <si>
    <t>VERMOUTH CARPANO CLASSICO ROSSO ITALIANO 1L</t>
  </si>
  <si>
    <t>PIMENTA PRETA EM GRAO CONDBRAS C/1KG</t>
  </si>
  <si>
    <t xml:space="preserve">ACETO BALSAM DI MODENA DISALERNO 500ML </t>
  </si>
  <si>
    <t>SODA LIMONADA ANTARCTICA LATA 350ML</t>
  </si>
  <si>
    <t>TOMATE CEREJA VERMEHO KG</t>
  </si>
  <si>
    <t>MOLHO INGLES LEA &amp; PERRIINS 150ML</t>
  </si>
  <si>
    <t>MANTEIGA SCALA C/5KG</t>
  </si>
  <si>
    <t>FILE DE SALMAO COM PELE FRESCO KG</t>
  </si>
  <si>
    <t>CAFE NESPRESSO EXPRESSO LEGGERO CAPSULA C/50</t>
  </si>
  <si>
    <t>COXAO DURO KG</t>
  </si>
  <si>
    <t>FILE DE ABADEJO 400/800 BONA PROA KG</t>
  </si>
  <si>
    <t>VODKA ABSOLUT 1L</t>
  </si>
  <si>
    <t>AGUA TONICA DIET ANTARCTICA 350ML C/ 12UN</t>
  </si>
  <si>
    <t>CREME DE LEITE FRESCO QUATA C/1,01LT</t>
  </si>
  <si>
    <t>GELO EM CUBO KG</t>
  </si>
  <si>
    <t>BATATA COMUM KG</t>
  </si>
  <si>
    <t>MILHO VERDE KG</t>
  </si>
  <si>
    <t>TOMILHO KG</t>
  </si>
  <si>
    <t>BATATA DOCE KG</t>
  </si>
  <si>
    <t>ALFACE CRESPA KG</t>
  </si>
  <si>
    <t>COXAO DURO BOA CARNE KG</t>
  </si>
  <si>
    <t>FARINHA DE MANDIOCA CRUA GROSSA YOKI C/1KG</t>
  </si>
  <si>
    <t>SOBRECOXA DE FRANCO C/ OSSO E C/ PELE KG</t>
  </si>
  <si>
    <t>VAGEM KG</t>
  </si>
  <si>
    <t>BISTECA DO LOMBO SUINA RESFRIADA KG</t>
  </si>
  <si>
    <t>BACON MANTA AURORA KG</t>
  </si>
  <si>
    <t>MOSTARDA ESCURA HEMMER C/200G UN</t>
  </si>
  <si>
    <t>SALAME ITALIANO KG</t>
  </si>
  <si>
    <t>FARINHA DE MANDIOCA GROSSA YOKI 1KG</t>
  </si>
  <si>
    <t>QUEIJO PARMESAO CALCAR NEGRO URUGUAIO KG</t>
  </si>
  <si>
    <t>MAIONESE HELLMANS 3KG</t>
  </si>
  <si>
    <t>FILE DE PEITO SEM PELE E SEM OSSO KG</t>
  </si>
  <si>
    <t>OLEO DE MILHO LIZA 900ML</t>
  </si>
  <si>
    <t>BATATA PALITO 9MM MC CAIN C/2,5KG</t>
  </si>
  <si>
    <t>PALMITO INTEIRO OURO DO VALE C/1,8KG</t>
  </si>
  <si>
    <t>FEIJAO CARIOCA CAMIL 1KG</t>
  </si>
  <si>
    <t>CEBOLA KG</t>
  </si>
  <si>
    <t>BATATA PALITO 9MM MC CAIN 15KG</t>
  </si>
  <si>
    <t>PIMENTAO AMARELO KG</t>
  </si>
  <si>
    <t>LICOR STEINHAEGER HONIG 900ML</t>
  </si>
  <si>
    <t>ERVAS FINAS KG</t>
  </si>
  <si>
    <t>FILE DE ABADEJO 400/800 KG</t>
  </si>
  <si>
    <t>CONTRA FILE COM NOIX KG</t>
  </si>
  <si>
    <t>AZEITE EXTRA VIRGEM GALLO 2L</t>
  </si>
  <si>
    <t>RABO BOVINO INTEIRO KG</t>
  </si>
  <si>
    <t>BACALHAU DESFIADO KG</t>
  </si>
  <si>
    <t>COXAO MOLE KG</t>
  </si>
  <si>
    <t>BACALHAU MORHUA 11/15 KG</t>
  </si>
  <si>
    <t>CHARQUE DE COXAO MOLE KG</t>
  </si>
  <si>
    <t>MOSTARDA FRANCESA DIJON BEAUFOR 1KG</t>
  </si>
  <si>
    <t>PRESUNTO COZIDO MAGRO PERDIGAO KG</t>
  </si>
  <si>
    <t>FEIJAO PRETO CAMIL C/1KG</t>
  </si>
  <si>
    <t>PIMENTA BIQUINHO VERMELHA YGUARA C/2KG</t>
  </si>
  <si>
    <t>FARINHA DE ROSCA YOKI C/4KG</t>
  </si>
  <si>
    <t>MEXERICA CLEMENTINA KG</t>
  </si>
  <si>
    <t>MOLHO INGLES CEPERA C/1L</t>
  </si>
  <si>
    <t>OREGANO GRANEL KG</t>
  </si>
  <si>
    <t>GELO RETANGULO 50X65MM</t>
  </si>
  <si>
    <t>TOMATE PELADO MASTROIANI C/2,55KG</t>
  </si>
  <si>
    <t>FEIJAO CARIOCA CAMIL 2KG</t>
  </si>
  <si>
    <t>BATATA DOCE ROSADA KG</t>
  </si>
  <si>
    <t>REPOLHO ROXO KG</t>
  </si>
  <si>
    <t>SALMAO DEFUMADO FATIADO KG</t>
  </si>
  <si>
    <t>BACALHAU MORHUA 11/15 C/ 50KG</t>
  </si>
  <si>
    <t>CHARQUE DE COXAO DURO KG</t>
  </si>
  <si>
    <t>LICOR MARIE BRIZARD TRIPLE 700ML</t>
  </si>
  <si>
    <t>LINGUICA CALABRESA DEFUMADA SADIA KG</t>
  </si>
  <si>
    <t>MANJERICAO KG</t>
  </si>
  <si>
    <t>TOMATE PELADO MANGIARE 2,55KG</t>
  </si>
  <si>
    <t>MOLHO INGLES JIMMI C/1L</t>
  </si>
  <si>
    <t>BANANA PRATA KG</t>
  </si>
  <si>
    <t>SALSICHA CERVELA KG</t>
  </si>
  <si>
    <t>VINHO TINTO CARMENERE CONCHA Y TORO 750ML</t>
  </si>
  <si>
    <t>AGUA DE COCO SOCOCO 1L</t>
  </si>
  <si>
    <t xml:space="preserve">MOSTARDA AMARELA GALAO C/3KG ZILSE </t>
  </si>
  <si>
    <t>FUBA MIMOSO YOKI 1KG</t>
  </si>
  <si>
    <t>OLEO DE MILHO LIZA C/900ML</t>
  </si>
  <si>
    <t>CONHAQUE MACIEIRA ROYAL SPIRIT 700ML</t>
  </si>
  <si>
    <t>ZIMBRO KG</t>
  </si>
  <si>
    <t>COLORAU EM PO  kg</t>
  </si>
  <si>
    <t>CERVEJA MALZBIER BRAHMA LONG NECK 355ML C/12</t>
  </si>
  <si>
    <t>Quantidade_Comprada_no_Mes</t>
  </si>
  <si>
    <t>Valor_Total_Pago_no_Mes</t>
  </si>
  <si>
    <t>Evento_CMV_ID</t>
  </si>
  <si>
    <t>Valor_A_B</t>
  </si>
  <si>
    <t>ID_Transferencia</t>
  </si>
  <si>
    <t>Empresa_Saida</t>
  </si>
  <si>
    <t>Empresa_Entrada</t>
  </si>
  <si>
    <t>Nome_Insumo</t>
  </si>
  <si>
    <t>Insumo_Nivel_4</t>
  </si>
  <si>
    <t>Insumo_Nivel_1</t>
  </si>
  <si>
    <t>Valor_da_Transferencia</t>
  </si>
  <si>
    <t>Bar Brahma - Centro</t>
  </si>
  <si>
    <t>COUVE MANTEIGA FATIADA KG</t>
  </si>
  <si>
    <t>COUVE MANTEIGA</t>
  </si>
  <si>
    <t>Falta de produto</t>
  </si>
  <si>
    <t>SORVETE DE BANANA C/5L - ROCHINHA</t>
  </si>
  <si>
    <t>QUEIJO PARMESAO</t>
  </si>
  <si>
    <t>CHORIZO</t>
  </si>
  <si>
    <t>CHOPP CLARO</t>
  </si>
  <si>
    <t>AGUA MINERAL S/ GAS LINDOYA</t>
  </si>
  <si>
    <t>AGUA MINERAL C/ GAS LINDOYA</t>
  </si>
  <si>
    <t>GORDURA VEGETAL CUKIN FRY 14,5KG</t>
  </si>
  <si>
    <t>GORDURA VEGETAL HIDROGENADA</t>
  </si>
  <si>
    <t>EMBALAGEM COM TAMPA R41 BRANCA DE 850ML C/250</t>
  </si>
  <si>
    <t>EMBALAGEM COM TAMPA</t>
  </si>
  <si>
    <t>EMBALAGEM COM TAMPA R61 BRANCA DE 1500 ML C/250</t>
  </si>
  <si>
    <t xml:space="preserve">ABASTECIMENTO CCBB </t>
  </si>
  <si>
    <t>Jacaré</t>
  </si>
  <si>
    <t>GUARANA ANTARCTICA LATA 350ML</t>
  </si>
  <si>
    <t>AZEITE EXTRA VIRGEM GALO 250ML</t>
  </si>
  <si>
    <t>SORVETE DE BAUNILHA C/5L – ROCHINHA</t>
  </si>
  <si>
    <t>CAFE EM CAPSULA NESPRESSO RISTRETTO PRO</t>
  </si>
  <si>
    <t>COMPRA CNPJ BRAHMA  6226516</t>
  </si>
  <si>
    <t>LEITE CONDENSADO MOCA C/2,6KG</t>
  </si>
  <si>
    <t>LEITE CONDENSADO</t>
  </si>
  <si>
    <t>BATATA ASTERIX GRAUDA</t>
  </si>
  <si>
    <t>CAFE EM PO</t>
  </si>
  <si>
    <t>PEPSI ZERO LATA</t>
  </si>
  <si>
    <t>ALHO PORO</t>
  </si>
  <si>
    <t>COMPRA CNPJ BAR DO LEO ( NF: 6523901 )</t>
  </si>
  <si>
    <t>COMPRA CNPJ BAR DO LEO ( NF: 6514999 )</t>
  </si>
  <si>
    <t>Escritório Fabrica de Bares</t>
  </si>
  <si>
    <t>COMPRA CNPJ BAR DO LEO ( NF: 6432515 ) NOTA COM EMISSAO NO MES DE MARÇO</t>
  </si>
  <si>
    <t xml:space="preserve">COMPRA CNPJ BAR DO LEO ( NF: 565982 ) </t>
  </si>
  <si>
    <t>COMPRA CNPJ BRAHMA ( NF: 664971)</t>
  </si>
  <si>
    <t>COMPRA CNPJ BRAHMA  (NF:664671)</t>
  </si>
  <si>
    <t xml:space="preserve">Falta de produto </t>
  </si>
  <si>
    <t xml:space="preserve">CERVEJA CORONA CERO SUNBREW LONG NECK 330ML </t>
  </si>
  <si>
    <t>COMPRA BAR DO LEO CNPJ- BAR BRAHMA CENTRO CNPJ :163014</t>
  </si>
  <si>
    <t>CERVEJA CORONA EXTRA</t>
  </si>
  <si>
    <t>compra no cnpj do leo ( NF 163014)</t>
  </si>
  <si>
    <t>H2OH</t>
  </si>
  <si>
    <t>GUARANA ANTARCTICA  DIET LATA</t>
  </si>
  <si>
    <t>CERVEJA STELLA ARTOIS S/ GLUTEN</t>
  </si>
  <si>
    <t>AGUA TONICA ANTARTICA</t>
  </si>
  <si>
    <t>SODA LIMONADA ANTARCTICA DIET LATA</t>
  </si>
  <si>
    <t>compra no cnpj do leo ( NF 163013)</t>
  </si>
  <si>
    <t>BUDWEISER ZERO LN 330ML</t>
  </si>
  <si>
    <t>compra no cnpj do leo (NF6665788)</t>
  </si>
  <si>
    <t>AGUA MINERAL LINDOIA PREMIUM COPO 200ML C/48</t>
  </si>
  <si>
    <t>AGUA MINERAL  LINDOIA PREMIUM COPO 200ML</t>
  </si>
  <si>
    <t xml:space="preserve">EVENTO BAR DO LEO </t>
  </si>
  <si>
    <t>PEPSI COLA LATA</t>
  </si>
  <si>
    <t xml:space="preserve">EVEVENTO BAR DO LEO </t>
  </si>
  <si>
    <t xml:space="preserve">TRANSFERENCIA Bar do Léo </t>
  </si>
  <si>
    <t>CHOPP BLACK</t>
  </si>
  <si>
    <t>MAIONESE COZINHA</t>
  </si>
  <si>
    <t>ID_Consumo_Funcionarios</t>
  </si>
  <si>
    <t>Data_Baixa</t>
  </si>
  <si>
    <t>Motivo</t>
  </si>
  <si>
    <t>Valor</t>
  </si>
  <si>
    <t>Observacoes</t>
  </si>
  <si>
    <t>CONSUMO INTERNO</t>
  </si>
  <si>
    <t>Alimentação Funcionários</t>
  </si>
  <si>
    <t>ID_Contagem_Producao</t>
  </si>
  <si>
    <t>Nome_Item_Produzido</t>
  </si>
  <si>
    <t>Nivel_1</t>
  </si>
  <si>
    <t>PUDIM</t>
  </si>
  <si>
    <t>BOLINHO DE CARNE</t>
  </si>
  <si>
    <t>PASTEL DE CARNE</t>
  </si>
  <si>
    <t>PASTEL DE PAMITO</t>
  </si>
  <si>
    <t>PASTEL DE QUEJO</t>
  </si>
  <si>
    <t>MOLHO DE TOMATE</t>
  </si>
  <si>
    <t>QUILOGRAMA</t>
  </si>
  <si>
    <t>CALDINHO DE FEIJAO</t>
  </si>
  <si>
    <t>PASTA DE GORGONZOLA</t>
  </si>
  <si>
    <t>STRUDEL DE MACA</t>
  </si>
  <si>
    <t>VINAGRETE</t>
  </si>
  <si>
    <t>FAROFA</t>
  </si>
  <si>
    <t xml:space="preserve">CALDA DE CARAMELO </t>
  </si>
  <si>
    <t xml:space="preserve">CHUCRUTE </t>
  </si>
  <si>
    <t>MOLHO DE MOSTARDA COM MEL</t>
  </si>
  <si>
    <t xml:space="preserve">MASSA FOLHADA </t>
  </si>
  <si>
    <t>RECHEIO STRUDEL DE MAÇA</t>
  </si>
  <si>
    <t>ARROZ BRANCO COZIDO</t>
  </si>
  <si>
    <t>XEREM</t>
  </si>
  <si>
    <t xml:space="preserve">ROSBIFE DE LAGARTO </t>
  </si>
  <si>
    <t>RABADA DO BAR LEO</t>
  </si>
  <si>
    <t>TORRESMO</t>
  </si>
  <si>
    <t>PASTA DE ALHO</t>
  </si>
  <si>
    <t>FEIJOADA BASE</t>
  </si>
  <si>
    <t xml:space="preserve">BACALHAU DO LÉO BASE </t>
  </si>
  <si>
    <t>GRAO DE BICO COZIDO</t>
  </si>
  <si>
    <t xml:space="preserve">MOLHO DE ALCAPARRA COM TOMATE </t>
  </si>
  <si>
    <t>CALDO DE FEIJOADA</t>
  </si>
  <si>
    <t>LITRO</t>
  </si>
  <si>
    <t>FILÉ MIGNON EMPANADO</t>
  </si>
  <si>
    <t xml:space="preserve">LEBERKASSE BASE </t>
  </si>
  <si>
    <t>MOLHO DE MAÇÃ</t>
  </si>
  <si>
    <t>SALADA DE BATATA</t>
  </si>
  <si>
    <t>MOLHO DE MOSTARDA</t>
  </si>
  <si>
    <t>FILET MIGNON MILANESA</t>
  </si>
  <si>
    <t>ID_Casa</t>
  </si>
  <si>
    <t>Ano</t>
  </si>
  <si>
    <t>Classificacao_Contabil_1</t>
  </si>
  <si>
    <t>Classificacao_Contabil_2</t>
  </si>
  <si>
    <t>Valor Ajuste</t>
  </si>
  <si>
    <t>Descrição Ajuste</t>
  </si>
  <si>
    <t>COMPRAS SQUAD  Ajuste manual</t>
  </si>
  <si>
    <t>ID 221053 FNS COMERCIO E IMPORTAÇÃO LTDA R$609,99 Alterado para EMBALAGENS manualmente</t>
  </si>
  <si>
    <t>Patrocínio</t>
  </si>
  <si>
    <t>Diageo - Volume</t>
  </si>
  <si>
    <t>D 212888 FNS COMERCIO E IMPORTAÇÃO LTDA R$ 1.957,9 Alterado para EMBALAGENS manualmente</t>
  </si>
  <si>
    <t>Delivery Bar Leo Centro</t>
  </si>
  <si>
    <t>9/2025</t>
  </si>
  <si>
    <t>8/2025</t>
  </si>
  <si>
    <t>7/2025</t>
  </si>
  <si>
    <t>6/2025</t>
  </si>
  <si>
    <t>5/2025</t>
  </si>
  <si>
    <t>4/2025</t>
  </si>
  <si>
    <t>3/2025</t>
  </si>
  <si>
    <t>2/2025</t>
  </si>
  <si>
    <t>1/2025</t>
  </si>
  <si>
    <t>CARTAO FB</t>
  </si>
  <si>
    <t>NOME</t>
  </si>
  <si>
    <t>CENTRO DE CUSTO</t>
  </si>
  <si>
    <t>BAR LÉO/JACARÉ</t>
  </si>
  <si>
    <t>FÁBIO NUNES DE OLIVEIRA</t>
  </si>
  <si>
    <t>BBC/BBG/BAR LÉO</t>
  </si>
  <si>
    <t>DUVAL MORITZ DOS SANTOS JUNIOR</t>
  </si>
  <si>
    <t>MARIA FERNANDA DE BARROS BRITO</t>
  </si>
  <si>
    <t>GIRONDINO/BAR LÉO</t>
  </si>
  <si>
    <t>CLETO DE LIMA OLIVEIRA</t>
  </si>
  <si>
    <t>BAR LÉO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</si>
</sst>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(* #,##0_);_(* \(#,##0\);_(* &quot;-&quot;??_);_(@_)"/>
    <numFmt numFmtId="167" formatCode="_-* #,##0.0000_-;\-* #,##0.0000_-;_-* &quot;-&quot;??_-;_-@_-"/>
    <numFmt numFmtId="168" formatCode="0.000%"/>
    <numFmt numFmtId="169" formatCode="_(&quot;R$ &quot;* #,##0.00_);_(&quot;R$ &quot;* \(#,##0.00\);_(&quot;R$ &quot;* &quot;-&quot;??_);_(@_)"/>
    <numFmt numFmtId="170" formatCode="#,##0.00;[Red]#,##0.00"/>
    <numFmt numFmtId="171" formatCode="&quot;R$&quot;\ #,##0.00"/>
    <numFmt numFmtId="172" formatCode="yyyy\-mm\-dd"/>
    <numFmt numFmtId="173" formatCode="yyyy\-mm\-dd\ h:mm:ss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Calibri"/>
      <family val="2"/>
      <scheme val="minor"/>
    </font>
    <font>
      <b/>
      <sz val="20"/>
      <color theme="0"/>
      <name val="Verdana"/>
      <family val="2"/>
    </font>
    <font>
      <b/>
      <sz val="10"/>
      <color theme="8" tint="0.39997558519241921"/>
      <name val="Verdana"/>
      <family val="2"/>
    </font>
    <font>
      <sz val="10"/>
      <color theme="0"/>
      <name val="Verdana"/>
      <family val="2"/>
    </font>
    <font>
      <b/>
      <sz val="10"/>
      <color indexed="9"/>
      <name val="Verdana"/>
      <family val="2"/>
    </font>
    <font>
      <b/>
      <sz val="10"/>
      <color indexed="48"/>
      <name val="Verdana"/>
      <family val="2"/>
    </font>
    <font>
      <b/>
      <sz val="14"/>
      <color theme="0"/>
      <name val="Calibri"/>
      <family val="2"/>
      <scheme val="minor"/>
    </font>
    <font>
      <sz val="10"/>
      <name val="Verdana"/>
      <family val="2"/>
    </font>
    <font>
      <b/>
      <sz val="10"/>
      <color theme="0"/>
      <name val="Calibri"/>
      <family val="2"/>
      <scheme val="minor"/>
    </font>
    <font>
      <b/>
      <sz val="10"/>
      <color indexed="60"/>
      <name val="Verdana"/>
      <family val="2"/>
    </font>
    <font>
      <b/>
      <sz val="10"/>
      <color theme="1"/>
      <name val="Verdana"/>
      <family val="2"/>
    </font>
    <font>
      <b/>
      <sz val="10"/>
      <color indexed="10"/>
      <name val="Verdana"/>
      <family val="2"/>
    </font>
    <font>
      <sz val="11"/>
      <name val="Calibri"/>
      <family val="2"/>
      <scheme val="minor"/>
    </font>
    <font>
      <sz val="9"/>
      <name val="Verdana"/>
      <family val="2"/>
    </font>
    <font>
      <sz val="8"/>
      <name val="Verdana"/>
      <family val="2"/>
    </font>
    <font>
      <sz val="10"/>
      <color indexed="12"/>
      <name val="Verdana"/>
      <family val="2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333333"/>
      <name val="Source Sans Pro"/>
      <family val="2"/>
    </font>
    <font>
      <b/>
      <sz val="11"/>
      <color theme="5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2" tint="-0.499984740745262"/>
      <name val="Verdana"/>
      <family val="2"/>
    </font>
    <font>
      <sz val="10"/>
      <color theme="2" tint="-0.499984740745262"/>
      <name val="Verdana"/>
      <family val="2"/>
    </font>
    <font>
      <b/>
      <sz val="11"/>
      <color theme="2" tint="-0.499984740745262"/>
      <name val="Calibri"/>
      <family val="2"/>
      <scheme val="minor"/>
    </font>
    <font>
      <b/>
      <sz val="10"/>
      <color theme="2"/>
      <name val="Verdana"/>
      <family val="2"/>
    </font>
    <font>
      <b/>
      <sz val="10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2" tint="-0.749992370372631"/>
        <bgColor theme="0" tint="-0.14999847407452621"/>
      </patternFill>
    </fill>
    <fill>
      <patternFill patternType="solid">
        <fgColor indexed="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>
        <bgColor theme="9" tint="0.79998168889431442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</borders>
  <cellStyleXfs count="8">
    <xf numFmtId="0" fontId="0" fillId="0" borderId="0"/>
    <xf numFmtId="43" fontId="1" fillId="0" borderId="0"/>
    <xf numFmtId="44" fontId="1" fillId="0" borderId="0"/>
    <xf numFmtId="9" fontId="1" fillId="0" borderId="0"/>
    <xf numFmtId="43" fontId="1" fillId="0" borderId="0"/>
    <xf numFmtId="9" fontId="1" fillId="0" borderId="0"/>
    <xf numFmtId="9" fontId="1" fillId="0" borderId="0"/>
    <xf numFmtId="43" fontId="1" fillId="0" borderId="0"/>
  </cellStyleXfs>
  <cellXfs count="476">
    <xf numFmtId="0" fontId="0" fillId="0" borderId="0" xfId="0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64" fontId="7" fillId="2" borderId="0" xfId="1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9" fillId="4" borderId="1" xfId="0" applyFont="1" applyFill="1" applyBorder="1" applyAlignment="1">
      <alignment vertical="center" wrapText="1"/>
    </xf>
    <xf numFmtId="165" fontId="10" fillId="2" borderId="0" xfId="3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vertical="center" wrapText="1"/>
    </xf>
    <xf numFmtId="166" fontId="5" fillId="7" borderId="7" xfId="1" applyNumberFormat="1" applyFont="1" applyFill="1" applyBorder="1" applyAlignment="1">
      <alignment vertical="center"/>
    </xf>
    <xf numFmtId="166" fontId="5" fillId="7" borderId="8" xfId="1" applyNumberFormat="1" applyFont="1" applyFill="1" applyBorder="1" applyAlignment="1">
      <alignment vertical="center"/>
    </xf>
    <xf numFmtId="0" fontId="15" fillId="8" borderId="9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166" fontId="6" fillId="8" borderId="10" xfId="1" applyNumberFormat="1" applyFont="1" applyFill="1" applyBorder="1" applyAlignment="1">
      <alignment vertical="center" wrapText="1"/>
    </xf>
    <xf numFmtId="166" fontId="6" fillId="8" borderId="10" xfId="1" applyNumberFormat="1" applyFont="1" applyFill="1" applyBorder="1" applyAlignment="1">
      <alignment vertical="center"/>
    </xf>
    <xf numFmtId="9" fontId="15" fillId="2" borderId="0" xfId="3" applyFont="1" applyFill="1" applyAlignment="1">
      <alignment vertical="center"/>
    </xf>
    <xf numFmtId="166" fontId="15" fillId="8" borderId="10" xfId="1" applyNumberFormat="1" applyFont="1" applyFill="1" applyBorder="1" applyAlignment="1">
      <alignment vertical="center"/>
    </xf>
    <xf numFmtId="166" fontId="15" fillId="8" borderId="12" xfId="1" applyNumberFormat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10" fontId="0" fillId="3" borderId="0" xfId="3" applyNumberFormat="1" applyFont="1" applyFill="1" applyAlignment="1">
      <alignment vertical="center"/>
    </xf>
    <xf numFmtId="166" fontId="6" fillId="8" borderId="13" xfId="1" applyNumberFormat="1" applyFont="1" applyFill="1" applyBorder="1" applyAlignment="1">
      <alignment vertical="center"/>
    </xf>
    <xf numFmtId="166" fontId="6" fillId="8" borderId="11" xfId="1" applyNumberFormat="1" applyFont="1" applyFill="1" applyBorder="1" applyAlignment="1">
      <alignment vertical="center" wrapText="1"/>
    </xf>
    <xf numFmtId="165" fontId="15" fillId="2" borderId="0" xfId="3" applyNumberFormat="1" applyFont="1" applyFill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6" fontId="7" fillId="2" borderId="0" xfId="3" applyNumberFormat="1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7" fillId="9" borderId="9" xfId="0" applyFont="1" applyFill="1" applyBorder="1" applyAlignment="1">
      <alignment vertical="center" wrapText="1"/>
    </xf>
    <xf numFmtId="0" fontId="17" fillId="10" borderId="10" xfId="0" applyFont="1" applyFill="1" applyBorder="1" applyAlignment="1">
      <alignment horizontal="center" vertical="center" wrapText="1"/>
    </xf>
    <xf numFmtId="166" fontId="5" fillId="2" borderId="0" xfId="1" applyNumberFormat="1" applyFont="1" applyFill="1" applyAlignment="1">
      <alignment vertical="center"/>
    </xf>
    <xf numFmtId="166" fontId="17" fillId="9" borderId="10" xfId="1" applyNumberFormat="1" applyFont="1" applyFill="1" applyBorder="1" applyAlignment="1">
      <alignment vertical="center"/>
    </xf>
    <xf numFmtId="166" fontId="17" fillId="9" borderId="12" xfId="1" applyNumberFormat="1" applyFont="1" applyFill="1" applyBorder="1" applyAlignment="1">
      <alignment vertical="center"/>
    </xf>
    <xf numFmtId="167" fontId="3" fillId="3" borderId="0" xfId="1" applyNumberFormat="1" applyFont="1" applyFill="1" applyAlignment="1">
      <alignment vertical="center"/>
    </xf>
    <xf numFmtId="10" fontId="6" fillId="10" borderId="10" xfId="3" applyNumberFormat="1" applyFont="1" applyFill="1" applyBorder="1" applyAlignment="1">
      <alignment vertical="center"/>
    </xf>
    <xf numFmtId="165" fontId="5" fillId="8" borderId="9" xfId="3" applyNumberFormat="1" applyFont="1" applyFill="1" applyBorder="1" applyAlignment="1">
      <alignment vertical="center" wrapText="1"/>
    </xf>
    <xf numFmtId="165" fontId="5" fillId="2" borderId="0" xfId="3" applyNumberFormat="1" applyFont="1" applyFill="1" applyAlignment="1">
      <alignment vertical="center"/>
    </xf>
    <xf numFmtId="165" fontId="18" fillId="8" borderId="10" xfId="3" applyNumberFormat="1" applyFont="1" applyFill="1" applyBorder="1" applyAlignment="1">
      <alignment vertical="center" wrapText="1"/>
    </xf>
    <xf numFmtId="165" fontId="18" fillId="8" borderId="10" xfId="3" applyNumberFormat="1" applyFont="1" applyFill="1" applyBorder="1" applyAlignment="1">
      <alignment vertical="center"/>
    </xf>
    <xf numFmtId="165" fontId="5" fillId="8" borderId="10" xfId="3" applyNumberFormat="1" applyFont="1" applyFill="1" applyBorder="1" applyAlignment="1">
      <alignment vertical="center"/>
    </xf>
    <xf numFmtId="165" fontId="5" fillId="8" borderId="12" xfId="3" applyNumberFormat="1" applyFont="1" applyFill="1" applyBorder="1" applyAlignment="1">
      <alignment vertical="center"/>
    </xf>
    <xf numFmtId="165" fontId="3" fillId="3" borderId="0" xfId="3" applyNumberFormat="1" applyFont="1" applyFill="1" applyAlignment="1">
      <alignment vertical="center"/>
    </xf>
    <xf numFmtId="10" fontId="5" fillId="2" borderId="0" xfId="3" applyNumberFormat="1" applyFont="1" applyFill="1" applyAlignment="1">
      <alignment horizontal="center" vertical="center"/>
    </xf>
    <xf numFmtId="10" fontId="5" fillId="2" borderId="2" xfId="3" applyNumberFormat="1" applyFont="1" applyFill="1" applyBorder="1" applyAlignment="1">
      <alignment horizontal="center" vertical="center"/>
    </xf>
    <xf numFmtId="10" fontId="6" fillId="8" borderId="10" xfId="3" applyNumberFormat="1" applyFont="1" applyFill="1" applyBorder="1" applyAlignment="1">
      <alignment vertical="center"/>
    </xf>
    <xf numFmtId="166" fontId="15" fillId="2" borderId="0" xfId="1" applyNumberFormat="1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vertical="center" wrapText="1"/>
    </xf>
    <xf numFmtId="0" fontId="19" fillId="2" borderId="0" xfId="0" applyFont="1" applyFill="1" applyAlignment="1">
      <alignment vertical="center"/>
    </xf>
    <xf numFmtId="0" fontId="18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/>
    </xf>
    <xf numFmtId="166" fontId="18" fillId="2" borderId="0" xfId="1" applyNumberFormat="1" applyFont="1" applyFill="1" applyAlignment="1">
      <alignment vertical="center"/>
    </xf>
    <xf numFmtId="166" fontId="19" fillId="2" borderId="0" xfId="1" applyNumberFormat="1" applyFont="1" applyFill="1" applyAlignment="1">
      <alignment vertical="center"/>
    </xf>
    <xf numFmtId="166" fontId="5" fillId="7" borderId="10" xfId="1" applyNumberFormat="1" applyFont="1" applyFill="1" applyBorder="1" applyAlignment="1">
      <alignment vertical="center"/>
    </xf>
    <xf numFmtId="166" fontId="5" fillId="7" borderId="12" xfId="1" applyNumberFormat="1" applyFont="1" applyFill="1" applyBorder="1" applyAlignment="1">
      <alignment vertical="center"/>
    </xf>
    <xf numFmtId="10" fontId="7" fillId="2" borderId="0" xfId="3" applyNumberFormat="1" applyFont="1" applyFill="1" applyAlignment="1">
      <alignment horizontal="center" vertical="center"/>
    </xf>
    <xf numFmtId="166" fontId="17" fillId="9" borderId="14" xfId="1" applyNumberFormat="1" applyFont="1" applyFill="1" applyBorder="1" applyAlignment="1">
      <alignment vertical="center"/>
    </xf>
    <xf numFmtId="166" fontId="17" fillId="9" borderId="15" xfId="1" applyNumberFormat="1" applyFont="1" applyFill="1" applyBorder="1" applyAlignment="1">
      <alignment vertical="center"/>
    </xf>
    <xf numFmtId="166" fontId="6" fillId="10" borderId="10" xfId="1" applyNumberFormat="1" applyFont="1" applyFill="1" applyBorder="1" applyAlignment="1">
      <alignment vertical="center"/>
    </xf>
    <xf numFmtId="9" fontId="6" fillId="10" borderId="10" xfId="3" applyFont="1" applyFill="1" applyBorder="1" applyAlignment="1">
      <alignment vertical="center"/>
    </xf>
    <xf numFmtId="0" fontId="5" fillId="8" borderId="9" xfId="0" applyFont="1" applyFill="1" applyBorder="1" applyAlignment="1">
      <alignment vertical="center" wrapText="1"/>
    </xf>
    <xf numFmtId="9" fontId="5" fillId="2" borderId="0" xfId="3" applyFont="1" applyFill="1" applyAlignment="1">
      <alignment vertical="center"/>
    </xf>
    <xf numFmtId="0" fontId="17" fillId="8" borderId="9" xfId="0" applyFont="1" applyFill="1" applyBorder="1" applyAlignment="1">
      <alignment vertical="center" wrapText="1"/>
    </xf>
    <xf numFmtId="166" fontId="17" fillId="8" borderId="10" xfId="1" applyNumberFormat="1" applyFont="1" applyFill="1" applyBorder="1" applyAlignment="1">
      <alignment vertical="center"/>
    </xf>
    <xf numFmtId="166" fontId="17" fillId="8" borderId="13" xfId="1" applyNumberFormat="1" applyFont="1" applyFill="1" applyBorder="1" applyAlignment="1">
      <alignment vertical="center"/>
    </xf>
    <xf numFmtId="166" fontId="17" fillId="8" borderId="12" xfId="1" applyNumberFormat="1" applyFont="1" applyFill="1" applyBorder="1" applyAlignment="1">
      <alignment vertical="center"/>
    </xf>
    <xf numFmtId="168" fontId="6" fillId="10" borderId="10" xfId="3" applyNumberFormat="1" applyFont="1" applyFill="1" applyBorder="1" applyAlignment="1">
      <alignment vertical="center"/>
    </xf>
    <xf numFmtId="165" fontId="5" fillId="8" borderId="0" xfId="3" applyNumberFormat="1" applyFont="1" applyFill="1" applyAlignment="1">
      <alignment vertical="center"/>
    </xf>
    <xf numFmtId="165" fontId="5" fillId="8" borderId="2" xfId="3" applyNumberFormat="1" applyFont="1" applyFill="1" applyBorder="1" applyAlignment="1">
      <alignment vertical="center"/>
    </xf>
    <xf numFmtId="165" fontId="6" fillId="10" borderId="10" xfId="3" applyNumberFormat="1" applyFont="1" applyFill="1" applyBorder="1" applyAlignment="1">
      <alignment vertical="center"/>
    </xf>
    <xf numFmtId="166" fontId="15" fillId="8" borderId="10" xfId="1" applyNumberFormat="1" applyFont="1" applyFill="1" applyBorder="1" applyAlignment="1" applyProtection="1">
      <alignment vertical="center"/>
      <protection locked="0"/>
    </xf>
    <xf numFmtId="166" fontId="15" fillId="8" borderId="12" xfId="1" applyNumberFormat="1" applyFont="1" applyFill="1" applyBorder="1" applyAlignment="1" applyProtection="1">
      <alignment vertical="center"/>
      <protection locked="0"/>
    </xf>
    <xf numFmtId="165" fontId="5" fillId="8" borderId="10" xfId="3" applyNumberFormat="1" applyFont="1" applyFill="1" applyBorder="1" applyAlignment="1" applyProtection="1">
      <alignment vertical="center"/>
      <protection locked="0"/>
    </xf>
    <xf numFmtId="165" fontId="5" fillId="8" borderId="12" xfId="3" applyNumberFormat="1" applyFont="1" applyFill="1" applyBorder="1" applyAlignment="1" applyProtection="1">
      <alignment vertical="center"/>
      <protection locked="0"/>
    </xf>
    <xf numFmtId="165" fontId="5" fillId="2" borderId="2" xfId="0" applyNumberFormat="1" applyFont="1" applyFill="1" applyBorder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9" fontId="6" fillId="8" borderId="10" xfId="3" applyFont="1" applyFill="1" applyBorder="1" applyAlignment="1">
      <alignment vertical="center"/>
    </xf>
    <xf numFmtId="166" fontId="5" fillId="2" borderId="0" xfId="0" applyNumberFormat="1" applyFont="1" applyFill="1" applyAlignment="1">
      <alignment vertical="center"/>
    </xf>
    <xf numFmtId="165" fontId="6" fillId="8" borderId="10" xfId="3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166" fontId="7" fillId="2" borderId="0" xfId="1" applyNumberFormat="1" applyFont="1" applyFill="1" applyAlignment="1">
      <alignment vertical="center"/>
    </xf>
    <xf numFmtId="166" fontId="7" fillId="2" borderId="2" xfId="1" applyNumberFormat="1" applyFont="1" applyFill="1" applyBorder="1" applyAlignment="1">
      <alignment vertical="center"/>
    </xf>
    <xf numFmtId="0" fontId="20" fillId="3" borderId="0" xfId="0" applyFont="1" applyFill="1" applyAlignment="1">
      <alignment vertical="center"/>
    </xf>
    <xf numFmtId="0" fontId="15" fillId="8" borderId="9" xfId="0" applyFont="1" applyFill="1" applyBorder="1" applyAlignment="1">
      <alignment horizontal="left" vertical="center" wrapText="1"/>
    </xf>
    <xf numFmtId="9" fontId="6" fillId="8" borderId="10" xfId="3" applyFont="1" applyFill="1" applyBorder="1" applyAlignment="1">
      <alignment horizontal="center" vertical="center"/>
    </xf>
    <xf numFmtId="10" fontId="6" fillId="8" borderId="10" xfId="3" applyNumberFormat="1" applyFont="1" applyFill="1" applyBorder="1" applyAlignment="1">
      <alignment horizontal="left" vertical="center"/>
    </xf>
    <xf numFmtId="165" fontId="6" fillId="8" borderId="10" xfId="3" applyNumberFormat="1" applyFont="1" applyFill="1" applyBorder="1" applyAlignment="1">
      <alignment horizontal="left" vertical="center"/>
    </xf>
    <xf numFmtId="10" fontId="6" fillId="8" borderId="10" xfId="3" applyNumberFormat="1" applyFont="1" applyFill="1" applyBorder="1" applyAlignment="1">
      <alignment horizontal="left" vertical="center" wrapText="1"/>
    </xf>
    <xf numFmtId="9" fontId="6" fillId="8" borderId="10" xfId="3" applyFont="1" applyFill="1" applyBorder="1" applyAlignment="1">
      <alignment horizontal="left" vertical="center"/>
    </xf>
    <xf numFmtId="44" fontId="6" fillId="8" borderId="10" xfId="2" applyFont="1" applyFill="1" applyBorder="1" applyAlignment="1">
      <alignment vertical="center"/>
    </xf>
    <xf numFmtId="44" fontId="15" fillId="2" borderId="0" xfId="2" applyFont="1" applyFill="1" applyAlignment="1">
      <alignment vertical="center"/>
    </xf>
    <xf numFmtId="43" fontId="21" fillId="2" borderId="0" xfId="1" applyFont="1" applyFill="1" applyAlignment="1">
      <alignment vertical="center"/>
    </xf>
    <xf numFmtId="44" fontId="22" fillId="2" borderId="0" xfId="2" applyFont="1" applyFill="1" applyAlignment="1">
      <alignment vertical="center"/>
    </xf>
    <xf numFmtId="43" fontId="6" fillId="8" borderId="10" xfId="1" applyFont="1" applyFill="1" applyBorder="1" applyAlignment="1">
      <alignment horizontal="left" vertical="center"/>
    </xf>
    <xf numFmtId="166" fontId="6" fillId="8" borderId="13" xfId="1" applyNumberFormat="1" applyFont="1" applyFill="1" applyBorder="1" applyAlignment="1">
      <alignment vertical="center" wrapText="1"/>
    </xf>
    <xf numFmtId="10" fontId="6" fillId="8" borderId="10" xfId="3" applyNumberFormat="1" applyFont="1" applyFill="1" applyBorder="1" applyAlignment="1">
      <alignment vertical="center" wrapText="1"/>
    </xf>
    <xf numFmtId="165" fontId="7" fillId="2" borderId="0" xfId="3" applyNumberFormat="1" applyFont="1" applyFill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 wrapText="1"/>
    </xf>
    <xf numFmtId="10" fontId="6" fillId="8" borderId="10" xfId="3" applyNumberFormat="1" applyFont="1" applyFill="1" applyBorder="1" applyAlignment="1">
      <alignment horizontal="center" vertical="center"/>
    </xf>
    <xf numFmtId="166" fontId="6" fillId="8" borderId="10" xfId="1" applyNumberFormat="1" applyFont="1" applyFill="1" applyBorder="1" applyAlignment="1">
      <alignment horizontal="right" vertical="center"/>
    </xf>
    <xf numFmtId="0" fontId="5" fillId="11" borderId="2" xfId="0" applyFont="1" applyFill="1" applyBorder="1" applyAlignment="1">
      <alignment horizontal="center" vertical="center"/>
    </xf>
    <xf numFmtId="166" fontId="15" fillId="0" borderId="10" xfId="1" applyNumberFormat="1" applyFont="1" applyBorder="1" applyAlignment="1" applyProtection="1">
      <alignment vertical="center"/>
      <protection locked="0"/>
    </xf>
    <xf numFmtId="10" fontId="6" fillId="0" borderId="10" xfId="3" applyNumberFormat="1" applyFont="1" applyBorder="1" applyAlignment="1" applyProtection="1">
      <alignment vertical="center"/>
      <protection locked="0"/>
    </xf>
    <xf numFmtId="10" fontId="6" fillId="8" borderId="10" xfId="3" applyNumberFormat="1" applyFont="1" applyFill="1" applyBorder="1" applyAlignment="1" applyProtection="1">
      <alignment vertical="center"/>
      <protection locked="0"/>
    </xf>
    <xf numFmtId="166" fontId="6" fillId="8" borderId="10" xfId="1" applyNumberFormat="1" applyFont="1" applyFill="1" applyBorder="1" applyAlignment="1" applyProtection="1">
      <alignment vertical="center"/>
      <protection locked="0"/>
    </xf>
    <xf numFmtId="0" fontId="15" fillId="2" borderId="0" xfId="0" applyFont="1" applyFill="1" applyAlignment="1">
      <alignment horizontal="center" vertical="center"/>
    </xf>
    <xf numFmtId="9" fontId="6" fillId="8" borderId="10" xfId="3" applyFont="1" applyFill="1" applyBorder="1" applyAlignment="1" applyProtection="1">
      <alignment vertical="center"/>
      <protection locked="0"/>
    </xf>
    <xf numFmtId="10" fontId="6" fillId="8" borderId="10" xfId="2" applyNumberFormat="1" applyFont="1" applyFill="1" applyBorder="1" applyAlignment="1" applyProtection="1">
      <alignment vertical="center"/>
      <protection locked="0"/>
    </xf>
    <xf numFmtId="44" fontId="6" fillId="8" borderId="10" xfId="2" applyFont="1" applyFill="1" applyBorder="1" applyAlignment="1" applyProtection="1">
      <alignment vertical="center"/>
      <protection locked="0"/>
    </xf>
    <xf numFmtId="166" fontId="6" fillId="0" borderId="10" xfId="1" applyNumberFormat="1" applyFont="1" applyBorder="1" applyAlignment="1" applyProtection="1">
      <alignment vertical="center"/>
      <protection locked="0"/>
    </xf>
    <xf numFmtId="165" fontId="6" fillId="8" borderId="10" xfId="3" applyNumberFormat="1" applyFont="1" applyFill="1" applyBorder="1" applyAlignment="1" applyProtection="1">
      <alignment vertical="center"/>
      <protection locked="0"/>
    </xf>
    <xf numFmtId="165" fontId="6" fillId="0" borderId="10" xfId="3" applyNumberFormat="1" applyFont="1" applyBorder="1" applyAlignment="1" applyProtection="1">
      <alignment vertical="center"/>
      <protection locked="0"/>
    </xf>
    <xf numFmtId="10" fontId="15" fillId="8" borderId="10" xfId="3" applyNumberFormat="1" applyFont="1" applyFill="1" applyBorder="1" applyAlignment="1">
      <alignment vertical="center"/>
    </xf>
    <xf numFmtId="166" fontId="18" fillId="2" borderId="0" xfId="0" applyNumberFormat="1" applyFont="1" applyFill="1" applyAlignment="1">
      <alignment vertical="center"/>
    </xf>
    <xf numFmtId="0" fontId="5" fillId="8" borderId="17" xfId="0" applyFont="1" applyFill="1" applyBorder="1" applyAlignment="1">
      <alignment vertical="center" wrapText="1"/>
    </xf>
    <xf numFmtId="0" fontId="19" fillId="2" borderId="18" xfId="0" applyFont="1" applyFill="1" applyBorder="1" applyAlignment="1">
      <alignment vertical="center"/>
    </xf>
    <xf numFmtId="0" fontId="18" fillId="2" borderId="18" xfId="0" applyFont="1" applyFill="1" applyBorder="1" applyAlignment="1">
      <alignment vertical="center" wrapText="1"/>
    </xf>
    <xf numFmtId="0" fontId="18" fillId="2" borderId="18" xfId="0" applyFont="1" applyFill="1" applyBorder="1" applyAlignment="1">
      <alignment vertical="center"/>
    </xf>
    <xf numFmtId="166" fontId="18" fillId="2" borderId="18" xfId="1" applyNumberFormat="1" applyFont="1" applyFill="1" applyBorder="1" applyAlignment="1">
      <alignment vertical="center"/>
    </xf>
    <xf numFmtId="166" fontId="19" fillId="2" borderId="18" xfId="1" applyNumberFormat="1" applyFont="1" applyFill="1" applyBorder="1" applyAlignment="1">
      <alignment vertical="center"/>
    </xf>
    <xf numFmtId="165" fontId="5" fillId="2" borderId="18" xfId="3" applyNumberFormat="1" applyFont="1" applyFill="1" applyBorder="1" applyAlignment="1">
      <alignment vertical="center"/>
    </xf>
    <xf numFmtId="165" fontId="5" fillId="8" borderId="19" xfId="3" applyNumberFormat="1" applyFont="1" applyFill="1" applyBorder="1" applyAlignment="1">
      <alignment vertical="center"/>
    </xf>
    <xf numFmtId="165" fontId="5" fillId="8" borderId="20" xfId="3" applyNumberFormat="1" applyFont="1" applyFill="1" applyBorder="1" applyAlignment="1">
      <alignment vertical="center"/>
    </xf>
    <xf numFmtId="9" fontId="6" fillId="8" borderId="10" xfId="3" applyFont="1" applyFill="1" applyBorder="1" applyAlignment="1">
      <alignment vertical="center" wrapText="1"/>
    </xf>
    <xf numFmtId="166" fontId="18" fillId="8" borderId="10" xfId="1" applyNumberFormat="1" applyFont="1" applyFill="1" applyBorder="1" applyAlignment="1">
      <alignment vertical="center" wrapText="1"/>
    </xf>
    <xf numFmtId="10" fontId="18" fillId="8" borderId="10" xfId="3" applyNumberFormat="1" applyFont="1" applyFill="1" applyBorder="1" applyAlignment="1">
      <alignment vertical="center"/>
    </xf>
    <xf numFmtId="0" fontId="18" fillId="0" borderId="0" xfId="0" applyFont="1" applyAlignment="1" applyProtection="1">
      <alignment vertical="center" wrapText="1"/>
      <protection locked="0"/>
    </xf>
    <xf numFmtId="10" fontId="18" fillId="0" borderId="0" xfId="0" applyNumberFormat="1" applyFont="1" applyAlignment="1" applyProtection="1">
      <alignment vertical="center"/>
      <protection locked="0"/>
    </xf>
    <xf numFmtId="166" fontId="17" fillId="0" borderId="10" xfId="1" applyNumberFormat="1" applyFont="1" applyBorder="1" applyAlignment="1" applyProtection="1">
      <alignment vertical="center"/>
      <protection locked="0"/>
    </xf>
    <xf numFmtId="166" fontId="17" fillId="0" borderId="12" xfId="1" applyNumberFormat="1" applyFont="1" applyBorder="1" applyAlignment="1" applyProtection="1">
      <alignment vertical="center"/>
      <protection locked="0"/>
    </xf>
    <xf numFmtId="164" fontId="7" fillId="2" borderId="0" xfId="1" applyNumberFormat="1" applyFont="1" applyFill="1" applyAlignment="1">
      <alignment horizontal="center" vertical="center"/>
    </xf>
    <xf numFmtId="0" fontId="15" fillId="8" borderId="1" xfId="0" applyFont="1" applyFill="1" applyBorder="1" applyAlignment="1">
      <alignment vertical="center" wrapText="1"/>
    </xf>
    <xf numFmtId="166" fontId="6" fillId="8" borderId="0" xfId="1" applyNumberFormat="1" applyFont="1" applyFill="1" applyAlignment="1">
      <alignment vertical="center" wrapText="1"/>
    </xf>
    <xf numFmtId="166" fontId="6" fillId="8" borderId="0" xfId="1" applyNumberFormat="1" applyFont="1" applyFill="1" applyAlignment="1">
      <alignment vertical="center"/>
    </xf>
    <xf numFmtId="166" fontId="15" fillId="8" borderId="0" xfId="1" applyNumberFormat="1" applyFont="1" applyFill="1" applyAlignment="1">
      <alignment vertical="center"/>
    </xf>
    <xf numFmtId="166" fontId="15" fillId="8" borderId="2" xfId="1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vertical="center" wrapText="1"/>
    </xf>
    <xf numFmtId="166" fontId="15" fillId="12" borderId="10" xfId="1" applyNumberFormat="1" applyFont="1" applyFill="1" applyBorder="1" applyAlignment="1">
      <alignment vertical="center"/>
    </xf>
    <xf numFmtId="166" fontId="15" fillId="12" borderId="12" xfId="1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vertical="center" wrapText="1"/>
    </xf>
    <xf numFmtId="0" fontId="5" fillId="2" borderId="22" xfId="0" applyFont="1" applyFill="1" applyBorder="1" applyAlignment="1">
      <alignment vertical="center"/>
    </xf>
    <xf numFmtId="0" fontId="5" fillId="2" borderId="23" xfId="0" applyFont="1" applyFill="1" applyBorder="1" applyAlignment="1">
      <alignment vertical="center"/>
    </xf>
    <xf numFmtId="0" fontId="7" fillId="13" borderId="24" xfId="0" applyFont="1" applyFill="1" applyBorder="1" applyAlignment="1">
      <alignment vertical="center" wrapText="1"/>
    </xf>
    <xf numFmtId="166" fontId="7" fillId="13" borderId="25" xfId="1" applyNumberFormat="1" applyFont="1" applyFill="1" applyBorder="1" applyAlignment="1">
      <alignment vertical="center"/>
    </xf>
    <xf numFmtId="166" fontId="11" fillId="13" borderId="25" xfId="1" applyNumberFormat="1" applyFont="1" applyFill="1" applyBorder="1" applyAlignment="1">
      <alignment vertical="center" wrapText="1"/>
    </xf>
    <xf numFmtId="166" fontId="11" fillId="13" borderId="25" xfId="1" applyNumberFormat="1" applyFont="1" applyFill="1" applyBorder="1" applyAlignment="1">
      <alignment vertical="center"/>
    </xf>
    <xf numFmtId="0" fontId="11" fillId="13" borderId="25" xfId="0" applyFont="1" applyFill="1" applyBorder="1" applyAlignment="1">
      <alignment vertical="center"/>
    </xf>
    <xf numFmtId="0" fontId="7" fillId="13" borderId="25" xfId="0" applyFont="1" applyFill="1" applyBorder="1" applyAlignment="1">
      <alignment vertical="center"/>
    </xf>
    <xf numFmtId="0" fontId="7" fillId="13" borderId="26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/>
    </xf>
    <xf numFmtId="0" fontId="12" fillId="14" borderId="9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horizontal="center" vertical="center"/>
    </xf>
    <xf numFmtId="166" fontId="15" fillId="8" borderId="14" xfId="1" applyNumberFormat="1" applyFont="1" applyFill="1" applyBorder="1" applyAlignment="1">
      <alignment vertical="center"/>
    </xf>
    <xf numFmtId="166" fontId="15" fillId="8" borderId="15" xfId="1" applyNumberFormat="1" applyFont="1" applyFill="1" applyBorder="1" applyAlignment="1">
      <alignment vertical="center"/>
    </xf>
    <xf numFmtId="10" fontId="23" fillId="8" borderId="10" xfId="3" applyNumberFormat="1" applyFont="1" applyFill="1" applyBorder="1" applyAlignment="1">
      <alignment vertical="center"/>
    </xf>
    <xf numFmtId="10" fontId="23" fillId="8" borderId="12" xfId="3" applyNumberFormat="1" applyFont="1" applyFill="1" applyBorder="1" applyAlignment="1">
      <alignment vertical="center"/>
    </xf>
    <xf numFmtId="0" fontId="12" fillId="14" borderId="1" xfId="0" applyFont="1" applyFill="1" applyBorder="1" applyAlignment="1">
      <alignment vertical="center" wrapText="1"/>
    </xf>
    <xf numFmtId="0" fontId="12" fillId="14" borderId="0" xfId="0" applyFont="1" applyFill="1" applyAlignment="1">
      <alignment vertical="center" wrapText="1"/>
    </xf>
    <xf numFmtId="0" fontId="12" fillId="14" borderId="2" xfId="0" applyFont="1" applyFill="1" applyBorder="1" applyAlignment="1">
      <alignment vertical="center" wrapText="1"/>
    </xf>
    <xf numFmtId="10" fontId="15" fillId="8" borderId="12" xfId="3" applyNumberFormat="1" applyFont="1" applyFill="1" applyBorder="1" applyAlignment="1">
      <alignment vertical="center"/>
    </xf>
    <xf numFmtId="0" fontId="6" fillId="8" borderId="27" xfId="0" applyFont="1" applyFill="1" applyBorder="1" applyAlignment="1">
      <alignment horizontal="center" vertical="center" wrapText="1"/>
    </xf>
    <xf numFmtId="166" fontId="18" fillId="15" borderId="28" xfId="1" applyNumberFormat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vertical="center" wrapText="1"/>
    </xf>
    <xf numFmtId="0" fontId="6" fillId="8" borderId="29" xfId="0" applyFont="1" applyFill="1" applyBorder="1" applyAlignment="1">
      <alignment horizontal="center" vertical="center" wrapText="1"/>
    </xf>
    <xf numFmtId="166" fontId="6" fillId="8" borderId="30" xfId="1" applyNumberFormat="1" applyFont="1" applyFill="1" applyBorder="1" applyAlignment="1">
      <alignment horizontal="center" vertical="center"/>
    </xf>
    <xf numFmtId="10" fontId="15" fillId="8" borderId="10" xfId="3" applyNumberFormat="1" applyFont="1" applyFill="1" applyBorder="1" applyAlignment="1">
      <alignment horizontal="center" vertical="center"/>
    </xf>
    <xf numFmtId="10" fontId="15" fillId="8" borderId="12" xfId="3" applyNumberFormat="1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 wrapText="1"/>
    </xf>
    <xf numFmtId="166" fontId="18" fillId="15" borderId="32" xfId="1" applyNumberFormat="1" applyFont="1" applyFill="1" applyBorder="1" applyAlignment="1">
      <alignment horizontal="center" vertical="center"/>
    </xf>
    <xf numFmtId="166" fontId="15" fillId="2" borderId="2" xfId="1" applyNumberFormat="1" applyFont="1" applyFill="1" applyBorder="1" applyAlignment="1">
      <alignment vertical="center"/>
    </xf>
    <xf numFmtId="0" fontId="6" fillId="8" borderId="33" xfId="0" applyFont="1" applyFill="1" applyBorder="1" applyAlignment="1">
      <alignment horizontal="left" vertical="center" wrapText="1"/>
    </xf>
    <xf numFmtId="0" fontId="6" fillId="8" borderId="34" xfId="0" applyFont="1" applyFill="1" applyBorder="1" applyAlignment="1">
      <alignment vertical="center"/>
    </xf>
    <xf numFmtId="166" fontId="6" fillId="8" borderId="30" xfId="1" applyNumberFormat="1" applyFont="1" applyFill="1" applyBorder="1" applyAlignment="1">
      <alignment vertical="center"/>
    </xf>
    <xf numFmtId="0" fontId="15" fillId="8" borderId="2" xfId="0" applyFont="1" applyFill="1" applyBorder="1" applyAlignment="1">
      <alignment vertical="center"/>
    </xf>
    <xf numFmtId="0" fontId="6" fillId="8" borderId="35" xfId="0" applyFont="1" applyFill="1" applyBorder="1" applyAlignment="1">
      <alignment horizontal="left" vertical="center" wrapText="1"/>
    </xf>
    <xf numFmtId="0" fontId="6" fillId="8" borderId="11" xfId="0" applyFont="1" applyFill="1" applyBorder="1" applyAlignment="1">
      <alignment vertical="center"/>
    </xf>
    <xf numFmtId="10" fontId="6" fillId="8" borderId="36" xfId="3" applyNumberFormat="1" applyFont="1" applyFill="1" applyBorder="1" applyAlignment="1">
      <alignment vertical="center"/>
    </xf>
    <xf numFmtId="0" fontId="6" fillId="8" borderId="37" xfId="0" applyFont="1" applyFill="1" applyBorder="1" applyAlignment="1">
      <alignment horizontal="left" vertical="center" wrapText="1"/>
    </xf>
    <xf numFmtId="166" fontId="6" fillId="8" borderId="7" xfId="1" applyNumberFormat="1" applyFont="1" applyFill="1" applyBorder="1" applyAlignment="1">
      <alignment vertical="center"/>
    </xf>
    <xf numFmtId="166" fontId="6" fillId="8" borderId="38" xfId="1" applyNumberFormat="1" applyFont="1" applyFill="1" applyBorder="1" applyAlignment="1">
      <alignment vertical="center"/>
    </xf>
    <xf numFmtId="0" fontId="6" fillId="8" borderId="31" xfId="0" applyFont="1" applyFill="1" applyBorder="1" applyAlignment="1">
      <alignment horizontal="left" vertical="center" wrapText="1"/>
    </xf>
    <xf numFmtId="0" fontId="6" fillId="8" borderId="39" xfId="0" applyFont="1" applyFill="1" applyBorder="1" applyAlignment="1">
      <alignment vertical="center"/>
    </xf>
    <xf numFmtId="10" fontId="6" fillId="8" borderId="32" xfId="3" applyNumberFormat="1" applyFont="1" applyFill="1" applyBorder="1" applyAlignment="1">
      <alignment vertical="center"/>
    </xf>
    <xf numFmtId="166" fontId="6" fillId="2" borderId="0" xfId="1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vertical="center"/>
    </xf>
    <xf numFmtId="0" fontId="5" fillId="16" borderId="9" xfId="0" applyFont="1" applyFill="1" applyBorder="1" applyAlignment="1">
      <alignment vertical="center" wrapText="1"/>
    </xf>
    <xf numFmtId="166" fontId="5" fillId="2" borderId="0" xfId="1" applyNumberFormat="1" applyFont="1" applyFill="1" applyAlignment="1">
      <alignment vertical="center" wrapText="1"/>
    </xf>
    <xf numFmtId="166" fontId="5" fillId="16" borderId="10" xfId="1" applyNumberFormat="1" applyFont="1" applyFill="1" applyBorder="1" applyAlignment="1">
      <alignment vertical="center"/>
    </xf>
    <xf numFmtId="166" fontId="5" fillId="16" borderId="12" xfId="1" applyNumberFormat="1" applyFont="1" applyFill="1" applyBorder="1" applyAlignment="1">
      <alignment vertical="center"/>
    </xf>
    <xf numFmtId="0" fontId="15" fillId="8" borderId="9" xfId="0" quotePrefix="1" applyFont="1" applyFill="1" applyBorder="1" applyAlignment="1">
      <alignment vertical="center" wrapText="1"/>
    </xf>
    <xf numFmtId="166" fontId="6" fillId="2" borderId="1" xfId="1" applyNumberFormat="1" applyFont="1" applyFill="1" applyBorder="1" applyAlignment="1">
      <alignment vertical="center"/>
    </xf>
    <xf numFmtId="9" fontId="18" fillId="2" borderId="0" xfId="3" applyFont="1" applyFill="1" applyAlignment="1">
      <alignment vertical="center"/>
    </xf>
    <xf numFmtId="166" fontId="15" fillId="16" borderId="10" xfId="1" applyNumberFormat="1" applyFont="1" applyFill="1" applyBorder="1" applyAlignment="1">
      <alignment vertical="center"/>
    </xf>
    <xf numFmtId="166" fontId="15" fillId="16" borderId="12" xfId="1" applyNumberFormat="1" applyFont="1" applyFill="1" applyBorder="1" applyAlignment="1">
      <alignment vertical="center"/>
    </xf>
    <xf numFmtId="166" fontId="23" fillId="8" borderId="10" xfId="1" applyNumberFormat="1" applyFont="1" applyFill="1" applyBorder="1" applyAlignment="1">
      <alignment vertical="center"/>
    </xf>
    <xf numFmtId="166" fontId="23" fillId="8" borderId="12" xfId="1" applyNumberFormat="1" applyFont="1" applyFill="1" applyBorder="1" applyAlignment="1">
      <alignment vertical="center"/>
    </xf>
    <xf numFmtId="166" fontId="5" fillId="16" borderId="9" xfId="1" applyNumberFormat="1" applyFont="1" applyFill="1" applyBorder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166" fontId="11" fillId="2" borderId="0" xfId="1" applyNumberFormat="1" applyFont="1" applyFill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166" fontId="12" fillId="14" borderId="10" xfId="1" applyNumberFormat="1" applyFont="1" applyFill="1" applyBorder="1" applyAlignment="1">
      <alignment vertical="center"/>
    </xf>
    <xf numFmtId="166" fontId="12" fillId="14" borderId="12" xfId="1" applyNumberFormat="1" applyFont="1" applyFill="1" applyBorder="1" applyAlignment="1">
      <alignment vertical="center"/>
    </xf>
    <xf numFmtId="166" fontId="15" fillId="0" borderId="10" xfId="1" applyNumberFormat="1" applyFont="1" applyBorder="1" applyAlignment="1">
      <alignment horizontal="center" vertical="center"/>
    </xf>
    <xf numFmtId="166" fontId="15" fillId="0" borderId="12" xfId="1" applyNumberFormat="1" applyFont="1" applyBorder="1" applyAlignment="1">
      <alignment horizontal="center" vertical="center"/>
    </xf>
    <xf numFmtId="169" fontId="15" fillId="0" borderId="10" xfId="2" applyNumberFormat="1" applyFont="1" applyBorder="1" applyAlignment="1" applyProtection="1">
      <alignment horizontal="center" vertical="center"/>
      <protection locked="0"/>
    </xf>
    <xf numFmtId="169" fontId="15" fillId="0" borderId="12" xfId="2" applyNumberFormat="1" applyFont="1" applyBorder="1" applyAlignment="1" applyProtection="1">
      <alignment horizontal="center" vertical="center"/>
      <protection locked="0"/>
    </xf>
    <xf numFmtId="10" fontId="15" fillId="0" borderId="10" xfId="3" applyNumberFormat="1" applyFont="1" applyBorder="1" applyAlignment="1" applyProtection="1">
      <alignment horizontal="center" vertical="center"/>
      <protection locked="0"/>
    </xf>
    <xf numFmtId="10" fontId="15" fillId="0" borderId="12" xfId="3" applyNumberFormat="1" applyFont="1" applyBorder="1" applyAlignment="1" applyProtection="1">
      <alignment horizontal="center" vertical="center"/>
      <protection locked="0"/>
    </xf>
    <xf numFmtId="10" fontId="6" fillId="2" borderId="0" xfId="0" applyNumberFormat="1" applyFont="1" applyFill="1" applyAlignment="1">
      <alignment vertical="center"/>
    </xf>
    <xf numFmtId="165" fontId="11" fillId="2" borderId="0" xfId="3" applyNumberFormat="1" applyFont="1" applyFill="1" applyAlignment="1">
      <alignment vertical="center"/>
    </xf>
    <xf numFmtId="10" fontId="7" fillId="2" borderId="2" xfId="0" applyNumberFormat="1" applyFont="1" applyFill="1" applyBorder="1" applyAlignment="1">
      <alignment horizontal="center" vertical="center"/>
    </xf>
    <xf numFmtId="1" fontId="15" fillId="2" borderId="0" xfId="0" applyNumberFormat="1" applyFont="1" applyFill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44" fontId="0" fillId="0" borderId="0" xfId="2" applyFont="1"/>
    <xf numFmtId="0" fontId="5" fillId="17" borderId="18" xfId="0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5" fillId="8" borderId="0" xfId="0" applyFont="1" applyFill="1" applyAlignment="1">
      <alignment vertical="center"/>
    </xf>
    <xf numFmtId="166" fontId="15" fillId="2" borderId="0" xfId="0" applyNumberFormat="1" applyFont="1" applyFill="1" applyAlignment="1">
      <alignment vertical="center"/>
    </xf>
    <xf numFmtId="10" fontId="7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166" fontId="5" fillId="7" borderId="4" xfId="1" applyNumberFormat="1" applyFont="1" applyFill="1" applyBorder="1" applyAlignment="1">
      <alignment vertical="center"/>
    </xf>
    <xf numFmtId="166" fontId="15" fillId="8" borderId="9" xfId="1" applyNumberFormat="1" applyFont="1" applyFill="1" applyBorder="1" applyAlignment="1">
      <alignment vertical="center"/>
    </xf>
    <xf numFmtId="166" fontId="7" fillId="2" borderId="1" xfId="3" applyNumberFormat="1" applyFont="1" applyFill="1" applyBorder="1" applyAlignment="1">
      <alignment horizontal="center" vertical="center"/>
    </xf>
    <xf numFmtId="166" fontId="7" fillId="2" borderId="2" xfId="3" applyNumberFormat="1" applyFont="1" applyFill="1" applyBorder="1" applyAlignment="1">
      <alignment horizontal="center" vertical="center"/>
    </xf>
    <xf numFmtId="166" fontId="17" fillId="9" borderId="9" xfId="1" applyNumberFormat="1" applyFont="1" applyFill="1" applyBorder="1" applyAlignment="1">
      <alignment vertical="center"/>
    </xf>
    <xf numFmtId="165" fontId="5" fillId="8" borderId="9" xfId="3" applyNumberFormat="1" applyFont="1" applyFill="1" applyBorder="1" applyAlignment="1">
      <alignment vertical="center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6" fontId="5" fillId="7" borderId="9" xfId="1" applyNumberFormat="1" applyFont="1" applyFill="1" applyBorder="1" applyAlignment="1">
      <alignment vertical="center"/>
    </xf>
    <xf numFmtId="10" fontId="7" fillId="2" borderId="1" xfId="3" applyNumberFormat="1" applyFont="1" applyFill="1" applyBorder="1" applyAlignment="1">
      <alignment horizontal="center" vertical="center"/>
    </xf>
    <xf numFmtId="10" fontId="7" fillId="2" borderId="2" xfId="3" applyNumberFormat="1" applyFont="1" applyFill="1" applyBorder="1" applyAlignment="1">
      <alignment horizontal="center" vertical="center"/>
    </xf>
    <xf numFmtId="166" fontId="17" fillId="9" borderId="44" xfId="1" applyNumberFormat="1" applyFont="1" applyFill="1" applyBorder="1" applyAlignment="1">
      <alignment vertical="center"/>
    </xf>
    <xf numFmtId="166" fontId="17" fillId="8" borderId="9" xfId="1" applyNumberFormat="1" applyFont="1" applyFill="1" applyBorder="1" applyAlignment="1">
      <alignment vertical="center"/>
    </xf>
    <xf numFmtId="165" fontId="5" fillId="8" borderId="1" xfId="3" applyNumberFormat="1" applyFont="1" applyFill="1" applyBorder="1" applyAlignment="1">
      <alignment vertical="center"/>
    </xf>
    <xf numFmtId="166" fontId="15" fillId="8" borderId="9" xfId="1" applyNumberFormat="1" applyFont="1" applyFill="1" applyBorder="1" applyAlignment="1" applyProtection="1">
      <alignment vertical="center"/>
      <protection locked="0"/>
    </xf>
    <xf numFmtId="165" fontId="5" fillId="8" borderId="9" xfId="3" applyNumberFormat="1" applyFont="1" applyFill="1" applyBorder="1" applyAlignment="1" applyProtection="1">
      <alignment vertical="center"/>
      <protection locked="0"/>
    </xf>
    <xf numFmtId="165" fontId="5" fillId="2" borderId="1" xfId="0" applyNumberFormat="1" applyFont="1" applyFill="1" applyBorder="1" applyAlignment="1">
      <alignment horizontal="center" vertical="center"/>
    </xf>
    <xf numFmtId="166" fontId="7" fillId="2" borderId="1" xfId="1" applyNumberFormat="1" applyFont="1" applyFill="1" applyBorder="1" applyAlignment="1">
      <alignment vertical="center"/>
    </xf>
    <xf numFmtId="166" fontId="17" fillId="8" borderId="45" xfId="1" applyNumberFormat="1" applyFont="1" applyFill="1" applyBorder="1" applyAlignment="1">
      <alignment vertical="center"/>
    </xf>
    <xf numFmtId="165" fontId="7" fillId="2" borderId="1" xfId="3" applyNumberFormat="1" applyFont="1" applyFill="1" applyBorder="1" applyAlignment="1">
      <alignment vertical="center"/>
    </xf>
    <xf numFmtId="165" fontId="7" fillId="2" borderId="2" xfId="3" applyNumberFormat="1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165" fontId="5" fillId="8" borderId="17" xfId="3" applyNumberFormat="1" applyFont="1" applyFill="1" applyBorder="1" applyAlignment="1">
      <alignment vertical="center"/>
    </xf>
    <xf numFmtId="166" fontId="17" fillId="0" borderId="9" xfId="1" applyNumberFormat="1" applyFont="1" applyBorder="1" applyAlignment="1" applyProtection="1">
      <alignment vertical="center"/>
      <protection locked="0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6" fontId="15" fillId="8" borderId="1" xfId="1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166" fontId="15" fillId="12" borderId="9" xfId="1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7" fillId="13" borderId="24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166" fontId="15" fillId="8" borderId="44" xfId="1" applyNumberFormat="1" applyFont="1" applyFill="1" applyBorder="1" applyAlignment="1">
      <alignment vertical="center"/>
    </xf>
    <xf numFmtId="10" fontId="23" fillId="8" borderId="9" xfId="3" applyNumberFormat="1" applyFont="1" applyFill="1" applyBorder="1" applyAlignment="1">
      <alignment vertical="center"/>
    </xf>
    <xf numFmtId="10" fontId="15" fillId="8" borderId="9" xfId="3" applyNumberFormat="1" applyFont="1" applyFill="1" applyBorder="1" applyAlignment="1">
      <alignment vertical="center"/>
    </xf>
    <xf numFmtId="10" fontId="15" fillId="8" borderId="9" xfId="3" applyNumberFormat="1" applyFont="1" applyFill="1" applyBorder="1" applyAlignment="1">
      <alignment horizontal="center" vertical="center"/>
    </xf>
    <xf numFmtId="166" fontId="15" fillId="2" borderId="1" xfId="1" applyNumberFormat="1" applyFont="1" applyFill="1" applyBorder="1" applyAlignment="1">
      <alignment vertical="center"/>
    </xf>
    <xf numFmtId="0" fontId="15" fillId="8" borderId="1" xfId="0" applyFont="1" applyFill="1" applyBorder="1" applyAlignment="1">
      <alignment vertical="center"/>
    </xf>
    <xf numFmtId="166" fontId="15" fillId="2" borderId="1" xfId="0" applyNumberFormat="1" applyFont="1" applyFill="1" applyBorder="1" applyAlignment="1">
      <alignment vertical="center"/>
    </xf>
    <xf numFmtId="166" fontId="15" fillId="16" borderId="9" xfId="1" applyNumberFormat="1" applyFont="1" applyFill="1" applyBorder="1" applyAlignment="1">
      <alignment vertical="center"/>
    </xf>
    <xf numFmtId="166" fontId="23" fillId="8" borderId="9" xfId="1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166" fontId="12" fillId="14" borderId="9" xfId="1" applyNumberFormat="1" applyFont="1" applyFill="1" applyBorder="1" applyAlignment="1">
      <alignment vertical="center"/>
    </xf>
    <xf numFmtId="166" fontId="15" fillId="0" borderId="9" xfId="1" applyNumberFormat="1" applyFont="1" applyBorder="1" applyAlignment="1">
      <alignment horizontal="center" vertical="center"/>
    </xf>
    <xf numFmtId="169" fontId="15" fillId="0" borderId="9" xfId="2" applyNumberFormat="1" applyFont="1" applyBorder="1" applyAlignment="1" applyProtection="1">
      <alignment horizontal="center" vertical="center"/>
      <protection locked="0"/>
    </xf>
    <xf numFmtId="10" fontId="15" fillId="0" borderId="9" xfId="3" applyNumberFormat="1" applyFont="1" applyBorder="1" applyAlignment="1" applyProtection="1">
      <alignment horizontal="center" vertical="center"/>
      <protection locked="0"/>
    </xf>
    <xf numFmtId="10" fontId="7" fillId="2" borderId="1" xfId="0" applyNumberFormat="1" applyFont="1" applyFill="1" applyBorder="1" applyAlignment="1">
      <alignment horizontal="center" vertical="center"/>
    </xf>
    <xf numFmtId="9" fontId="15" fillId="8" borderId="17" xfId="3" applyFont="1" applyFill="1" applyBorder="1" applyAlignment="1">
      <alignment horizontal="center" vertical="center"/>
    </xf>
    <xf numFmtId="9" fontId="15" fillId="8" borderId="19" xfId="3" applyFont="1" applyFill="1" applyBorder="1" applyAlignment="1">
      <alignment horizontal="center" vertical="center"/>
    </xf>
    <xf numFmtId="9" fontId="15" fillId="8" borderId="20" xfId="3" applyFont="1" applyFill="1" applyBorder="1" applyAlignment="1">
      <alignment horizontal="center" vertical="center"/>
    </xf>
    <xf numFmtId="166" fontId="5" fillId="12" borderId="9" xfId="1" applyNumberFormat="1" applyFont="1" applyFill="1" applyBorder="1" applyAlignment="1">
      <alignment vertical="center"/>
    </xf>
    <xf numFmtId="166" fontId="5" fillId="12" borderId="10" xfId="1" applyNumberFormat="1" applyFont="1" applyFill="1" applyBorder="1" applyAlignment="1">
      <alignment vertical="center"/>
    </xf>
    <xf numFmtId="166" fontId="5" fillId="12" borderId="12" xfId="1" applyNumberFormat="1" applyFont="1" applyFill="1" applyBorder="1" applyAlignment="1">
      <alignment vertical="center"/>
    </xf>
    <xf numFmtId="4" fontId="0" fillId="0" borderId="0" xfId="0" applyNumberFormat="1"/>
    <xf numFmtId="43" fontId="0" fillId="0" borderId="0" xfId="1" applyFont="1"/>
    <xf numFmtId="43" fontId="24" fillId="0" borderId="0" xfId="1" applyFont="1"/>
    <xf numFmtId="0" fontId="3" fillId="10" borderId="0" xfId="0" applyFont="1" applyFill="1" applyAlignment="1">
      <alignment horizontal="center" vertical="center"/>
    </xf>
    <xf numFmtId="0" fontId="25" fillId="19" borderId="46" xfId="0" applyFont="1" applyFill="1" applyBorder="1" applyAlignment="1">
      <alignment horizontal="center" vertical="center"/>
    </xf>
    <xf numFmtId="49" fontId="3" fillId="19" borderId="47" xfId="0" applyNumberFormat="1" applyFont="1" applyFill="1" applyBorder="1" applyAlignment="1">
      <alignment horizontal="center" vertical="center" wrapText="1"/>
    </xf>
    <xf numFmtId="49" fontId="3" fillId="19" borderId="48" xfId="0" applyNumberFormat="1" applyFont="1" applyFill="1" applyBorder="1" applyAlignment="1">
      <alignment horizontal="center" vertical="center" wrapText="1"/>
    </xf>
    <xf numFmtId="0" fontId="3" fillId="19" borderId="49" xfId="0" applyFont="1" applyFill="1" applyBorder="1" applyAlignment="1">
      <alignment horizontal="center" vertical="center"/>
    </xf>
    <xf numFmtId="170" fontId="3" fillId="19" borderId="0" xfId="0" applyNumberFormat="1" applyFont="1" applyFill="1" applyAlignment="1">
      <alignment horizontal="center" vertical="center"/>
    </xf>
    <xf numFmtId="170" fontId="3" fillId="19" borderId="38" xfId="0" applyNumberFormat="1" applyFont="1" applyFill="1" applyBorder="1" applyAlignment="1">
      <alignment horizontal="center" vertical="center"/>
    </xf>
    <xf numFmtId="43" fontId="24" fillId="0" borderId="0" xfId="1" applyFont="1" applyAlignment="1">
      <alignment horizontal="center"/>
    </xf>
    <xf numFmtId="0" fontId="3" fillId="10" borderId="50" xfId="0" applyFont="1" applyFill="1" applyBorder="1" applyAlignment="1">
      <alignment horizontal="center" vertical="center"/>
    </xf>
    <xf numFmtId="0" fontId="0" fillId="0" borderId="38" xfId="0" applyBorder="1"/>
    <xf numFmtId="14" fontId="0" fillId="10" borderId="0" xfId="0" applyNumberFormat="1" applyFill="1"/>
    <xf numFmtId="0" fontId="0" fillId="0" borderId="49" xfId="0" applyBorder="1" applyAlignment="1">
      <alignment vertical="center"/>
    </xf>
    <xf numFmtId="44" fontId="3" fillId="20" borderId="51" xfId="2" applyFont="1" applyFill="1" applyBorder="1" applyAlignment="1">
      <alignment horizontal="center" vertical="center"/>
    </xf>
    <xf numFmtId="44" fontId="3" fillId="20" borderId="52" xfId="2" applyFont="1" applyFill="1" applyBorder="1" applyAlignment="1">
      <alignment horizontal="center" vertical="center"/>
    </xf>
    <xf numFmtId="164" fontId="24" fillId="0" borderId="0" xfId="1" applyNumberFormat="1" applyFont="1"/>
    <xf numFmtId="17" fontId="0" fillId="10" borderId="0" xfId="0" applyNumberFormat="1" applyFill="1"/>
    <xf numFmtId="44" fontId="26" fillId="20" borderId="51" xfId="2" applyFont="1" applyFill="1" applyBorder="1" applyAlignment="1">
      <alignment horizontal="center" vertical="center"/>
    </xf>
    <xf numFmtId="44" fontId="26" fillId="20" borderId="52" xfId="2" applyFont="1" applyFill="1" applyBorder="1" applyAlignment="1">
      <alignment horizontal="center" vertical="center"/>
    </xf>
    <xf numFmtId="43" fontId="0" fillId="0" borderId="0" xfId="1" applyFont="1" applyAlignment="1">
      <alignment vertical="center" wrapText="1"/>
    </xf>
    <xf numFmtId="43" fontId="27" fillId="0" borderId="0" xfId="1" applyFont="1"/>
    <xf numFmtId="44" fontId="0" fillId="21" borderId="0" xfId="2" applyFont="1" applyFill="1"/>
    <xf numFmtId="44" fontId="20" fillId="0" borderId="0" xfId="2" applyFont="1"/>
    <xf numFmtId="43" fontId="20" fillId="0" borderId="0" xfId="1" applyFont="1"/>
    <xf numFmtId="44" fontId="3" fillId="22" borderId="51" xfId="2" applyFont="1" applyFill="1" applyBorder="1" applyAlignment="1">
      <alignment horizontal="center" vertical="center"/>
    </xf>
    <xf numFmtId="44" fontId="3" fillId="22" borderId="52" xfId="2" applyFont="1" applyFill="1" applyBorder="1" applyAlignment="1">
      <alignment horizontal="center" vertical="center"/>
    </xf>
    <xf numFmtId="44" fontId="3" fillId="21" borderId="51" xfId="2" applyFont="1" applyFill="1" applyBorder="1" applyAlignment="1">
      <alignment horizontal="center" vertical="center"/>
    </xf>
    <xf numFmtId="171" fontId="3" fillId="21" borderId="51" xfId="1" applyNumberFormat="1" applyFont="1" applyFill="1" applyBorder="1" applyAlignment="1">
      <alignment horizontal="center" vertical="center"/>
    </xf>
    <xf numFmtId="171" fontId="3" fillId="21" borderId="52" xfId="1" applyNumberFormat="1" applyFont="1" applyFill="1" applyBorder="1" applyAlignment="1">
      <alignment horizontal="center" vertical="center"/>
    </xf>
    <xf numFmtId="0" fontId="0" fillId="10" borderId="53" xfId="0" applyFill="1" applyBorder="1" applyAlignment="1">
      <alignment vertical="center"/>
    </xf>
    <xf numFmtId="171" fontId="3" fillId="10" borderId="22" xfId="0" applyNumberFormat="1" applyFont="1" applyFill="1" applyBorder="1" applyAlignment="1">
      <alignment horizontal="center" vertical="center"/>
    </xf>
    <xf numFmtId="171" fontId="3" fillId="10" borderId="54" xfId="0" applyNumberFormat="1" applyFont="1" applyFill="1" applyBorder="1" applyAlignment="1">
      <alignment horizontal="center" vertical="center"/>
    </xf>
    <xf numFmtId="0" fontId="3" fillId="23" borderId="49" xfId="0" applyFont="1" applyFill="1" applyBorder="1" applyAlignment="1">
      <alignment vertical="center"/>
    </xf>
    <xf numFmtId="171" fontId="26" fillId="23" borderId="0" xfId="4" applyNumberFormat="1" applyFont="1" applyFill="1" applyAlignment="1">
      <alignment horizontal="center" vertical="center"/>
    </xf>
    <xf numFmtId="171" fontId="26" fillId="23" borderId="38" xfId="4" applyNumberFormat="1" applyFont="1" applyFill="1" applyBorder="1" applyAlignment="1">
      <alignment horizontal="center" vertical="center"/>
    </xf>
    <xf numFmtId="171" fontId="0" fillId="0" borderId="0" xfId="1" applyNumberFormat="1" applyFont="1"/>
    <xf numFmtId="0" fontId="3" fillId="23" borderId="53" xfId="0" applyFont="1" applyFill="1" applyBorder="1" applyAlignment="1">
      <alignment vertical="center"/>
    </xf>
    <xf numFmtId="171" fontId="26" fillId="23" borderId="22" xfId="4" applyNumberFormat="1" applyFont="1" applyFill="1" applyBorder="1" applyAlignment="1">
      <alignment horizontal="center" vertical="center"/>
    </xf>
    <xf numFmtId="171" fontId="26" fillId="23" borderId="54" xfId="4" applyNumberFormat="1" applyFont="1" applyFill="1" applyBorder="1" applyAlignment="1">
      <alignment horizontal="center" vertical="center"/>
    </xf>
    <xf numFmtId="0" fontId="0" fillId="0" borderId="49" xfId="0" applyBorder="1" applyAlignment="1">
      <alignment horizontal="left" vertical="center"/>
    </xf>
    <xf numFmtId="171" fontId="0" fillId="0" borderId="0" xfId="0" applyNumberFormat="1" applyAlignment="1">
      <alignment horizontal="center" vertical="center"/>
    </xf>
    <xf numFmtId="44" fontId="0" fillId="0" borderId="0" xfId="2" applyFont="1" applyAlignment="1">
      <alignment horizontal="center" vertical="center"/>
    </xf>
    <xf numFmtId="44" fontId="0" fillId="0" borderId="38" xfId="2" applyFont="1" applyBorder="1" applyAlignment="1">
      <alignment horizontal="center" vertical="center"/>
    </xf>
    <xf numFmtId="43" fontId="20" fillId="0" borderId="0" xfId="1" applyFont="1" applyAlignment="1">
      <alignment horizontal="center"/>
    </xf>
    <xf numFmtId="0" fontId="20" fillId="0" borderId="0" xfId="0" applyFont="1" applyAlignment="1">
      <alignment horizontal="center"/>
    </xf>
    <xf numFmtId="0" fontId="28" fillId="0" borderId="49" xfId="0" applyFont="1" applyBorder="1" applyAlignment="1">
      <alignment horizontal="left" vertical="center"/>
    </xf>
    <xf numFmtId="171" fontId="28" fillId="0" borderId="0" xfId="0" applyNumberFormat="1" applyFont="1" applyAlignment="1">
      <alignment horizontal="center" vertical="center"/>
    </xf>
    <xf numFmtId="171" fontId="28" fillId="0" borderId="38" xfId="0" applyNumberFormat="1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/>
    </xf>
    <xf numFmtId="10" fontId="3" fillId="0" borderId="0" xfId="5" applyNumberFormat="1" applyFont="1" applyAlignment="1">
      <alignment horizontal="center" vertical="center"/>
    </xf>
    <xf numFmtId="10" fontId="3" fillId="0" borderId="38" xfId="5" applyNumberFormat="1" applyFont="1" applyBorder="1" applyAlignment="1">
      <alignment horizontal="center" vertical="center"/>
    </xf>
    <xf numFmtId="10" fontId="3" fillId="0" borderId="0" xfId="6" applyNumberFormat="1" applyFont="1" applyAlignment="1">
      <alignment horizontal="center" vertical="center"/>
    </xf>
    <xf numFmtId="10" fontId="3" fillId="0" borderId="38" xfId="6" applyNumberFormat="1" applyFont="1" applyBorder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9" fontId="0" fillId="0" borderId="0" xfId="5" applyFont="1" applyAlignment="1">
      <alignment horizontal="center" vertical="center"/>
    </xf>
    <xf numFmtId="9" fontId="0" fillId="0" borderId="38" xfId="5" applyFont="1" applyBorder="1" applyAlignment="1">
      <alignment horizontal="center" vertical="center"/>
    </xf>
    <xf numFmtId="10" fontId="0" fillId="0" borderId="0" xfId="5" applyNumberFormat="1" applyFont="1" applyAlignment="1">
      <alignment horizontal="center" vertical="center"/>
    </xf>
    <xf numFmtId="10" fontId="3" fillId="23" borderId="22" xfId="5" applyNumberFormat="1" applyFont="1" applyFill="1" applyBorder="1" applyAlignment="1">
      <alignment horizontal="center" vertical="center"/>
    </xf>
    <xf numFmtId="10" fontId="3" fillId="23" borderId="54" xfId="5" applyNumberFormat="1" applyFont="1" applyFill="1" applyBorder="1" applyAlignment="1">
      <alignment horizontal="center" vertical="center"/>
    </xf>
    <xf numFmtId="43" fontId="0" fillId="0" borderId="0" xfId="7" applyFont="1" applyAlignment="1">
      <alignment vertical="center"/>
    </xf>
    <xf numFmtId="0" fontId="30" fillId="0" borderId="0" xfId="0" applyFont="1"/>
    <xf numFmtId="0" fontId="2" fillId="24" borderId="58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164" fontId="3" fillId="0" borderId="0" xfId="1" applyNumberFormat="1" applyFont="1"/>
    <xf numFmtId="43" fontId="3" fillId="25" borderId="0" xfId="1" applyFont="1" applyFill="1"/>
    <xf numFmtId="43" fontId="3" fillId="0" borderId="0" xfId="1" applyFont="1"/>
    <xf numFmtId="43" fontId="3" fillId="0" borderId="2" xfId="1" applyFont="1" applyBorder="1"/>
    <xf numFmtId="0" fontId="0" fillId="0" borderId="1" xfId="0" applyBorder="1"/>
    <xf numFmtId="164" fontId="0" fillId="0" borderId="0" xfId="1" applyNumberFormat="1" applyFont="1"/>
    <xf numFmtId="43" fontId="0" fillId="25" borderId="0" xfId="1" applyFont="1" applyFill="1"/>
    <xf numFmtId="43" fontId="1" fillId="0" borderId="2" xfId="1" applyBorder="1"/>
    <xf numFmtId="164" fontId="3" fillId="0" borderId="0" xfId="1" quotePrefix="1" applyNumberFormat="1" applyFont="1"/>
    <xf numFmtId="0" fontId="3" fillId="0" borderId="42" xfId="0" applyFont="1" applyBorder="1"/>
    <xf numFmtId="0" fontId="3" fillId="0" borderId="18" xfId="0" applyFont="1" applyBorder="1"/>
    <xf numFmtId="43" fontId="3" fillId="0" borderId="18" xfId="1" applyFont="1" applyBorder="1"/>
    <xf numFmtId="43" fontId="3" fillId="25" borderId="18" xfId="1" applyFont="1" applyFill="1" applyBorder="1"/>
    <xf numFmtId="43" fontId="3" fillId="0" borderId="43" xfId="1" applyFont="1" applyBorder="1"/>
    <xf numFmtId="0" fontId="0" fillId="0" borderId="55" xfId="0" applyBorder="1"/>
    <xf numFmtId="10" fontId="0" fillId="0" borderId="56" xfId="3" applyNumberFormat="1" applyFont="1" applyBorder="1"/>
    <xf numFmtId="43" fontId="0" fillId="0" borderId="56" xfId="1" applyFont="1" applyBorder="1"/>
    <xf numFmtId="43" fontId="0" fillId="25" borderId="56" xfId="1" applyFont="1" applyFill="1" applyBorder="1"/>
    <xf numFmtId="43" fontId="0" fillId="0" borderId="57" xfId="1" applyFont="1" applyBorder="1"/>
    <xf numFmtId="10" fontId="0" fillId="0" borderId="0" xfId="3" applyNumberFormat="1" applyFont="1"/>
    <xf numFmtId="43" fontId="0" fillId="0" borderId="2" xfId="1" applyFont="1" applyBorder="1"/>
    <xf numFmtId="0" fontId="0" fillId="0" borderId="42" xfId="0" applyBorder="1"/>
    <xf numFmtId="10" fontId="0" fillId="0" borderId="18" xfId="3" applyNumberFormat="1" applyFont="1" applyBorder="1"/>
    <xf numFmtId="43" fontId="0" fillId="0" borderId="18" xfId="1" applyFont="1" applyBorder="1"/>
    <xf numFmtId="43" fontId="0" fillId="25" borderId="18" xfId="1" applyFont="1" applyFill="1" applyBorder="1"/>
    <xf numFmtId="43" fontId="0" fillId="0" borderId="43" xfId="1" applyFont="1" applyBorder="1"/>
    <xf numFmtId="43" fontId="3" fillId="0" borderId="56" xfId="1" applyFont="1" applyBorder="1"/>
    <xf numFmtId="10" fontId="3" fillId="0" borderId="18" xfId="3" applyNumberFormat="1" applyFont="1" applyBorder="1"/>
    <xf numFmtId="0" fontId="3" fillId="26" borderId="55" xfId="0" applyFont="1" applyFill="1" applyBorder="1"/>
    <xf numFmtId="0" fontId="3" fillId="26" borderId="56" xfId="0" applyFont="1" applyFill="1" applyBorder="1"/>
    <xf numFmtId="43" fontId="3" fillId="26" borderId="56" xfId="1" applyFont="1" applyFill="1" applyBorder="1"/>
    <xf numFmtId="43" fontId="3" fillId="26" borderId="57" xfId="1" applyFont="1" applyFill="1" applyBorder="1"/>
    <xf numFmtId="0" fontId="3" fillId="26" borderId="1" xfId="0" applyFont="1" applyFill="1" applyBorder="1"/>
    <xf numFmtId="0" fontId="3" fillId="26" borderId="0" xfId="0" applyFont="1" applyFill="1"/>
    <xf numFmtId="43" fontId="3" fillId="26" borderId="0" xfId="1" applyFont="1" applyFill="1"/>
    <xf numFmtId="43" fontId="3" fillId="26" borderId="2" xfId="1" applyFont="1" applyFill="1" applyBorder="1"/>
    <xf numFmtId="0" fontId="3" fillId="26" borderId="42" xfId="0" applyFont="1" applyFill="1" applyBorder="1"/>
    <xf numFmtId="0" fontId="3" fillId="26" borderId="18" xfId="0" applyFont="1" applyFill="1" applyBorder="1"/>
    <xf numFmtId="43" fontId="3" fillId="27" borderId="18" xfId="1" applyFont="1" applyFill="1" applyBorder="1"/>
    <xf numFmtId="43" fontId="3" fillId="26" borderId="18" xfId="1" applyFont="1" applyFill="1" applyBorder="1"/>
    <xf numFmtId="43" fontId="3" fillId="26" borderId="43" xfId="1" applyFont="1" applyFill="1" applyBorder="1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164" fontId="2" fillId="24" borderId="0" xfId="1" applyNumberFormat="1" applyFont="1" applyFill="1" applyAlignment="1">
      <alignment horizontal="center" vertical="center"/>
    </xf>
    <xf numFmtId="43" fontId="2" fillId="24" borderId="0" xfId="1" applyFont="1" applyFill="1" applyAlignment="1">
      <alignment horizontal="center" vertical="center"/>
    </xf>
    <xf numFmtId="17" fontId="0" fillId="26" borderId="0" xfId="0" applyNumberFormat="1" applyFill="1" applyAlignment="1">
      <alignment horizontal="left"/>
    </xf>
    <xf numFmtId="164" fontId="0" fillId="26" borderId="0" xfId="1" applyNumberFormat="1" applyFont="1" applyFill="1"/>
    <xf numFmtId="0" fontId="0" fillId="26" borderId="0" xfId="0" applyFill="1"/>
    <xf numFmtId="17" fontId="0" fillId="0" borderId="0" xfId="0" applyNumberFormat="1" applyAlignment="1">
      <alignment horizontal="left"/>
    </xf>
    <xf numFmtId="164" fontId="0" fillId="22" borderId="0" xfId="1" applyNumberFormat="1" applyFont="1" applyFill="1"/>
    <xf numFmtId="164" fontId="0" fillId="0" borderId="0" xfId="0" applyNumberFormat="1"/>
    <xf numFmtId="43" fontId="0" fillId="22" borderId="0" xfId="0" applyNumberFormat="1" applyFill="1" applyAlignment="1">
      <alignment horizontal="center" vertical="center"/>
    </xf>
    <xf numFmtId="10" fontId="0" fillId="2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2" borderId="0" xfId="1" applyNumberFormat="1" applyFont="1" applyFill="1" applyAlignment="1">
      <alignment horizontal="center" vertical="center"/>
    </xf>
    <xf numFmtId="43" fontId="0" fillId="21" borderId="0" xfId="1" applyFont="1" applyFill="1" applyAlignment="1">
      <alignment horizontal="center" vertical="center"/>
    </xf>
    <xf numFmtId="43" fontId="3" fillId="0" borderId="0" xfId="1" applyFont="1" applyAlignment="1">
      <alignment horizontal="center" vertical="center"/>
    </xf>
    <xf numFmtId="10" fontId="3" fillId="0" borderId="0" xfId="3" applyNumberFormat="1" applyFont="1" applyAlignment="1">
      <alignment horizontal="center" vertical="center"/>
    </xf>
    <xf numFmtId="10" fontId="3" fillId="17" borderId="0" xfId="3" applyNumberFormat="1" applyFont="1" applyFill="1" applyAlignment="1">
      <alignment horizontal="right" vertical="center"/>
    </xf>
    <xf numFmtId="44" fontId="0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9" fontId="0" fillId="0" borderId="0" xfId="1" applyNumberFormat="1" applyFont="1" applyAlignment="1">
      <alignment horizontal="center"/>
    </xf>
    <xf numFmtId="43" fontId="0" fillId="21" borderId="18" xfId="1" applyFont="1" applyFill="1" applyBorder="1"/>
    <xf numFmtId="14" fontId="31" fillId="2" borderId="1" xfId="0" applyNumberFormat="1" applyFont="1" applyFill="1" applyBorder="1" applyAlignment="1">
      <alignment horizontal="center" vertical="center" wrapText="1"/>
    </xf>
    <xf numFmtId="14" fontId="31" fillId="2" borderId="0" xfId="0" applyNumberFormat="1" applyFont="1" applyFill="1" applyAlignment="1">
      <alignment horizontal="center" vertical="center"/>
    </xf>
    <xf numFmtId="14" fontId="32" fillId="2" borderId="0" xfId="0" applyNumberFormat="1" applyFont="1" applyFill="1" applyAlignment="1">
      <alignment horizontal="center" vertical="center" wrapText="1"/>
    </xf>
    <xf numFmtId="14" fontId="32" fillId="2" borderId="0" xfId="0" applyNumberFormat="1" applyFont="1" applyFill="1" applyAlignment="1">
      <alignment horizontal="center" vertical="center"/>
    </xf>
    <xf numFmtId="14" fontId="31" fillId="2" borderId="1" xfId="0" applyNumberFormat="1" applyFont="1" applyFill="1" applyBorder="1" applyAlignment="1">
      <alignment horizontal="center" vertical="center"/>
    </xf>
    <xf numFmtId="14" fontId="31" fillId="2" borderId="2" xfId="0" applyNumberFormat="1" applyFont="1" applyFill="1" applyBorder="1" applyAlignment="1">
      <alignment horizontal="center" vertical="center"/>
    </xf>
    <xf numFmtId="14" fontId="33" fillId="3" borderId="0" xfId="0" applyNumberFormat="1" applyFont="1" applyFill="1" applyAlignment="1">
      <alignment horizontal="center" vertical="center"/>
    </xf>
    <xf numFmtId="166" fontId="11" fillId="2" borderId="0" xfId="3" applyNumberFormat="1" applyFont="1" applyFill="1" applyAlignment="1">
      <alignment vertical="center"/>
    </xf>
    <xf numFmtId="0" fontId="34" fillId="2" borderId="0" xfId="0" applyFont="1" applyFill="1" applyAlignment="1">
      <alignment horizontal="center" vertical="center"/>
    </xf>
    <xf numFmtId="44" fontId="0" fillId="0" borderId="0" xfId="0" applyNumberFormat="1"/>
    <xf numFmtId="166" fontId="7" fillId="2" borderId="2" xfId="0" applyNumberFormat="1" applyFont="1" applyFill="1" applyBorder="1" applyAlignment="1">
      <alignment horizontal="center" vertical="center"/>
    </xf>
    <xf numFmtId="166" fontId="17" fillId="9" borderId="4" xfId="1" applyNumberFormat="1" applyFont="1" applyFill="1" applyBorder="1" applyAlignment="1">
      <alignment vertical="center"/>
    </xf>
    <xf numFmtId="166" fontId="17" fillId="9" borderId="7" xfId="1" applyNumberFormat="1" applyFont="1" applyFill="1" applyBorder="1" applyAlignment="1">
      <alignment vertical="center"/>
    </xf>
    <xf numFmtId="0" fontId="17" fillId="21" borderId="10" xfId="0" applyFont="1" applyFill="1" applyBorder="1" applyAlignment="1">
      <alignment horizontal="center" vertical="center" wrapText="1"/>
    </xf>
    <xf numFmtId="166" fontId="19" fillId="21" borderId="0" xfId="1" applyNumberFormat="1" applyFont="1" applyFill="1" applyAlignment="1">
      <alignment vertical="center"/>
    </xf>
    <xf numFmtId="165" fontId="5" fillId="21" borderId="0" xfId="3" applyNumberFormat="1" applyFont="1" applyFill="1" applyAlignment="1">
      <alignment vertical="center"/>
    </xf>
    <xf numFmtId="0" fontId="3" fillId="21" borderId="0" xfId="0" applyFont="1" applyFill="1" applyAlignment="1">
      <alignment vertical="center"/>
    </xf>
    <xf numFmtId="0" fontId="35" fillId="3" borderId="0" xfId="0" applyFont="1" applyFill="1" applyAlignment="1">
      <alignment horizontal="left" vertical="center"/>
    </xf>
    <xf numFmtId="0" fontId="36" fillId="3" borderId="0" xfId="0" applyFont="1" applyFill="1" applyAlignment="1">
      <alignment horizontal="left" vertical="center"/>
    </xf>
    <xf numFmtId="14" fontId="36" fillId="3" borderId="0" xfId="0" applyNumberFormat="1" applyFont="1" applyFill="1" applyAlignment="1">
      <alignment horizontal="left" vertical="center"/>
    </xf>
    <xf numFmtId="166" fontId="36" fillId="3" borderId="0" xfId="0" applyNumberFormat="1" applyFont="1" applyFill="1" applyAlignment="1">
      <alignment horizontal="left" vertical="center"/>
    </xf>
    <xf numFmtId="0" fontId="37" fillId="3" borderId="0" xfId="0" applyFont="1" applyFill="1" applyAlignment="1">
      <alignment horizontal="left" vertical="center"/>
    </xf>
    <xf numFmtId="0" fontId="12" fillId="5" borderId="18" xfId="0" applyFont="1" applyFill="1" applyBorder="1" applyAlignment="1">
      <alignment horizontal="center" wrapText="1"/>
    </xf>
    <xf numFmtId="1" fontId="14" fillId="6" borderId="43" xfId="0" applyNumberFormat="1" applyFont="1" applyFill="1" applyBorder="1" applyAlignment="1">
      <alignment horizontal="center"/>
    </xf>
    <xf numFmtId="172" fontId="0" fillId="0" borderId="0" xfId="0" applyNumberFormat="1"/>
    <xf numFmtId="173" fontId="0" fillId="0" borderId="0" xfId="0" applyNumberFormat="1"/>
    <xf numFmtId="1" fontId="14" fillId="6" borderId="42" xfId="0" applyNumberFormat="1" applyFont="1" applyFill="1" applyBorder="1" applyAlignment="1">
      <alignment horizontal="center"/>
    </xf>
    <xf numFmtId="1" fontId="14" fillId="6" borderId="18" xfId="0" applyNumberFormat="1" applyFont="1" applyFill="1" applyBorder="1" applyAlignment="1">
      <alignment horizontal="center"/>
    </xf>
    <xf numFmtId="166" fontId="6" fillId="8" borderId="10" xfId="1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7" xfId="0" applyBorder="1"/>
    <xf numFmtId="165" fontId="7" fillId="2" borderId="0" xfId="3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17" fontId="14" fillId="6" borderId="61" xfId="0" applyNumberFormat="1" applyFont="1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2" fillId="5" borderId="62" xfId="0" applyFont="1" applyFill="1" applyBorder="1" applyAlignment="1">
      <alignment horizontal="center" wrapText="1"/>
    </xf>
    <xf numFmtId="0" fontId="0" fillId="0" borderId="40" xfId="0" applyBorder="1"/>
    <xf numFmtId="0" fontId="0" fillId="0" borderId="41" xfId="0" applyBorder="1"/>
    <xf numFmtId="165" fontId="5" fillId="2" borderId="0" xfId="3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29" fillId="24" borderId="0" xfId="0" applyFont="1" applyFill="1" applyAlignment="1">
      <alignment horizontal="center" vertical="center"/>
    </xf>
    <xf numFmtId="0" fontId="30" fillId="0" borderId="0" xfId="0" applyFont="1"/>
    <xf numFmtId="0" fontId="24" fillId="0" borderId="63" xfId="0" applyFont="1" applyBorder="1" applyAlignment="1">
      <alignment horizontal="center" vertical="center"/>
    </xf>
    <xf numFmtId="0" fontId="0" fillId="0" borderId="59" xfId="0" applyBorder="1"/>
    <xf numFmtId="0" fontId="0" fillId="0" borderId="60" xfId="0" applyBorder="1"/>
  </cellXfs>
  <cellStyles count="8">
    <cellStyle name="Moeda" xfId="2" builtinId="4"/>
    <cellStyle name="Normal" xfId="0" builtinId="0"/>
    <cellStyle name="Porcentagem" xfId="3" builtinId="5"/>
    <cellStyle name="Porcentagem 2" xfId="5" xr:uid="{00000000-0005-0000-0000-000005000000}"/>
    <cellStyle name="Porcentagem 3" xfId="6" xr:uid="{00000000-0005-0000-0000-000006000000}"/>
    <cellStyle name="Vírgula" xfId="1" builtinId="3"/>
    <cellStyle name="Vírgula 2 3" xfId="4" xr:uid="{00000000-0005-0000-0000-000004000000}"/>
    <cellStyle name="Vírgula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500744</xdr:colOff>
      <xdr:row>75</xdr:row>
      <xdr:rowOff>32658</xdr:rowOff>
    </xdr:from>
    <xdr:to>
      <xdr:col>12</xdr:col>
      <xdr:colOff>479569</xdr:colOff>
      <xdr:row>96</xdr:row>
      <xdr:rowOff>16816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9499" y="13842003"/>
          <a:ext cx="6804984" cy="38189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BV590"/>
  <sheetViews>
    <sheetView tabSelected="1" zoomScale="96" zoomScaleNormal="96" workbookViewId="0">
      <pane xSplit="1" ySplit="8" topLeftCell="AI20" activePane="bottomRight" state="frozen"/>
      <selection pane="topRight" activeCell="B3" sqref="B3"/>
      <selection pane="bottomLeft" activeCell="A8" sqref="A8"/>
      <selection pane="bottomRight" activeCell="AQ35" sqref="AQ35"/>
    </sheetView>
  </sheetViews>
  <sheetFormatPr defaultColWidth="9.109375" defaultRowHeight="14.4" outlineLevelRow="2" x14ac:dyDescent="0.3"/>
  <cols>
    <col min="1" max="1" width="57.77734375" style="229" bestFit="1" customWidth="1"/>
    <col min="2" max="2" width="3.109375" style="2" customWidth="1"/>
    <col min="3" max="3" width="75.77734375" style="3" hidden="1" customWidth="1"/>
    <col min="4" max="4" width="96.33203125" style="4" hidden="1" customWidth="1"/>
    <col min="5" max="5" width="21.77734375" style="4" hidden="1" customWidth="1"/>
    <col min="6" max="6" width="3.6640625" style="2" hidden="1" customWidth="1" collapsed="1"/>
    <col min="7" max="7" width="4.77734375" style="2" hidden="1" customWidth="1"/>
    <col min="8" max="9" width="15.5546875" style="2" bestFit="1" customWidth="1"/>
    <col min="10" max="10" width="13.88671875" style="2" bestFit="1" customWidth="1"/>
    <col min="11" max="12" width="15.5546875" style="2" bestFit="1" customWidth="1"/>
    <col min="13" max="13" width="13.88671875" style="2" bestFit="1" customWidth="1"/>
    <col min="14" max="14" width="15.5546875" style="2" bestFit="1" customWidth="1"/>
    <col min="15" max="16" width="13.88671875" style="2" bestFit="1" customWidth="1"/>
    <col min="17" max="17" width="15.5546875" style="2" bestFit="1" customWidth="1"/>
    <col min="18" max="19" width="13.88671875" style="2" bestFit="1" customWidth="1"/>
    <col min="20" max="20" width="15.5546875" style="2" bestFit="1" customWidth="1"/>
    <col min="21" max="22" width="13.88671875" style="2" bestFit="1" customWidth="1"/>
    <col min="23" max="23" width="15.21875" style="2" customWidth="1"/>
    <col min="24" max="24" width="13.33203125" style="2" customWidth="1"/>
    <col min="25" max="25" width="16.88671875" style="2" customWidth="1"/>
    <col min="26" max="26" width="15.21875" style="2" customWidth="1"/>
    <col min="27" max="27" width="13.33203125" style="2" customWidth="1"/>
    <col min="28" max="28" width="10.21875" style="2" customWidth="1"/>
    <col min="29" max="29" width="15.21875" style="2" customWidth="1"/>
    <col min="30" max="30" width="13.33203125" style="2" customWidth="1"/>
    <col min="31" max="31" width="10.21875" style="2" customWidth="1"/>
    <col min="32" max="32" width="15.21875" style="2" customWidth="1"/>
    <col min="33" max="33" width="13.33203125" style="2" customWidth="1"/>
    <col min="34" max="34" width="12.5546875" style="2" customWidth="1"/>
    <col min="35" max="35" width="15.21875" style="2" customWidth="1"/>
    <col min="36" max="36" width="13.33203125" style="2" customWidth="1"/>
    <col min="37" max="37" width="10.21875" style="2" customWidth="1"/>
    <col min="38" max="38" width="15.21875" style="2" customWidth="1"/>
    <col min="39" max="39" width="13.33203125" style="2" customWidth="1"/>
    <col min="40" max="40" width="10.21875" style="2" customWidth="1"/>
    <col min="41" max="41" width="15.21875" style="2" customWidth="1"/>
    <col min="42" max="42" width="13.33203125" style="2" customWidth="1"/>
    <col min="43" max="43" width="10.21875" style="2" customWidth="1"/>
    <col min="44" max="46" width="15" style="2" bestFit="1" customWidth="1"/>
    <col min="47" max="48" width="16.109375" style="2" bestFit="1" customWidth="1"/>
    <col min="49" max="49" width="15" style="2" bestFit="1" customWidth="1"/>
    <col min="50" max="50" width="13.88671875" style="2" customWidth="1"/>
    <col min="51" max="51" width="17.21875" style="2" customWidth="1"/>
    <col min="52" max="52" width="15" style="2" customWidth="1"/>
    <col min="53" max="53" width="14.5546875" style="2" customWidth="1"/>
    <col min="54" max="54" width="17.21875" style="2" customWidth="1"/>
    <col min="55" max="55" width="13.88671875" style="2" customWidth="1"/>
    <col min="56" max="56" width="14.5546875" style="2" customWidth="1"/>
    <col min="57" max="57" width="17.21875" style="2" customWidth="1"/>
    <col min="58" max="58" width="10.21875" style="2" customWidth="1"/>
    <col min="59" max="59" width="14.5546875" style="2" customWidth="1"/>
    <col min="60" max="60" width="17.21875" style="2" customWidth="1"/>
    <col min="61" max="61" width="10.21875" style="2" customWidth="1"/>
    <col min="62" max="62" width="6.44140625" style="10" customWidth="1"/>
    <col min="63" max="63" width="15.88671875" style="446" bestFit="1" customWidth="1"/>
    <col min="64" max="64" width="12.21875" style="446" bestFit="1" customWidth="1"/>
    <col min="65" max="65" width="16.109375" style="446" customWidth="1"/>
    <col min="66" max="66" width="12" style="446" bestFit="1" customWidth="1"/>
    <col min="67" max="71" width="15.44140625" style="10" customWidth="1"/>
    <col min="72" max="72" width="9.109375" style="10" customWidth="1"/>
    <col min="73" max="76" width="15.44140625" style="10" customWidth="1"/>
    <col min="77" max="77" width="10.109375" style="10" customWidth="1"/>
    <col min="78" max="79" width="15.44140625" style="10" customWidth="1"/>
    <col min="80" max="80" width="11.44140625" style="10" customWidth="1"/>
    <col min="81" max="81" width="9.6640625" style="10" customWidth="1"/>
    <col min="82" max="82" width="15.44140625" style="10" customWidth="1"/>
    <col min="83" max="83" width="9.109375" style="10" customWidth="1"/>
    <col min="84" max="85" width="15.44140625" style="10" customWidth="1"/>
    <col min="86" max="86" width="9.6640625" style="10" customWidth="1"/>
    <col min="87" max="87" width="10.109375" style="10" customWidth="1"/>
    <col min="88" max="88" width="15.44140625" style="10" customWidth="1"/>
    <col min="89" max="89" width="9.109375" style="10" customWidth="1"/>
    <col min="90" max="90" width="16.109375" style="10" customWidth="1"/>
    <col min="91" max="91" width="15.44140625" style="10" customWidth="1"/>
    <col min="92" max="92" width="9.109375" style="10" customWidth="1"/>
    <col min="93" max="93" width="9.6640625" style="10" customWidth="1"/>
    <col min="94" max="94" width="15.44140625" style="10" customWidth="1"/>
    <col min="95" max="95" width="12.6640625" style="10" customWidth="1"/>
    <col min="96" max="96" width="11.44140625" style="10" customWidth="1"/>
    <col min="97" max="97" width="9.33203125" style="10" customWidth="1"/>
    <col min="98" max="98" width="11.44140625" style="10" customWidth="1"/>
    <col min="99" max="99" width="14.109375" style="10" customWidth="1"/>
    <col min="100" max="102" width="12.6640625" style="10" customWidth="1"/>
    <col min="103" max="104" width="11.44140625" style="10" customWidth="1"/>
    <col min="105" max="105" width="9.109375" style="10" customWidth="1"/>
    <col min="106" max="106" width="8.33203125" style="10" customWidth="1"/>
    <col min="107" max="107" width="9.6640625" style="10" customWidth="1"/>
    <col min="108" max="108" width="11.44140625" style="10" customWidth="1"/>
    <col min="109" max="110" width="12.6640625" style="10" customWidth="1"/>
    <col min="111" max="111" width="11.44140625" style="10" customWidth="1"/>
    <col min="112" max="112" width="9.6640625" style="10" customWidth="1"/>
    <col min="113" max="114" width="11.44140625" style="10" customWidth="1"/>
    <col min="115" max="115" width="12.6640625" style="10" customWidth="1"/>
    <col min="116" max="117" width="11.44140625" style="10" customWidth="1"/>
    <col min="118" max="120" width="10" style="10" customWidth="1"/>
    <col min="121" max="121" width="9" style="10" customWidth="1"/>
    <col min="122" max="122" width="9.44140625" style="10" customWidth="1"/>
    <col min="123" max="129" width="15.44140625" style="10" customWidth="1"/>
    <col min="130" max="130" width="10.33203125" style="10" customWidth="1"/>
    <col min="131" max="134" width="15.44140625" style="10" customWidth="1"/>
    <col min="135" max="135" width="10.109375" style="10" customWidth="1"/>
    <col min="136" max="136" width="10.33203125" style="10" customWidth="1"/>
    <col min="137" max="137" width="15.44140625" style="10" customWidth="1"/>
    <col min="138" max="138" width="12.6640625" style="10" customWidth="1"/>
    <col min="139" max="139" width="15.44140625" style="10" customWidth="1"/>
    <col min="140" max="140" width="12.6640625" style="10" customWidth="1"/>
    <col min="141" max="141" width="11.44140625" style="10" customWidth="1"/>
    <col min="142" max="143" width="9.6640625" style="10" customWidth="1"/>
    <col min="144" max="144" width="10.109375" style="10" customWidth="1"/>
    <col min="145" max="145" width="12.6640625" style="10" customWidth="1"/>
    <col min="146" max="146" width="11.44140625" style="10" customWidth="1"/>
    <col min="147" max="147" width="10.33203125" style="10" customWidth="1"/>
    <col min="148" max="148" width="12.6640625" style="10" customWidth="1"/>
    <col min="149" max="149" width="9.109375" style="10" customWidth="1"/>
    <col min="150" max="150" width="15.44140625" style="10" customWidth="1"/>
    <col min="151" max="151" width="9.109375" style="10" customWidth="1"/>
    <col min="152" max="153" width="14" style="10" customWidth="1"/>
    <col min="154" max="154" width="10" style="10" customWidth="1"/>
    <col min="155" max="155" width="11.44140625" style="10" customWidth="1"/>
    <col min="156" max="156" width="9.6640625" style="10" customWidth="1"/>
    <col min="157" max="157" width="9" style="10" customWidth="1"/>
    <col min="158" max="158" width="15.44140625" style="10" customWidth="1"/>
    <col min="159" max="159" width="9.109375" style="10" customWidth="1"/>
    <col min="160" max="160" width="14.33203125" style="10" customWidth="1"/>
    <col min="161" max="164" width="12.6640625" style="10" customWidth="1"/>
    <col min="165" max="165" width="11.44140625" style="10" customWidth="1"/>
    <col min="166" max="166" width="9.6640625" style="10" customWidth="1"/>
    <col min="167" max="167" width="12.6640625" style="10" customWidth="1"/>
    <col min="168" max="169" width="9.6640625" style="10" customWidth="1"/>
    <col min="170" max="171" width="11.44140625" style="10" customWidth="1"/>
    <col min="172" max="172" width="10" style="10" customWidth="1"/>
    <col min="173" max="173" width="9.6640625" style="10" customWidth="1"/>
    <col min="174" max="174" width="9.33203125" style="10" customWidth="1"/>
    <col min="175" max="176" width="2.44140625" style="10" customWidth="1"/>
    <col min="177" max="177" width="15.33203125" style="10" customWidth="1"/>
    <col min="178" max="178" width="9.109375" style="10" customWidth="1"/>
    <col min="179" max="179" width="11.44140625" style="10" customWidth="1"/>
    <col min="180" max="181" width="9.6640625" style="10" customWidth="1"/>
    <col min="182" max="182" width="11.44140625" style="10" customWidth="1"/>
    <col min="183" max="183" width="9.6640625" style="10" customWidth="1"/>
    <col min="184" max="184" width="15.44140625" style="10" customWidth="1"/>
    <col min="185" max="185" width="9.109375" style="10" customWidth="1"/>
    <col min="186" max="186" width="15.44140625" style="10" customWidth="1"/>
    <col min="187" max="187" width="11.44140625" style="10" customWidth="1"/>
    <col min="188" max="188" width="15.44140625" style="10" customWidth="1"/>
    <col min="189" max="189" width="6.33203125" style="10" customWidth="1"/>
    <col min="190" max="190" width="15.44140625" style="10" customWidth="1"/>
    <col min="191" max="191" width="9.109375" style="10" customWidth="1"/>
    <col min="192" max="192" width="15.44140625" style="10" customWidth="1"/>
    <col min="193" max="193" width="10.33203125" style="10" customWidth="1"/>
    <col min="194" max="194" width="9.6640625" style="10" customWidth="1"/>
    <col min="195" max="195" width="9.33203125" style="10" customWidth="1"/>
    <col min="196" max="196" width="9.6640625" style="10" customWidth="1"/>
    <col min="197" max="197" width="15.44140625" style="10" customWidth="1"/>
    <col min="198" max="198" width="10.33203125" style="10" customWidth="1"/>
    <col min="199" max="199" width="6.33203125" style="10" customWidth="1"/>
    <col min="200" max="200" width="15.44140625" style="10" customWidth="1"/>
    <col min="201" max="201" width="9.109375" style="10" customWidth="1"/>
    <col min="202" max="202" width="15.44140625" style="10" customWidth="1"/>
    <col min="203" max="203" width="11.44140625" style="10" customWidth="1"/>
    <col min="204" max="204" width="10.33203125" style="10" customWidth="1"/>
    <col min="205" max="205" width="11.44140625" style="10" customWidth="1"/>
    <col min="206" max="206" width="15.44140625" style="10" customWidth="1"/>
    <col min="207" max="207" width="6.33203125" style="10" customWidth="1"/>
    <col min="208" max="208" width="15.44140625" style="10" customWidth="1"/>
    <col min="209" max="209" width="9.109375" style="10" customWidth="1"/>
    <col min="210" max="211" width="11.44140625" style="10" customWidth="1"/>
    <col min="212" max="212" width="9.6640625" style="10" customWidth="1"/>
    <col min="213" max="213" width="15.44140625" style="10" customWidth="1"/>
    <col min="214" max="214" width="9.109375" style="10" customWidth="1"/>
    <col min="215" max="216" width="15.44140625" style="10" customWidth="1"/>
    <col min="217" max="217" width="9.109375" style="10" customWidth="1"/>
    <col min="218" max="218" width="15.44140625" style="10" customWidth="1"/>
    <col min="219" max="219" width="9.109375" style="10" customWidth="1"/>
    <col min="220" max="220" width="15.44140625" style="10" customWidth="1"/>
    <col min="221" max="221" width="10.33203125" style="10" customWidth="1"/>
    <col min="222" max="222" width="9.6640625" style="10" customWidth="1"/>
    <col min="223" max="224" width="15.44140625" style="10" customWidth="1"/>
    <col min="225" max="225" width="9.109375" style="10" customWidth="1"/>
    <col min="226" max="227" width="15.44140625" style="10" customWidth="1"/>
    <col min="228" max="228" width="9.109375" style="10" customWidth="1"/>
    <col min="229" max="230" width="15.44140625" style="10" customWidth="1"/>
    <col min="231" max="231" width="9.109375" style="10" customWidth="1"/>
    <col min="232" max="232" width="9.33203125" style="10" customWidth="1"/>
    <col min="233" max="233" width="9.109375" style="10" customWidth="1"/>
    <col min="234" max="234" width="14.109375" style="10" customWidth="1"/>
    <col min="235" max="235" width="9.109375" style="10" customWidth="1"/>
    <col min="236" max="236" width="9.33203125" style="10" customWidth="1"/>
    <col min="237" max="237" width="9.109375" style="10" customWidth="1"/>
    <col min="238" max="238" width="14.109375" style="10" customWidth="1"/>
    <col min="239" max="239" width="9.109375" style="10" customWidth="1"/>
    <col min="240" max="240" width="12.6640625" style="10" customWidth="1"/>
    <col min="241" max="241" width="9.33203125" style="10" customWidth="1"/>
    <col min="242" max="244" width="12.6640625" style="10" customWidth="1"/>
    <col min="245" max="250" width="9.109375" style="10" customWidth="1"/>
    <col min="251" max="16384" width="9.109375" style="10"/>
  </cols>
  <sheetData>
    <row r="1" spans="1:74" s="7" customFormat="1" ht="26.7" hidden="1" customHeight="1" x14ac:dyDescent="0.3">
      <c r="A1" s="1"/>
      <c r="B1" s="2"/>
      <c r="C1" s="3"/>
      <c r="D1" s="4"/>
      <c r="E1" s="4"/>
      <c r="F1" s="2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K1" s="445"/>
      <c r="BL1" s="445"/>
      <c r="BM1" s="445"/>
      <c r="BN1" s="445"/>
    </row>
    <row r="2" spans="1:74" s="7" customFormat="1" ht="26.7" hidden="1" customHeight="1" x14ac:dyDescent="0.3">
      <c r="A2" s="1"/>
      <c r="B2" s="2"/>
      <c r="C2" s="3"/>
      <c r="D2" s="4"/>
      <c r="E2" s="4"/>
      <c r="F2" s="2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K2" s="445"/>
      <c r="BL2" s="445"/>
      <c r="BM2" s="445"/>
      <c r="BN2" s="445"/>
    </row>
    <row r="3" spans="1:74" ht="25.2" customHeight="1" thickBot="1" x14ac:dyDescent="0.35">
      <c r="A3" s="8" t="s">
        <v>0</v>
      </c>
      <c r="H3" s="9">
        <f>J8/H8</f>
        <v>1.1349047837146526</v>
      </c>
      <c r="I3" s="9"/>
      <c r="J3" s="9">
        <f>J8/I8</f>
        <v>1.0317316215587753</v>
      </c>
      <c r="K3" s="9">
        <f>M8/K8</f>
        <v>1.0260133479029681</v>
      </c>
      <c r="L3" s="9"/>
      <c r="M3" s="9">
        <f>M8/L8</f>
        <v>0.89218551991562434</v>
      </c>
      <c r="N3" s="9">
        <f>P8/N8</f>
        <v>1.08891379060216</v>
      </c>
      <c r="O3" s="9"/>
      <c r="P3" s="9">
        <f>P8/O8</f>
        <v>1.1836019463066958</v>
      </c>
      <c r="Q3" s="9">
        <f>S8/Q8</f>
        <v>1.1210414706091245</v>
      </c>
      <c r="R3" s="9"/>
      <c r="S3" s="9">
        <f>S8/R8</f>
        <v>1.2456016340101386</v>
      </c>
      <c r="T3" s="9">
        <f>V8/T8</f>
        <v>0.85507486006878031</v>
      </c>
      <c r="U3" s="9"/>
      <c r="V3" s="9">
        <f>V8/U8</f>
        <v>0.77033771177367605</v>
      </c>
      <c r="W3" s="9"/>
      <c r="X3" s="9"/>
      <c r="Y3" s="9">
        <f>Y8/X8</f>
        <v>0.83320363335947778</v>
      </c>
      <c r="Z3" s="9"/>
      <c r="AA3" s="9"/>
      <c r="AB3" s="9">
        <f>AB8/AA8</f>
        <v>0.18377505914303921</v>
      </c>
      <c r="AC3" s="9"/>
      <c r="AD3" s="9"/>
      <c r="AE3" s="9">
        <f>AE8/AD8</f>
        <v>0</v>
      </c>
      <c r="AF3" s="9"/>
      <c r="AG3" s="9"/>
      <c r="AH3" s="9">
        <f>AH8/AG8</f>
        <v>0</v>
      </c>
      <c r="AI3" s="9"/>
      <c r="AJ3" s="9"/>
      <c r="AK3" s="9">
        <f>AK8/AJ8</f>
        <v>0</v>
      </c>
      <c r="AL3" s="9"/>
      <c r="AM3" s="9"/>
      <c r="AN3" s="9">
        <f>AN8/AM8</f>
        <v>0</v>
      </c>
      <c r="AO3" s="9"/>
      <c r="AP3" s="9"/>
      <c r="AQ3" s="9">
        <f>AQ8/AP8</f>
        <v>0</v>
      </c>
      <c r="AR3" s="9">
        <f ca="1">AT8/AR8</f>
        <v>1.0417289137475234</v>
      </c>
      <c r="AS3" s="9"/>
      <c r="AT3" s="9">
        <f ca="1">AT8/AS8</f>
        <v>0.96212555917703857</v>
      </c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</row>
    <row r="4" spans="1:74" s="14" customFormat="1" ht="18.600000000000001" customHeight="1" thickBot="1" x14ac:dyDescent="0.4">
      <c r="A4" s="11"/>
      <c r="B4" s="5"/>
      <c r="C4" s="12"/>
      <c r="D4" s="13"/>
      <c r="E4" s="13"/>
      <c r="F4" s="5"/>
      <c r="G4" s="5"/>
      <c r="H4" s="461">
        <v>46023</v>
      </c>
      <c r="I4" s="462"/>
      <c r="J4" s="463"/>
      <c r="K4" s="461">
        <v>46054</v>
      </c>
      <c r="L4" s="462"/>
      <c r="M4" s="463"/>
      <c r="N4" s="461">
        <v>46082</v>
      </c>
      <c r="O4" s="462"/>
      <c r="P4" s="463"/>
      <c r="Q4" s="461">
        <v>46113</v>
      </c>
      <c r="R4" s="462"/>
      <c r="S4" s="463"/>
      <c r="T4" s="461">
        <v>46143</v>
      </c>
      <c r="U4" s="462"/>
      <c r="V4" s="463"/>
      <c r="W4" s="461">
        <v>46174</v>
      </c>
      <c r="X4" s="462"/>
      <c r="Y4" s="463"/>
      <c r="Z4" s="461">
        <v>46204</v>
      </c>
      <c r="AA4" s="462"/>
      <c r="AB4" s="463"/>
      <c r="AC4" s="461">
        <v>46235</v>
      </c>
      <c r="AD4" s="462"/>
      <c r="AE4" s="463"/>
      <c r="AF4" s="461">
        <v>46266</v>
      </c>
      <c r="AG4" s="462"/>
      <c r="AH4" s="463"/>
      <c r="AI4" s="461">
        <v>46296</v>
      </c>
      <c r="AJ4" s="462"/>
      <c r="AK4" s="463"/>
      <c r="AL4" s="461">
        <v>46327</v>
      </c>
      <c r="AM4" s="462"/>
      <c r="AN4" s="463"/>
      <c r="AO4" s="461">
        <v>46357</v>
      </c>
      <c r="AP4" s="462"/>
      <c r="AQ4" s="463"/>
      <c r="AR4" s="464" t="s">
        <v>1</v>
      </c>
      <c r="AS4" s="465"/>
      <c r="AT4" s="466"/>
      <c r="AU4" s="464" t="s">
        <v>2</v>
      </c>
      <c r="AV4" s="465"/>
      <c r="AW4" s="466"/>
      <c r="AX4" s="464" t="s">
        <v>3</v>
      </c>
      <c r="AY4" s="465"/>
      <c r="AZ4" s="466"/>
      <c r="BA4" s="464" t="s">
        <v>4</v>
      </c>
      <c r="BB4" s="465"/>
      <c r="BC4" s="466"/>
      <c r="BD4" s="464" t="s">
        <v>5</v>
      </c>
      <c r="BE4" s="465"/>
      <c r="BF4" s="466"/>
      <c r="BG4" s="464" t="s">
        <v>6</v>
      </c>
      <c r="BH4" s="465"/>
      <c r="BI4" s="466"/>
      <c r="BK4" s="446"/>
      <c r="BL4" s="446"/>
      <c r="BM4" s="446"/>
      <c r="BN4" s="446"/>
    </row>
    <row r="5" spans="1:74" s="14" customFormat="1" ht="18.600000000000001" hidden="1" customHeight="1" thickBot="1" x14ac:dyDescent="0.4">
      <c r="A5" s="90"/>
      <c r="B5" s="5"/>
      <c r="C5" s="12"/>
      <c r="D5" s="13"/>
      <c r="E5" s="13"/>
      <c r="F5" s="5"/>
      <c r="G5" s="5"/>
      <c r="H5" s="454">
        <v>1</v>
      </c>
      <c r="I5" s="455">
        <v>1</v>
      </c>
      <c r="J5" s="451">
        <f>MONTH(H4)</f>
        <v>1</v>
      </c>
      <c r="K5" s="454">
        <v>2</v>
      </c>
      <c r="L5" s="455">
        <v>2</v>
      </c>
      <c r="M5" s="451">
        <f>MONTH(K4)</f>
        <v>2</v>
      </c>
      <c r="N5" s="454">
        <v>3</v>
      </c>
      <c r="O5" s="455">
        <v>3</v>
      </c>
      <c r="P5" s="451">
        <f>MONTH(N4)</f>
        <v>3</v>
      </c>
      <c r="Q5" s="454">
        <v>4</v>
      </c>
      <c r="R5" s="455">
        <v>4</v>
      </c>
      <c r="S5" s="451">
        <f>MONTH(Q4)</f>
        <v>4</v>
      </c>
      <c r="T5" s="454">
        <v>5</v>
      </c>
      <c r="U5" s="455">
        <v>5</v>
      </c>
      <c r="V5" s="451">
        <f>MONTH(T4)</f>
        <v>5</v>
      </c>
      <c r="W5" s="454">
        <v>6</v>
      </c>
      <c r="X5" s="455">
        <v>6</v>
      </c>
      <c r="Y5" s="451">
        <f>MONTH(W4)</f>
        <v>6</v>
      </c>
      <c r="Z5" s="454">
        <v>7</v>
      </c>
      <c r="AA5" s="455">
        <v>7</v>
      </c>
      <c r="AB5" s="451">
        <f>MONTH(Z4)</f>
        <v>7</v>
      </c>
      <c r="AC5" s="454">
        <v>8</v>
      </c>
      <c r="AD5" s="455">
        <v>8</v>
      </c>
      <c r="AE5" s="451">
        <f>MONTH(AC4)</f>
        <v>8</v>
      </c>
      <c r="AF5" s="454">
        <v>9</v>
      </c>
      <c r="AG5" s="455">
        <v>9</v>
      </c>
      <c r="AH5" s="451">
        <f>MONTH(AF4)</f>
        <v>9</v>
      </c>
      <c r="AI5" s="454">
        <v>10</v>
      </c>
      <c r="AJ5" s="455">
        <v>10</v>
      </c>
      <c r="AK5" s="451">
        <f>MONTH(AI4)</f>
        <v>10</v>
      </c>
      <c r="AL5" s="454">
        <v>11</v>
      </c>
      <c r="AM5" s="455">
        <v>11</v>
      </c>
      <c r="AN5" s="451">
        <f>MONTH(AL4)</f>
        <v>11</v>
      </c>
      <c r="AO5" s="454">
        <v>12</v>
      </c>
      <c r="AP5" s="455">
        <v>12</v>
      </c>
      <c r="AQ5" s="451">
        <f>MONTH(AO4)</f>
        <v>12</v>
      </c>
      <c r="AR5" s="450"/>
      <c r="AS5" s="450"/>
      <c r="AT5" s="450"/>
      <c r="AU5" s="450"/>
      <c r="AV5" s="450"/>
      <c r="AW5" s="450"/>
      <c r="AX5" s="450"/>
      <c r="AY5" s="450"/>
      <c r="AZ5" s="450"/>
      <c r="BA5" s="450"/>
      <c r="BB5" s="450"/>
      <c r="BC5" s="450"/>
      <c r="BD5" s="450"/>
      <c r="BE5" s="450"/>
      <c r="BF5" s="450"/>
      <c r="BG5" s="450"/>
      <c r="BH5" s="450"/>
      <c r="BI5" s="450"/>
      <c r="BK5" s="446"/>
      <c r="BL5" s="446"/>
      <c r="BM5" s="446"/>
      <c r="BN5" s="446"/>
    </row>
    <row r="6" spans="1:74" ht="18.600000000000001" customHeight="1" thickBot="1" x14ac:dyDescent="0.35">
      <c r="A6" s="15"/>
      <c r="E6" s="16"/>
      <c r="F6" s="17"/>
      <c r="H6" s="238" t="s">
        <v>7</v>
      </c>
      <c r="I6" s="231" t="s">
        <v>8</v>
      </c>
      <c r="J6" s="239" t="s">
        <v>9</v>
      </c>
      <c r="K6" s="238" t="s">
        <v>7</v>
      </c>
      <c r="L6" s="231" t="s">
        <v>8</v>
      </c>
      <c r="M6" s="239" t="s">
        <v>9</v>
      </c>
      <c r="N6" s="238" t="s">
        <v>7</v>
      </c>
      <c r="O6" s="231" t="s">
        <v>8</v>
      </c>
      <c r="P6" s="239" t="s">
        <v>9</v>
      </c>
      <c r="Q6" s="238" t="s">
        <v>7</v>
      </c>
      <c r="R6" s="231" t="s">
        <v>8</v>
      </c>
      <c r="S6" s="239" t="s">
        <v>9</v>
      </c>
      <c r="T6" s="238" t="s">
        <v>7</v>
      </c>
      <c r="U6" s="231" t="s">
        <v>8</v>
      </c>
      <c r="V6" s="239" t="s">
        <v>9</v>
      </c>
      <c r="W6" s="238" t="s">
        <v>7</v>
      </c>
      <c r="X6" s="231" t="s">
        <v>8</v>
      </c>
      <c r="Y6" s="239" t="s">
        <v>9</v>
      </c>
      <c r="Z6" s="238" t="s">
        <v>7</v>
      </c>
      <c r="AA6" s="231" t="s">
        <v>8</v>
      </c>
      <c r="AB6" s="239" t="s">
        <v>9</v>
      </c>
      <c r="AC6" s="238" t="s">
        <v>7</v>
      </c>
      <c r="AD6" s="231" t="s">
        <v>8</v>
      </c>
      <c r="AE6" s="239" t="s">
        <v>9</v>
      </c>
      <c r="AF6" s="238" t="s">
        <v>7</v>
      </c>
      <c r="AG6" s="231" t="s">
        <v>8</v>
      </c>
      <c r="AH6" s="239" t="s">
        <v>9</v>
      </c>
      <c r="AI6" s="238" t="s">
        <v>7</v>
      </c>
      <c r="AJ6" s="231" t="s">
        <v>8</v>
      </c>
      <c r="AK6" s="239" t="s">
        <v>9</v>
      </c>
      <c r="AL6" s="238" t="s">
        <v>7</v>
      </c>
      <c r="AM6" s="231" t="s">
        <v>8</v>
      </c>
      <c r="AN6" s="239" t="s">
        <v>9</v>
      </c>
      <c r="AO6" s="238" t="s">
        <v>7</v>
      </c>
      <c r="AP6" s="231" t="s">
        <v>8</v>
      </c>
      <c r="AQ6" s="239" t="s">
        <v>9</v>
      </c>
      <c r="AR6" s="238">
        <v>2025</v>
      </c>
      <c r="AS6" s="231" t="s">
        <v>8</v>
      </c>
      <c r="AT6" s="239" t="s">
        <v>10</v>
      </c>
      <c r="AU6" s="238">
        <v>2025</v>
      </c>
      <c r="AV6" s="231" t="s">
        <v>8</v>
      </c>
      <c r="AW6" s="239" t="s">
        <v>10</v>
      </c>
      <c r="AX6" s="238" t="s">
        <v>7</v>
      </c>
      <c r="AY6" s="231" t="s">
        <v>8</v>
      </c>
      <c r="AZ6" s="239" t="s">
        <v>9</v>
      </c>
      <c r="BA6" s="238" t="s">
        <v>7</v>
      </c>
      <c r="BB6" s="231" t="s">
        <v>8</v>
      </c>
      <c r="BC6" s="239" t="s">
        <v>9</v>
      </c>
      <c r="BD6" s="238" t="s">
        <v>7</v>
      </c>
      <c r="BE6" s="231" t="s">
        <v>8</v>
      </c>
      <c r="BF6" s="239" t="s">
        <v>9</v>
      </c>
      <c r="BG6" s="238" t="s">
        <v>7</v>
      </c>
      <c r="BH6" s="231" t="s">
        <v>8</v>
      </c>
      <c r="BI6" s="239" t="s">
        <v>9</v>
      </c>
    </row>
    <row r="7" spans="1:74" s="434" customFormat="1" ht="18" hidden="1" customHeight="1" x14ac:dyDescent="0.3">
      <c r="A7" s="428"/>
      <c r="B7" s="429"/>
      <c r="C7" s="430"/>
      <c r="D7" s="431"/>
      <c r="E7" s="431"/>
      <c r="F7" s="429"/>
      <c r="G7" s="429"/>
      <c r="H7" s="432">
        <v>45658</v>
      </c>
      <c r="I7" s="429">
        <v>46023</v>
      </c>
      <c r="J7" s="433"/>
      <c r="K7" s="432">
        <v>45689</v>
      </c>
      <c r="L7" s="429">
        <v>46054</v>
      </c>
      <c r="M7" s="433"/>
      <c r="N7" s="432">
        <v>45717</v>
      </c>
      <c r="O7" s="429"/>
      <c r="P7" s="433"/>
      <c r="Q7" s="432">
        <v>45748</v>
      </c>
      <c r="R7" s="429"/>
      <c r="S7" s="433"/>
      <c r="T7" s="432">
        <v>45778</v>
      </c>
      <c r="U7" s="429"/>
      <c r="V7" s="433"/>
      <c r="W7" s="432">
        <v>45809</v>
      </c>
      <c r="X7" s="429"/>
      <c r="Y7" s="433"/>
      <c r="Z7" s="432">
        <v>45839</v>
      </c>
      <c r="AA7" s="429"/>
      <c r="AB7" s="433"/>
      <c r="AC7" s="432">
        <v>45870</v>
      </c>
      <c r="AD7" s="429"/>
      <c r="AE7" s="433"/>
      <c r="AF7" s="432">
        <v>45901</v>
      </c>
      <c r="AG7" s="429"/>
      <c r="AH7" s="433"/>
      <c r="AI7" s="432">
        <v>45931</v>
      </c>
      <c r="AJ7" s="429"/>
      <c r="AK7" s="433"/>
      <c r="AL7" s="432">
        <v>45962</v>
      </c>
      <c r="AM7" s="429"/>
      <c r="AN7" s="433"/>
      <c r="AO7" s="432">
        <v>45992</v>
      </c>
      <c r="AP7" s="429"/>
      <c r="AQ7" s="433"/>
      <c r="AR7" s="432"/>
      <c r="AS7" s="429"/>
      <c r="AT7" s="433"/>
      <c r="AU7" s="432"/>
      <c r="AV7" s="429"/>
      <c r="AW7" s="433"/>
      <c r="AX7" s="432"/>
      <c r="AY7" s="429"/>
      <c r="AZ7" s="433"/>
      <c r="BA7" s="432"/>
      <c r="BB7" s="429"/>
      <c r="BC7" s="433"/>
      <c r="BD7" s="432"/>
      <c r="BE7" s="429"/>
      <c r="BF7" s="433"/>
      <c r="BG7" s="432"/>
      <c r="BH7" s="429"/>
      <c r="BI7" s="433"/>
      <c r="BK7" s="447" t="s">
        <v>11</v>
      </c>
      <c r="BL7" s="447"/>
      <c r="BM7" s="447" t="s">
        <v>12</v>
      </c>
      <c r="BN7" s="447"/>
    </row>
    <row r="8" spans="1:74" ht="16.95" customHeight="1" x14ac:dyDescent="0.3">
      <c r="A8" s="19" t="s">
        <v>13</v>
      </c>
      <c r="C8" s="469" t="s">
        <v>14</v>
      </c>
      <c r="D8" s="470"/>
      <c r="E8" s="470"/>
      <c r="F8" s="17"/>
      <c r="G8" s="436"/>
      <c r="H8" s="240">
        <v>340452.79</v>
      </c>
      <c r="I8" s="20">
        <v>374498.0689999999</v>
      </c>
      <c r="J8" s="21">
        <f>SUM(J9:J19)+SUMIFS(Aut_Ajustes_Manuais!$G:$G,Aut_Ajustes_Manuais!$I:$I,DRE!H$4,Aut_Ajustes_Manuais!$F:$F,"FATURAMENTO BRUTO")</f>
        <v>386381.5</v>
      </c>
      <c r="K8" s="240">
        <v>308971.37999999989</v>
      </c>
      <c r="L8" s="20">
        <v>355317.08699999988</v>
      </c>
      <c r="M8" s="21">
        <f>SUM(M9:M19)+SUMIFS(Aut_Ajustes_Manuais!$G:$G,Aut_Ajustes_Manuais!$I:$I,DRE!K$4,Aut_Ajustes_Manuais!$F:$F,"FATURAMENTO BRUTO")</f>
        <v>317008.76</v>
      </c>
      <c r="N8" s="240">
        <v>309840.34999999998</v>
      </c>
      <c r="O8" s="20">
        <v>285053.12199999992</v>
      </c>
      <c r="P8" s="21">
        <f>SUM(P9:P19)+SUMIFS(Aut_Ajustes_Manuais!$G:$G,Aut_Ajustes_Manuais!$I:$I,DRE!N$4,Aut_Ajustes_Manuais!$F:$F,"FATURAMENTO BRUTO")</f>
        <v>337389.42999999993</v>
      </c>
      <c r="Q8" s="240">
        <v>329611.99</v>
      </c>
      <c r="R8" s="20">
        <v>296650.79099999991</v>
      </c>
      <c r="S8" s="21">
        <f>SUM(S9:S19)+SUMIFS(Aut_Ajustes_Manuais!$G:$G,Aut_Ajustes_Manuais!$I:$I,DRE!Q$4,Aut_Ajustes_Manuais!$F:$F,"FATURAMENTO BRUTO")</f>
        <v>369508.71</v>
      </c>
      <c r="T8" s="240">
        <v>435998.13000000012</v>
      </c>
      <c r="U8" s="20">
        <v>483957.92430000007</v>
      </c>
      <c r="V8" s="21">
        <f>SUM(V9:V19)+SUMIFS(Aut_Ajustes_Manuais!$G:$G,Aut_Ajustes_Manuais!$I:$I,DRE!T$4,Aut_Ajustes_Manuais!$F:$F,"FATURAMENTO BRUTO")</f>
        <v>372811.04</v>
      </c>
      <c r="W8" s="240">
        <v>331895.17</v>
      </c>
      <c r="X8" s="20">
        <v>431463.72100000002</v>
      </c>
      <c r="Y8" s="21">
        <f>SUM(Y9:Y19)+SUMIFS(Aut_Ajustes_Manuais!$G:$G,Aut_Ajustes_Manuais!$I:$I,DRE!W$4,Aut_Ajustes_Manuais!$F:$F,"FATURAMENTO BRUTO")</f>
        <v>359497.14</v>
      </c>
      <c r="Z8" s="240">
        <v>356143.63</v>
      </c>
      <c r="AA8" s="20">
        <v>427372.35599999991</v>
      </c>
      <c r="AB8" s="21">
        <f>SUM(AB9:AB19)+SUMIFS(Aut_Ajustes_Manuais!$G:$G,Aut_Ajustes_Manuais!$I:$I,DRE!Z$4,Aut_Ajustes_Manuais!$F:$F,"FATURAMENTO BRUTO")</f>
        <v>78540.37999999999</v>
      </c>
      <c r="AC8" s="240">
        <v>415517.46</v>
      </c>
      <c r="AD8" s="20">
        <v>461224.38059999997</v>
      </c>
      <c r="AE8" s="21">
        <f>SUM(AE9:AE19)+SUMIFS(Aut_Ajustes_Manuais!$G:$G,Aut_Ajustes_Manuais!$I:$I,DRE!AC$4,Aut_Ajustes_Manuais!$F:$F,"FATURAMENTO BRUTO")</f>
        <v>0</v>
      </c>
      <c r="AF8" s="240">
        <v>352535.84</v>
      </c>
      <c r="AG8" s="20">
        <v>401890.85759999987</v>
      </c>
      <c r="AH8" s="21">
        <f>SUM(AH9:AH19)+SUMIFS(Aut_Ajustes_Manuais!$G:$G,Aut_Ajustes_Manuais!$I:$I,DRE!AF$4,Aut_Ajustes_Manuais!$F:$F,"FATURAMENTO BRUTO")</f>
        <v>0</v>
      </c>
      <c r="AI8" s="240">
        <v>362912.76</v>
      </c>
      <c r="AJ8" s="20">
        <v>404425.96799999988</v>
      </c>
      <c r="AK8" s="21">
        <f>SUM(AK9:AK19)+SUMIFS(Aut_Ajustes_Manuais!$G:$G,Aut_Ajustes_Manuais!$I:$I,DRE!AI$4,Aut_Ajustes_Manuais!$F:$F,"FATURAMENTO BRUTO")</f>
        <v>0</v>
      </c>
      <c r="AL8" s="240">
        <v>429533.42</v>
      </c>
      <c r="AM8" s="20">
        <v>469333.44119999988</v>
      </c>
      <c r="AN8" s="21">
        <f>SUM(AN9:AN19)+SUMIFS(Aut_Ajustes_Manuais!$G:$G,Aut_Ajustes_Manuais!$I:$I,DRE!AL$4,Aut_Ajustes_Manuais!$F:$F,"FATURAMENTO BRUTO")</f>
        <v>0</v>
      </c>
      <c r="AO8" s="240">
        <v>480232.62</v>
      </c>
      <c r="AP8" s="20">
        <v>424799.99999999988</v>
      </c>
      <c r="AQ8" s="21">
        <f>SUM(AQ9:AQ19)+SUMIFS(Aut_Ajustes_Manuais!$G:$G,Aut_Ajustes_Manuais!$I:$I,DRE!AO$4,Aut_Ajustes_Manuais!$F:$F,"FATURAMENTO BRUTO")</f>
        <v>0</v>
      </c>
      <c r="AR8" s="240">
        <f t="shared" ref="AR8:BI8" ca="1" si="0">SUM(AR9:AR19)</f>
        <v>2056769.8099999998</v>
      </c>
      <c r="AS8" s="20">
        <f t="shared" ca="1" si="0"/>
        <v>2226940.7142999987</v>
      </c>
      <c r="AT8" s="21">
        <f t="shared" ca="1" si="0"/>
        <v>2142596.58</v>
      </c>
      <c r="AU8" s="240">
        <f t="shared" si="0"/>
        <v>4453645.54</v>
      </c>
      <c r="AV8" s="20">
        <f t="shared" si="0"/>
        <v>4815987.717699999</v>
      </c>
      <c r="AW8" s="21">
        <f t="shared" si="0"/>
        <v>2221136.96</v>
      </c>
      <c r="AX8" s="240">
        <f t="shared" si="0"/>
        <v>959264.52</v>
      </c>
      <c r="AY8" s="20">
        <f t="shared" si="0"/>
        <v>1014868.2779999997</v>
      </c>
      <c r="AZ8" s="21">
        <f t="shared" si="0"/>
        <v>1040779.69</v>
      </c>
      <c r="BA8" s="240">
        <f t="shared" si="0"/>
        <v>1097505.29</v>
      </c>
      <c r="BB8" s="20">
        <f t="shared" si="0"/>
        <v>1212072.4362999997</v>
      </c>
      <c r="BC8" s="21">
        <f t="shared" si="0"/>
        <v>1101816.8900000001</v>
      </c>
      <c r="BD8" s="240">
        <f t="shared" si="0"/>
        <v>1124196.93</v>
      </c>
      <c r="BE8" s="20">
        <f t="shared" si="0"/>
        <v>1290487.5941999999</v>
      </c>
      <c r="BF8" s="21">
        <f t="shared" si="0"/>
        <v>78540.37999999999</v>
      </c>
      <c r="BG8" s="240">
        <f t="shared" si="0"/>
        <v>1272678.8000000003</v>
      </c>
      <c r="BH8" s="20">
        <f t="shared" si="0"/>
        <v>1298559.4091999996</v>
      </c>
      <c r="BI8" s="21">
        <f t="shared" si="0"/>
        <v>0</v>
      </c>
      <c r="BK8" s="448">
        <f t="shared" ref="BK8:BK71" si="1">SUM(I8,L8,O8,R8,U8,X8,AA8,AD8,AG8,AJ8,AM8,AP8)</f>
        <v>4815987.717699999</v>
      </c>
      <c r="BL8" s="448">
        <f t="shared" ref="BL8:BL71" si="2">BK8-AV8</f>
        <v>0</v>
      </c>
      <c r="BM8" s="448">
        <f t="shared" ref="BM8:BM71" si="3">SUM(J8,M8,P8,S8,V8)</f>
        <v>1783099.44</v>
      </c>
      <c r="BN8" s="448">
        <f t="shared" ref="BN8:BN71" ca="1" si="4">BM8-AT8</f>
        <v>-359497.14000000013</v>
      </c>
    </row>
    <row r="9" spans="1:74" s="29" customFormat="1" hidden="1" outlineLevel="1" x14ac:dyDescent="0.3">
      <c r="A9" s="22" t="s">
        <v>15</v>
      </c>
      <c r="B9" s="23"/>
      <c r="C9" s="24" t="s">
        <v>16</v>
      </c>
      <c r="D9" s="24" t="s">
        <v>17</v>
      </c>
      <c r="E9" s="25"/>
      <c r="F9" s="26"/>
      <c r="G9" s="435"/>
      <c r="H9" s="241">
        <v>143346</v>
      </c>
      <c r="I9" s="27">
        <v>118996.3915790852</v>
      </c>
      <c r="J9" s="28">
        <f>SUMIFS(Aut_Faturamento_Zig!$F:$F,Aut_Faturamento_Zig!$E:$E,"Alimentos",Aut_Faturamento_Zig!$D:$D,DRE!H$4)-SUMIFS(Aut_Promocoes_Utilizadas!$G:$G,Aut_Promocoes_Utilizadas!$J:$J,DRE!H$4,Aut_Promocoes_Utilizadas!$H:$H,"A",Aut_Promocoes_Utilizadas!$I:$I,"Eventos")-SUMIFS(Aut_Descontos!$I:$I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Antecipado")*50%)+SUMIFS(Aut_Ajustes_Manuais!$G:$G,Aut_Ajustes_Manuais!$I:$I,DRE!H$4,Aut_Ajustes_Manuais!$F:$F,"Alimentação")</f>
        <v>150801.5</v>
      </c>
      <c r="K9" s="241">
        <v>132728.5</v>
      </c>
      <c r="L9" s="27">
        <v>112901.6534912811</v>
      </c>
      <c r="M9" s="28">
        <f>SUMIFS(Aut_Faturamento_Zig!$F:$F,Aut_Faturamento_Zig!$E:$E,"Alimentos",Aut_Faturamento_Zig!$D:$D,DRE!K$4)-SUMIFS(Aut_Promocoes_Utilizadas!$G:$G,Aut_Promocoes_Utilizadas!$J:$J,DRE!K$4,Aut_Promocoes_Utilizadas!$H:$H,"A",Aut_Promocoes_Utilizadas!$I:$I,"Eventos")-SUMIFS(Aut_Descontos!$I:$I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Antecipado")*50%)+SUMIFS(Aut_Ajustes_Manuais!$G:$G,Aut_Ajustes_Manuais!$I:$I,DRE!K$4,Aut_Ajustes_Manuais!$F:$F,"Alimentação")</f>
        <v>125404.4</v>
      </c>
      <c r="N9" s="241">
        <v>131478.5</v>
      </c>
      <c r="O9" s="27">
        <v>90575.348003604158</v>
      </c>
      <c r="P9" s="28">
        <f>SUMIFS(Aut_Faturamento_Zig!$F:$F,Aut_Faturamento_Zig!$E:$E,"Alimentos",Aut_Faturamento_Zig!$D:$D,DRE!N$4)-SUMIFS(Aut_Promocoes_Utilizadas!$G:$G,Aut_Promocoes_Utilizadas!$J:$J,DRE!N$4,Aut_Promocoes_Utilizadas!$H:$H,"A",Aut_Promocoes_Utilizadas!$I:$I,"Eventos")-SUMIFS(Aut_Descontos!$I:$I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Antecipado")*50%)+SUMIFS(Aut_Ajustes_Manuais!$G:$G,Aut_Ajustes_Manuais!$I:$I,DRE!N$4,Aut_Ajustes_Manuais!$F:$F,"Alimentação")</f>
        <v>134559.5</v>
      </c>
      <c r="Q9" s="241">
        <v>144072</v>
      </c>
      <c r="R9" s="27">
        <v>94260.495874763452</v>
      </c>
      <c r="S9" s="28">
        <f>SUMIFS(Aut_Faturamento_Zig!$F:$F,Aut_Faturamento_Zig!$E:$E,"Alimentos",Aut_Faturamento_Zig!$D:$D,DRE!Q$4)-SUMIFS(Aut_Promocoes_Utilizadas!$G:$G,Aut_Promocoes_Utilizadas!$J:$J,DRE!Q$4,Aut_Promocoes_Utilizadas!$H:$H,"A",Aut_Promocoes_Utilizadas!$I:$I,"Eventos")-SUMIFS(Aut_Descontos!$I:$I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Antecipado")*50%)+SUMIFS(Aut_Ajustes_Manuais!$G:$G,Aut_Ajustes_Manuais!$I:$I,DRE!Q$4,Aut_Ajustes_Manuais!$F:$F,"Alimentação")</f>
        <v>147447.9</v>
      </c>
      <c r="T9" s="241">
        <v>185616.1</v>
      </c>
      <c r="U9" s="27">
        <v>153777.1525006291</v>
      </c>
      <c r="V9" s="28">
        <f>SUMIFS(Aut_Faturamento_Zig!$F:$F,Aut_Faturamento_Zig!$E:$E,"Alimentos",Aut_Faturamento_Zig!$D:$D,DRE!T$4)-SUMIFS(Aut_Promocoes_Utilizadas!$G:$G,Aut_Promocoes_Utilizadas!$J:$J,DRE!T$4,Aut_Promocoes_Utilizadas!$H:$H,"A",Aut_Promocoes_Utilizadas!$I:$I,"Eventos")-SUMIFS(Aut_Descontos!$I:$I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Antecipado")*50%)+SUMIFS(Aut_Ajustes_Manuais!$G:$G,Aut_Ajustes_Manuais!$I:$I,DRE!T$4,Aut_Ajustes_Manuais!$F:$F,"Alimentação")</f>
        <v>154905.5</v>
      </c>
      <c r="W9" s="241">
        <v>141881.5</v>
      </c>
      <c r="X9" s="27">
        <v>137097.17124411979</v>
      </c>
      <c r="Y9" s="28">
        <f>SUMIFS(Aut_Faturamento_Zig!$F:$F,Aut_Faturamento_Zig!$E:$E,"Alimentos",Aut_Faturamento_Zig!$D:$D,DRE!W$4)-SUMIFS(Aut_Promocoes_Utilizadas!$G:$G,Aut_Promocoes_Utilizadas!$J:$J,DRE!W$4,Aut_Promocoes_Utilizadas!$H:$H,"A",Aut_Promocoes_Utilizadas!$I:$I,"Eventos")-SUMIFS(Aut_Descontos!$I:$I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Antecipado")*50%)+SUMIFS(Aut_Ajustes_Manuais!$G:$G,Aut_Ajustes_Manuais!$I:$I,DRE!W$4,Aut_Ajustes_Manuais!$F:$F,"Alimentação")</f>
        <v>149615.29999999999</v>
      </c>
      <c r="Z9" s="241">
        <v>160709.79999999999</v>
      </c>
      <c r="AA9" s="27">
        <v>135797.14405590761</v>
      </c>
      <c r="AB9" s="28">
        <f>SUMIFS(Aut_Faturamento_Zig!$F:$F,Aut_Faturamento_Zig!$E:$E,"Alimentos",Aut_Faturamento_Zig!$D:$D,DRE!Z$4)-SUMIFS(Aut_Promocoes_Utilizadas!$G:$G,Aut_Promocoes_Utilizadas!$J:$J,DRE!Z$4,Aut_Promocoes_Utilizadas!$H:$H,"A",Aut_Promocoes_Utilizadas!$I:$I,"Eventos")-SUMIFS(Aut_Descontos!$I:$I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Antecipado")*50%)+SUMIFS(Aut_Ajustes_Manuais!$G:$G,Aut_Ajustes_Manuais!$I:$I,DRE!Z$4,Aut_Ajustes_Manuais!$F:$F,"Alimentação")</f>
        <v>32087.5</v>
      </c>
      <c r="AC9" s="241">
        <v>169931.9</v>
      </c>
      <c r="AD9" s="27">
        <v>146553.591441078</v>
      </c>
      <c r="AE9" s="28">
        <f>SUMIFS(Aut_Faturamento_Zig!$F:$F,Aut_Faturamento_Zig!$E:$E,"Alimentos",Aut_Faturamento_Zig!$D:$D,DRE!AC$4)-SUMIFS(Aut_Promocoes_Utilizadas!$G:$G,Aut_Promocoes_Utilizadas!$J:$J,DRE!AC$4,Aut_Promocoes_Utilizadas!$H:$H,"A",Aut_Promocoes_Utilizadas!$I:$I,"Eventos")-SUMIFS(Aut_Descontos!$I:$I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Antecipado")*50%)+SUMIFS(Aut_Ajustes_Manuais!$G:$G,Aut_Ajustes_Manuais!$I:$I,DRE!AC$4,Aut_Ajustes_Manuais!$F:$F,"Alimentação")</f>
        <v>0</v>
      </c>
      <c r="AF9" s="241">
        <v>149655</v>
      </c>
      <c r="AG9" s="27">
        <v>127700.4231042483</v>
      </c>
      <c r="AH9" s="28">
        <f>SUMIFS(Aut_Faturamento_Zig!$F:$F,Aut_Faturamento_Zig!$E:$E,"Alimentos",Aut_Faturamento_Zig!$D:$D,DRE!AF$4)-SUMIFS(Aut_Promocoes_Utilizadas!$G:$G,Aut_Promocoes_Utilizadas!$J:$J,DRE!AF$4,Aut_Promocoes_Utilizadas!$H:$H,"A",Aut_Promocoes_Utilizadas!$I:$I,"Eventos")-SUMIFS(Aut_Descontos!$I:$I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Antecipado")*50%)+SUMIFS(Aut_Ajustes_Manuais!$G:$G,Aut_Ajustes_Manuais!$I:$I,DRE!AF$4,Aut_Ajustes_Manuais!$F:$F,"Alimentação")</f>
        <v>0</v>
      </c>
      <c r="AI9" s="241">
        <v>151610.5</v>
      </c>
      <c r="AJ9" s="27">
        <v>128505.95193023171</v>
      </c>
      <c r="AK9" s="28">
        <f>SUMIFS(Aut_Faturamento_Zig!$F:$F,Aut_Faturamento_Zig!$E:$E,"Alimentos",Aut_Faturamento_Zig!$D:$D,DRE!AI$4)-SUMIFS(Aut_Promocoes_Utilizadas!$G:$G,Aut_Promocoes_Utilizadas!$J:$J,DRE!AI$4,Aut_Promocoes_Utilizadas!$H:$H,"A",Aut_Promocoes_Utilizadas!$I:$I,"Eventos")-SUMIFS(Aut_Descontos!$I:$I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Antecipado")*50%)+SUMIFS(Aut_Ajustes_Manuais!$G:$G,Aut_Ajustes_Manuais!$I:$I,DRE!AI$4,Aut_Ajustes_Manuais!$F:$F,"Alimentação")</f>
        <v>0</v>
      </c>
      <c r="AL9" s="241">
        <v>154679</v>
      </c>
      <c r="AM9" s="27">
        <v>149130.23743840659</v>
      </c>
      <c r="AN9" s="28">
        <f>SUMIFS(Aut_Faturamento_Zig!$F:$F,Aut_Faturamento_Zig!$E:$E,"Alimentos",Aut_Faturamento_Zig!$D:$D,DRE!AL$4)-SUMIFS(Aut_Promocoes_Utilizadas!$G:$G,Aut_Promocoes_Utilizadas!$J:$J,DRE!AL$4,Aut_Promocoes_Utilizadas!$H:$H,"A",Aut_Promocoes_Utilizadas!$I:$I,"Eventos")-SUMIFS(Aut_Descontos!$I:$I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Antecipado")*50%)+SUMIFS(Aut_Ajustes_Manuais!$G:$G,Aut_Ajustes_Manuais!$I:$I,DRE!AL$4,Aut_Ajustes_Manuais!$F:$F,"Alimentação")</f>
        <v>0</v>
      </c>
      <c r="AO9" s="241">
        <v>170768.9</v>
      </c>
      <c r="AP9" s="27">
        <v>134979.7804773071</v>
      </c>
      <c r="AQ9" s="28">
        <f>SUMIFS(Aut_Faturamento_Zig!$F:$F,Aut_Faturamento_Zig!$E:$E,"Alimentos",Aut_Faturamento_Zig!$D:$D,DRE!AO$4)-SUMIFS(Aut_Promocoes_Utilizadas!$G:$G,Aut_Promocoes_Utilizadas!$J:$J,DRE!AO$4,Aut_Promocoes_Utilizadas!$H:$H,"A",Aut_Promocoes_Utilizadas!$I:$I,"Eventos")-SUMIFS(Aut_Descontos!$I:$I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Antecipado")*50%)+SUMIFS(Aut_Ajustes_Manuais!$G:$G,Aut_Ajustes_Manuais!$I:$I,DRE!AO$4,Aut_Ajustes_Manuais!$F:$F,"Alimentação")</f>
        <v>0</v>
      </c>
      <c r="AR9" s="241">
        <f t="shared" ref="AR9:AR20" ca="1" si="5">SUMIFS($H9:$AO9,$H$5:$AO$5,"&lt;"&amp;MONTH(TODAY()),$H$6:$AO$6,"REAL 25")</f>
        <v>879122.6</v>
      </c>
      <c r="AS9" s="27">
        <f t="shared" ref="AS9:AS20" ca="1" si="6">SUMIFS($I9:$AP9,$I$5:$AP$5,"&lt;"&amp;MONTH(TODAY()),$I$6:$AP$6,"ORÇADO ")</f>
        <v>707608.21269348275</v>
      </c>
      <c r="AT9" s="28">
        <f t="shared" ref="AT9:AT20" ca="1" si="7">SUMIFS($J9:$AQ9,$J$5:$AQ$5,"&lt;"&amp;MONTH(TODAY()),$J$6:$AQ$6,"REAL 26")</f>
        <v>862734.10000000009</v>
      </c>
      <c r="AU9" s="241">
        <f t="shared" ref="AU9:AU19" si="8">SUM(H9,K9,N9,Q9,T9,W9,Z9,AC9,AF9,AI9,AL9,AO9)</f>
        <v>1836477.6999999997</v>
      </c>
      <c r="AV9" s="27">
        <f t="shared" ref="AV9:AV19" si="9">SUM(I9,L9,O9,R9,U9,X9,AA9,AD9,AG9,AJ9,AM9,AP9)</f>
        <v>1530275.3411406619</v>
      </c>
      <c r="AW9" s="28">
        <f t="shared" ref="AW9:AW19" si="10">SUM(J9,M9,P9,S9,V9,Y9,AB9,AE9,AH9,AK9,AN9,AQ9)</f>
        <v>894821.60000000009</v>
      </c>
      <c r="AX9" s="241">
        <f t="shared" ref="AX9:AX19" si="11">SUM(H9,K9,N9)</f>
        <v>407553</v>
      </c>
      <c r="AY9" s="27">
        <f t="shared" ref="AY9:AY19" si="12">SUM(I9,L9,O9)</f>
        <v>322473.39307397045</v>
      </c>
      <c r="AZ9" s="28">
        <f t="shared" ref="AZ9:AZ19" si="13">SUM(J9,M9,P9)</f>
        <v>410765.4</v>
      </c>
      <c r="BA9" s="241">
        <f t="shared" ref="BA9:BA19" si="14">SUM(Q9,T9,W9)</f>
        <v>471569.6</v>
      </c>
      <c r="BB9" s="27">
        <f t="shared" ref="BB9:BB19" si="15">SUM(R9,U9,X9)</f>
        <v>385134.8196195123</v>
      </c>
      <c r="BC9" s="28">
        <f t="shared" ref="BC9:BC19" si="16">SUM(S9,V9,Y9)</f>
        <v>451968.7</v>
      </c>
      <c r="BD9" s="241">
        <f t="shared" ref="BD9:BD19" si="17">SUM(Z9,AC9,AF9)</f>
        <v>480296.69999999995</v>
      </c>
      <c r="BE9" s="27">
        <f t="shared" ref="BE9:BE19" si="18">SUM(AA9,AD9,AG9)</f>
        <v>410051.15860123391</v>
      </c>
      <c r="BF9" s="28">
        <f t="shared" ref="BF9:BF19" si="19">SUM(AB9,AE9,AH9)</f>
        <v>32087.5</v>
      </c>
      <c r="BG9" s="241">
        <f t="shared" ref="BG9:BG19" si="20">SUM(AI9,AL9,AO9)</f>
        <v>477058.4</v>
      </c>
      <c r="BH9" s="27">
        <f t="shared" ref="BH9:BH19" si="21">SUM(AJ9,AM9,AP9)</f>
        <v>412615.96984594542</v>
      </c>
      <c r="BI9" s="28">
        <f t="shared" ref="BI9:BI19" si="22">SUM(AK9,AN9,AQ9)</f>
        <v>0</v>
      </c>
      <c r="BK9" s="448">
        <f t="shared" si="1"/>
        <v>1530275.3411406619</v>
      </c>
      <c r="BL9" s="448">
        <f t="shared" si="2"/>
        <v>0</v>
      </c>
      <c r="BM9" s="448">
        <f t="shared" si="3"/>
        <v>713118.8</v>
      </c>
      <c r="BN9" s="448">
        <f t="shared" ca="1" si="4"/>
        <v>-149615.30000000005</v>
      </c>
      <c r="BO9" s="30"/>
      <c r="BP9" s="30"/>
      <c r="BQ9" s="30"/>
      <c r="BR9" s="30"/>
      <c r="BS9" s="30"/>
      <c r="BT9" s="30"/>
      <c r="BU9" s="30"/>
      <c r="BV9" s="30"/>
    </row>
    <row r="10" spans="1:74" s="29" customFormat="1" hidden="1" outlineLevel="1" x14ac:dyDescent="0.3">
      <c r="A10" s="22" t="s">
        <v>18</v>
      </c>
      <c r="B10" s="23"/>
      <c r="C10" s="24" t="s">
        <v>16</v>
      </c>
      <c r="D10" s="24" t="s">
        <v>17</v>
      </c>
      <c r="E10" s="25"/>
      <c r="F10" s="26"/>
      <c r="G10" s="435"/>
      <c r="H10" s="241">
        <v>155838.70000000001</v>
      </c>
      <c r="I10" s="27">
        <v>156633.24568541051</v>
      </c>
      <c r="J10" s="28">
        <f>SUMIFS(Aut_Faturamento_Zig!$F:$F,Aut_Faturamento_Zig!$E:$E,"Bebidas",Aut_Faturamento_Zig!$D:$D,DRE!H$4)-SUMIFS(Aut_Promocoes_Utilizadas!$G:$G,Aut_Promocoes_Utilizadas!$J:$J,DRE!H$4,Aut_Promocoes_Utilizadas!$H:$H,"B",Aut_Promocoes_Utilizadas!$I:$I,"Eventos")-SUMIFS(Aut_Descontos!$J:$J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Antecipado")*50%)+SUMIFS(Aut_Ajustes_Manuais!$G:$G,Aut_Ajustes_Manuais!$I:$I,DRE!H$4,Aut_Ajustes_Manuais!$F:$F,"Bebida")</f>
        <v>184339</v>
      </c>
      <c r="K10" s="241">
        <v>138871.70000000001</v>
      </c>
      <c r="L10" s="27">
        <v>148610.82924380951</v>
      </c>
      <c r="M10" s="28">
        <f>SUMIFS(Aut_Faturamento_Zig!$F:$F,Aut_Faturamento_Zig!$E:$E,"Bebidas",Aut_Faturamento_Zig!$D:$D,DRE!K$4)-SUMIFS(Aut_Promocoes_Utilizadas!$G:$G,Aut_Promocoes_Utilizadas!$J:$J,DRE!K$4,Aut_Promocoes_Utilizadas!$H:$H,"B",Aut_Promocoes_Utilizadas!$I:$I,"Eventos")-SUMIFS(Aut_Descontos!$J:$J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Antecipado")*50%)+SUMIFS(Aut_Ajustes_Manuais!$G:$G,Aut_Ajustes_Manuais!$I:$I,DRE!K$4,Aut_Ajustes_Manuais!$F:$F,"Bebida")</f>
        <v>150466.30000000002</v>
      </c>
      <c r="N10" s="241">
        <v>138641.5</v>
      </c>
      <c r="O10" s="27">
        <v>119223.03314097811</v>
      </c>
      <c r="P10" s="28">
        <f>SUMIFS(Aut_Faturamento_Zig!$F:$F,Aut_Faturamento_Zig!$E:$E,"Bebidas",Aut_Faturamento_Zig!$D:$D,DRE!N$4)-SUMIFS(Aut_Promocoes_Utilizadas!$G:$G,Aut_Promocoes_Utilizadas!$J:$J,DRE!N$4,Aut_Promocoes_Utilizadas!$H:$H,"B",Aut_Promocoes_Utilizadas!$I:$I,"Eventos")-SUMIFS(Aut_Descontos!$J:$J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Antecipado")*50%)+SUMIFS(Aut_Ajustes_Manuais!$G:$G,Aut_Ajustes_Manuais!$I:$I,DRE!N$4,Aut_Ajustes_Manuais!$F:$F,"Bebida")</f>
        <v>155776.19999999995</v>
      </c>
      <c r="Q10" s="241">
        <v>144963.79999999999</v>
      </c>
      <c r="R10" s="27">
        <v>124073.7404963078</v>
      </c>
      <c r="S10" s="28">
        <f>SUMIFS(Aut_Faturamento_Zig!$F:$F,Aut_Faturamento_Zig!$E:$E,"Bebidas",Aut_Faturamento_Zig!$D:$D,DRE!Q$4)-SUMIFS(Aut_Promocoes_Utilizadas!$G:$G,Aut_Promocoes_Utilizadas!$J:$J,DRE!Q$4,Aut_Promocoes_Utilizadas!$H:$H,"B",Aut_Promocoes_Utilizadas!$I:$I,"Eventos")-SUMIFS(Aut_Descontos!$J:$J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Antecipado")*50%)+SUMIFS(Aut_Ajustes_Manuais!$G:$G,Aut_Ajustes_Manuais!$I:$I,DRE!Q$4,Aut_Ajustes_Manuais!$F:$F,"Bebida")</f>
        <v>175366.70000000004</v>
      </c>
      <c r="T10" s="241">
        <v>196200.7</v>
      </c>
      <c r="U10" s="27">
        <v>202414.6630734248</v>
      </c>
      <c r="V10" s="28">
        <f>SUMIFS(Aut_Faturamento_Zig!$F:$F,Aut_Faturamento_Zig!$E:$E,"Bebidas",Aut_Faturamento_Zig!$D:$D,DRE!T$4)-SUMIFS(Aut_Promocoes_Utilizadas!$G:$G,Aut_Promocoes_Utilizadas!$J:$J,DRE!T$4,Aut_Promocoes_Utilizadas!$H:$H,"B",Aut_Promocoes_Utilizadas!$I:$I,"Eventos")-SUMIFS(Aut_Descontos!$J:$J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Antecipado")*50%)+SUMIFS(Aut_Ajustes_Manuais!$G:$G,Aut_Ajustes_Manuais!$I:$I,DRE!T$4,Aut_Ajustes_Manuais!$F:$F,"Bebida")</f>
        <v>170771.1</v>
      </c>
      <c r="W10" s="241">
        <v>150109.1</v>
      </c>
      <c r="X10" s="27">
        <v>180459.04267595679</v>
      </c>
      <c r="Y10" s="28">
        <f>SUMIFS(Aut_Faturamento_Zig!$F:$F,Aut_Faturamento_Zig!$E:$E,"Bebidas",Aut_Faturamento_Zig!$D:$D,DRE!W$4)-SUMIFS(Aut_Promocoes_Utilizadas!$G:$G,Aut_Promocoes_Utilizadas!$J:$J,DRE!W$4,Aut_Promocoes_Utilizadas!$H:$H,"B",Aut_Promocoes_Utilizadas!$I:$I,"Eventos")-SUMIFS(Aut_Descontos!$J:$J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Antecipado")*50%)+SUMIFS(Aut_Ajustes_Manuais!$G:$G,Aut_Ajustes_Manuais!$I:$I,DRE!W$4,Aut_Ajustes_Manuais!$F:$F,"Bebida")</f>
        <v>166426.70000000001</v>
      </c>
      <c r="Z10" s="241">
        <v>152662.1</v>
      </c>
      <c r="AA10" s="27">
        <v>178747.83551020321</v>
      </c>
      <c r="AB10" s="28">
        <f>SUMIFS(Aut_Faturamento_Zig!$F:$F,Aut_Faturamento_Zig!$E:$E,"Bebidas",Aut_Faturamento_Zig!$D:$D,DRE!Z$4)-SUMIFS(Aut_Promocoes_Utilizadas!$G:$G,Aut_Promocoes_Utilizadas!$J:$J,DRE!Z$4,Aut_Promocoes_Utilizadas!$H:$H,"B",Aut_Promocoes_Utilizadas!$I:$I,"Eventos")-SUMIFS(Aut_Descontos!$J:$J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Antecipado")*50%)+SUMIFS(Aut_Ajustes_Manuais!$G:$G,Aut_Ajustes_Manuais!$I:$I,DRE!Z$4,Aut_Ajustes_Manuais!$F:$F,"Bebida")</f>
        <v>36787.4</v>
      </c>
      <c r="AC10" s="241">
        <v>194325.2</v>
      </c>
      <c r="AD10" s="27">
        <v>192906.39312380829</v>
      </c>
      <c r="AE10" s="28">
        <f>SUMIFS(Aut_Faturamento_Zig!$F:$F,Aut_Faturamento_Zig!$E:$E,"Bebidas",Aut_Faturamento_Zig!$D:$D,DRE!AC$4)-SUMIFS(Aut_Promocoes_Utilizadas!$G:$G,Aut_Promocoes_Utilizadas!$J:$J,DRE!AC$4,Aut_Promocoes_Utilizadas!$H:$H,"B",Aut_Promocoes_Utilizadas!$I:$I,"Eventos")-SUMIFS(Aut_Descontos!$J:$J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Antecipado")*50%)+SUMIFS(Aut_Ajustes_Manuais!$G:$G,Aut_Ajustes_Manuais!$I:$I,DRE!AC$4,Aut_Ajustes_Manuais!$F:$F,"Bebida")</f>
        <v>0</v>
      </c>
      <c r="AF10" s="241">
        <v>159277.5</v>
      </c>
      <c r="AG10" s="27">
        <v>168090.2377020831</v>
      </c>
      <c r="AH10" s="28">
        <f>SUMIFS(Aut_Faturamento_Zig!$F:$F,Aut_Faturamento_Zig!$E:$E,"Bebidas",Aut_Faturamento_Zig!$D:$D,DRE!AF$4)-SUMIFS(Aut_Promocoes_Utilizadas!$G:$G,Aut_Promocoes_Utilizadas!$J:$J,DRE!AF$4,Aut_Promocoes_Utilizadas!$H:$H,"B",Aut_Promocoes_Utilizadas!$I:$I,"Eventos")-SUMIFS(Aut_Descontos!$J:$J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Antecipado")*50%)+SUMIFS(Aut_Ajustes_Manuais!$G:$G,Aut_Ajustes_Manuais!$I:$I,DRE!AF$4,Aut_Ajustes_Manuais!$F:$F,"Bebida")</f>
        <v>0</v>
      </c>
      <c r="AI10" s="241">
        <v>165615.5</v>
      </c>
      <c r="AJ10" s="27">
        <v>169150.54375701991</v>
      </c>
      <c r="AK10" s="28">
        <f>SUMIFS(Aut_Faturamento_Zig!$F:$F,Aut_Faturamento_Zig!$E:$E,"Bebidas",Aut_Faturamento_Zig!$D:$D,DRE!AI$4)-SUMIFS(Aut_Promocoes_Utilizadas!$G:$G,Aut_Promocoes_Utilizadas!$J:$J,DRE!AI$4,Aut_Promocoes_Utilizadas!$H:$H,"B",Aut_Promocoes_Utilizadas!$I:$I,"Eventos")-SUMIFS(Aut_Descontos!$J:$J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Antecipado")*50%)+SUMIFS(Aut_Ajustes_Manuais!$G:$G,Aut_Ajustes_Manuais!$I:$I,DRE!AI$4,Aut_Ajustes_Manuais!$F:$F,"Bebida")</f>
        <v>0</v>
      </c>
      <c r="AL10" s="241">
        <v>212155.5</v>
      </c>
      <c r="AM10" s="27">
        <v>196297.9953412223</v>
      </c>
      <c r="AN10" s="28">
        <f>SUMIFS(Aut_Faturamento_Zig!$F:$F,Aut_Faturamento_Zig!$E:$E,"Bebidas",Aut_Faturamento_Zig!$D:$D,DRE!AL$4)-SUMIFS(Aut_Promocoes_Utilizadas!$G:$G,Aut_Promocoes_Utilizadas!$J:$J,DRE!AL$4,Aut_Promocoes_Utilizadas!$H:$H,"B",Aut_Promocoes_Utilizadas!$I:$I,"Eventos")-SUMIFS(Aut_Descontos!$J:$J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Antecipado")*50%)+SUMIFS(Aut_Ajustes_Manuais!$G:$G,Aut_Ajustes_Manuais!$I:$I,DRE!AL$4,Aut_Ajustes_Manuais!$F:$F,"Bebida")</f>
        <v>0</v>
      </c>
      <c r="AO10" s="241">
        <v>238922.8</v>
      </c>
      <c r="AP10" s="27">
        <v>177671.95153992201</v>
      </c>
      <c r="AQ10" s="28">
        <f>SUMIFS(Aut_Faturamento_Zig!$F:$F,Aut_Faturamento_Zig!$E:$E,"Bebidas",Aut_Faturamento_Zig!$D:$D,DRE!AO$4)-SUMIFS(Aut_Promocoes_Utilizadas!$G:$G,Aut_Promocoes_Utilizadas!$J:$J,DRE!AO$4,Aut_Promocoes_Utilizadas!$H:$H,"B",Aut_Promocoes_Utilizadas!$I:$I,"Eventos")-SUMIFS(Aut_Descontos!$J:$J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Antecipado")*50%)+SUMIFS(Aut_Ajustes_Manuais!$G:$G,Aut_Ajustes_Manuais!$I:$I,DRE!AO$4,Aut_Ajustes_Manuais!$F:$F,"Bebida")</f>
        <v>0</v>
      </c>
      <c r="AR10" s="241">
        <f t="shared" ca="1" si="5"/>
        <v>924625.49999999988</v>
      </c>
      <c r="AS10" s="27">
        <f t="shared" ca="1" si="6"/>
        <v>931414.55431588762</v>
      </c>
      <c r="AT10" s="28">
        <f t="shared" ca="1" si="7"/>
        <v>1003146</v>
      </c>
      <c r="AU10" s="241">
        <f t="shared" si="8"/>
        <v>2047584.0999999999</v>
      </c>
      <c r="AV10" s="27">
        <f t="shared" si="9"/>
        <v>2014279.5112901465</v>
      </c>
      <c r="AW10" s="28">
        <f t="shared" si="10"/>
        <v>1039933.4</v>
      </c>
      <c r="AX10" s="241">
        <f t="shared" si="11"/>
        <v>433351.9</v>
      </c>
      <c r="AY10" s="27">
        <f t="shared" si="12"/>
        <v>424467.1080701981</v>
      </c>
      <c r="AZ10" s="28">
        <f t="shared" si="13"/>
        <v>490581.5</v>
      </c>
      <c r="BA10" s="241">
        <f t="shared" si="14"/>
        <v>491273.6</v>
      </c>
      <c r="BB10" s="27">
        <f t="shared" si="15"/>
        <v>506947.44624568941</v>
      </c>
      <c r="BC10" s="28">
        <f t="shared" si="16"/>
        <v>512564.50000000006</v>
      </c>
      <c r="BD10" s="241">
        <f t="shared" si="17"/>
        <v>506264.80000000005</v>
      </c>
      <c r="BE10" s="27">
        <f t="shared" si="18"/>
        <v>539744.46633609454</v>
      </c>
      <c r="BF10" s="28">
        <f t="shared" si="19"/>
        <v>36787.4</v>
      </c>
      <c r="BG10" s="241">
        <f t="shared" si="20"/>
        <v>616693.80000000005</v>
      </c>
      <c r="BH10" s="27">
        <f t="shared" si="21"/>
        <v>543120.49063816422</v>
      </c>
      <c r="BI10" s="28">
        <f t="shared" si="22"/>
        <v>0</v>
      </c>
      <c r="BK10" s="448">
        <f t="shared" si="1"/>
        <v>2014279.5112901465</v>
      </c>
      <c r="BL10" s="448">
        <f t="shared" si="2"/>
        <v>0</v>
      </c>
      <c r="BM10" s="448">
        <f t="shared" si="3"/>
        <v>836719.3</v>
      </c>
      <c r="BN10" s="448">
        <f t="shared" ca="1" si="4"/>
        <v>-166426.69999999995</v>
      </c>
      <c r="BO10" s="30"/>
      <c r="BP10" s="30"/>
      <c r="BQ10" s="30"/>
      <c r="BR10" s="30"/>
      <c r="BS10" s="30"/>
      <c r="BT10" s="30"/>
      <c r="BU10" s="30"/>
      <c r="BV10" s="30"/>
    </row>
    <row r="11" spans="1:74" s="29" customFormat="1" hidden="1" outlineLevel="1" x14ac:dyDescent="0.3">
      <c r="A11" s="22" t="s">
        <v>19</v>
      </c>
      <c r="B11" s="23"/>
      <c r="C11" s="24" t="s">
        <v>16</v>
      </c>
      <c r="D11" s="24" t="s">
        <v>17</v>
      </c>
      <c r="E11" s="25"/>
      <c r="F11" s="26"/>
      <c r="G11" s="435"/>
      <c r="H11" s="241">
        <v>0</v>
      </c>
      <c r="I11" s="27">
        <v>46784.293229273702</v>
      </c>
      <c r="J11" s="28">
        <f>SUMIFS(Aut_Faturamento_Zig!$F:$F,Aut_Faturamento_Zig!$E:$E,"Couvert",Aut_Faturamento_Zig!$D:$D,DRE!H$4)+SUMIFS(Aut_Ajustes_Manuais!$G:$G,Aut_Ajustes_Manuais!$I:$I,DRE!H$4,Aut_Ajustes_Manuais!$F:$F,"Artístico (couvert/shows)")</f>
        <v>2490</v>
      </c>
      <c r="K11" s="241">
        <v>0</v>
      </c>
      <c r="L11" s="27">
        <v>44388.102806424242</v>
      </c>
      <c r="M11" s="28">
        <f>SUMIFS(Aut_Faturamento_Zig!$F:$F,Aut_Faturamento_Zig!$E:$E,"Couvert",Aut_Faturamento_Zig!$D:$D,DRE!K$4)+SUMIFS(Aut_Ajustes_Manuais!$G:$G,Aut_Ajustes_Manuais!$I:$I,DRE!K$4,Aut_Ajustes_Manuais!$F:$F,"Artístico (couvert/shows)")</f>
        <v>1365</v>
      </c>
      <c r="N11" s="241">
        <v>900</v>
      </c>
      <c r="O11" s="27">
        <v>35610.354096559931</v>
      </c>
      <c r="P11" s="28">
        <f>SUMIFS(Aut_Faturamento_Zig!$F:$F,Aut_Faturamento_Zig!$E:$E,"Couvert",Aut_Faturamento_Zig!$D:$D,DRE!N$4)+SUMIFS(Aut_Ajustes_Manuais!$G:$G,Aut_Ajustes_Manuais!$I:$I,DRE!N$4,Aut_Ajustes_Manuais!$F:$F,"Artístico (couvert/shows)")</f>
        <v>1995</v>
      </c>
      <c r="Q11" s="241">
        <v>1215</v>
      </c>
      <c r="R11" s="27">
        <v>37059.196673294442</v>
      </c>
      <c r="S11" s="28">
        <f>SUMIFS(Aut_Faturamento_Zig!$F:$F,Aut_Faturamento_Zig!$E:$E,"Couvert",Aut_Faturamento_Zig!$D:$D,DRE!Q$4)+SUMIFS(Aut_Ajustes_Manuais!$G:$G,Aut_Ajustes_Manuais!$I:$I,DRE!Q$4,Aut_Ajustes_Manuais!$F:$F,"Artístico (couvert/shows)")</f>
        <v>1290</v>
      </c>
      <c r="T11" s="241">
        <v>1620</v>
      </c>
      <c r="U11" s="27">
        <v>60458.601299441827</v>
      </c>
      <c r="V11" s="28">
        <f>SUMIFS(Aut_Faturamento_Zig!$F:$F,Aut_Faturamento_Zig!$E:$E,"Couvert",Aut_Faturamento_Zig!$D:$D,DRE!T$4)+SUMIFS(Aut_Ajustes_Manuais!$G:$G,Aut_Ajustes_Manuais!$I:$I,DRE!T$4,Aut_Ajustes_Manuais!$F:$F,"Artístico (couvert/shows)")</f>
        <v>2655</v>
      </c>
      <c r="W11" s="241">
        <v>225</v>
      </c>
      <c r="X11" s="27">
        <v>53900.745856869951</v>
      </c>
      <c r="Y11" s="28">
        <f>SUMIFS(Aut_Faturamento_Zig!$F:$F,Aut_Faturamento_Zig!$E:$E,"Couvert",Aut_Faturamento_Zig!$D:$D,DRE!W$4)+SUMIFS(Aut_Ajustes_Manuais!$G:$G,Aut_Ajustes_Manuais!$I:$I,DRE!W$4,Aut_Ajustes_Manuais!$F:$F,"Artístico (couvert/shows)")</f>
        <v>1440</v>
      </c>
      <c r="Z11" s="241">
        <v>0</v>
      </c>
      <c r="AA11" s="27">
        <v>53389.630751846576</v>
      </c>
      <c r="AB11" s="28">
        <f>SUMIFS(Aut_Faturamento_Zig!$F:$F,Aut_Faturamento_Zig!$E:$E,"Couvert",Aut_Faturamento_Zig!$D:$D,DRE!Z$4)+SUMIFS(Aut_Ajustes_Manuais!$G:$G,Aut_Ajustes_Manuais!$I:$I,DRE!Z$4,Aut_Ajustes_Manuais!$F:$F,"Artístico (couvert/shows)")</f>
        <v>480</v>
      </c>
      <c r="AC11" s="241">
        <v>1890</v>
      </c>
      <c r="AD11" s="27">
        <v>57618.605949288743</v>
      </c>
      <c r="AE11" s="28">
        <f>SUMIFS(Aut_Faturamento_Zig!$F:$F,Aut_Faturamento_Zig!$E:$E,"Couvert",Aut_Faturamento_Zig!$D:$D,DRE!AC$4)+SUMIFS(Aut_Ajustes_Manuais!$G:$G,Aut_Ajustes_Manuais!$I:$I,DRE!AC$4,Aut_Ajustes_Manuais!$F:$F,"Artístico (couvert/shows)")</f>
        <v>0</v>
      </c>
      <c r="AF11" s="241">
        <v>1815</v>
      </c>
      <c r="AG11" s="27">
        <v>50206.34626589407</v>
      </c>
      <c r="AH11" s="28">
        <f>SUMIFS(Aut_Faturamento_Zig!$F:$F,Aut_Faturamento_Zig!$E:$E,"Couvert",Aut_Faturamento_Zig!$D:$D,DRE!AF$4)+SUMIFS(Aut_Ajustes_Manuais!$G:$G,Aut_Ajustes_Manuais!$I:$I,DRE!AF$4,Aut_Ajustes_Manuais!$F:$F,"Artístico (couvert/shows)")</f>
        <v>0</v>
      </c>
      <c r="AI11" s="241">
        <v>2055</v>
      </c>
      <c r="AJ11" s="27">
        <v>50523.045758200882</v>
      </c>
      <c r="AK11" s="28">
        <f>SUMIFS(Aut_Faturamento_Zig!$F:$F,Aut_Faturamento_Zig!$E:$E,"Couvert",Aut_Faturamento_Zig!$D:$D,DRE!AI$4)+SUMIFS(Aut_Ajustes_Manuais!$G:$G,Aut_Ajustes_Manuais!$I:$I,DRE!AI$4,Aut_Ajustes_Manuais!$F:$F,"Artístico (couvert/shows)")</f>
        <v>0</v>
      </c>
      <c r="AL11" s="241">
        <v>2400</v>
      </c>
      <c r="AM11" s="27">
        <v>58631.632985549237</v>
      </c>
      <c r="AN11" s="28">
        <f>SUMIFS(Aut_Faturamento_Zig!$F:$F,Aut_Faturamento_Zig!$E:$E,"Couvert",Aut_Faturamento_Zig!$D:$D,DRE!AL$4)+SUMIFS(Aut_Ajustes_Manuais!$G:$G,Aut_Ajustes_Manuais!$I:$I,DRE!AL$4,Aut_Ajustes_Manuais!$F:$F,"Artístico (couvert/shows)")</f>
        <v>0</v>
      </c>
      <c r="AO11" s="241">
        <v>1245</v>
      </c>
      <c r="AP11" s="27">
        <v>53068.278340830308</v>
      </c>
      <c r="AQ11" s="28">
        <f>SUMIFS(Aut_Faturamento_Zig!$F:$F,Aut_Faturamento_Zig!$E:$E,"Couvert",Aut_Faturamento_Zig!$D:$D,DRE!AO$4)+SUMIFS(Aut_Ajustes_Manuais!$G:$G,Aut_Ajustes_Manuais!$I:$I,DRE!AO$4,Aut_Ajustes_Manuais!$F:$F,"Artístico (couvert/shows)")</f>
        <v>0</v>
      </c>
      <c r="AR11" s="241">
        <f t="shared" ca="1" si="5"/>
        <v>3960</v>
      </c>
      <c r="AS11" s="27">
        <f t="shared" ca="1" si="6"/>
        <v>278201.29396186408</v>
      </c>
      <c r="AT11" s="28">
        <f t="shared" ca="1" si="7"/>
        <v>11235</v>
      </c>
      <c r="AU11" s="241">
        <f t="shared" si="8"/>
        <v>13365</v>
      </c>
      <c r="AV11" s="27">
        <f t="shared" si="9"/>
        <v>601638.83401347394</v>
      </c>
      <c r="AW11" s="28">
        <f t="shared" si="10"/>
        <v>11715</v>
      </c>
      <c r="AX11" s="241">
        <f t="shared" si="11"/>
        <v>900</v>
      </c>
      <c r="AY11" s="27">
        <f t="shared" si="12"/>
        <v>126782.75013225788</v>
      </c>
      <c r="AZ11" s="28">
        <f t="shared" si="13"/>
        <v>5850</v>
      </c>
      <c r="BA11" s="241">
        <f t="shared" si="14"/>
        <v>3060</v>
      </c>
      <c r="BB11" s="27">
        <f t="shared" si="15"/>
        <v>151418.54382960621</v>
      </c>
      <c r="BC11" s="28">
        <f t="shared" si="16"/>
        <v>5385</v>
      </c>
      <c r="BD11" s="241">
        <f t="shared" si="17"/>
        <v>3705</v>
      </c>
      <c r="BE11" s="27">
        <f t="shared" si="18"/>
        <v>161214.58296702939</v>
      </c>
      <c r="BF11" s="28">
        <f t="shared" si="19"/>
        <v>480</v>
      </c>
      <c r="BG11" s="241">
        <f t="shared" si="20"/>
        <v>5700</v>
      </c>
      <c r="BH11" s="27">
        <f t="shared" si="21"/>
        <v>162222.95708458044</v>
      </c>
      <c r="BI11" s="28">
        <f t="shared" si="22"/>
        <v>0</v>
      </c>
      <c r="BK11" s="448">
        <f t="shared" si="1"/>
        <v>601638.83401347394</v>
      </c>
      <c r="BL11" s="448">
        <f t="shared" si="2"/>
        <v>0</v>
      </c>
      <c r="BM11" s="448">
        <f t="shared" si="3"/>
        <v>9795</v>
      </c>
      <c r="BN11" s="448">
        <f t="shared" ca="1" si="4"/>
        <v>-1440</v>
      </c>
      <c r="BO11" s="30"/>
      <c r="BP11" s="30"/>
      <c r="BQ11" s="30"/>
      <c r="BR11" s="30"/>
      <c r="BS11" s="30"/>
      <c r="BT11" s="30"/>
      <c r="BU11" s="30"/>
      <c r="BV11" s="30"/>
    </row>
    <row r="12" spans="1:74" s="29" customFormat="1" hidden="1" outlineLevel="1" x14ac:dyDescent="0.3">
      <c r="A12" s="22" t="s">
        <v>20</v>
      </c>
      <c r="B12" s="23"/>
      <c r="C12" s="24" t="s">
        <v>16</v>
      </c>
      <c r="D12" s="24" t="s">
        <v>21</v>
      </c>
      <c r="E12" s="25"/>
      <c r="F12" s="26"/>
      <c r="G12" s="435"/>
      <c r="H12" s="241">
        <v>1780</v>
      </c>
      <c r="I12" s="27">
        <v>1958.1889798871241</v>
      </c>
      <c r="J12" s="28">
        <f>SUMIFS(Aut_Faturamento_Zig!$F:$F,Aut_Faturamento_Zig!$E:$E,"Gifts",Aut_Faturamento_Zig!$D:$D,DRE!H$4)+SUMIFS(Aut_Ajustes_Manuais!$G:$G,Aut_Ajustes_Manuais!$I:$I,DRE!H$4,Aut_Ajustes_Manuais!$F:$F,"Gifts")</f>
        <v>4042</v>
      </c>
      <c r="K12" s="241">
        <v>1725</v>
      </c>
      <c r="L12" s="27">
        <v>1857.89477095807</v>
      </c>
      <c r="M12" s="28">
        <f>SUMIFS(Aut_Faturamento_Zig!$F:$F,Aut_Faturamento_Zig!$E:$E,"Gifts",Aut_Faturamento_Zig!$D:$D,DRE!K$4)+SUMIFS(Aut_Ajustes_Manuais!$G:$G,Aut_Ajustes_Manuais!$I:$I,DRE!K$4,Aut_Ajustes_Manuais!$F:$F,"Gifts")</f>
        <v>2212</v>
      </c>
      <c r="N12" s="241">
        <v>1544</v>
      </c>
      <c r="O12" s="27">
        <v>1490.4960222446971</v>
      </c>
      <c r="P12" s="28">
        <f>SUMIFS(Aut_Faturamento_Zig!$F:$F,Aut_Faturamento_Zig!$E:$E,"Gifts",Aut_Faturamento_Zig!$D:$D,DRE!N$4)+SUMIFS(Aut_Ajustes_Manuais!$G:$G,Aut_Ajustes_Manuais!$I:$I,DRE!N$4,Aut_Ajustes_Manuais!$F:$F,"Gifts")</f>
        <v>3551</v>
      </c>
      <c r="Q12" s="241">
        <v>1607</v>
      </c>
      <c r="R12" s="27">
        <v>1551.138331265998</v>
      </c>
      <c r="S12" s="28">
        <f>SUMIFS(Aut_Faturamento_Zig!$F:$F,Aut_Faturamento_Zig!$E:$E,"Gifts",Aut_Faturamento_Zig!$D:$D,DRE!Q$4)+SUMIFS(Aut_Ajustes_Manuais!$G:$G,Aut_Ajustes_Manuais!$I:$I,DRE!Q$4,Aut_Ajustes_Manuais!$F:$F,"Gifts")</f>
        <v>1721</v>
      </c>
      <c r="T12" s="241">
        <v>2472</v>
      </c>
      <c r="U12" s="27">
        <v>2530.5366103057459</v>
      </c>
      <c r="V12" s="28">
        <f>SUMIFS(Aut_Faturamento_Zig!$F:$F,Aut_Faturamento_Zig!$E:$E,"Gifts",Aut_Faturamento_Zig!$D:$D,DRE!T$4)+SUMIFS(Aut_Ajustes_Manuais!$G:$G,Aut_Ajustes_Manuais!$I:$I,DRE!T$4,Aut_Ajustes_Manuais!$F:$F,"Gifts")</f>
        <v>1350</v>
      </c>
      <c r="W12" s="241">
        <v>1478</v>
      </c>
      <c r="X12" s="27">
        <v>2256.0530310325662</v>
      </c>
      <c r="Y12" s="28">
        <f>SUMIFS(Aut_Faturamento_Zig!$F:$F,Aut_Faturamento_Zig!$E:$E,"Gifts",Aut_Faturamento_Zig!$D:$D,DRE!W$4)+SUMIFS(Aut_Ajustes_Manuais!$G:$G,Aut_Ajustes_Manuais!$I:$I,DRE!W$4,Aut_Ajustes_Manuais!$F:$F,"Gifts")</f>
        <v>937</v>
      </c>
      <c r="Z12" s="241">
        <v>1644</v>
      </c>
      <c r="AA12" s="27">
        <v>2234.6599544885689</v>
      </c>
      <c r="AB12" s="28">
        <f>SUMIFS(Aut_Faturamento_Zig!$F:$F,Aut_Faturamento_Zig!$E:$E,"Gifts",Aut_Faturamento_Zig!$D:$D,DRE!Z$4)+SUMIFS(Aut_Ajustes_Manuais!$G:$G,Aut_Ajustes_Manuais!$I:$I,DRE!Z$4,Aut_Ajustes_Manuais!$F:$F,"Gifts")</f>
        <v>48</v>
      </c>
      <c r="AC12" s="241">
        <v>1691</v>
      </c>
      <c r="AD12" s="27">
        <v>2411.6666389171278</v>
      </c>
      <c r="AE12" s="28">
        <f>SUMIFS(Aut_Faturamento_Zig!$F:$F,Aut_Faturamento_Zig!$E:$E,"Gifts",Aut_Faturamento_Zig!$D:$D,DRE!AC$4)+SUMIFS(Aut_Ajustes_Manuais!$G:$G,Aut_Ajustes_Manuais!$I:$I,DRE!AC$4,Aut_Ajustes_Manuais!$F:$F,"Gifts")</f>
        <v>0</v>
      </c>
      <c r="AF12" s="241">
        <v>1649</v>
      </c>
      <c r="AG12" s="27">
        <v>2101.4213786766031</v>
      </c>
      <c r="AH12" s="28">
        <f>SUMIFS(Aut_Faturamento_Zig!$F:$F,Aut_Faturamento_Zig!$E:$E,"Gifts",Aut_Faturamento_Zig!$D:$D,DRE!AF$4)+SUMIFS(Aut_Ajustes_Manuais!$G:$G,Aut_Ajustes_Manuais!$I:$I,DRE!AF$4,Aut_Ajustes_Manuais!$F:$F,"Gifts")</f>
        <v>0</v>
      </c>
      <c r="AI12" s="241">
        <v>1802</v>
      </c>
      <c r="AJ12" s="27">
        <v>2114.67705516469</v>
      </c>
      <c r="AK12" s="28">
        <f>SUMIFS(Aut_Faturamento_Zig!$F:$F,Aut_Faturamento_Zig!$E:$E,"Gifts",Aut_Faturamento_Zig!$D:$D,DRE!AI$4)+SUMIFS(Aut_Ajustes_Manuais!$G:$G,Aut_Ajustes_Manuais!$I:$I,DRE!AI$4,Aut_Ajustes_Manuais!$F:$F,"Gifts")</f>
        <v>0</v>
      </c>
      <c r="AL12" s="241">
        <v>4696</v>
      </c>
      <c r="AM12" s="27">
        <v>2454.0675867953319</v>
      </c>
      <c r="AN12" s="28">
        <f>SUMIFS(Aut_Faturamento_Zig!$F:$F,Aut_Faturamento_Zig!$E:$E,"Gifts",Aut_Faturamento_Zig!$D:$D,DRE!AL$4)+SUMIFS(Aut_Ajustes_Manuais!$G:$G,Aut_Ajustes_Manuais!$I:$I,DRE!AL$4,Aut_Ajustes_Manuais!$F:$F,"Gifts")</f>
        <v>0</v>
      </c>
      <c r="AO12" s="241">
        <v>5340</v>
      </c>
      <c r="AP12" s="27">
        <v>2221.2095268668809</v>
      </c>
      <c r="AQ12" s="28">
        <f>SUMIFS(Aut_Faturamento_Zig!$F:$F,Aut_Faturamento_Zig!$E:$E,"Gifts",Aut_Faturamento_Zig!$D:$D,DRE!AO$4)+SUMIFS(Aut_Ajustes_Manuais!$G:$G,Aut_Ajustes_Manuais!$I:$I,DRE!AO$4,Aut_Ajustes_Manuais!$F:$F,"Gifts")</f>
        <v>0</v>
      </c>
      <c r="AR12" s="241">
        <f t="shared" ca="1" si="5"/>
        <v>10606</v>
      </c>
      <c r="AS12" s="27">
        <f t="shared" ca="1" si="6"/>
        <v>11644.307745694201</v>
      </c>
      <c r="AT12" s="28">
        <f t="shared" ca="1" si="7"/>
        <v>13813</v>
      </c>
      <c r="AU12" s="241">
        <f t="shared" si="8"/>
        <v>27428</v>
      </c>
      <c r="AV12" s="27">
        <f t="shared" si="9"/>
        <v>25182.009886603406</v>
      </c>
      <c r="AW12" s="28">
        <f t="shared" si="10"/>
        <v>13861</v>
      </c>
      <c r="AX12" s="241">
        <f t="shared" si="11"/>
        <v>5049</v>
      </c>
      <c r="AY12" s="27">
        <f t="shared" si="12"/>
        <v>5306.5797730898912</v>
      </c>
      <c r="AZ12" s="28">
        <f t="shared" si="13"/>
        <v>9805</v>
      </c>
      <c r="BA12" s="241">
        <f t="shared" si="14"/>
        <v>5557</v>
      </c>
      <c r="BB12" s="27">
        <f t="shared" si="15"/>
        <v>6337.7279726043107</v>
      </c>
      <c r="BC12" s="28">
        <f t="shared" si="16"/>
        <v>4008</v>
      </c>
      <c r="BD12" s="241">
        <f t="shared" si="17"/>
        <v>4984</v>
      </c>
      <c r="BE12" s="27">
        <f t="shared" si="18"/>
        <v>6747.7479720822994</v>
      </c>
      <c r="BF12" s="28">
        <f t="shared" si="19"/>
        <v>48</v>
      </c>
      <c r="BG12" s="241">
        <f t="shared" si="20"/>
        <v>11838</v>
      </c>
      <c r="BH12" s="27">
        <f t="shared" si="21"/>
        <v>6789.9541688269028</v>
      </c>
      <c r="BI12" s="28">
        <f t="shared" si="22"/>
        <v>0</v>
      </c>
      <c r="BK12" s="448">
        <f t="shared" si="1"/>
        <v>25182.009886603406</v>
      </c>
      <c r="BL12" s="448">
        <f t="shared" si="2"/>
        <v>0</v>
      </c>
      <c r="BM12" s="448">
        <f t="shared" si="3"/>
        <v>12876</v>
      </c>
      <c r="BN12" s="448">
        <f t="shared" ca="1" si="4"/>
        <v>-937</v>
      </c>
    </row>
    <row r="13" spans="1:74" s="29" customFormat="1" hidden="1" outlineLevel="1" x14ac:dyDescent="0.3">
      <c r="A13" s="22" t="s">
        <v>22</v>
      </c>
      <c r="B13" s="23"/>
      <c r="C13" s="24" t="s">
        <v>16</v>
      </c>
      <c r="D13" s="24" t="s">
        <v>23</v>
      </c>
      <c r="E13" s="25" t="s">
        <v>24</v>
      </c>
      <c r="F13" s="26"/>
      <c r="G13" s="435"/>
      <c r="H13" s="241">
        <v>38256.589999999997</v>
      </c>
      <c r="I13" s="27">
        <v>38286.930257758962</v>
      </c>
      <c r="J13" s="28">
        <f>SUMIFS(Aut_Faturamento_Zig!$F:$F,Aut_Faturamento_Zig!$E:$E,"Serviço",Aut_Faturamento_Zig!$D:$D,DRE!H$4)+SUMIFS(Aut_Ajustes_Manuais!$G:$G,Aut_Ajustes_Manuais!$I:$I,DRE!H$4,Aut_Ajustes_Manuais!$F:$F,"Serviço")</f>
        <v>43508.149999999994</v>
      </c>
      <c r="K13" s="241">
        <v>34751.180000000008</v>
      </c>
      <c r="L13" s="27">
        <v>36325.95640795966</v>
      </c>
      <c r="M13" s="28">
        <f>SUMIFS(Aut_Faturamento_Zig!$F:$F,Aut_Faturamento_Zig!$E:$E,"Serviço",Aut_Faturamento_Zig!$D:$D,DRE!K$4)+SUMIFS(Aut_Ajustes_Manuais!$G:$G,Aut_Ajustes_Manuais!$I:$I,DRE!K$4,Aut_Ajustes_Manuais!$F:$F,"Serviço")</f>
        <v>35399.379999999997</v>
      </c>
      <c r="N13" s="241">
        <v>34535.35</v>
      </c>
      <c r="O13" s="27">
        <v>29142.497399019849</v>
      </c>
      <c r="P13" s="28">
        <f>SUMIFS(Aut_Faturamento_Zig!$F:$F,Aut_Faturamento_Zig!$E:$E,"Serviço",Aut_Faturamento_Zig!$D:$D,DRE!N$4)+SUMIFS(Aut_Ajustes_Manuais!$G:$G,Aut_Ajustes_Manuais!$I:$I,DRE!N$4,Aut_Ajustes_Manuais!$F:$F,"Serviço")</f>
        <v>37123.69</v>
      </c>
      <c r="Q13" s="241">
        <v>36941.19</v>
      </c>
      <c r="R13" s="27">
        <v>30328.188810837441</v>
      </c>
      <c r="S13" s="28">
        <f>SUMIFS(Aut_Faturamento_Zig!$F:$F,Aut_Faturamento_Zig!$E:$E,"Serviço",Aut_Faturamento_Zig!$D:$D,DRE!Q$4)+SUMIFS(Aut_Ajustes_Manuais!$G:$G,Aut_Ajustes_Manuais!$I:$I,DRE!Q$4,Aut_Ajustes_Manuais!$F:$F,"Serviço")</f>
        <v>40637.149999999994</v>
      </c>
      <c r="T13" s="241">
        <v>48405.330000000009</v>
      </c>
      <c r="U13" s="27">
        <v>49477.593689178393</v>
      </c>
      <c r="V13" s="28">
        <f>SUMIFS(Aut_Faturamento_Zig!$F:$F,Aut_Faturamento_Zig!$E:$E,"Serviço",Aut_Faturamento_Zig!$D:$D,DRE!T$4)+SUMIFS(Aut_Ajustes_Manuais!$G:$G,Aut_Ajustes_Manuais!$I:$I,DRE!T$4,Aut_Ajustes_Manuais!$F:$F,"Serviço")</f>
        <v>41612.769999999997</v>
      </c>
      <c r="W13" s="241">
        <v>36988.570000000007</v>
      </c>
      <c r="X13" s="27">
        <v>44110.831969817627</v>
      </c>
      <c r="Y13" s="28">
        <f>SUMIFS(Aut_Faturamento_Zig!$F:$F,Aut_Faturamento_Zig!$E:$E,"Serviço",Aut_Faturamento_Zig!$D:$D,DRE!W$4)+SUMIFS(Aut_Ajustes_Manuais!$G:$G,Aut_Ajustes_Manuais!$I:$I,DRE!W$4,Aut_Ajustes_Manuais!$F:$F,"Serviço")</f>
        <v>40068.76999999999</v>
      </c>
      <c r="Z13" s="241">
        <v>39419.73000000001</v>
      </c>
      <c r="AA13" s="27">
        <v>43692.549956155141</v>
      </c>
      <c r="AB13" s="28">
        <f>SUMIFS(Aut_Faturamento_Zig!$F:$F,Aut_Faturamento_Zig!$E:$E,"Serviço",Aut_Faturamento_Zig!$D:$D,DRE!Z$4)+SUMIFS(Aut_Ajustes_Manuais!$G:$G,Aut_Ajustes_Manuais!$I:$I,DRE!Z$4,Aut_Ajustes_Manuais!$F:$F,"Serviço")</f>
        <v>8709.5500000000011</v>
      </c>
      <c r="AC13" s="241">
        <v>46429.36</v>
      </c>
      <c r="AD13" s="27">
        <v>47153.42255398992</v>
      </c>
      <c r="AE13" s="28">
        <f>SUMIFS(Aut_Faturamento_Zig!$F:$F,Aut_Faturamento_Zig!$E:$E,"Serviço",Aut_Faturamento_Zig!$D:$D,DRE!AC$4)+SUMIFS(Aut_Ajustes_Manuais!$G:$G,Aut_Ajustes_Manuais!$I:$I,DRE!AC$4,Aut_Ajustes_Manuais!$F:$F,"Serviço")</f>
        <v>0</v>
      </c>
      <c r="AF13" s="241">
        <v>38996.339999999982</v>
      </c>
      <c r="AG13" s="27">
        <v>41087.440790414686</v>
      </c>
      <c r="AH13" s="28">
        <f>SUMIFS(Aut_Faturamento_Zig!$F:$F,Aut_Faturamento_Zig!$E:$E,"Serviço",Aut_Faturamento_Zig!$D:$D,DRE!AF$4)+SUMIFS(Aut_Ajustes_Manuais!$G:$G,Aut_Ajustes_Manuais!$I:$I,DRE!AF$4,Aut_Ajustes_Manuais!$F:$F,"Serviço")</f>
        <v>0</v>
      </c>
      <c r="AI13" s="241">
        <v>40943.879999999997</v>
      </c>
      <c r="AJ13" s="27">
        <v>41346.61861565608</v>
      </c>
      <c r="AK13" s="28">
        <f>SUMIFS(Aut_Faturamento_Zig!$F:$F,Aut_Faturamento_Zig!$E:$E,"Serviço",Aut_Faturamento_Zig!$D:$D,DRE!AI$4)+SUMIFS(Aut_Ajustes_Manuais!$G:$G,Aut_Ajustes_Manuais!$I:$I,DRE!AI$4,Aut_Ajustes_Manuais!$F:$F,"Serviço")</f>
        <v>0</v>
      </c>
      <c r="AL13" s="241">
        <v>47415.6</v>
      </c>
      <c r="AM13" s="27">
        <v>47982.454966565972</v>
      </c>
      <c r="AN13" s="28">
        <f>SUMIFS(Aut_Faturamento_Zig!$F:$F,Aut_Faturamento_Zig!$E:$E,"Serviço",Aut_Faturamento_Zig!$D:$D,DRE!AL$4)+SUMIFS(Aut_Ajustes_Manuais!$G:$G,Aut_Ajustes_Manuais!$I:$I,DRE!AL$4,Aut_Ajustes_Manuais!$F:$F,"Serviço")</f>
        <v>0</v>
      </c>
      <c r="AO13" s="241">
        <v>52286.039999999994</v>
      </c>
      <c r="AP13" s="27">
        <v>43429.564315045922</v>
      </c>
      <c r="AQ13" s="28">
        <f>SUMIFS(Aut_Faturamento_Zig!$F:$F,Aut_Faturamento_Zig!$E:$E,"Serviço",Aut_Faturamento_Zig!$D:$D,DRE!AO$4)+SUMIFS(Aut_Ajustes_Manuais!$G:$G,Aut_Ajustes_Manuais!$I:$I,DRE!AO$4,Aut_Ajustes_Manuais!$F:$F,"Serviço")</f>
        <v>0</v>
      </c>
      <c r="AR13" s="241">
        <f t="shared" ca="1" si="5"/>
        <v>229878.21000000002</v>
      </c>
      <c r="AS13" s="27">
        <f t="shared" ca="1" si="6"/>
        <v>227671.99853457196</v>
      </c>
      <c r="AT13" s="28">
        <f t="shared" ca="1" si="7"/>
        <v>238349.90999999997</v>
      </c>
      <c r="AU13" s="241">
        <f t="shared" si="8"/>
        <v>495369.16</v>
      </c>
      <c r="AV13" s="27">
        <f t="shared" si="9"/>
        <v>492364.04973239976</v>
      </c>
      <c r="AW13" s="28">
        <f t="shared" si="10"/>
        <v>247059.45999999996</v>
      </c>
      <c r="AX13" s="241">
        <f t="shared" si="11"/>
        <v>107543.12</v>
      </c>
      <c r="AY13" s="27">
        <f t="shared" si="12"/>
        <v>103755.38406473848</v>
      </c>
      <c r="AZ13" s="28">
        <f t="shared" si="13"/>
        <v>116031.22</v>
      </c>
      <c r="BA13" s="241">
        <f t="shared" si="14"/>
        <v>122335.09000000003</v>
      </c>
      <c r="BB13" s="27">
        <f t="shared" si="15"/>
        <v>123916.61446983347</v>
      </c>
      <c r="BC13" s="28">
        <f t="shared" si="16"/>
        <v>122318.68999999997</v>
      </c>
      <c r="BD13" s="241">
        <f t="shared" si="17"/>
        <v>124845.43</v>
      </c>
      <c r="BE13" s="27">
        <f t="shared" si="18"/>
        <v>131933.41330055974</v>
      </c>
      <c r="BF13" s="28">
        <f t="shared" si="19"/>
        <v>8709.5500000000011</v>
      </c>
      <c r="BG13" s="241">
        <f t="shared" si="20"/>
        <v>140645.51999999999</v>
      </c>
      <c r="BH13" s="27">
        <f t="shared" si="21"/>
        <v>132758.63789726797</v>
      </c>
      <c r="BI13" s="28">
        <f t="shared" si="22"/>
        <v>0</v>
      </c>
      <c r="BK13" s="448">
        <f t="shared" si="1"/>
        <v>492364.04973239976</v>
      </c>
      <c r="BL13" s="448">
        <f t="shared" si="2"/>
        <v>0</v>
      </c>
      <c r="BM13" s="448">
        <f t="shared" si="3"/>
        <v>198281.13999999998</v>
      </c>
      <c r="BN13" s="448">
        <f t="shared" ca="1" si="4"/>
        <v>-40068.76999999999</v>
      </c>
    </row>
    <row r="14" spans="1:74" s="29" customFormat="1" hidden="1" outlineLevel="1" x14ac:dyDescent="0.3">
      <c r="A14" s="22" t="s">
        <v>25</v>
      </c>
      <c r="B14" s="23"/>
      <c r="C14" s="24" t="s">
        <v>16</v>
      </c>
      <c r="D14" s="24" t="s">
        <v>26</v>
      </c>
      <c r="E14" s="25"/>
      <c r="F14" s="26"/>
      <c r="G14" s="435"/>
      <c r="H14" s="241">
        <v>0</v>
      </c>
      <c r="I14" s="27">
        <v>8395.8695406983006</v>
      </c>
      <c r="J14" s="28">
        <f>SUMIFS(BD_Eventos_Novo!$J:$J,BD_Eventos_Novo!$AB:$AB,DRE!H$4)+SUMIFS(BD_Eventos_Novo!$K:$K,BD_Eventos_Novo!$AB:$AB,DRE!H$4)+SUMIFS(Aut_Ajustes_Manuais!$G:$G,Aut_Ajustes_Manuais!$I:$I,DRE!H$4,Aut_Ajustes_Manuais!$F:$F,"Eventos A&amp;B")</f>
        <v>0</v>
      </c>
      <c r="K14" s="241">
        <v>0</v>
      </c>
      <c r="L14" s="27">
        <v>7965.8512419003901</v>
      </c>
      <c r="M14" s="28">
        <f>SUMIFS(BD_Eventos_Novo!$J:$J,BD_Eventos_Novo!$AB:$AB,DRE!K$4)+SUMIFS(BD_Eventos_Novo!$K:$K,BD_Eventos_Novo!$AB:$AB,DRE!K$4)+SUMIFS(Aut_Ajustes_Manuais!$G:$G,Aut_Ajustes_Manuais!$I:$I,DRE!K$4,Aut_Ajustes_Manuais!$F:$F,"Eventos A&amp;B")</f>
        <v>0</v>
      </c>
      <c r="N14" s="241">
        <v>0</v>
      </c>
      <c r="O14" s="27">
        <v>6390.6039111799973</v>
      </c>
      <c r="P14" s="28">
        <f>SUMIFS(BD_Eventos_Novo!$J:$J,BD_Eventos_Novo!$AB:$AB,DRE!N$4)+SUMIFS(BD_Eventos_Novo!$K:$K,BD_Eventos_Novo!$AB:$AB,DRE!N$4)+SUMIFS(Aut_Ajustes_Manuais!$G:$G,Aut_Ajustes_Manuais!$I:$I,DRE!N$4,Aut_Ajustes_Manuais!$F:$F,"Eventos A&amp;B")</f>
        <v>0</v>
      </c>
      <c r="Q14" s="241">
        <v>0</v>
      </c>
      <c r="R14" s="27">
        <v>6650.6119698602706</v>
      </c>
      <c r="S14" s="28">
        <f>SUMIFS(BD_Eventos_Novo!$J:$J,BD_Eventos_Novo!$AB:$AB,DRE!Q$4)+SUMIFS(BD_Eventos_Novo!$K:$K,BD_Eventos_Novo!$AB:$AB,DRE!Q$4)+SUMIFS(Aut_Ajustes_Manuais!$G:$G,Aut_Ajustes_Manuais!$I:$I,DRE!Q$4,Aut_Ajustes_Manuais!$F:$F,"Eventos A&amp;B")</f>
        <v>0</v>
      </c>
      <c r="T14" s="241">
        <v>0</v>
      </c>
      <c r="U14" s="27">
        <v>10849.849256792681</v>
      </c>
      <c r="V14" s="28">
        <f>SUMIFS(BD_Eventos_Novo!$J:$J,BD_Eventos_Novo!$AB:$AB,DRE!T$4)+SUMIFS(BD_Eventos_Novo!$K:$K,BD_Eventos_Novo!$AB:$AB,DRE!T$4)+SUMIFS(Aut_Ajustes_Manuais!$G:$G,Aut_Ajustes_Manuais!$I:$I,DRE!T$4,Aut_Ajustes_Manuais!$F:$F,"Eventos A&amp;B")</f>
        <v>0</v>
      </c>
      <c r="W14" s="241">
        <v>0</v>
      </c>
      <c r="X14" s="27">
        <v>9672.9820870191197</v>
      </c>
      <c r="Y14" s="28">
        <f>SUMIFS(BD_Eventos_Novo!$J:$J,BD_Eventos_Novo!$AB:$AB,DRE!W$4)+SUMIFS(BD_Eventos_Novo!$K:$K,BD_Eventos_Novo!$AB:$AB,DRE!W$4)+SUMIFS(Aut_Ajustes_Manuais!$G:$G,Aut_Ajustes_Manuais!$I:$I,DRE!W$4,Aut_Ajustes_Manuais!$F:$F,"Eventos A&amp;B")</f>
        <v>0</v>
      </c>
      <c r="Z14" s="241">
        <v>0</v>
      </c>
      <c r="AA14" s="27">
        <v>9581.2578042341556</v>
      </c>
      <c r="AB14" s="28">
        <f>SUMIFS(BD_Eventos_Novo!$J:$J,BD_Eventos_Novo!$AB:$AB,DRE!Z$4)+SUMIFS(BD_Eventos_Novo!$K:$K,BD_Eventos_Novo!$AB:$AB,DRE!Z$4)+SUMIFS(Aut_Ajustes_Manuais!$G:$G,Aut_Ajustes_Manuais!$I:$I,DRE!Z$4,Aut_Ajustes_Manuais!$F:$F,"Eventos A&amp;B")</f>
        <v>0</v>
      </c>
      <c r="AC14" s="241">
        <v>0</v>
      </c>
      <c r="AD14" s="27">
        <v>10340.18610255366</v>
      </c>
      <c r="AE14" s="28">
        <f>SUMIFS(BD_Eventos_Novo!$J:$J,BD_Eventos_Novo!$AB:$AB,DRE!AC$4)+SUMIFS(BD_Eventos_Novo!$K:$K,BD_Eventos_Novo!$AB:$AB,DRE!AC$4)+SUMIFS(Aut_Ajustes_Manuais!$G:$G,Aut_Ajustes_Manuais!$I:$I,DRE!AC$4,Aut_Ajustes_Manuais!$F:$F,"Eventos A&amp;B")</f>
        <v>0</v>
      </c>
      <c r="AF14" s="241">
        <v>0</v>
      </c>
      <c r="AG14" s="27">
        <v>9009.9882731543767</v>
      </c>
      <c r="AH14" s="28">
        <f>SUMIFS(BD_Eventos_Novo!$J:$J,BD_Eventos_Novo!$AB:$AB,DRE!AF$4)+SUMIFS(BD_Eventos_Novo!$K:$K,BD_Eventos_Novo!$AB:$AB,DRE!AF$4)+SUMIFS(Aut_Ajustes_Manuais!$G:$G,Aut_Ajustes_Manuais!$I:$I,DRE!AF$4,Aut_Ajustes_Manuais!$F:$F,"Eventos A&amp;B")</f>
        <v>0</v>
      </c>
      <c r="AI14" s="241">
        <v>0</v>
      </c>
      <c r="AJ14" s="27">
        <v>9066.8228951498968</v>
      </c>
      <c r="AK14" s="28">
        <f>SUMIFS(BD_Eventos_Novo!$J:$J,BD_Eventos_Novo!$AB:$AB,DRE!AI$4)+SUMIFS(BD_Eventos_Novo!$K:$K,BD_Eventos_Novo!$AB:$AB,DRE!AI$4)+SUMIFS(Aut_Ajustes_Manuais!$G:$G,Aut_Ajustes_Manuais!$I:$I,DRE!AI$4,Aut_Ajustes_Manuais!$F:$F,"Eventos A&amp;B")</f>
        <v>0</v>
      </c>
      <c r="AL14" s="241">
        <v>6400</v>
      </c>
      <c r="AM14" s="27">
        <v>10521.98307436986</v>
      </c>
      <c r="AN14" s="28">
        <f>SUMIFS(BD_Eventos_Novo!$J:$J,BD_Eventos_Novo!$AB:$AB,DRE!AL$4)+SUMIFS(BD_Eventos_Novo!$K:$K,BD_Eventos_Novo!$AB:$AB,DRE!AL$4)+SUMIFS(Aut_Ajustes_Manuais!$G:$G,Aut_Ajustes_Manuais!$I:$I,DRE!AL$4,Aut_Ajustes_Manuais!$F:$F,"Eventos A&amp;B")</f>
        <v>0</v>
      </c>
      <c r="AO14" s="241">
        <v>10500</v>
      </c>
      <c r="AP14" s="27">
        <v>9523.5881733976003</v>
      </c>
      <c r="AQ14" s="28">
        <f>SUMIFS(BD_Eventos_Novo!$J:$J,BD_Eventos_Novo!$AB:$AB,DRE!AO$4)+SUMIFS(BD_Eventos_Novo!$K:$K,BD_Eventos_Novo!$AB:$AB,DRE!AO$4)+SUMIFS(Aut_Ajustes_Manuais!$G:$G,Aut_Ajustes_Manuais!$I:$I,DRE!AO$4,Aut_Ajustes_Manuais!$F:$F,"Eventos A&amp;B")</f>
        <v>0</v>
      </c>
      <c r="AR14" s="241">
        <f t="shared" ca="1" si="5"/>
        <v>0</v>
      </c>
      <c r="AS14" s="27">
        <f t="shared" ca="1" si="6"/>
        <v>49925.768007450759</v>
      </c>
      <c r="AT14" s="28">
        <f t="shared" ca="1" si="7"/>
        <v>0</v>
      </c>
      <c r="AU14" s="241">
        <f t="shared" si="8"/>
        <v>16900</v>
      </c>
      <c r="AV14" s="27">
        <f t="shared" si="9"/>
        <v>107969.5943303103</v>
      </c>
      <c r="AW14" s="28">
        <f t="shared" si="10"/>
        <v>0</v>
      </c>
      <c r="AX14" s="241">
        <f t="shared" si="11"/>
        <v>0</v>
      </c>
      <c r="AY14" s="27">
        <f t="shared" si="12"/>
        <v>22752.32469377869</v>
      </c>
      <c r="AZ14" s="28">
        <f t="shared" si="13"/>
        <v>0</v>
      </c>
      <c r="BA14" s="241">
        <f t="shared" si="14"/>
        <v>0</v>
      </c>
      <c r="BB14" s="27">
        <f t="shared" si="15"/>
        <v>27173.443313672069</v>
      </c>
      <c r="BC14" s="28">
        <f t="shared" si="16"/>
        <v>0</v>
      </c>
      <c r="BD14" s="241">
        <f t="shared" si="17"/>
        <v>0</v>
      </c>
      <c r="BE14" s="27">
        <f t="shared" si="18"/>
        <v>28931.432179942192</v>
      </c>
      <c r="BF14" s="28">
        <f t="shared" si="19"/>
        <v>0</v>
      </c>
      <c r="BG14" s="241">
        <f t="shared" si="20"/>
        <v>16900</v>
      </c>
      <c r="BH14" s="27">
        <f t="shared" si="21"/>
        <v>29112.394142917357</v>
      </c>
      <c r="BI14" s="28">
        <f t="shared" si="22"/>
        <v>0</v>
      </c>
      <c r="BK14" s="448">
        <f t="shared" si="1"/>
        <v>107969.5943303103</v>
      </c>
      <c r="BL14" s="448">
        <f t="shared" si="2"/>
        <v>0</v>
      </c>
      <c r="BM14" s="448">
        <f t="shared" si="3"/>
        <v>0</v>
      </c>
      <c r="BN14" s="448">
        <f t="shared" ca="1" si="4"/>
        <v>0</v>
      </c>
    </row>
    <row r="15" spans="1:74" s="29" customFormat="1" hidden="1" outlineLevel="1" x14ac:dyDescent="0.3">
      <c r="A15" s="22" t="s">
        <v>27</v>
      </c>
      <c r="B15" s="23"/>
      <c r="C15" s="24" t="s">
        <v>16</v>
      </c>
      <c r="D15" s="24" t="s">
        <v>26</v>
      </c>
      <c r="E15" s="25"/>
      <c r="F15" s="26"/>
      <c r="G15" s="435"/>
      <c r="H15" s="241">
        <v>0</v>
      </c>
      <c r="I15" s="27">
        <v>1185.5929214454909</v>
      </c>
      <c r="J15" s="28">
        <f>SUMIFS(BD_Eventos_Novo!$M:$M,BD_Eventos_Novo!$AB:$AB,DRE!H$4)+SUMIFS(BD_Eventos_Novo!$N:$N,BD_Eventos_Novo!$AB:$AB,DRE!H$4)+SUMIFS(BD_Eventos_Novo!$O:$O,BD_Eventos_Novo!$AB:$AB,DRE!H$4)+SUMIFS(Aut_Ajustes_Manuais!$G:$G,Aut_Ajustes_Manuais!$I:$I,DRE!H$4,Aut_Ajustes_Manuais!$F:$F,"Eventos Couvert")</f>
        <v>0</v>
      </c>
      <c r="K15" s="241">
        <v>0</v>
      </c>
      <c r="L15" s="27">
        <v>1124.86941345439</v>
      </c>
      <c r="M15" s="28">
        <f>SUMIFS(BD_Eventos_Novo!$M:$M,BD_Eventos_Novo!$AB:$AB,DRE!K$4)+SUMIFS(BD_Eventos_Novo!$N:$N,BD_Eventos_Novo!$AB:$AB,DRE!K$4)+SUMIFS(BD_Eventos_Novo!$O:$O,BD_Eventos_Novo!$AB:$AB,DRE!K$4)+SUMIFS(Aut_Ajustes_Manuais!$G:$G,Aut_Ajustes_Manuais!$I:$I,DRE!K$4,Aut_Ajustes_Manuais!$F:$F,"Eventos Couvert")</f>
        <v>0</v>
      </c>
      <c r="N15" s="241">
        <v>0</v>
      </c>
      <c r="O15" s="27">
        <v>902.42645197494483</v>
      </c>
      <c r="P15" s="28">
        <f>SUMIFS(BD_Eventos_Novo!$M:$M,BD_Eventos_Novo!$AB:$AB,DRE!N$4)+SUMIFS(BD_Eventos_Novo!$N:$N,BD_Eventos_Novo!$AB:$AB,DRE!N$4)+SUMIFS(BD_Eventos_Novo!$O:$O,BD_Eventos_Novo!$AB:$AB,DRE!N$4)+SUMIFS(Aut_Ajustes_Manuais!$G:$G,Aut_Ajustes_Manuais!$I:$I,DRE!N$4,Aut_Ajustes_Manuais!$F:$F,"Eventos Couvert")</f>
        <v>0</v>
      </c>
      <c r="Q15" s="241">
        <v>0</v>
      </c>
      <c r="R15" s="27">
        <v>939.14256724994198</v>
      </c>
      <c r="S15" s="28">
        <f>SUMIFS(BD_Eventos_Novo!$M:$M,BD_Eventos_Novo!$AB:$AB,DRE!Q$4)+SUMIFS(BD_Eventos_Novo!$N:$N,BD_Eventos_Novo!$AB:$AB,DRE!Q$4)+SUMIFS(BD_Eventos_Novo!$O:$O,BD_Eventos_Novo!$AB:$AB,DRE!Q$4)+SUMIFS(Aut_Ajustes_Manuais!$G:$G,Aut_Ajustes_Manuais!$I:$I,DRE!Q$4,Aut_Ajustes_Manuais!$F:$F,"Eventos Couvert")</f>
        <v>0</v>
      </c>
      <c r="T15" s="241">
        <v>0</v>
      </c>
      <c r="U15" s="27">
        <v>1532.1229582295471</v>
      </c>
      <c r="V15" s="28">
        <f>SUMIFS(BD_Eventos_Novo!$M:$M,BD_Eventos_Novo!$AB:$AB,DRE!T$4)+SUMIFS(BD_Eventos_Novo!$N:$N,BD_Eventos_Novo!$AB:$AB,DRE!T$4)+SUMIFS(BD_Eventos_Novo!$O:$O,BD_Eventos_Novo!$AB:$AB,DRE!T$4)+SUMIFS(Aut_Ajustes_Manuais!$G:$G,Aut_Ajustes_Manuais!$I:$I,DRE!T$4,Aut_Ajustes_Manuais!$F:$F,"Eventos Couvert")</f>
        <v>0</v>
      </c>
      <c r="W15" s="241">
        <v>0</v>
      </c>
      <c r="X15" s="27">
        <v>1365.935837383804</v>
      </c>
      <c r="Y15" s="28">
        <f>SUMIFS(BD_Eventos_Novo!$M:$M,BD_Eventos_Novo!$AB:$AB,DRE!W$4)+SUMIFS(BD_Eventos_Novo!$N:$N,BD_Eventos_Novo!$AB:$AB,DRE!W$4)+SUMIFS(BD_Eventos_Novo!$O:$O,BD_Eventos_Novo!$AB:$AB,DRE!W$4)+SUMIFS(Aut_Ajustes_Manuais!$G:$G,Aut_Ajustes_Manuais!$I:$I,DRE!W$4,Aut_Ajustes_Manuais!$F:$F,"Eventos Couvert")</f>
        <v>0</v>
      </c>
      <c r="Z15" s="241">
        <v>0</v>
      </c>
      <c r="AA15" s="27">
        <v>1352.9833183067301</v>
      </c>
      <c r="AB15" s="28">
        <f>SUMIFS(BD_Eventos_Novo!$M:$M,BD_Eventos_Novo!$AB:$AB,DRE!Z$4)+SUMIFS(BD_Eventos_Novo!$N:$N,BD_Eventos_Novo!$AB:$AB,DRE!Z$4)+SUMIFS(BD_Eventos_Novo!$O:$O,BD_Eventos_Novo!$AB:$AB,DRE!Z$4)+SUMIFS(Aut_Ajustes_Manuais!$G:$G,Aut_Ajustes_Manuais!$I:$I,DRE!Z$4,Aut_Ajustes_Manuais!$F:$F,"Eventos Couvert")</f>
        <v>0</v>
      </c>
      <c r="AC15" s="241">
        <v>0</v>
      </c>
      <c r="AD15" s="27">
        <v>1460.1526846255681</v>
      </c>
      <c r="AE15" s="28">
        <f>SUMIFS(BD_Eventos_Novo!$M:$M,BD_Eventos_Novo!$AB:$AB,DRE!AC$4)+SUMIFS(BD_Eventos_Novo!$N:$N,BD_Eventos_Novo!$AB:$AB,DRE!AC$4)+SUMIFS(BD_Eventos_Novo!$O:$O,BD_Eventos_Novo!$AB:$AB,DRE!AC$4)+SUMIFS(Aut_Ajustes_Manuais!$G:$G,Aut_Ajustes_Manuais!$I:$I,DRE!AC$4,Aut_Ajustes_Manuais!$F:$F,"Eventos Couvert")</f>
        <v>0</v>
      </c>
      <c r="AF15" s="241">
        <v>0</v>
      </c>
      <c r="AG15" s="27">
        <v>1272.3135188294341</v>
      </c>
      <c r="AH15" s="28">
        <f>SUMIFS(BD_Eventos_Novo!$M:$M,BD_Eventos_Novo!$AB:$AB,DRE!AF$4)+SUMIFS(BD_Eventos_Novo!$N:$N,BD_Eventos_Novo!$AB:$AB,DRE!AF$4)+SUMIFS(BD_Eventos_Novo!$O:$O,BD_Eventos_Novo!$AB:$AB,DRE!AF$4)+SUMIFS(Aut_Ajustes_Manuais!$G:$G,Aut_Ajustes_Manuais!$I:$I,DRE!AF$4,Aut_Ajustes_Manuais!$F:$F,"Eventos Couvert")</f>
        <v>0</v>
      </c>
      <c r="AI15" s="241">
        <v>0</v>
      </c>
      <c r="AJ15" s="27">
        <v>1280.339218276559</v>
      </c>
      <c r="AK15" s="28">
        <f>SUMIFS(BD_Eventos_Novo!$M:$M,BD_Eventos_Novo!$AB:$AB,DRE!AI$4)+SUMIFS(BD_Eventos_Novo!$N:$N,BD_Eventos_Novo!$AB:$AB,DRE!AI$4)+SUMIFS(BD_Eventos_Novo!$O:$O,BD_Eventos_Novo!$AB:$AB,DRE!AI$4)+SUMIFS(Aut_Ajustes_Manuais!$G:$G,Aut_Ajustes_Manuais!$I:$I,DRE!AI$4,Aut_Ajustes_Manuais!$F:$F,"Eventos Couvert")</f>
        <v>0</v>
      </c>
      <c r="AL15" s="241">
        <v>0</v>
      </c>
      <c r="AM15" s="27">
        <v>1485.8244988290551</v>
      </c>
      <c r="AN15" s="28">
        <f>SUMIFS(BD_Eventos_Novo!$M:$M,BD_Eventos_Novo!$AB:$AB,DRE!AL$4)+SUMIFS(BD_Eventos_Novo!$N:$N,BD_Eventos_Novo!$AB:$AB,DRE!AL$4)+SUMIFS(BD_Eventos_Novo!$O:$O,BD_Eventos_Novo!$AB:$AB,DRE!AL$4)+SUMIFS(Aut_Ajustes_Manuais!$G:$G,Aut_Ajustes_Manuais!$I:$I,DRE!AL$4,Aut_Ajustes_Manuais!$F:$F,"Eventos Couvert")</f>
        <v>0</v>
      </c>
      <c r="AO15" s="241">
        <v>0</v>
      </c>
      <c r="AP15" s="27">
        <v>1344.8397060494451</v>
      </c>
      <c r="AQ15" s="28">
        <f>SUMIFS(BD_Eventos_Novo!$M:$M,BD_Eventos_Novo!$AB:$AB,DRE!AO$4)+SUMIFS(BD_Eventos_Novo!$N:$N,BD_Eventos_Novo!$AB:$AB,DRE!AO$4)+SUMIFS(BD_Eventos_Novo!$O:$O,BD_Eventos_Novo!$AB:$AB,DRE!AO$4)+SUMIFS(Aut_Ajustes_Manuais!$G:$G,Aut_Ajustes_Manuais!$I:$I,DRE!AO$4,Aut_Ajustes_Manuais!$F:$F,"Eventos Couvert")</f>
        <v>0</v>
      </c>
      <c r="AR15" s="241">
        <f t="shared" ca="1" si="5"/>
        <v>0</v>
      </c>
      <c r="AS15" s="27">
        <f t="shared" ca="1" si="6"/>
        <v>7050.0901497381192</v>
      </c>
      <c r="AT15" s="28">
        <f t="shared" ca="1" si="7"/>
        <v>0</v>
      </c>
      <c r="AU15" s="241">
        <f t="shared" si="8"/>
        <v>0</v>
      </c>
      <c r="AV15" s="27">
        <f t="shared" si="9"/>
        <v>15246.54309465491</v>
      </c>
      <c r="AW15" s="28">
        <f t="shared" si="10"/>
        <v>0</v>
      </c>
      <c r="AX15" s="241">
        <f t="shared" si="11"/>
        <v>0</v>
      </c>
      <c r="AY15" s="27">
        <f t="shared" si="12"/>
        <v>3212.8887868748261</v>
      </c>
      <c r="AZ15" s="28">
        <f t="shared" si="13"/>
        <v>0</v>
      </c>
      <c r="BA15" s="241">
        <f t="shared" si="14"/>
        <v>0</v>
      </c>
      <c r="BB15" s="27">
        <f t="shared" si="15"/>
        <v>3837.2013628632931</v>
      </c>
      <c r="BC15" s="28">
        <f t="shared" si="16"/>
        <v>0</v>
      </c>
      <c r="BD15" s="241">
        <f t="shared" si="17"/>
        <v>0</v>
      </c>
      <c r="BE15" s="27">
        <f t="shared" si="18"/>
        <v>4085.4495217617323</v>
      </c>
      <c r="BF15" s="28">
        <f t="shared" si="19"/>
        <v>0</v>
      </c>
      <c r="BG15" s="241">
        <f t="shared" si="20"/>
        <v>0</v>
      </c>
      <c r="BH15" s="27">
        <f t="shared" si="21"/>
        <v>4111.003423155059</v>
      </c>
      <c r="BI15" s="28">
        <f t="shared" si="22"/>
        <v>0</v>
      </c>
      <c r="BK15" s="448">
        <f t="shared" si="1"/>
        <v>15246.54309465491</v>
      </c>
      <c r="BL15" s="448">
        <f t="shared" si="2"/>
        <v>0</v>
      </c>
      <c r="BM15" s="448">
        <f t="shared" si="3"/>
        <v>0</v>
      </c>
      <c r="BN15" s="448">
        <f t="shared" ca="1" si="4"/>
        <v>0</v>
      </c>
    </row>
    <row r="16" spans="1:74" s="29" customFormat="1" hidden="1" outlineLevel="1" x14ac:dyDescent="0.3">
      <c r="A16" s="22" t="s">
        <v>28</v>
      </c>
      <c r="B16" s="23"/>
      <c r="C16" s="24" t="s">
        <v>16</v>
      </c>
      <c r="D16" s="24" t="s">
        <v>26</v>
      </c>
      <c r="E16" s="25"/>
      <c r="F16" s="26"/>
      <c r="G16" s="435"/>
      <c r="H16" s="241">
        <v>0</v>
      </c>
      <c r="I16" s="27">
        <v>417.56366197523738</v>
      </c>
      <c r="J16" s="28">
        <f>SUMIFS(BD_Eventos_Novo!$L:$L,BD_Eventos_Novo!$AB:$AB,DRE!H$4)+SUMIFS(BD_Eventos_Novo!$P:$P,BD_Eventos_Novo!$AB:$AB,DRE!H$4)+SUMIFS(BD_Eventos_Novo!$Q:$Q,BD_Eventos_Novo!$AB:$AB,DRE!H$4)+SUMIFS(BD_Eventos_Novo!$R:$R,BD_Eventos_Novo!$AB:$AB,DRE!H$4)+SUMIFS(BD_Eventos_Novo!$S:$S,BD_Eventos_Novo!$AB:$AB,DRE!H$4)+SUMIFS(BD_Eventos_Novo!$T:$T,BD_Eventos_Novo!$AB:$AB,DRE!H$4)+SUMIFS(BD_Eventos_Novo!$U:$U,BD_Eventos_Novo!$AB:$AB,DRE!H$4)+SUMIFS(BD_Eventos_Novo!$V:$V,BD_Eventos_Novo!$AB:$AB,DRE!H$4)+SUMIFS(BD_Eventos_Novo!$W:$W,BD_Eventos_Novo!$AB:$AB,DRE!H$4)+SUMIFS(BD_Eventos_Novo!$X:$X,BD_Eventos_Novo!$AB:$AB,DRE!H$4)+SUMIFS(Aut_Ajustes_Manuais!$G:$G,Aut_Ajustes_Manuais!$I:$I,DRE!H$4,Aut_Ajustes_Manuais!$F:$F,"Eventos Locações")</f>
        <v>0</v>
      </c>
      <c r="K16" s="241">
        <v>0</v>
      </c>
      <c r="L16" s="27">
        <v>396.17695334523609</v>
      </c>
      <c r="M16" s="28">
        <f>SUMIFS(BD_Eventos_Novo!$L:$L,BD_Eventos_Novo!$AB:$AB,DRE!K$4)+SUMIFS(BD_Eventos_Novo!$P:$P,BD_Eventos_Novo!$AB:$AB,DRE!K$4)+SUMIFS(BD_Eventos_Novo!$Q:$Q,BD_Eventos_Novo!$AB:$AB,DRE!K$4)+SUMIFS(BD_Eventos_Novo!$R:$R,BD_Eventos_Novo!$AB:$AB,DRE!K$4)+SUMIFS(BD_Eventos_Novo!$S:$S,BD_Eventos_Novo!$AB:$AB,DRE!K$4)+SUMIFS(BD_Eventos_Novo!$T:$T,BD_Eventos_Novo!$AB:$AB,DRE!K$4)+SUMIFS(BD_Eventos_Novo!$U:$U,BD_Eventos_Novo!$AB:$AB,DRE!K$4)+SUMIFS(BD_Eventos_Novo!$V:$V,BD_Eventos_Novo!$AB:$AB,DRE!K$4)+SUMIFS(BD_Eventos_Novo!$W:$W,BD_Eventos_Novo!$AB:$AB,DRE!K$4)+SUMIFS(BD_Eventos_Novo!$X:$X,BD_Eventos_Novo!$AB:$AB,DRE!K$4)+SUMIFS(Aut_Ajustes_Manuais!$G:$G,Aut_Ajustes_Manuais!$I:$I,DRE!K$4,Aut_Ajustes_Manuais!$F:$F,"Eventos Locações")</f>
        <v>0</v>
      </c>
      <c r="N16" s="241">
        <v>0</v>
      </c>
      <c r="O16" s="27">
        <v>317.83294850525408</v>
      </c>
      <c r="P16" s="28">
        <f>SUMIFS(BD_Eventos_Novo!$L:$L,BD_Eventos_Novo!$AB:$AB,DRE!N$4)+SUMIFS(BD_Eventos_Novo!$P:$P,BD_Eventos_Novo!$AB:$AB,DRE!N$4)+SUMIFS(BD_Eventos_Novo!$Q:$Q,BD_Eventos_Novo!$AB:$AB,DRE!N$4)+SUMIFS(BD_Eventos_Novo!$R:$R,BD_Eventos_Novo!$AB:$AB,DRE!N$4)+SUMIFS(BD_Eventos_Novo!$S:$S,BD_Eventos_Novo!$AB:$AB,DRE!N$4)+SUMIFS(BD_Eventos_Novo!$T:$T,BD_Eventos_Novo!$AB:$AB,DRE!N$4)+SUMIFS(BD_Eventos_Novo!$U:$U,BD_Eventos_Novo!$AB:$AB,DRE!N$4)+SUMIFS(BD_Eventos_Novo!$V:$V,BD_Eventos_Novo!$AB:$AB,DRE!N$4)+SUMIFS(BD_Eventos_Novo!$W:$W,BD_Eventos_Novo!$AB:$AB,DRE!N$4)+SUMIFS(BD_Eventos_Novo!$X:$X,BD_Eventos_Novo!$AB:$AB,DRE!N$4)+SUMIFS(Aut_Ajustes_Manuais!$G:$G,Aut_Ajustes_Manuais!$I:$I,DRE!N$4,Aut_Ajustes_Manuais!$F:$F,"Eventos Locações")</f>
        <v>0</v>
      </c>
      <c r="Q16" s="241">
        <v>0</v>
      </c>
      <c r="R16" s="27">
        <v>330.76429725946281</v>
      </c>
      <c r="S16" s="28">
        <f>SUMIFS(BD_Eventos_Novo!$L:$L,BD_Eventos_Novo!$AB:$AB,DRE!Q$4)+SUMIFS(BD_Eventos_Novo!$P:$P,BD_Eventos_Novo!$AB:$AB,DRE!Q$4)+SUMIFS(BD_Eventos_Novo!$Q:$Q,BD_Eventos_Novo!$AB:$AB,DRE!Q$4)+SUMIFS(BD_Eventos_Novo!$R:$R,BD_Eventos_Novo!$AB:$AB,DRE!Q$4)+SUMIFS(BD_Eventos_Novo!$S:$S,BD_Eventos_Novo!$AB:$AB,DRE!Q$4)+SUMIFS(BD_Eventos_Novo!$T:$T,BD_Eventos_Novo!$AB:$AB,DRE!Q$4)+SUMIFS(BD_Eventos_Novo!$U:$U,BD_Eventos_Novo!$AB:$AB,DRE!Q$4)+SUMIFS(BD_Eventos_Novo!$V:$V,BD_Eventos_Novo!$AB:$AB,DRE!Q$4)+SUMIFS(BD_Eventos_Novo!$W:$W,BD_Eventos_Novo!$AB:$AB,DRE!Q$4)+SUMIFS(BD_Eventos_Novo!$X:$X,BD_Eventos_Novo!$AB:$AB,DRE!Q$4)+SUMIFS(Aut_Ajustes_Manuais!$G:$G,Aut_Ajustes_Manuais!$I:$I,DRE!Q$4,Aut_Ajustes_Manuais!$F:$F,"Eventos Locações")</f>
        <v>0</v>
      </c>
      <c r="T16" s="241">
        <v>0</v>
      </c>
      <c r="U16" s="27">
        <v>539.61090814768068</v>
      </c>
      <c r="V16" s="28">
        <f>SUMIFS(BD_Eventos_Novo!$L:$L,BD_Eventos_Novo!$AB:$AB,DRE!T$4)+SUMIFS(BD_Eventos_Novo!$P:$P,BD_Eventos_Novo!$AB:$AB,DRE!T$4)+SUMIFS(BD_Eventos_Novo!$Q:$Q,BD_Eventos_Novo!$AB:$AB,DRE!T$4)+SUMIFS(BD_Eventos_Novo!$R:$R,BD_Eventos_Novo!$AB:$AB,DRE!T$4)+SUMIFS(BD_Eventos_Novo!$S:$S,BD_Eventos_Novo!$AB:$AB,DRE!T$4)+SUMIFS(BD_Eventos_Novo!$T:$T,BD_Eventos_Novo!$AB:$AB,DRE!T$4)+SUMIFS(BD_Eventos_Novo!$U:$U,BD_Eventos_Novo!$AB:$AB,DRE!T$4)+SUMIFS(BD_Eventos_Novo!$V:$V,BD_Eventos_Novo!$AB:$AB,DRE!T$4)+SUMIFS(BD_Eventos_Novo!$W:$W,BD_Eventos_Novo!$AB:$AB,DRE!T$4)+SUMIFS(BD_Eventos_Novo!$X:$X,BD_Eventos_Novo!$AB:$AB,DRE!T$4)+SUMIFS(Aut_Ajustes_Manuais!$G:$G,Aut_Ajustes_Manuais!$I:$I,DRE!T$4,Aut_Ajustes_Manuais!$F:$F,"Eventos Locações")</f>
        <v>0</v>
      </c>
      <c r="W16" s="241">
        <v>0</v>
      </c>
      <c r="X16" s="27">
        <v>481.08010765263032</v>
      </c>
      <c r="Y16" s="28">
        <f>SUMIFS(BD_Eventos_Novo!$L:$L,BD_Eventos_Novo!$AB:$AB,DRE!W$4)+SUMIFS(BD_Eventos_Novo!$P:$P,BD_Eventos_Novo!$AB:$AB,DRE!W$4)+SUMIFS(BD_Eventos_Novo!$Q:$Q,BD_Eventos_Novo!$AB:$AB,DRE!W$4)+SUMIFS(BD_Eventos_Novo!$R:$R,BD_Eventos_Novo!$AB:$AB,DRE!W$4)+SUMIFS(BD_Eventos_Novo!$S:$S,BD_Eventos_Novo!$AB:$AB,DRE!W$4)+SUMIFS(BD_Eventos_Novo!$T:$T,BD_Eventos_Novo!$AB:$AB,DRE!W$4)+SUMIFS(BD_Eventos_Novo!$U:$U,BD_Eventos_Novo!$AB:$AB,DRE!W$4)+SUMIFS(BD_Eventos_Novo!$V:$V,BD_Eventos_Novo!$AB:$AB,DRE!W$4)+SUMIFS(BD_Eventos_Novo!$W:$W,BD_Eventos_Novo!$AB:$AB,DRE!W$4)+SUMIFS(BD_Eventos_Novo!$X:$X,BD_Eventos_Novo!$AB:$AB,DRE!W$4)+SUMIFS(Aut_Ajustes_Manuais!$G:$G,Aut_Ajustes_Manuais!$I:$I,DRE!W$4,Aut_Ajustes_Manuais!$F:$F,"Eventos Locações")</f>
        <v>0</v>
      </c>
      <c r="Z16" s="241">
        <v>0</v>
      </c>
      <c r="AA16" s="27">
        <v>476.51825408569692</v>
      </c>
      <c r="AB16" s="28">
        <f>SUMIFS(BD_Eventos_Novo!$L:$L,BD_Eventos_Novo!$AB:$AB,DRE!Z$4)+SUMIFS(BD_Eventos_Novo!$P:$P,BD_Eventos_Novo!$AB:$AB,DRE!Z$4)+SUMIFS(BD_Eventos_Novo!$Q:$Q,BD_Eventos_Novo!$AB:$AB,DRE!Z$4)+SUMIFS(BD_Eventos_Novo!$R:$R,BD_Eventos_Novo!$AB:$AB,DRE!Z$4)+SUMIFS(BD_Eventos_Novo!$S:$S,BD_Eventos_Novo!$AB:$AB,DRE!Z$4)+SUMIFS(BD_Eventos_Novo!$T:$T,BD_Eventos_Novo!$AB:$AB,DRE!Z$4)+SUMIFS(BD_Eventos_Novo!$U:$U,BD_Eventos_Novo!$AB:$AB,DRE!Z$4)+SUMIFS(BD_Eventos_Novo!$V:$V,BD_Eventos_Novo!$AB:$AB,DRE!Z$4)+SUMIFS(BD_Eventos_Novo!$W:$W,BD_Eventos_Novo!$AB:$AB,DRE!Z$4)+SUMIFS(BD_Eventos_Novo!$X:$X,BD_Eventos_Novo!$AB:$AB,DRE!Z$4)+SUMIFS(Aut_Ajustes_Manuais!$G:$G,Aut_Ajustes_Manuais!$I:$I,DRE!Z$4,Aut_Ajustes_Manuais!$F:$F,"Eventos Locações")</f>
        <v>0</v>
      </c>
      <c r="AC16" s="241">
        <v>0</v>
      </c>
      <c r="AD16" s="27">
        <v>514.26310920603612</v>
      </c>
      <c r="AE16" s="28">
        <f>SUMIFS(BD_Eventos_Novo!$L:$L,BD_Eventos_Novo!$AB:$AB,DRE!AC$4)+SUMIFS(BD_Eventos_Novo!$P:$P,BD_Eventos_Novo!$AB:$AB,DRE!AC$4)+SUMIFS(BD_Eventos_Novo!$Q:$Q,BD_Eventos_Novo!$AB:$AB,DRE!AC$4)+SUMIFS(BD_Eventos_Novo!$R:$R,BD_Eventos_Novo!$AB:$AB,DRE!AC$4)+SUMIFS(BD_Eventos_Novo!$S:$S,BD_Eventos_Novo!$AB:$AB,DRE!AC$4)+SUMIFS(BD_Eventos_Novo!$T:$T,BD_Eventos_Novo!$AB:$AB,DRE!AC$4)+SUMIFS(BD_Eventos_Novo!$U:$U,BD_Eventos_Novo!$AB:$AB,DRE!AC$4)+SUMIFS(BD_Eventos_Novo!$V:$V,BD_Eventos_Novo!$AB:$AB,DRE!AC$4)+SUMIFS(BD_Eventos_Novo!$W:$W,BD_Eventos_Novo!$AB:$AB,DRE!AC$4)+SUMIFS(BD_Eventos_Novo!$X:$X,BD_Eventos_Novo!$AB:$AB,DRE!AC$4)+SUMIFS(Aut_Ajustes_Manuais!$G:$G,Aut_Ajustes_Manuais!$I:$I,DRE!AC$4,Aut_Ajustes_Manuais!$F:$F,"Eventos Locações")</f>
        <v>0</v>
      </c>
      <c r="AF16" s="241">
        <v>0</v>
      </c>
      <c r="AG16" s="27">
        <v>448.10649801728272</v>
      </c>
      <c r="AH16" s="28">
        <f>SUMIFS(BD_Eventos_Novo!$L:$L,BD_Eventos_Novo!$AB:$AB,DRE!AF$4)+SUMIFS(BD_Eventos_Novo!$P:$P,BD_Eventos_Novo!$AB:$AB,DRE!AF$4)+SUMIFS(BD_Eventos_Novo!$Q:$Q,BD_Eventos_Novo!$AB:$AB,DRE!AF$4)+SUMIFS(BD_Eventos_Novo!$R:$R,BD_Eventos_Novo!$AB:$AB,DRE!AF$4)+SUMIFS(BD_Eventos_Novo!$S:$S,BD_Eventos_Novo!$AB:$AB,DRE!AF$4)+SUMIFS(BD_Eventos_Novo!$T:$T,BD_Eventos_Novo!$AB:$AB,DRE!AF$4)+SUMIFS(BD_Eventos_Novo!$U:$U,BD_Eventos_Novo!$AB:$AB,DRE!AF$4)+SUMIFS(BD_Eventos_Novo!$V:$V,BD_Eventos_Novo!$AB:$AB,DRE!AF$4)+SUMIFS(BD_Eventos_Novo!$W:$W,BD_Eventos_Novo!$AB:$AB,DRE!AF$4)+SUMIFS(BD_Eventos_Novo!$X:$X,BD_Eventos_Novo!$AB:$AB,DRE!AF$4)+SUMIFS(Aut_Ajustes_Manuais!$G:$G,Aut_Ajustes_Manuais!$I:$I,DRE!AF$4,Aut_Ajustes_Manuais!$F:$F,"Eventos Locações")</f>
        <v>0</v>
      </c>
      <c r="AI16" s="241">
        <v>0</v>
      </c>
      <c r="AJ16" s="27">
        <v>450.93313470719181</v>
      </c>
      <c r="AK16" s="28">
        <f>SUMIFS(BD_Eventos_Novo!$L:$L,BD_Eventos_Novo!$AB:$AB,DRE!AI$4)+SUMIFS(BD_Eventos_Novo!$P:$P,BD_Eventos_Novo!$AB:$AB,DRE!AI$4)+SUMIFS(BD_Eventos_Novo!$Q:$Q,BD_Eventos_Novo!$AB:$AB,DRE!AI$4)+SUMIFS(BD_Eventos_Novo!$R:$R,BD_Eventos_Novo!$AB:$AB,DRE!AI$4)+SUMIFS(BD_Eventos_Novo!$S:$S,BD_Eventos_Novo!$AB:$AB,DRE!AI$4)+SUMIFS(BD_Eventos_Novo!$T:$T,BD_Eventos_Novo!$AB:$AB,DRE!AI$4)+SUMIFS(BD_Eventos_Novo!$U:$U,BD_Eventos_Novo!$AB:$AB,DRE!AI$4)+SUMIFS(BD_Eventos_Novo!$V:$V,BD_Eventos_Novo!$AB:$AB,DRE!AI$4)+SUMIFS(BD_Eventos_Novo!$W:$W,BD_Eventos_Novo!$AB:$AB,DRE!AI$4)+SUMIFS(BD_Eventos_Novo!$X:$X,BD_Eventos_Novo!$AB:$AB,DRE!AI$4)+SUMIFS(Aut_Ajustes_Manuais!$G:$G,Aut_Ajustes_Manuais!$I:$I,DRE!AI$4,Aut_Ajustes_Manuais!$F:$F,"Eventos Locações")</f>
        <v>0</v>
      </c>
      <c r="AL16" s="241">
        <v>0</v>
      </c>
      <c r="AM16" s="27">
        <v>523.30467529035991</v>
      </c>
      <c r="AN16" s="28">
        <f>SUMIFS(BD_Eventos_Novo!$L:$L,BD_Eventos_Novo!$AB:$AB,DRE!AL$4)+SUMIFS(BD_Eventos_Novo!$P:$P,BD_Eventos_Novo!$AB:$AB,DRE!AL$4)+SUMIFS(BD_Eventos_Novo!$Q:$Q,BD_Eventos_Novo!$AB:$AB,DRE!AL$4)+SUMIFS(BD_Eventos_Novo!$R:$R,BD_Eventos_Novo!$AB:$AB,DRE!AL$4)+SUMIFS(BD_Eventos_Novo!$S:$S,BD_Eventos_Novo!$AB:$AB,DRE!AL$4)+SUMIFS(BD_Eventos_Novo!$T:$T,BD_Eventos_Novo!$AB:$AB,DRE!AL$4)+SUMIFS(BD_Eventos_Novo!$U:$U,BD_Eventos_Novo!$AB:$AB,DRE!AL$4)+SUMIFS(BD_Eventos_Novo!$V:$V,BD_Eventos_Novo!$AB:$AB,DRE!AL$4)+SUMIFS(BD_Eventos_Novo!$W:$W,BD_Eventos_Novo!$AB:$AB,DRE!AL$4)+SUMIFS(BD_Eventos_Novo!$X:$X,BD_Eventos_Novo!$AB:$AB,DRE!AL$4)+SUMIFS(Aut_Ajustes_Manuais!$G:$G,Aut_Ajustes_Manuais!$I:$I,DRE!AL$4,Aut_Ajustes_Manuais!$F:$F,"Eventos Locações")</f>
        <v>0</v>
      </c>
      <c r="AO16" s="241">
        <v>0</v>
      </c>
      <c r="AP16" s="27">
        <v>473.65008871936499</v>
      </c>
      <c r="AQ16" s="28">
        <f>SUMIFS(BD_Eventos_Novo!$L:$L,BD_Eventos_Novo!$AB:$AB,DRE!AO$4)+SUMIFS(BD_Eventos_Novo!$P:$P,BD_Eventos_Novo!$AB:$AB,DRE!AO$4)+SUMIFS(BD_Eventos_Novo!$Q:$Q,BD_Eventos_Novo!$AB:$AB,DRE!AO$4)+SUMIFS(BD_Eventos_Novo!$R:$R,BD_Eventos_Novo!$AB:$AB,DRE!AO$4)+SUMIFS(BD_Eventos_Novo!$S:$S,BD_Eventos_Novo!$AB:$AB,DRE!AO$4)+SUMIFS(BD_Eventos_Novo!$T:$T,BD_Eventos_Novo!$AB:$AB,DRE!AO$4)+SUMIFS(BD_Eventos_Novo!$U:$U,BD_Eventos_Novo!$AB:$AB,DRE!AO$4)+SUMIFS(BD_Eventos_Novo!$V:$V,BD_Eventos_Novo!$AB:$AB,DRE!AO$4)+SUMIFS(BD_Eventos_Novo!$W:$W,BD_Eventos_Novo!$AB:$AB,DRE!AO$4)+SUMIFS(BD_Eventos_Novo!$X:$X,BD_Eventos_Novo!$AB:$AB,DRE!AO$4)+SUMIFS(Aut_Ajustes_Manuais!$G:$G,Aut_Ajustes_Manuais!$I:$I,DRE!AO$4,Aut_Ajustes_Manuais!$F:$F,"Eventos Locações")</f>
        <v>0</v>
      </c>
      <c r="AR16" s="241">
        <f t="shared" ca="1" si="5"/>
        <v>0</v>
      </c>
      <c r="AS16" s="27">
        <f t="shared" ca="1" si="6"/>
        <v>2483.0288768855012</v>
      </c>
      <c r="AT16" s="28">
        <f t="shared" ca="1" si="7"/>
        <v>0</v>
      </c>
      <c r="AU16" s="241">
        <f t="shared" si="8"/>
        <v>0</v>
      </c>
      <c r="AV16" s="27">
        <f t="shared" si="9"/>
        <v>5369.8046369114336</v>
      </c>
      <c r="AW16" s="28">
        <f t="shared" si="10"/>
        <v>0</v>
      </c>
      <c r="AX16" s="241">
        <f t="shared" si="11"/>
        <v>0</v>
      </c>
      <c r="AY16" s="27">
        <f t="shared" si="12"/>
        <v>1131.5735638257274</v>
      </c>
      <c r="AZ16" s="28">
        <f t="shared" si="13"/>
        <v>0</v>
      </c>
      <c r="BA16" s="241">
        <f t="shared" si="14"/>
        <v>0</v>
      </c>
      <c r="BB16" s="27">
        <f t="shared" si="15"/>
        <v>1351.4553130597737</v>
      </c>
      <c r="BC16" s="28">
        <f t="shared" si="16"/>
        <v>0</v>
      </c>
      <c r="BD16" s="241">
        <f t="shared" si="17"/>
        <v>0</v>
      </c>
      <c r="BE16" s="27">
        <f t="shared" si="18"/>
        <v>1438.8878613090158</v>
      </c>
      <c r="BF16" s="28">
        <f t="shared" si="19"/>
        <v>0</v>
      </c>
      <c r="BG16" s="241">
        <f t="shared" si="20"/>
        <v>0</v>
      </c>
      <c r="BH16" s="27">
        <f t="shared" si="21"/>
        <v>1447.8878987169167</v>
      </c>
      <c r="BI16" s="28">
        <f t="shared" si="22"/>
        <v>0</v>
      </c>
      <c r="BK16" s="448">
        <f t="shared" si="1"/>
        <v>5369.8046369114336</v>
      </c>
      <c r="BL16" s="448">
        <f t="shared" si="2"/>
        <v>0</v>
      </c>
      <c r="BM16" s="448">
        <f t="shared" si="3"/>
        <v>0</v>
      </c>
      <c r="BN16" s="448">
        <f t="shared" ca="1" si="4"/>
        <v>0</v>
      </c>
    </row>
    <row r="17" spans="1:71" s="29" customFormat="1" hidden="1" outlineLevel="1" x14ac:dyDescent="0.3">
      <c r="A17" s="22" t="s">
        <v>29</v>
      </c>
      <c r="B17" s="23"/>
      <c r="C17" s="24" t="s">
        <v>16</v>
      </c>
      <c r="D17" s="31" t="s">
        <v>30</v>
      </c>
      <c r="E17" s="32"/>
      <c r="F17" s="26"/>
      <c r="G17" s="435"/>
      <c r="H17" s="241"/>
      <c r="I17" s="27">
        <v>307.1390252341439</v>
      </c>
      <c r="J17" s="28">
        <v>0</v>
      </c>
      <c r="K17" s="241"/>
      <c r="L17" s="27">
        <v>291.40802792821739</v>
      </c>
      <c r="M17" s="28">
        <v>0</v>
      </c>
      <c r="N17" s="241"/>
      <c r="O17" s="27">
        <v>233.78208134640471</v>
      </c>
      <c r="P17" s="28">
        <v>0</v>
      </c>
      <c r="Q17" s="241"/>
      <c r="R17" s="27">
        <v>243.29373720396339</v>
      </c>
      <c r="S17" s="28">
        <v>0</v>
      </c>
      <c r="T17" s="241"/>
      <c r="U17" s="27">
        <v>396.91089868834979</v>
      </c>
      <c r="V17" s="28">
        <v>0</v>
      </c>
      <c r="W17" s="241"/>
      <c r="X17" s="27">
        <v>353.85855805797661</v>
      </c>
      <c r="Y17" s="28">
        <v>0</v>
      </c>
      <c r="Z17" s="241"/>
      <c r="AA17" s="27">
        <v>350.50308586199827</v>
      </c>
      <c r="AB17" s="28">
        <v>0</v>
      </c>
      <c r="AC17" s="241"/>
      <c r="AD17" s="27">
        <v>378.26632070486272</v>
      </c>
      <c r="AE17" s="28">
        <v>0</v>
      </c>
      <c r="AF17" s="241">
        <v>0</v>
      </c>
      <c r="AG17" s="27">
        <v>329.60481367336013</v>
      </c>
      <c r="AH17" s="28">
        <v>0</v>
      </c>
      <c r="AI17" s="241">
        <v>0</v>
      </c>
      <c r="AJ17" s="27">
        <v>331.68394678930929</v>
      </c>
      <c r="AK17" s="28">
        <v>0</v>
      </c>
      <c r="AL17" s="241">
        <v>0</v>
      </c>
      <c r="AM17" s="27">
        <v>384.9168462333364</v>
      </c>
      <c r="AN17" s="28">
        <v>0</v>
      </c>
      <c r="AO17" s="241">
        <v>0</v>
      </c>
      <c r="AP17" s="27">
        <v>348.39340632077949</v>
      </c>
      <c r="AQ17" s="28">
        <v>0</v>
      </c>
      <c r="AR17" s="241">
        <f t="shared" ca="1" si="5"/>
        <v>0</v>
      </c>
      <c r="AS17" s="27">
        <f t="shared" ca="1" si="6"/>
        <v>1826.3923284590558</v>
      </c>
      <c r="AT17" s="28">
        <f t="shared" ca="1" si="7"/>
        <v>0</v>
      </c>
      <c r="AU17" s="241">
        <f t="shared" si="8"/>
        <v>0</v>
      </c>
      <c r="AV17" s="27">
        <f t="shared" si="9"/>
        <v>3949.7607480427018</v>
      </c>
      <c r="AW17" s="28">
        <f t="shared" si="10"/>
        <v>0</v>
      </c>
      <c r="AX17" s="241">
        <f t="shared" si="11"/>
        <v>0</v>
      </c>
      <c r="AY17" s="27">
        <f t="shared" si="12"/>
        <v>832.32913450876595</v>
      </c>
      <c r="AZ17" s="28">
        <f t="shared" si="13"/>
        <v>0</v>
      </c>
      <c r="BA17" s="241">
        <f t="shared" si="14"/>
        <v>0</v>
      </c>
      <c r="BB17" s="27">
        <f t="shared" si="15"/>
        <v>994.06319395028981</v>
      </c>
      <c r="BC17" s="28">
        <f t="shared" si="16"/>
        <v>0</v>
      </c>
      <c r="BD17" s="241">
        <f t="shared" si="17"/>
        <v>0</v>
      </c>
      <c r="BE17" s="27">
        <f t="shared" si="18"/>
        <v>1058.3742202402211</v>
      </c>
      <c r="BF17" s="28">
        <f t="shared" si="19"/>
        <v>0</v>
      </c>
      <c r="BG17" s="241">
        <f t="shared" si="20"/>
        <v>0</v>
      </c>
      <c r="BH17" s="27">
        <f t="shared" si="21"/>
        <v>1064.9941993434252</v>
      </c>
      <c r="BI17" s="28">
        <f t="shared" si="22"/>
        <v>0</v>
      </c>
      <c r="BK17" s="448">
        <f t="shared" si="1"/>
        <v>3949.7607480427018</v>
      </c>
      <c r="BL17" s="448">
        <f t="shared" si="2"/>
        <v>0</v>
      </c>
      <c r="BM17" s="448">
        <f t="shared" si="3"/>
        <v>0</v>
      </c>
      <c r="BN17" s="448">
        <f t="shared" ca="1" si="4"/>
        <v>0</v>
      </c>
    </row>
    <row r="18" spans="1:71" s="29" customFormat="1" hidden="1" outlineLevel="1" x14ac:dyDescent="0.3">
      <c r="A18" s="22" t="s">
        <v>31</v>
      </c>
      <c r="B18" s="23"/>
      <c r="C18" s="24" t="s">
        <v>16</v>
      </c>
      <c r="D18" s="24" t="s">
        <v>32</v>
      </c>
      <c r="E18" s="25"/>
      <c r="F18" s="26"/>
      <c r="G18" s="435"/>
      <c r="H18" s="241">
        <v>1110</v>
      </c>
      <c r="I18" s="27">
        <v>1324.0791667869539</v>
      </c>
      <c r="J18" s="28">
        <f>SUMIFS(Aut_Faturamento_Zig_Delivery!$F:$F,Aut_Faturamento_Zig_Delivery!$D:$D,DRE!H4)+SUMIFS(Aut_Ajustes_Manuais!$G:$G,Aut_Ajustes_Manuais!$I:$I,DRE!H$4,Aut_Ajustes_Manuais!$F:$F,"Delivery")</f>
        <v>1011.8500000000001</v>
      </c>
      <c r="K18" s="241">
        <v>760</v>
      </c>
      <c r="L18" s="27">
        <v>1256.2626925057059</v>
      </c>
      <c r="M18" s="28">
        <f>SUMIFS(Aut_Faturamento_Zig_Delivery!$F:$F,Aut_Faturamento_Zig_Delivery!$D:$D,DRE!K4)+SUMIFS(Aut_Ajustes_Manuais!$G:$G,Aut_Ajustes_Manuais!$I:$I,DRE!K$4,Aut_Ajustes_Manuais!$F:$F,"Delivery")</f>
        <v>1864.6800000000003</v>
      </c>
      <c r="N18" s="241">
        <v>2606</v>
      </c>
      <c r="O18" s="27">
        <v>1007.836706009237</v>
      </c>
      <c r="P18" s="28">
        <f>SUMIFS(Aut_Faturamento_Zig_Delivery!$F:$F,Aut_Faturamento_Zig_Delivery!$D:$D,DRE!N4)+SUMIFS(Aut_Ajustes_Manuais!$G:$G,Aut_Ajustes_Manuais!$I:$I,DRE!N$4,Aut_Ajustes_Manuais!$F:$F,"Delivery")</f>
        <v>4114.0399999999991</v>
      </c>
      <c r="Q18" s="241">
        <v>732</v>
      </c>
      <c r="R18" s="27">
        <v>1048.841542021331</v>
      </c>
      <c r="S18" s="28">
        <f>SUMIFS(Aut_Faturamento_Zig_Delivery!$F:$F,Aut_Faturamento_Zig_Delivery!$D:$D,DRE!Q4)+SUMIFS(Aut_Ajustes_Manuais!$G:$G,Aut_Ajustes_Manuais!$I:$I,DRE!Q$4,Aut_Ajustes_Manuais!$F:$F,"Delivery")</f>
        <v>2829.9600000000005</v>
      </c>
      <c r="T18" s="241">
        <v>1684</v>
      </c>
      <c r="U18" s="27">
        <v>1711.0865401206861</v>
      </c>
      <c r="V18" s="28">
        <f>SUMIFS(Aut_Faturamento_Zig_Delivery!$F:$F,Aut_Faturamento_Zig_Delivery!$D:$D,DRE!T4)+SUMIFS(Aut_Ajustes_Manuais!$G:$G,Aut_Ajustes_Manuais!$I:$I,DRE!T$4,Aut_Ajustes_Manuais!$F:$F,"Delivery")</f>
        <v>1246.67</v>
      </c>
      <c r="W18" s="241">
        <v>1132</v>
      </c>
      <c r="X18" s="27">
        <v>1525.4875031157469</v>
      </c>
      <c r="Y18" s="28">
        <f>SUMIFS(Aut_Faturamento_Zig_Delivery!$F:$F,Aut_Faturamento_Zig_Delivery!$D:$D,DRE!W4)+SUMIFS(Aut_Ajustes_Manuais!$G:$G,Aut_Ajustes_Manuais!$I:$I,DRE!W$4,Aut_Ajustes_Manuais!$F:$F,"Delivery")</f>
        <v>1009.3700000000002</v>
      </c>
      <c r="Z18" s="241">
        <v>1708</v>
      </c>
      <c r="AA18" s="27">
        <v>1511.0220315722311</v>
      </c>
      <c r="AB18" s="28">
        <f>SUMIFS(Aut_Faturamento_Zig_Delivery!$F:$F,Aut_Faturamento_Zig_Delivery!$D:$D,DRE!Z4)+SUMIFS(Aut_Ajustes_Manuais!$G:$G,Aut_Ajustes_Manuais!$I:$I,DRE!Z$4,Aut_Ajustes_Manuais!$F:$F,"Delivery")</f>
        <v>427.93</v>
      </c>
      <c r="AC18" s="241">
        <v>1115</v>
      </c>
      <c r="AD18" s="27">
        <v>1630.7095927020041</v>
      </c>
      <c r="AE18" s="28">
        <f>SUMIFS(Aut_Faturamento_Zig_Delivery!$F:$F,Aut_Faturamento_Zig_Delivery!$D:$D,DRE!AC4)+SUMIFS(Aut_Ajustes_Manuais!$G:$G,Aut_Ajustes_Manuais!$I:$I,DRE!AC$4,Aut_Ajustes_Manuais!$F:$F,"Delivery")</f>
        <v>0</v>
      </c>
      <c r="AF18" s="241">
        <v>792</v>
      </c>
      <c r="AG18" s="27">
        <v>1420.929387676769</v>
      </c>
      <c r="AH18" s="28">
        <f>SUMIFS(Aut_Faturamento_Zig_Delivery!$F:$F,Aut_Faturamento_Zig_Delivery!$D:$D,DRE!AF4)+SUMIFS(Aut_Ajustes_Manuais!$G:$G,Aut_Ajustes_Manuais!$I:$I,DRE!AF$4,Aut_Ajustes_Manuais!$F:$F,"Delivery")</f>
        <v>0</v>
      </c>
      <c r="AI18" s="241">
        <v>696.88000000000011</v>
      </c>
      <c r="AJ18" s="27">
        <v>1429.8925496901491</v>
      </c>
      <c r="AK18" s="28">
        <f>SUMIFS(Aut_Faturamento_Zig_Delivery!$F:$F,Aut_Faturamento_Zig_Delivery!$D:$D,DRE!AI4)+SUMIFS(Aut_Ajustes_Manuais!$G:$G,Aut_Ajustes_Manuais!$I:$I,DRE!AI$4,Aut_Ajustes_Manuais!$F:$F,"Delivery")</f>
        <v>0</v>
      </c>
      <c r="AL18" s="241">
        <v>1476.82</v>
      </c>
      <c r="AM18" s="27">
        <v>1659.380069512054</v>
      </c>
      <c r="AN18" s="28">
        <f>SUMIFS(Aut_Faturamento_Zig_Delivery!$F:$F,Aut_Faturamento_Zig_Delivery!$D:$D,DRE!AL4)+SUMIFS(Aut_Ajustes_Manuais!$G:$G,Aut_Ajustes_Manuais!$I:$I,DRE!AL$4,Aut_Ajustes_Manuais!$F:$F,"Delivery")</f>
        <v>0</v>
      </c>
      <c r="AO18" s="241">
        <v>872.88000000000011</v>
      </c>
      <c r="AP18" s="27">
        <v>1501.927183638157</v>
      </c>
      <c r="AQ18" s="28">
        <f>SUMIFS(Aut_Faturamento_Zig_Delivery!$F:$F,Aut_Faturamento_Zig_Delivery!$D:$D,DRE!AO4)+SUMIFS(Aut_Ajustes_Manuais!$G:$G,Aut_Ajustes_Manuais!$I:$I,DRE!AO$4,Aut_Ajustes_Manuais!$F:$F,"Delivery")</f>
        <v>0</v>
      </c>
      <c r="AR18" s="241">
        <f t="shared" ca="1" si="5"/>
        <v>8024</v>
      </c>
      <c r="AS18" s="27">
        <f t="shared" ca="1" si="6"/>
        <v>7873.5941505596611</v>
      </c>
      <c r="AT18" s="28">
        <f t="shared" ca="1" si="7"/>
        <v>12076.570000000002</v>
      </c>
      <c r="AU18" s="241">
        <f t="shared" si="8"/>
        <v>14685.580000000002</v>
      </c>
      <c r="AV18" s="27">
        <f t="shared" si="9"/>
        <v>17027.454965351026</v>
      </c>
      <c r="AW18" s="28">
        <f t="shared" si="10"/>
        <v>12504.500000000002</v>
      </c>
      <c r="AX18" s="241">
        <f t="shared" si="11"/>
        <v>4476</v>
      </c>
      <c r="AY18" s="27">
        <f t="shared" si="12"/>
        <v>3588.1785653018969</v>
      </c>
      <c r="AZ18" s="28">
        <f t="shared" si="13"/>
        <v>6990.57</v>
      </c>
      <c r="BA18" s="241">
        <f t="shared" si="14"/>
        <v>3548</v>
      </c>
      <c r="BB18" s="27">
        <f t="shared" si="15"/>
        <v>4285.4155852577642</v>
      </c>
      <c r="BC18" s="28">
        <f t="shared" si="16"/>
        <v>5086.0000000000009</v>
      </c>
      <c r="BD18" s="241">
        <f t="shared" si="17"/>
        <v>3615</v>
      </c>
      <c r="BE18" s="27">
        <f t="shared" si="18"/>
        <v>4562.6610119510042</v>
      </c>
      <c r="BF18" s="28">
        <f t="shared" si="19"/>
        <v>427.93</v>
      </c>
      <c r="BG18" s="241">
        <f t="shared" si="20"/>
        <v>3046.58</v>
      </c>
      <c r="BH18" s="27">
        <f t="shared" si="21"/>
        <v>4591.1998028403596</v>
      </c>
      <c r="BI18" s="28">
        <f t="shared" si="22"/>
        <v>0</v>
      </c>
      <c r="BK18" s="448">
        <f t="shared" si="1"/>
        <v>17027.454965351026</v>
      </c>
      <c r="BL18" s="448">
        <f t="shared" si="2"/>
        <v>0</v>
      </c>
      <c r="BM18" s="448">
        <f t="shared" si="3"/>
        <v>11067.2</v>
      </c>
      <c r="BN18" s="448">
        <f t="shared" ca="1" si="4"/>
        <v>-1009.3700000000008</v>
      </c>
    </row>
    <row r="19" spans="1:71" s="29" customFormat="1" hidden="1" outlineLevel="1" x14ac:dyDescent="0.3">
      <c r="A19" s="22" t="s">
        <v>33</v>
      </c>
      <c r="B19" s="23"/>
      <c r="C19" s="24" t="s">
        <v>16</v>
      </c>
      <c r="D19" s="24" t="s">
        <v>34</v>
      </c>
      <c r="E19" s="25"/>
      <c r="F19" s="26"/>
      <c r="G19" s="435"/>
      <c r="H19" s="241">
        <v>121.5</v>
      </c>
      <c r="I19" s="27">
        <v>208.77495244426541</v>
      </c>
      <c r="J19" s="28">
        <f>SUMIFS(Aut_Receitas_Extraord!$L:$L,Aut_Receitas_Extraord!$U:$U,DRE!H4,Aut_Receitas_Extraord!$D:$D,"Coleta de Óleo")+SUMIFS(Aut_Ajustes_Manuais!$G:$G,Aut_Ajustes_Manuais!$I:$I,DRE!H$4,Aut_Ajustes_Manuais!$F:$F,"Outras Receitas")</f>
        <v>189</v>
      </c>
      <c r="K19" s="241">
        <v>135</v>
      </c>
      <c r="L19" s="27">
        <v>198.08195043339441</v>
      </c>
      <c r="M19" s="28">
        <f>SUMIFS(Aut_Receitas_Extraord!$L:$L,Aut_Receitas_Extraord!$U:$U,DRE!K4,Aut_Receitas_Extraord!$D:$D,"Coleta de Óleo")+SUMIFS(Aut_Ajustes_Manuais!$G:$G,Aut_Ajustes_Manuais!$I:$I,DRE!K$4,Aut_Ajustes_Manuais!$F:$F,"Outras Receitas")</f>
        <v>297</v>
      </c>
      <c r="N19" s="241">
        <v>135</v>
      </c>
      <c r="O19" s="27">
        <v>158.91123857741269</v>
      </c>
      <c r="P19" s="28">
        <f>SUMIFS(Aut_Receitas_Extraord!$L:$L,Aut_Receitas_Extraord!$U:$U,DRE!N4,Aut_Receitas_Extraord!$D:$D,"Coleta de Óleo")+SUMIFS(Aut_Ajustes_Manuais!$G:$G,Aut_Ajustes_Manuais!$I:$I,DRE!N$4,Aut_Ajustes_Manuais!$F:$F,"Outras Receitas")</f>
        <v>270</v>
      </c>
      <c r="Q19" s="241">
        <v>81</v>
      </c>
      <c r="R19" s="27">
        <v>165.37669993587789</v>
      </c>
      <c r="S19" s="28">
        <f>SUMIFS(Aut_Receitas_Extraord!$L:$L,Aut_Receitas_Extraord!$U:$U,DRE!Q4,Aut_Receitas_Extraord!$D:$D,"Coleta de Óleo")+SUMIFS(Aut_Ajustes_Manuais!$G:$G,Aut_Ajustes_Manuais!$I:$I,DRE!Q$4,Aut_Ajustes_Manuais!$F:$F,"Outras Receitas")</f>
        <v>216</v>
      </c>
      <c r="T19" s="241">
        <v>0</v>
      </c>
      <c r="U19" s="27">
        <v>269.79656504118827</v>
      </c>
      <c r="V19" s="28">
        <f>SUMIFS(Aut_Receitas_Extraord!$L:$L,Aut_Receitas_Extraord!$U:$U,DRE!T4,Aut_Receitas_Extraord!$D:$D,"Coleta de Óleo")+SUMIFS(Aut_Ajustes_Manuais!$G:$G,Aut_Ajustes_Manuais!$I:$I,DRE!T$4,Aut_Ajustes_Manuais!$F:$F,"Outras Receitas")</f>
        <v>270</v>
      </c>
      <c r="W19" s="241">
        <v>81</v>
      </c>
      <c r="X19" s="27">
        <v>240.53212897394349</v>
      </c>
      <c r="Y19" s="28">
        <f>SUMIFS(Aut_Receitas_Extraord!$L:$L,Aut_Receitas_Extraord!$U:$U,DRE!W4,Aut_Receitas_Extraord!$D:$D,"Coleta de Óleo")+SUMIFS(Aut_Ajustes_Manuais!$G:$G,Aut_Ajustes_Manuais!$I:$I,DRE!W$4,Aut_Ajustes_Manuais!$F:$F,"Outras Receitas")</f>
        <v>0</v>
      </c>
      <c r="Z19" s="241">
        <v>0</v>
      </c>
      <c r="AA19" s="27">
        <v>238.25127733807801</v>
      </c>
      <c r="AB19" s="28">
        <f>SUMIFS(Aut_Receitas_Extraord!$L:$L,Aut_Receitas_Extraord!$U:$U,DRE!Z4,Aut_Receitas_Extraord!$D:$D,"Coleta de Óleo")+SUMIFS(Aut_Ajustes_Manuais!$G:$G,Aut_Ajustes_Manuais!$I:$I,DRE!Z$4,Aut_Ajustes_Manuais!$F:$F,"Outras Receitas")</f>
        <v>0</v>
      </c>
      <c r="AC19" s="241">
        <v>135</v>
      </c>
      <c r="AD19" s="27">
        <v>257.123083125699</v>
      </c>
      <c r="AE19" s="28">
        <f>SUMIFS(Aut_Receitas_Extraord!$L:$L,Aut_Receitas_Extraord!$U:$U,DRE!AC4,Aut_Receitas_Extraord!$D:$D,"Coleta de Óleo")+SUMIFS(Aut_Ajustes_Manuais!$G:$G,Aut_Ajustes_Manuais!$I:$I,DRE!AC$4,Aut_Ajustes_Manuais!$F:$F,"Outras Receitas")</f>
        <v>0</v>
      </c>
      <c r="AF19" s="241">
        <v>351</v>
      </c>
      <c r="AG19" s="27">
        <v>224.04586733189549</v>
      </c>
      <c r="AH19" s="28">
        <f>SUMIFS(Aut_Receitas_Extraord!$L:$L,Aut_Receitas_Extraord!$U:$U,DRE!AF4,Aut_Receitas_Extraord!$D:$D,"Coleta de Óleo")+SUMIFS(Aut_Ajustes_Manuais!$G:$G,Aut_Ajustes_Manuais!$I:$I,DRE!AF$4,Aut_Ajustes_Manuais!$F:$F,"Outras Receitas")</f>
        <v>0</v>
      </c>
      <c r="AI19" s="241">
        <v>189</v>
      </c>
      <c r="AJ19" s="27">
        <v>225.45913911354771</v>
      </c>
      <c r="AK19" s="28">
        <f>SUMIFS(Aut_Receitas_Extraord!$L:$L,Aut_Receitas_Extraord!$U:$U,DRE!AI4,Aut_Receitas_Extraord!$D:$D,"Coleta de Óleo")+SUMIFS(Aut_Ajustes_Manuais!$G:$G,Aut_Ajustes_Manuais!$I:$I,DRE!AI$4,Aut_Ajustes_Manuais!$F:$F,"Outras Receitas")</f>
        <v>0</v>
      </c>
      <c r="AL19" s="241">
        <v>310.5</v>
      </c>
      <c r="AM19" s="27">
        <v>261.64371722577141</v>
      </c>
      <c r="AN19" s="28">
        <f>SUMIFS(Aut_Receitas_Extraord!$L:$L,Aut_Receitas_Extraord!$U:$U,DRE!AL4,Aut_Receitas_Extraord!$D:$D,"Coleta de Óleo")+SUMIFS(Aut_Ajustes_Manuais!$G:$G,Aut_Ajustes_Manuais!$I:$I,DRE!AL$4,Aut_Ajustes_Manuais!$F:$F,"Outras Receitas")</f>
        <v>0</v>
      </c>
      <c r="AO19" s="241">
        <v>297</v>
      </c>
      <c r="AP19" s="27">
        <v>236.8172419023179</v>
      </c>
      <c r="AQ19" s="28">
        <f>SUMIFS(Aut_Receitas_Extraord!$L:$L,Aut_Receitas_Extraord!$U:$U,DRE!AO4,Aut_Receitas_Extraord!$D:$D,"Coleta de Óleo")+SUMIFS(Aut_Ajustes_Manuais!$G:$G,Aut_Ajustes_Manuais!$I:$I,DRE!AO$4,Aut_Ajustes_Manuais!$F:$F,"Outras Receitas")</f>
        <v>0</v>
      </c>
      <c r="AR19" s="241">
        <f t="shared" ca="1" si="5"/>
        <v>553.5</v>
      </c>
      <c r="AS19" s="27">
        <f t="shared" ca="1" si="6"/>
        <v>1241.4735354060822</v>
      </c>
      <c r="AT19" s="28">
        <f t="shared" ca="1" si="7"/>
        <v>1242</v>
      </c>
      <c r="AU19" s="241">
        <f t="shared" si="8"/>
        <v>1836</v>
      </c>
      <c r="AV19" s="27">
        <f t="shared" si="9"/>
        <v>2684.8138614433919</v>
      </c>
      <c r="AW19" s="28">
        <f t="shared" si="10"/>
        <v>1242</v>
      </c>
      <c r="AX19" s="241">
        <f t="shared" si="11"/>
        <v>391.5</v>
      </c>
      <c r="AY19" s="27">
        <f t="shared" si="12"/>
        <v>565.76814145507251</v>
      </c>
      <c r="AZ19" s="28">
        <f t="shared" si="13"/>
        <v>756</v>
      </c>
      <c r="BA19" s="241">
        <f t="shared" si="14"/>
        <v>162</v>
      </c>
      <c r="BB19" s="27">
        <f t="shared" si="15"/>
        <v>675.70539395100968</v>
      </c>
      <c r="BC19" s="28">
        <f t="shared" si="16"/>
        <v>486</v>
      </c>
      <c r="BD19" s="241">
        <f t="shared" si="17"/>
        <v>486</v>
      </c>
      <c r="BE19" s="27">
        <f t="shared" si="18"/>
        <v>719.42022779567253</v>
      </c>
      <c r="BF19" s="28">
        <f t="shared" si="19"/>
        <v>0</v>
      </c>
      <c r="BG19" s="241">
        <f t="shared" si="20"/>
        <v>796.5</v>
      </c>
      <c r="BH19" s="27">
        <f t="shared" si="21"/>
        <v>723.92009824163711</v>
      </c>
      <c r="BI19" s="28">
        <f t="shared" si="22"/>
        <v>0</v>
      </c>
      <c r="BK19" s="448">
        <f t="shared" si="1"/>
        <v>2684.8138614433919</v>
      </c>
      <c r="BL19" s="448">
        <f t="shared" si="2"/>
        <v>0</v>
      </c>
      <c r="BM19" s="448">
        <f t="shared" si="3"/>
        <v>1242</v>
      </c>
      <c r="BN19" s="448">
        <f t="shared" ca="1" si="4"/>
        <v>0</v>
      </c>
    </row>
    <row r="20" spans="1:71" s="38" customFormat="1" ht="20.399999999999999" customHeight="1" collapsed="1" x14ac:dyDescent="0.3">
      <c r="A20" s="34" t="s">
        <v>35</v>
      </c>
      <c r="B20" s="5"/>
      <c r="C20" s="12"/>
      <c r="D20" s="13"/>
      <c r="E20" s="35"/>
      <c r="F20" s="36"/>
      <c r="G20" s="435"/>
      <c r="H20" s="242">
        <v>0</v>
      </c>
      <c r="I20" s="37">
        <f>SUM(I14:I17)</f>
        <v>10306.165149353172</v>
      </c>
      <c r="J20" s="243">
        <f>SUM(J14:J17)+SUMIFS(Aut_Ajustes_Manuais!$G:$G,Aut_Ajustes_Manuais!$I:$I,DRE!H$4,Aut_Ajustes_Manuais!$F:$F,"Eventos")</f>
        <v>0</v>
      </c>
      <c r="K20" s="242">
        <v>0</v>
      </c>
      <c r="L20" s="37">
        <f>SUM(L14:L17)</f>
        <v>9778.3056366282326</v>
      </c>
      <c r="M20" s="243">
        <f>SUM(M14:M17)+SUMIFS(Aut_Ajustes_Manuais!$G:$G,Aut_Ajustes_Manuais!$I:$I,DRE!K$4,Aut_Ajustes_Manuais!$F:$F,"Eventos")</f>
        <v>0</v>
      </c>
      <c r="N20" s="242">
        <v>0</v>
      </c>
      <c r="O20" s="37">
        <f>SUM(O14:O17)</f>
        <v>7844.6453930066009</v>
      </c>
      <c r="P20" s="243">
        <f>SUM(P14:P17)+SUMIFS(Aut_Ajustes_Manuais!$G:$G,Aut_Ajustes_Manuais!$I:$I,DRE!N$4,Aut_Ajustes_Manuais!$F:$F,"Eventos")</f>
        <v>0</v>
      </c>
      <c r="Q20" s="242">
        <v>0</v>
      </c>
      <c r="R20" s="37">
        <f>SUM(R14:R17)</f>
        <v>8163.8125715736387</v>
      </c>
      <c r="S20" s="243">
        <f>SUM(S14:S17)+SUMIFS(Aut_Ajustes_Manuais!$G:$G,Aut_Ajustes_Manuais!$I:$I,DRE!Q$4,Aut_Ajustes_Manuais!$F:$F,"Eventos")</f>
        <v>0</v>
      </c>
      <c r="T20" s="242">
        <v>0</v>
      </c>
      <c r="U20" s="37">
        <f>SUM(U14:U17)</f>
        <v>13318.494021858258</v>
      </c>
      <c r="V20" s="243">
        <f>SUM(V14:V17)+SUMIFS(Aut_Ajustes_Manuais!$G:$G,Aut_Ajustes_Manuais!$I:$I,DRE!T$4,Aut_Ajustes_Manuais!$F:$F,"Eventos")</f>
        <v>0</v>
      </c>
      <c r="W20" s="242">
        <v>0</v>
      </c>
      <c r="X20" s="37">
        <f>SUM(X14:X17)</f>
        <v>11873.85659011353</v>
      </c>
      <c r="Y20" s="243">
        <f>SUM(Y14:Y17)+SUMIFS(Aut_Ajustes_Manuais!$G:$G,Aut_Ajustes_Manuais!$I:$I,DRE!W$4,Aut_Ajustes_Manuais!$F:$F,"Eventos")</f>
        <v>0</v>
      </c>
      <c r="Z20" s="242">
        <v>0</v>
      </c>
      <c r="AA20" s="37">
        <f>SUM(AA14:AA17)</f>
        <v>11761.262462488579</v>
      </c>
      <c r="AB20" s="243">
        <f>SUM(AB14:AB17)+SUMIFS(Aut_Ajustes_Manuais!$G:$G,Aut_Ajustes_Manuais!$I:$I,DRE!Z$4,Aut_Ajustes_Manuais!$F:$F,"Eventos")</f>
        <v>0</v>
      </c>
      <c r="AC20" s="242">
        <v>0</v>
      </c>
      <c r="AD20" s="37">
        <f>SUM(AD14:AD17)</f>
        <v>12692.868217090127</v>
      </c>
      <c r="AE20" s="243">
        <f>SUM(AE14:AE17)+SUMIFS(Aut_Ajustes_Manuais!$G:$G,Aut_Ajustes_Manuais!$I:$I,DRE!AC$4,Aut_Ajustes_Manuais!$F:$F,"Eventos")</f>
        <v>0</v>
      </c>
      <c r="AF20" s="242">
        <v>0</v>
      </c>
      <c r="AG20" s="37">
        <f>SUM(AG14:AG17)</f>
        <v>11060.013103674455</v>
      </c>
      <c r="AH20" s="243">
        <f>SUM(AH14:AH17)+SUMIFS(Aut_Ajustes_Manuais!$G:$G,Aut_Ajustes_Manuais!$I:$I,DRE!AF$4,Aut_Ajustes_Manuais!$F:$F,"Eventos")</f>
        <v>0</v>
      </c>
      <c r="AI20" s="242">
        <v>0</v>
      </c>
      <c r="AJ20" s="37">
        <f>SUM(AJ14:AJ17)</f>
        <v>11129.779194922956</v>
      </c>
      <c r="AK20" s="243">
        <f>SUM(AK14:AK17)+SUMIFS(Aut_Ajustes_Manuais!$G:$G,Aut_Ajustes_Manuais!$I:$I,DRE!AI$4,Aut_Ajustes_Manuais!$F:$F,"Eventos")</f>
        <v>0</v>
      </c>
      <c r="AL20" s="242">
        <v>6400</v>
      </c>
      <c r="AM20" s="37">
        <f>SUM(AM14:AM17)</f>
        <v>12916.029094722611</v>
      </c>
      <c r="AN20" s="243">
        <f>SUM(AN14:AN17)+SUMIFS(Aut_Ajustes_Manuais!$G:$G,Aut_Ajustes_Manuais!$I:$I,DRE!AL$4,Aut_Ajustes_Manuais!$F:$F,"Eventos")</f>
        <v>0</v>
      </c>
      <c r="AO20" s="242">
        <v>10500</v>
      </c>
      <c r="AP20" s="37">
        <f>SUM(AP14:AP17)</f>
        <v>11690.47137448719</v>
      </c>
      <c r="AQ20" s="243">
        <f>SUM(AQ14:AQ17)+SUMIFS(Aut_Ajustes_Manuais!$G:$G,Aut_Ajustes_Manuais!$I:$I,DRE!AO$4,Aut_Ajustes_Manuais!$F:$F,"Eventos")</f>
        <v>0</v>
      </c>
      <c r="AR20" s="243">
        <f t="shared" ca="1" si="5"/>
        <v>0</v>
      </c>
      <c r="AS20" s="243">
        <f t="shared" ca="1" si="6"/>
        <v>61285.279362533431</v>
      </c>
      <c r="AT20" s="243">
        <f t="shared" ca="1" si="7"/>
        <v>0</v>
      </c>
      <c r="AU20" s="242">
        <f t="shared" ref="AU20:BI20" si="23">SUM(AU14:AU17)</f>
        <v>16900</v>
      </c>
      <c r="AV20" s="37">
        <f t="shared" si="23"/>
        <v>132535.70280991934</v>
      </c>
      <c r="AW20" s="243">
        <f t="shared" si="23"/>
        <v>0</v>
      </c>
      <c r="AX20" s="242">
        <f t="shared" si="23"/>
        <v>0</v>
      </c>
      <c r="AY20" s="37">
        <f t="shared" si="23"/>
        <v>27929.116178988013</v>
      </c>
      <c r="AZ20" s="243">
        <f t="shared" si="23"/>
        <v>0</v>
      </c>
      <c r="BA20" s="242">
        <f t="shared" si="23"/>
        <v>0</v>
      </c>
      <c r="BB20" s="37">
        <f t="shared" si="23"/>
        <v>33356.163183545425</v>
      </c>
      <c r="BC20" s="243">
        <f t="shared" si="23"/>
        <v>0</v>
      </c>
      <c r="BD20" s="242">
        <f t="shared" si="23"/>
        <v>0</v>
      </c>
      <c r="BE20" s="37">
        <f t="shared" si="23"/>
        <v>35514.143783253159</v>
      </c>
      <c r="BF20" s="243">
        <f t="shared" si="23"/>
        <v>0</v>
      </c>
      <c r="BG20" s="242">
        <f t="shared" si="23"/>
        <v>16900</v>
      </c>
      <c r="BH20" s="37">
        <f t="shared" si="23"/>
        <v>35736.279664132759</v>
      </c>
      <c r="BI20" s="243">
        <f t="shared" si="23"/>
        <v>0</v>
      </c>
      <c r="BK20" s="448">
        <f t="shared" si="1"/>
        <v>132535.70280991937</v>
      </c>
      <c r="BL20" s="448">
        <f t="shared" si="2"/>
        <v>0</v>
      </c>
      <c r="BM20" s="448">
        <f t="shared" si="3"/>
        <v>0</v>
      </c>
      <c r="BN20" s="448">
        <f t="shared" ca="1" si="4"/>
        <v>0</v>
      </c>
    </row>
    <row r="21" spans="1:71" x14ac:dyDescent="0.3">
      <c r="A21" s="39" t="s">
        <v>36</v>
      </c>
      <c r="C21" s="40" t="s">
        <v>37</v>
      </c>
      <c r="D21" s="40" t="s">
        <v>38</v>
      </c>
      <c r="E21" s="40" t="s">
        <v>39</v>
      </c>
      <c r="F21" s="41"/>
      <c r="H21" s="244">
        <v>-7802.6492413452524</v>
      </c>
      <c r="I21" s="42">
        <v>-8744.0165266980584</v>
      </c>
      <c r="J21" s="43">
        <f>SUM(J22:J24)+SUMIFS(Aut_Ajustes_Manuais!$G:$G,Aut_Ajustes_Manuais!$I:$I,DRE!H$4,Aut_Ajustes_Manuais!$F:$F,"(-) Desconto sobre Venda")</f>
        <v>-6330.32</v>
      </c>
      <c r="K21" s="244">
        <v>-8252.2993148484984</v>
      </c>
      <c r="L21" s="42">
        <v>-8296.1668914405327</v>
      </c>
      <c r="M21" s="43">
        <f>SUM(M22:M24)+SUMIFS(Aut_Ajustes_Manuais!$G:$G,Aut_Ajustes_Manuais!$I:$I,DRE!K$4,Aut_Ajustes_Manuais!$F:$F,"(-) Desconto sobre Venda")</f>
        <v>-4512.9799999999996</v>
      </c>
      <c r="N21" s="244">
        <v>-7476.0648254332191</v>
      </c>
      <c r="O21" s="42">
        <v>-6655.5996307550477</v>
      </c>
      <c r="P21" s="43">
        <f>SUM(P22:P24)+SUMIFS(Aut_Ajustes_Manuais!$G:$G,Aut_Ajustes_Manuais!$I:$I,DRE!N$4,Aut_Ajustes_Manuais!$F:$F,"(-) Desconto sobre Venda")</f>
        <v>-6090.01</v>
      </c>
      <c r="Q21" s="244">
        <v>-10030.552422418919</v>
      </c>
      <c r="R21" s="42">
        <v>-6926.3893031236221</v>
      </c>
      <c r="S21" s="43">
        <f>SUM(S22:S24)+SUMIFS(Aut_Ajustes_Manuais!$G:$G,Aut_Ajustes_Manuais!$I:$I,DRE!Q$4,Aut_Ajustes_Manuais!$F:$F,"(-) Desconto sobre Venda")</f>
        <v>-6636.3099999999995</v>
      </c>
      <c r="T21" s="244">
        <v>-13829.944169722719</v>
      </c>
      <c r="U21" s="42">
        <v>-11299.754093807331</v>
      </c>
      <c r="V21" s="43">
        <f>SUM(V22:V24)+SUMIFS(Aut_Ajustes_Manuais!$G:$G,Aut_Ajustes_Manuais!$I:$I,DRE!T$4,Aut_Ajustes_Manuais!$F:$F,"(-) Desconto sobre Venda")</f>
        <v>-6887.9599999999991</v>
      </c>
      <c r="W21" s="244">
        <v>-6334.2871822943707</v>
      </c>
      <c r="X21" s="42">
        <v>-10074.08640895994</v>
      </c>
      <c r="Y21" s="43">
        <f>SUM(Y22:Y24)+SUMIFS(Aut_Ajustes_Manuais!$G:$G,Aut_Ajustes_Manuais!$I:$I,DRE!W$4,Aut_Ajustes_Manuais!$F:$F,"(-) Desconto sobre Venda")</f>
        <v>-8216.2800000000007</v>
      </c>
      <c r="Z21" s="244">
        <v>-9220.3861367107202</v>
      </c>
      <c r="AA21" s="42">
        <v>-9978.5586448988797</v>
      </c>
      <c r="AB21" s="43">
        <f>SUM(AB22:AB24)+SUMIFS(Aut_Ajustes_Manuais!$G:$G,Aut_Ajustes_Manuais!$I:$I,DRE!Z$4,Aut_Ajustes_Manuais!$F:$F,"(-) Desconto sobre Venda")</f>
        <v>0</v>
      </c>
      <c r="AC21" s="244">
        <v>-7795.7615051756811</v>
      </c>
      <c r="AD21" s="42">
        <v>-10768.957012919809</v>
      </c>
      <c r="AE21" s="43">
        <f>SUM(AE22:AE24)+SUMIFS(Aut_Ajustes_Manuais!$G:$G,Aut_Ajustes_Manuais!$I:$I,DRE!AC$4,Aut_Ajustes_Manuais!$F:$F,"(-) Desconto sobre Venda")</f>
        <v>0</v>
      </c>
      <c r="AF21" s="244">
        <v>-8195.6042999213805</v>
      </c>
      <c r="AG21" s="42">
        <v>-9383.6005888277523</v>
      </c>
      <c r="AH21" s="43">
        <f>SUM(AH22:AH24)+SUMIFS(Aut_Ajustes_Manuais!$G:$G,Aut_Ajustes_Manuais!$I:$I,DRE!AF$4,Aut_Ajustes_Manuais!$F:$F,"(-) Desconto sobre Venda")</f>
        <v>0</v>
      </c>
      <c r="AI21" s="244">
        <v>-8447.8828020971632</v>
      </c>
      <c r="AJ21" s="42">
        <v>-9442.7919413861127</v>
      </c>
      <c r="AK21" s="43">
        <f>SUM(AK22:AK24)+SUMIFS(Aut_Ajustes_Manuais!$G:$G,Aut_Ajustes_Manuais!$I:$I,DRE!AI$4,Aut_Ajustes_Manuais!$F:$F,"(-) Desconto sobre Venda")</f>
        <v>0</v>
      </c>
      <c r="AL21" s="244">
        <v>-8113.5815999751476</v>
      </c>
      <c r="AM21" s="42">
        <v>-10958.29246154236</v>
      </c>
      <c r="AN21" s="43">
        <f>SUM(AN22:AN24)+SUMIFS(Aut_Ajustes_Manuais!$G:$G,Aut_Ajustes_Manuais!$I:$I,DRE!AL$4,Aut_Ajustes_Manuais!$F:$F,"(-) Desconto sobre Venda")</f>
        <v>0</v>
      </c>
      <c r="AO21" s="244">
        <v>-7497.4917339078957</v>
      </c>
      <c r="AP21" s="42">
        <v>-9918.4976586390258</v>
      </c>
      <c r="AQ21" s="43">
        <f>SUM(AQ22:AQ24)+SUMIFS(Aut_Ajustes_Manuais!$G:$G,Aut_Ajustes_Manuais!$I:$I,DRE!AO$4,Aut_Ajustes_Manuais!$F:$F,"(-) Desconto sobre Venda")</f>
        <v>0</v>
      </c>
      <c r="AR21" s="244">
        <f t="shared" ref="AR21:BI21" ca="1" si="24">SUM(AR22:AR24)</f>
        <v>-53725.797156062974</v>
      </c>
      <c r="AS21" s="42">
        <f t="shared" ca="1" si="24"/>
        <v>-51996.012854784531</v>
      </c>
      <c r="AT21" s="43">
        <f t="shared" ca="1" si="24"/>
        <v>-38673.859999999993</v>
      </c>
      <c r="AU21" s="244">
        <f t="shared" si="24"/>
        <v>-102996.50523385096</v>
      </c>
      <c r="AV21" s="42">
        <f t="shared" si="24"/>
        <v>-112446.71116299849</v>
      </c>
      <c r="AW21" s="43">
        <f t="shared" si="24"/>
        <v>-38673.859999999993</v>
      </c>
      <c r="AX21" s="244">
        <f t="shared" si="24"/>
        <v>-23531.01338162697</v>
      </c>
      <c r="AY21" s="42">
        <f t="shared" si="24"/>
        <v>-23695.783048893638</v>
      </c>
      <c r="AZ21" s="43">
        <f t="shared" si="24"/>
        <v>-16933.310000000001</v>
      </c>
      <c r="BA21" s="244">
        <f t="shared" si="24"/>
        <v>-30194.783774436008</v>
      </c>
      <c r="BB21" s="42">
        <f t="shared" si="24"/>
        <v>-28300.229805890893</v>
      </c>
      <c r="BC21" s="43">
        <f t="shared" si="24"/>
        <v>-21740.549999999996</v>
      </c>
      <c r="BD21" s="244">
        <f t="shared" si="24"/>
        <v>-25211.751941807786</v>
      </c>
      <c r="BE21" s="42">
        <f t="shared" si="24"/>
        <v>-30131.116246646441</v>
      </c>
      <c r="BF21" s="43">
        <f t="shared" si="24"/>
        <v>0</v>
      </c>
      <c r="BG21" s="244">
        <f t="shared" si="24"/>
        <v>-24058.956135980206</v>
      </c>
      <c r="BH21" s="42">
        <f t="shared" si="24"/>
        <v>-30319.582061567504</v>
      </c>
      <c r="BI21" s="43">
        <f t="shared" si="24"/>
        <v>0</v>
      </c>
      <c r="BK21" s="448">
        <f t="shared" si="1"/>
        <v>-112446.71116299847</v>
      </c>
      <c r="BL21" s="448">
        <f t="shared" si="2"/>
        <v>0</v>
      </c>
      <c r="BM21" s="448">
        <f t="shared" si="3"/>
        <v>-30457.579999999994</v>
      </c>
      <c r="BN21" s="448">
        <f t="shared" ca="1" si="4"/>
        <v>8216.2799999999988</v>
      </c>
      <c r="BO21" s="44"/>
      <c r="BP21" s="44"/>
      <c r="BQ21" s="44"/>
      <c r="BR21" s="44"/>
      <c r="BS21" s="44"/>
    </row>
    <row r="22" spans="1:71" s="29" customFormat="1" hidden="1" outlineLevel="1" x14ac:dyDescent="0.3">
      <c r="A22" s="22" t="s">
        <v>40</v>
      </c>
      <c r="B22" s="23"/>
      <c r="C22" s="24" t="s">
        <v>16</v>
      </c>
      <c r="D22" s="25" t="s">
        <v>41</v>
      </c>
      <c r="E22" s="45">
        <v>2.5000000000000001E-2</v>
      </c>
      <c r="F22" s="26"/>
      <c r="G22" s="33"/>
      <c r="H22" s="241">
        <v>-3966.8</v>
      </c>
      <c r="I22" s="27">
        <v>-5274.1686986432733</v>
      </c>
      <c r="J22" s="28">
        <f>-SUMIFS(Aut_Descontos!$F:$F,Aut_Descontos!$L:$L,DRE!H$4,Aut_Descontos!$K:$K,DRE!$A22)+SUMIFS(Aut_Ajustes_Manuais!$G:$G,Aut_Ajustes_Manuais!$I:$I,DRE!H$4,Aut_Ajustes_Manuais!$F:$F,"Descontos - Operação")</f>
        <v>-607.87</v>
      </c>
      <c r="K22" s="241">
        <v>-4838.1899999999996</v>
      </c>
      <c r="L22" s="27">
        <v>-5004.0371726149242</v>
      </c>
      <c r="M22" s="28">
        <f>-SUMIFS(Aut_Descontos!$F:$F,Aut_Descontos!$L:$L,DRE!K$4,Aut_Descontos!$K:$K,DRE!$A22)+SUMIFS(Aut_Ajustes_Manuais!$G:$G,Aut_Ajustes_Manuais!$I:$I,DRE!K$4,Aut_Ajustes_Manuais!$F:$F,"Descontos - Operação")</f>
        <v>-821.15</v>
      </c>
      <c r="N22" s="241">
        <v>-3305.41467196747</v>
      </c>
      <c r="O22" s="27">
        <v>-4014.488666169711</v>
      </c>
      <c r="P22" s="28">
        <f>-SUMIFS(Aut_Descontos!$F:$F,Aut_Descontos!$L:$L,DRE!N$4,Aut_Descontos!$K:$K,DRE!$A22)+SUMIFS(Aut_Ajustes_Manuais!$G:$G,Aut_Ajustes_Manuais!$I:$I,DRE!N$4,Aut_Ajustes_Manuais!$F:$F,"Descontos - Operação")</f>
        <v>-1207.8399999999999</v>
      </c>
      <c r="Q22" s="241">
        <v>-6198.2029642872676</v>
      </c>
      <c r="R22" s="27">
        <v>-4177.8221193444069</v>
      </c>
      <c r="S22" s="28">
        <f>-SUMIFS(Aut_Descontos!$F:$F,Aut_Descontos!$L:$L,DRE!Q$4,Aut_Descontos!$K:$K,DRE!$A22)+SUMIFS(Aut_Ajustes_Manuais!$G:$G,Aut_Ajustes_Manuais!$I:$I,DRE!Q$4,Aut_Ajustes_Manuais!$F:$F,"Descontos - Operação")</f>
        <v>-902.6</v>
      </c>
      <c r="T22" s="241">
        <v>-7587.1162373064144</v>
      </c>
      <c r="U22" s="27">
        <v>-6815.7246915028336</v>
      </c>
      <c r="V22" s="28">
        <f>-SUMIFS(Aut_Descontos!$F:$F,Aut_Descontos!$L:$L,DRE!T$4,Aut_Descontos!$K:$K,DRE!$A22)+SUMIFS(Aut_Ajustes_Manuais!$G:$G,Aut_Ajustes_Manuais!$I:$I,DRE!T$4,Aut_Ajustes_Manuais!$F:$F,"Descontos - Operação")</f>
        <v>-1316.49</v>
      </c>
      <c r="W22" s="241">
        <v>-730.3</v>
      </c>
      <c r="X22" s="27">
        <v>-6076.4330720710741</v>
      </c>
      <c r="Y22" s="28">
        <f>-SUMIFS(Aut_Descontos!$F:$F,Aut_Descontos!$L:$L,DRE!W$4,Aut_Descontos!$K:$K,DRE!$A22)+SUMIFS(Aut_Ajustes_Manuais!$G:$G,Aut_Ajustes_Manuais!$I:$I,DRE!W$4,Aut_Ajustes_Manuais!$F:$F,"Descontos - Operação")</f>
        <v>-1011.5699999999999</v>
      </c>
      <c r="Z22" s="241">
        <v>-780.88000000000011</v>
      </c>
      <c r="AA22" s="27">
        <v>-6018.8131508913884</v>
      </c>
      <c r="AB22" s="28">
        <f>-SUMIFS(Aut_Descontos!$F:$F,Aut_Descontos!$L:$L,DRE!Z$4,Aut_Descontos!$K:$K,DRE!$A22)+SUMIFS(Aut_Ajustes_Manuais!$G:$G,Aut_Ajustes_Manuais!$I:$I,DRE!Z$4,Aut_Ajustes_Manuais!$F:$F,"Descontos - Operação")</f>
        <v>0</v>
      </c>
      <c r="AC22" s="241">
        <v>-1498.619032539704</v>
      </c>
      <c r="AD22" s="27">
        <v>-6495.5613728722647</v>
      </c>
      <c r="AE22" s="28">
        <f>-SUMIFS(Aut_Descontos!$F:$F,Aut_Descontos!$L:$L,DRE!AC$4,Aut_Descontos!$K:$K,DRE!$A22)+SUMIFS(Aut_Ajustes_Manuais!$G:$G,Aut_Ajustes_Manuais!$I:$I,DRE!AC$4,Aut_Ajustes_Manuais!$F:$F,"Descontos - Operação")</f>
        <v>0</v>
      </c>
      <c r="AF22" s="241">
        <v>-1559.32</v>
      </c>
      <c r="AG22" s="27">
        <v>-5659.9495615151527</v>
      </c>
      <c r="AH22" s="28">
        <f>-SUMIFS(Aut_Descontos!$F:$F,Aut_Descontos!$L:$L,DRE!AF$4,Aut_Descontos!$K:$K,DRE!$A22)+SUMIFS(Aut_Ajustes_Manuais!$G:$G,Aut_Ajustes_Manuais!$I:$I,DRE!AF$4,Aut_Ajustes_Manuais!$F:$F,"Descontos - Operação")</f>
        <v>0</v>
      </c>
      <c r="AI22" s="241">
        <v>-1400.83</v>
      </c>
      <c r="AJ22" s="27">
        <v>-5695.6522821059098</v>
      </c>
      <c r="AK22" s="28">
        <f>-SUMIFS(Aut_Descontos!$F:$F,Aut_Descontos!$L:$L,DRE!AI$4,Aut_Descontos!$K:$K,DRE!$A22)+SUMIFS(Aut_Ajustes_Manuais!$G:$G,Aut_Ajustes_Manuais!$I:$I,DRE!AI$4,Aut_Ajustes_Manuais!$F:$F,"Descontos - Operação")</f>
        <v>0</v>
      </c>
      <c r="AL22" s="241">
        <v>-1520.28</v>
      </c>
      <c r="AM22" s="27">
        <v>-6609.7637069620596</v>
      </c>
      <c r="AN22" s="28">
        <f>-SUMIFS(Aut_Descontos!$F:$F,Aut_Descontos!$L:$L,DRE!AL$4,Aut_Descontos!$K:$K,DRE!$A22)+SUMIFS(Aut_Ajustes_Manuais!$G:$G,Aut_Ajustes_Manuais!$I:$I,DRE!AL$4,Aut_Ajustes_Manuais!$F:$F,"Descontos - Operação")</f>
        <v>0</v>
      </c>
      <c r="AO22" s="241">
        <v>-1511.11</v>
      </c>
      <c r="AP22" s="27">
        <v>-5982.5858893378254</v>
      </c>
      <c r="AQ22" s="28">
        <f>-SUMIFS(Aut_Descontos!$F:$F,Aut_Descontos!$L:$L,DRE!AO$4,Aut_Descontos!$K:$K,DRE!$A22)+SUMIFS(Aut_Ajustes_Manuais!$G:$G,Aut_Ajustes_Manuais!$I:$I,DRE!AO$4,Aut_Ajustes_Manuais!$F:$F,"Descontos - Operação")</f>
        <v>0</v>
      </c>
      <c r="AR22" s="241">
        <f ca="1">SUMIFS($H22:$AO22,$H$5:$AO$5,"&lt;"&amp;MONTH(TODAY()),$H$6:$AO$6,"REAL 25")</f>
        <v>-26626.023873561153</v>
      </c>
      <c r="AS22" s="27">
        <f ca="1">SUMIFS($I22:$AP22,$I$5:$AP$5,"&lt;"&amp;MONTH(TODAY()),$I$6:$AP$6,"ORÇADO ")</f>
        <v>-31362.674420346222</v>
      </c>
      <c r="AT22" s="28">
        <f ca="1">SUMIFS($J22:$AQ22,$J$5:$AQ$5,"&lt;"&amp;MONTH(TODAY()),$J$6:$AQ$6,"REAL 26")</f>
        <v>-5867.5199999999995</v>
      </c>
      <c r="AU22" s="241">
        <f t="shared" ref="AU22:AW24" si="25">SUM(H22,K22,N22,Q22,T22,W22,Z22,AC22,AF22,AI22,AL22,AO22)</f>
        <v>-34897.062906100859</v>
      </c>
      <c r="AV22" s="27">
        <f t="shared" si="25"/>
        <v>-67825.000384030835</v>
      </c>
      <c r="AW22" s="28">
        <f t="shared" si="25"/>
        <v>-5867.5199999999995</v>
      </c>
      <c r="AX22" s="241">
        <f t="shared" ref="AX22:AZ24" si="26">SUM(H22,K22,N22)</f>
        <v>-12110.40467196747</v>
      </c>
      <c r="AY22" s="27">
        <f t="shared" si="26"/>
        <v>-14292.694537427908</v>
      </c>
      <c r="AZ22" s="28">
        <f t="shared" si="26"/>
        <v>-2636.8599999999997</v>
      </c>
      <c r="BA22" s="241">
        <f t="shared" ref="BA22:BC24" si="27">SUM(Q22,T22,W22)</f>
        <v>-14515.619201593681</v>
      </c>
      <c r="BB22" s="27">
        <f t="shared" si="27"/>
        <v>-17069.979882918316</v>
      </c>
      <c r="BC22" s="28">
        <f t="shared" si="27"/>
        <v>-3230.66</v>
      </c>
      <c r="BD22" s="241">
        <f t="shared" ref="BD22:BF24" si="28">SUM(Z22,AC22,AF22)</f>
        <v>-3838.8190325397036</v>
      </c>
      <c r="BE22" s="27">
        <f t="shared" si="28"/>
        <v>-18174.324085278808</v>
      </c>
      <c r="BF22" s="28">
        <f t="shared" si="28"/>
        <v>0</v>
      </c>
      <c r="BG22" s="241">
        <f t="shared" ref="BG22:BI24" si="29">SUM(AI22,AL22,AO22)</f>
        <v>-4432.2199999999993</v>
      </c>
      <c r="BH22" s="27">
        <f t="shared" si="29"/>
        <v>-18288.001878405794</v>
      </c>
      <c r="BI22" s="28">
        <f t="shared" si="29"/>
        <v>0</v>
      </c>
      <c r="BK22" s="448">
        <f t="shared" si="1"/>
        <v>-67825.000384030835</v>
      </c>
      <c r="BL22" s="448">
        <f t="shared" si="2"/>
        <v>0</v>
      </c>
      <c r="BM22" s="448">
        <f t="shared" si="3"/>
        <v>-4855.95</v>
      </c>
      <c r="BN22" s="448">
        <f t="shared" ca="1" si="4"/>
        <v>1011.5699999999997</v>
      </c>
    </row>
    <row r="23" spans="1:71" s="29" customFormat="1" hidden="1" outlineLevel="1" x14ac:dyDescent="0.3">
      <c r="A23" s="22" t="s">
        <v>42</v>
      </c>
      <c r="B23" s="23"/>
      <c r="C23" s="24" t="s">
        <v>16</v>
      </c>
      <c r="D23" s="25" t="s">
        <v>43</v>
      </c>
      <c r="E23" s="45">
        <v>1.9800000000000002E-2</v>
      </c>
      <c r="F23" s="26"/>
      <c r="G23" s="33"/>
      <c r="H23" s="241">
        <v>-3750.831889756962</v>
      </c>
      <c r="I23" s="27">
        <v>-2775.8782624438281</v>
      </c>
      <c r="J23" s="28">
        <f>-SUMIFS(Aut_Descontos!$F:$F,Aut_Descontos!$L:$L,DRE!H$4,Aut_Descontos!$K:$K,DRE!$A23)+SUMIFS(Aut_Ajustes_Manuais!$G:$G,Aut_Ajustes_Manuais!$I:$I,DRE!H$4,Aut_Ajustes_Manuais!$F:$F,"Desconto - Alimentação Escritório")</f>
        <v>-4312.22</v>
      </c>
      <c r="K23" s="241">
        <v>-3259.32</v>
      </c>
      <c r="L23" s="27">
        <v>-2633.7037750604859</v>
      </c>
      <c r="M23" s="28">
        <f>-SUMIFS(Aut_Descontos!$F:$F,Aut_Descontos!$L:$L,DRE!K$4,Aut_Descontos!$K:$K,DRE!$A23)+SUMIFS(Aut_Ajustes_Manuais!$G:$G,Aut_Ajustes_Manuais!$I:$I,DRE!K$4,Aut_Ajustes_Manuais!$F:$F,"Desconto - Alimentação Escritório")</f>
        <v>-2781.0099999999998</v>
      </c>
      <c r="N23" s="241">
        <v>-3083.46</v>
      </c>
      <c r="O23" s="27">
        <v>-2112.8887716682689</v>
      </c>
      <c r="P23" s="28">
        <f>-SUMIFS(Aut_Descontos!$F:$F,Aut_Descontos!$L:$L,DRE!N$4,Aut_Descontos!$K:$K,DRE!$A23)+SUMIFS(Aut_Ajustes_Manuais!$G:$G,Aut_Ajustes_Manuais!$I:$I,DRE!N$4,Aut_Ajustes_Manuais!$F:$F,"Desconto - Alimentação Escritório")</f>
        <v>-3861.54</v>
      </c>
      <c r="Q23" s="241">
        <v>-2971.83</v>
      </c>
      <c r="R23" s="27">
        <v>-2198.8537470233719</v>
      </c>
      <c r="S23" s="28">
        <f>-SUMIFS(Aut_Descontos!$F:$F,Aut_Descontos!$L:$L,DRE!Q$4,Aut_Descontos!$K:$K,DRE!$A23)+SUMIFS(Aut_Ajustes_Manuais!$G:$G,Aut_Ajustes_Manuais!$I:$I,DRE!Q$4,Aut_Ajustes_Manuais!$F:$F,"Desconto - Alimentação Escritório")</f>
        <v>-4994.1699999999992</v>
      </c>
      <c r="T23" s="241">
        <v>-5810.3427459447284</v>
      </c>
      <c r="U23" s="27">
        <v>-3587.2235218435972</v>
      </c>
      <c r="V23" s="28">
        <f>-SUMIFS(Aut_Descontos!$F:$F,Aut_Descontos!$L:$L,DRE!T$4,Aut_Descontos!$K:$K,DRE!$A23)+SUMIFS(Aut_Ajustes_Manuais!$G:$G,Aut_Ajustes_Manuais!$I:$I,DRE!T$4,Aut_Ajustes_Manuais!$F:$F,"Desconto - Alimentação Escritório")</f>
        <v>-4690.57</v>
      </c>
      <c r="W23" s="241">
        <v>-3248.464054516438</v>
      </c>
      <c r="X23" s="27">
        <v>-3198.1226695110922</v>
      </c>
      <c r="Y23" s="28">
        <f>-SUMIFS(Aut_Descontos!$F:$F,Aut_Descontos!$L:$L,DRE!W$4,Aut_Descontos!$K:$K,DRE!$A23)+SUMIFS(Aut_Ajustes_Manuais!$G:$G,Aut_Ajustes_Manuais!$I:$I,DRE!W$4,Aut_Ajustes_Manuais!$F:$F,"Desconto - Alimentação Escritório")</f>
        <v>-6379.6900000000005</v>
      </c>
      <c r="Z23" s="241">
        <v>-4971.5722122807583</v>
      </c>
      <c r="AA23" s="27">
        <v>-3167.796395205994</v>
      </c>
      <c r="AB23" s="28">
        <f>-SUMIFS(Aut_Descontos!$F:$F,Aut_Descontos!$L:$L,DRE!Z$4,Aut_Descontos!$K:$K,DRE!$A23)+SUMIFS(Aut_Ajustes_Manuais!$G:$G,Aut_Ajustes_Manuais!$I:$I,DRE!Z$4,Aut_Ajustes_Manuais!$F:$F,"Desconto - Alimentação Escritório")</f>
        <v>0</v>
      </c>
      <c r="AC23" s="241">
        <v>-4260.3599999999988</v>
      </c>
      <c r="AD23" s="27">
        <v>-3418.7165120380341</v>
      </c>
      <c r="AE23" s="28">
        <f>-SUMIFS(Aut_Descontos!$F:$F,Aut_Descontos!$L:$L,DRE!AC$4,Aut_Descontos!$K:$K,DRE!$A23)+SUMIFS(Aut_Ajustes_Manuais!$G:$G,Aut_Ajustes_Manuais!$I:$I,DRE!AC$4,Aut_Ajustes_Manuais!$F:$F,"Desconto - Alimentação Escritório")</f>
        <v>0</v>
      </c>
      <c r="AF23" s="241">
        <v>-4638.3899999999994</v>
      </c>
      <c r="AG23" s="27">
        <v>-2978.9208218500798</v>
      </c>
      <c r="AH23" s="28">
        <f>-SUMIFS(Aut_Descontos!$F:$F,Aut_Descontos!$L:$L,DRE!AF$4,Aut_Descontos!$K:$K,DRE!$A23)+SUMIFS(Aut_Ajustes_Manuais!$G:$G,Aut_Ajustes_Manuais!$I:$I,DRE!AF$4,Aut_Ajustes_Manuais!$F:$F,"Desconto - Alimentação Escritório")</f>
        <v>0</v>
      </c>
      <c r="AI23" s="241">
        <v>-3627.9600000000009</v>
      </c>
      <c r="AJ23" s="27">
        <v>-2997.7117274241632</v>
      </c>
      <c r="AK23" s="28">
        <f>-SUMIFS(Aut_Descontos!$F:$F,Aut_Descontos!$L:$L,DRE!AI$4,Aut_Descontos!$K:$K,DRE!$A23)+SUMIFS(Aut_Ajustes_Manuais!$G:$G,Aut_Ajustes_Manuais!$I:$I,DRE!AI$4,Aut_Ajustes_Manuais!$F:$F,"Desconto - Alimentação Escritório")</f>
        <v>0</v>
      </c>
      <c r="AL23" s="241">
        <v>-4190.7</v>
      </c>
      <c r="AM23" s="27">
        <v>-3478.8230036642431</v>
      </c>
      <c r="AN23" s="28">
        <f>-SUMIFS(Aut_Descontos!$F:$F,Aut_Descontos!$L:$L,DRE!AL$4,Aut_Descontos!$K:$K,DRE!$A23)+SUMIFS(Aut_Ajustes_Manuais!$G:$G,Aut_Ajustes_Manuais!$I:$I,DRE!AL$4,Aut_Ajustes_Manuais!$F:$F,"Desconto - Alimentação Escritório")</f>
        <v>0</v>
      </c>
      <c r="AO23" s="241">
        <v>-4136.97</v>
      </c>
      <c r="AP23" s="27">
        <v>-3148.729415440961</v>
      </c>
      <c r="AQ23" s="28">
        <f>-SUMIFS(Aut_Descontos!$F:$F,Aut_Descontos!$L:$L,DRE!AO$4,Aut_Descontos!$K:$K,DRE!$A23)+SUMIFS(Aut_Ajustes_Manuais!$G:$G,Aut_Ajustes_Manuais!$I:$I,DRE!AO$4,Aut_Ajustes_Manuais!$F:$F,"Desconto - Alimentação Escritório")</f>
        <v>0</v>
      </c>
      <c r="AR23" s="241">
        <f ca="1">SUMIFS($H23:$AO23,$H$5:$AO$5,"&lt;"&amp;MONTH(TODAY()),$H$6:$AO$6,"REAL 25")</f>
        <v>-22124.248690218126</v>
      </c>
      <c r="AS23" s="27">
        <f ca="1">SUMIFS($I23:$AP23,$I$5:$AP$5,"&lt;"&amp;MONTH(TODAY()),$I$6:$AP$6,"ORÇADO ")</f>
        <v>-16506.670747550645</v>
      </c>
      <c r="AT23" s="28">
        <f ca="1">SUMIFS($J23:$AQ23,$J$5:$AQ$5,"&lt;"&amp;MONTH(TODAY()),$J$6:$AQ$6,"REAL 26")</f>
        <v>-27019.199999999997</v>
      </c>
      <c r="AU23" s="241">
        <f t="shared" si="25"/>
        <v>-47950.20090249888</v>
      </c>
      <c r="AV23" s="27">
        <f t="shared" si="25"/>
        <v>-35697.368623174116</v>
      </c>
      <c r="AW23" s="28">
        <f t="shared" si="25"/>
        <v>-27019.199999999997</v>
      </c>
      <c r="AX23" s="241">
        <f t="shared" si="26"/>
        <v>-10093.611889756961</v>
      </c>
      <c r="AY23" s="27">
        <f t="shared" si="26"/>
        <v>-7522.4708091725824</v>
      </c>
      <c r="AZ23" s="28">
        <f t="shared" si="26"/>
        <v>-10954.77</v>
      </c>
      <c r="BA23" s="241">
        <f t="shared" si="27"/>
        <v>-12030.636800461167</v>
      </c>
      <c r="BB23" s="27">
        <f t="shared" si="27"/>
        <v>-8984.1999383780621</v>
      </c>
      <c r="BC23" s="28">
        <f t="shared" si="27"/>
        <v>-16064.429999999998</v>
      </c>
      <c r="BD23" s="241">
        <f t="shared" si="28"/>
        <v>-13870.322212280757</v>
      </c>
      <c r="BE23" s="27">
        <f t="shared" si="28"/>
        <v>-9565.4337290941075</v>
      </c>
      <c r="BF23" s="28">
        <f t="shared" si="28"/>
        <v>0</v>
      </c>
      <c r="BG23" s="241">
        <f t="shared" si="29"/>
        <v>-11955.630000000001</v>
      </c>
      <c r="BH23" s="27">
        <f t="shared" si="29"/>
        <v>-9625.2641465293673</v>
      </c>
      <c r="BI23" s="28">
        <f t="shared" si="29"/>
        <v>0</v>
      </c>
      <c r="BK23" s="448">
        <f t="shared" si="1"/>
        <v>-35697.368623174116</v>
      </c>
      <c r="BL23" s="448">
        <f t="shared" si="2"/>
        <v>0</v>
      </c>
      <c r="BM23" s="448">
        <f t="shared" si="3"/>
        <v>-20639.509999999998</v>
      </c>
      <c r="BN23" s="448">
        <f t="shared" ca="1" si="4"/>
        <v>6379.6899999999987</v>
      </c>
    </row>
    <row r="24" spans="1:71" s="29" customFormat="1" hidden="1" outlineLevel="1" x14ac:dyDescent="0.3">
      <c r="A24" s="22" t="s">
        <v>44</v>
      </c>
      <c r="B24" s="23"/>
      <c r="C24" s="24" t="s">
        <v>16</v>
      </c>
      <c r="D24" s="25" t="s">
        <v>45</v>
      </c>
      <c r="E24" s="45">
        <v>2.5000000000000001E-3</v>
      </c>
      <c r="F24" s="26"/>
      <c r="G24" s="33"/>
      <c r="H24" s="241">
        <v>-85.017351588289756</v>
      </c>
      <c r="I24" s="27">
        <v>-693.96956561095703</v>
      </c>
      <c r="J24" s="28">
        <f>-SUMIFS(Aut_Descontos!$F:$F,Aut_Descontos!$L:$L,DRE!H$4,Aut_Descontos!$K:$K,DRE!$A24)+SUMIFS(Aut_Ajustes_Manuais!$G:$G,Aut_Ajustes_Manuais!$I:$I,DRE!H$4,Aut_Ajustes_Manuais!$F:$F,"Descontos - Marketing")</f>
        <v>-1410.23</v>
      </c>
      <c r="K24" s="241">
        <v>-154.78931484849841</v>
      </c>
      <c r="L24" s="27">
        <v>-658.42594376512159</v>
      </c>
      <c r="M24" s="28">
        <f>-SUMIFS(Aut_Descontos!$F:$F,Aut_Descontos!$L:$L,DRE!K$4,Aut_Descontos!$K:$K,DRE!$A24)+SUMIFS(Aut_Ajustes_Manuais!$G:$G,Aut_Ajustes_Manuais!$I:$I,DRE!K$4,Aut_Ajustes_Manuais!$F:$F,"Descontos - Marketing")</f>
        <v>-910.82</v>
      </c>
      <c r="N24" s="241">
        <v>-1087.19015346575</v>
      </c>
      <c r="O24" s="27">
        <v>-528.22219291706733</v>
      </c>
      <c r="P24" s="28">
        <f>-SUMIFS(Aut_Descontos!$F:$F,Aut_Descontos!$L:$L,DRE!N$4,Aut_Descontos!$K:$K,DRE!$A24)+SUMIFS(Aut_Ajustes_Manuais!$G:$G,Aut_Ajustes_Manuais!$I:$I,DRE!N$4,Aut_Ajustes_Manuais!$F:$F,"Descontos - Marketing")</f>
        <v>-1020.63</v>
      </c>
      <c r="Q24" s="241">
        <v>-860.51945813164866</v>
      </c>
      <c r="R24" s="27">
        <v>-549.71343675584296</v>
      </c>
      <c r="S24" s="28">
        <f>-SUMIFS(Aut_Descontos!$F:$F,Aut_Descontos!$L:$L,DRE!Q$4,Aut_Descontos!$K:$K,DRE!$A24)+SUMIFS(Aut_Ajustes_Manuais!$G:$G,Aut_Ajustes_Manuais!$I:$I,DRE!Q$4,Aut_Ajustes_Manuais!$F:$F,"Descontos - Marketing")</f>
        <v>-739.54</v>
      </c>
      <c r="T24" s="241">
        <v>-432.48518647157971</v>
      </c>
      <c r="U24" s="27">
        <v>-896.80588046089917</v>
      </c>
      <c r="V24" s="28">
        <f>-SUMIFS(Aut_Descontos!$F:$F,Aut_Descontos!$L:$L,DRE!T$4,Aut_Descontos!$K:$K,DRE!$A24)+SUMIFS(Aut_Ajustes_Manuais!$G:$G,Aut_Ajustes_Manuais!$I:$I,DRE!T$4,Aut_Ajustes_Manuais!$F:$F,"Descontos - Marketing")</f>
        <v>-880.9</v>
      </c>
      <c r="W24" s="241">
        <v>-2355.523127777933</v>
      </c>
      <c r="X24" s="27">
        <v>-799.53066737777294</v>
      </c>
      <c r="Y24" s="28">
        <f>-SUMIFS(Aut_Descontos!$F:$F,Aut_Descontos!$L:$L,DRE!W$4,Aut_Descontos!$K:$K,DRE!$A24)+SUMIFS(Aut_Ajustes_Manuais!$G:$G,Aut_Ajustes_Manuais!$I:$I,DRE!W$4,Aut_Ajustes_Manuais!$F:$F,"Descontos - Marketing")</f>
        <v>-825.02</v>
      </c>
      <c r="Z24" s="241">
        <v>-3467.9339244299631</v>
      </c>
      <c r="AA24" s="27">
        <v>-791.94909880149839</v>
      </c>
      <c r="AB24" s="28">
        <f>-SUMIFS(Aut_Descontos!$F:$F,Aut_Descontos!$L:$L,DRE!Z$4,Aut_Descontos!$K:$K,DRE!$A24)+SUMIFS(Aut_Ajustes_Manuais!$G:$G,Aut_Ajustes_Manuais!$I:$I,DRE!Z$4,Aut_Ajustes_Manuais!$F:$F,"Descontos - Marketing")</f>
        <v>0</v>
      </c>
      <c r="AC24" s="241">
        <v>-2036.7824726359779</v>
      </c>
      <c r="AD24" s="27">
        <v>-854.67912800950853</v>
      </c>
      <c r="AE24" s="28">
        <f>-SUMIFS(Aut_Descontos!$F:$F,Aut_Descontos!$L:$L,DRE!AC$4,Aut_Descontos!$K:$K,DRE!$A24)+SUMIFS(Aut_Ajustes_Manuais!$G:$G,Aut_Ajustes_Manuais!$I:$I,DRE!AC$4,Aut_Ajustes_Manuais!$F:$F,"Descontos - Marketing")</f>
        <v>0</v>
      </c>
      <c r="AF24" s="241">
        <v>-1997.8942999213821</v>
      </c>
      <c r="AG24" s="27">
        <v>-744.73020546252008</v>
      </c>
      <c r="AH24" s="28">
        <f>-SUMIFS(Aut_Descontos!$F:$F,Aut_Descontos!$L:$L,DRE!AF$4,Aut_Descontos!$K:$K,DRE!$A24)+SUMIFS(Aut_Ajustes_Manuais!$G:$G,Aut_Ajustes_Manuais!$I:$I,DRE!AF$4,Aut_Ajustes_Manuais!$F:$F,"Descontos - Marketing")</f>
        <v>0</v>
      </c>
      <c r="AI24" s="241">
        <v>-3419.0928020971619</v>
      </c>
      <c r="AJ24" s="27">
        <v>-749.4279318560408</v>
      </c>
      <c r="AK24" s="28">
        <f>-SUMIFS(Aut_Descontos!$F:$F,Aut_Descontos!$L:$L,DRE!AI$4,Aut_Descontos!$K:$K,DRE!$A24)+SUMIFS(Aut_Ajustes_Manuais!$G:$G,Aut_Ajustes_Manuais!$I:$I,DRE!AI$4,Aut_Ajustes_Manuais!$F:$F,"Descontos - Marketing")</f>
        <v>0</v>
      </c>
      <c r="AL24" s="241">
        <v>-2402.6015999751489</v>
      </c>
      <c r="AM24" s="27">
        <v>-869.70575091606065</v>
      </c>
      <c r="AN24" s="28">
        <f>-SUMIFS(Aut_Descontos!$F:$F,Aut_Descontos!$L:$L,DRE!AL$4,Aut_Descontos!$K:$K,DRE!$A24)+SUMIFS(Aut_Ajustes_Manuais!$G:$G,Aut_Ajustes_Manuais!$I:$I,DRE!AL$4,Aut_Ajustes_Manuais!$F:$F,"Descontos - Marketing")</f>
        <v>0</v>
      </c>
      <c r="AO24" s="241">
        <v>-1849.411733907896</v>
      </c>
      <c r="AP24" s="27">
        <v>-787.18235386024026</v>
      </c>
      <c r="AQ24" s="28">
        <f>-SUMIFS(Aut_Descontos!$F:$F,Aut_Descontos!$L:$L,DRE!AO$4,Aut_Descontos!$K:$K,DRE!$A24)+SUMIFS(Aut_Ajustes_Manuais!$G:$G,Aut_Ajustes_Manuais!$I:$I,DRE!AO$4,Aut_Ajustes_Manuais!$F:$F,"Descontos - Marketing")</f>
        <v>0</v>
      </c>
      <c r="AR24" s="241">
        <f ca="1">SUMIFS($H24:$AO24,$H$5:$AO$5,"&lt;"&amp;MONTH(TODAY()),$H$6:$AO$6,"REAL 25")</f>
        <v>-4975.5245922837003</v>
      </c>
      <c r="AS24" s="27">
        <f ca="1">SUMIFS($I24:$AP24,$I$5:$AP$5,"&lt;"&amp;MONTH(TODAY()),$I$6:$AP$6,"ORÇADO ")</f>
        <v>-4126.6676868876611</v>
      </c>
      <c r="AT24" s="28">
        <f ca="1">SUMIFS($J24:$AQ24,$J$5:$AQ$5,"&lt;"&amp;MONTH(TODAY()),$J$6:$AQ$6,"REAL 26")</f>
        <v>-5787.1399999999994</v>
      </c>
      <c r="AU24" s="241">
        <f t="shared" si="25"/>
        <v>-20149.241425251228</v>
      </c>
      <c r="AV24" s="27">
        <f t="shared" si="25"/>
        <v>-8924.3421557935289</v>
      </c>
      <c r="AW24" s="28">
        <f t="shared" si="25"/>
        <v>-5787.1399999999994</v>
      </c>
      <c r="AX24" s="241">
        <f t="shared" si="26"/>
        <v>-1326.9968199025382</v>
      </c>
      <c r="AY24" s="27">
        <f t="shared" si="26"/>
        <v>-1880.6177022931461</v>
      </c>
      <c r="AZ24" s="28">
        <f t="shared" si="26"/>
        <v>-3341.6800000000003</v>
      </c>
      <c r="BA24" s="241">
        <f t="shared" si="27"/>
        <v>-3648.5277723811614</v>
      </c>
      <c r="BB24" s="27">
        <f t="shared" si="27"/>
        <v>-2246.0499845945151</v>
      </c>
      <c r="BC24" s="28">
        <f t="shared" si="27"/>
        <v>-2445.46</v>
      </c>
      <c r="BD24" s="241">
        <f t="shared" si="28"/>
        <v>-7502.6106969873235</v>
      </c>
      <c r="BE24" s="27">
        <f t="shared" si="28"/>
        <v>-2391.3584322735269</v>
      </c>
      <c r="BF24" s="28">
        <f t="shared" si="28"/>
        <v>0</v>
      </c>
      <c r="BG24" s="241">
        <f t="shared" si="29"/>
        <v>-7671.106135980207</v>
      </c>
      <c r="BH24" s="27">
        <f t="shared" si="29"/>
        <v>-2406.3160366323418</v>
      </c>
      <c r="BI24" s="28">
        <f t="shared" si="29"/>
        <v>0</v>
      </c>
      <c r="BK24" s="448">
        <f t="shared" si="1"/>
        <v>-8924.3421557935289</v>
      </c>
      <c r="BL24" s="448">
        <f t="shared" si="2"/>
        <v>0</v>
      </c>
      <c r="BM24" s="448">
        <f t="shared" si="3"/>
        <v>-4962.12</v>
      </c>
      <c r="BN24" s="448">
        <f t="shared" ca="1" si="4"/>
        <v>825.01999999999953</v>
      </c>
    </row>
    <row r="25" spans="1:71" s="52" customFormat="1" hidden="1" outlineLevel="1" x14ac:dyDescent="0.3">
      <c r="A25" s="46" t="s">
        <v>46</v>
      </c>
      <c r="B25" s="47"/>
      <c r="C25" s="48"/>
      <c r="D25" s="49"/>
      <c r="E25" s="49"/>
      <c r="F25" s="47"/>
      <c r="G25" s="47"/>
      <c r="H25" s="245">
        <v>-2.2918447052072181E-2</v>
      </c>
      <c r="I25" s="50">
        <v>-2.3348629139922372E-2</v>
      </c>
      <c r="J25" s="51">
        <f>IFERROR(J21/J8,0)+SUMIFS(Aut_Ajustes_Manuais!$G:$G,Aut_Ajustes_Manuais!$I:$I,DRE!H$4,Aut_Ajustes_Manuais!$F:$F,"% sobre Receita Bruta")</f>
        <v>-1.6383600146487345E-2</v>
      </c>
      <c r="K25" s="245">
        <v>-2.670894409329596E-2</v>
      </c>
      <c r="L25" s="50">
        <v>-2.3348629139922372E-2</v>
      </c>
      <c r="M25" s="51">
        <f>IFERROR(M21/M8,0)+SUMIFS(Aut_Ajustes_Manuais!$G:$G,Aut_Ajustes_Manuais!$I:$I,DRE!K$4,Aut_Ajustes_Manuais!$F:$F,"% sobre Receita Bruta")</f>
        <v>-1.4236136566068393E-2</v>
      </c>
      <c r="N25" s="245">
        <v>-2.412876446025581E-2</v>
      </c>
      <c r="O25" s="50">
        <v>-2.3348629139922389E-2</v>
      </c>
      <c r="P25" s="51">
        <f>IFERROR(P21/P8,0)+SUMIFS(Aut_Ajustes_Manuais!$G:$G,Aut_Ajustes_Manuais!$I:$I,DRE!N$4,Aut_Ajustes_Manuais!$F:$F,"% sobre Receita Bruta")</f>
        <v>-1.8050387648480871E-2</v>
      </c>
      <c r="Q25" s="245">
        <v>-3.0431394265781769E-2</v>
      </c>
      <c r="R25" s="50">
        <v>-2.3348629139922378E-2</v>
      </c>
      <c r="S25" s="51">
        <f>IFERROR(S21/S8,0)+SUMIFS(Aut_Ajustes_Manuais!$G:$G,Aut_Ajustes_Manuais!$I:$I,DRE!Q$4,Aut_Ajustes_Manuais!$F:$F,"% sobre Receita Bruta")</f>
        <v>-1.7959820216416546E-2</v>
      </c>
      <c r="T25" s="245">
        <v>-3.1720191482754123E-2</v>
      </c>
      <c r="U25" s="50">
        <v>-2.3348629139922372E-2</v>
      </c>
      <c r="V25" s="51">
        <f>IFERROR(V21/V8,0)+SUMIFS(Aut_Ajustes_Manuais!$G:$G,Aut_Ajustes_Manuais!$I:$I,DRE!T$4,Aut_Ajustes_Manuais!$F:$F,"% sobre Receita Bruta")</f>
        <v>-1.8475740417987621E-2</v>
      </c>
      <c r="W25" s="245">
        <v>-1.9085204470719989E-2</v>
      </c>
      <c r="X25" s="50">
        <v>-2.3348629139922378E-2</v>
      </c>
      <c r="Y25" s="51">
        <f>IFERROR(Y21/Y8,0)+SUMIFS(Aut_Ajustes_Manuais!$G:$G,Aut_Ajustes_Manuais!$I:$I,DRE!W$4,Aut_Ajustes_Manuais!$F:$F,"% sobre Receita Bruta")</f>
        <v>-2.2854924520400915E-2</v>
      </c>
      <c r="Z25" s="245">
        <v>-2.5889515802123769E-2</v>
      </c>
      <c r="AA25" s="50">
        <v>-2.3348629139922378E-2</v>
      </c>
      <c r="AB25" s="51">
        <f>IFERROR(AB21/AB8,0)+SUMIFS(Aut_Ajustes_Manuais!$G:$G,Aut_Ajustes_Manuais!$I:$I,DRE!Z$4,Aut_Ajustes_Manuais!$F:$F,"% sobre Receita Bruta")</f>
        <v>0</v>
      </c>
      <c r="AC25" s="245">
        <v>-1.876157383416736E-2</v>
      </c>
      <c r="AD25" s="50">
        <v>-2.3348629139922372E-2</v>
      </c>
      <c r="AE25" s="51">
        <f>IFERROR(AE21/AE8,0)+SUMIFS(Aut_Ajustes_Manuais!$G:$G,Aut_Ajustes_Manuais!$I:$I,DRE!AC$4,Aut_Ajustes_Manuais!$F:$F,"% sobre Receita Bruta")</f>
        <v>0</v>
      </c>
      <c r="AF25" s="245">
        <v>-2.324757760777282E-2</v>
      </c>
      <c r="AG25" s="50">
        <v>-2.3348629139922378E-2</v>
      </c>
      <c r="AH25" s="51">
        <f>IFERROR(AH21/AH8,0)+SUMIFS(Aut_Ajustes_Manuais!$G:$G,Aut_Ajustes_Manuais!$I:$I,DRE!AF$4,Aut_Ajustes_Manuais!$F:$F,"% sobre Receita Bruta")</f>
        <v>0</v>
      </c>
      <c r="AI25" s="245">
        <v>-2.3277998828415851E-2</v>
      </c>
      <c r="AJ25" s="50">
        <v>-2.3348629139922372E-2</v>
      </c>
      <c r="AK25" s="51">
        <f>IFERROR(AK21/AK8,0)+SUMIFS(Aut_Ajustes_Manuais!$G:$G,Aut_Ajustes_Manuais!$I:$I,DRE!AI$4,Aut_Ajustes_Manuais!$F:$F,"% sobre Receita Bruta")</f>
        <v>0</v>
      </c>
      <c r="AL25" s="245">
        <v>-1.8889290616723491E-2</v>
      </c>
      <c r="AM25" s="50">
        <v>-2.3348629139922372E-2</v>
      </c>
      <c r="AN25" s="51">
        <f>IFERROR(AN21/AN8,0)+SUMIFS(Aut_Ajustes_Manuais!$G:$G,Aut_Ajustes_Manuais!$I:$I,DRE!AL$4,Aut_Ajustes_Manuais!$F:$F,"% sobre Receita Bruta")</f>
        <v>0</v>
      </c>
      <c r="AO25" s="245">
        <v>-1.5612208379155701E-2</v>
      </c>
      <c r="AP25" s="50">
        <v>-2.3348629139922378E-2</v>
      </c>
      <c r="AQ25" s="51">
        <f>IFERROR(AQ21/AQ8,0)+SUMIFS(Aut_Ajustes_Manuais!$G:$G,Aut_Ajustes_Manuais!$I:$I,DRE!AO$4,Aut_Ajustes_Manuais!$F:$F,"% sobre Receita Bruta")</f>
        <v>0</v>
      </c>
      <c r="AR25" s="245">
        <f t="shared" ref="AR25:BI25" ca="1" si="30">IFERROR(AR21/AR8,0)</f>
        <v>-2.6121443875171901E-2</v>
      </c>
      <c r="AS25" s="50">
        <f t="shared" ca="1" si="30"/>
        <v>-2.3348629139922389E-2</v>
      </c>
      <c r="AT25" s="51">
        <f t="shared" ca="1" si="30"/>
        <v>-1.8049996140664049E-2</v>
      </c>
      <c r="AU25" s="245">
        <f t="shared" si="30"/>
        <v>-2.3126336460501291E-2</v>
      </c>
      <c r="AV25" s="50">
        <f t="shared" si="30"/>
        <v>-2.3348629139922382E-2</v>
      </c>
      <c r="AW25" s="51">
        <f t="shared" si="30"/>
        <v>-1.7411740336804801E-2</v>
      </c>
      <c r="AX25" s="245">
        <f t="shared" si="30"/>
        <v>-2.4530265522201288E-2</v>
      </c>
      <c r="AY25" s="50">
        <f t="shared" si="30"/>
        <v>-2.3348629139922378E-2</v>
      </c>
      <c r="AZ25" s="51">
        <f t="shared" si="30"/>
        <v>-1.6269831322323364E-2</v>
      </c>
      <c r="BA25" s="245">
        <f t="shared" si="30"/>
        <v>-2.7512198847293032E-2</v>
      </c>
      <c r="BB25" s="50">
        <f t="shared" si="30"/>
        <v>-2.3348629139922385E-2</v>
      </c>
      <c r="BC25" s="51">
        <f t="shared" si="30"/>
        <v>-1.9731545411325102E-2</v>
      </c>
      <c r="BD25" s="245">
        <f t="shared" si="30"/>
        <v>-2.2426455071183824E-2</v>
      </c>
      <c r="BE25" s="50">
        <f t="shared" si="30"/>
        <v>-2.3348629139922375E-2</v>
      </c>
      <c r="BF25" s="51">
        <f t="shared" si="30"/>
        <v>0</v>
      </c>
      <c r="BG25" s="245">
        <f t="shared" si="30"/>
        <v>-1.8904185514821335E-2</v>
      </c>
      <c r="BH25" s="50">
        <f t="shared" si="30"/>
        <v>-2.3348629139922382E-2</v>
      </c>
      <c r="BI25" s="51">
        <f t="shared" si="30"/>
        <v>0</v>
      </c>
      <c r="BK25" s="448">
        <f t="shared" si="1"/>
        <v>-0.2801835496790685</v>
      </c>
      <c r="BL25" s="448">
        <f t="shared" si="2"/>
        <v>-0.25683492053914614</v>
      </c>
      <c r="BM25" s="448">
        <f t="shared" si="3"/>
        <v>-8.5105684995440786E-2</v>
      </c>
      <c r="BN25" s="448">
        <f t="shared" ca="1" si="4"/>
        <v>-6.7055688854776738E-2</v>
      </c>
    </row>
    <row r="26" spans="1:71" collapsed="1" x14ac:dyDescent="0.3">
      <c r="A26" s="18"/>
      <c r="E26" s="16"/>
      <c r="F26" s="17"/>
      <c r="H26" s="246"/>
      <c r="I26" s="53"/>
      <c r="J26" s="54"/>
      <c r="K26" s="246"/>
      <c r="L26" s="53"/>
      <c r="M26" s="54"/>
      <c r="N26" s="246"/>
      <c r="O26" s="53"/>
      <c r="P26" s="54"/>
      <c r="Q26" s="246"/>
      <c r="R26" s="53"/>
      <c r="S26" s="54"/>
      <c r="T26" s="246"/>
      <c r="U26" s="53"/>
      <c r="V26" s="54"/>
      <c r="W26" s="246"/>
      <c r="X26" s="53"/>
      <c r="Y26" s="54"/>
      <c r="Z26" s="246"/>
      <c r="AA26" s="53"/>
      <c r="AB26" s="54"/>
      <c r="AC26" s="246"/>
      <c r="AD26" s="53"/>
      <c r="AE26" s="54"/>
      <c r="AF26" s="246"/>
      <c r="AG26" s="53"/>
      <c r="AH26" s="54"/>
      <c r="AI26" s="246"/>
      <c r="AJ26" s="53"/>
      <c r="AK26" s="54"/>
      <c r="AL26" s="246"/>
      <c r="AM26" s="53"/>
      <c r="AN26" s="54"/>
      <c r="AO26" s="246"/>
      <c r="AP26" s="53"/>
      <c r="AQ26" s="54"/>
      <c r="AR26" s="246"/>
      <c r="AS26" s="53"/>
      <c r="AT26" s="54"/>
      <c r="AU26" s="246"/>
      <c r="AV26" s="53"/>
      <c r="AW26" s="54"/>
      <c r="AX26" s="246"/>
      <c r="AY26" s="53"/>
      <c r="AZ26" s="54"/>
      <c r="BA26" s="246"/>
      <c r="BB26" s="53"/>
      <c r="BC26" s="54"/>
      <c r="BD26" s="246"/>
      <c r="BE26" s="53"/>
      <c r="BF26" s="54"/>
      <c r="BG26" s="246"/>
      <c r="BH26" s="53"/>
      <c r="BI26" s="54"/>
      <c r="BK26" s="448">
        <f t="shared" si="1"/>
        <v>0</v>
      </c>
      <c r="BL26" s="448">
        <f t="shared" si="2"/>
        <v>0</v>
      </c>
      <c r="BM26" s="448">
        <f t="shared" si="3"/>
        <v>0</v>
      </c>
      <c r="BN26" s="448">
        <f t="shared" si="4"/>
        <v>0</v>
      </c>
    </row>
    <row r="27" spans="1:71" x14ac:dyDescent="0.3">
      <c r="A27" s="39" t="s">
        <v>47</v>
      </c>
      <c r="C27" s="40" t="s">
        <v>37</v>
      </c>
      <c r="D27" s="40" t="s">
        <v>38</v>
      </c>
      <c r="E27" s="40" t="s">
        <v>39</v>
      </c>
      <c r="F27" s="41"/>
      <c r="H27" s="244">
        <v>-12141.7301376909</v>
      </c>
      <c r="I27" s="42">
        <v>-11972.59504412085</v>
      </c>
      <c r="J27" s="43">
        <f>SUM(J28:J30)+SUMIFS(Aut_Ajustes_Manuais!$G:$G,Aut_Ajustes_Manuais!$I:$I,DRE!H$4,Aut_Ajustes_Manuais!$F:$F,"(-) Impostos sobre Venda")</f>
        <v>-12710.078775</v>
      </c>
      <c r="K27" s="244">
        <v>-10976.24644500803</v>
      </c>
      <c r="L27" s="42">
        <v>-11359.384592468101</v>
      </c>
      <c r="M27" s="43">
        <f>SUM(M28:M30)+SUMIFS(Aut_Ajustes_Manuais!$G:$G,Aut_Ajustes_Manuais!$I:$I,DRE!K$4,Aut_Ajustes_Manuais!$F:$F,"(-) Impostos sobre Venda")</f>
        <v>-10378.50187</v>
      </c>
      <c r="N27" s="244">
        <v>-11036.296408871691</v>
      </c>
      <c r="O27" s="42">
        <v>-9113.0659361780999</v>
      </c>
      <c r="P27" s="43">
        <f>SUM(P28:P30)+SUMIFS(Aut_Ajustes_Manuais!$G:$G,Aut_Ajustes_Manuais!$I:$I,DRE!N$4,Aut_Ajustes_Manuais!$F:$F,"(-) Impostos sobre Venda")</f>
        <v>-11127.394509999996</v>
      </c>
      <c r="Q27" s="244">
        <v>-11664.72247158171</v>
      </c>
      <c r="R27" s="42">
        <v>-9483.8400626336188</v>
      </c>
      <c r="S27" s="43">
        <f>SUM(S28:S30)+SUMIFS(Aut_Ajustes_Manuais!$G:$G,Aut_Ajustes_Manuais!$I:$I,DRE!Q$4,Aut_Ajustes_Manuais!$F:$F,"(-) Impostos sobre Venda")</f>
        <v>-12081.977940000001</v>
      </c>
      <c r="T27" s="244">
        <v>-15409.138782805119</v>
      </c>
      <c r="U27" s="42">
        <v>-15471.994986540751</v>
      </c>
      <c r="V27" s="43">
        <f>SUM(V28:V30)+SUMIFS(Aut_Ajustes_Manuais!$G:$G,Aut_Ajustes_Manuais!$I:$I,DRE!T$4,Aut_Ajustes_Manuais!$F:$F,"(-) Impostos sobre Venda")</f>
        <v>-12146.381855</v>
      </c>
      <c r="W27" s="244">
        <v>-11882.972222846251</v>
      </c>
      <c r="X27" s="42">
        <v>-13793.77047672452</v>
      </c>
      <c r="Y27" s="43">
        <f>SUM(Y28:Y30)+SUMIFS(Aut_Ajustes_Manuais!$G:$G,Aut_Ajustes_Manuais!$I:$I,DRE!W$4,Aut_Ajustes_Manuais!$F:$F,"(-) Impostos sobre Venda")</f>
        <v>-11705.985505000001</v>
      </c>
      <c r="Z27" s="244">
        <v>-12662.69840101006</v>
      </c>
      <c r="AA27" s="42">
        <v>-13662.97071999015</v>
      </c>
      <c r="AB27" s="43">
        <f>SUM(AB28:AB30)+SUMIFS(Aut_Ajustes_Manuais!$G:$G,Aut_Ajustes_Manuais!$I:$I,DRE!Z$4,Aut_Ajustes_Manuais!$F:$F,"(-) Impostos sobre Venda")</f>
        <v>-5240.6555632</v>
      </c>
      <c r="AC27" s="244">
        <v>-14881.84199506109</v>
      </c>
      <c r="AD27" s="42">
        <v>-14745.21016395219</v>
      </c>
      <c r="AE27" s="43">
        <f>SUM(AE28:AE30)+SUMIFS(Aut_Ajustes_Manuais!$G:$G,Aut_Ajustes_Manuais!$I:$I,DRE!AC$4,Aut_Ajustes_Manuais!$F:$F,"(-) Impostos sobre Venda")</f>
        <v>0</v>
      </c>
      <c r="AF27" s="244">
        <v>-12568.418603052871</v>
      </c>
      <c r="AG27" s="42">
        <v>-12848.334579741821</v>
      </c>
      <c r="AH27" s="43">
        <f>SUM(AH28:AH30)+SUMIFS(Aut_Ajustes_Manuais!$G:$G,Aut_Ajustes_Manuais!$I:$I,DRE!AF$4,Aut_Ajustes_Manuais!$F:$F,"(-) Impostos sobre Venda")</f>
        <v>0</v>
      </c>
      <c r="AI27" s="244">
        <v>-12937.96801772345</v>
      </c>
      <c r="AJ27" s="42">
        <v>-12929.381326637969</v>
      </c>
      <c r="AK27" s="43">
        <f>SUM(AK28:AK30)+SUMIFS(Aut_Ajustes_Manuais!$G:$G,Aut_Ajustes_Manuais!$I:$I,DRE!AI$4,Aut_Ajustes_Manuais!$F:$F,"(-) Impostos sobre Venda")</f>
        <v>0</v>
      </c>
      <c r="AL27" s="244">
        <v>-15148.22410160091</v>
      </c>
      <c r="AM27" s="42">
        <v>-15004.454487991779</v>
      </c>
      <c r="AN27" s="43">
        <f>SUM(AN28:AN30)+SUMIFS(Aut_Ajustes_Manuais!$G:$G,Aut_Ajustes_Manuais!$I:$I,DRE!AL$4,Aut_Ajustes_Manuais!$F:$F,"(-) Impostos sobre Venda")</f>
        <v>0</v>
      </c>
      <c r="AO27" s="244">
        <v>-16871.582181712361</v>
      </c>
      <c r="AP27" s="42">
        <v>-13580.73324202517</v>
      </c>
      <c r="AQ27" s="43">
        <f>SUM(AQ28:AQ30)+SUMIFS(Aut_Ajustes_Manuais!$G:$G,Aut_Ajustes_Manuais!$I:$I,DRE!AO$4,Aut_Ajustes_Manuais!$F:$F,"(-) Impostos sobre Venda")</f>
        <v>0</v>
      </c>
      <c r="AR27" s="244">
        <f t="shared" ref="AR27:BI27" ca="1" si="31">SUM(AR28:AR30)</f>
        <v>-73111.1064688037</v>
      </c>
      <c r="AS27" s="42">
        <f t="shared" ca="1" si="31"/>
        <v>-71194.651098665941</v>
      </c>
      <c r="AT27" s="43">
        <f t="shared" ca="1" si="31"/>
        <v>-70150.320454999994</v>
      </c>
      <c r="AU27" s="244">
        <f t="shared" si="31"/>
        <v>-158181.83976896442</v>
      </c>
      <c r="AV27" s="42">
        <f t="shared" si="31"/>
        <v>-153965.73561900502</v>
      </c>
      <c r="AW27" s="43">
        <f t="shared" si="31"/>
        <v>-75390.976018200003</v>
      </c>
      <c r="AX27" s="244">
        <f t="shared" si="31"/>
        <v>-34154.272991570622</v>
      </c>
      <c r="AY27" s="42">
        <f t="shared" si="31"/>
        <v>-32445.04557276706</v>
      </c>
      <c r="AZ27" s="43">
        <f t="shared" si="31"/>
        <v>-34215.975154999993</v>
      </c>
      <c r="BA27" s="244">
        <f t="shared" si="31"/>
        <v>-38956.833477233078</v>
      </c>
      <c r="BB27" s="42">
        <f t="shared" si="31"/>
        <v>-38749.6055258989</v>
      </c>
      <c r="BC27" s="43">
        <f t="shared" si="31"/>
        <v>-35934.345300000001</v>
      </c>
      <c r="BD27" s="244">
        <f t="shared" si="31"/>
        <v>-40112.958999124021</v>
      </c>
      <c r="BE27" s="42">
        <f t="shared" si="31"/>
        <v>-41256.515463684154</v>
      </c>
      <c r="BF27" s="43">
        <f t="shared" si="31"/>
        <v>-5240.6555632</v>
      </c>
      <c r="BG27" s="244">
        <f t="shared" si="31"/>
        <v>-44957.774301036727</v>
      </c>
      <c r="BH27" s="42">
        <f t="shared" si="31"/>
        <v>-41514.569056654916</v>
      </c>
      <c r="BI27" s="43">
        <f t="shared" si="31"/>
        <v>0</v>
      </c>
      <c r="BK27" s="448">
        <f t="shared" si="1"/>
        <v>-153965.73561900499</v>
      </c>
      <c r="BL27" s="448">
        <f t="shared" si="2"/>
        <v>0</v>
      </c>
      <c r="BM27" s="448">
        <f t="shared" si="3"/>
        <v>-58444.334950000004</v>
      </c>
      <c r="BN27" s="448">
        <f t="shared" ca="1" si="4"/>
        <v>11705.98550499999</v>
      </c>
    </row>
    <row r="28" spans="1:71" s="29" customFormat="1" hidden="1" outlineLevel="1" x14ac:dyDescent="0.3">
      <c r="A28" s="22" t="s">
        <v>48</v>
      </c>
      <c r="B28" s="23"/>
      <c r="C28" s="24" t="s">
        <v>49</v>
      </c>
      <c r="D28" s="25"/>
      <c r="E28" s="55">
        <v>3.6499999999999998E-2</v>
      </c>
      <c r="F28" s="56"/>
      <c r="G28" s="23"/>
      <c r="H28" s="241">
        <v>-12141.7301376909</v>
      </c>
      <c r="I28" s="27">
        <v>-11779.170814693751</v>
      </c>
      <c r="J28" s="28">
        <f>-Fiscal!D21-Fiscal!D22+SUMIFS(Aut_Ajustes_Manuais!$G:$G,Aut_Ajustes_Manuais!$I:$I,DRE!H$4,Aut_Ajustes_Manuais!$F:$F,"PIS / COFINS")</f>
        <v>-12507.978775</v>
      </c>
      <c r="K28" s="241">
        <v>-10976.24644500803</v>
      </c>
      <c r="L28" s="27">
        <v>-11175.867134183811</v>
      </c>
      <c r="M28" s="28">
        <f>-Fiscal!E21-Fiscal!E22+SUMIFS(Aut_Ajustes_Manuais!$G:$G,Aut_Ajustes_Manuais!$I:$I,DRE!K$4,Aut_Ajustes_Manuais!$F:$F,"PIS / COFINS")</f>
        <v>-10267.90187</v>
      </c>
      <c r="N28" s="241">
        <v>-11036.296408871691</v>
      </c>
      <c r="O28" s="27">
        <v>-8965.8390609745347</v>
      </c>
      <c r="P28" s="28">
        <f>-Fiscal!F21-Fiscal!F22+SUMIFS(Aut_Ajustes_Manuais!$G:$G,Aut_Ajustes_Manuais!$I:$I,DRE!N$4,Aut_Ajustes_Manuais!$F:$F,"PIS / COFINS")</f>
        <v>-10949.844509999997</v>
      </c>
      <c r="Q28" s="241">
        <v>-11664.72247158171</v>
      </c>
      <c r="R28" s="27">
        <v>-9330.6231159846502</v>
      </c>
      <c r="S28" s="28">
        <f>-Fiscal!H21-Fiscal!H22+SUMIFS(Aut_Ajustes_Manuais!$G:$G,Aut_Ajustes_Manuais!$I:$I,DRE!Q$4,Aut_Ajustes_Manuais!$F:$F,"PIS / COFINS")</f>
        <v>-11995.927940000001</v>
      </c>
      <c r="T28" s="241">
        <v>-15409.138782805119</v>
      </c>
      <c r="U28" s="27">
        <v>-15222.035917772189</v>
      </c>
      <c r="V28" s="28">
        <f>-Fiscal!I21-Fiscal!I22+SUMIFS(Aut_Ajustes_Manuais!$G:$G,Aut_Ajustes_Manuais!$I:$I,DRE!T$4,Aut_Ajustes_Manuais!$F:$F,"PIS / COFINS")</f>
        <v>-12078.881855</v>
      </c>
      <c r="W28" s="241">
        <v>-11882.972222846251</v>
      </c>
      <c r="X28" s="27">
        <v>-13570.92410001817</v>
      </c>
      <c r="Y28" s="28">
        <f>-Fiscal!J21-Fiscal!J22+SUMIFS(Aut_Ajustes_Manuais!$G:$G,Aut_Ajustes_Manuais!$I:$I,DRE!W$4,Aut_Ajustes_Manuais!$F:$F,"PIS / COFINS")</f>
        <v>-11659.135505</v>
      </c>
      <c r="Z28" s="241">
        <v>-12662.69840101006</v>
      </c>
      <c r="AA28" s="27">
        <v>-13442.237489353</v>
      </c>
      <c r="AB28" s="28">
        <f>-Fiscal!L21-Fiscal!L22+SUMIFS(Aut_Ajustes_Manuais!$G:$G,Aut_Ajustes_Manuais!$I:$I,DRE!Z$4,Aut_Ajustes_Manuais!$F:$F,"PIS / COFINS")</f>
        <v>-2446.9423631999998</v>
      </c>
      <c r="AC28" s="241">
        <v>-14881.84199506109</v>
      </c>
      <c r="AD28" s="27">
        <v>-14506.99272627951</v>
      </c>
      <c r="AE28" s="28">
        <f>-Fiscal!M21-Fiscal!M22+SUMIFS(Aut_Ajustes_Manuais!$G:$G,Aut_Ajustes_Manuais!$I:$I,DRE!AC$4,Aut_Ajustes_Manuais!$F:$F,"PIS / COFINS")</f>
        <v>0</v>
      </c>
      <c r="AF28" s="241">
        <v>-12568.418603052871</v>
      </c>
      <c r="AG28" s="27">
        <v>-12640.76226928198</v>
      </c>
      <c r="AH28" s="28">
        <f>-Fiscal!N21-Fiscal!N22+SUMIFS(Aut_Ajustes_Manuais!$G:$G,Aut_Ajustes_Manuais!$I:$I,DRE!AF$4,Aut_Ajustes_Manuais!$F:$F,"PIS / COFINS")</f>
        <v>0</v>
      </c>
      <c r="AI28" s="241">
        <v>-12937.96801772345</v>
      </c>
      <c r="AJ28" s="27">
        <v>-12720.49965889108</v>
      </c>
      <c r="AK28" s="28">
        <f>-Fiscal!P21-Fiscal!P22+SUMIFS(Aut_Ajustes_Manuais!$G:$G,Aut_Ajustes_Manuais!$I:$I,DRE!AI$4,Aut_Ajustes_Manuais!$F:$F,"PIS / COFINS")</f>
        <v>0</v>
      </c>
      <c r="AL28" s="241">
        <v>-15148.22410160091</v>
      </c>
      <c r="AM28" s="27">
        <v>-14762.04880763437</v>
      </c>
      <c r="AN28" s="28">
        <f>-Fiscal!Q21-Fiscal!Q22+SUMIFS(Aut_Ajustes_Manuais!$G:$G,Aut_Ajustes_Manuais!$I:$I,DRE!AL$4,Aut_Ajustes_Manuais!$F:$F,"PIS / COFINS")</f>
        <v>0</v>
      </c>
      <c r="AO28" s="241">
        <v>-16871.582181712361</v>
      </c>
      <c r="AP28" s="27">
        <v>-13361.32860562735</v>
      </c>
      <c r="AQ28" s="28">
        <f>-Fiscal!R21-Fiscal!R22+SUMIFS(Aut_Ajustes_Manuais!$G:$G,Aut_Ajustes_Manuais!$I:$I,DRE!AO$4,Aut_Ajustes_Manuais!$F:$F,"PIS / COFINS")</f>
        <v>0</v>
      </c>
      <c r="AR28" s="241">
        <f ca="1">SUMIFS($H28:$AO28,$H$5:$AO$5,"&lt;"&amp;MONTH(TODAY()),$H$6:$AO$6,"REAL 25")</f>
        <v>-73111.1064688037</v>
      </c>
      <c r="AS28" s="27">
        <f ca="1">SUMIFS($I28:$AP28,$I$5:$AP$5,"&lt;"&amp;MONTH(TODAY()),$I$6:$AP$6,"ORÇADO ")</f>
        <v>-70044.460143627104</v>
      </c>
      <c r="AT28" s="28">
        <f ca="1">SUMIFS($J28:$AQ28,$J$5:$AQ$5,"&lt;"&amp;MONTH(TODAY()),$J$6:$AQ$6,"REAL 26")</f>
        <v>-69459.670454999999</v>
      </c>
      <c r="AU28" s="241">
        <f t="shared" ref="AU28:AW30" si="32">SUM(H28,K28,N28,Q28,T28,W28,Z28,AC28,AF28,AI28,AL28,AO28)</f>
        <v>-158181.83976896442</v>
      </c>
      <c r="AV28" s="27">
        <f t="shared" si="32"/>
        <v>-151478.32970069439</v>
      </c>
      <c r="AW28" s="28">
        <f t="shared" si="32"/>
        <v>-71906.612818199996</v>
      </c>
      <c r="AX28" s="241">
        <f t="shared" ref="AX28:AZ30" si="33">SUM(H28,K28,N28)</f>
        <v>-34154.272991570622</v>
      </c>
      <c r="AY28" s="27">
        <f t="shared" si="33"/>
        <v>-31920.877009852098</v>
      </c>
      <c r="AZ28" s="28">
        <f t="shared" si="33"/>
        <v>-33725.725154999993</v>
      </c>
      <c r="BA28" s="241">
        <f t="shared" ref="BA28:BC30" si="34">SUM(Q28,T28,W28)</f>
        <v>-38956.833477233078</v>
      </c>
      <c r="BB28" s="27">
        <f t="shared" si="34"/>
        <v>-38123.583133775013</v>
      </c>
      <c r="BC28" s="28">
        <f t="shared" si="34"/>
        <v>-35733.945299999999</v>
      </c>
      <c r="BD28" s="241">
        <f t="shared" ref="BD28:BF30" si="35">SUM(Z28,AC28,AF28)</f>
        <v>-40112.958999124021</v>
      </c>
      <c r="BE28" s="27">
        <f t="shared" si="35"/>
        <v>-40589.992484914488</v>
      </c>
      <c r="BF28" s="28">
        <f t="shared" si="35"/>
        <v>-2446.9423631999998</v>
      </c>
      <c r="BG28" s="241">
        <f t="shared" ref="BG28:BI30" si="36">SUM(AI28,AL28,AO28)</f>
        <v>-44957.774301036727</v>
      </c>
      <c r="BH28" s="27">
        <f t="shared" si="36"/>
        <v>-40843.877072152798</v>
      </c>
      <c r="BI28" s="28">
        <f t="shared" si="36"/>
        <v>0</v>
      </c>
      <c r="BK28" s="448">
        <f t="shared" si="1"/>
        <v>-151478.32970069439</v>
      </c>
      <c r="BL28" s="448">
        <f t="shared" si="2"/>
        <v>0</v>
      </c>
      <c r="BM28" s="448">
        <f t="shared" si="3"/>
        <v>-57800.534949999994</v>
      </c>
      <c r="BN28" s="448">
        <f t="shared" ca="1" si="4"/>
        <v>11659.135505000006</v>
      </c>
    </row>
    <row r="29" spans="1:71" s="29" customFormat="1" hidden="1" outlineLevel="1" x14ac:dyDescent="0.3">
      <c r="A29" s="22" t="s">
        <v>50</v>
      </c>
      <c r="B29" s="23"/>
      <c r="C29" s="24" t="s">
        <v>49</v>
      </c>
      <c r="D29" s="25"/>
      <c r="E29" s="55">
        <v>0.04</v>
      </c>
      <c r="F29" s="56"/>
      <c r="G29" s="23"/>
      <c r="H29" s="241">
        <v>0</v>
      </c>
      <c r="I29" s="27">
        <v>0</v>
      </c>
      <c r="J29" s="28">
        <f>-Fiscal!D23+SUMIFS(Aut_Ajustes_Manuais!$G:$G,Aut_Ajustes_Manuais!$I:$I,DRE!H$4,Aut_Ajustes_Manuais!$F:$F,"ICMS")</f>
        <v>0</v>
      </c>
      <c r="K29" s="241">
        <v>0</v>
      </c>
      <c r="L29" s="27">
        <v>0</v>
      </c>
      <c r="M29" s="28">
        <f>-Fiscal!E23+SUMIFS(Aut_Ajustes_Manuais!$G:$G,Aut_Ajustes_Manuais!$I:$I,DRE!K$4,Aut_Ajustes_Manuais!$F:$F,"ICMS")</f>
        <v>0</v>
      </c>
      <c r="N29" s="241">
        <v>0</v>
      </c>
      <c r="O29" s="27">
        <v>0</v>
      </c>
      <c r="P29" s="28">
        <f>-Fiscal!F23+SUMIFS(Aut_Ajustes_Manuais!$G:$G,Aut_Ajustes_Manuais!$I:$I,DRE!N$4,Aut_Ajustes_Manuais!$F:$F,"ICMS")</f>
        <v>0</v>
      </c>
      <c r="Q29" s="241">
        <v>0</v>
      </c>
      <c r="R29" s="27">
        <v>0</v>
      </c>
      <c r="S29" s="28">
        <f>-Fiscal!H23+SUMIFS(Aut_Ajustes_Manuais!$G:$G,Aut_Ajustes_Manuais!$I:$I,DRE!Q$4,Aut_Ajustes_Manuais!$F:$F,"ICMS")</f>
        <v>0</v>
      </c>
      <c r="T29" s="241">
        <v>0</v>
      </c>
      <c r="U29" s="27">
        <v>0</v>
      </c>
      <c r="V29" s="28">
        <f>-Fiscal!I23+SUMIFS(Aut_Ajustes_Manuais!$G:$G,Aut_Ajustes_Manuais!$I:$I,DRE!T$4,Aut_Ajustes_Manuais!$F:$F,"ICMS")</f>
        <v>0</v>
      </c>
      <c r="W29" s="241">
        <v>0</v>
      </c>
      <c r="X29" s="27">
        <v>0</v>
      </c>
      <c r="Y29" s="28">
        <f>-Fiscal!J23+SUMIFS(Aut_Ajustes_Manuais!$G:$G,Aut_Ajustes_Manuais!$I:$I,DRE!W$4,Aut_Ajustes_Manuais!$F:$F,"ICMS")</f>
        <v>0</v>
      </c>
      <c r="Z29" s="241">
        <v>0</v>
      </c>
      <c r="AA29" s="27">
        <v>0</v>
      </c>
      <c r="AB29" s="28">
        <f>-Fiscal!L23+SUMIFS(Aut_Ajustes_Manuais!$G:$G,Aut_Ajustes_Manuais!$I:$I,DRE!Z$4,Aut_Ajustes_Manuais!$F:$F,"ICMS")</f>
        <v>-2791.3132000000001</v>
      </c>
      <c r="AC29" s="241">
        <v>0</v>
      </c>
      <c r="AD29" s="27">
        <v>0</v>
      </c>
      <c r="AE29" s="28">
        <f>-Fiscal!M23+SUMIFS(Aut_Ajustes_Manuais!$G:$G,Aut_Ajustes_Manuais!$I:$I,DRE!AC$4,Aut_Ajustes_Manuais!$F:$F,"ICMS")</f>
        <v>0</v>
      </c>
      <c r="AF29" s="241">
        <v>0</v>
      </c>
      <c r="AG29" s="27">
        <v>0</v>
      </c>
      <c r="AH29" s="28">
        <f>-Fiscal!N23+SUMIFS(Aut_Ajustes_Manuais!$G:$G,Aut_Ajustes_Manuais!$I:$I,DRE!AF$4,Aut_Ajustes_Manuais!$F:$F,"ICMS")</f>
        <v>0</v>
      </c>
      <c r="AI29" s="241">
        <v>0</v>
      </c>
      <c r="AJ29" s="27">
        <v>0</v>
      </c>
      <c r="AK29" s="28">
        <f>-Fiscal!P23+SUMIFS(Aut_Ajustes_Manuais!$G:$G,Aut_Ajustes_Manuais!$I:$I,DRE!AI$4,Aut_Ajustes_Manuais!$F:$F,"ICMS")</f>
        <v>0</v>
      </c>
      <c r="AL29" s="241">
        <v>0</v>
      </c>
      <c r="AM29" s="27">
        <v>0</v>
      </c>
      <c r="AN29" s="28">
        <f>-Fiscal!Q23+SUMIFS(Aut_Ajustes_Manuais!$G:$G,Aut_Ajustes_Manuais!$I:$I,DRE!AL$4,Aut_Ajustes_Manuais!$F:$F,"ICMS")</f>
        <v>0</v>
      </c>
      <c r="AO29" s="241">
        <v>0</v>
      </c>
      <c r="AP29" s="27">
        <v>0</v>
      </c>
      <c r="AQ29" s="28">
        <f>-Fiscal!R23+SUMIFS(Aut_Ajustes_Manuais!$G:$G,Aut_Ajustes_Manuais!$I:$I,DRE!AO$4,Aut_Ajustes_Manuais!$F:$F,"ICMS")</f>
        <v>0</v>
      </c>
      <c r="AR29" s="241">
        <f ca="1">SUMIFS($H29:$AO29,$H$5:$AO$5,"&lt;"&amp;MONTH(TODAY()),$H$6:$AO$6,"REAL 25")</f>
        <v>0</v>
      </c>
      <c r="AS29" s="27">
        <f ca="1">SUMIFS($I29:$AP29,$I$5:$AP$5,"&lt;"&amp;MONTH(TODAY()),$I$6:$AP$6,"ORÇADO ")</f>
        <v>0</v>
      </c>
      <c r="AT29" s="28">
        <f ca="1">SUMIFS($J29:$AQ29,$J$5:$AQ$5,"&lt;"&amp;MONTH(TODAY()),$J$6:$AQ$6,"REAL 26")</f>
        <v>0</v>
      </c>
      <c r="AU29" s="241">
        <f t="shared" si="32"/>
        <v>0</v>
      </c>
      <c r="AV29" s="27">
        <f t="shared" si="32"/>
        <v>0</v>
      </c>
      <c r="AW29" s="28">
        <f t="shared" si="32"/>
        <v>-2791.3132000000001</v>
      </c>
      <c r="AX29" s="241">
        <f t="shared" si="33"/>
        <v>0</v>
      </c>
      <c r="AY29" s="27">
        <f t="shared" si="33"/>
        <v>0</v>
      </c>
      <c r="AZ29" s="28">
        <f t="shared" si="33"/>
        <v>0</v>
      </c>
      <c r="BA29" s="241">
        <f t="shared" si="34"/>
        <v>0</v>
      </c>
      <c r="BB29" s="27">
        <f t="shared" si="34"/>
        <v>0</v>
      </c>
      <c r="BC29" s="28">
        <f t="shared" si="34"/>
        <v>0</v>
      </c>
      <c r="BD29" s="241">
        <f t="shared" si="35"/>
        <v>0</v>
      </c>
      <c r="BE29" s="27">
        <f t="shared" si="35"/>
        <v>0</v>
      </c>
      <c r="BF29" s="28">
        <f t="shared" si="35"/>
        <v>-2791.3132000000001</v>
      </c>
      <c r="BG29" s="241">
        <f t="shared" si="36"/>
        <v>0</v>
      </c>
      <c r="BH29" s="27">
        <f t="shared" si="36"/>
        <v>0</v>
      </c>
      <c r="BI29" s="28">
        <f t="shared" si="36"/>
        <v>0</v>
      </c>
      <c r="BK29" s="448">
        <f t="shared" si="1"/>
        <v>0</v>
      </c>
      <c r="BL29" s="448">
        <f t="shared" si="2"/>
        <v>0</v>
      </c>
      <c r="BM29" s="448">
        <f t="shared" si="3"/>
        <v>0</v>
      </c>
      <c r="BN29" s="448">
        <f t="shared" ca="1" si="4"/>
        <v>0</v>
      </c>
    </row>
    <row r="30" spans="1:71" s="29" customFormat="1" hidden="1" outlineLevel="1" x14ac:dyDescent="0.3">
      <c r="A30" s="22" t="s">
        <v>51</v>
      </c>
      <c r="B30" s="23"/>
      <c r="C30" s="24" t="s">
        <v>49</v>
      </c>
      <c r="D30" s="55"/>
      <c r="E30" s="55">
        <v>0.05</v>
      </c>
      <c r="F30" s="56"/>
      <c r="G30" s="23"/>
      <c r="H30" s="241">
        <v>0</v>
      </c>
      <c r="I30" s="27">
        <v>-193.4242294270999</v>
      </c>
      <c r="J30" s="28">
        <f>-Fiscal!D20+SUMIFS(Aut_Ajustes_Manuais!$G:$G,Aut_Ajustes_Manuais!$I:$I,DRE!H$4,Aut_Ajustes_Manuais!$F:$F,"ISS")</f>
        <v>-202.10000000000002</v>
      </c>
      <c r="K30" s="241">
        <v>0</v>
      </c>
      <c r="L30" s="27">
        <v>-183.51745828429571</v>
      </c>
      <c r="M30" s="28">
        <f>-Fiscal!E20+SUMIFS(Aut_Ajustes_Manuais!$G:$G,Aut_Ajustes_Manuais!$I:$I,DRE!K$4,Aut_Ajustes_Manuais!$F:$F,"ISS")</f>
        <v>-110.60000000000001</v>
      </c>
      <c r="N30" s="241">
        <v>0</v>
      </c>
      <c r="O30" s="27">
        <v>-147.22687520356499</v>
      </c>
      <c r="P30" s="28">
        <f>-Fiscal!F20+SUMIFS(Aut_Ajustes_Manuais!$G:$G,Aut_Ajustes_Manuais!$I:$I,DRE!N$4,Aut_Ajustes_Manuais!$F:$F,"ISS")</f>
        <v>-177.55</v>
      </c>
      <c r="Q30" s="241">
        <v>0</v>
      </c>
      <c r="R30" s="27">
        <v>-153.2169466489683</v>
      </c>
      <c r="S30" s="28">
        <f>-Fiscal!H20+SUMIFS(Aut_Ajustes_Manuais!$G:$G,Aut_Ajustes_Manuais!$I:$I,DRE!Q$4,Aut_Ajustes_Manuais!$F:$F,"ISS")</f>
        <v>-86.050000000000011</v>
      </c>
      <c r="T30" s="241">
        <v>0</v>
      </c>
      <c r="U30" s="27">
        <v>-249.9590687685662</v>
      </c>
      <c r="V30" s="28">
        <f>-Fiscal!I20+SUMIFS(Aut_Ajustes_Manuais!$G:$G,Aut_Ajustes_Manuais!$I:$I,DRE!T$4,Aut_Ajustes_Manuais!$F:$F,"ISS")</f>
        <v>-67.5</v>
      </c>
      <c r="W30" s="241">
        <v>0</v>
      </c>
      <c r="X30" s="27">
        <v>-222.84637670634879</v>
      </c>
      <c r="Y30" s="28">
        <f>-Fiscal!J20+SUMIFS(Aut_Ajustes_Manuais!$G:$G,Aut_Ajustes_Manuais!$I:$I,DRE!W$4,Aut_Ajustes_Manuais!$F:$F,"ISS")</f>
        <v>-46.85</v>
      </c>
      <c r="Z30" s="241">
        <v>0</v>
      </c>
      <c r="AA30" s="27">
        <v>-220.73323063714969</v>
      </c>
      <c r="AB30" s="28">
        <f>-Fiscal!L20+SUMIFS(Aut_Ajustes_Manuais!$G:$G,Aut_Ajustes_Manuais!$I:$I,DRE!Z$4,Aut_Ajustes_Manuais!$F:$F,"ISS")</f>
        <v>-2.4000000000000004</v>
      </c>
      <c r="AC30" s="241">
        <v>0</v>
      </c>
      <c r="AD30" s="27">
        <v>-238.21743767267981</v>
      </c>
      <c r="AE30" s="28">
        <f>-Fiscal!M20+SUMIFS(Aut_Ajustes_Manuais!$G:$G,Aut_Ajustes_Manuais!$I:$I,DRE!AC$4,Aut_Ajustes_Manuais!$F:$F,"ISS")</f>
        <v>0</v>
      </c>
      <c r="AF30" s="241">
        <v>0</v>
      </c>
      <c r="AG30" s="27">
        <v>-207.572310459834</v>
      </c>
      <c r="AH30" s="28">
        <f>-Fiscal!N20+SUMIFS(Aut_Ajustes_Manuais!$G:$G,Aut_Ajustes_Manuais!$I:$I,DRE!AF$4,Aut_Ajustes_Manuais!$F:$F,"ISS")</f>
        <v>0</v>
      </c>
      <c r="AI30" s="241">
        <v>0</v>
      </c>
      <c r="AJ30" s="27">
        <v>-208.8816677468875</v>
      </c>
      <c r="AK30" s="28">
        <f>-Fiscal!P20+SUMIFS(Aut_Ajustes_Manuais!$G:$G,Aut_Ajustes_Manuais!$I:$I,DRE!AI$4,Aut_Ajustes_Manuais!$F:$F,"ISS")</f>
        <v>0</v>
      </c>
      <c r="AL30" s="241">
        <v>0</v>
      </c>
      <c r="AM30" s="27">
        <v>-242.40568035740421</v>
      </c>
      <c r="AN30" s="28">
        <f>-Fiscal!Q20+SUMIFS(Aut_Ajustes_Manuais!$G:$G,Aut_Ajustes_Manuais!$I:$I,DRE!AL$4,Aut_Ajustes_Manuais!$F:$F,"ISS")</f>
        <v>0</v>
      </c>
      <c r="AO30" s="241">
        <v>0</v>
      </c>
      <c r="AP30" s="27">
        <v>-219.40463639782351</v>
      </c>
      <c r="AQ30" s="28">
        <f>-Fiscal!R20+SUMIFS(Aut_Ajustes_Manuais!$G:$G,Aut_Ajustes_Manuais!$I:$I,DRE!AO$4,Aut_Ajustes_Manuais!$F:$F,"ISS")</f>
        <v>0</v>
      </c>
      <c r="AR30" s="241">
        <f ca="1">SUMIFS($H30:$AO30,$H$5:$AO$5,"&lt;"&amp;MONTH(TODAY()),$H$6:$AO$6,"REAL 25")</f>
        <v>0</v>
      </c>
      <c r="AS30" s="27">
        <f ca="1">SUMIFS($I30:$AP30,$I$5:$AP$5,"&lt;"&amp;MONTH(TODAY()),$I$6:$AP$6,"ORÇADO ")</f>
        <v>-1150.1909550388441</v>
      </c>
      <c r="AT30" s="28">
        <f ca="1">SUMIFS($J30:$AQ30,$J$5:$AQ$5,"&lt;"&amp;MONTH(TODAY()),$J$6:$AQ$6,"REAL 26")</f>
        <v>-690.65000000000009</v>
      </c>
      <c r="AU30" s="241">
        <f t="shared" si="32"/>
        <v>0</v>
      </c>
      <c r="AV30" s="27">
        <f t="shared" si="32"/>
        <v>-2487.4059183106233</v>
      </c>
      <c r="AW30" s="28">
        <f t="shared" si="32"/>
        <v>-693.05000000000007</v>
      </c>
      <c r="AX30" s="241">
        <f t="shared" si="33"/>
        <v>0</v>
      </c>
      <c r="AY30" s="27">
        <f t="shared" si="33"/>
        <v>-524.1685629149606</v>
      </c>
      <c r="AZ30" s="28">
        <f t="shared" si="33"/>
        <v>-490.25000000000006</v>
      </c>
      <c r="BA30" s="241">
        <f t="shared" si="34"/>
        <v>0</v>
      </c>
      <c r="BB30" s="27">
        <f t="shared" si="34"/>
        <v>-626.02239212388326</v>
      </c>
      <c r="BC30" s="28">
        <f t="shared" si="34"/>
        <v>-200.4</v>
      </c>
      <c r="BD30" s="241">
        <f t="shared" si="35"/>
        <v>0</v>
      </c>
      <c r="BE30" s="27">
        <f t="shared" si="35"/>
        <v>-666.5229787696635</v>
      </c>
      <c r="BF30" s="28">
        <f t="shared" si="35"/>
        <v>-2.4000000000000004</v>
      </c>
      <c r="BG30" s="241">
        <f t="shared" si="36"/>
        <v>0</v>
      </c>
      <c r="BH30" s="27">
        <f t="shared" si="36"/>
        <v>-670.69198450211525</v>
      </c>
      <c r="BI30" s="28">
        <f t="shared" si="36"/>
        <v>0</v>
      </c>
      <c r="BK30" s="448">
        <f t="shared" si="1"/>
        <v>-2487.4059183106233</v>
      </c>
      <c r="BL30" s="448">
        <f t="shared" si="2"/>
        <v>0</v>
      </c>
      <c r="BM30" s="448">
        <f t="shared" si="3"/>
        <v>-643.80000000000007</v>
      </c>
      <c r="BN30" s="448">
        <f t="shared" ca="1" si="4"/>
        <v>46.850000000000023</v>
      </c>
    </row>
    <row r="31" spans="1:71" collapsed="1" x14ac:dyDescent="0.3">
      <c r="A31" s="18"/>
      <c r="E31" s="16"/>
      <c r="F31" s="17"/>
      <c r="H31" s="247"/>
      <c r="I31" s="17"/>
      <c r="J31" s="57"/>
      <c r="K31" s="247"/>
      <c r="L31" s="17"/>
      <c r="M31" s="57"/>
      <c r="N31" s="247"/>
      <c r="O31" s="17"/>
      <c r="P31" s="57"/>
      <c r="Q31" s="247"/>
      <c r="R31" s="17"/>
      <c r="S31" s="57"/>
      <c r="T31" s="247"/>
      <c r="U31" s="17"/>
      <c r="V31" s="57"/>
      <c r="W31" s="247"/>
      <c r="X31" s="17"/>
      <c r="Y31" s="57"/>
      <c r="Z31" s="247"/>
      <c r="AA31" s="17"/>
      <c r="AB31" s="57"/>
      <c r="AC31" s="247"/>
      <c r="AD31" s="17"/>
      <c r="AE31" s="57"/>
      <c r="AF31" s="247"/>
      <c r="AG31" s="17"/>
      <c r="AH31" s="57"/>
      <c r="AI31" s="247"/>
      <c r="AJ31" s="17"/>
      <c r="AK31" s="57"/>
      <c r="AL31" s="247"/>
      <c r="AM31" s="17"/>
      <c r="AN31" s="57"/>
      <c r="AO31" s="247"/>
      <c r="AP31" s="17"/>
      <c r="AQ31" s="57"/>
      <c r="AR31" s="247"/>
      <c r="AS31" s="17"/>
      <c r="AT31" s="57"/>
      <c r="AU31" s="247"/>
      <c r="AV31" s="17"/>
      <c r="AW31" s="57"/>
      <c r="AX31" s="247"/>
      <c r="AY31" s="17"/>
      <c r="AZ31" s="57"/>
      <c r="BA31" s="247"/>
      <c r="BB31" s="17"/>
      <c r="BC31" s="57"/>
      <c r="BD31" s="247"/>
      <c r="BE31" s="17"/>
      <c r="BF31" s="57"/>
      <c r="BG31" s="247"/>
      <c r="BH31" s="17"/>
      <c r="BI31" s="57"/>
      <c r="BK31" s="448">
        <f t="shared" si="1"/>
        <v>0</v>
      </c>
      <c r="BL31" s="448">
        <f t="shared" si="2"/>
        <v>0</v>
      </c>
      <c r="BM31" s="448">
        <f t="shared" si="3"/>
        <v>0</v>
      </c>
      <c r="BN31" s="448">
        <f t="shared" si="4"/>
        <v>0</v>
      </c>
    </row>
    <row r="32" spans="1:71" x14ac:dyDescent="0.3">
      <c r="A32" s="58" t="s">
        <v>52</v>
      </c>
      <c r="B32" s="59"/>
      <c r="C32" s="60"/>
      <c r="D32" s="61"/>
      <c r="E32" s="62"/>
      <c r="F32" s="63"/>
      <c r="G32" s="59"/>
      <c r="H32" s="248">
        <v>320508.4106209639</v>
      </c>
      <c r="I32" s="64">
        <v>353781.45742918103</v>
      </c>
      <c r="J32" s="65">
        <f>SUM(J27,J21,J8)+SUMIFS(Aut_Ajustes_Manuais!$G:$G,Aut_Ajustes_Manuais!$I:$I,DRE!H$4,Aut_Ajustes_Manuais!$F:$F,"RECEITA LÍQUIDA")</f>
        <v>367341.10122499999</v>
      </c>
      <c r="K32" s="248">
        <v>289742.83424014342</v>
      </c>
      <c r="L32" s="64">
        <v>335661.53551609127</v>
      </c>
      <c r="M32" s="65">
        <f>SUM(M27,M21,M8)+SUMIFS(Aut_Ajustes_Manuais!$G:$G,Aut_Ajustes_Manuais!$I:$I,DRE!K$4,Aut_Ajustes_Manuais!$F:$F,"RECEITA LÍQUIDA")</f>
        <v>302117.27812999999</v>
      </c>
      <c r="N32" s="248">
        <v>291327.98876569507</v>
      </c>
      <c r="O32" s="64">
        <v>269284.45643306669</v>
      </c>
      <c r="P32" s="65">
        <f>SUM(P27,P21,P8)+SUMIFS(Aut_Ajustes_Manuais!$G:$G,Aut_Ajustes_Manuais!$I:$I,DRE!N$4,Aut_Ajustes_Manuais!$F:$F,"RECEITA LÍQUIDA")</f>
        <v>320172.02548999991</v>
      </c>
      <c r="Q32" s="248">
        <v>307916.71510599938</v>
      </c>
      <c r="R32" s="64">
        <v>280240.56163424271</v>
      </c>
      <c r="S32" s="65">
        <f>SUM(S27,S21,S8)+SUMIFS(Aut_Ajustes_Manuais!$G:$G,Aut_Ajustes_Manuais!$I:$I,DRE!Q$4,Aut_Ajustes_Manuais!$F:$F,"RECEITA LÍQUIDA")</f>
        <v>350790.42206000001</v>
      </c>
      <c r="T32" s="248">
        <v>406759.04704747221</v>
      </c>
      <c r="U32" s="64">
        <v>457186.17521965201</v>
      </c>
      <c r="V32" s="65">
        <f>SUM(V27,V21,V8)+SUMIFS(Aut_Ajustes_Manuais!$G:$G,Aut_Ajustes_Manuais!$I:$I,DRE!T$4,Aut_Ajustes_Manuais!$F:$F,"RECEITA LÍQUIDA")</f>
        <v>353776.69814499997</v>
      </c>
      <c r="W32" s="248">
        <v>313677.91059485939</v>
      </c>
      <c r="X32" s="64">
        <v>407595.86411431548</v>
      </c>
      <c r="Y32" s="65">
        <f>SUM(Y27,Y21,Y8)+SUMIFS(Aut_Ajustes_Manuais!$G:$G,Aut_Ajustes_Manuais!$I:$I,DRE!W$4,Aut_Ajustes_Manuais!$F:$F,"RECEITA LÍQUIDA")</f>
        <v>339574.874495</v>
      </c>
      <c r="Z32" s="248">
        <v>334260.54546227917</v>
      </c>
      <c r="AA32" s="64">
        <v>403730.82663511089</v>
      </c>
      <c r="AB32" s="65">
        <f>SUM(AB27,AB21,AB8)+SUMIFS(Aut_Ajustes_Manuais!$G:$G,Aut_Ajustes_Manuais!$I:$I,DRE!Z$4,Aut_Ajustes_Manuais!$F:$F,"RECEITA LÍQUIDA")</f>
        <v>73299.724436799996</v>
      </c>
      <c r="AC32" s="248">
        <v>392839.85649976321</v>
      </c>
      <c r="AD32" s="64">
        <v>435710.21342312789</v>
      </c>
      <c r="AE32" s="65">
        <f>SUM(AE27,AE21,AE8)+SUMIFS(Aut_Ajustes_Manuais!$G:$G,Aut_Ajustes_Manuais!$I:$I,DRE!AC$4,Aut_Ajustes_Manuais!$F:$F,"RECEITA LÍQUIDA")</f>
        <v>0</v>
      </c>
      <c r="AF32" s="248">
        <v>331771.81709702569</v>
      </c>
      <c r="AG32" s="64">
        <v>379658.92243143031</v>
      </c>
      <c r="AH32" s="65">
        <f>SUM(AH27,AH21,AH8)+SUMIFS(Aut_Ajustes_Manuais!$G:$G,Aut_Ajustes_Manuais!$I:$I,DRE!AF$4,Aut_Ajustes_Manuais!$F:$F,"RECEITA LÍQUIDA")</f>
        <v>0</v>
      </c>
      <c r="AI32" s="248">
        <v>341526.90918017941</v>
      </c>
      <c r="AJ32" s="64">
        <v>382053.79473197582</v>
      </c>
      <c r="AK32" s="65">
        <f>SUM(AK27,AK21,AK8)+SUMIFS(Aut_Ajustes_Manuais!$G:$G,Aut_Ajustes_Manuais!$I:$I,DRE!AI$4,Aut_Ajustes_Manuais!$F:$F,"RECEITA LÍQUIDA")</f>
        <v>0</v>
      </c>
      <c r="AL32" s="248">
        <v>406271.61429842399</v>
      </c>
      <c r="AM32" s="64">
        <v>443370.69425046578</v>
      </c>
      <c r="AN32" s="65">
        <f>SUM(AN27,AN21,AN8)+SUMIFS(Aut_Ajustes_Manuais!$G:$G,Aut_Ajustes_Manuais!$I:$I,DRE!AL$4,Aut_Ajustes_Manuais!$F:$F,"RECEITA LÍQUIDA")</f>
        <v>0</v>
      </c>
      <c r="AO32" s="248">
        <v>455863.54608437972</v>
      </c>
      <c r="AP32" s="64">
        <v>401300.76909933571</v>
      </c>
      <c r="AQ32" s="65">
        <f>SUM(AQ27,AQ21,AQ8)+SUMIFS(Aut_Ajustes_Manuais!$G:$G,Aut_Ajustes_Manuais!$I:$I,DRE!AO$4,Aut_Ajustes_Manuais!$F:$F,"RECEITA LÍQUIDA")</f>
        <v>0</v>
      </c>
      <c r="AR32" s="248">
        <f t="shared" ref="AR32:BI32" ca="1" si="37">SUM(AR27,AR21,AR8)</f>
        <v>1929932.9063751332</v>
      </c>
      <c r="AS32" s="64">
        <f t="shared" ca="1" si="37"/>
        <v>2103750.0503465482</v>
      </c>
      <c r="AT32" s="65">
        <f t="shared" ca="1" si="37"/>
        <v>2033772.3995450002</v>
      </c>
      <c r="AU32" s="248">
        <f t="shared" si="37"/>
        <v>4192467.1949971849</v>
      </c>
      <c r="AV32" s="64">
        <f t="shared" si="37"/>
        <v>4549575.2709179958</v>
      </c>
      <c r="AW32" s="65">
        <f t="shared" si="37"/>
        <v>2107072.1239817999</v>
      </c>
      <c r="AX32" s="248">
        <f t="shared" si="37"/>
        <v>901579.23362680245</v>
      </c>
      <c r="AY32" s="64">
        <f t="shared" si="37"/>
        <v>958727.44937833899</v>
      </c>
      <c r="AZ32" s="65">
        <f t="shared" si="37"/>
        <v>989630.40484500001</v>
      </c>
      <c r="BA32" s="248">
        <f t="shared" si="37"/>
        <v>1028353.672748331</v>
      </c>
      <c r="BB32" s="64">
        <f t="shared" si="37"/>
        <v>1145022.60096821</v>
      </c>
      <c r="BC32" s="65">
        <f t="shared" si="37"/>
        <v>1044141.9947000002</v>
      </c>
      <c r="BD32" s="248">
        <f t="shared" si="37"/>
        <v>1058872.2190590682</v>
      </c>
      <c r="BE32" s="64">
        <f t="shared" si="37"/>
        <v>1219099.9624896694</v>
      </c>
      <c r="BF32" s="65">
        <f t="shared" si="37"/>
        <v>73299.724436799996</v>
      </c>
      <c r="BG32" s="248">
        <f t="shared" si="37"/>
        <v>1203662.0695629832</v>
      </c>
      <c r="BH32" s="64">
        <f t="shared" si="37"/>
        <v>1226725.2580817773</v>
      </c>
      <c r="BI32" s="65">
        <f t="shared" si="37"/>
        <v>0</v>
      </c>
      <c r="BK32" s="448">
        <f t="shared" si="1"/>
        <v>4549575.2709179958</v>
      </c>
      <c r="BL32" s="448">
        <f t="shared" si="2"/>
        <v>0</v>
      </c>
      <c r="BM32" s="448">
        <f t="shared" si="3"/>
        <v>1694197.5250500001</v>
      </c>
      <c r="BN32" s="448">
        <f t="shared" ca="1" si="4"/>
        <v>-339574.87449500011</v>
      </c>
    </row>
    <row r="33" spans="1:66" x14ac:dyDescent="0.3">
      <c r="A33" s="18"/>
      <c r="E33" s="16"/>
      <c r="F33" s="17"/>
      <c r="H33" s="249"/>
      <c r="I33" s="66"/>
      <c r="J33" s="250"/>
      <c r="K33" s="249"/>
      <c r="L33" s="66"/>
      <c r="M33" s="250"/>
      <c r="N33" s="249"/>
      <c r="O33" s="66"/>
      <c r="P33" s="250"/>
      <c r="Q33" s="249"/>
      <c r="R33" s="66"/>
      <c r="S33" s="250"/>
      <c r="T33" s="249"/>
      <c r="U33" s="66"/>
      <c r="V33" s="250"/>
      <c r="W33" s="249"/>
      <c r="X33" s="66"/>
      <c r="Y33" s="250"/>
      <c r="Z33" s="249"/>
      <c r="AA33" s="66"/>
      <c r="AB33" s="250"/>
      <c r="AC33" s="249"/>
      <c r="AD33" s="66"/>
      <c r="AE33" s="250"/>
      <c r="AF33" s="249"/>
      <c r="AG33" s="66"/>
      <c r="AH33" s="250"/>
      <c r="AI33" s="249"/>
      <c r="AJ33" s="66"/>
      <c r="AK33" s="250"/>
      <c r="AL33" s="249"/>
      <c r="AM33" s="66"/>
      <c r="AN33" s="250"/>
      <c r="AO33" s="249"/>
      <c r="AP33" s="66"/>
      <c r="AQ33" s="250"/>
      <c r="AR33" s="249"/>
      <c r="AS33" s="66"/>
      <c r="AT33" s="250"/>
      <c r="AU33" s="249"/>
      <c r="AV33" s="66"/>
      <c r="AW33" s="250"/>
      <c r="AX33" s="249"/>
      <c r="AY33" s="66"/>
      <c r="AZ33" s="250"/>
      <c r="BA33" s="249"/>
      <c r="BB33" s="66"/>
      <c r="BC33" s="250"/>
      <c r="BD33" s="249"/>
      <c r="BE33" s="66"/>
      <c r="BF33" s="250"/>
      <c r="BG33" s="249"/>
      <c r="BH33" s="66"/>
      <c r="BI33" s="250"/>
      <c r="BK33" s="448">
        <f t="shared" si="1"/>
        <v>0</v>
      </c>
      <c r="BL33" s="448">
        <f t="shared" si="2"/>
        <v>0</v>
      </c>
      <c r="BM33" s="448">
        <f t="shared" si="3"/>
        <v>0</v>
      </c>
      <c r="BN33" s="448">
        <f t="shared" si="4"/>
        <v>0</v>
      </c>
    </row>
    <row r="34" spans="1:66" x14ac:dyDescent="0.3">
      <c r="A34" s="39" t="s">
        <v>53</v>
      </c>
      <c r="C34" s="40" t="s">
        <v>37</v>
      </c>
      <c r="D34" s="40" t="s">
        <v>38</v>
      </c>
      <c r="E34" s="40" t="s">
        <v>39</v>
      </c>
      <c r="F34" s="459"/>
      <c r="G34" s="460"/>
      <c r="H34" s="251">
        <v>-99269.030000000028</v>
      </c>
      <c r="I34" s="67">
        <v>-82469.455344152739</v>
      </c>
      <c r="J34" s="68">
        <f>SUM(J35:J38)+SUMIFS(Aut_Ajustes_Manuais!$G:$G,Aut_Ajustes_Manuais!$I:$I,DRE!H$4,Aut_Ajustes_Manuais!$F:$F,"(-) Custo Mercadoria Vendida")</f>
        <v>-105582.25000000003</v>
      </c>
      <c r="K34" s="251">
        <v>-94476.45</v>
      </c>
      <c r="L34" s="67">
        <v>-78245.548014724045</v>
      </c>
      <c r="M34" s="68">
        <f>SUM(M35:M38)+SUMIFS(Aut_Ajustes_Manuais!$G:$G,Aut_Ajustes_Manuais!$I:$I,DRE!K$4,Aut_Ajustes_Manuais!$F:$F,"(-) Custo Mercadoria Vendida")</f>
        <v>-93321.26</v>
      </c>
      <c r="N34" s="251">
        <v>-95474.21</v>
      </c>
      <c r="O34" s="67">
        <v>-62772.488462391309</v>
      </c>
      <c r="P34" s="68">
        <f>SUM(P35:P38)+SUMIFS(Aut_Ajustes_Manuais!$G:$G,Aut_Ajustes_Manuais!$I:$I,DRE!N$4,Aut_Ajustes_Manuais!$F:$F,"(-) Custo Mercadoria Vendida")</f>
        <v>-97620.450000000026</v>
      </c>
      <c r="Q34" s="251">
        <v>-108092.99</v>
      </c>
      <c r="R34" s="67">
        <v>-65326.449416704709</v>
      </c>
      <c r="S34" s="68">
        <f>SUM(S35:S38)+SUMIFS(Aut_Ajustes_Manuais!$G:$G,Aut_Ajustes_Manuais!$I:$I,DRE!Q$4,Aut_Ajustes_Manuais!$F:$F,"(-) Custo Mercadoria Vendida")</f>
        <v>-107837.36999999998</v>
      </c>
      <c r="T34" s="251">
        <v>-121985</v>
      </c>
      <c r="U34" s="67">
        <v>-106573.9712172126</v>
      </c>
      <c r="V34" s="68">
        <f>SUM(V35:V38)+SUMIFS(Aut_Ajustes_Manuais!$G:$G,Aut_Ajustes_Manuais!$I:$I,DRE!T$4,Aut_Ajustes_Manuais!$F:$F,"(-) Custo Mercadoria Vendida")</f>
        <v>-105839.64000000001</v>
      </c>
      <c r="W34" s="251">
        <v>-93973.74000000002</v>
      </c>
      <c r="X34" s="67">
        <v>-95014.049516051004</v>
      </c>
      <c r="Y34" s="68">
        <f>SUM(Y35:Y38)+SUMIFS(Aut_Ajustes_Manuais!$G:$G,Aut_Ajustes_Manuais!$I:$I,DRE!W$4,Aut_Ajustes_Manuais!$F:$F,"(-) Custo Mercadoria Vendida")</f>
        <v>-160190.16000000003</v>
      </c>
      <c r="Z34" s="251">
        <v>-98399.43</v>
      </c>
      <c r="AA34" s="67">
        <v>-94113.076530889564</v>
      </c>
      <c r="AB34" s="68">
        <f>SUM(AB35:AB38)+SUMIFS(Aut_Ajustes_Manuais!$G:$G,Aut_Ajustes_Manuais!$I:$I,DRE!Z$4,Aut_Ajustes_Manuais!$F:$F,"(-) Custo Mercadoria Vendida")</f>
        <v>-8464.8599999999988</v>
      </c>
      <c r="AC34" s="251">
        <v>-108560.51</v>
      </c>
      <c r="AD34" s="67">
        <v>-101567.7425549722</v>
      </c>
      <c r="AE34" s="68">
        <f>SUM(AE35:AE38)+SUMIFS(Aut_Ajustes_Manuais!$G:$G,Aut_Ajustes_Manuais!$I:$I,DRE!AC$4,Aut_Ajustes_Manuais!$F:$F,"(-) Custo Mercadoria Vendida")</f>
        <v>0</v>
      </c>
      <c r="AF34" s="251">
        <v>-95630.179999999964</v>
      </c>
      <c r="AG34" s="67">
        <v>-88501.71169792187</v>
      </c>
      <c r="AH34" s="68">
        <f>SUM(AH35:AH38)+SUMIFS(Aut_Ajustes_Manuais!$G:$G,Aut_Ajustes_Manuais!$I:$I,DRE!AF$4,Aut_Ajustes_Manuais!$F:$F,"(-) Custo Mercadoria Vendida")</f>
        <v>0</v>
      </c>
      <c r="AI34" s="251">
        <v>-83729.660000000018</v>
      </c>
      <c r="AJ34" s="67">
        <v>-89059.976723115629</v>
      </c>
      <c r="AK34" s="68">
        <f>SUM(AK35:AK38)+SUMIFS(Aut_Ajustes_Manuais!$G:$G,Aut_Ajustes_Manuais!$I:$I,DRE!AI$4,Aut_Ajustes_Manuais!$F:$F,"(-) Custo Mercadoria Vendida")</f>
        <v>0</v>
      </c>
      <c r="AL34" s="251">
        <v>-116109.37</v>
      </c>
      <c r="AM34" s="67">
        <v>-103353.465543666</v>
      </c>
      <c r="AN34" s="68">
        <f>SUM(AN35:AN38)+SUMIFS(Aut_Ajustes_Manuais!$G:$G,Aut_Ajustes_Manuais!$I:$I,DRE!AL$4,Aut_Ajustes_Manuais!$F:$F,"(-) Custo Mercadoria Vendida")</f>
        <v>0</v>
      </c>
      <c r="AO34" s="251">
        <v>-143296.87000000011</v>
      </c>
      <c r="AP34" s="67">
        <v>-93546.609529236564</v>
      </c>
      <c r="AQ34" s="68">
        <f>SUM(AQ35:AQ38)+SUMIFS(Aut_Ajustes_Manuais!$G:$G,Aut_Ajustes_Manuais!$I:$I,DRE!AO$4,Aut_Ajustes_Manuais!$F:$F,"(-) Custo Mercadoria Vendida")</f>
        <v>0</v>
      </c>
      <c r="AR34" s="251">
        <f t="shared" ref="AR34:BI34" ca="1" si="38">SUM(AR35:AR38)</f>
        <v>-613271.42000000004</v>
      </c>
      <c r="AS34" s="67">
        <f t="shared" ca="1" si="38"/>
        <v>-490401.96197123651</v>
      </c>
      <c r="AT34" s="67">
        <f t="shared" ca="1" si="38"/>
        <v>-670391.13000000012</v>
      </c>
      <c r="AU34" s="251">
        <f t="shared" si="38"/>
        <v>-1258997.4400000002</v>
      </c>
      <c r="AV34" s="67">
        <f t="shared" si="38"/>
        <v>-1060544.5445510384</v>
      </c>
      <c r="AW34" s="68">
        <f t="shared" si="38"/>
        <v>-678855.99000000011</v>
      </c>
      <c r="AX34" s="251">
        <f t="shared" si="38"/>
        <v>-289219.69000000006</v>
      </c>
      <c r="AY34" s="67">
        <f t="shared" si="38"/>
        <v>-223487.49182126814</v>
      </c>
      <c r="AZ34" s="68">
        <f t="shared" si="38"/>
        <v>-296523.96000000008</v>
      </c>
      <c r="BA34" s="251">
        <f t="shared" si="38"/>
        <v>-324051.73000000004</v>
      </c>
      <c r="BB34" s="67">
        <f t="shared" si="38"/>
        <v>-266914.47014996834</v>
      </c>
      <c r="BC34" s="68">
        <f t="shared" si="38"/>
        <v>-373867.17000000004</v>
      </c>
      <c r="BD34" s="251">
        <f t="shared" si="38"/>
        <v>-302590.12</v>
      </c>
      <c r="BE34" s="67">
        <f t="shared" si="38"/>
        <v>-284182.53078378359</v>
      </c>
      <c r="BF34" s="68">
        <f t="shared" si="38"/>
        <v>-8464.8599999999988</v>
      </c>
      <c r="BG34" s="251">
        <f t="shared" si="38"/>
        <v>-343135.9</v>
      </c>
      <c r="BH34" s="67">
        <f t="shared" si="38"/>
        <v>-285960.05179601815</v>
      </c>
      <c r="BI34" s="68">
        <f t="shared" si="38"/>
        <v>0</v>
      </c>
      <c r="BK34" s="448">
        <f t="shared" si="1"/>
        <v>-1060544.5445510382</v>
      </c>
      <c r="BL34" s="448">
        <f t="shared" si="2"/>
        <v>0</v>
      </c>
      <c r="BM34" s="448">
        <f t="shared" si="3"/>
        <v>-510200.97000000003</v>
      </c>
      <c r="BN34" s="448">
        <f t="shared" ca="1" si="4"/>
        <v>160190.16000000009</v>
      </c>
    </row>
    <row r="35" spans="1:66" s="29" customFormat="1" hidden="1" outlineLevel="1" x14ac:dyDescent="0.3">
      <c r="A35" s="22" t="s">
        <v>54</v>
      </c>
      <c r="B35" s="2"/>
      <c r="C35" s="24" t="s">
        <v>16</v>
      </c>
      <c r="D35" s="69"/>
      <c r="E35" s="70">
        <v>0.33</v>
      </c>
      <c r="F35" s="467"/>
      <c r="G35" s="468"/>
      <c r="H35" s="241">
        <v>-59332.250000000007</v>
      </c>
      <c r="I35" s="27">
        <v>-46337.882503165383</v>
      </c>
      <c r="J35" s="28">
        <f>-CMV_Manual!D22+SUMIFS(Aut_Ajustes_Manuais!$G:$G,Aut_Ajustes_Manuais!$I:$I,DRE!H$4,Aut_Ajustes_Manuais!$F:$F,"Insumos - Alimentos")</f>
        <v>-61819.510000000024</v>
      </c>
      <c r="K35" s="241">
        <v>-53056.500000000007</v>
      </c>
      <c r="L35" s="27">
        <v>-43964.556273247414</v>
      </c>
      <c r="M35" s="28">
        <f>-CMV_Manual!E22+SUMIFS(Aut_Ajustes_Manuais!$G:$G,Aut_Ajustes_Manuais!$I:$I,DRE!K$4,Aut_Ajustes_Manuais!$F:$F,"Insumos - Alimentos")</f>
        <v>-51975.11</v>
      </c>
      <c r="N35" s="241">
        <v>-55707.23</v>
      </c>
      <c r="O35" s="27">
        <v>-35270.563903485621</v>
      </c>
      <c r="P35" s="28">
        <f>-CMV_Manual!F22+SUMIFS(Aut_Ajustes_Manuais!$G:$G,Aut_Ajustes_Manuais!$I:$I,DRE!N$4,Aut_Ajustes_Manuais!$F:$F,"Insumos - Alimentos")</f>
        <v>-61100.350000000013</v>
      </c>
      <c r="Q35" s="241">
        <v>-68385.910000000047</v>
      </c>
      <c r="R35" s="27">
        <v>-36705.581779192224</v>
      </c>
      <c r="S35" s="28">
        <f>-CMV_Manual!G22+SUMIFS(Aut_Ajustes_Manuais!$G:$G,Aut_Ajustes_Manuais!$I:$I,DRE!Q$4,Aut_Ajustes_Manuais!$F:$F,"Insumos - Alimentos")</f>
        <v>-59317.299999999981</v>
      </c>
      <c r="T35" s="241">
        <v>-72787.499999999956</v>
      </c>
      <c r="U35" s="27">
        <v>-59881.71178711528</v>
      </c>
      <c r="V35" s="27">
        <f>-CMV_Manual!H22+SUMIFS(Aut_Ajustes_Manuais!$G:$G,Aut_Ajustes_Manuais!$I:$I,DRE!T$4,Aut_Ajustes_Manuais!$F:$F,"Insumos - Alimentos")</f>
        <v>-64729.360000000008</v>
      </c>
      <c r="W35" s="241">
        <v>-58960.820000000022</v>
      </c>
      <c r="X35" s="27">
        <v>-53386.430700331679</v>
      </c>
      <c r="Y35" s="28">
        <f>-CMV_Manual!I22+SUMIFS(Aut_Ajustes_Manuais!$G:$G,Aut_Ajustes_Manuais!$I:$I,DRE!W$4,Aut_Ajustes_Manuais!$F:$F,"Insumos - Alimentos")</f>
        <v>-94880.310000000027</v>
      </c>
      <c r="Z35" s="241">
        <v>-61129.260000000009</v>
      </c>
      <c r="AA35" s="27">
        <v>-52880.192601017043</v>
      </c>
      <c r="AB35" s="28">
        <f>-CMV_Manual!J22+SUMIFS(Aut_Ajustes_Manuais!$G:$G,Aut_Ajustes_Manuais!$I:$I,DRE!Z$4,Aut_Ajustes_Manuais!$F:$F,"Insumos - Alimentos")</f>
        <v>-7755.2199999999993</v>
      </c>
      <c r="AC35" s="241">
        <v>-61209.970000000008</v>
      </c>
      <c r="AD35" s="27">
        <v>-57068.815369080126</v>
      </c>
      <c r="AE35" s="28">
        <f>-CMV_Manual!K22+SUMIFS(Aut_Ajustes_Manuais!$G:$G,Aut_Ajustes_Manuais!$I:$I,DRE!AC$4,Aut_Ajustes_Manuais!$F:$F,"Insumos - Alimentos")</f>
        <v>0</v>
      </c>
      <c r="AF35" s="241">
        <v>-60765.239999999983</v>
      </c>
      <c r="AG35" s="27">
        <v>-49727.282675428607</v>
      </c>
      <c r="AH35" s="28">
        <f>-CMV_Manual!L22+SUMIFS(Aut_Ajustes_Manuais!$G:$G,Aut_Ajustes_Manuais!$I:$I,DRE!AF$4,Aut_Ajustes_Manuais!$F:$F,"Insumos - Alimentos")</f>
        <v>0</v>
      </c>
      <c r="AI35" s="241">
        <v>-46723.380000000019</v>
      </c>
      <c r="AJ35" s="27">
        <v>-50040.960255025842</v>
      </c>
      <c r="AK35" s="28">
        <f>-CMV_Manual!M22+SUMIFS(Aut_Ajustes_Manuais!$G:$G,Aut_Ajustes_Manuais!$I:$I,DRE!AI$4,Aut_Ajustes_Manuais!$F:$F,"Insumos - Alimentos")</f>
        <v>0</v>
      </c>
      <c r="AL35" s="241">
        <v>-70295.299999999988</v>
      </c>
      <c r="AM35" s="27">
        <v>-58072.176209623867</v>
      </c>
      <c r="AN35" s="28">
        <f>-CMV_Manual!N22+SUMIFS(Aut_Ajustes_Manuais!$G:$G,Aut_Ajustes_Manuais!$I:$I,DRE!AL$4,Aut_Ajustes_Manuais!$F:$F,"Insumos - Alimentos")</f>
        <v>0</v>
      </c>
      <c r="AO35" s="241">
        <v>-73432.61000000003</v>
      </c>
      <c r="AP35" s="27">
        <v>-52561.906500363439</v>
      </c>
      <c r="AQ35" s="28">
        <f>-CMV_Manual!O22+SUMIFS(Aut_Ajustes_Manuais!$G:$G,Aut_Ajustes_Manuais!$I:$I,DRE!AO$4,Aut_Ajustes_Manuais!$F:$F,"Insumos - Alimentos")</f>
        <v>0</v>
      </c>
      <c r="AR35" s="241">
        <f ca="1">SUMIFS($H35:$AO35,$H$5:$AO$5,"&lt;"&amp;MONTH(TODAY()),$H$6:$AO$6,"REAL 25")</f>
        <v>-368230.21</v>
      </c>
      <c r="AS35" s="27">
        <f ca="1">SUMIFS($I35:$AP35,$I$5:$AP$5,"&lt;"&amp;MONTH(TODAY()),$I$6:$AP$6,"ORÇADO ")</f>
        <v>-275546.72694653762</v>
      </c>
      <c r="AT35" s="27">
        <f ca="1">SUMIFS($J35:$AQ35,$J$5:$AQ$5,"&lt;"&amp;MONTH(TODAY()),$J$6:$AQ$6,"REAL 26")</f>
        <v>-393821.94000000006</v>
      </c>
      <c r="AU35" s="241">
        <f t="shared" ref="AU35:AW37" si="39">SUM(H35,K35,N35,Q35,T35,W35,Z35,AC35,AF35,AI35,AL35,AO35)</f>
        <v>-741785.97000000009</v>
      </c>
      <c r="AV35" s="27">
        <f t="shared" si="39"/>
        <v>-595898.06055707659</v>
      </c>
      <c r="AW35" s="28">
        <f t="shared" si="39"/>
        <v>-401577.16000000003</v>
      </c>
      <c r="AX35" s="241">
        <f t="shared" ref="AX35:AZ38" si="40">SUM(H35,K35,N35)</f>
        <v>-168095.98</v>
      </c>
      <c r="AY35" s="27">
        <f t="shared" si="40"/>
        <v>-125573.00267989843</v>
      </c>
      <c r="AZ35" s="28">
        <f t="shared" si="40"/>
        <v>-174894.97000000003</v>
      </c>
      <c r="BA35" s="241">
        <f t="shared" ref="BA35:BC38" si="41">SUM(Q35,T35,W35)</f>
        <v>-200134.23000000004</v>
      </c>
      <c r="BB35" s="27">
        <f t="shared" si="41"/>
        <v>-149973.72426663918</v>
      </c>
      <c r="BC35" s="28">
        <f t="shared" si="41"/>
        <v>-218926.97000000003</v>
      </c>
      <c r="BD35" s="241">
        <f t="shared" ref="BD35:BF38" si="42">SUM(Z35,AC35,AF35)</f>
        <v>-183104.47</v>
      </c>
      <c r="BE35" s="27">
        <f t="shared" si="42"/>
        <v>-159676.29064552579</v>
      </c>
      <c r="BF35" s="28">
        <f t="shared" si="42"/>
        <v>-7755.2199999999993</v>
      </c>
      <c r="BG35" s="241">
        <f t="shared" ref="BG35:BI38" si="43">SUM(AI35,AL35,AO35)</f>
        <v>-190451.29000000004</v>
      </c>
      <c r="BH35" s="27">
        <f t="shared" si="43"/>
        <v>-160675.04296501316</v>
      </c>
      <c r="BI35" s="28">
        <f t="shared" si="43"/>
        <v>0</v>
      </c>
      <c r="BK35" s="448">
        <f t="shared" si="1"/>
        <v>-595898.06055707659</v>
      </c>
      <c r="BL35" s="448">
        <f t="shared" si="2"/>
        <v>0</v>
      </c>
      <c r="BM35" s="448">
        <f t="shared" si="3"/>
        <v>-298941.63</v>
      </c>
      <c r="BN35" s="448">
        <f t="shared" ca="1" si="4"/>
        <v>94880.310000000056</v>
      </c>
    </row>
    <row r="36" spans="1:66" s="29" customFormat="1" hidden="1" outlineLevel="1" x14ac:dyDescent="0.3">
      <c r="A36" s="22" t="s">
        <v>55</v>
      </c>
      <c r="B36" s="2"/>
      <c r="C36" s="24" t="s">
        <v>16</v>
      </c>
      <c r="D36" s="69"/>
      <c r="E36" s="70">
        <v>0.18</v>
      </c>
      <c r="F36" s="467"/>
      <c r="G36" s="468"/>
      <c r="H36" s="241">
        <v>-39936.780000000021</v>
      </c>
      <c r="I36" s="27">
        <v>-36025.646507644407</v>
      </c>
      <c r="J36" s="28">
        <f>-CMV_Manual!D23+SUMIFS(Aut_Ajustes_Manuais!$G:$G,Aut_Ajustes_Manuais!$I:$I,DRE!H$4,Aut_Ajustes_Manuais!$F:$F,"Insumos - Bebidas")</f>
        <v>-43762.740000000005</v>
      </c>
      <c r="K36" s="241">
        <v>-41419.94999999999</v>
      </c>
      <c r="L36" s="27">
        <v>-34180.490726076183</v>
      </c>
      <c r="M36" s="28">
        <f>-CMV_Manual!E23+SUMIFS(Aut_Ajustes_Manuais!$G:$G,Aut_Ajustes_Manuais!$I:$I,DRE!K$4,Aut_Ajustes_Manuais!$F:$F,"Insumos - Bebidas")</f>
        <v>-39388.25</v>
      </c>
      <c r="N36" s="241">
        <v>-39766.980000000003</v>
      </c>
      <c r="O36" s="27">
        <v>-27421.297622424951</v>
      </c>
      <c r="P36" s="28">
        <f>-CMV_Manual!F23+SUMIFS(Aut_Ajustes_Manuais!$G:$G,Aut_Ajustes_Manuais!$I:$I,DRE!N$4,Aut_Ajustes_Manuais!$F:$F,"Insumos - Bebidas")</f>
        <v>-35910.110000000015</v>
      </c>
      <c r="Q36" s="241">
        <v>-39707.08</v>
      </c>
      <c r="R36" s="27">
        <v>-28536.960314150791</v>
      </c>
      <c r="S36" s="28">
        <f>-CMV_Manual!G23+SUMIFS(Aut_Ajustes_Manuais!$G:$G,Aut_Ajustes_Manuais!$I:$I,DRE!Q$4,Aut_Ajustes_Manuais!$F:$F,"Insumos - Bebidas")</f>
        <v>-48520.07</v>
      </c>
      <c r="T36" s="241">
        <v>-49197.5</v>
      </c>
      <c r="U36" s="27">
        <v>-46555.37250688771</v>
      </c>
      <c r="V36" s="27">
        <f>-CMV_Manual!H23+SUMIFS(Aut_Ajustes_Manuais!$G:$G,Aut_Ajustes_Manuais!$I:$I,DRE!T$4,Aut_Ajustes_Manuais!$F:$F,"Insumos - Bebidas")</f>
        <v>-41110.28</v>
      </c>
      <c r="W36" s="241">
        <v>-35012.92</v>
      </c>
      <c r="X36" s="27">
        <v>-41505.579815470061</v>
      </c>
      <c r="Y36" s="28">
        <f>-CMV_Manual!I23+SUMIFS(Aut_Ajustes_Manuais!$G:$G,Aut_Ajustes_Manuais!$I:$I,DRE!W$4,Aut_Ajustes_Manuais!$F:$F,"Insumos - Bebidas")</f>
        <v>-65309.850000000013</v>
      </c>
      <c r="Z36" s="241">
        <v>-37270.169999999976</v>
      </c>
      <c r="AA36" s="27">
        <v>-41112.002167346727</v>
      </c>
      <c r="AB36" s="28">
        <f>-CMV_Manual!J23+SUMIFS(Aut_Ajustes_Manuais!$G:$G,Aut_Ajustes_Manuais!$I:$I,DRE!Z$4,Aut_Ajustes_Manuais!$F:$F,"Insumos - Bebidas")</f>
        <v>-709.64</v>
      </c>
      <c r="AC36" s="241">
        <v>-47350.54</v>
      </c>
      <c r="AD36" s="27">
        <v>-44368.470418475903</v>
      </c>
      <c r="AE36" s="28">
        <f>-CMV_Manual!K23+SUMIFS(Aut_Ajustes_Manuais!$G:$G,Aut_Ajustes_Manuais!$I:$I,DRE!AC$4,Aut_Ajustes_Manuais!$F:$F,"Insumos - Bebidas")</f>
        <v>0</v>
      </c>
      <c r="AF36" s="241">
        <v>-34864.939999999988</v>
      </c>
      <c r="AG36" s="27">
        <v>-38660.754671479117</v>
      </c>
      <c r="AH36" s="28">
        <f>-CMV_Manual!L23+SUMIFS(Aut_Ajustes_Manuais!$G:$G,Aut_Ajustes_Manuais!$I:$I,DRE!AF$4,Aut_Ajustes_Manuais!$F:$F,"Insumos - Bebidas")</f>
        <v>0</v>
      </c>
      <c r="AI36" s="241">
        <v>-37006.28</v>
      </c>
      <c r="AJ36" s="27">
        <v>-38904.625064114582</v>
      </c>
      <c r="AK36" s="28">
        <f>-CMV_Manual!M23+SUMIFS(Aut_Ajustes_Manuais!$G:$G,Aut_Ajustes_Manuais!$I:$I,DRE!AI$4,Aut_Ajustes_Manuais!$F:$F,"Insumos - Bebidas")</f>
        <v>0</v>
      </c>
      <c r="AL36" s="241">
        <v>-45814.070000000007</v>
      </c>
      <c r="AM36" s="27">
        <v>-45148.538928481139</v>
      </c>
      <c r="AN36" s="28">
        <f>-CMV_Manual!N23+SUMIFS(Aut_Ajustes_Manuais!$G:$G,Aut_Ajustes_Manuais!$I:$I,DRE!AL$4,Aut_Ajustes_Manuais!$F:$F,"Insumos - Bebidas")</f>
        <v>0</v>
      </c>
      <c r="AO36" s="241">
        <v>-69864.260000000009</v>
      </c>
      <c r="AP36" s="27">
        <v>-40864.548854182067</v>
      </c>
      <c r="AQ36" s="28">
        <f>-CMV_Manual!O23+SUMIFS(Aut_Ajustes_Manuais!$G:$G,Aut_Ajustes_Manuais!$I:$I,DRE!AO$4,Aut_Ajustes_Manuais!$F:$F,"Insumos - Bebidas")</f>
        <v>0</v>
      </c>
      <c r="AR36" s="241">
        <f ca="1">SUMIFS($H36:$AO36,$H$5:$AO$5,"&lt;"&amp;MONTH(TODAY()),$H$6:$AO$6,"REAL 25")</f>
        <v>-245041.21000000002</v>
      </c>
      <c r="AS36" s="27">
        <f ca="1">SUMIFS($I36:$AP36,$I$5:$AP$5,"&lt;"&amp;MONTH(TODAY()),$I$6:$AP$6,"ORÇADO ")</f>
        <v>-214225.34749265411</v>
      </c>
      <c r="AT36" s="27">
        <f ca="1">SUMIFS($J36:$AQ36,$J$5:$AQ$5,"&lt;"&amp;MONTH(TODAY()),$J$6:$AQ$6,"REAL 26")</f>
        <v>-274001.30000000005</v>
      </c>
      <c r="AU36" s="241">
        <f t="shared" si="39"/>
        <v>-517211.47000000003</v>
      </c>
      <c r="AV36" s="27">
        <f t="shared" si="39"/>
        <v>-463284.2875967336</v>
      </c>
      <c r="AW36" s="28">
        <f t="shared" si="39"/>
        <v>-274710.94000000006</v>
      </c>
      <c r="AX36" s="241">
        <f t="shared" si="40"/>
        <v>-121123.71000000002</v>
      </c>
      <c r="AY36" s="27">
        <f t="shared" si="40"/>
        <v>-97627.434856145555</v>
      </c>
      <c r="AZ36" s="28">
        <f t="shared" si="40"/>
        <v>-119061.10000000002</v>
      </c>
      <c r="BA36" s="241">
        <f t="shared" si="41"/>
        <v>-123917.5</v>
      </c>
      <c r="BB36" s="27">
        <f t="shared" si="41"/>
        <v>-116597.91263650855</v>
      </c>
      <c r="BC36" s="28">
        <f t="shared" si="41"/>
        <v>-154940.20000000001</v>
      </c>
      <c r="BD36" s="241">
        <f t="shared" si="42"/>
        <v>-119485.64999999997</v>
      </c>
      <c r="BE36" s="27">
        <f t="shared" si="42"/>
        <v>-124141.22725730174</v>
      </c>
      <c r="BF36" s="28">
        <f t="shared" si="42"/>
        <v>-709.64</v>
      </c>
      <c r="BG36" s="241">
        <f t="shared" si="43"/>
        <v>-152684.61000000002</v>
      </c>
      <c r="BH36" s="27">
        <f t="shared" si="43"/>
        <v>-124917.71284677778</v>
      </c>
      <c r="BI36" s="28">
        <f t="shared" si="43"/>
        <v>0</v>
      </c>
      <c r="BK36" s="448">
        <f t="shared" si="1"/>
        <v>-463284.2875967336</v>
      </c>
      <c r="BL36" s="448">
        <f t="shared" si="2"/>
        <v>0</v>
      </c>
      <c r="BM36" s="448">
        <f t="shared" si="3"/>
        <v>-208691.45</v>
      </c>
      <c r="BN36" s="448">
        <f t="shared" ca="1" si="4"/>
        <v>65309.850000000035</v>
      </c>
    </row>
    <row r="37" spans="1:66" s="29" customFormat="1" hidden="1" outlineLevel="1" x14ac:dyDescent="0.3">
      <c r="A37" s="22" t="s">
        <v>56</v>
      </c>
      <c r="B37" s="2"/>
      <c r="C37" s="24" t="s">
        <v>16</v>
      </c>
      <c r="D37" s="69"/>
      <c r="E37" s="70"/>
      <c r="F37" s="467"/>
      <c r="G37" s="468"/>
      <c r="H37" s="241">
        <v>0</v>
      </c>
      <c r="I37" s="27">
        <v>-105.9263333429563</v>
      </c>
      <c r="J37" s="28">
        <f>SUMIFS(Aut_BlueMe_Sem_Pedido!$J:$J,Aut_BlueMe_Sem_Pedido!$Q:$Q,DRE!H$4,Aut_BlueMe_Sem_Pedido!$H:$H,DRE!$A37)+SUMIFS(Aut_Ajustes_Manuais!$G:$G,Aut_Ajustes_Manuais!$I:$I,DRE!H$4,Aut_Ajustes_Manuais!$F:$F,"Insumos - Embalagens")</f>
        <v>0</v>
      </c>
      <c r="K37" s="241">
        <v>0</v>
      </c>
      <c r="L37" s="27">
        <v>-100.5010154004565</v>
      </c>
      <c r="M37" s="28">
        <f>SUMIFS(Aut_BlueMe_Sem_Pedido!$J:$J,Aut_BlueMe_Sem_Pedido!$Q:$Q,DRE!K$4,Aut_BlueMe_Sem_Pedido!$H:$H,DRE!$A37)+SUMIFS(Aut_Ajustes_Manuais!$G:$G,Aut_Ajustes_Manuais!$I:$I,DRE!K$4,Aut_Ajustes_Manuais!$F:$F,"Insumos - Embalagens")</f>
        <v>-1957.9</v>
      </c>
      <c r="N37" s="241">
        <v>0</v>
      </c>
      <c r="O37" s="27">
        <v>-80.626936480738948</v>
      </c>
      <c r="P37" s="28">
        <f>SUMIFS(Aut_BlueMe_Sem_Pedido!$J:$J,Aut_BlueMe_Sem_Pedido!$Q:$Q,DRE!N$4,Aut_BlueMe_Sem_Pedido!$H:$H,DRE!$A37)+SUMIFS(Aut_Ajustes_Manuais!$G:$G,Aut_Ajustes_Manuais!$I:$I,DRE!N$4,Aut_Ajustes_Manuais!$F:$F,"Insumos - Embalagens")</f>
        <v>-609.99</v>
      </c>
      <c r="Q37" s="241">
        <v>0</v>
      </c>
      <c r="R37" s="27">
        <v>-83.907323361706474</v>
      </c>
      <c r="S37" s="28">
        <f>SUMIFS(Aut_BlueMe_Sem_Pedido!$J:$J,Aut_BlueMe_Sem_Pedido!$Q:$Q,DRE!Q$4,Aut_BlueMe_Sem_Pedido!$H:$H,DRE!$A37)+SUMIFS(Aut_Ajustes_Manuais!$G:$G,Aut_Ajustes_Manuais!$I:$I,DRE!Q$4,Aut_Ajustes_Manuais!$F:$F,"Insumos - Embalagens")</f>
        <v>0</v>
      </c>
      <c r="T37" s="241">
        <v>0</v>
      </c>
      <c r="U37" s="27">
        <v>-136.8869232096549</v>
      </c>
      <c r="V37" s="27">
        <f>SUMIFS(Aut_BlueMe_Sem_Pedido!$J:$J,Aut_BlueMe_Sem_Pedido!$Q:$Q,DRE!T$4,Aut_BlueMe_Sem_Pedido!$H:$H,DRE!$A37)+SUMIFS(Aut_Ajustes_Manuais!$G:$G,Aut_Ajustes_Manuais!$I:$I,DRE!T$4,Aut_Ajustes_Manuais!$F:$F,"Insumos - Embalagens")</f>
        <v>0</v>
      </c>
      <c r="W37" s="241">
        <v>0</v>
      </c>
      <c r="X37" s="27">
        <v>-122.0390002492598</v>
      </c>
      <c r="Y37" s="28">
        <f>SUMIFS(Aut_BlueMe_Sem_Pedido!$J:$J,Aut_BlueMe_Sem_Pedido!$Q:$Q,DRE!W$4,Aut_BlueMe_Sem_Pedido!$H:$H,DRE!$A37)+SUMIFS(Aut_Ajustes_Manuais!$G:$G,Aut_Ajustes_Manuais!$I:$I,DRE!W$4,Aut_Ajustes_Manuais!$F:$F,"Insumos - Embalagens")</f>
        <v>0</v>
      </c>
      <c r="Z37" s="241">
        <v>0</v>
      </c>
      <c r="AA37" s="27">
        <v>-120.8817625257785</v>
      </c>
      <c r="AB37" s="28">
        <f>SUMIFS(Aut_BlueMe_Sem_Pedido!$J:$J,Aut_BlueMe_Sem_Pedido!$Q:$Q,DRE!Z$4,Aut_BlueMe_Sem_Pedido!$H:$H,DRE!$A37)+SUMIFS(Aut_Ajustes_Manuais!$G:$G,Aut_Ajustes_Manuais!$I:$I,DRE!Z$4,Aut_Ajustes_Manuais!$F:$F,"Insumos - Embalagens")</f>
        <v>0</v>
      </c>
      <c r="AC37" s="241">
        <v>0</v>
      </c>
      <c r="AD37" s="27">
        <v>-130.45676741616029</v>
      </c>
      <c r="AE37" s="28">
        <f>SUMIFS(Aut_BlueMe_Sem_Pedido!$J:$J,Aut_BlueMe_Sem_Pedido!$Q:$Q,DRE!AC$4,Aut_BlueMe_Sem_Pedido!$H:$H,DRE!$A37)+SUMIFS(Aut_Ajustes_Manuais!$G:$G,Aut_Ajustes_Manuais!$I:$I,DRE!AC$4,Aut_Ajustes_Manuais!$F:$F,"Insumos - Embalagens")</f>
        <v>0</v>
      </c>
      <c r="AF37" s="241">
        <v>0</v>
      </c>
      <c r="AG37" s="27">
        <v>-113.67435101414149</v>
      </c>
      <c r="AH37" s="28">
        <f>SUMIFS(Aut_BlueMe_Sem_Pedido!$J:$J,Aut_BlueMe_Sem_Pedido!$Q:$Q,DRE!AF$4,Aut_BlueMe_Sem_Pedido!$H:$H,DRE!$A37)+SUMIFS(Aut_Ajustes_Manuais!$G:$G,Aut_Ajustes_Manuais!$I:$I,DRE!AF$4,Aut_Ajustes_Manuais!$F:$F,"Insumos - Embalagens")</f>
        <v>0</v>
      </c>
      <c r="AI37" s="241">
        <v>0</v>
      </c>
      <c r="AJ37" s="27">
        <v>-114.3914039752119</v>
      </c>
      <c r="AK37" s="28">
        <f>SUMIFS(Aut_BlueMe_Sem_Pedido!$J:$J,Aut_BlueMe_Sem_Pedido!$Q:$Q,DRE!AI$4,Aut_BlueMe_Sem_Pedido!$H:$H,DRE!$A37)+SUMIFS(Aut_Ajustes_Manuais!$G:$G,Aut_Ajustes_Manuais!$I:$I,DRE!AI$4,Aut_Ajustes_Manuais!$F:$F,"Insumos - Embalagens")</f>
        <v>0</v>
      </c>
      <c r="AL37" s="241">
        <v>0</v>
      </c>
      <c r="AM37" s="27">
        <v>-132.75040556096431</v>
      </c>
      <c r="AN37" s="28">
        <f>SUMIFS(Aut_BlueMe_Sem_Pedido!$J:$J,Aut_BlueMe_Sem_Pedido!$Q:$Q,DRE!AL$4,Aut_BlueMe_Sem_Pedido!$H:$H,DRE!$A37)+SUMIFS(Aut_Ajustes_Manuais!$G:$G,Aut_Ajustes_Manuais!$I:$I,DRE!AL$4,Aut_Ajustes_Manuais!$F:$F,"Insumos - Embalagens")</f>
        <v>0</v>
      </c>
      <c r="AO37" s="241">
        <v>0</v>
      </c>
      <c r="AP37" s="27">
        <v>-120.1541746910525</v>
      </c>
      <c r="AQ37" s="28">
        <f>SUMIFS(Aut_BlueMe_Sem_Pedido!$J:$J,Aut_BlueMe_Sem_Pedido!$Q:$Q,DRE!AO$4,Aut_BlueMe_Sem_Pedido!$H:$H,DRE!$A37)+SUMIFS(Aut_Ajustes_Manuais!$G:$G,Aut_Ajustes_Manuais!$I:$I,DRE!AO$4,Aut_Ajustes_Manuais!$F:$F,"Insumos - Embalagens")</f>
        <v>0</v>
      </c>
      <c r="AR37" s="241">
        <f ca="1">SUMIFS($H37:$AO37,$H$5:$AO$5,"&lt;"&amp;MONTH(TODAY()),$H$6:$AO$6,"REAL 25")</f>
        <v>0</v>
      </c>
      <c r="AS37" s="27">
        <f ca="1">SUMIFS($I37:$AP37,$I$5:$AP$5,"&lt;"&amp;MONTH(TODAY()),$I$6:$AP$6,"ORÇADO ")</f>
        <v>-629.8875320447728</v>
      </c>
      <c r="AT37" s="27">
        <f ca="1">SUMIFS($J37:$AQ37,$J$5:$AQ$5,"&lt;"&amp;MONTH(TODAY()),$J$6:$AQ$6,"REAL 26")</f>
        <v>-2567.8900000000003</v>
      </c>
      <c r="AU37" s="241">
        <f t="shared" si="39"/>
        <v>0</v>
      </c>
      <c r="AV37" s="27">
        <f t="shared" si="39"/>
        <v>-1362.1963972280817</v>
      </c>
      <c r="AW37" s="28">
        <f t="shared" si="39"/>
        <v>-2567.8900000000003</v>
      </c>
      <c r="AX37" s="241">
        <f t="shared" si="40"/>
        <v>0</v>
      </c>
      <c r="AY37" s="27">
        <f t="shared" si="40"/>
        <v>-287.05428522415173</v>
      </c>
      <c r="AZ37" s="28">
        <f t="shared" si="40"/>
        <v>-2567.8900000000003</v>
      </c>
      <c r="BA37" s="241">
        <f t="shared" si="41"/>
        <v>0</v>
      </c>
      <c r="BB37" s="27">
        <f t="shared" si="41"/>
        <v>-342.83324682062118</v>
      </c>
      <c r="BC37" s="28">
        <f t="shared" si="41"/>
        <v>0</v>
      </c>
      <c r="BD37" s="241">
        <f t="shared" si="42"/>
        <v>0</v>
      </c>
      <c r="BE37" s="27">
        <f t="shared" si="42"/>
        <v>-365.01288095608027</v>
      </c>
      <c r="BF37" s="28">
        <f t="shared" si="42"/>
        <v>0</v>
      </c>
      <c r="BG37" s="241">
        <f t="shared" si="43"/>
        <v>0</v>
      </c>
      <c r="BH37" s="27">
        <f t="shared" si="43"/>
        <v>-367.2959842272287</v>
      </c>
      <c r="BI37" s="28">
        <f t="shared" si="43"/>
        <v>0</v>
      </c>
      <c r="BK37" s="448">
        <f t="shared" si="1"/>
        <v>-1362.1963972280817</v>
      </c>
      <c r="BL37" s="448">
        <f t="shared" si="2"/>
        <v>0</v>
      </c>
      <c r="BM37" s="448">
        <f t="shared" si="3"/>
        <v>-2567.8900000000003</v>
      </c>
      <c r="BN37" s="448">
        <f t="shared" ca="1" si="4"/>
        <v>0</v>
      </c>
    </row>
    <row r="38" spans="1:66" s="29" customFormat="1" hidden="1" outlineLevel="1" x14ac:dyDescent="0.3">
      <c r="A38" s="22" t="s">
        <v>25</v>
      </c>
      <c r="B38" s="2"/>
      <c r="C38" s="24" t="s">
        <v>16</v>
      </c>
      <c r="D38" s="69"/>
      <c r="E38" s="70"/>
      <c r="F38" s="467"/>
      <c r="G38" s="468"/>
      <c r="H38" s="241">
        <v>0</v>
      </c>
      <c r="I38" s="27"/>
      <c r="J38" s="28"/>
      <c r="K38" s="241">
        <v>0</v>
      </c>
      <c r="L38" s="27"/>
      <c r="M38" s="28"/>
      <c r="N38" s="241">
        <v>0</v>
      </c>
      <c r="O38" s="27"/>
      <c r="P38" s="28"/>
      <c r="Q38" s="241">
        <v>0</v>
      </c>
      <c r="R38" s="27"/>
      <c r="S38" s="28"/>
      <c r="T38" s="241">
        <v>0</v>
      </c>
      <c r="U38" s="27"/>
      <c r="V38" s="28"/>
      <c r="W38" s="241">
        <v>0</v>
      </c>
      <c r="X38" s="27"/>
      <c r="Y38" s="28"/>
      <c r="Z38" s="241">
        <v>0</v>
      </c>
      <c r="AA38" s="27"/>
      <c r="AB38" s="28"/>
      <c r="AC38" s="241">
        <v>0</v>
      </c>
      <c r="AD38" s="27"/>
      <c r="AE38" s="28"/>
      <c r="AF38" s="241">
        <v>0</v>
      </c>
      <c r="AG38" s="27"/>
      <c r="AH38" s="28"/>
      <c r="AI38" s="241">
        <v>0</v>
      </c>
      <c r="AJ38" s="27"/>
      <c r="AK38" s="28"/>
      <c r="AL38" s="241">
        <v>0</v>
      </c>
      <c r="AM38" s="27"/>
      <c r="AN38" s="28"/>
      <c r="AO38" s="241">
        <v>0</v>
      </c>
      <c r="AP38" s="27"/>
      <c r="AQ38" s="28"/>
      <c r="AR38" s="241">
        <f ca="1">SUMIFS($H38:$AO38,$H$5:$AO$5,"&lt;"&amp;MONTH(TODAY()),$H$6:$AO$6,"REAL 25")</f>
        <v>0</v>
      </c>
      <c r="AS38" s="27">
        <f ca="1">SUMIFS($I38:$AP38,$I$5:$AP$5,"&lt;"&amp;MONTH(TODAY()),$I$6:$AP$6,"ORÇADO ")</f>
        <v>0</v>
      </c>
      <c r="AT38" s="27">
        <f ca="1">SUMIFS($J38:$AQ38,$J$5:$AQ$5,"&lt;"&amp;MONTH(TODAY()),$J$6:$AQ$6,"REAL 26")</f>
        <v>0</v>
      </c>
      <c r="AU38" s="241"/>
      <c r="AV38" s="27">
        <f>SUM(I38,L38,O38,R38,U38,X38,AA38,AD38,AG38,AJ38,AM38,AP38)</f>
        <v>0</v>
      </c>
      <c r="AW38" s="28">
        <f>SUM(J38,M38,P38,S38,V38,Y38,AB38,AE38,AH38,AK38,AN38,AQ38)</f>
        <v>0</v>
      </c>
      <c r="AX38" s="241">
        <f t="shared" si="40"/>
        <v>0</v>
      </c>
      <c r="AY38" s="27">
        <f t="shared" si="40"/>
        <v>0</v>
      </c>
      <c r="AZ38" s="28">
        <f t="shared" si="40"/>
        <v>0</v>
      </c>
      <c r="BA38" s="241">
        <f t="shared" si="41"/>
        <v>0</v>
      </c>
      <c r="BB38" s="27">
        <f t="shared" si="41"/>
        <v>0</v>
      </c>
      <c r="BC38" s="28">
        <f t="shared" si="41"/>
        <v>0</v>
      </c>
      <c r="BD38" s="241">
        <f t="shared" si="42"/>
        <v>0</v>
      </c>
      <c r="BE38" s="27">
        <f t="shared" si="42"/>
        <v>0</v>
      </c>
      <c r="BF38" s="28">
        <f t="shared" si="42"/>
        <v>0</v>
      </c>
      <c r="BG38" s="241">
        <f t="shared" si="43"/>
        <v>0</v>
      </c>
      <c r="BH38" s="27">
        <f t="shared" si="43"/>
        <v>0</v>
      </c>
      <c r="BI38" s="28">
        <f t="shared" si="43"/>
        <v>0</v>
      </c>
      <c r="BK38" s="448">
        <f t="shared" si="1"/>
        <v>0</v>
      </c>
      <c r="BL38" s="448">
        <f t="shared" si="2"/>
        <v>0</v>
      </c>
      <c r="BM38" s="448">
        <f t="shared" si="3"/>
        <v>0</v>
      </c>
      <c r="BN38" s="448">
        <f t="shared" ca="1" si="4"/>
        <v>0</v>
      </c>
    </row>
    <row r="39" spans="1:66" collapsed="1" x14ac:dyDescent="0.3">
      <c r="A39" s="71" t="s">
        <v>46</v>
      </c>
      <c r="C39" s="24"/>
      <c r="D39" s="25"/>
      <c r="E39" s="25"/>
      <c r="F39" s="41"/>
      <c r="G39" s="72"/>
      <c r="H39" s="245">
        <v>-0.33057203473787589</v>
      </c>
      <c r="I39" s="50">
        <v>-0.289012002814858</v>
      </c>
      <c r="J39" s="51">
        <f>IFERROR(J34/(J9+J10+J14+J18),0)+SUMIFS(Aut_Ajustes_Manuais!$G:$G,Aut_Ajustes_Manuais!$I:$I,DRE!H$4,Aut_Ajustes_Manuais!$F:$F,"% sobre Receita Bruta")</f>
        <v>-0.31409047118070138</v>
      </c>
      <c r="K39" s="245">
        <v>-0.34688052806540748</v>
      </c>
      <c r="L39" s="50">
        <v>-0.28901200281485812</v>
      </c>
      <c r="M39" s="51">
        <f>IFERROR(M34/(M9+M10+M14+M18),0)+SUMIFS(Aut_Ajustes_Manuais!$G:$G,Aut_Ajustes_Manuais!$I:$I,DRE!K$4,Aut_Ajustes_Manuais!$F:$F,"% sobre Receita Bruta")</f>
        <v>-0.33600782154581815</v>
      </c>
      <c r="N39" s="245">
        <v>-0.35007373701077282</v>
      </c>
      <c r="O39" s="50">
        <v>-0.289012002814858</v>
      </c>
      <c r="P39" s="51">
        <f>IFERROR(P34/(P9+P10+P14+P18),0)+SUMIFS(Aut_Ajustes_Manuais!$G:$G,Aut_Ajustes_Manuais!$I:$I,DRE!N$4,Aut_Ajustes_Manuais!$F:$F,"% sobre Receita Bruta")</f>
        <v>-0.33153518831431145</v>
      </c>
      <c r="Q39" s="245">
        <v>-0.37303313204572791</v>
      </c>
      <c r="R39" s="50">
        <v>-0.28901200281485812</v>
      </c>
      <c r="S39" s="51">
        <f>IFERROR(S34/(S9+S10+S14+S18),0)+SUMIFS(Aut_Ajustes_Manuais!$G:$G,Aut_Ajustes_Manuais!$I:$I,DRE!Q$4,Aut_Ajustes_Manuais!$F:$F,"% sobre Receita Bruta")</f>
        <v>-0.33115053418979257</v>
      </c>
      <c r="T39" s="245">
        <v>-0.31808277844531208</v>
      </c>
      <c r="U39" s="50">
        <v>-0.289012002814858</v>
      </c>
      <c r="V39" s="51">
        <f>IFERROR(V34/(V9+V10+V14+V18),0)+SUMIFS(Aut_Ajustes_Manuais!$G:$G,Aut_Ajustes_Manuais!$I:$I,DRE!T$4,Aut_Ajustes_Manuais!$F:$F,"% sobre Receita Bruta")</f>
        <v>-0.32374458997672462</v>
      </c>
      <c r="W39" s="245">
        <v>-0.32059534133499101</v>
      </c>
      <c r="X39" s="50">
        <v>-0.28901200281485812</v>
      </c>
      <c r="Y39" s="51">
        <f>IFERROR(Y34/(Y9+Y10+Y14+Y18),0)+SUMIFS(Aut_Ajustes_Manuais!$G:$G,Aut_Ajustes_Manuais!$I:$I,DRE!W$4,Aut_Ajustes_Manuais!$F:$F,"% sobre Receita Bruta")</f>
        <v>-0.50524985903703878</v>
      </c>
      <c r="Z39" s="245">
        <v>-0.31229992773261639</v>
      </c>
      <c r="AA39" s="50">
        <v>-0.28901200281485812</v>
      </c>
      <c r="AB39" s="51">
        <f>IFERROR(AB34/(AB9+AB10+AB14+AB18),0)+SUMIFS(Aut_Ajustes_Manuais!$G:$G,Aut_Ajustes_Manuais!$I:$I,DRE!Z$4,Aut_Ajustes_Manuais!$F:$F,"% sobre Receita Bruta")</f>
        <v>-0.12214306399897379</v>
      </c>
      <c r="AC39" s="245">
        <v>-0.29712315198670081</v>
      </c>
      <c r="AD39" s="50">
        <v>-0.28901200281485812</v>
      </c>
      <c r="AE39" s="51">
        <f>IFERROR(AE34/(AE9+AE10+AE14+AE18),0)+SUMIFS(Aut_Ajustes_Manuais!$G:$G,Aut_Ajustes_Manuais!$I:$I,DRE!AC$4,Aut_Ajustes_Manuais!$F:$F,"% sobre Receita Bruta")</f>
        <v>0</v>
      </c>
      <c r="AF39" s="245">
        <v>-0.30875884858963359</v>
      </c>
      <c r="AG39" s="50">
        <v>-0.28901200281485812</v>
      </c>
      <c r="AH39" s="51">
        <f>IFERROR(AH34/(AH9+AH10+AH14+AH18),0)+SUMIFS(Aut_Ajustes_Manuais!$G:$G,Aut_Ajustes_Manuais!$I:$I,DRE!AF$4,Aut_Ajustes_Manuais!$F:$F,"% sobre Receita Bruta")</f>
        <v>0</v>
      </c>
      <c r="AI39" s="245">
        <v>-0.26336468768778137</v>
      </c>
      <c r="AJ39" s="50">
        <v>-0.28901200281485812</v>
      </c>
      <c r="AK39" s="51">
        <f>IFERROR(AK34/(AK9+AK10+AK14+AK18),0)+SUMIFS(Aut_Ajustes_Manuais!$G:$G,Aut_Ajustes_Manuais!$I:$I,DRE!AI$4,Aut_Ajustes_Manuais!$F:$F,"% sobre Receita Bruta")</f>
        <v>0</v>
      </c>
      <c r="AL39" s="245">
        <v>-0.30986352373875442</v>
      </c>
      <c r="AM39" s="50">
        <v>-0.28901200281485812</v>
      </c>
      <c r="AN39" s="51">
        <f>IFERROR(AN34/(AN9+AN10+AN14+AN18),0)+SUMIFS(Aut_Ajustes_Manuais!$G:$G,Aut_Ajustes_Manuais!$I:$I,DRE!AL$4,Aut_Ajustes_Manuais!$F:$F,"% sobre Receita Bruta")</f>
        <v>0</v>
      </c>
      <c r="AO39" s="245">
        <v>-0.34032040880759917</v>
      </c>
      <c r="AP39" s="50">
        <v>-0.28901200281485812</v>
      </c>
      <c r="AQ39" s="51">
        <f>IFERROR(AQ34/(AQ9+AQ10+AQ14+AQ18),0)+SUMIFS(Aut_Ajustes_Manuais!$G:$G,Aut_Ajustes_Manuais!$I:$I,DRE!AO$4,Aut_Ajustes_Manuais!$F:$F,"% sobre Receita Bruta")</f>
        <v>0</v>
      </c>
      <c r="AR39" s="245">
        <f t="shared" ref="AR39:BI39" ca="1" si="44">IFERROR(AR34/(AR9+AR10+AR14+AR18),0)</f>
        <v>-0.33849258413903166</v>
      </c>
      <c r="AS39" s="50">
        <f t="shared" ca="1" si="44"/>
        <v>-0.289012002814858</v>
      </c>
      <c r="AT39" s="50">
        <f t="shared" ca="1" si="44"/>
        <v>-0.35697901911655933</v>
      </c>
      <c r="AU39" s="245">
        <f t="shared" si="44"/>
        <v>-0.3215298309113831</v>
      </c>
      <c r="AV39" s="50">
        <f t="shared" si="44"/>
        <v>-0.28901200281485812</v>
      </c>
      <c r="AW39" s="51">
        <f t="shared" si="44"/>
        <v>-0.34862122382764088</v>
      </c>
      <c r="AX39" s="245">
        <f t="shared" si="44"/>
        <v>-0.34211760639493993</v>
      </c>
      <c r="AY39" s="50">
        <f t="shared" si="44"/>
        <v>-0.28901200281485812</v>
      </c>
      <c r="AZ39" s="51">
        <f t="shared" si="44"/>
        <v>-0.32644690964911982</v>
      </c>
      <c r="BA39" s="245">
        <f t="shared" si="44"/>
        <v>-0.3353214826459513</v>
      </c>
      <c r="BB39" s="50">
        <f t="shared" si="44"/>
        <v>-0.289012002814858</v>
      </c>
      <c r="BC39" s="51">
        <f t="shared" si="44"/>
        <v>-0.38558144269420408</v>
      </c>
      <c r="BD39" s="245">
        <f t="shared" si="44"/>
        <v>-0.3055921040339778</v>
      </c>
      <c r="BE39" s="50">
        <f t="shared" si="44"/>
        <v>-0.28901200281485806</v>
      </c>
      <c r="BF39" s="51">
        <f t="shared" si="44"/>
        <v>-0.12214306399897379</v>
      </c>
      <c r="BG39" s="245">
        <f t="shared" si="44"/>
        <v>-0.30810476419844868</v>
      </c>
      <c r="BH39" s="50">
        <f t="shared" si="44"/>
        <v>-0.28901200281485806</v>
      </c>
      <c r="BI39" s="51">
        <f t="shared" si="44"/>
        <v>0</v>
      </c>
      <c r="BK39" s="448">
        <f t="shared" si="1"/>
        <v>-3.4681440337782972</v>
      </c>
      <c r="BL39" s="448">
        <f t="shared" si="2"/>
        <v>-3.179132030963439</v>
      </c>
      <c r="BM39" s="448">
        <f t="shared" si="3"/>
        <v>-1.6365286052073482</v>
      </c>
      <c r="BN39" s="448">
        <f t="shared" ca="1" si="4"/>
        <v>-1.2795495860907888</v>
      </c>
    </row>
    <row r="40" spans="1:66" x14ac:dyDescent="0.3">
      <c r="A40" s="71" t="s">
        <v>57</v>
      </c>
      <c r="C40" s="24"/>
      <c r="D40" s="25"/>
      <c r="E40" s="25"/>
      <c r="F40" s="41"/>
      <c r="G40" s="72"/>
      <c r="H40" s="245">
        <v>-0.30972363504493639</v>
      </c>
      <c r="I40" s="50">
        <v>-0.23310847307666269</v>
      </c>
      <c r="J40" s="51">
        <f>IFERROR(J34/J32,0)+SUMIFS(Aut_Ajustes_Manuais!$G:$G,Aut_Ajustes_Manuais!$I:$I,DRE!H$4,Aut_Ajustes_Manuais!$F:$F,"% sobre Receita Líquida")</f>
        <v>-0.28742291469129633</v>
      </c>
      <c r="K40" s="245">
        <v>-0.32607001394104002</v>
      </c>
      <c r="L40" s="50">
        <v>-0.23310847307666269</v>
      </c>
      <c r="M40" s="51">
        <f>IFERROR(M34/M32,0)+SUMIFS(Aut_Ajustes_Manuais!$G:$G,Aut_Ajustes_Manuais!$I:$I,DRE!K$4,Aut_Ajustes_Manuais!$F:$F,"% sobre Receita Líquida")</f>
        <v>-0.30889084059549943</v>
      </c>
      <c r="N40" s="245">
        <v>-0.3277206917347944</v>
      </c>
      <c r="O40" s="50">
        <v>-0.2331084730766628</v>
      </c>
      <c r="P40" s="51">
        <f>IFERROR(P34/P32,0)+SUMIFS(Aut_Ajustes_Manuais!$G:$G,Aut_Ajustes_Manuais!$I:$I,DRE!N$4,Aut_Ajustes_Manuais!$F:$F,"% sobre Receita Líquida")</f>
        <v>-0.30489999821376979</v>
      </c>
      <c r="Q40" s="245">
        <v>-0.35104619105458229</v>
      </c>
      <c r="R40" s="50">
        <v>-0.2331084730766628</v>
      </c>
      <c r="S40" s="51">
        <f>IFERROR(S34/S32,0)+SUMIFS(Aut_Ajustes_Manuais!$G:$G,Aut_Ajustes_Manuais!$I:$I,DRE!Q$4,Aut_Ajustes_Manuais!$F:$F,"% sobre Receita Líquida")</f>
        <v>-0.30741252673528019</v>
      </c>
      <c r="T40" s="245">
        <v>-0.29989498914762502</v>
      </c>
      <c r="U40" s="50">
        <v>-0.23310847307666269</v>
      </c>
      <c r="V40" s="51">
        <f>IFERROR(V34/V32,0)+SUMIFS(Aut_Ajustes_Manuais!$G:$G,Aut_Ajustes_Manuais!$I:$I,DRE!T$4,Aut_Ajustes_Manuais!$F:$F,"% sobre Receita Líquida")</f>
        <v>-0.29917074967051749</v>
      </c>
      <c r="W40" s="245">
        <v>-0.29958673156738402</v>
      </c>
      <c r="X40" s="50">
        <v>-0.2331084730766628</v>
      </c>
      <c r="Y40" s="51">
        <f>IFERROR(Y34/Y32,0)+SUMIFS(Aut_Ajustes_Manuais!$G:$G,Aut_Ajustes_Manuais!$I:$I,DRE!W$4,Aut_Ajustes_Manuais!$F:$F,"% sobre Receita Líquida")</f>
        <v>-0.47173737526437259</v>
      </c>
      <c r="Z40" s="245">
        <v>-0.29437943345636108</v>
      </c>
      <c r="AA40" s="50">
        <v>-0.2331084730766628</v>
      </c>
      <c r="AB40" s="51">
        <f>IFERROR(AB34/AB32,0)+SUMIFS(Aut_Ajustes_Manuais!$G:$G,Aut_Ajustes_Manuais!$I:$I,DRE!Z$4,Aut_Ajustes_Manuais!$F:$F,"% sobre Receita Líquida")</f>
        <v>-0.11548283523628407</v>
      </c>
      <c r="AC40" s="245">
        <v>-0.27634800340088572</v>
      </c>
      <c r="AD40" s="50">
        <v>-0.23310847307666269</v>
      </c>
      <c r="AE40" s="51">
        <f>IFERROR(AE34/AE32,0)+SUMIFS(Aut_Ajustes_Manuais!$G:$G,Aut_Ajustes_Manuais!$I:$I,DRE!AC$4,Aut_Ajustes_Manuais!$F:$F,"% sobre Receita Líquida")</f>
        <v>0</v>
      </c>
      <c r="AF40" s="245">
        <v>-0.28824081815253522</v>
      </c>
      <c r="AG40" s="50">
        <v>-0.2331084730766628</v>
      </c>
      <c r="AH40" s="51">
        <f>IFERROR(AH34/AH32,0)+SUMIFS(Aut_Ajustes_Manuais!$G:$G,Aut_Ajustes_Manuais!$I:$I,DRE!AF$4,Aut_Ajustes_Manuais!$F:$F,"% sobre Receita Líquida")</f>
        <v>0</v>
      </c>
      <c r="AI40" s="245">
        <v>-0.2451627024089828</v>
      </c>
      <c r="AJ40" s="50">
        <v>-0.2331084730766628</v>
      </c>
      <c r="AK40" s="51">
        <f>IFERROR(AK34/AK32,0)+SUMIFS(Aut_Ajustes_Manuais!$G:$G,Aut_Ajustes_Manuais!$I:$I,DRE!AI$4,Aut_Ajustes_Manuais!$F:$F,"% sobre Receita Líquida")</f>
        <v>0</v>
      </c>
      <c r="AL40" s="245">
        <v>-0.28579247457518081</v>
      </c>
      <c r="AM40" s="50">
        <v>-0.23310847307666269</v>
      </c>
      <c r="AN40" s="51">
        <f>IFERROR(AN34/AN32,0)+SUMIFS(Aut_Ajustes_Manuais!$G:$G,Aut_Ajustes_Manuais!$I:$I,DRE!AL$4,Aut_Ajustes_Manuais!$F:$F,"% sobre Receita Líquida")</f>
        <v>0</v>
      </c>
      <c r="AO40" s="245">
        <v>-0.31434158583383631</v>
      </c>
      <c r="AP40" s="50">
        <v>-0.2331084730766628</v>
      </c>
      <c r="AQ40" s="51">
        <f>IFERROR(AQ34/AQ32,0)+SUMIFS(Aut_Ajustes_Manuais!$G:$G,Aut_Ajustes_Manuais!$I:$I,DRE!AO$4,Aut_Ajustes_Manuais!$F:$F,"% sobre Receita Líquida")</f>
        <v>0</v>
      </c>
      <c r="AR40" s="245">
        <f t="shared" ref="AR40:BI40" ca="1" si="45">IFERROR(AR34/AR32,0)</f>
        <v>-0.31776825918361468</v>
      </c>
      <c r="AS40" s="50">
        <f t="shared" ca="1" si="45"/>
        <v>-0.23310847307666288</v>
      </c>
      <c r="AT40" s="50">
        <f t="shared" ca="1" si="45"/>
        <v>-0.32962937748097154</v>
      </c>
      <c r="AU40" s="245">
        <f t="shared" si="45"/>
        <v>-0.30029989059958417</v>
      </c>
      <c r="AV40" s="50">
        <f t="shared" si="45"/>
        <v>-0.23310847307666277</v>
      </c>
      <c r="AW40" s="51">
        <f t="shared" si="45"/>
        <v>-0.3221797594270977</v>
      </c>
      <c r="AX40" s="245">
        <f t="shared" si="45"/>
        <v>-0.32079231554230647</v>
      </c>
      <c r="AY40" s="50">
        <f t="shared" si="45"/>
        <v>-0.2331084730766628</v>
      </c>
      <c r="AZ40" s="51">
        <f t="shared" si="45"/>
        <v>-0.29963101229336508</v>
      </c>
      <c r="BA40" s="245">
        <f t="shared" si="45"/>
        <v>-0.31511700554727851</v>
      </c>
      <c r="BB40" s="50">
        <f t="shared" si="45"/>
        <v>-0.23310847307666274</v>
      </c>
      <c r="BC40" s="51">
        <f t="shared" si="45"/>
        <v>-0.35806161604238368</v>
      </c>
      <c r="BD40" s="245">
        <f t="shared" si="45"/>
        <v>-0.28576641690428584</v>
      </c>
      <c r="BE40" s="50">
        <f t="shared" si="45"/>
        <v>-0.23310847307666269</v>
      </c>
      <c r="BF40" s="51">
        <f t="shared" si="45"/>
        <v>-0.11548283523628407</v>
      </c>
      <c r="BG40" s="245">
        <f t="shared" si="45"/>
        <v>-0.28507660802552603</v>
      </c>
      <c r="BH40" s="50">
        <f t="shared" si="45"/>
        <v>-0.23310847307666277</v>
      </c>
      <c r="BI40" s="51">
        <f t="shared" si="45"/>
        <v>0</v>
      </c>
      <c r="BK40" s="448">
        <f t="shared" si="1"/>
        <v>-2.797301676919953</v>
      </c>
      <c r="BL40" s="448">
        <f t="shared" si="2"/>
        <v>-2.5641932038432902</v>
      </c>
      <c r="BM40" s="448">
        <f t="shared" si="3"/>
        <v>-1.5077970299063632</v>
      </c>
      <c r="BN40" s="448">
        <f t="shared" ca="1" si="4"/>
        <v>-1.1781676524253917</v>
      </c>
    </row>
    <row r="41" spans="1:66" x14ac:dyDescent="0.3">
      <c r="A41" s="18"/>
      <c r="E41" s="16"/>
      <c r="F41" s="17"/>
      <c r="H41" s="247"/>
      <c r="I41" s="17"/>
      <c r="J41" s="57"/>
      <c r="K41" s="247"/>
      <c r="L41" s="17"/>
      <c r="M41" s="57"/>
      <c r="N41" s="247"/>
      <c r="O41" s="17"/>
      <c r="P41" s="57"/>
      <c r="Q41" s="247"/>
      <c r="R41" s="17"/>
      <c r="S41" s="57"/>
      <c r="T41" s="247"/>
      <c r="U41" s="17"/>
      <c r="V41" s="57"/>
      <c r="W41" s="247"/>
      <c r="X41" s="17"/>
      <c r="Y41" s="57"/>
      <c r="Z41" s="247"/>
      <c r="AA41" s="17"/>
      <c r="AB41" s="57"/>
      <c r="AC41" s="247"/>
      <c r="AD41" s="17"/>
      <c r="AE41" s="57"/>
      <c r="AF41" s="247"/>
      <c r="AG41" s="17"/>
      <c r="AH41" s="57"/>
      <c r="AI41" s="247"/>
      <c r="AJ41" s="17"/>
      <c r="AK41" s="57"/>
      <c r="AL41" s="247"/>
      <c r="AM41" s="17"/>
      <c r="AN41" s="57"/>
      <c r="AO41" s="247"/>
      <c r="AP41" s="17"/>
      <c r="AQ41" s="57"/>
      <c r="AR41" s="247"/>
      <c r="AS41" s="17"/>
      <c r="AT41" s="57"/>
      <c r="AU41" s="247"/>
      <c r="AV41" s="17"/>
      <c r="AW41" s="57"/>
      <c r="AX41" s="247"/>
      <c r="AY41" s="17"/>
      <c r="AZ41" s="57"/>
      <c r="BA41" s="247"/>
      <c r="BB41" s="17"/>
      <c r="BC41" s="57"/>
      <c r="BD41" s="247"/>
      <c r="BE41" s="17"/>
      <c r="BF41" s="57"/>
      <c r="BG41" s="247"/>
      <c r="BH41" s="17"/>
      <c r="BI41" s="57"/>
      <c r="BK41" s="448">
        <f t="shared" si="1"/>
        <v>0</v>
      </c>
      <c r="BL41" s="448">
        <f t="shared" si="2"/>
        <v>0</v>
      </c>
      <c r="BM41" s="448">
        <f t="shared" si="3"/>
        <v>0</v>
      </c>
      <c r="BN41" s="448">
        <f t="shared" si="4"/>
        <v>0</v>
      </c>
    </row>
    <row r="42" spans="1:66" x14ac:dyDescent="0.3">
      <c r="A42" s="39" t="s">
        <v>58</v>
      </c>
      <c r="C42" s="40" t="s">
        <v>37</v>
      </c>
      <c r="D42" s="40" t="s">
        <v>38</v>
      </c>
      <c r="E42" s="40" t="s">
        <v>39</v>
      </c>
      <c r="F42" s="41"/>
      <c r="H42" s="251">
        <v>-1400</v>
      </c>
      <c r="I42" s="67">
        <f>SUM(I43,I49)</f>
        <v>-8400</v>
      </c>
      <c r="J42" s="68">
        <f>SUM(J43,J49)+SUMIFS(Aut_Ajustes_Manuais!$G:$G,Aut_Ajustes_Manuais!$I:$I,DRE!H$4,Aut_Ajustes_Manuais!$F:$F,"(-) Custos Artístico Geral")</f>
        <v>-5600</v>
      </c>
      <c r="K42" s="251">
        <v>-1400</v>
      </c>
      <c r="L42" s="67">
        <f>SUM(L43,L49)</f>
        <v>-7000</v>
      </c>
      <c r="M42" s="68">
        <f>SUM(M43,M49)+SUMIFS(Aut_Ajustes_Manuais!$G:$G,Aut_Ajustes_Manuais!$I:$I,DRE!K$4,Aut_Ajustes_Manuais!$F:$F,"(-) Custos Artístico Geral")</f>
        <v>-7000</v>
      </c>
      <c r="N42" s="251">
        <v>-4793.9853280325306</v>
      </c>
      <c r="O42" s="67">
        <f>SUM(O43,O49)</f>
        <v>-7000</v>
      </c>
      <c r="P42" s="68">
        <f>SUM(P43,P49)+SUMIFS(Aut_Ajustes_Manuais!$G:$G,Aut_Ajustes_Manuais!$I:$I,DRE!N$4,Aut_Ajustes_Manuais!$F:$F,"(-) Custos Artístico Geral")</f>
        <v>-4200</v>
      </c>
      <c r="Q42" s="251">
        <v>-3700.6070357127328</v>
      </c>
      <c r="R42" s="67">
        <f>SUM(R43,R49)</f>
        <v>-7000</v>
      </c>
      <c r="S42" s="68">
        <f>SUM(S43,S49)+SUMIFS(Aut_Ajustes_Manuais!$G:$G,Aut_Ajustes_Manuais!$I:$I,DRE!Q$4,Aut_Ajustes_Manuais!$F:$F,"(-) Custos Artístico Geral")</f>
        <v>-7000</v>
      </c>
      <c r="T42" s="251">
        <v>-6198.1337626935847</v>
      </c>
      <c r="U42" s="67">
        <f>SUM(U43,U49)</f>
        <v>-8400</v>
      </c>
      <c r="V42" s="68">
        <f>SUM(V43,V49)+SUMIFS(Aut_Ajustes_Manuais!$G:$G,Aut_Ajustes_Manuais!$I:$I,DRE!T$4,Aut_Ajustes_Manuais!$F:$F,"(-) Custos Artístico Geral")</f>
        <v>-8400</v>
      </c>
      <c r="W42" s="251">
        <v>-3600</v>
      </c>
      <c r="X42" s="67">
        <f>SUM(X43,X49)</f>
        <v>-7000</v>
      </c>
      <c r="Y42" s="68">
        <f>SUM(Y43,Y49)+SUMIFS(Aut_Ajustes_Manuais!$G:$G,Aut_Ajustes_Manuais!$I:$I,DRE!W$4,Aut_Ajustes_Manuais!$F:$F,"(-) Custos Artístico Geral")</f>
        <v>-7300</v>
      </c>
      <c r="Z42" s="251">
        <v>-3600</v>
      </c>
      <c r="AA42" s="67">
        <f>SUM(AA43,AA49)</f>
        <v>-7000</v>
      </c>
      <c r="AB42" s="68">
        <f>SUM(AB43,AB49)+SUMIFS(Aut_Ajustes_Manuais!$G:$G,Aut_Ajustes_Manuais!$I:$I,DRE!Z$4,Aut_Ajustes_Manuais!$F:$F,"(-) Custos Artístico Geral")</f>
        <v>-2800</v>
      </c>
      <c r="AC42" s="251">
        <v>-7211.2609674602963</v>
      </c>
      <c r="AD42" s="67">
        <f>SUM(AD43,AD49)</f>
        <v>-8400</v>
      </c>
      <c r="AE42" s="68">
        <f>SUM(AE43,AE49)+SUMIFS(Aut_Ajustes_Manuais!$G:$G,Aut_Ajustes_Manuais!$I:$I,DRE!AC$4,Aut_Ajustes_Manuais!$F:$F,"(-) Custos Artístico Geral")</f>
        <v>0</v>
      </c>
      <c r="AF42" s="251">
        <v>-3800</v>
      </c>
      <c r="AG42" s="67">
        <f>SUM(AG43,AG49)</f>
        <v>-7000</v>
      </c>
      <c r="AH42" s="68">
        <f>SUM(AH43,AH49)+SUMIFS(Aut_Ajustes_Manuais!$G:$G,Aut_Ajustes_Manuais!$I:$I,DRE!AF$4,Aut_Ajustes_Manuais!$F:$F,"(-) Custos Artístico Geral")</f>
        <v>0</v>
      </c>
      <c r="AI42" s="251">
        <v>-1400</v>
      </c>
      <c r="AJ42" s="67">
        <f>SUM(AJ43,AJ49)</f>
        <v>-8400</v>
      </c>
      <c r="AK42" s="68">
        <f>SUM(AK43,AK49)+SUMIFS(Aut_Ajustes_Manuais!$G:$G,Aut_Ajustes_Manuais!$I:$I,DRE!AI$4,Aut_Ajustes_Manuais!$F:$F,"(-) Custos Artístico Geral")</f>
        <v>0</v>
      </c>
      <c r="AL42" s="251">
        <v>-13400</v>
      </c>
      <c r="AM42" s="67">
        <f>SUM(AM43,AM49)</f>
        <v>-7000</v>
      </c>
      <c r="AN42" s="68">
        <f>SUM(AN43,AN49)+SUMIFS(Aut_Ajustes_Manuais!$G:$G,Aut_Ajustes_Manuais!$I:$I,DRE!AL$4,Aut_Ajustes_Manuais!$F:$F,"(-) Custos Artístico Geral")</f>
        <v>0</v>
      </c>
      <c r="AO42" s="251">
        <v>-9800</v>
      </c>
      <c r="AP42" s="67">
        <f>SUM(AP43,AP49)</f>
        <v>-7000</v>
      </c>
      <c r="AQ42" s="68">
        <f>SUM(AQ43,AQ49)+SUMIFS(Aut_Ajustes_Manuais!$G:$G,Aut_Ajustes_Manuais!$I:$I,DRE!AO$4,Aut_Ajustes_Manuais!$F:$F,"(-) Custos Artístico Geral")</f>
        <v>0</v>
      </c>
      <c r="AR42" s="251">
        <f t="shared" ref="AR42:BI42" ca="1" si="46">SUM(AR43,AR49)</f>
        <v>-21092.726126438847</v>
      </c>
      <c r="AS42" s="67">
        <f t="shared" ca="1" si="46"/>
        <v>-44800</v>
      </c>
      <c r="AT42" s="68">
        <f t="shared" ca="1" si="46"/>
        <v>-39500</v>
      </c>
      <c r="AU42" s="251">
        <f t="shared" si="46"/>
        <v>-60303.987093899144</v>
      </c>
      <c r="AV42" s="67">
        <f t="shared" si="46"/>
        <v>-89600</v>
      </c>
      <c r="AW42" s="68">
        <f t="shared" si="46"/>
        <v>-42300</v>
      </c>
      <c r="AX42" s="251">
        <f t="shared" si="46"/>
        <v>-7593.9853280325306</v>
      </c>
      <c r="AY42" s="67">
        <f t="shared" si="46"/>
        <v>-22400</v>
      </c>
      <c r="AZ42" s="68">
        <f t="shared" si="46"/>
        <v>-16800</v>
      </c>
      <c r="BA42" s="251">
        <f t="shared" si="46"/>
        <v>-13498.740798406317</v>
      </c>
      <c r="BB42" s="67">
        <f t="shared" si="46"/>
        <v>-22400</v>
      </c>
      <c r="BC42" s="68">
        <f t="shared" si="46"/>
        <v>-22700</v>
      </c>
      <c r="BD42" s="251">
        <f t="shared" si="46"/>
        <v>-14611.260967460295</v>
      </c>
      <c r="BE42" s="67">
        <f t="shared" si="46"/>
        <v>-22400</v>
      </c>
      <c r="BF42" s="68">
        <f t="shared" si="46"/>
        <v>-2800</v>
      </c>
      <c r="BG42" s="251">
        <f t="shared" si="46"/>
        <v>-24600</v>
      </c>
      <c r="BH42" s="67">
        <f t="shared" si="46"/>
        <v>-22400</v>
      </c>
      <c r="BI42" s="68">
        <f t="shared" si="46"/>
        <v>0</v>
      </c>
      <c r="BK42" s="448">
        <f t="shared" si="1"/>
        <v>-89600</v>
      </c>
      <c r="BL42" s="448">
        <f t="shared" si="2"/>
        <v>0</v>
      </c>
      <c r="BM42" s="448">
        <f t="shared" si="3"/>
        <v>-32200</v>
      </c>
      <c r="BN42" s="448">
        <f t="shared" ca="1" si="4"/>
        <v>7300</v>
      </c>
    </row>
    <row r="43" spans="1:66" ht="18" hidden="1" customHeight="1" outlineLevel="1" x14ac:dyDescent="0.3">
      <c r="A43" s="73" t="s">
        <v>59</v>
      </c>
      <c r="C43" s="24"/>
      <c r="D43" s="69"/>
      <c r="E43" s="69"/>
      <c r="F43" s="41"/>
      <c r="H43" s="252">
        <v>-1400</v>
      </c>
      <c r="I43" s="74">
        <v>-8400</v>
      </c>
      <c r="J43" s="76">
        <f>SUM(J44:J48)+SUMIFS(Aut_Ajustes_Manuais!$G:$G,Aut_Ajustes_Manuais!$I:$I,DRE!H$4,Aut_Ajustes_Manuais!$F:$F,"Custos Artístico")</f>
        <v>-5600</v>
      </c>
      <c r="K43" s="252">
        <v>-1400</v>
      </c>
      <c r="L43" s="74">
        <v>-7000</v>
      </c>
      <c r="M43" s="76">
        <f>SUM(M44:M48)+SUMIFS(Aut_Ajustes_Manuais!$G:$G,Aut_Ajustes_Manuais!$I:$I,DRE!K$4,Aut_Ajustes_Manuais!$F:$F,"Custos Artístico")</f>
        <v>-7000</v>
      </c>
      <c r="N43" s="252">
        <v>-4793.9853280325306</v>
      </c>
      <c r="O43" s="74">
        <v>-7000</v>
      </c>
      <c r="P43" s="76">
        <f>SUM(P44:P48)+SUMIFS(Aut_Ajustes_Manuais!$G:$G,Aut_Ajustes_Manuais!$I:$I,DRE!N$4,Aut_Ajustes_Manuais!$F:$F,"Custos Artístico")</f>
        <v>-4200</v>
      </c>
      <c r="Q43" s="252">
        <v>-3700.6070357127328</v>
      </c>
      <c r="R43" s="74">
        <v>-7000</v>
      </c>
      <c r="S43" s="76">
        <f>SUM(S44:S48)+SUMIFS(Aut_Ajustes_Manuais!$G:$G,Aut_Ajustes_Manuais!$I:$I,DRE!Q$4,Aut_Ajustes_Manuais!$F:$F,"Custos Artístico")</f>
        <v>-7000</v>
      </c>
      <c r="T43" s="252">
        <v>-6198.1337626935847</v>
      </c>
      <c r="U43" s="74">
        <v>-8400</v>
      </c>
      <c r="V43" s="76">
        <f>SUM(V44:V48)+SUMIFS(Aut_Ajustes_Manuais!$G:$G,Aut_Ajustes_Manuais!$I:$I,DRE!T$4,Aut_Ajustes_Manuais!$F:$F,"Custos Artístico")</f>
        <v>-8400</v>
      </c>
      <c r="W43" s="252">
        <v>-3600</v>
      </c>
      <c r="X43" s="74">
        <v>-7000</v>
      </c>
      <c r="Y43" s="76">
        <f>SUM(Y44:Y48)+SUMIFS(Aut_Ajustes_Manuais!$G:$G,Aut_Ajustes_Manuais!$I:$I,DRE!W$4,Aut_Ajustes_Manuais!$F:$F,"Custos Artístico")</f>
        <v>-7300</v>
      </c>
      <c r="Z43" s="252">
        <v>-3600</v>
      </c>
      <c r="AA43" s="74">
        <v>-7000</v>
      </c>
      <c r="AB43" s="76">
        <f>SUM(AB44:AB48)+SUMIFS(Aut_Ajustes_Manuais!$G:$G,Aut_Ajustes_Manuais!$I:$I,DRE!Z$4,Aut_Ajustes_Manuais!$F:$F,"Custos Artístico")</f>
        <v>-2800</v>
      </c>
      <c r="AC43" s="252">
        <v>-7211.2609674602963</v>
      </c>
      <c r="AD43" s="74">
        <v>-8400</v>
      </c>
      <c r="AE43" s="76">
        <f>SUM(AE44:AE48)+SUMIFS(Aut_Ajustes_Manuais!$G:$G,Aut_Ajustes_Manuais!$I:$I,DRE!AC$4,Aut_Ajustes_Manuais!$F:$F,"Custos Artístico")</f>
        <v>0</v>
      </c>
      <c r="AF43" s="252">
        <v>-3800</v>
      </c>
      <c r="AG43" s="74">
        <v>-7000</v>
      </c>
      <c r="AH43" s="76">
        <f>SUM(AH44:AH48)+SUMIFS(Aut_Ajustes_Manuais!$G:$G,Aut_Ajustes_Manuais!$I:$I,DRE!AF$4,Aut_Ajustes_Manuais!$F:$F,"Custos Artístico")</f>
        <v>0</v>
      </c>
      <c r="AI43" s="252">
        <v>-1400</v>
      </c>
      <c r="AJ43" s="74">
        <v>-8400</v>
      </c>
      <c r="AK43" s="76">
        <f>SUM(AK44:AK48)+SUMIFS(Aut_Ajustes_Manuais!$G:$G,Aut_Ajustes_Manuais!$I:$I,DRE!AI$4,Aut_Ajustes_Manuais!$F:$F,"Custos Artístico")</f>
        <v>0</v>
      </c>
      <c r="AL43" s="252">
        <v>-13400</v>
      </c>
      <c r="AM43" s="74">
        <v>-7000</v>
      </c>
      <c r="AN43" s="76">
        <f>SUM(AN44:AN48)+SUMIFS(Aut_Ajustes_Manuais!$G:$G,Aut_Ajustes_Manuais!$I:$I,DRE!AL$4,Aut_Ajustes_Manuais!$F:$F,"Custos Artístico")</f>
        <v>0</v>
      </c>
      <c r="AO43" s="252">
        <v>-9800</v>
      </c>
      <c r="AP43" s="74">
        <v>-7000</v>
      </c>
      <c r="AQ43" s="76">
        <f>SUM(AQ44:AQ48)+SUMIFS(Aut_Ajustes_Manuais!$G:$G,Aut_Ajustes_Manuais!$I:$I,DRE!AO$4,Aut_Ajustes_Manuais!$F:$F,"Custos Artístico")</f>
        <v>0</v>
      </c>
      <c r="AR43" s="252">
        <f t="shared" ref="AR43:AR52" ca="1" si="47">SUMIFS($H43:$AO43,$H$5:$AO$5,"&lt;"&amp;MONTH(TODAY()),$H$6:$AO$6,"REAL 25")</f>
        <v>-21092.726126438847</v>
      </c>
      <c r="AS43" s="74">
        <f t="shared" ref="AS43:AS52" ca="1" si="48">SUMIFS($I43:$AP43,$I$5:$AP$5,"&lt;"&amp;MONTH(TODAY()),$I$6:$AP$6,"ORÇADO ")</f>
        <v>-44800</v>
      </c>
      <c r="AT43" s="74">
        <f t="shared" ref="AT43:AT52" ca="1" si="49">SUMIFS($J43:$AQ43,$J$5:$AQ$5,"&lt;"&amp;MONTH(TODAY()),$J$6:$AQ$6,"REAL 26")</f>
        <v>-39500</v>
      </c>
      <c r="AU43" s="252">
        <f t="shared" ref="AU43:BI43" si="50">SUM(AU44:AU48)</f>
        <v>-60303.987093899144</v>
      </c>
      <c r="AV43" s="74">
        <f t="shared" si="50"/>
        <v>-89600</v>
      </c>
      <c r="AW43" s="76">
        <f t="shared" si="50"/>
        <v>-42300</v>
      </c>
      <c r="AX43" s="252">
        <f t="shared" si="50"/>
        <v>-7593.9853280325306</v>
      </c>
      <c r="AY43" s="74">
        <f t="shared" si="50"/>
        <v>-22400</v>
      </c>
      <c r="AZ43" s="76">
        <f t="shared" si="50"/>
        <v>-16800</v>
      </c>
      <c r="BA43" s="252">
        <f t="shared" si="50"/>
        <v>-13498.740798406317</v>
      </c>
      <c r="BB43" s="74">
        <f t="shared" si="50"/>
        <v>-22400</v>
      </c>
      <c r="BC43" s="76">
        <f t="shared" si="50"/>
        <v>-22700</v>
      </c>
      <c r="BD43" s="252">
        <f t="shared" si="50"/>
        <v>-14611.260967460295</v>
      </c>
      <c r="BE43" s="74">
        <f t="shared" si="50"/>
        <v>-22400</v>
      </c>
      <c r="BF43" s="76">
        <f t="shared" si="50"/>
        <v>-2800</v>
      </c>
      <c r="BG43" s="252">
        <f t="shared" si="50"/>
        <v>-24600</v>
      </c>
      <c r="BH43" s="74">
        <f t="shared" si="50"/>
        <v>-22400</v>
      </c>
      <c r="BI43" s="76">
        <f t="shared" si="50"/>
        <v>0</v>
      </c>
      <c r="BK43" s="448">
        <f t="shared" si="1"/>
        <v>-89600</v>
      </c>
      <c r="BL43" s="448">
        <f t="shared" si="2"/>
        <v>0</v>
      </c>
      <c r="BM43" s="448">
        <f t="shared" si="3"/>
        <v>-32200</v>
      </c>
      <c r="BN43" s="448">
        <f t="shared" ca="1" si="4"/>
        <v>7300</v>
      </c>
    </row>
    <row r="44" spans="1:66" s="29" customFormat="1" hidden="1" outlineLevel="1" x14ac:dyDescent="0.3">
      <c r="A44" s="22" t="s">
        <v>60</v>
      </c>
      <c r="B44" s="2"/>
      <c r="C44" s="24" t="s">
        <v>16</v>
      </c>
      <c r="D44" s="69"/>
      <c r="E44" s="77">
        <v>6.7000000000000002E-3</v>
      </c>
      <c r="F44" s="41"/>
      <c r="G44" s="23"/>
      <c r="H44" s="241">
        <v>-1400</v>
      </c>
      <c r="I44" s="27">
        <v>-7000</v>
      </c>
      <c r="J44" s="28">
        <f>SUMIFS(Aut_BlueMe_Sem_Pedido!$J:$J,Aut_BlueMe_Sem_Pedido!$Q:$Q,DRE!H$4,Aut_BlueMe_Sem_Pedido!$H:$H,DRE!$A44)+SUMIFS(Aut_Ajustes_Manuais!$G:$G,Aut_Ajustes_Manuais!$I:$I,DRE!H$4,Aut_Ajustes_Manuais!$F:$F,"Cachê de Músicos e Artistas")</f>
        <v>-5600</v>
      </c>
      <c r="K44" s="241">
        <v>-1400</v>
      </c>
      <c r="L44" s="27">
        <v>-5600</v>
      </c>
      <c r="M44" s="28">
        <f>SUMIFS(Aut_BlueMe_Sem_Pedido!$J:$J,Aut_BlueMe_Sem_Pedido!$Q:$Q,DRE!K$4,Aut_BlueMe_Sem_Pedido!$H:$H,DRE!$A44)+SUMIFS(Aut_Ajustes_Manuais!$G:$G,Aut_Ajustes_Manuais!$I:$I,DRE!K$4,Aut_Ajustes_Manuais!$F:$F,"Cachê de Músicos e Artistas")</f>
        <v>-7000</v>
      </c>
      <c r="N44" s="241">
        <v>-4650</v>
      </c>
      <c r="O44" s="27">
        <v>-5600</v>
      </c>
      <c r="P44" s="28">
        <f>SUMIFS(Aut_BlueMe_Sem_Pedido!$J:$J,Aut_BlueMe_Sem_Pedido!$Q:$Q,DRE!N$4,Aut_BlueMe_Sem_Pedido!$H:$H,DRE!$A44)+SUMIFS(Aut_Ajustes_Manuais!$G:$G,Aut_Ajustes_Manuais!$I:$I,DRE!N$4,Aut_Ajustes_Manuais!$F:$F,"Cachê de Músicos e Artistas")</f>
        <v>-4200</v>
      </c>
      <c r="Q44" s="241">
        <v>-3600</v>
      </c>
      <c r="R44" s="27">
        <v>-5600</v>
      </c>
      <c r="S44" s="28">
        <f>SUMIFS(Aut_BlueMe_Sem_Pedido!$J:$J,Aut_BlueMe_Sem_Pedido!$Q:$Q,DRE!Q$4,Aut_BlueMe_Sem_Pedido!$H:$H,DRE!$A44)+SUMIFS(Aut_Ajustes_Manuais!$G:$G,Aut_Ajustes_Manuais!$I:$I,DRE!Q$4,Aut_Ajustes_Manuais!$F:$F,"Cachê de Músicos e Artistas")</f>
        <v>-7000</v>
      </c>
      <c r="T44" s="241">
        <v>-6000</v>
      </c>
      <c r="U44" s="27">
        <v>-7000</v>
      </c>
      <c r="V44" s="28">
        <f>SUMIFS(Aut_BlueMe_Sem_Pedido!$J:$J,Aut_BlueMe_Sem_Pedido!$Q:$Q,DRE!T$4,Aut_BlueMe_Sem_Pedido!$H:$H,DRE!$A44)+SUMIFS(Aut_Ajustes_Manuais!$G:$G,Aut_Ajustes_Manuais!$I:$I,DRE!T$4,Aut_Ajustes_Manuais!$F:$F,"Cachê de Músicos e Artistas")</f>
        <v>-8400</v>
      </c>
      <c r="W44" s="241">
        <v>-3600</v>
      </c>
      <c r="X44" s="27">
        <v>-5600</v>
      </c>
      <c r="Y44" s="28">
        <f>SUMIFS(Aut_BlueMe_Sem_Pedido!$J:$J,Aut_BlueMe_Sem_Pedido!$Q:$Q,DRE!W$4,Aut_BlueMe_Sem_Pedido!$H:$H,DRE!$A44)+SUMIFS(Aut_Ajustes_Manuais!$G:$G,Aut_Ajustes_Manuais!$I:$I,DRE!W$4,Aut_Ajustes_Manuais!$F:$F,"Cachê de Músicos e Artistas")</f>
        <v>-7300</v>
      </c>
      <c r="Z44" s="241">
        <v>-3600</v>
      </c>
      <c r="AA44" s="27">
        <v>-5600</v>
      </c>
      <c r="AB44" s="28">
        <f>SUMIFS(Aut_BlueMe_Sem_Pedido!$J:$J,Aut_BlueMe_Sem_Pedido!$Q:$Q,DRE!Z$4,Aut_BlueMe_Sem_Pedido!$H:$H,DRE!$A44)+SUMIFS(Aut_Ajustes_Manuais!$G:$G,Aut_Ajustes_Manuais!$I:$I,DRE!Z$4,Aut_Ajustes_Manuais!$F:$F,"Cachê de Músicos e Artistas")</f>
        <v>-2800</v>
      </c>
      <c r="AC44" s="241">
        <v>-7200</v>
      </c>
      <c r="AD44" s="27">
        <v>-7000</v>
      </c>
      <c r="AE44" s="28">
        <f>SUMIFS(Aut_BlueMe_Sem_Pedido!$J:$J,Aut_BlueMe_Sem_Pedido!$Q:$Q,DRE!AC$4,Aut_BlueMe_Sem_Pedido!$H:$H,DRE!$A44)+SUMIFS(Aut_Ajustes_Manuais!$G:$G,Aut_Ajustes_Manuais!$I:$I,DRE!AC$4,Aut_Ajustes_Manuais!$F:$F,"Cachê de Músicos e Artistas")</f>
        <v>0</v>
      </c>
      <c r="AF44" s="241">
        <v>-3800</v>
      </c>
      <c r="AG44" s="27">
        <v>-5600</v>
      </c>
      <c r="AH44" s="28">
        <f>SUMIFS(Aut_BlueMe_Sem_Pedido!$J:$J,Aut_BlueMe_Sem_Pedido!$Q:$Q,DRE!AF$4,Aut_BlueMe_Sem_Pedido!$H:$H,DRE!$A44)+SUMIFS(Aut_Ajustes_Manuais!$G:$G,Aut_Ajustes_Manuais!$I:$I,DRE!AF$4,Aut_Ajustes_Manuais!$F:$F,"Cachê de Músicos e Artistas")</f>
        <v>0</v>
      </c>
      <c r="AI44" s="241">
        <v>-1400</v>
      </c>
      <c r="AJ44" s="27">
        <v>-7000</v>
      </c>
      <c r="AK44" s="28">
        <f>SUMIFS(Aut_BlueMe_Sem_Pedido!$J:$J,Aut_BlueMe_Sem_Pedido!$Q:$Q,DRE!AI$4,Aut_BlueMe_Sem_Pedido!$H:$H,DRE!$A44)+SUMIFS(Aut_Ajustes_Manuais!$G:$G,Aut_Ajustes_Manuais!$I:$I,DRE!AI$4,Aut_Ajustes_Manuais!$F:$F,"Cachê de Músicos e Artistas")</f>
        <v>0</v>
      </c>
      <c r="AL44" s="241">
        <v>-13400</v>
      </c>
      <c r="AM44" s="27">
        <v>-5600</v>
      </c>
      <c r="AN44" s="28">
        <f>SUMIFS(Aut_BlueMe_Sem_Pedido!$J:$J,Aut_BlueMe_Sem_Pedido!$Q:$Q,DRE!AL$4,Aut_BlueMe_Sem_Pedido!$H:$H,DRE!$A44)+SUMIFS(Aut_Ajustes_Manuais!$G:$G,Aut_Ajustes_Manuais!$I:$I,DRE!AL$4,Aut_Ajustes_Manuais!$F:$F,"Cachê de Músicos e Artistas")</f>
        <v>0</v>
      </c>
      <c r="AO44" s="241">
        <v>-9800</v>
      </c>
      <c r="AP44" s="27">
        <v>-5600</v>
      </c>
      <c r="AQ44" s="28">
        <f>SUMIFS(Aut_BlueMe_Sem_Pedido!$J:$J,Aut_BlueMe_Sem_Pedido!$Q:$Q,DRE!AO$4,Aut_BlueMe_Sem_Pedido!$H:$H,DRE!$A44)+SUMIFS(Aut_Ajustes_Manuais!$G:$G,Aut_Ajustes_Manuais!$I:$I,DRE!AO$4,Aut_Ajustes_Manuais!$F:$F,"Cachê de Músicos e Artistas")</f>
        <v>0</v>
      </c>
      <c r="AR44" s="241">
        <f t="shared" ca="1" si="47"/>
        <v>-20650</v>
      </c>
      <c r="AS44" s="27">
        <f t="shared" ca="1" si="48"/>
        <v>-36400</v>
      </c>
      <c r="AT44" s="28">
        <f t="shared" ca="1" si="49"/>
        <v>-39500</v>
      </c>
      <c r="AU44" s="241">
        <f t="shared" ref="AU44:AW48" si="51">SUM(H44,K44,N44,Q44,T44,W44,Z44,AC44,AF44,AI44,AL44,AO44)</f>
        <v>-59850</v>
      </c>
      <c r="AV44" s="27">
        <f t="shared" si="51"/>
        <v>-72800</v>
      </c>
      <c r="AW44" s="28">
        <f t="shared" si="51"/>
        <v>-42300</v>
      </c>
      <c r="AX44" s="241">
        <f t="shared" ref="AX44:AZ48" si="52">SUM(H44,K44,N44)</f>
        <v>-7450</v>
      </c>
      <c r="AY44" s="27">
        <f t="shared" si="52"/>
        <v>-18200</v>
      </c>
      <c r="AZ44" s="28">
        <f t="shared" si="52"/>
        <v>-16800</v>
      </c>
      <c r="BA44" s="241">
        <f t="shared" ref="BA44:BC48" si="53">SUM(Q44,T44,W44)</f>
        <v>-13200</v>
      </c>
      <c r="BB44" s="27">
        <f t="shared" si="53"/>
        <v>-18200</v>
      </c>
      <c r="BC44" s="28">
        <f t="shared" si="53"/>
        <v>-22700</v>
      </c>
      <c r="BD44" s="241">
        <f t="shared" ref="BD44:BF48" si="54">SUM(Z44,AC44,AF44)</f>
        <v>-14600</v>
      </c>
      <c r="BE44" s="27">
        <f t="shared" si="54"/>
        <v>-18200</v>
      </c>
      <c r="BF44" s="28">
        <f t="shared" si="54"/>
        <v>-2800</v>
      </c>
      <c r="BG44" s="241">
        <f t="shared" ref="BG44:BI48" si="55">SUM(AI44,AL44,AO44)</f>
        <v>-24600</v>
      </c>
      <c r="BH44" s="27">
        <f t="shared" si="55"/>
        <v>-18200</v>
      </c>
      <c r="BI44" s="28">
        <f t="shared" si="55"/>
        <v>0</v>
      </c>
      <c r="BK44" s="448">
        <f t="shared" si="1"/>
        <v>-72800</v>
      </c>
      <c r="BL44" s="448">
        <f t="shared" si="2"/>
        <v>0</v>
      </c>
      <c r="BM44" s="448">
        <f t="shared" si="3"/>
        <v>-32200</v>
      </c>
      <c r="BN44" s="448">
        <f t="shared" ca="1" si="4"/>
        <v>7300</v>
      </c>
    </row>
    <row r="45" spans="1:66" s="29" customFormat="1" hidden="1" outlineLevel="1" x14ac:dyDescent="0.3">
      <c r="A45" s="22" t="s">
        <v>61</v>
      </c>
      <c r="B45" s="2"/>
      <c r="C45" s="24" t="s">
        <v>62</v>
      </c>
      <c r="D45" s="69"/>
      <c r="E45" s="77">
        <v>6.7000000000000002E-3</v>
      </c>
      <c r="F45" s="41"/>
      <c r="G45" s="23"/>
      <c r="H45" s="241">
        <v>0</v>
      </c>
      <c r="I45" s="27">
        <v>-1400</v>
      </c>
      <c r="J45" s="27">
        <f>SUMIFS(Aut_BlueMe_Sem_Pedido!$J:$J,Aut_BlueMe_Sem_Pedido!$Q:$Q,DRE!H$4,Aut_BlueMe_Sem_Pedido!$H:$H,DRE!$A45)-SUMIFS(Aut_Descontos!$G:$G,Aut_Descontos!$H:$H,DRE!$A45,Aut_Descontos!$L:$L,DRE!H$4)+SUMIFS(Aut_Ajustes_Manuais!$G:$G,Aut_Ajustes_Manuais!$I:$I,DRE!H$4,Aut_Ajustes_Manuais!$F:$F,"Alimentação e Transporte")</f>
        <v>0</v>
      </c>
      <c r="K45" s="241">
        <v>0</v>
      </c>
      <c r="L45" s="27">
        <v>-1400</v>
      </c>
      <c r="M45" s="27">
        <f>SUMIFS(Aut_BlueMe_Sem_Pedido!$J:$J,Aut_BlueMe_Sem_Pedido!$Q:$Q,DRE!K$4,Aut_BlueMe_Sem_Pedido!$H:$H,DRE!$A45)-SUMIFS(Aut_Descontos!$G:$G,Aut_Descontos!$H:$H,DRE!$A45,Aut_Descontos!$L:$L,DRE!K$4)+SUMIFS(Aut_Ajustes_Manuais!$G:$G,Aut_Ajustes_Manuais!$I:$I,DRE!K$4,Aut_Ajustes_Manuais!$F:$F,"Alimentação e Transporte")</f>
        <v>0</v>
      </c>
      <c r="N45" s="241">
        <v>-143.98532803253079</v>
      </c>
      <c r="O45" s="27">
        <v>-1400</v>
      </c>
      <c r="P45" s="27">
        <f>SUMIFS(Aut_BlueMe_Sem_Pedido!$J:$J,Aut_BlueMe_Sem_Pedido!$Q:$Q,DRE!N$4,Aut_BlueMe_Sem_Pedido!$H:$H,DRE!$A45)-SUMIFS(Aut_Descontos!$G:$G,Aut_Descontos!$H:$H,DRE!$A45,Aut_Descontos!$L:$L,DRE!N$4)+SUMIFS(Aut_Ajustes_Manuais!$G:$G,Aut_Ajustes_Manuais!$I:$I,DRE!N$4,Aut_Ajustes_Manuais!$F:$F,"Alimentação e Transporte")</f>
        <v>0</v>
      </c>
      <c r="Q45" s="241">
        <v>-100.6070357127328</v>
      </c>
      <c r="R45" s="27">
        <v>-1400</v>
      </c>
      <c r="S45" s="27">
        <f>SUMIFS(Aut_BlueMe_Sem_Pedido!$J:$J,Aut_BlueMe_Sem_Pedido!$Q:$Q,DRE!Q$4,Aut_BlueMe_Sem_Pedido!$H:$H,DRE!$A45)-SUMIFS(Aut_Descontos!$G:$G,Aut_Descontos!$H:$H,DRE!$A45,Aut_Descontos!$L:$L,DRE!Q$4)+SUMIFS(Aut_Ajustes_Manuais!$G:$G,Aut_Ajustes_Manuais!$I:$I,DRE!Q$4,Aut_Ajustes_Manuais!$F:$F,"Alimentação e Transporte")</f>
        <v>0</v>
      </c>
      <c r="T45" s="241">
        <v>-198.13376269358491</v>
      </c>
      <c r="U45" s="27">
        <v>-1400</v>
      </c>
      <c r="V45" s="27">
        <f>SUMIFS(Aut_BlueMe_Sem_Pedido!$J:$J,Aut_BlueMe_Sem_Pedido!$Q:$Q,DRE!T$4,Aut_BlueMe_Sem_Pedido!$H:$H,DRE!$A45)-SUMIFS(Aut_Descontos!$G:$G,Aut_Descontos!$H:$H,DRE!$A45,Aut_Descontos!$L:$L,DRE!T$4)+SUMIFS(Aut_Ajustes_Manuais!$G:$G,Aut_Ajustes_Manuais!$I:$I,DRE!T$4,Aut_Ajustes_Manuais!$F:$F,"Alimentação e Transporte")</f>
        <v>0</v>
      </c>
      <c r="W45" s="241">
        <v>0</v>
      </c>
      <c r="X45" s="27">
        <v>-1400</v>
      </c>
      <c r="Y45" s="28">
        <f>SUMIFS(Aut_BlueMe_Sem_Pedido!$J:$J,Aut_BlueMe_Sem_Pedido!$Q:$Q,DRE!W$4,Aut_BlueMe_Sem_Pedido!$H:$H,DRE!$A45)-SUMIFS(Aut_Descontos!$G:$G,Aut_Descontos!$H:$H,DRE!$A45,Aut_Descontos!$L:$L,DRE!W$4)+SUMIFS(Aut_Ajustes_Manuais!$G:$G,Aut_Ajustes_Manuais!$I:$I,DRE!W$4,Aut_Ajustes_Manuais!$F:$F,"Alimentação e Transporte")</f>
        <v>0</v>
      </c>
      <c r="Z45" s="241">
        <v>0</v>
      </c>
      <c r="AA45" s="27">
        <v>-1400</v>
      </c>
      <c r="AB45" s="28">
        <f>SUMIFS(Aut_BlueMe_Sem_Pedido!$J:$J,Aut_BlueMe_Sem_Pedido!$Q:$Q,DRE!Z$4,Aut_BlueMe_Sem_Pedido!$H:$H,DRE!$A45)-SUMIFS(Aut_Descontos!$G:$G,Aut_Descontos!$H:$H,DRE!$A45,Aut_Descontos!$L:$L,DRE!Z$4)+SUMIFS(Aut_Ajustes_Manuais!$G:$G,Aut_Ajustes_Manuais!$I:$I,DRE!Z$4,Aut_Ajustes_Manuais!$F:$F,"Alimentação e Transporte")</f>
        <v>0</v>
      </c>
      <c r="AC45" s="241">
        <v>-11.26096746029596</v>
      </c>
      <c r="AD45" s="27">
        <v>-1400</v>
      </c>
      <c r="AE45" s="28">
        <f>SUMIFS(Aut_BlueMe_Sem_Pedido!$J:$J,Aut_BlueMe_Sem_Pedido!$Q:$Q,DRE!AC$4,Aut_BlueMe_Sem_Pedido!$H:$H,DRE!$A45)-SUMIFS(Aut_Descontos!$G:$G,Aut_Descontos!$H:$H,DRE!$A45,Aut_Descontos!$L:$L,DRE!AC$4)+SUMIFS(Aut_Ajustes_Manuais!$G:$G,Aut_Ajustes_Manuais!$I:$I,DRE!AC$4,Aut_Ajustes_Manuais!$F:$F,"Alimentação e Transporte")</f>
        <v>0</v>
      </c>
      <c r="AF45" s="241">
        <v>0</v>
      </c>
      <c r="AG45" s="27">
        <v>-1400</v>
      </c>
      <c r="AH45" s="28">
        <f>SUMIFS(Aut_BlueMe_Sem_Pedido!$J:$J,Aut_BlueMe_Sem_Pedido!$Q:$Q,DRE!AF$4,Aut_BlueMe_Sem_Pedido!$H:$H,DRE!$A45)-SUMIFS(Aut_Descontos!$G:$G,Aut_Descontos!$H:$H,DRE!$A45,Aut_Descontos!$L:$L,DRE!AF$4)+SUMIFS(Aut_Ajustes_Manuais!$G:$G,Aut_Ajustes_Manuais!$I:$I,DRE!AF$4,Aut_Ajustes_Manuais!$F:$F,"Alimentação e Transporte")</f>
        <v>0</v>
      </c>
      <c r="AI45" s="241">
        <v>0</v>
      </c>
      <c r="AJ45" s="27">
        <v>-1400</v>
      </c>
      <c r="AK45" s="28">
        <f>SUMIFS(Aut_BlueMe_Sem_Pedido!$J:$J,Aut_BlueMe_Sem_Pedido!$Q:$Q,DRE!AI$4,Aut_BlueMe_Sem_Pedido!$H:$H,DRE!$A45)-SUMIFS(Aut_Descontos!$G:$G,Aut_Descontos!$H:$H,DRE!$A45,Aut_Descontos!$L:$L,DRE!AI$4)+SUMIFS(Aut_Ajustes_Manuais!$G:$G,Aut_Ajustes_Manuais!$I:$I,DRE!AI$4,Aut_Ajustes_Manuais!$F:$F,"Alimentação e Transporte")</f>
        <v>0</v>
      </c>
      <c r="AL45" s="241">
        <v>0</v>
      </c>
      <c r="AM45" s="27">
        <v>-1400</v>
      </c>
      <c r="AN45" s="28">
        <f>SUMIFS(Aut_BlueMe_Sem_Pedido!$J:$J,Aut_BlueMe_Sem_Pedido!$Q:$Q,DRE!AL$4,Aut_BlueMe_Sem_Pedido!$H:$H,DRE!$A45)-SUMIFS(Aut_Descontos!$G:$G,Aut_Descontos!$H:$H,DRE!$A45,Aut_Descontos!$L:$L,DRE!AL$4)+SUMIFS(Aut_Ajustes_Manuais!$G:$G,Aut_Ajustes_Manuais!$I:$I,DRE!AL$4,Aut_Ajustes_Manuais!$F:$F,"Alimentação e Transporte")</f>
        <v>0</v>
      </c>
      <c r="AO45" s="241">
        <v>0</v>
      </c>
      <c r="AP45" s="27">
        <v>-1400</v>
      </c>
      <c r="AQ45" s="28">
        <f>SUMIFS(Aut_BlueMe_Sem_Pedido!$J:$J,Aut_BlueMe_Sem_Pedido!$Q:$Q,DRE!AO$4,Aut_BlueMe_Sem_Pedido!$H:$H,DRE!$A45)-SUMIFS(Aut_Descontos!$G:$G,Aut_Descontos!$H:$H,DRE!$A45,Aut_Descontos!$L:$L,DRE!AO$4)+SUMIFS(Aut_Ajustes_Manuais!$G:$G,Aut_Ajustes_Manuais!$I:$I,DRE!AO$4,Aut_Ajustes_Manuais!$F:$F,"Alimentação e Transporte")</f>
        <v>0</v>
      </c>
      <c r="AR45" s="241">
        <f t="shared" ca="1" si="47"/>
        <v>-442.7261264388485</v>
      </c>
      <c r="AS45" s="27">
        <f t="shared" ca="1" si="48"/>
        <v>-8400</v>
      </c>
      <c r="AT45" s="28">
        <f t="shared" ca="1" si="49"/>
        <v>0</v>
      </c>
      <c r="AU45" s="241">
        <f t="shared" si="51"/>
        <v>-453.98709389914444</v>
      </c>
      <c r="AV45" s="27">
        <f t="shared" si="51"/>
        <v>-16800</v>
      </c>
      <c r="AW45" s="28">
        <f t="shared" si="51"/>
        <v>0</v>
      </c>
      <c r="AX45" s="241">
        <f t="shared" si="52"/>
        <v>-143.98532803253079</v>
      </c>
      <c r="AY45" s="27">
        <f t="shared" si="52"/>
        <v>-4200</v>
      </c>
      <c r="AZ45" s="28">
        <f t="shared" si="52"/>
        <v>0</v>
      </c>
      <c r="BA45" s="241">
        <f t="shared" si="53"/>
        <v>-298.74079840631771</v>
      </c>
      <c r="BB45" s="27">
        <f t="shared" si="53"/>
        <v>-4200</v>
      </c>
      <c r="BC45" s="28">
        <f t="shared" si="53"/>
        <v>0</v>
      </c>
      <c r="BD45" s="241">
        <f t="shared" si="54"/>
        <v>-11.26096746029596</v>
      </c>
      <c r="BE45" s="27">
        <f t="shared" si="54"/>
        <v>-4200</v>
      </c>
      <c r="BF45" s="28">
        <f t="shared" si="54"/>
        <v>0</v>
      </c>
      <c r="BG45" s="241">
        <f t="shared" si="55"/>
        <v>0</v>
      </c>
      <c r="BH45" s="27">
        <f t="shared" si="55"/>
        <v>-4200</v>
      </c>
      <c r="BI45" s="28">
        <f t="shared" si="55"/>
        <v>0</v>
      </c>
      <c r="BK45" s="448">
        <f t="shared" si="1"/>
        <v>-16800</v>
      </c>
      <c r="BL45" s="448">
        <f t="shared" si="2"/>
        <v>0</v>
      </c>
      <c r="BM45" s="448">
        <f t="shared" si="3"/>
        <v>0</v>
      </c>
      <c r="BN45" s="448">
        <f t="shared" ca="1" si="4"/>
        <v>0</v>
      </c>
    </row>
    <row r="46" spans="1:66" s="29" customFormat="1" hidden="1" outlineLevel="1" x14ac:dyDescent="0.3">
      <c r="A46" s="22" t="s">
        <v>63</v>
      </c>
      <c r="B46" s="2"/>
      <c r="C46" s="24" t="s">
        <v>62</v>
      </c>
      <c r="D46" s="69"/>
      <c r="E46" s="69"/>
      <c r="F46" s="41"/>
      <c r="G46" s="23"/>
      <c r="H46" s="241">
        <v>0</v>
      </c>
      <c r="I46" s="27">
        <v>0</v>
      </c>
      <c r="J46" s="28">
        <f>SUMIFS(Aut_BlueMe_Sem_Pedido!$J:$J,Aut_BlueMe_Sem_Pedido!$Q:$Q,DRE!H$4,Aut_BlueMe_Sem_Pedido!$H:$H,DRE!$A46)+SUMIFS(Aut_Ajustes_Manuais!$G:$G,Aut_Ajustes_Manuais!$I:$I,DRE!H$4,Aut_Ajustes_Manuais!$F:$F,"Viagens e Estadias")</f>
        <v>0</v>
      </c>
      <c r="K46" s="241">
        <v>0</v>
      </c>
      <c r="L46" s="27">
        <v>0</v>
      </c>
      <c r="M46" s="28">
        <f>SUMIFS(Aut_BlueMe_Sem_Pedido!$J:$J,Aut_BlueMe_Sem_Pedido!$Q:$Q,DRE!K$4,Aut_BlueMe_Sem_Pedido!$H:$H,DRE!$A46)+SUMIFS(Aut_Ajustes_Manuais!$G:$G,Aut_Ajustes_Manuais!$I:$I,DRE!K$4,Aut_Ajustes_Manuais!$F:$F,"Viagens e Estadias")</f>
        <v>0</v>
      </c>
      <c r="N46" s="241">
        <v>0</v>
      </c>
      <c r="O46" s="27">
        <v>0</v>
      </c>
      <c r="P46" s="28">
        <f>SUMIFS(Aut_BlueMe_Sem_Pedido!$J:$J,Aut_BlueMe_Sem_Pedido!$Q:$Q,DRE!N$4,Aut_BlueMe_Sem_Pedido!$H:$H,DRE!$A46)+SUMIFS(Aut_Ajustes_Manuais!$G:$G,Aut_Ajustes_Manuais!$I:$I,DRE!N$4,Aut_Ajustes_Manuais!$F:$F,"Viagens e Estadias")</f>
        <v>0</v>
      </c>
      <c r="Q46" s="241">
        <v>0</v>
      </c>
      <c r="R46" s="27">
        <v>0</v>
      </c>
      <c r="S46" s="28">
        <f>SUMIFS(Aut_BlueMe_Sem_Pedido!$J:$J,Aut_BlueMe_Sem_Pedido!$Q:$Q,DRE!Q$4,Aut_BlueMe_Sem_Pedido!$H:$H,DRE!$A46)+SUMIFS(Aut_Ajustes_Manuais!$G:$G,Aut_Ajustes_Manuais!$I:$I,DRE!Q$4,Aut_Ajustes_Manuais!$F:$F,"Viagens e Estadias")</f>
        <v>0</v>
      </c>
      <c r="T46" s="241">
        <v>0</v>
      </c>
      <c r="U46" s="27">
        <v>0</v>
      </c>
      <c r="V46" s="28">
        <f>SUMIFS(Aut_BlueMe_Sem_Pedido!$J:$J,Aut_BlueMe_Sem_Pedido!$Q:$Q,DRE!T$4,Aut_BlueMe_Sem_Pedido!$H:$H,DRE!$A46)+SUMIFS(Aut_Ajustes_Manuais!$G:$G,Aut_Ajustes_Manuais!$I:$I,DRE!T$4,Aut_Ajustes_Manuais!$F:$F,"Viagens e Estadias")</f>
        <v>0</v>
      </c>
      <c r="W46" s="241">
        <v>0</v>
      </c>
      <c r="X46" s="27">
        <v>0</v>
      </c>
      <c r="Y46" s="28">
        <f>SUMIFS(Aut_BlueMe_Sem_Pedido!$J:$J,Aut_BlueMe_Sem_Pedido!$Q:$Q,DRE!W$4,Aut_BlueMe_Sem_Pedido!$H:$H,DRE!$A46)+SUMIFS(Aut_Ajustes_Manuais!$G:$G,Aut_Ajustes_Manuais!$I:$I,DRE!W$4,Aut_Ajustes_Manuais!$F:$F,"Viagens e Estadias")</f>
        <v>0</v>
      </c>
      <c r="Z46" s="241">
        <v>0</v>
      </c>
      <c r="AA46" s="27">
        <v>0</v>
      </c>
      <c r="AB46" s="28">
        <f>SUMIFS(Aut_BlueMe_Sem_Pedido!$J:$J,Aut_BlueMe_Sem_Pedido!$Q:$Q,DRE!Z$4,Aut_BlueMe_Sem_Pedido!$H:$H,DRE!$A46)+SUMIFS(Aut_Ajustes_Manuais!$G:$G,Aut_Ajustes_Manuais!$I:$I,DRE!Z$4,Aut_Ajustes_Manuais!$F:$F,"Viagens e Estadias")</f>
        <v>0</v>
      </c>
      <c r="AC46" s="241">
        <v>0</v>
      </c>
      <c r="AD46" s="27">
        <v>0</v>
      </c>
      <c r="AE46" s="28">
        <f>SUMIFS(Aut_BlueMe_Sem_Pedido!$J:$J,Aut_BlueMe_Sem_Pedido!$Q:$Q,DRE!AC$4,Aut_BlueMe_Sem_Pedido!$H:$H,DRE!$A46)+SUMIFS(Aut_Ajustes_Manuais!$G:$G,Aut_Ajustes_Manuais!$I:$I,DRE!AC$4,Aut_Ajustes_Manuais!$F:$F,"Viagens e Estadias")</f>
        <v>0</v>
      </c>
      <c r="AF46" s="241">
        <v>0</v>
      </c>
      <c r="AG46" s="27">
        <v>0</v>
      </c>
      <c r="AH46" s="28">
        <f>SUMIFS(Aut_BlueMe_Sem_Pedido!$J:$J,Aut_BlueMe_Sem_Pedido!$Q:$Q,DRE!AF$4,Aut_BlueMe_Sem_Pedido!$H:$H,DRE!$A46)+SUMIFS(Aut_Ajustes_Manuais!$G:$G,Aut_Ajustes_Manuais!$I:$I,DRE!AF$4,Aut_Ajustes_Manuais!$F:$F,"Viagens e Estadias")</f>
        <v>0</v>
      </c>
      <c r="AI46" s="241">
        <v>0</v>
      </c>
      <c r="AJ46" s="27">
        <v>0</v>
      </c>
      <c r="AK46" s="28">
        <f>SUMIFS(Aut_BlueMe_Sem_Pedido!$J:$J,Aut_BlueMe_Sem_Pedido!$Q:$Q,DRE!AI$4,Aut_BlueMe_Sem_Pedido!$H:$H,DRE!$A46)+SUMIFS(Aut_Ajustes_Manuais!$G:$G,Aut_Ajustes_Manuais!$I:$I,DRE!AI$4,Aut_Ajustes_Manuais!$F:$F,"Viagens e Estadias")</f>
        <v>0</v>
      </c>
      <c r="AL46" s="241">
        <v>0</v>
      </c>
      <c r="AM46" s="27">
        <v>0</v>
      </c>
      <c r="AN46" s="28">
        <f>SUMIFS(Aut_BlueMe_Sem_Pedido!$J:$J,Aut_BlueMe_Sem_Pedido!$Q:$Q,DRE!AL$4,Aut_BlueMe_Sem_Pedido!$H:$H,DRE!$A46)+SUMIFS(Aut_Ajustes_Manuais!$G:$G,Aut_Ajustes_Manuais!$I:$I,DRE!AL$4,Aut_Ajustes_Manuais!$F:$F,"Viagens e Estadias")</f>
        <v>0</v>
      </c>
      <c r="AO46" s="241">
        <v>0</v>
      </c>
      <c r="AP46" s="27">
        <v>0</v>
      </c>
      <c r="AQ46" s="28">
        <f>SUMIFS(Aut_BlueMe_Sem_Pedido!$J:$J,Aut_BlueMe_Sem_Pedido!$Q:$Q,DRE!AO$4,Aut_BlueMe_Sem_Pedido!$H:$H,DRE!$A46)+SUMIFS(Aut_Ajustes_Manuais!$G:$G,Aut_Ajustes_Manuais!$I:$I,DRE!AO$4,Aut_Ajustes_Manuais!$F:$F,"Viagens e Estadias")</f>
        <v>0</v>
      </c>
      <c r="AR46" s="241">
        <f t="shared" ca="1" si="47"/>
        <v>0</v>
      </c>
      <c r="AS46" s="27">
        <f t="shared" ca="1" si="48"/>
        <v>0</v>
      </c>
      <c r="AT46" s="28">
        <f t="shared" ca="1" si="49"/>
        <v>0</v>
      </c>
      <c r="AU46" s="241">
        <f t="shared" si="51"/>
        <v>0</v>
      </c>
      <c r="AV46" s="27">
        <f t="shared" si="51"/>
        <v>0</v>
      </c>
      <c r="AW46" s="28">
        <f t="shared" si="51"/>
        <v>0</v>
      </c>
      <c r="AX46" s="241">
        <f t="shared" si="52"/>
        <v>0</v>
      </c>
      <c r="AY46" s="27">
        <f t="shared" si="52"/>
        <v>0</v>
      </c>
      <c r="AZ46" s="28">
        <f t="shared" si="52"/>
        <v>0</v>
      </c>
      <c r="BA46" s="241">
        <f t="shared" si="53"/>
        <v>0</v>
      </c>
      <c r="BB46" s="27">
        <f t="shared" si="53"/>
        <v>0</v>
      </c>
      <c r="BC46" s="28">
        <f t="shared" si="53"/>
        <v>0</v>
      </c>
      <c r="BD46" s="241">
        <f t="shared" si="54"/>
        <v>0</v>
      </c>
      <c r="BE46" s="27">
        <f t="shared" si="54"/>
        <v>0</v>
      </c>
      <c r="BF46" s="28">
        <f t="shared" si="54"/>
        <v>0</v>
      </c>
      <c r="BG46" s="241">
        <f t="shared" si="55"/>
        <v>0</v>
      </c>
      <c r="BH46" s="27">
        <f t="shared" si="55"/>
        <v>0</v>
      </c>
      <c r="BI46" s="28">
        <f t="shared" si="55"/>
        <v>0</v>
      </c>
      <c r="BK46" s="448">
        <f t="shared" si="1"/>
        <v>0</v>
      </c>
      <c r="BL46" s="448">
        <f t="shared" si="2"/>
        <v>0</v>
      </c>
      <c r="BM46" s="448">
        <f t="shared" si="3"/>
        <v>0</v>
      </c>
      <c r="BN46" s="448">
        <f t="shared" ca="1" si="4"/>
        <v>0</v>
      </c>
    </row>
    <row r="47" spans="1:66" s="29" customFormat="1" hidden="1" outlineLevel="1" x14ac:dyDescent="0.3">
      <c r="A47" s="22" t="s">
        <v>64</v>
      </c>
      <c r="B47" s="2"/>
      <c r="C47" s="24" t="s">
        <v>65</v>
      </c>
      <c r="D47" s="25"/>
      <c r="E47" s="25"/>
      <c r="F47" s="41"/>
      <c r="G47" s="23"/>
      <c r="H47" s="241">
        <v>0</v>
      </c>
      <c r="I47" s="27">
        <v>0</v>
      </c>
      <c r="J47" s="28">
        <f>SUMIFS(Aut_BlueMe_Sem_Pedido!$J:$J,Aut_BlueMe_Sem_Pedido!$Q:$Q,DRE!H$4,Aut_BlueMe_Sem_Pedido!$H:$H,DRE!$A47)+SUMIFS(Aut_Ajustes_Manuais!$G:$G,Aut_Ajustes_Manuais!$I:$I,DRE!H$4,Aut_Ajustes_Manuais!$F:$F,"Taxas e Licenças - Artístico")</f>
        <v>0</v>
      </c>
      <c r="K47" s="241">
        <v>0</v>
      </c>
      <c r="L47" s="27">
        <v>0</v>
      </c>
      <c r="M47" s="28">
        <f>SUMIFS(Aut_BlueMe_Sem_Pedido!$J:$J,Aut_BlueMe_Sem_Pedido!$Q:$Q,DRE!K$4,Aut_BlueMe_Sem_Pedido!$H:$H,DRE!$A47)+SUMIFS(Aut_Ajustes_Manuais!$G:$G,Aut_Ajustes_Manuais!$I:$I,DRE!K$4,Aut_Ajustes_Manuais!$F:$F,"Taxas e Licenças - Artístico")</f>
        <v>0</v>
      </c>
      <c r="N47" s="241">
        <v>0</v>
      </c>
      <c r="O47" s="27">
        <v>0</v>
      </c>
      <c r="P47" s="28">
        <f>SUMIFS(Aut_BlueMe_Sem_Pedido!$J:$J,Aut_BlueMe_Sem_Pedido!$Q:$Q,DRE!N$4,Aut_BlueMe_Sem_Pedido!$H:$H,DRE!$A47)+SUMIFS(Aut_Ajustes_Manuais!$G:$G,Aut_Ajustes_Manuais!$I:$I,DRE!N$4,Aut_Ajustes_Manuais!$F:$F,"Taxas e Licenças - Artístico")</f>
        <v>0</v>
      </c>
      <c r="Q47" s="241">
        <v>0</v>
      </c>
      <c r="R47" s="27">
        <v>0</v>
      </c>
      <c r="S47" s="28">
        <f>SUMIFS(Aut_BlueMe_Sem_Pedido!$J:$J,Aut_BlueMe_Sem_Pedido!$Q:$Q,DRE!Q$4,Aut_BlueMe_Sem_Pedido!$H:$H,DRE!$A47)+SUMIFS(Aut_Ajustes_Manuais!$G:$G,Aut_Ajustes_Manuais!$I:$I,DRE!Q$4,Aut_Ajustes_Manuais!$F:$F,"Taxas e Licenças - Artístico")</f>
        <v>0</v>
      </c>
      <c r="T47" s="241">
        <v>0</v>
      </c>
      <c r="U47" s="27">
        <v>0</v>
      </c>
      <c r="V47" s="28">
        <f>SUMIFS(Aut_BlueMe_Sem_Pedido!$J:$J,Aut_BlueMe_Sem_Pedido!$Q:$Q,DRE!T$4,Aut_BlueMe_Sem_Pedido!$H:$H,DRE!$A47)+SUMIFS(Aut_Ajustes_Manuais!$G:$G,Aut_Ajustes_Manuais!$I:$I,DRE!T$4,Aut_Ajustes_Manuais!$F:$F,"Taxas e Licenças - Artístico")</f>
        <v>0</v>
      </c>
      <c r="W47" s="241">
        <v>0</v>
      </c>
      <c r="X47" s="27">
        <v>0</v>
      </c>
      <c r="Y47" s="28">
        <f>SUMIFS(Aut_BlueMe_Sem_Pedido!$J:$J,Aut_BlueMe_Sem_Pedido!$Q:$Q,DRE!W$4,Aut_BlueMe_Sem_Pedido!$H:$H,DRE!$A47)+SUMIFS(Aut_Ajustes_Manuais!$G:$G,Aut_Ajustes_Manuais!$I:$I,DRE!W$4,Aut_Ajustes_Manuais!$F:$F,"Taxas e Licenças - Artístico")</f>
        <v>0</v>
      </c>
      <c r="Z47" s="241">
        <v>0</v>
      </c>
      <c r="AA47" s="27">
        <v>0</v>
      </c>
      <c r="AB47" s="28">
        <f>SUMIFS(Aut_BlueMe_Sem_Pedido!$J:$J,Aut_BlueMe_Sem_Pedido!$Q:$Q,DRE!Z$4,Aut_BlueMe_Sem_Pedido!$H:$H,DRE!$A47)+SUMIFS(Aut_Ajustes_Manuais!$G:$G,Aut_Ajustes_Manuais!$I:$I,DRE!Z$4,Aut_Ajustes_Manuais!$F:$F,"Taxas e Licenças - Artístico")</f>
        <v>0</v>
      </c>
      <c r="AC47" s="241">
        <v>0</v>
      </c>
      <c r="AD47" s="27">
        <v>0</v>
      </c>
      <c r="AE47" s="28">
        <f>SUMIFS(Aut_BlueMe_Sem_Pedido!$J:$J,Aut_BlueMe_Sem_Pedido!$Q:$Q,DRE!AC$4,Aut_BlueMe_Sem_Pedido!$H:$H,DRE!$A47)+SUMIFS(Aut_Ajustes_Manuais!$G:$G,Aut_Ajustes_Manuais!$I:$I,DRE!AC$4,Aut_Ajustes_Manuais!$F:$F,"Taxas e Licenças - Artístico")</f>
        <v>0</v>
      </c>
      <c r="AF47" s="241">
        <v>0</v>
      </c>
      <c r="AG47" s="27">
        <v>0</v>
      </c>
      <c r="AH47" s="28">
        <f>SUMIFS(Aut_BlueMe_Sem_Pedido!$J:$J,Aut_BlueMe_Sem_Pedido!$Q:$Q,DRE!AF$4,Aut_BlueMe_Sem_Pedido!$H:$H,DRE!$A47)+SUMIFS(Aut_Ajustes_Manuais!$G:$G,Aut_Ajustes_Manuais!$I:$I,DRE!AF$4,Aut_Ajustes_Manuais!$F:$F,"Taxas e Licenças - Artístico")</f>
        <v>0</v>
      </c>
      <c r="AI47" s="241">
        <v>0</v>
      </c>
      <c r="AJ47" s="27">
        <v>0</v>
      </c>
      <c r="AK47" s="28">
        <f>SUMIFS(Aut_BlueMe_Sem_Pedido!$J:$J,Aut_BlueMe_Sem_Pedido!$Q:$Q,DRE!AI$4,Aut_BlueMe_Sem_Pedido!$H:$H,DRE!$A47)+SUMIFS(Aut_Ajustes_Manuais!$G:$G,Aut_Ajustes_Manuais!$I:$I,DRE!AI$4,Aut_Ajustes_Manuais!$F:$F,"Taxas e Licenças - Artístico")</f>
        <v>0</v>
      </c>
      <c r="AL47" s="241">
        <v>0</v>
      </c>
      <c r="AM47" s="27">
        <v>0</v>
      </c>
      <c r="AN47" s="28">
        <f>SUMIFS(Aut_BlueMe_Sem_Pedido!$J:$J,Aut_BlueMe_Sem_Pedido!$Q:$Q,DRE!AL$4,Aut_BlueMe_Sem_Pedido!$H:$H,DRE!$A47)+SUMIFS(Aut_Ajustes_Manuais!$G:$G,Aut_Ajustes_Manuais!$I:$I,DRE!AL$4,Aut_Ajustes_Manuais!$F:$F,"Taxas e Licenças - Artístico")</f>
        <v>0</v>
      </c>
      <c r="AO47" s="241">
        <v>0</v>
      </c>
      <c r="AP47" s="27">
        <v>0</v>
      </c>
      <c r="AQ47" s="28">
        <f>SUMIFS(Aut_BlueMe_Sem_Pedido!$J:$J,Aut_BlueMe_Sem_Pedido!$Q:$Q,DRE!AO$4,Aut_BlueMe_Sem_Pedido!$H:$H,DRE!$A47)+SUMIFS(Aut_Ajustes_Manuais!$G:$G,Aut_Ajustes_Manuais!$I:$I,DRE!AO$4,Aut_Ajustes_Manuais!$F:$F,"Taxas e Licenças - Artístico")</f>
        <v>0</v>
      </c>
      <c r="AR47" s="241">
        <f t="shared" ca="1" si="47"/>
        <v>0</v>
      </c>
      <c r="AS47" s="27">
        <f t="shared" ca="1" si="48"/>
        <v>0</v>
      </c>
      <c r="AT47" s="28">
        <f t="shared" ca="1" si="49"/>
        <v>0</v>
      </c>
      <c r="AU47" s="241">
        <f t="shared" si="51"/>
        <v>0</v>
      </c>
      <c r="AV47" s="27">
        <f t="shared" si="51"/>
        <v>0</v>
      </c>
      <c r="AW47" s="28">
        <f t="shared" si="51"/>
        <v>0</v>
      </c>
      <c r="AX47" s="241">
        <f t="shared" si="52"/>
        <v>0</v>
      </c>
      <c r="AY47" s="27">
        <f t="shared" si="52"/>
        <v>0</v>
      </c>
      <c r="AZ47" s="28">
        <f t="shared" si="52"/>
        <v>0</v>
      </c>
      <c r="BA47" s="241">
        <f t="shared" si="53"/>
        <v>0</v>
      </c>
      <c r="BB47" s="27">
        <f t="shared" si="53"/>
        <v>0</v>
      </c>
      <c r="BC47" s="28">
        <f t="shared" si="53"/>
        <v>0</v>
      </c>
      <c r="BD47" s="241">
        <f t="shared" si="54"/>
        <v>0</v>
      </c>
      <c r="BE47" s="27">
        <f t="shared" si="54"/>
        <v>0</v>
      </c>
      <c r="BF47" s="28">
        <f t="shared" si="54"/>
        <v>0</v>
      </c>
      <c r="BG47" s="241">
        <f t="shared" si="55"/>
        <v>0</v>
      </c>
      <c r="BH47" s="27">
        <f t="shared" si="55"/>
        <v>0</v>
      </c>
      <c r="BI47" s="28">
        <f t="shared" si="55"/>
        <v>0</v>
      </c>
      <c r="BK47" s="448">
        <f t="shared" si="1"/>
        <v>0</v>
      </c>
      <c r="BL47" s="448">
        <f t="shared" si="2"/>
        <v>0</v>
      </c>
      <c r="BM47" s="448">
        <f t="shared" si="3"/>
        <v>0</v>
      </c>
      <c r="BN47" s="448">
        <f t="shared" ca="1" si="4"/>
        <v>0</v>
      </c>
    </row>
    <row r="48" spans="1:66" s="29" customFormat="1" hidden="1" outlineLevel="1" x14ac:dyDescent="0.3">
      <c r="A48" s="22" t="s">
        <v>66</v>
      </c>
      <c r="B48" s="2"/>
      <c r="C48" s="24"/>
      <c r="D48" s="69"/>
      <c r="E48" s="69"/>
      <c r="F48" s="41"/>
      <c r="G48" s="23"/>
      <c r="H48" s="241">
        <v>0</v>
      </c>
      <c r="I48" s="27"/>
      <c r="J48" s="28">
        <f>SUMIFS(Aut_BlueMe_Sem_Pedido!$J:$J,Aut_BlueMe_Sem_Pedido!$Q:$Q,DRE!H$4,Aut_BlueMe_Sem_Pedido!$H:$H,DRE!$A48)+SUMIFS(Aut_Ajustes_Manuais!$G:$G,Aut_Ajustes_Manuais!$I:$I,DRE!H$4,Aut_Ajustes_Manuais!$F:$F,"MDO Terceirizada - Artístico")</f>
        <v>0</v>
      </c>
      <c r="K48" s="241">
        <v>0</v>
      </c>
      <c r="L48" s="27"/>
      <c r="M48" s="28">
        <f>SUMIFS(Aut_BlueMe_Sem_Pedido!$J:$J,Aut_BlueMe_Sem_Pedido!$Q:$Q,DRE!K$4,Aut_BlueMe_Sem_Pedido!$H:$H,DRE!$A48)+SUMIFS(Aut_Ajustes_Manuais!$G:$G,Aut_Ajustes_Manuais!$I:$I,DRE!K$4,Aut_Ajustes_Manuais!$F:$F,"MDO Terceirizada - Artístico")</f>
        <v>0</v>
      </c>
      <c r="N48" s="241">
        <v>0</v>
      </c>
      <c r="O48" s="27"/>
      <c r="P48" s="28">
        <f>SUMIFS(Aut_BlueMe_Sem_Pedido!$J:$J,Aut_BlueMe_Sem_Pedido!$Q:$Q,DRE!N$4,Aut_BlueMe_Sem_Pedido!$H:$H,DRE!$A48)+SUMIFS(Aut_Ajustes_Manuais!$G:$G,Aut_Ajustes_Manuais!$I:$I,DRE!N$4,Aut_Ajustes_Manuais!$F:$F,"MDO Terceirizada - Artístico")</f>
        <v>0</v>
      </c>
      <c r="Q48" s="241">
        <v>0</v>
      </c>
      <c r="R48" s="27"/>
      <c r="S48" s="28">
        <f>SUMIFS(Aut_BlueMe_Sem_Pedido!$J:$J,Aut_BlueMe_Sem_Pedido!$Q:$Q,DRE!Q$4,Aut_BlueMe_Sem_Pedido!$H:$H,DRE!$A48)+SUMIFS(Aut_Ajustes_Manuais!$G:$G,Aut_Ajustes_Manuais!$I:$I,DRE!Q$4,Aut_Ajustes_Manuais!$F:$F,"MDO Terceirizada - Artístico")</f>
        <v>0</v>
      </c>
      <c r="T48" s="241">
        <v>0</v>
      </c>
      <c r="U48" s="27"/>
      <c r="V48" s="28">
        <f>SUMIFS(Aut_BlueMe_Sem_Pedido!$J:$J,Aut_BlueMe_Sem_Pedido!$Q:$Q,DRE!T$4,Aut_BlueMe_Sem_Pedido!$H:$H,DRE!$A48)+SUMIFS(Aut_Ajustes_Manuais!$G:$G,Aut_Ajustes_Manuais!$I:$I,DRE!T$4,Aut_Ajustes_Manuais!$F:$F,"MDO Terceirizada - Artístico")</f>
        <v>0</v>
      </c>
      <c r="W48" s="241">
        <v>0</v>
      </c>
      <c r="X48" s="27"/>
      <c r="Y48" s="28">
        <f>SUMIFS(Aut_BlueMe_Sem_Pedido!$J:$J,Aut_BlueMe_Sem_Pedido!$Q:$Q,DRE!W$4,Aut_BlueMe_Sem_Pedido!$H:$H,DRE!$A48)+SUMIFS(Aut_Ajustes_Manuais!$G:$G,Aut_Ajustes_Manuais!$I:$I,DRE!W$4,Aut_Ajustes_Manuais!$F:$F,"MDO Terceirizada - Artístico")</f>
        <v>0</v>
      </c>
      <c r="Z48" s="241">
        <v>0</v>
      </c>
      <c r="AA48" s="27"/>
      <c r="AB48" s="28">
        <f>SUMIFS(Aut_BlueMe_Sem_Pedido!$J:$J,Aut_BlueMe_Sem_Pedido!$Q:$Q,DRE!Z$4,Aut_BlueMe_Sem_Pedido!$H:$H,DRE!$A48)+SUMIFS(Aut_Ajustes_Manuais!$G:$G,Aut_Ajustes_Manuais!$I:$I,DRE!Z$4,Aut_Ajustes_Manuais!$F:$F,"MDO Terceirizada - Artístico")</f>
        <v>0</v>
      </c>
      <c r="AC48" s="241">
        <v>0</v>
      </c>
      <c r="AD48" s="27"/>
      <c r="AE48" s="28">
        <f>SUMIFS(Aut_BlueMe_Sem_Pedido!$J:$J,Aut_BlueMe_Sem_Pedido!$Q:$Q,DRE!AC$4,Aut_BlueMe_Sem_Pedido!$H:$H,DRE!$A48)+SUMIFS(Aut_Ajustes_Manuais!$G:$G,Aut_Ajustes_Manuais!$I:$I,DRE!AC$4,Aut_Ajustes_Manuais!$F:$F,"MDO Terceirizada - Artístico")</f>
        <v>0</v>
      </c>
      <c r="AF48" s="241">
        <v>0</v>
      </c>
      <c r="AG48" s="27"/>
      <c r="AH48" s="28">
        <f>SUMIFS(Aut_BlueMe_Sem_Pedido!$J:$J,Aut_BlueMe_Sem_Pedido!$Q:$Q,DRE!AF$4,Aut_BlueMe_Sem_Pedido!$H:$H,DRE!$A48)+SUMIFS(Aut_Ajustes_Manuais!$G:$G,Aut_Ajustes_Manuais!$I:$I,DRE!AF$4,Aut_Ajustes_Manuais!$F:$F,"MDO Terceirizada - Artístico")</f>
        <v>0</v>
      </c>
      <c r="AI48" s="241">
        <v>0</v>
      </c>
      <c r="AJ48" s="27"/>
      <c r="AK48" s="28">
        <f>SUMIFS(Aut_BlueMe_Sem_Pedido!$J:$J,Aut_BlueMe_Sem_Pedido!$Q:$Q,DRE!AI$4,Aut_BlueMe_Sem_Pedido!$H:$H,DRE!$A48)+SUMIFS(Aut_Ajustes_Manuais!$G:$G,Aut_Ajustes_Manuais!$I:$I,DRE!AI$4,Aut_Ajustes_Manuais!$F:$F,"MDO Terceirizada - Artístico")</f>
        <v>0</v>
      </c>
      <c r="AL48" s="241">
        <v>0</v>
      </c>
      <c r="AM48" s="27"/>
      <c r="AN48" s="28">
        <f>SUMIFS(Aut_BlueMe_Sem_Pedido!$J:$J,Aut_BlueMe_Sem_Pedido!$Q:$Q,DRE!AL$4,Aut_BlueMe_Sem_Pedido!$H:$H,DRE!$A48)+SUMIFS(Aut_Ajustes_Manuais!$G:$G,Aut_Ajustes_Manuais!$I:$I,DRE!AL$4,Aut_Ajustes_Manuais!$F:$F,"MDO Terceirizada - Artístico")</f>
        <v>0</v>
      </c>
      <c r="AO48" s="241">
        <v>0</v>
      </c>
      <c r="AP48" s="27"/>
      <c r="AQ48" s="28">
        <f>SUMIFS(Aut_BlueMe_Sem_Pedido!$J:$J,Aut_BlueMe_Sem_Pedido!$Q:$Q,DRE!AO$4,Aut_BlueMe_Sem_Pedido!$H:$H,DRE!$A48)+SUMIFS(Aut_Ajustes_Manuais!$G:$G,Aut_Ajustes_Manuais!$I:$I,DRE!AO$4,Aut_Ajustes_Manuais!$F:$F,"MDO Terceirizada - Artístico")</f>
        <v>0</v>
      </c>
      <c r="AR48" s="241">
        <f t="shared" ca="1" si="47"/>
        <v>0</v>
      </c>
      <c r="AS48" s="27">
        <f t="shared" ca="1" si="48"/>
        <v>0</v>
      </c>
      <c r="AT48" s="28">
        <f t="shared" ca="1" si="49"/>
        <v>0</v>
      </c>
      <c r="AU48" s="241">
        <f t="shared" si="51"/>
        <v>0</v>
      </c>
      <c r="AV48" s="27">
        <f t="shared" si="51"/>
        <v>0</v>
      </c>
      <c r="AW48" s="28">
        <f t="shared" si="51"/>
        <v>0</v>
      </c>
      <c r="AX48" s="241">
        <f t="shared" si="52"/>
        <v>0</v>
      </c>
      <c r="AY48" s="27">
        <f t="shared" si="52"/>
        <v>0</v>
      </c>
      <c r="AZ48" s="28">
        <f t="shared" si="52"/>
        <v>0</v>
      </c>
      <c r="BA48" s="241">
        <f t="shared" si="53"/>
        <v>0</v>
      </c>
      <c r="BB48" s="27">
        <f t="shared" si="53"/>
        <v>0</v>
      </c>
      <c r="BC48" s="28">
        <f t="shared" si="53"/>
        <v>0</v>
      </c>
      <c r="BD48" s="241">
        <f t="shared" si="54"/>
        <v>0</v>
      </c>
      <c r="BE48" s="27">
        <f t="shared" si="54"/>
        <v>0</v>
      </c>
      <c r="BF48" s="28">
        <f t="shared" si="54"/>
        <v>0</v>
      </c>
      <c r="BG48" s="241">
        <f t="shared" si="55"/>
        <v>0</v>
      </c>
      <c r="BH48" s="27">
        <f t="shared" si="55"/>
        <v>0</v>
      </c>
      <c r="BI48" s="28">
        <f t="shared" si="55"/>
        <v>0</v>
      </c>
      <c r="BK48" s="448">
        <f t="shared" si="1"/>
        <v>0</v>
      </c>
      <c r="BL48" s="448">
        <f t="shared" si="2"/>
        <v>0</v>
      </c>
      <c r="BM48" s="448">
        <f t="shared" si="3"/>
        <v>0</v>
      </c>
      <c r="BN48" s="448">
        <f t="shared" ca="1" si="4"/>
        <v>0</v>
      </c>
    </row>
    <row r="49" spans="1:66" ht="18" hidden="1" customHeight="1" outlineLevel="1" x14ac:dyDescent="0.3">
      <c r="A49" s="73" t="s">
        <v>67</v>
      </c>
      <c r="C49" s="24"/>
      <c r="D49" s="69"/>
      <c r="E49" s="69"/>
      <c r="F49" s="41"/>
      <c r="H49" s="252">
        <v>0</v>
      </c>
      <c r="I49" s="74">
        <v>0</v>
      </c>
      <c r="J49" s="76">
        <f>SUM(J50:J52)+SUMIFS(Aut_Ajustes_Manuais!$G:$G,Aut_Ajustes_Manuais!$I:$I,DRE!H$4,Aut_Ajustes_Manuais!$F:$F,"Custos Ténico de Som")</f>
        <v>0</v>
      </c>
      <c r="K49" s="252">
        <v>0</v>
      </c>
      <c r="L49" s="74">
        <v>0</v>
      </c>
      <c r="M49" s="76">
        <f>SUM(M50:M52)+SUMIFS(Aut_Ajustes_Manuais!$G:$G,Aut_Ajustes_Manuais!$I:$I,DRE!K$4,Aut_Ajustes_Manuais!$F:$F,"Custos Ténico de Som")</f>
        <v>0</v>
      </c>
      <c r="N49" s="252">
        <v>0</v>
      </c>
      <c r="O49" s="74">
        <v>0</v>
      </c>
      <c r="P49" s="76">
        <f>SUM(P50:P52)+SUMIFS(Aut_Ajustes_Manuais!$G:$G,Aut_Ajustes_Manuais!$I:$I,DRE!N$4,Aut_Ajustes_Manuais!$F:$F,"Custos Ténico de Som")</f>
        <v>0</v>
      </c>
      <c r="Q49" s="252">
        <v>0</v>
      </c>
      <c r="R49" s="74">
        <v>0</v>
      </c>
      <c r="S49" s="76">
        <f>SUM(S50:S52)+SUMIFS(Aut_Ajustes_Manuais!$G:$G,Aut_Ajustes_Manuais!$I:$I,DRE!Q$4,Aut_Ajustes_Manuais!$F:$F,"Custos Ténico de Som")</f>
        <v>0</v>
      </c>
      <c r="T49" s="252">
        <v>0</v>
      </c>
      <c r="U49" s="74">
        <v>0</v>
      </c>
      <c r="V49" s="76">
        <f>SUM(V50:V52)+SUMIFS(Aut_Ajustes_Manuais!$G:$G,Aut_Ajustes_Manuais!$I:$I,DRE!T$4,Aut_Ajustes_Manuais!$F:$F,"Custos Ténico de Som")</f>
        <v>0</v>
      </c>
      <c r="W49" s="252">
        <v>0</v>
      </c>
      <c r="X49" s="74">
        <v>0</v>
      </c>
      <c r="Y49" s="76">
        <f>SUM(Y50:Y52)+SUMIFS(Aut_Ajustes_Manuais!$G:$G,Aut_Ajustes_Manuais!$I:$I,DRE!W$4,Aut_Ajustes_Manuais!$F:$F,"Custos Ténico de Som")</f>
        <v>0</v>
      </c>
      <c r="Z49" s="252">
        <v>0</v>
      </c>
      <c r="AA49" s="74">
        <v>0</v>
      </c>
      <c r="AB49" s="76">
        <f>SUM(AB50:AB52)+SUMIFS(Aut_Ajustes_Manuais!$G:$G,Aut_Ajustes_Manuais!$I:$I,DRE!Z$4,Aut_Ajustes_Manuais!$F:$F,"Custos Ténico de Som")</f>
        <v>0</v>
      </c>
      <c r="AC49" s="252">
        <v>0</v>
      </c>
      <c r="AD49" s="74">
        <v>0</v>
      </c>
      <c r="AE49" s="76">
        <f>SUM(AE50:AE52)+SUMIFS(Aut_Ajustes_Manuais!$G:$G,Aut_Ajustes_Manuais!$I:$I,DRE!AC$4,Aut_Ajustes_Manuais!$F:$F,"Custos Ténico de Som")</f>
        <v>0</v>
      </c>
      <c r="AF49" s="252">
        <v>0</v>
      </c>
      <c r="AG49" s="74">
        <v>0</v>
      </c>
      <c r="AH49" s="76">
        <f>SUM(AH50:AH52)+SUMIFS(Aut_Ajustes_Manuais!$G:$G,Aut_Ajustes_Manuais!$I:$I,DRE!AF$4,Aut_Ajustes_Manuais!$F:$F,"Custos Ténico de Som")</f>
        <v>0</v>
      </c>
      <c r="AI49" s="252">
        <v>0</v>
      </c>
      <c r="AJ49" s="74">
        <v>0</v>
      </c>
      <c r="AK49" s="76">
        <f>SUM(AK50:AK52)+SUMIFS(Aut_Ajustes_Manuais!$G:$G,Aut_Ajustes_Manuais!$I:$I,DRE!AI$4,Aut_Ajustes_Manuais!$F:$F,"Custos Ténico de Som")</f>
        <v>0</v>
      </c>
      <c r="AL49" s="252">
        <v>0</v>
      </c>
      <c r="AM49" s="74">
        <v>0</v>
      </c>
      <c r="AN49" s="76">
        <f>SUM(AN50:AN52)+SUMIFS(Aut_Ajustes_Manuais!$G:$G,Aut_Ajustes_Manuais!$I:$I,DRE!AL$4,Aut_Ajustes_Manuais!$F:$F,"Custos Ténico de Som")</f>
        <v>0</v>
      </c>
      <c r="AO49" s="252">
        <v>0</v>
      </c>
      <c r="AP49" s="74">
        <v>0</v>
      </c>
      <c r="AQ49" s="76">
        <f>SUM(AQ50:AQ52)+SUMIFS(Aut_Ajustes_Manuais!$G:$G,Aut_Ajustes_Manuais!$I:$I,DRE!AO$4,Aut_Ajustes_Manuais!$F:$F,"Custos Ténico de Som")</f>
        <v>0</v>
      </c>
      <c r="AR49" s="241">
        <f t="shared" ca="1" si="47"/>
        <v>0</v>
      </c>
      <c r="AS49" s="27">
        <f t="shared" ca="1" si="48"/>
        <v>0</v>
      </c>
      <c r="AT49" s="76">
        <f t="shared" ca="1" si="49"/>
        <v>0</v>
      </c>
      <c r="AU49" s="252">
        <f t="shared" ref="AU49:BI49" si="56">SUM(AU50:AU52)</f>
        <v>0</v>
      </c>
      <c r="AV49" s="74">
        <f t="shared" si="56"/>
        <v>0</v>
      </c>
      <c r="AW49" s="76">
        <f t="shared" si="56"/>
        <v>0</v>
      </c>
      <c r="AX49" s="252">
        <f t="shared" si="56"/>
        <v>0</v>
      </c>
      <c r="AY49" s="74">
        <f t="shared" si="56"/>
        <v>0</v>
      </c>
      <c r="AZ49" s="76">
        <f t="shared" si="56"/>
        <v>0</v>
      </c>
      <c r="BA49" s="252">
        <f t="shared" si="56"/>
        <v>0</v>
      </c>
      <c r="BB49" s="74">
        <f t="shared" si="56"/>
        <v>0</v>
      </c>
      <c r="BC49" s="76">
        <f t="shared" si="56"/>
        <v>0</v>
      </c>
      <c r="BD49" s="252">
        <f t="shared" si="56"/>
        <v>0</v>
      </c>
      <c r="BE49" s="74">
        <f t="shared" si="56"/>
        <v>0</v>
      </c>
      <c r="BF49" s="76">
        <f t="shared" si="56"/>
        <v>0</v>
      </c>
      <c r="BG49" s="252">
        <f t="shared" si="56"/>
        <v>0</v>
      </c>
      <c r="BH49" s="74">
        <f t="shared" si="56"/>
        <v>0</v>
      </c>
      <c r="BI49" s="76">
        <f t="shared" si="56"/>
        <v>0</v>
      </c>
      <c r="BK49" s="448">
        <f t="shared" si="1"/>
        <v>0</v>
      </c>
      <c r="BL49" s="448">
        <f t="shared" si="2"/>
        <v>0</v>
      </c>
      <c r="BM49" s="448">
        <f t="shared" si="3"/>
        <v>0</v>
      </c>
      <c r="BN49" s="448">
        <f t="shared" ca="1" si="4"/>
        <v>0</v>
      </c>
    </row>
    <row r="50" spans="1:66" s="29" customFormat="1" hidden="1" outlineLevel="1" x14ac:dyDescent="0.3">
      <c r="A50" s="22" t="s">
        <v>68</v>
      </c>
      <c r="B50" s="2"/>
      <c r="C50" s="24" t="s">
        <v>69</v>
      </c>
      <c r="D50" s="25"/>
      <c r="E50" s="25"/>
      <c r="F50" s="41"/>
      <c r="G50" s="23"/>
      <c r="H50" s="241">
        <v>0</v>
      </c>
      <c r="I50" s="27">
        <v>0</v>
      </c>
      <c r="J50" s="28">
        <f>SUMIFS(Aut_BlueMe_Sem_Pedido!$J:$J,Aut_BlueMe_Sem_Pedido!$Q:$Q,DRE!H$4,Aut_BlueMe_Sem_Pedido!$H:$H,DRE!$A50)+SUMIFS(Aut_Ajustes_Manuais!$G:$G,Aut_Ajustes_Manuais!$I:$I,DRE!H$4,Aut_Ajustes_Manuais!$F:$F,"Técnico de Som / Luz")</f>
        <v>0</v>
      </c>
      <c r="K50" s="241">
        <v>0</v>
      </c>
      <c r="L50" s="27">
        <v>0</v>
      </c>
      <c r="M50" s="28">
        <f>SUMIFS(Aut_BlueMe_Sem_Pedido!$J:$J,Aut_BlueMe_Sem_Pedido!$Q:$Q,DRE!K$4,Aut_BlueMe_Sem_Pedido!$H:$H,DRE!$A50)+SUMIFS(Aut_Ajustes_Manuais!$G:$G,Aut_Ajustes_Manuais!$I:$I,DRE!K$4,Aut_Ajustes_Manuais!$F:$F,"Técnico de Som / Luz")</f>
        <v>0</v>
      </c>
      <c r="N50" s="241">
        <v>0</v>
      </c>
      <c r="O50" s="27">
        <v>0</v>
      </c>
      <c r="P50" s="28">
        <f>SUMIFS(Aut_BlueMe_Sem_Pedido!$J:$J,Aut_BlueMe_Sem_Pedido!$Q:$Q,DRE!N$4,Aut_BlueMe_Sem_Pedido!$H:$H,DRE!$A50)+SUMIFS(Aut_Ajustes_Manuais!$G:$G,Aut_Ajustes_Manuais!$I:$I,DRE!N$4,Aut_Ajustes_Manuais!$F:$F,"Técnico de Som / Luz")</f>
        <v>0</v>
      </c>
      <c r="Q50" s="241">
        <v>0</v>
      </c>
      <c r="R50" s="27">
        <v>0</v>
      </c>
      <c r="S50" s="28">
        <f>SUMIFS(Aut_BlueMe_Sem_Pedido!$J:$J,Aut_BlueMe_Sem_Pedido!$Q:$Q,DRE!Q$4,Aut_BlueMe_Sem_Pedido!$H:$H,DRE!$A50)+SUMIFS(Aut_Ajustes_Manuais!$G:$G,Aut_Ajustes_Manuais!$I:$I,DRE!Q$4,Aut_Ajustes_Manuais!$F:$F,"Técnico de Som / Luz")</f>
        <v>0</v>
      </c>
      <c r="T50" s="241">
        <v>0</v>
      </c>
      <c r="U50" s="27">
        <v>0</v>
      </c>
      <c r="V50" s="28">
        <f>SUMIFS(Aut_BlueMe_Sem_Pedido!$J:$J,Aut_BlueMe_Sem_Pedido!$Q:$Q,DRE!T$4,Aut_BlueMe_Sem_Pedido!$H:$H,DRE!$A50)+SUMIFS(Aut_Ajustes_Manuais!$G:$G,Aut_Ajustes_Manuais!$I:$I,DRE!T$4,Aut_Ajustes_Manuais!$F:$F,"Técnico de Som / Luz")</f>
        <v>0</v>
      </c>
      <c r="W50" s="241">
        <v>0</v>
      </c>
      <c r="X50" s="27">
        <v>0</v>
      </c>
      <c r="Y50" s="28">
        <f>SUMIFS(Aut_BlueMe_Sem_Pedido!$J:$J,Aut_BlueMe_Sem_Pedido!$Q:$Q,DRE!W$4,Aut_BlueMe_Sem_Pedido!$H:$H,DRE!$A50)+SUMIFS(Aut_Ajustes_Manuais!$G:$G,Aut_Ajustes_Manuais!$I:$I,DRE!W$4,Aut_Ajustes_Manuais!$F:$F,"Técnico de Som / Luz")</f>
        <v>0</v>
      </c>
      <c r="Z50" s="241">
        <v>0</v>
      </c>
      <c r="AA50" s="27">
        <v>0</v>
      </c>
      <c r="AB50" s="28">
        <f>SUMIFS(Aut_BlueMe_Sem_Pedido!$J:$J,Aut_BlueMe_Sem_Pedido!$Q:$Q,DRE!Z$4,Aut_BlueMe_Sem_Pedido!$H:$H,DRE!$A50)+SUMIFS(Aut_Ajustes_Manuais!$G:$G,Aut_Ajustes_Manuais!$I:$I,DRE!Z$4,Aut_Ajustes_Manuais!$F:$F,"Técnico de Som / Luz")</f>
        <v>0</v>
      </c>
      <c r="AC50" s="241">
        <v>0</v>
      </c>
      <c r="AD50" s="27">
        <v>0</v>
      </c>
      <c r="AE50" s="28">
        <f>SUMIFS(Aut_BlueMe_Sem_Pedido!$J:$J,Aut_BlueMe_Sem_Pedido!$Q:$Q,DRE!AC$4,Aut_BlueMe_Sem_Pedido!$H:$H,DRE!$A50)+SUMIFS(Aut_Ajustes_Manuais!$G:$G,Aut_Ajustes_Manuais!$I:$I,DRE!AC$4,Aut_Ajustes_Manuais!$F:$F,"Técnico de Som / Luz")</f>
        <v>0</v>
      </c>
      <c r="AF50" s="241">
        <v>0</v>
      </c>
      <c r="AG50" s="27">
        <v>0</v>
      </c>
      <c r="AH50" s="28">
        <f>SUMIFS(Aut_BlueMe_Sem_Pedido!$J:$J,Aut_BlueMe_Sem_Pedido!$Q:$Q,DRE!AF$4,Aut_BlueMe_Sem_Pedido!$H:$H,DRE!$A50)+SUMIFS(Aut_Ajustes_Manuais!$G:$G,Aut_Ajustes_Manuais!$I:$I,DRE!AF$4,Aut_Ajustes_Manuais!$F:$F,"Técnico de Som / Luz")</f>
        <v>0</v>
      </c>
      <c r="AI50" s="241">
        <v>0</v>
      </c>
      <c r="AJ50" s="27">
        <v>0</v>
      </c>
      <c r="AK50" s="28">
        <f>SUMIFS(Aut_BlueMe_Sem_Pedido!$J:$J,Aut_BlueMe_Sem_Pedido!$Q:$Q,DRE!AI$4,Aut_BlueMe_Sem_Pedido!$H:$H,DRE!$A50)+SUMIFS(Aut_Ajustes_Manuais!$G:$G,Aut_Ajustes_Manuais!$I:$I,DRE!AI$4,Aut_Ajustes_Manuais!$F:$F,"Técnico de Som / Luz")</f>
        <v>0</v>
      </c>
      <c r="AL50" s="241">
        <v>0</v>
      </c>
      <c r="AM50" s="27">
        <v>0</v>
      </c>
      <c r="AN50" s="28">
        <f>SUMIFS(Aut_BlueMe_Sem_Pedido!$J:$J,Aut_BlueMe_Sem_Pedido!$Q:$Q,DRE!AL$4,Aut_BlueMe_Sem_Pedido!$H:$H,DRE!$A50)+SUMIFS(Aut_Ajustes_Manuais!$G:$G,Aut_Ajustes_Manuais!$I:$I,DRE!AL$4,Aut_Ajustes_Manuais!$F:$F,"Técnico de Som / Luz")</f>
        <v>0</v>
      </c>
      <c r="AO50" s="241">
        <v>0</v>
      </c>
      <c r="AP50" s="27">
        <v>0</v>
      </c>
      <c r="AQ50" s="28">
        <f>SUMIFS(Aut_BlueMe_Sem_Pedido!$J:$J,Aut_BlueMe_Sem_Pedido!$Q:$Q,DRE!AO$4,Aut_BlueMe_Sem_Pedido!$H:$H,DRE!$A50)+SUMIFS(Aut_Ajustes_Manuais!$G:$G,Aut_Ajustes_Manuais!$I:$I,DRE!AO$4,Aut_Ajustes_Manuais!$F:$F,"Técnico de Som / Luz")</f>
        <v>0</v>
      </c>
      <c r="AR50" s="241">
        <f t="shared" ca="1" si="47"/>
        <v>0</v>
      </c>
      <c r="AS50" s="27">
        <f t="shared" ca="1" si="48"/>
        <v>0</v>
      </c>
      <c r="AT50" s="28">
        <f t="shared" ca="1" si="49"/>
        <v>0</v>
      </c>
      <c r="AU50" s="241">
        <f t="shared" ref="AU50:AW52" si="57">SUM(H50,K50,N50,Q50,T50,W50,Z50,AC50,AF50,AI50,AL50,AO50)</f>
        <v>0</v>
      </c>
      <c r="AV50" s="27">
        <f t="shared" si="57"/>
        <v>0</v>
      </c>
      <c r="AW50" s="28">
        <f t="shared" si="57"/>
        <v>0</v>
      </c>
      <c r="AX50" s="241">
        <f t="shared" ref="AX50:AZ52" si="58">SUM(H50,K50,N50)</f>
        <v>0</v>
      </c>
      <c r="AY50" s="27">
        <f t="shared" si="58"/>
        <v>0</v>
      </c>
      <c r="AZ50" s="28">
        <f t="shared" si="58"/>
        <v>0</v>
      </c>
      <c r="BA50" s="241">
        <f t="shared" ref="BA50:BC52" si="59">SUM(Q50,T50,W50)</f>
        <v>0</v>
      </c>
      <c r="BB50" s="27">
        <f t="shared" si="59"/>
        <v>0</v>
      </c>
      <c r="BC50" s="28">
        <f t="shared" si="59"/>
        <v>0</v>
      </c>
      <c r="BD50" s="241">
        <f t="shared" ref="BD50:BF52" si="60">SUM(Z50,AC50,AF50)</f>
        <v>0</v>
      </c>
      <c r="BE50" s="27">
        <f t="shared" si="60"/>
        <v>0</v>
      </c>
      <c r="BF50" s="28">
        <f t="shared" si="60"/>
        <v>0</v>
      </c>
      <c r="BG50" s="241">
        <f t="shared" ref="BG50:BI52" si="61">SUM(AI50,AL50,AO50)</f>
        <v>0</v>
      </c>
      <c r="BH50" s="27">
        <f t="shared" si="61"/>
        <v>0</v>
      </c>
      <c r="BI50" s="28">
        <f t="shared" si="61"/>
        <v>0</v>
      </c>
      <c r="BK50" s="448">
        <f t="shared" si="1"/>
        <v>0</v>
      </c>
      <c r="BL50" s="448">
        <f t="shared" si="2"/>
        <v>0</v>
      </c>
      <c r="BM50" s="448">
        <f t="shared" si="3"/>
        <v>0</v>
      </c>
      <c r="BN50" s="448">
        <f t="shared" ca="1" si="4"/>
        <v>0</v>
      </c>
    </row>
    <row r="51" spans="1:66" s="29" customFormat="1" hidden="1" outlineLevel="1" x14ac:dyDescent="0.3">
      <c r="A51" s="22" t="s">
        <v>70</v>
      </c>
      <c r="B51" s="2"/>
      <c r="C51" s="24" t="s">
        <v>69</v>
      </c>
      <c r="D51" s="25"/>
      <c r="E51" s="25"/>
      <c r="F51" s="41"/>
      <c r="G51" s="23"/>
      <c r="H51" s="241">
        <v>0</v>
      </c>
      <c r="I51" s="27">
        <v>0</v>
      </c>
      <c r="J51" s="28">
        <f>SUMIFS(Aut_BlueMe_Sem_Pedido!$J:$J,Aut_BlueMe_Sem_Pedido!$Q:$Q,DRE!H$4,Aut_BlueMe_Sem_Pedido!$H:$H,DRE!$A51)+SUMIFS(Aut_Ajustes_Manuais!$G:$G,Aut_Ajustes_Manuais!$I:$I,DRE!H$4,Aut_Ajustes_Manuais!$F:$F,"Locação de Equipamentos Fixo")</f>
        <v>0</v>
      </c>
      <c r="K51" s="241">
        <v>0</v>
      </c>
      <c r="L51" s="27">
        <v>0</v>
      </c>
      <c r="M51" s="28">
        <f>SUMIFS(Aut_BlueMe_Sem_Pedido!$J:$J,Aut_BlueMe_Sem_Pedido!$Q:$Q,DRE!K$4,Aut_BlueMe_Sem_Pedido!$H:$H,DRE!$A51)+SUMIFS(Aut_Ajustes_Manuais!$G:$G,Aut_Ajustes_Manuais!$I:$I,DRE!K$4,Aut_Ajustes_Manuais!$F:$F,"Locação de Equipamentos Fixo")</f>
        <v>0</v>
      </c>
      <c r="N51" s="241">
        <v>0</v>
      </c>
      <c r="O51" s="27">
        <v>0</v>
      </c>
      <c r="P51" s="28">
        <f>SUMIFS(Aut_BlueMe_Sem_Pedido!$J:$J,Aut_BlueMe_Sem_Pedido!$Q:$Q,DRE!N$4,Aut_BlueMe_Sem_Pedido!$H:$H,DRE!$A51)+SUMIFS(Aut_Ajustes_Manuais!$G:$G,Aut_Ajustes_Manuais!$I:$I,DRE!N$4,Aut_Ajustes_Manuais!$F:$F,"Locação de Equipamentos Fixo")</f>
        <v>0</v>
      </c>
      <c r="Q51" s="241">
        <v>0</v>
      </c>
      <c r="R51" s="27">
        <v>0</v>
      </c>
      <c r="S51" s="28">
        <f>SUMIFS(Aut_BlueMe_Sem_Pedido!$J:$J,Aut_BlueMe_Sem_Pedido!$Q:$Q,DRE!Q$4,Aut_BlueMe_Sem_Pedido!$H:$H,DRE!$A51)+SUMIFS(Aut_Ajustes_Manuais!$G:$G,Aut_Ajustes_Manuais!$I:$I,DRE!Q$4,Aut_Ajustes_Manuais!$F:$F,"Locação de Equipamentos Fixo")</f>
        <v>0</v>
      </c>
      <c r="T51" s="241">
        <v>0</v>
      </c>
      <c r="U51" s="27">
        <v>0</v>
      </c>
      <c r="V51" s="28">
        <f>SUMIFS(Aut_BlueMe_Sem_Pedido!$J:$J,Aut_BlueMe_Sem_Pedido!$Q:$Q,DRE!T$4,Aut_BlueMe_Sem_Pedido!$H:$H,DRE!$A51)+SUMIFS(Aut_Ajustes_Manuais!$G:$G,Aut_Ajustes_Manuais!$I:$I,DRE!T$4,Aut_Ajustes_Manuais!$F:$F,"Locação de Equipamentos Fixo")</f>
        <v>0</v>
      </c>
      <c r="W51" s="241">
        <v>0</v>
      </c>
      <c r="X51" s="27">
        <v>0</v>
      </c>
      <c r="Y51" s="28">
        <f>SUMIFS(Aut_BlueMe_Sem_Pedido!$J:$J,Aut_BlueMe_Sem_Pedido!$Q:$Q,DRE!W$4,Aut_BlueMe_Sem_Pedido!$H:$H,DRE!$A51)+SUMIFS(Aut_Ajustes_Manuais!$G:$G,Aut_Ajustes_Manuais!$I:$I,DRE!W$4,Aut_Ajustes_Manuais!$F:$F,"Locação de Equipamentos Fixo")</f>
        <v>0</v>
      </c>
      <c r="Z51" s="241">
        <v>0</v>
      </c>
      <c r="AA51" s="27">
        <v>0</v>
      </c>
      <c r="AB51" s="28">
        <f>SUMIFS(Aut_BlueMe_Sem_Pedido!$J:$J,Aut_BlueMe_Sem_Pedido!$Q:$Q,DRE!Z$4,Aut_BlueMe_Sem_Pedido!$H:$H,DRE!$A51)+SUMIFS(Aut_Ajustes_Manuais!$G:$G,Aut_Ajustes_Manuais!$I:$I,DRE!Z$4,Aut_Ajustes_Manuais!$F:$F,"Locação de Equipamentos Fixo")</f>
        <v>0</v>
      </c>
      <c r="AC51" s="241">
        <v>0</v>
      </c>
      <c r="AD51" s="27">
        <v>0</v>
      </c>
      <c r="AE51" s="28">
        <f>SUMIFS(Aut_BlueMe_Sem_Pedido!$J:$J,Aut_BlueMe_Sem_Pedido!$Q:$Q,DRE!AC$4,Aut_BlueMe_Sem_Pedido!$H:$H,DRE!$A51)+SUMIFS(Aut_Ajustes_Manuais!$G:$G,Aut_Ajustes_Manuais!$I:$I,DRE!AC$4,Aut_Ajustes_Manuais!$F:$F,"Locação de Equipamentos Fixo")</f>
        <v>0</v>
      </c>
      <c r="AF51" s="241">
        <v>0</v>
      </c>
      <c r="AG51" s="27">
        <v>0</v>
      </c>
      <c r="AH51" s="28">
        <f>SUMIFS(Aut_BlueMe_Sem_Pedido!$J:$J,Aut_BlueMe_Sem_Pedido!$Q:$Q,DRE!AF$4,Aut_BlueMe_Sem_Pedido!$H:$H,DRE!$A51)+SUMIFS(Aut_Ajustes_Manuais!$G:$G,Aut_Ajustes_Manuais!$I:$I,DRE!AF$4,Aut_Ajustes_Manuais!$F:$F,"Locação de Equipamentos Fixo")</f>
        <v>0</v>
      </c>
      <c r="AI51" s="241">
        <v>0</v>
      </c>
      <c r="AJ51" s="27">
        <v>0</v>
      </c>
      <c r="AK51" s="28">
        <f>SUMIFS(Aut_BlueMe_Sem_Pedido!$J:$J,Aut_BlueMe_Sem_Pedido!$Q:$Q,DRE!AI$4,Aut_BlueMe_Sem_Pedido!$H:$H,DRE!$A51)+SUMIFS(Aut_Ajustes_Manuais!$G:$G,Aut_Ajustes_Manuais!$I:$I,DRE!AI$4,Aut_Ajustes_Manuais!$F:$F,"Locação de Equipamentos Fixo")</f>
        <v>0</v>
      </c>
      <c r="AL51" s="241">
        <v>0</v>
      </c>
      <c r="AM51" s="27">
        <v>0</v>
      </c>
      <c r="AN51" s="28">
        <f>SUMIFS(Aut_BlueMe_Sem_Pedido!$J:$J,Aut_BlueMe_Sem_Pedido!$Q:$Q,DRE!AL$4,Aut_BlueMe_Sem_Pedido!$H:$H,DRE!$A51)+SUMIFS(Aut_Ajustes_Manuais!$G:$G,Aut_Ajustes_Manuais!$I:$I,DRE!AL$4,Aut_Ajustes_Manuais!$F:$F,"Locação de Equipamentos Fixo")</f>
        <v>0</v>
      </c>
      <c r="AO51" s="241">
        <v>0</v>
      </c>
      <c r="AP51" s="27">
        <v>0</v>
      </c>
      <c r="AQ51" s="28">
        <f>SUMIFS(Aut_BlueMe_Sem_Pedido!$J:$J,Aut_BlueMe_Sem_Pedido!$Q:$Q,DRE!AO$4,Aut_BlueMe_Sem_Pedido!$H:$H,DRE!$A51)+SUMIFS(Aut_Ajustes_Manuais!$G:$G,Aut_Ajustes_Manuais!$I:$I,DRE!AO$4,Aut_Ajustes_Manuais!$F:$F,"Locação de Equipamentos Fixo")</f>
        <v>0</v>
      </c>
      <c r="AR51" s="241">
        <f t="shared" ca="1" si="47"/>
        <v>0</v>
      </c>
      <c r="AS51" s="27">
        <f t="shared" ca="1" si="48"/>
        <v>0</v>
      </c>
      <c r="AT51" s="28">
        <f t="shared" ca="1" si="49"/>
        <v>0</v>
      </c>
      <c r="AU51" s="241">
        <f t="shared" si="57"/>
        <v>0</v>
      </c>
      <c r="AV51" s="27">
        <f t="shared" si="57"/>
        <v>0</v>
      </c>
      <c r="AW51" s="28">
        <f t="shared" si="57"/>
        <v>0</v>
      </c>
      <c r="AX51" s="241">
        <f t="shared" si="58"/>
        <v>0</v>
      </c>
      <c r="AY51" s="27">
        <f t="shared" si="58"/>
        <v>0</v>
      </c>
      <c r="AZ51" s="28">
        <f t="shared" si="58"/>
        <v>0</v>
      </c>
      <c r="BA51" s="241">
        <f t="shared" si="59"/>
        <v>0</v>
      </c>
      <c r="BB51" s="27">
        <f t="shared" si="59"/>
        <v>0</v>
      </c>
      <c r="BC51" s="28">
        <f t="shared" si="59"/>
        <v>0</v>
      </c>
      <c r="BD51" s="241">
        <f t="shared" si="60"/>
        <v>0</v>
      </c>
      <c r="BE51" s="27">
        <f t="shared" si="60"/>
        <v>0</v>
      </c>
      <c r="BF51" s="28">
        <f t="shared" si="60"/>
        <v>0</v>
      </c>
      <c r="BG51" s="241">
        <f t="shared" si="61"/>
        <v>0</v>
      </c>
      <c r="BH51" s="27">
        <f t="shared" si="61"/>
        <v>0</v>
      </c>
      <c r="BI51" s="28">
        <f t="shared" si="61"/>
        <v>0</v>
      </c>
      <c r="BK51" s="448">
        <f t="shared" si="1"/>
        <v>0</v>
      </c>
      <c r="BL51" s="448">
        <f t="shared" si="2"/>
        <v>0</v>
      </c>
      <c r="BM51" s="448">
        <f t="shared" si="3"/>
        <v>0</v>
      </c>
      <c r="BN51" s="448">
        <f t="shared" ca="1" si="4"/>
        <v>0</v>
      </c>
    </row>
    <row r="52" spans="1:66" s="29" customFormat="1" hidden="1" outlineLevel="1" x14ac:dyDescent="0.3">
      <c r="A52" s="22" t="s">
        <v>71</v>
      </c>
      <c r="B52" s="2"/>
      <c r="C52" s="24" t="s">
        <v>62</v>
      </c>
      <c r="D52" s="69"/>
      <c r="E52" s="69">
        <v>0</v>
      </c>
      <c r="F52" s="41"/>
      <c r="G52" s="23"/>
      <c r="H52" s="241">
        <v>0</v>
      </c>
      <c r="I52" s="27">
        <v>0</v>
      </c>
      <c r="J52" s="28">
        <f>SUMIFS(Aut_BlueMe_Sem_Pedido!$J:$J,Aut_BlueMe_Sem_Pedido!$Q:$Q,DRE!H$4,Aut_BlueMe_Sem_Pedido!$H:$H,DRE!$A52)+SUMIFS(Aut_Ajustes_Manuais!$G:$G,Aut_Ajustes_Manuais!$I:$I,DRE!H$4,Aut_Ajustes_Manuais!$F:$F,"Locação de Equipamentos Variável")</f>
        <v>0</v>
      </c>
      <c r="K52" s="241">
        <v>0</v>
      </c>
      <c r="L52" s="27">
        <v>0</v>
      </c>
      <c r="M52" s="28">
        <f>SUMIFS(Aut_BlueMe_Sem_Pedido!$J:$J,Aut_BlueMe_Sem_Pedido!$Q:$Q,DRE!K$4,Aut_BlueMe_Sem_Pedido!$H:$H,DRE!$A52)+SUMIFS(Aut_Ajustes_Manuais!$G:$G,Aut_Ajustes_Manuais!$I:$I,DRE!K$4,Aut_Ajustes_Manuais!$F:$F,"Locação de Equipamentos Variável")</f>
        <v>0</v>
      </c>
      <c r="N52" s="241">
        <v>0</v>
      </c>
      <c r="O52" s="27">
        <v>0</v>
      </c>
      <c r="P52" s="28">
        <f>SUMIFS(Aut_BlueMe_Sem_Pedido!$J:$J,Aut_BlueMe_Sem_Pedido!$Q:$Q,DRE!N$4,Aut_BlueMe_Sem_Pedido!$H:$H,DRE!$A52)+SUMIFS(Aut_Ajustes_Manuais!$G:$G,Aut_Ajustes_Manuais!$I:$I,DRE!N$4,Aut_Ajustes_Manuais!$F:$F,"Locação de Equipamentos Variável")</f>
        <v>0</v>
      </c>
      <c r="Q52" s="241">
        <v>0</v>
      </c>
      <c r="R52" s="27">
        <v>0</v>
      </c>
      <c r="S52" s="28">
        <f>SUMIFS(Aut_BlueMe_Sem_Pedido!$J:$J,Aut_BlueMe_Sem_Pedido!$Q:$Q,DRE!Q$4,Aut_BlueMe_Sem_Pedido!$H:$H,DRE!$A52)+SUMIFS(Aut_Ajustes_Manuais!$G:$G,Aut_Ajustes_Manuais!$I:$I,DRE!Q$4,Aut_Ajustes_Manuais!$F:$F,"Locação de Equipamentos Variável")</f>
        <v>0</v>
      </c>
      <c r="T52" s="241">
        <v>0</v>
      </c>
      <c r="U52" s="27">
        <v>0</v>
      </c>
      <c r="V52" s="28">
        <f>SUMIFS(Aut_BlueMe_Sem_Pedido!$J:$J,Aut_BlueMe_Sem_Pedido!$Q:$Q,DRE!T$4,Aut_BlueMe_Sem_Pedido!$H:$H,DRE!$A52)+SUMIFS(Aut_Ajustes_Manuais!$G:$G,Aut_Ajustes_Manuais!$I:$I,DRE!T$4,Aut_Ajustes_Manuais!$F:$F,"Locação de Equipamentos Variável")</f>
        <v>0</v>
      </c>
      <c r="W52" s="241">
        <v>0</v>
      </c>
      <c r="X52" s="27">
        <v>0</v>
      </c>
      <c r="Y52" s="28">
        <f>SUMIFS(Aut_BlueMe_Sem_Pedido!$J:$J,Aut_BlueMe_Sem_Pedido!$Q:$Q,DRE!W$4,Aut_BlueMe_Sem_Pedido!$H:$H,DRE!$A52)+SUMIFS(Aut_Ajustes_Manuais!$G:$G,Aut_Ajustes_Manuais!$I:$I,DRE!W$4,Aut_Ajustes_Manuais!$F:$F,"Locação de Equipamentos Variável")</f>
        <v>0</v>
      </c>
      <c r="Z52" s="241">
        <v>0</v>
      </c>
      <c r="AA52" s="27">
        <v>0</v>
      </c>
      <c r="AB52" s="28">
        <f>SUMIFS(Aut_BlueMe_Sem_Pedido!$J:$J,Aut_BlueMe_Sem_Pedido!$Q:$Q,DRE!Z$4,Aut_BlueMe_Sem_Pedido!$H:$H,DRE!$A52)+SUMIFS(Aut_Ajustes_Manuais!$G:$G,Aut_Ajustes_Manuais!$I:$I,DRE!Z$4,Aut_Ajustes_Manuais!$F:$F,"Locação de Equipamentos Variável")</f>
        <v>0</v>
      </c>
      <c r="AC52" s="241">
        <v>0</v>
      </c>
      <c r="AD52" s="27">
        <v>0</v>
      </c>
      <c r="AE52" s="28">
        <f>SUMIFS(Aut_BlueMe_Sem_Pedido!$J:$J,Aut_BlueMe_Sem_Pedido!$Q:$Q,DRE!AC$4,Aut_BlueMe_Sem_Pedido!$H:$H,DRE!$A52)+SUMIFS(Aut_Ajustes_Manuais!$G:$G,Aut_Ajustes_Manuais!$I:$I,DRE!AC$4,Aut_Ajustes_Manuais!$F:$F,"Locação de Equipamentos Variável")</f>
        <v>0</v>
      </c>
      <c r="AF52" s="241">
        <v>0</v>
      </c>
      <c r="AG52" s="27">
        <v>0</v>
      </c>
      <c r="AH52" s="28">
        <f>SUMIFS(Aut_BlueMe_Sem_Pedido!$J:$J,Aut_BlueMe_Sem_Pedido!$Q:$Q,DRE!AF$4,Aut_BlueMe_Sem_Pedido!$H:$H,DRE!$A52)+SUMIFS(Aut_Ajustes_Manuais!$G:$G,Aut_Ajustes_Manuais!$I:$I,DRE!AF$4,Aut_Ajustes_Manuais!$F:$F,"Locação de Equipamentos Variável")</f>
        <v>0</v>
      </c>
      <c r="AI52" s="241">
        <v>0</v>
      </c>
      <c r="AJ52" s="27">
        <v>0</v>
      </c>
      <c r="AK52" s="28">
        <f>SUMIFS(Aut_BlueMe_Sem_Pedido!$J:$J,Aut_BlueMe_Sem_Pedido!$Q:$Q,DRE!AI$4,Aut_BlueMe_Sem_Pedido!$H:$H,DRE!$A52)+SUMIFS(Aut_Ajustes_Manuais!$G:$G,Aut_Ajustes_Manuais!$I:$I,DRE!AI$4,Aut_Ajustes_Manuais!$F:$F,"Locação de Equipamentos Variável")</f>
        <v>0</v>
      </c>
      <c r="AL52" s="241">
        <v>0</v>
      </c>
      <c r="AM52" s="27">
        <v>0</v>
      </c>
      <c r="AN52" s="28">
        <f>SUMIFS(Aut_BlueMe_Sem_Pedido!$J:$J,Aut_BlueMe_Sem_Pedido!$Q:$Q,DRE!AL$4,Aut_BlueMe_Sem_Pedido!$H:$H,DRE!$A52)+SUMIFS(Aut_Ajustes_Manuais!$G:$G,Aut_Ajustes_Manuais!$I:$I,DRE!AL$4,Aut_Ajustes_Manuais!$F:$F,"Locação de Equipamentos Variável")</f>
        <v>0</v>
      </c>
      <c r="AO52" s="241">
        <v>0</v>
      </c>
      <c r="AP52" s="27">
        <v>0</v>
      </c>
      <c r="AQ52" s="28">
        <f>SUMIFS(Aut_BlueMe_Sem_Pedido!$J:$J,Aut_BlueMe_Sem_Pedido!$Q:$Q,DRE!AO$4,Aut_BlueMe_Sem_Pedido!$H:$H,DRE!$A52)+SUMIFS(Aut_Ajustes_Manuais!$G:$G,Aut_Ajustes_Manuais!$I:$I,DRE!AO$4,Aut_Ajustes_Manuais!$F:$F,"Locação de Equipamentos Variável")</f>
        <v>0</v>
      </c>
      <c r="AR52" s="241">
        <f t="shared" ca="1" si="47"/>
        <v>0</v>
      </c>
      <c r="AS52" s="27">
        <f t="shared" ca="1" si="48"/>
        <v>0</v>
      </c>
      <c r="AT52" s="28">
        <f t="shared" ca="1" si="49"/>
        <v>0</v>
      </c>
      <c r="AU52" s="241">
        <f t="shared" si="57"/>
        <v>0</v>
      </c>
      <c r="AV52" s="27">
        <f t="shared" si="57"/>
        <v>0</v>
      </c>
      <c r="AW52" s="28">
        <f t="shared" si="57"/>
        <v>0</v>
      </c>
      <c r="AX52" s="241">
        <f t="shared" si="58"/>
        <v>0</v>
      </c>
      <c r="AY52" s="27">
        <f t="shared" si="58"/>
        <v>0</v>
      </c>
      <c r="AZ52" s="28">
        <f t="shared" si="58"/>
        <v>0</v>
      </c>
      <c r="BA52" s="241">
        <f t="shared" si="59"/>
        <v>0</v>
      </c>
      <c r="BB52" s="27">
        <f t="shared" si="59"/>
        <v>0</v>
      </c>
      <c r="BC52" s="28">
        <f t="shared" si="59"/>
        <v>0</v>
      </c>
      <c r="BD52" s="241">
        <f t="shared" si="60"/>
        <v>0</v>
      </c>
      <c r="BE52" s="27">
        <f t="shared" si="60"/>
        <v>0</v>
      </c>
      <c r="BF52" s="28">
        <f t="shared" si="60"/>
        <v>0</v>
      </c>
      <c r="BG52" s="241">
        <f t="shared" si="61"/>
        <v>0</v>
      </c>
      <c r="BH52" s="27">
        <f t="shared" si="61"/>
        <v>0</v>
      </c>
      <c r="BI52" s="28">
        <f t="shared" si="61"/>
        <v>0</v>
      </c>
      <c r="BK52" s="448">
        <f t="shared" si="1"/>
        <v>0</v>
      </c>
      <c r="BL52" s="448">
        <f t="shared" si="2"/>
        <v>0</v>
      </c>
      <c r="BM52" s="448">
        <f t="shared" si="3"/>
        <v>0</v>
      </c>
      <c r="BN52" s="448">
        <f t="shared" ca="1" si="4"/>
        <v>0</v>
      </c>
    </row>
    <row r="53" spans="1:66" collapsed="1" x14ac:dyDescent="0.3">
      <c r="A53" s="71" t="s">
        <v>72</v>
      </c>
      <c r="C53" s="24"/>
      <c r="D53" s="69"/>
      <c r="E53" s="69"/>
      <c r="F53" s="41"/>
      <c r="H53" s="245">
        <v>0</v>
      </c>
      <c r="I53" s="50">
        <v>-0.17954743825741881</v>
      </c>
      <c r="J53" s="51">
        <f>IFERROR(J42/J11,0)+SUMIFS(Aut_Ajustes_Manuais!$G:$G,Aut_Ajustes_Manuais!$I:$I,DRE!H$4,Aut_Ajustes_Manuais!$F:$F,"% sobre Receita Artístico")</f>
        <v>-2.248995983935743</v>
      </c>
      <c r="K53" s="245">
        <v>0</v>
      </c>
      <c r="L53" s="50">
        <v>-0.15769991410822129</v>
      </c>
      <c r="M53" s="51">
        <f>IFERROR(M42/M11,0)+SUMIFS(Aut_Ajustes_Manuais!$G:$G,Aut_Ajustes_Manuais!$I:$I,DRE!K$4,Aut_Ajustes_Manuais!$F:$F,"% sobre Receita Artístico")</f>
        <v>-5.1282051282051286</v>
      </c>
      <c r="N53" s="245">
        <v>-5.3266503644805896</v>
      </c>
      <c r="O53" s="50">
        <v>-0.19657204140736759</v>
      </c>
      <c r="P53" s="51">
        <f>IFERROR(P42/P11,0)+SUMIFS(Aut_Ajustes_Manuais!$G:$G,Aut_Ajustes_Manuais!$I:$I,DRE!N$4,Aut_Ajustes_Manuais!$F:$F,"% sobre Receita Artístico")</f>
        <v>-2.1052631578947367</v>
      </c>
      <c r="Q53" s="245">
        <v>-3.0457671075824959</v>
      </c>
      <c r="R53" s="50">
        <v>-0.1888869869930109</v>
      </c>
      <c r="S53" s="51">
        <f>IFERROR(S42/S11,0)+SUMIFS(Aut_Ajustes_Manuais!$G:$G,Aut_Ajustes_Manuais!$I:$I,DRE!Q$4,Aut_Ajustes_Manuais!$F:$F,"% sobre Receita Artístico")</f>
        <v>-5.4263565891472867</v>
      </c>
      <c r="T53" s="245">
        <v>-3.8260084954898672</v>
      </c>
      <c r="U53" s="50">
        <v>-0.13893804718366101</v>
      </c>
      <c r="V53" s="51">
        <f>IFERROR(V42/V11,0)+SUMIFS(Aut_Ajustes_Manuais!$G:$G,Aut_Ajustes_Manuais!$I:$I,DRE!T$4,Aut_Ajustes_Manuais!$F:$F,"% sobre Receita Artístico")</f>
        <v>-3.1638418079096047</v>
      </c>
      <c r="W53" s="245">
        <v>-16</v>
      </c>
      <c r="X53" s="50">
        <v>-0.12986833277943979</v>
      </c>
      <c r="Y53" s="51">
        <f>IFERROR(Y42/Y11,0)+SUMIFS(Aut_Ajustes_Manuais!$G:$G,Aut_Ajustes_Manuais!$I:$I,DRE!W$4,Aut_Ajustes_Manuais!$F:$F,"% sobre Receita Artístico")</f>
        <v>-5.0694444444444446</v>
      </c>
      <c r="Z53" s="245">
        <v>0</v>
      </c>
      <c r="AA53" s="50">
        <v>-0.1311116016616746</v>
      </c>
      <c r="AB53" s="51">
        <f>IFERROR(AB42/AB11,0)+SUMIFS(Aut_Ajustes_Manuais!$G:$G,Aut_Ajustes_Manuais!$I:$I,DRE!Z$4,Aut_Ajustes_Manuais!$F:$F,"% sobre Receita Artístico")</f>
        <v>-5.833333333333333</v>
      </c>
      <c r="AC53" s="245">
        <v>-3.815481993365236</v>
      </c>
      <c r="AD53" s="50">
        <v>-0.14578624146847641</v>
      </c>
      <c r="AE53" s="51">
        <f>IFERROR(AE42/AE11,0)+SUMIFS(Aut_Ajustes_Manuais!$G:$G,Aut_Ajustes_Manuais!$I:$I,DRE!AC$4,Aut_Ajustes_Manuais!$F:$F,"% sobre Receita Artístico")</f>
        <v>0</v>
      </c>
      <c r="AF53" s="245">
        <v>-2.0936639118457299</v>
      </c>
      <c r="AG53" s="50">
        <v>-0.13942460506741169</v>
      </c>
      <c r="AH53" s="51">
        <f>IFERROR(AH42/AH11,0)+SUMIFS(Aut_Ajustes_Manuais!$G:$G,Aut_Ajustes_Manuais!$I:$I,DRE!AF$4,Aut_Ajustes_Manuais!$F:$F,"% sobre Receita Artístico")</f>
        <v>0</v>
      </c>
      <c r="AI53" s="245">
        <v>-0.68126520681265201</v>
      </c>
      <c r="AJ53" s="50">
        <v>-0.1662607602914857</v>
      </c>
      <c r="AK53" s="51">
        <f>IFERROR(AK42/AK11,0)+SUMIFS(Aut_Ajustes_Manuais!$G:$G,Aut_Ajustes_Manuais!$I:$I,DRE!AI$4,Aut_Ajustes_Manuais!$F:$F,"% sobre Receita Artístico")</f>
        <v>0</v>
      </c>
      <c r="AL53" s="245">
        <v>-5.583333333333333</v>
      </c>
      <c r="AM53" s="50">
        <v>-0.1193894770375109</v>
      </c>
      <c r="AN53" s="51">
        <f>IFERROR(AN42/AN11,0)+SUMIFS(Aut_Ajustes_Manuais!$G:$G,Aut_Ajustes_Manuais!$I:$I,DRE!AL$4,Aut_Ajustes_Manuais!$F:$F,"% sobre Receita Artístico")</f>
        <v>0</v>
      </c>
      <c r="AO53" s="245">
        <v>-7.8714859437751006</v>
      </c>
      <c r="AP53" s="50">
        <v>-0.131905541669217</v>
      </c>
      <c r="AQ53" s="51">
        <f>IFERROR(AQ42/AQ11,0)+SUMIFS(Aut_Ajustes_Manuais!$G:$G,Aut_Ajustes_Manuais!$I:$I,DRE!AO$4,Aut_Ajustes_Manuais!$F:$F,"% sobre Receita Artístico")</f>
        <v>0</v>
      </c>
      <c r="AR53" s="245">
        <f t="shared" ref="AR53:BI53" ca="1" si="62">IFERROR(AR42/AR11,0)</f>
        <v>-5.3264459915249613</v>
      </c>
      <c r="AS53" s="50">
        <f t="shared" ca="1" si="62"/>
        <v>-0.16103447745336943</v>
      </c>
      <c r="AT53" s="51">
        <f t="shared" ca="1" si="62"/>
        <v>-3.5157988429016465</v>
      </c>
      <c r="AU53" s="245">
        <f t="shared" si="62"/>
        <v>-4.5120828353085782</v>
      </c>
      <c r="AV53" s="50">
        <f t="shared" si="62"/>
        <v>-0.14892655682195105</v>
      </c>
      <c r="AW53" s="51">
        <f t="shared" si="62"/>
        <v>-3.6107554417413574</v>
      </c>
      <c r="AX53" s="245">
        <f t="shared" si="62"/>
        <v>-8.4377614755917012</v>
      </c>
      <c r="AY53" s="50">
        <f t="shared" si="62"/>
        <v>-0.17668018698626314</v>
      </c>
      <c r="AZ53" s="51">
        <f t="shared" si="62"/>
        <v>-2.8717948717948718</v>
      </c>
      <c r="BA53" s="245">
        <f t="shared" si="62"/>
        <v>-4.4113532020935677</v>
      </c>
      <c r="BB53" s="50">
        <f t="shared" si="62"/>
        <v>-0.14793432451184507</v>
      </c>
      <c r="BC53" s="51">
        <f t="shared" si="62"/>
        <v>-4.2154131847725163</v>
      </c>
      <c r="BD53" s="245">
        <f t="shared" si="62"/>
        <v>-3.9436601801512268</v>
      </c>
      <c r="BE53" s="50">
        <f t="shared" si="62"/>
        <v>-0.1389452466876468</v>
      </c>
      <c r="BF53" s="51">
        <f t="shared" si="62"/>
        <v>-5.833333333333333</v>
      </c>
      <c r="BG53" s="245">
        <f t="shared" si="62"/>
        <v>-4.3157894736842106</v>
      </c>
      <c r="BH53" s="50">
        <f t="shared" si="62"/>
        <v>-0.13808156627499399</v>
      </c>
      <c r="BI53" s="51">
        <f t="shared" si="62"/>
        <v>0</v>
      </c>
      <c r="BK53" s="448">
        <f t="shared" si="1"/>
        <v>-1.8253909879248955</v>
      </c>
      <c r="BL53" s="448">
        <f t="shared" si="2"/>
        <v>-1.6764644311029444</v>
      </c>
      <c r="BM53" s="448">
        <f t="shared" si="3"/>
        <v>-18.072662667092501</v>
      </c>
      <c r="BN53" s="448">
        <f t="shared" ca="1" si="4"/>
        <v>-14.556863824190856</v>
      </c>
    </row>
    <row r="54" spans="1:66" x14ac:dyDescent="0.3">
      <c r="A54" s="71" t="s">
        <v>46</v>
      </c>
      <c r="C54" s="24"/>
      <c r="D54" s="69"/>
      <c r="E54" s="69"/>
      <c r="F54" s="41"/>
      <c r="H54" s="253">
        <v>-4.1121707359190679E-3</v>
      </c>
      <c r="I54" s="78">
        <v>-2.2430022195922199E-2</v>
      </c>
      <c r="J54" s="79">
        <f>IFERROR(J42/J8,0)+SUMIFS(Aut_Ajustes_Manuais!$G:$G,Aut_Ajustes_Manuais!$I:$I,DRE!H$4,Aut_Ajustes_Manuais!$F:$F,"% sobre Receita Bruta")</f>
        <v>-1.4493447538249113E-2</v>
      </c>
      <c r="K54" s="253">
        <v>-4.5311640191398961E-3</v>
      </c>
      <c r="L54" s="78">
        <v>-1.9700713126695201E-2</v>
      </c>
      <c r="M54" s="79">
        <f>IFERROR(M42/M8,0)+SUMIFS(Aut_Ajustes_Manuais!$G:$G,Aut_Ajustes_Manuais!$I:$I,DRE!K$4,Aut_Ajustes_Manuais!$F:$F,"% sobre Receita Bruta")</f>
        <v>-2.2081408728263533E-2</v>
      </c>
      <c r="N54" s="253">
        <v>-1.5472437105214121E-2</v>
      </c>
      <c r="O54" s="78">
        <v>-2.455682628868034E-2</v>
      </c>
      <c r="P54" s="79">
        <f>IFERROR(P42/P8,0)+SUMIFS(Aut_Ajustes_Manuais!$G:$G,Aut_Ajustes_Manuais!$I:$I,DRE!N$4,Aut_Ajustes_Manuais!$F:$F,"% sobre Receita Bruta")</f>
        <v>-1.2448522764924795E-2</v>
      </c>
      <c r="Q54" s="253">
        <v>-1.12271614746561E-2</v>
      </c>
      <c r="R54" s="78">
        <v>-2.3596768363243641E-2</v>
      </c>
      <c r="S54" s="79">
        <f>IFERROR(S42/S8,0)+SUMIFS(Aut_Ajustes_Manuais!$G:$G,Aut_Ajustes_Manuais!$I:$I,DRE!Q$4,Aut_Ajustes_Manuais!$F:$F,"% sobre Receita Bruta")</f>
        <v>-1.8944073063933999E-2</v>
      </c>
      <c r="T54" s="253">
        <v>-1.421596409758359E-2</v>
      </c>
      <c r="U54" s="78">
        <v>-1.735688079113451E-2</v>
      </c>
      <c r="V54" s="79">
        <f>IFERROR(V42/V8,0)+SUMIFS(Aut_Ajustes_Manuais!$G:$G,Aut_Ajustes_Manuais!$I:$I,DRE!T$4,Aut_Ajustes_Manuais!$F:$F,"% sobre Receita Bruta")</f>
        <v>-2.2531521598716606E-2</v>
      </c>
      <c r="W54" s="253">
        <v>-1.084679840324281E-2</v>
      </c>
      <c r="X54" s="78">
        <v>-1.622384376553411E-2</v>
      </c>
      <c r="Y54" s="79">
        <f>IFERROR(Y42/Y8,0)+SUMIFS(Aut_Ajustes_Manuais!$G:$G,Aut_Ajustes_Manuais!$I:$I,DRE!W$4,Aut_Ajustes_Manuais!$F:$F,"% sobre Receita Bruta")</f>
        <v>-2.0306142073898002E-2</v>
      </c>
      <c r="Z54" s="253">
        <v>-1.0108281313356639E-2</v>
      </c>
      <c r="AA54" s="78">
        <v>-1.6379159535531589E-2</v>
      </c>
      <c r="AB54" s="79">
        <f>IFERROR(AB42/AB8,0)+SUMIFS(Aut_Ajustes_Manuais!$G:$G,Aut_Ajustes_Manuais!$I:$I,DRE!Z$4,Aut_Ajustes_Manuais!$F:$F,"% sobre Receita Bruta")</f>
        <v>-3.5650451398376228E-2</v>
      </c>
      <c r="AC54" s="253">
        <v>-1.735489278226791E-2</v>
      </c>
      <c r="AD54" s="78">
        <v>-1.8212393692355479E-2</v>
      </c>
      <c r="AE54" s="79">
        <f>IFERROR(AE42/AE8,0)+SUMIFS(Aut_Ajustes_Manuais!$G:$G,Aut_Ajustes_Manuais!$I:$I,DRE!AC$4,Aut_Ajustes_Manuais!$F:$F,"% sobre Receita Bruta")</f>
        <v>0</v>
      </c>
      <c r="AF54" s="253">
        <v>-1.0779045897858219E-2</v>
      </c>
      <c r="AG54" s="78">
        <v>-1.741766419321503E-2</v>
      </c>
      <c r="AH54" s="79">
        <f>IFERROR(AH42/AH8,0)+SUMIFS(Aut_Ajustes_Manuais!$G:$G,Aut_Ajustes_Manuais!$I:$I,DRE!AF$4,Aut_Ajustes_Manuais!$F:$F,"% sobre Receita Bruta")</f>
        <v>0</v>
      </c>
      <c r="AI54" s="253">
        <v>-3.8576764289026369E-3</v>
      </c>
      <c r="AJ54" s="78">
        <v>-2.077017962407399E-2</v>
      </c>
      <c r="AK54" s="79">
        <f>IFERROR(AK42/AK8,0)+SUMIFS(Aut_Ajustes_Manuais!$G:$G,Aut_Ajustes_Manuais!$I:$I,DRE!AI$4,Aut_Ajustes_Manuais!$F:$F,"% sobre Receita Bruta")</f>
        <v>0</v>
      </c>
      <c r="AL54" s="253">
        <v>-3.1196641229918731E-2</v>
      </c>
      <c r="AM54" s="78">
        <v>-1.491476929941808E-2</v>
      </c>
      <c r="AN54" s="79">
        <f>IFERROR(AN42/AN8,0)+SUMIFS(Aut_Ajustes_Manuais!$G:$G,Aut_Ajustes_Manuais!$I:$I,DRE!AL$4,Aut_Ajustes_Manuais!$F:$F,"% sobre Receita Bruta")</f>
        <v>0</v>
      </c>
      <c r="AO54" s="253">
        <v>-2.0406777032347369E-2</v>
      </c>
      <c r="AP54" s="78">
        <v>-1.6478342749529189E-2</v>
      </c>
      <c r="AQ54" s="79">
        <f>IFERROR(AQ42/AQ8,0)+SUMIFS(Aut_Ajustes_Manuais!$G:$G,Aut_Ajustes_Manuais!$I:$I,DRE!AO$4,Aut_Ajustes_Manuais!$F:$F,"% sobre Receita Bruta")</f>
        <v>0</v>
      </c>
      <c r="AR54" s="253">
        <f t="shared" ref="AR54:BI54" ca="1" si="63">IFERROR(AR42/AR8,0)</f>
        <v>-1.0255268248243516E-2</v>
      </c>
      <c r="AS54" s="78">
        <f t="shared" ca="1" si="63"/>
        <v>-2.0117284538525366E-2</v>
      </c>
      <c r="AT54" s="79">
        <f t="shared" ca="1" si="63"/>
        <v>-1.8435575025514135E-2</v>
      </c>
      <c r="AU54" s="253">
        <f t="shared" si="63"/>
        <v>-1.3540365202458196E-2</v>
      </c>
      <c r="AV54" s="78">
        <f t="shared" si="63"/>
        <v>-1.8604698610566812E-2</v>
      </c>
      <c r="AW54" s="79">
        <f t="shared" si="63"/>
        <v>-1.9044300627008612E-2</v>
      </c>
      <c r="AX54" s="253">
        <f t="shared" si="63"/>
        <v>-7.9164663861773284E-3</v>
      </c>
      <c r="AY54" s="78">
        <f t="shared" si="63"/>
        <v>-2.2071829897120903E-2</v>
      </c>
      <c r="AZ54" s="79">
        <f t="shared" si="63"/>
        <v>-1.614174465683511E-2</v>
      </c>
      <c r="BA54" s="253">
        <f t="shared" si="63"/>
        <v>-1.2299476750956086E-2</v>
      </c>
      <c r="BB54" s="78">
        <f t="shared" si="63"/>
        <v>-1.8480743666095367E-2</v>
      </c>
      <c r="BC54" s="79">
        <f t="shared" si="63"/>
        <v>-2.0602334386070262E-2</v>
      </c>
      <c r="BD54" s="253">
        <f t="shared" si="63"/>
        <v>-1.2997065351762076E-2</v>
      </c>
      <c r="BE54" s="78">
        <f t="shared" si="63"/>
        <v>-1.735778019151453E-2</v>
      </c>
      <c r="BF54" s="79">
        <f t="shared" si="63"/>
        <v>-3.5650451398376228E-2</v>
      </c>
      <c r="BG54" s="253">
        <f t="shared" si="63"/>
        <v>-1.9329307599057984E-2</v>
      </c>
      <c r="BH54" s="78">
        <f t="shared" si="63"/>
        <v>-1.7249884634696778E-2</v>
      </c>
      <c r="BI54" s="79">
        <f t="shared" si="63"/>
        <v>0</v>
      </c>
      <c r="BK54" s="448">
        <f t="shared" si="1"/>
        <v>-0.22803756362533334</v>
      </c>
      <c r="BL54" s="448">
        <f t="shared" si="2"/>
        <v>-0.20943286501476652</v>
      </c>
      <c r="BM54" s="448">
        <f t="shared" si="3"/>
        <v>-9.0498973694088047E-2</v>
      </c>
      <c r="BN54" s="448">
        <f t="shared" ca="1" si="4"/>
        <v>-7.2063398668573919E-2</v>
      </c>
    </row>
    <row r="55" spans="1:66" ht="15" customHeight="1" x14ac:dyDescent="0.3">
      <c r="A55" s="18"/>
      <c r="E55" s="16"/>
      <c r="F55" s="17"/>
      <c r="H55" s="247"/>
      <c r="I55" s="17"/>
      <c r="J55" s="57"/>
      <c r="K55" s="247"/>
      <c r="L55" s="17"/>
      <c r="M55" s="57"/>
      <c r="N55" s="247"/>
      <c r="O55" s="17"/>
      <c r="P55" s="57"/>
      <c r="Q55" s="247"/>
      <c r="R55" s="17"/>
      <c r="S55" s="57"/>
      <c r="T55" s="247"/>
      <c r="U55" s="17"/>
      <c r="V55" s="57"/>
      <c r="W55" s="247"/>
      <c r="X55" s="17"/>
      <c r="Y55" s="57"/>
      <c r="Z55" s="247"/>
      <c r="AA55" s="17"/>
      <c r="AB55" s="57"/>
      <c r="AC55" s="247"/>
      <c r="AD55" s="17"/>
      <c r="AE55" s="57"/>
      <c r="AF55" s="247"/>
      <c r="AG55" s="17"/>
      <c r="AH55" s="57"/>
      <c r="AI55" s="247"/>
      <c r="AJ55" s="17"/>
      <c r="AK55" s="57"/>
      <c r="AL55" s="247"/>
      <c r="AM55" s="17"/>
      <c r="AN55" s="57"/>
      <c r="AO55" s="247"/>
      <c r="AP55" s="17"/>
      <c r="AQ55" s="57"/>
      <c r="AR55" s="247"/>
      <c r="AS55" s="17"/>
      <c r="AT55" s="57"/>
      <c r="AU55" s="247"/>
      <c r="AV55" s="17"/>
      <c r="AW55" s="57"/>
      <c r="AX55" s="247"/>
      <c r="AY55" s="17"/>
      <c r="AZ55" s="57"/>
      <c r="BA55" s="247"/>
      <c r="BB55" s="17"/>
      <c r="BC55" s="57"/>
      <c r="BD55" s="247"/>
      <c r="BE55" s="17"/>
      <c r="BF55" s="57"/>
      <c r="BG55" s="247"/>
      <c r="BH55" s="17"/>
      <c r="BI55" s="57"/>
      <c r="BK55" s="448">
        <f t="shared" si="1"/>
        <v>0</v>
      </c>
      <c r="BL55" s="448">
        <f t="shared" si="2"/>
        <v>0</v>
      </c>
      <c r="BM55" s="448">
        <f t="shared" si="3"/>
        <v>0</v>
      </c>
      <c r="BN55" s="448">
        <f t="shared" si="4"/>
        <v>0</v>
      </c>
    </row>
    <row r="56" spans="1:66" x14ac:dyDescent="0.3">
      <c r="A56" s="39" t="s">
        <v>73</v>
      </c>
      <c r="C56" s="40" t="s">
        <v>37</v>
      </c>
      <c r="D56" s="40" t="s">
        <v>38</v>
      </c>
      <c r="E56" s="40" t="s">
        <v>39</v>
      </c>
      <c r="F56" s="41"/>
      <c r="H56" s="251">
        <v>-490.5</v>
      </c>
      <c r="I56" s="67">
        <f>SUM(I57,I60,I65,I73,I77,I82)</f>
        <v>-2371.0219453767149</v>
      </c>
      <c r="J56" s="68">
        <f>SUM(J57,J60,J65,J73,J77,J82)+SUMIFS(Aut_Ajustes_Manuais!$G:$G,Aut_Ajustes_Manuais!$I:$I,DRE!H$4,Aut_Ajustes_Manuais!$F:$F,"(-) Custos Eventos")</f>
        <v>-600</v>
      </c>
      <c r="K56" s="251">
        <v>-400</v>
      </c>
      <c r="L56" s="67">
        <f>SUM(L57,L60,L65,L73,L77,L82)</f>
        <v>-2352.019002918616</v>
      </c>
      <c r="M56" s="68">
        <f>SUM(M57,M60,M65,M73,M77,M82)+SUMIFS(Aut_Ajustes_Manuais!$G:$G,Aut_Ajustes_Manuais!$I:$I,DRE!K$4,Aut_Ajustes_Manuais!$F:$F,"(-) Custos Eventos")</f>
        <v>-600</v>
      </c>
      <c r="N56" s="251">
        <v>-400</v>
      </c>
      <c r="O56" s="67">
        <f>SUM(O57,O60,O65,O73,O77,O82)</f>
        <v>-2282.4072341482379</v>
      </c>
      <c r="P56" s="68">
        <f>SUM(P57,P60,P65,P73,P77,P82)+SUMIFS(Aut_Ajustes_Manuais!$G:$G,Aut_Ajustes_Manuais!$I:$I,DRE!N$4,Aut_Ajustes_Manuais!$F:$F,"(-) Custos Eventos")</f>
        <v>-600</v>
      </c>
      <c r="Q56" s="251">
        <v>-400</v>
      </c>
      <c r="R56" s="67">
        <f>SUM(R57,R60,R65,R73,R77,R82)</f>
        <v>-2293.8972525766512</v>
      </c>
      <c r="S56" s="68">
        <f>SUM(S57,S60,S65,S73,S77,S82)+SUMIFS(Aut_Ajustes_Manuais!$G:$G,Aut_Ajustes_Manuais!$I:$I,DRE!Q$4,Aut_Ajustes_Manuais!$F:$F,"(-) Custos Eventos")</f>
        <v>-600</v>
      </c>
      <c r="T56" s="251">
        <v>-400</v>
      </c>
      <c r="U56" s="67">
        <f>SUM(U57,U60,U65,U73,U77,U82)</f>
        <v>-2479.4657847868975</v>
      </c>
      <c r="V56" s="68">
        <f>SUM(V57,V60,V65,V73,V77,V82)+SUMIFS(Aut_Ajustes_Manuais!$G:$G,Aut_Ajustes_Manuais!$I:$I,DRE!T$4,Aut_Ajustes_Manuais!$F:$F,"(-) Custos Eventos")</f>
        <v>-600</v>
      </c>
      <c r="W56" s="251">
        <v>0</v>
      </c>
      <c r="X56" s="67">
        <f>SUM(X57,X60,X65,X73,X77,X82)</f>
        <v>-2427.4588372440867</v>
      </c>
      <c r="Y56" s="68">
        <f>SUM(Y57,Y60,Y65,Y73,Y77,Y82)+SUMIFS(Aut_Ajustes_Manuais!$G:$G,Aut_Ajustes_Manuais!$I:$I,DRE!W$4,Aut_Ajustes_Manuais!$F:$F,"(-) Custos Eventos")</f>
        <v>-4337.45</v>
      </c>
      <c r="Z56" s="251">
        <v>-600</v>
      </c>
      <c r="AA56" s="67">
        <f>SUM(AA57,AA60,AA65,AA73,AA77,AA82)</f>
        <v>-2423.4054486495893</v>
      </c>
      <c r="AB56" s="68">
        <f>SUM(AB57,AB60,AB65,AB73,AB77,AB82)+SUMIFS(Aut_Ajustes_Manuais!$G:$G,Aut_Ajustes_Manuais!$I:$I,DRE!Z$4,Aut_Ajustes_Manuais!$F:$F,"(-) Custos Eventos")</f>
        <v>-600</v>
      </c>
      <c r="AC56" s="251">
        <v>-600</v>
      </c>
      <c r="AD56" s="67">
        <f>SUM(AD57,AD60,AD65,AD73,AD77,AD82)</f>
        <v>-2456.9432558152448</v>
      </c>
      <c r="AE56" s="68">
        <f>SUM(AE57,AE60,AE65,AE73,AE77,AE82)+SUMIFS(Aut_Ajustes_Manuais!$G:$G,Aut_Ajustes_Manuais!$I:$I,DRE!AC$4,Aut_Ajustes_Manuais!$F:$F,"(-) Custos Eventos")</f>
        <v>-600</v>
      </c>
      <c r="AF56" s="251">
        <v>-600</v>
      </c>
      <c r="AG56" s="67">
        <f>SUM(AG57,AG60,AG65,AG73,AG77,AG82)</f>
        <v>-2398.1604717322803</v>
      </c>
      <c r="AH56" s="68">
        <f>SUM(AH57,AH60,AH65,AH73,AH77,AH82)+SUMIFS(Aut_Ajustes_Manuais!$G:$G,Aut_Ajustes_Manuais!$I:$I,DRE!AF$4,Aut_Ajustes_Manuais!$F:$F,"(-) Custos Eventos")</f>
        <v>-600</v>
      </c>
      <c r="AI56" s="251">
        <v>-600</v>
      </c>
      <c r="AJ56" s="67">
        <f>SUM(AJ57,AJ60,AJ65,AJ73,AJ77,AJ82)</f>
        <v>-2400.6720510172258</v>
      </c>
      <c r="AK56" s="68">
        <f>SUM(AK57,AK60,AK65,AK73,AK77,AK82)+SUMIFS(Aut_Ajustes_Manuais!$G:$G,Aut_Ajustes_Manuais!$I:$I,DRE!AI$4,Aut_Ajustes_Manuais!$F:$F,"(-) Custos Eventos")</f>
        <v>-600</v>
      </c>
      <c r="AL56" s="251">
        <v>-7893.5</v>
      </c>
      <c r="AM56" s="67">
        <f>SUM(AM57,AM60,AM65,AM73,AM77,AM82)</f>
        <v>-2464.9770474100142</v>
      </c>
      <c r="AN56" s="68">
        <f>SUM(AN57,AN60,AN65,AN73,AN77,AN82)+SUMIFS(Aut_Ajustes_Manuais!$G:$G,Aut_Ajustes_Manuais!$I:$I,DRE!AL$4,Aut_Ajustes_Manuais!$F:$F,"(-) Custos Eventos")</f>
        <v>-600</v>
      </c>
      <c r="AO56" s="251">
        <v>-1192</v>
      </c>
      <c r="AP56" s="67">
        <f>SUM(AP57,AP60,AP65,AP73,AP77,AP82)</f>
        <v>-2420.8569694815392</v>
      </c>
      <c r="AQ56" s="68">
        <f>SUM(AQ57,AQ60,AQ65,AQ73,AQ77,AQ82)+SUMIFS(Aut_Ajustes_Manuais!$G:$G,Aut_Ajustes_Manuais!$I:$I,DRE!AO$4,Aut_Ajustes_Manuais!$F:$F,"(-) Custos Eventos")</f>
        <v>-600</v>
      </c>
      <c r="AR56" s="251">
        <f t="shared" ref="AR56:BI56" ca="1" si="64">SUM(AR57,AR60,AR65,AR73,AR77,AR82)</f>
        <v>-2090.5</v>
      </c>
      <c r="AS56" s="67">
        <f t="shared" ca="1" si="64"/>
        <v>-14206.270057051204</v>
      </c>
      <c r="AT56" s="68">
        <f t="shared" ca="1" si="64"/>
        <v>-7337.45</v>
      </c>
      <c r="AU56" s="251">
        <f t="shared" si="64"/>
        <v>-13576</v>
      </c>
      <c r="AV56" s="67">
        <f t="shared" si="64"/>
        <v>-28771.285301157099</v>
      </c>
      <c r="AW56" s="68">
        <f t="shared" si="64"/>
        <v>-10937.45</v>
      </c>
      <c r="AX56" s="251">
        <f t="shared" si="64"/>
        <v>-1290.5</v>
      </c>
      <c r="AY56" s="67">
        <f t="shared" si="64"/>
        <v>-7005.4481824435679</v>
      </c>
      <c r="AZ56" s="68">
        <f t="shared" si="64"/>
        <v>-1800</v>
      </c>
      <c r="BA56" s="251">
        <f t="shared" si="64"/>
        <v>-800</v>
      </c>
      <c r="BB56" s="67">
        <f t="shared" si="64"/>
        <v>-7200.8218746076354</v>
      </c>
      <c r="BC56" s="68">
        <f t="shared" si="64"/>
        <v>-5537.45</v>
      </c>
      <c r="BD56" s="251">
        <f t="shared" si="64"/>
        <v>-1800</v>
      </c>
      <c r="BE56" s="67">
        <f t="shared" si="64"/>
        <v>-7278.5091761971144</v>
      </c>
      <c r="BF56" s="68">
        <f t="shared" si="64"/>
        <v>-1800</v>
      </c>
      <c r="BG56" s="251">
        <f t="shared" si="64"/>
        <v>-9685.5</v>
      </c>
      <c r="BH56" s="67">
        <f t="shared" si="64"/>
        <v>-7286.5060679087801</v>
      </c>
      <c r="BI56" s="68">
        <f t="shared" si="64"/>
        <v>-1800</v>
      </c>
      <c r="BK56" s="448">
        <f t="shared" si="1"/>
        <v>-28771.285301157099</v>
      </c>
      <c r="BL56" s="448">
        <f t="shared" si="2"/>
        <v>0</v>
      </c>
      <c r="BM56" s="448">
        <f t="shared" si="3"/>
        <v>-3000</v>
      </c>
      <c r="BN56" s="448">
        <f t="shared" ca="1" si="4"/>
        <v>4337.45</v>
      </c>
    </row>
    <row r="57" spans="1:66" hidden="1" outlineLevel="1" x14ac:dyDescent="0.3">
      <c r="A57" s="73" t="s">
        <v>74</v>
      </c>
      <c r="C57" s="24"/>
      <c r="D57" s="69"/>
      <c r="E57" s="80"/>
      <c r="F57" s="41"/>
      <c r="H57" s="252">
        <v>-490.5</v>
      </c>
      <c r="I57" s="74">
        <v>-2154.5924772402982</v>
      </c>
      <c r="J57" s="76">
        <f>SUM(J58:J59)+SUMIFS(Aut_Ajustes_Manuais!$G:$G,Aut_Ajustes_Manuais!$I:$I,DRE!H$4,Aut_Ajustes_Manuais!$F:$F,"MDO")</f>
        <v>-600</v>
      </c>
      <c r="K57" s="252">
        <v>-400</v>
      </c>
      <c r="L57" s="74">
        <v>-2146.6745845494229</v>
      </c>
      <c r="M57" s="76">
        <f>SUM(M58:M59)+SUMIFS(Aut_Ajustes_Manuais!$G:$G,Aut_Ajustes_Manuais!$I:$I,DRE!K$4,Aut_Ajustes_Manuais!$F:$F,"MDO")</f>
        <v>-600</v>
      </c>
      <c r="N57" s="252">
        <v>-400</v>
      </c>
      <c r="O57" s="74">
        <v>-2117.6696808950992</v>
      </c>
      <c r="P57" s="76">
        <f>SUM(P58:P59)+SUMIFS(Aut_Ajustes_Manuais!$G:$G,Aut_Ajustes_Manuais!$I:$I,DRE!N$4,Aut_Ajustes_Manuais!$F:$F,"MDO")</f>
        <v>-600</v>
      </c>
      <c r="Q57" s="252">
        <v>-400</v>
      </c>
      <c r="R57" s="74">
        <v>-2122.457188573605</v>
      </c>
      <c r="S57" s="76">
        <f>SUM(S58:S59)+SUMIFS(Aut_Ajustes_Manuais!$G:$G,Aut_Ajustes_Manuais!$I:$I,DRE!Q$4,Aut_Ajustes_Manuais!$F:$F,"MDO")</f>
        <v>-600</v>
      </c>
      <c r="T57" s="252">
        <v>-400</v>
      </c>
      <c r="U57" s="74">
        <v>-2199.7774103278739</v>
      </c>
      <c r="V57" s="76">
        <f>SUM(V58:V59)+SUMIFS(Aut_Ajustes_Manuais!$G:$G,Aut_Ajustes_Manuais!$I:$I,DRE!T$4,Aut_Ajustes_Manuais!$F:$F,"MDO")</f>
        <v>-600</v>
      </c>
      <c r="W57" s="252">
        <v>0</v>
      </c>
      <c r="X57" s="74">
        <v>-2178.1078488517028</v>
      </c>
      <c r="Y57" s="76">
        <f>SUM(Y58:Y59)+SUMIFS(Aut_Ajustes_Manuais!$G:$G,Aut_Ajustes_Manuais!$I:$I,DRE!W$4,Aut_Ajustes_Manuais!$F:$F,"MDO")</f>
        <v>-600</v>
      </c>
      <c r="Z57" s="252">
        <v>-600</v>
      </c>
      <c r="AA57" s="74">
        <v>-2176.4189369373289</v>
      </c>
      <c r="AB57" s="76">
        <f>SUM(AB58:AB59)+SUMIFS(Aut_Ajustes_Manuais!$G:$G,Aut_Ajustes_Manuais!$I:$I,DRE!Z$4,Aut_Ajustes_Manuais!$F:$F,"MDO")</f>
        <v>-600</v>
      </c>
      <c r="AC57" s="252">
        <v>-600</v>
      </c>
      <c r="AD57" s="74">
        <v>-2190.3930232563521</v>
      </c>
      <c r="AE57" s="76">
        <f>SUM(AE58:AE59)+SUMIFS(Aut_Ajustes_Manuais!$G:$G,Aut_Ajustes_Manuais!$I:$I,DRE!AC$4,Aut_Ajustes_Manuais!$F:$F,"MDO")</f>
        <v>-600</v>
      </c>
      <c r="AF57" s="252">
        <v>-600</v>
      </c>
      <c r="AG57" s="74">
        <v>-2165.900196555117</v>
      </c>
      <c r="AH57" s="76">
        <f>SUM(AH58:AH59)+SUMIFS(Aut_Ajustes_Manuais!$G:$G,Aut_Ajustes_Manuais!$I:$I,DRE!AF$4,Aut_Ajustes_Manuais!$F:$F,"MDO")</f>
        <v>-600</v>
      </c>
      <c r="AI57" s="252">
        <v>-600</v>
      </c>
      <c r="AJ57" s="74">
        <v>-2166.9466879238439</v>
      </c>
      <c r="AK57" s="76">
        <f>SUM(AK58:AK59)+SUMIFS(Aut_Ajustes_Manuais!$G:$G,Aut_Ajustes_Manuais!$I:$I,DRE!AI$4,Aut_Ajustes_Manuais!$F:$F,"MDO")</f>
        <v>-600</v>
      </c>
      <c r="AL57" s="252">
        <v>-600</v>
      </c>
      <c r="AM57" s="74">
        <v>-2193.7404364208392</v>
      </c>
      <c r="AN57" s="76">
        <f>SUM(AN58:AN59)+SUMIFS(Aut_Ajustes_Manuais!$G:$G,Aut_Ajustes_Manuais!$I:$I,DRE!AL$4,Aut_Ajustes_Manuais!$F:$F,"MDO")</f>
        <v>-600</v>
      </c>
      <c r="AO57" s="252">
        <v>-664</v>
      </c>
      <c r="AP57" s="74">
        <v>-2175.3570706173082</v>
      </c>
      <c r="AQ57" s="76">
        <f>SUM(AQ58:AQ59)+SUMIFS(Aut_Ajustes_Manuais!$G:$G,Aut_Ajustes_Manuais!$I:$I,DRE!AO$4,Aut_Ajustes_Manuais!$F:$F,"MDO")</f>
        <v>-600</v>
      </c>
      <c r="AR57" s="252">
        <f t="shared" ref="AR57:AR84" ca="1" si="65">SUMIFS($H57:$AO57,$H$5:$AO$5,"&lt;"&amp;MONTH(TODAY()),$H$6:$AO$6,"REAL 25")</f>
        <v>-2090.5</v>
      </c>
      <c r="AS57" s="74">
        <f t="shared" ref="AS57:AS84" ca="1" si="66">SUMIFS($I57:$AP57,$I$5:$AP$5,"&lt;"&amp;MONTH(TODAY()),$I$6:$AP$6,"ORÇADO ")</f>
        <v>-12919.279190438003</v>
      </c>
      <c r="AT57" s="76">
        <f t="shared" ref="AT57:AT84" ca="1" si="67">SUMIFS($J57:$AQ57,$J$5:$AQ$5,"&lt;"&amp;MONTH(TODAY()),$J$6:$AQ$6,"REAL 26")</f>
        <v>-3600</v>
      </c>
      <c r="AU57" s="252">
        <f t="shared" ref="AU57:BI57" si="68">SUM(AU58:AU59)</f>
        <v>-5754.5</v>
      </c>
      <c r="AV57" s="74">
        <f t="shared" si="68"/>
        <v>-25988.035542148791</v>
      </c>
      <c r="AW57" s="76">
        <f t="shared" si="68"/>
        <v>-7200</v>
      </c>
      <c r="AX57" s="252">
        <f t="shared" si="68"/>
        <v>-1290.5</v>
      </c>
      <c r="AY57" s="74">
        <f t="shared" si="68"/>
        <v>-6418.9367426848203</v>
      </c>
      <c r="AZ57" s="76">
        <f t="shared" si="68"/>
        <v>-1800</v>
      </c>
      <c r="BA57" s="252">
        <f t="shared" si="68"/>
        <v>-800</v>
      </c>
      <c r="BB57" s="74">
        <f t="shared" si="68"/>
        <v>-6500.3424477531817</v>
      </c>
      <c r="BC57" s="76">
        <f t="shared" si="68"/>
        <v>-1800</v>
      </c>
      <c r="BD57" s="252">
        <f t="shared" si="68"/>
        <v>-1800</v>
      </c>
      <c r="BE57" s="74">
        <f t="shared" si="68"/>
        <v>-6532.7121567487975</v>
      </c>
      <c r="BF57" s="76">
        <f t="shared" si="68"/>
        <v>-1800</v>
      </c>
      <c r="BG57" s="252">
        <f t="shared" si="68"/>
        <v>-1864</v>
      </c>
      <c r="BH57" s="74">
        <f t="shared" si="68"/>
        <v>-6536.0441949619917</v>
      </c>
      <c r="BI57" s="76">
        <f t="shared" si="68"/>
        <v>-1800</v>
      </c>
      <c r="BK57" s="448">
        <f t="shared" si="1"/>
        <v>-25988.035542148791</v>
      </c>
      <c r="BL57" s="448">
        <f t="shared" si="2"/>
        <v>0</v>
      </c>
      <c r="BM57" s="448">
        <f t="shared" si="3"/>
        <v>-3000</v>
      </c>
      <c r="BN57" s="448">
        <f t="shared" ca="1" si="4"/>
        <v>600</v>
      </c>
    </row>
    <row r="58" spans="1:66" s="29" customFormat="1" hidden="1" outlineLevel="1" x14ac:dyDescent="0.3">
      <c r="A58" s="22" t="s">
        <v>75</v>
      </c>
      <c r="B58" s="2"/>
      <c r="C58" s="24" t="s">
        <v>76</v>
      </c>
      <c r="D58" s="69"/>
      <c r="E58" s="80"/>
      <c r="F58" s="41"/>
      <c r="G58" s="23"/>
      <c r="H58" s="241">
        <v>-400</v>
      </c>
      <c r="I58" s="27">
        <v>-2000</v>
      </c>
      <c r="J58" s="28">
        <f>SUMIFS(Aut_BlueMe_Sem_Pedido!$J:$J,Aut_BlueMe_Sem_Pedido!$H:$H,$A58,Aut_BlueMe_Sem_Pedido!$Q:$Q,DRE!H$4)+SUMIFS(Aut_BlueMe_Sem_Pedido!$J:$J,Aut_BlueMe_Sem_Pedido!$H:$H,"MDO PJ Fixo",Aut_BlueMe_Sem_Pedido!$Q:$Q,DRE!H$4,Aut_BlueMe_Sem_Pedido!$N:$N,$A58)+SUMIFS(Aut_Ajustes_Manuais!$G:$G,Aut_Ajustes_Manuais!$I:$I,DRE!H$4,Aut_Ajustes_Manuais!$F:$F,"MDO Terceirizada - Eventos")</f>
        <v>-600</v>
      </c>
      <c r="K58" s="241">
        <v>-400</v>
      </c>
      <c r="L58" s="27">
        <v>-2000</v>
      </c>
      <c r="M58" s="28">
        <f>SUMIFS(Aut_BlueMe_Sem_Pedido!$J:$J,Aut_BlueMe_Sem_Pedido!$H:$H,$A58,Aut_BlueMe_Sem_Pedido!$Q:$Q,DRE!K$4)+SUMIFS(Aut_BlueMe_Sem_Pedido!$J:$J,Aut_BlueMe_Sem_Pedido!$H:$H,"MDO PJ Fixo",Aut_BlueMe_Sem_Pedido!$Q:$Q,DRE!K$4,Aut_BlueMe_Sem_Pedido!$N:$N,$A58)+SUMIFS(Aut_Ajustes_Manuais!$G:$G,Aut_Ajustes_Manuais!$I:$I,DRE!K$4,Aut_Ajustes_Manuais!$F:$F,"MDO Terceirizada - Eventos")</f>
        <v>-600</v>
      </c>
      <c r="N58" s="241">
        <v>-400</v>
      </c>
      <c r="O58" s="27">
        <v>-2000</v>
      </c>
      <c r="P58" s="28">
        <f>SUMIFS(Aut_BlueMe_Sem_Pedido!$J:$J,Aut_BlueMe_Sem_Pedido!$H:$H,$A58,Aut_BlueMe_Sem_Pedido!$Q:$Q,DRE!N$4)+SUMIFS(Aut_BlueMe_Sem_Pedido!$J:$J,Aut_BlueMe_Sem_Pedido!$H:$H,"MDO PJ Fixo",Aut_BlueMe_Sem_Pedido!$Q:$Q,DRE!N$4,Aut_BlueMe_Sem_Pedido!$N:$N,$A58)+SUMIFS(Aut_Ajustes_Manuais!$G:$G,Aut_Ajustes_Manuais!$I:$I,DRE!N$4,Aut_Ajustes_Manuais!$F:$F,"MDO Terceirizada - Eventos")</f>
        <v>-600</v>
      </c>
      <c r="Q58" s="241">
        <v>-400</v>
      </c>
      <c r="R58" s="27">
        <v>-2000</v>
      </c>
      <c r="S58" s="28">
        <f>SUMIFS(Aut_BlueMe_Sem_Pedido!$J:$J,Aut_BlueMe_Sem_Pedido!$H:$H,$A58,Aut_BlueMe_Sem_Pedido!$Q:$Q,DRE!Q$4)+SUMIFS(Aut_BlueMe_Sem_Pedido!$J:$J,Aut_BlueMe_Sem_Pedido!$H:$H,"MDO PJ Fixo",Aut_BlueMe_Sem_Pedido!$Q:$Q,DRE!Q$4,Aut_BlueMe_Sem_Pedido!$N:$N,$A58)+SUMIFS(Aut_Ajustes_Manuais!$G:$G,Aut_Ajustes_Manuais!$I:$I,DRE!Q$4,Aut_Ajustes_Manuais!$F:$F,"MDO Terceirizada - Eventos")</f>
        <v>-600</v>
      </c>
      <c r="T58" s="241">
        <v>-400</v>
      </c>
      <c r="U58" s="27">
        <v>-2000</v>
      </c>
      <c r="V58" s="28">
        <f>SUMIFS(Aut_BlueMe_Sem_Pedido!$J:$J,Aut_BlueMe_Sem_Pedido!$H:$H,$A58,Aut_BlueMe_Sem_Pedido!$Q:$Q,DRE!T$4)+SUMIFS(Aut_BlueMe_Sem_Pedido!$J:$J,Aut_BlueMe_Sem_Pedido!$H:$H,"MDO PJ Fixo",Aut_BlueMe_Sem_Pedido!$Q:$Q,DRE!T$4,Aut_BlueMe_Sem_Pedido!$N:$N,$A58)+SUMIFS(Aut_Ajustes_Manuais!$G:$G,Aut_Ajustes_Manuais!$I:$I,DRE!T$4,Aut_Ajustes_Manuais!$F:$F,"MDO Terceirizada - Eventos")</f>
        <v>-600</v>
      </c>
      <c r="W58" s="241">
        <v>0</v>
      </c>
      <c r="X58" s="27">
        <v>-2000</v>
      </c>
      <c r="Y58" s="28">
        <f>SUMIFS(Aut_BlueMe_Sem_Pedido!$J:$J,Aut_BlueMe_Sem_Pedido!$H:$H,$A58,Aut_BlueMe_Sem_Pedido!$Q:$Q,DRE!W$4)+SUMIFS(Aut_BlueMe_Sem_Pedido!$J:$J,Aut_BlueMe_Sem_Pedido!$H:$H,"MDO PJ Fixo",Aut_BlueMe_Sem_Pedido!$Q:$Q,DRE!W$4,Aut_BlueMe_Sem_Pedido!$N:$N,$A58)+SUMIFS(Aut_Ajustes_Manuais!$G:$G,Aut_Ajustes_Manuais!$I:$I,DRE!W$4,Aut_Ajustes_Manuais!$F:$F,"MDO Terceirizada - Eventos")</f>
        <v>-600</v>
      </c>
      <c r="Z58" s="241">
        <v>-600</v>
      </c>
      <c r="AA58" s="27">
        <v>-2000</v>
      </c>
      <c r="AB58" s="28">
        <f>SUMIFS(Aut_BlueMe_Sem_Pedido!$J:$J,Aut_BlueMe_Sem_Pedido!$H:$H,$A58,Aut_BlueMe_Sem_Pedido!$Q:$Q,DRE!Z$4)+SUMIFS(Aut_BlueMe_Sem_Pedido!$J:$J,Aut_BlueMe_Sem_Pedido!$H:$H,"MDO PJ Fixo",Aut_BlueMe_Sem_Pedido!$Q:$Q,DRE!Z$4,Aut_BlueMe_Sem_Pedido!$N:$N,$A58)+SUMIFS(Aut_Ajustes_Manuais!$G:$G,Aut_Ajustes_Manuais!$I:$I,DRE!Z$4,Aut_Ajustes_Manuais!$F:$F,"MDO Terceirizada - Eventos")</f>
        <v>-600</v>
      </c>
      <c r="AC58" s="241">
        <v>-600</v>
      </c>
      <c r="AD58" s="27">
        <v>-2000</v>
      </c>
      <c r="AE58" s="28">
        <f>SUMIFS(Aut_BlueMe_Sem_Pedido!$J:$J,Aut_BlueMe_Sem_Pedido!$H:$H,$A58,Aut_BlueMe_Sem_Pedido!$Q:$Q,DRE!AC$4)+SUMIFS(Aut_BlueMe_Sem_Pedido!$J:$J,Aut_BlueMe_Sem_Pedido!$H:$H,"MDO PJ Fixo",Aut_BlueMe_Sem_Pedido!$Q:$Q,DRE!AC$4,Aut_BlueMe_Sem_Pedido!$N:$N,$A58)+SUMIFS(Aut_Ajustes_Manuais!$G:$G,Aut_Ajustes_Manuais!$I:$I,DRE!AC$4,Aut_Ajustes_Manuais!$F:$F,"MDO Terceirizada - Eventos")</f>
        <v>-600</v>
      </c>
      <c r="AF58" s="241">
        <v>-600</v>
      </c>
      <c r="AG58" s="27">
        <v>-2000</v>
      </c>
      <c r="AH58" s="28">
        <f>SUMIFS(Aut_BlueMe_Sem_Pedido!$J:$J,Aut_BlueMe_Sem_Pedido!$H:$H,$A58,Aut_BlueMe_Sem_Pedido!$Q:$Q,DRE!AF$4)+SUMIFS(Aut_BlueMe_Sem_Pedido!$J:$J,Aut_BlueMe_Sem_Pedido!$H:$H,"MDO PJ Fixo",Aut_BlueMe_Sem_Pedido!$Q:$Q,DRE!AF$4,Aut_BlueMe_Sem_Pedido!$N:$N,$A58)+SUMIFS(Aut_Ajustes_Manuais!$G:$G,Aut_Ajustes_Manuais!$I:$I,DRE!AF$4,Aut_Ajustes_Manuais!$F:$F,"MDO Terceirizada - Eventos")</f>
        <v>-600</v>
      </c>
      <c r="AI58" s="241">
        <v>-600</v>
      </c>
      <c r="AJ58" s="27">
        <v>-2000</v>
      </c>
      <c r="AK58" s="28">
        <f>SUMIFS(Aut_BlueMe_Sem_Pedido!$J:$J,Aut_BlueMe_Sem_Pedido!$H:$H,$A58,Aut_BlueMe_Sem_Pedido!$Q:$Q,DRE!AI$4)+SUMIFS(Aut_BlueMe_Sem_Pedido!$J:$J,Aut_BlueMe_Sem_Pedido!$H:$H,"MDO PJ Fixo",Aut_BlueMe_Sem_Pedido!$Q:$Q,DRE!AI$4,Aut_BlueMe_Sem_Pedido!$N:$N,$A58)+SUMIFS(Aut_Ajustes_Manuais!$G:$G,Aut_Ajustes_Manuais!$I:$I,DRE!AI$4,Aut_Ajustes_Manuais!$F:$F,"MDO Terceirizada - Eventos")</f>
        <v>-600</v>
      </c>
      <c r="AL58" s="241">
        <v>-600</v>
      </c>
      <c r="AM58" s="27">
        <v>-2000</v>
      </c>
      <c r="AN58" s="28">
        <f>SUMIFS(Aut_BlueMe_Sem_Pedido!$J:$J,Aut_BlueMe_Sem_Pedido!$H:$H,$A58,Aut_BlueMe_Sem_Pedido!$Q:$Q,DRE!AL$4)+SUMIFS(Aut_BlueMe_Sem_Pedido!$J:$J,Aut_BlueMe_Sem_Pedido!$H:$H,"MDO PJ Fixo",Aut_BlueMe_Sem_Pedido!$Q:$Q,DRE!AL$4,Aut_BlueMe_Sem_Pedido!$N:$N,$A58)+SUMIFS(Aut_Ajustes_Manuais!$G:$G,Aut_Ajustes_Manuais!$I:$I,DRE!AL$4,Aut_Ajustes_Manuais!$F:$F,"MDO Terceirizada - Eventos")</f>
        <v>-600</v>
      </c>
      <c r="AO58" s="241">
        <v>-600</v>
      </c>
      <c r="AP58" s="27">
        <v>-2000</v>
      </c>
      <c r="AQ58" s="28">
        <f>SUMIFS(Aut_BlueMe_Sem_Pedido!$J:$J,Aut_BlueMe_Sem_Pedido!$H:$H,$A58,Aut_BlueMe_Sem_Pedido!$Q:$Q,DRE!AO$4)+SUMIFS(Aut_BlueMe_Sem_Pedido!$J:$J,Aut_BlueMe_Sem_Pedido!$H:$H,"MDO PJ Fixo",Aut_BlueMe_Sem_Pedido!$Q:$Q,DRE!AO$4,Aut_BlueMe_Sem_Pedido!$N:$N,$A58)+SUMIFS(Aut_Ajustes_Manuais!$G:$G,Aut_Ajustes_Manuais!$I:$I,DRE!AO$4,Aut_Ajustes_Manuais!$F:$F,"MDO Terceirizada - Eventos")</f>
        <v>-600</v>
      </c>
      <c r="AR58" s="241">
        <f t="shared" ca="1" si="65"/>
        <v>-2000</v>
      </c>
      <c r="AS58" s="27">
        <f t="shared" ca="1" si="66"/>
        <v>-12000</v>
      </c>
      <c r="AT58" s="28">
        <f t="shared" ca="1" si="67"/>
        <v>-3600</v>
      </c>
      <c r="AU58" s="241">
        <f t="shared" ref="AU58:AW59" si="69">SUM(H58,K58,N58,Q58,T58,W58,Z58,AC58,AF58,AI58,AL58,AO58)</f>
        <v>-5600</v>
      </c>
      <c r="AV58" s="27">
        <f t="shared" si="69"/>
        <v>-24000</v>
      </c>
      <c r="AW58" s="28">
        <f t="shared" si="69"/>
        <v>-7200</v>
      </c>
      <c r="AX58" s="241">
        <f t="shared" ref="AX58:AZ59" si="70">SUM(H58,K58,N58)</f>
        <v>-1200</v>
      </c>
      <c r="AY58" s="27">
        <f t="shared" si="70"/>
        <v>-6000</v>
      </c>
      <c r="AZ58" s="28">
        <f t="shared" si="70"/>
        <v>-1800</v>
      </c>
      <c r="BA58" s="241">
        <f t="shared" ref="BA58:BC59" si="71">SUM(Q58,T58,W58)</f>
        <v>-800</v>
      </c>
      <c r="BB58" s="27">
        <f t="shared" si="71"/>
        <v>-6000</v>
      </c>
      <c r="BC58" s="28">
        <f t="shared" si="71"/>
        <v>-1800</v>
      </c>
      <c r="BD58" s="241">
        <f t="shared" ref="BD58:BF59" si="72">SUM(Z58,AC58,AF58)</f>
        <v>-1800</v>
      </c>
      <c r="BE58" s="27">
        <f t="shared" si="72"/>
        <v>-6000</v>
      </c>
      <c r="BF58" s="28">
        <f t="shared" si="72"/>
        <v>-1800</v>
      </c>
      <c r="BG58" s="241">
        <f t="shared" ref="BG58:BI59" si="73">SUM(AI58,AL58,AO58)</f>
        <v>-1800</v>
      </c>
      <c r="BH58" s="27">
        <f t="shared" si="73"/>
        <v>-6000</v>
      </c>
      <c r="BI58" s="28">
        <f t="shared" si="73"/>
        <v>-1800</v>
      </c>
      <c r="BK58" s="448">
        <f t="shared" si="1"/>
        <v>-24000</v>
      </c>
      <c r="BL58" s="448">
        <f t="shared" si="2"/>
        <v>0</v>
      </c>
      <c r="BM58" s="448">
        <f t="shared" si="3"/>
        <v>-3000</v>
      </c>
      <c r="BN58" s="448">
        <f t="shared" ca="1" si="4"/>
        <v>600</v>
      </c>
    </row>
    <row r="59" spans="1:66" s="29" customFormat="1" hidden="1" outlineLevel="1" x14ac:dyDescent="0.3">
      <c r="A59" s="22" t="s">
        <v>77</v>
      </c>
      <c r="B59" s="2"/>
      <c r="C59" s="24"/>
      <c r="D59" s="69" t="s">
        <v>78</v>
      </c>
      <c r="E59" s="80">
        <v>-0.02</v>
      </c>
      <c r="F59" s="41"/>
      <c r="G59" s="23"/>
      <c r="H59" s="241">
        <v>-90.5</v>
      </c>
      <c r="I59" s="81">
        <v>-154.5924772402976</v>
      </c>
      <c r="J59" s="82">
        <f>SUMIFS(Aut_BlueMe_Sem_Pedido!$J:$J,Aut_BlueMe_Sem_Pedido!$Q:$Q,DRE!H$4,Aut_BlueMe_Sem_Pedido!$H:$H,DRE!$A59)+SUMIFS(Aut_Ajustes_Manuais!$G:$G,Aut_Ajustes_Manuais!$I:$I,DRE!H$4,Aut_Ajustes_Manuais!$F:$F,"Comissões de Vendas - Eventos")</f>
        <v>0</v>
      </c>
      <c r="K59" s="254">
        <v>0</v>
      </c>
      <c r="L59" s="81">
        <v>-146.67458454942351</v>
      </c>
      <c r="M59" s="82">
        <f>SUMIFS(Aut_BlueMe_Sem_Pedido!$J:$J,Aut_BlueMe_Sem_Pedido!$Q:$Q,DRE!K$4,Aut_BlueMe_Sem_Pedido!$H:$H,DRE!$A59)+SUMIFS(Aut_Ajustes_Manuais!$G:$G,Aut_Ajustes_Manuais!$I:$I,DRE!K$4,Aut_Ajustes_Manuais!$F:$F,"Comissões de Vendas - Eventos")</f>
        <v>0</v>
      </c>
      <c r="N59" s="254">
        <v>0</v>
      </c>
      <c r="O59" s="81">
        <v>-117.66968089509901</v>
      </c>
      <c r="P59" s="82">
        <f>SUMIFS(Aut_BlueMe_Sem_Pedido!$J:$J,Aut_BlueMe_Sem_Pedido!$Q:$Q,DRE!N$4,Aut_BlueMe_Sem_Pedido!$H:$H,DRE!$A59)+SUMIFS(Aut_Ajustes_Manuais!$G:$G,Aut_Ajustes_Manuais!$I:$I,DRE!N$4,Aut_Ajustes_Manuais!$F:$F,"Comissões de Vendas - Eventos")</f>
        <v>0</v>
      </c>
      <c r="Q59" s="241">
        <v>0</v>
      </c>
      <c r="R59" s="81">
        <v>-122.4571885736046</v>
      </c>
      <c r="S59" s="82">
        <f>SUMIFS(Aut_BlueMe_Sem_Pedido!$J:$J,Aut_BlueMe_Sem_Pedido!$Q:$Q,DRE!Q$4,Aut_BlueMe_Sem_Pedido!$H:$H,DRE!$A59)+SUMIFS(Aut_Ajustes_Manuais!$G:$G,Aut_Ajustes_Manuais!$I:$I,DRE!Q$4,Aut_Ajustes_Manuais!$F:$F,"Comissões de Vendas - Eventos")</f>
        <v>0</v>
      </c>
      <c r="T59" s="241">
        <v>0</v>
      </c>
      <c r="U59" s="81">
        <v>-199.77741032787389</v>
      </c>
      <c r="V59" s="82">
        <f>SUMIFS(Aut_BlueMe_Sem_Pedido!$J:$J,Aut_BlueMe_Sem_Pedido!$Q:$Q,DRE!T$4,Aut_BlueMe_Sem_Pedido!$H:$H,DRE!$A59)+SUMIFS(Aut_Ajustes_Manuais!$G:$G,Aut_Ajustes_Manuais!$I:$I,DRE!T$4,Aut_Ajustes_Manuais!$F:$F,"Comissões de Vendas - Eventos")</f>
        <v>0</v>
      </c>
      <c r="W59" s="241">
        <v>0</v>
      </c>
      <c r="X59" s="81">
        <v>-178.10784885170301</v>
      </c>
      <c r="Y59" s="82">
        <f>SUMIFS(Aut_BlueMe_Sem_Pedido!$J:$J,Aut_BlueMe_Sem_Pedido!$Q:$Q,DRE!W$4,Aut_BlueMe_Sem_Pedido!$H:$H,DRE!$A59)+SUMIFS(Aut_Ajustes_Manuais!$G:$G,Aut_Ajustes_Manuais!$I:$I,DRE!W$4,Aut_Ajustes_Manuais!$F:$F,"Comissões de Vendas - Eventos")</f>
        <v>0</v>
      </c>
      <c r="Z59" s="241">
        <v>0</v>
      </c>
      <c r="AA59" s="81">
        <v>-176.41893693732871</v>
      </c>
      <c r="AB59" s="82">
        <f>SUMIFS(Aut_BlueMe_Sem_Pedido!$J:$J,Aut_BlueMe_Sem_Pedido!$Q:$Q,DRE!Z$4,Aut_BlueMe_Sem_Pedido!$H:$H,DRE!$A59)+SUMIFS(Aut_Ajustes_Manuais!$G:$G,Aut_Ajustes_Manuais!$I:$I,DRE!Z$4,Aut_Ajustes_Manuais!$F:$F,"Comissões de Vendas - Eventos")</f>
        <v>0</v>
      </c>
      <c r="AC59" s="241">
        <v>0</v>
      </c>
      <c r="AD59" s="81">
        <v>-190.3930232563518</v>
      </c>
      <c r="AE59" s="82">
        <f>SUMIFS(Aut_BlueMe_Sem_Pedido!$J:$J,Aut_BlueMe_Sem_Pedido!$Q:$Q,DRE!AC$4,Aut_BlueMe_Sem_Pedido!$H:$H,DRE!$A59)+SUMIFS(Aut_Ajustes_Manuais!$G:$G,Aut_Ajustes_Manuais!$I:$I,DRE!AC$4,Aut_Ajustes_Manuais!$F:$F,"Comissões de Vendas - Eventos")</f>
        <v>0</v>
      </c>
      <c r="AF59" s="241">
        <v>0</v>
      </c>
      <c r="AG59" s="81">
        <v>-165.90019655511679</v>
      </c>
      <c r="AH59" s="82">
        <f>SUMIFS(Aut_BlueMe_Sem_Pedido!$J:$J,Aut_BlueMe_Sem_Pedido!$Q:$Q,DRE!AF$4,Aut_BlueMe_Sem_Pedido!$H:$H,DRE!$A59)+SUMIFS(Aut_Ajustes_Manuais!$G:$G,Aut_Ajustes_Manuais!$I:$I,DRE!AF$4,Aut_Ajustes_Manuais!$F:$F,"Comissões de Vendas - Eventos")</f>
        <v>0</v>
      </c>
      <c r="AI59" s="241">
        <v>0</v>
      </c>
      <c r="AJ59" s="81">
        <v>-166.94668792384431</v>
      </c>
      <c r="AK59" s="82">
        <f>SUMIFS(Aut_BlueMe_Sem_Pedido!$J:$J,Aut_BlueMe_Sem_Pedido!$Q:$Q,DRE!AI$4,Aut_BlueMe_Sem_Pedido!$H:$H,DRE!$A59)+SUMIFS(Aut_Ajustes_Manuais!$G:$G,Aut_Ajustes_Manuais!$I:$I,DRE!AI$4,Aut_Ajustes_Manuais!$F:$F,"Comissões de Vendas - Eventos")</f>
        <v>0</v>
      </c>
      <c r="AL59" s="241">
        <v>0</v>
      </c>
      <c r="AM59" s="81">
        <v>-193.74043642083919</v>
      </c>
      <c r="AN59" s="82">
        <f>SUMIFS(Aut_BlueMe_Sem_Pedido!$J:$J,Aut_BlueMe_Sem_Pedido!$Q:$Q,DRE!AL$4,Aut_BlueMe_Sem_Pedido!$H:$H,DRE!$A59)+SUMIFS(Aut_Ajustes_Manuais!$G:$G,Aut_Ajustes_Manuais!$I:$I,DRE!AL$4,Aut_Ajustes_Manuais!$F:$F,"Comissões de Vendas - Eventos")</f>
        <v>0</v>
      </c>
      <c r="AO59" s="241">
        <v>-64</v>
      </c>
      <c r="AP59" s="81">
        <v>-175.35707061730781</v>
      </c>
      <c r="AQ59" s="82">
        <f>SUMIFS(Aut_BlueMe_Sem_Pedido!$J:$J,Aut_BlueMe_Sem_Pedido!$Q:$Q,DRE!AO$4,Aut_BlueMe_Sem_Pedido!$H:$H,DRE!$A59)+SUMIFS(Aut_Ajustes_Manuais!$G:$G,Aut_Ajustes_Manuais!$I:$I,DRE!AO$4,Aut_Ajustes_Manuais!$F:$F,"Comissões de Vendas - Eventos")</f>
        <v>0</v>
      </c>
      <c r="AR59" s="241">
        <f t="shared" ca="1" si="65"/>
        <v>-90.5</v>
      </c>
      <c r="AS59" s="27">
        <f t="shared" ca="1" si="66"/>
        <v>-919.27919043800159</v>
      </c>
      <c r="AT59" s="28">
        <f t="shared" ca="1" si="67"/>
        <v>0</v>
      </c>
      <c r="AU59" s="241">
        <f t="shared" si="69"/>
        <v>-154.5</v>
      </c>
      <c r="AV59" s="81">
        <f t="shared" si="69"/>
        <v>-1988.0355421487902</v>
      </c>
      <c r="AW59" s="82">
        <f t="shared" si="69"/>
        <v>0</v>
      </c>
      <c r="AX59" s="241">
        <f t="shared" si="70"/>
        <v>-90.5</v>
      </c>
      <c r="AY59" s="81">
        <f t="shared" si="70"/>
        <v>-418.9367426848201</v>
      </c>
      <c r="AZ59" s="82">
        <f t="shared" si="70"/>
        <v>0</v>
      </c>
      <c r="BA59" s="241">
        <f t="shared" si="71"/>
        <v>0</v>
      </c>
      <c r="BB59" s="81">
        <f t="shared" si="71"/>
        <v>-500.34244775318149</v>
      </c>
      <c r="BC59" s="82">
        <f t="shared" si="71"/>
        <v>0</v>
      </c>
      <c r="BD59" s="241">
        <f t="shared" si="72"/>
        <v>0</v>
      </c>
      <c r="BE59" s="81">
        <f t="shared" si="72"/>
        <v>-532.71215674879727</v>
      </c>
      <c r="BF59" s="82">
        <f t="shared" si="72"/>
        <v>0</v>
      </c>
      <c r="BG59" s="241">
        <f t="shared" si="73"/>
        <v>-64</v>
      </c>
      <c r="BH59" s="81">
        <f t="shared" si="73"/>
        <v>-536.04419496199137</v>
      </c>
      <c r="BI59" s="82">
        <f t="shared" si="73"/>
        <v>0</v>
      </c>
      <c r="BK59" s="448">
        <f t="shared" si="1"/>
        <v>-1988.0355421487902</v>
      </c>
      <c r="BL59" s="448">
        <f t="shared" si="2"/>
        <v>0</v>
      </c>
      <c r="BM59" s="448">
        <f t="shared" si="3"/>
        <v>0</v>
      </c>
      <c r="BN59" s="448">
        <f t="shared" ca="1" si="4"/>
        <v>0</v>
      </c>
    </row>
    <row r="60" spans="1:66" ht="18" hidden="1" customHeight="1" outlineLevel="1" x14ac:dyDescent="0.3">
      <c r="A60" s="73" t="s">
        <v>79</v>
      </c>
      <c r="C60" s="24"/>
      <c r="D60" s="69"/>
      <c r="E60" s="80"/>
      <c r="F60" s="41"/>
      <c r="H60" s="252">
        <v>0</v>
      </c>
      <c r="I60" s="74">
        <v>-216.4294681364166</v>
      </c>
      <c r="J60" s="76">
        <f>SUM(J61:J64)+SUMIFS(Aut_Ajustes_Manuais!$G:$G,Aut_Ajustes_Manuais!$I:$I,DRE!H$4,Aut_Ajustes_Manuais!$F:$F,"Serviços de Terceiros - Eventos")</f>
        <v>0</v>
      </c>
      <c r="K60" s="252">
        <v>0</v>
      </c>
      <c r="L60" s="74">
        <v>-205.34441836919291</v>
      </c>
      <c r="M60" s="76">
        <f>SUM(M61:M64)+SUMIFS(Aut_Ajustes_Manuais!$G:$G,Aut_Ajustes_Manuais!$I:$I,DRE!K$4,Aut_Ajustes_Manuais!$F:$F,"Serviços de Terceiros - Eventos")</f>
        <v>0</v>
      </c>
      <c r="N60" s="252">
        <v>0</v>
      </c>
      <c r="O60" s="74">
        <v>-164.7375532531386</v>
      </c>
      <c r="P60" s="76">
        <f>SUM(P61:P64)+SUMIFS(Aut_Ajustes_Manuais!$G:$G,Aut_Ajustes_Manuais!$I:$I,DRE!N$4,Aut_Ajustes_Manuais!$F:$F,"Serviços de Terceiros - Eventos")</f>
        <v>0</v>
      </c>
      <c r="Q60" s="252">
        <v>0</v>
      </c>
      <c r="R60" s="74">
        <v>-171.44006400304639</v>
      </c>
      <c r="S60" s="76">
        <f>SUM(S61:S64)+SUMIFS(Aut_Ajustes_Manuais!$G:$G,Aut_Ajustes_Manuais!$I:$I,DRE!Q$4,Aut_Ajustes_Manuais!$F:$F,"Serviços de Terceiros - Eventos")</f>
        <v>0</v>
      </c>
      <c r="T60" s="252">
        <v>0</v>
      </c>
      <c r="U60" s="74">
        <v>-279.68837445902352</v>
      </c>
      <c r="V60" s="76">
        <f>SUM(V61:V64)+SUMIFS(Aut_Ajustes_Manuais!$G:$G,Aut_Ajustes_Manuais!$I:$I,DRE!T$4,Aut_Ajustes_Manuais!$F:$F,"Serviços de Terceiros - Eventos")</f>
        <v>0</v>
      </c>
      <c r="W60" s="252">
        <v>0</v>
      </c>
      <c r="X60" s="74">
        <v>-249.3509883923841</v>
      </c>
      <c r="Y60" s="76">
        <f>SUM(Y61:Y64)+SUMIFS(Aut_Ajustes_Manuais!$G:$G,Aut_Ajustes_Manuais!$I:$I,DRE!W$4,Aut_Ajustes_Manuais!$F:$F,"Serviços de Terceiros - Eventos")</f>
        <v>-3737.45</v>
      </c>
      <c r="Z60" s="252">
        <v>0</v>
      </c>
      <c r="AA60" s="74">
        <v>-246.98651171226021</v>
      </c>
      <c r="AB60" s="76">
        <f>SUM(AB61:AB64)+SUMIFS(Aut_Ajustes_Manuais!$G:$G,Aut_Ajustes_Manuais!$I:$I,DRE!Z$4,Aut_Ajustes_Manuais!$F:$F,"Serviços de Terceiros - Eventos")</f>
        <v>0</v>
      </c>
      <c r="AC60" s="252">
        <v>0</v>
      </c>
      <c r="AD60" s="74">
        <v>-266.55023255889262</v>
      </c>
      <c r="AE60" s="76">
        <f>SUM(AE61:AE64)+SUMIFS(Aut_Ajustes_Manuais!$G:$G,Aut_Ajustes_Manuais!$I:$I,DRE!AC$4,Aut_Ajustes_Manuais!$F:$F,"Serviços de Terceiros - Eventos")</f>
        <v>0</v>
      </c>
      <c r="AF60" s="252">
        <v>0</v>
      </c>
      <c r="AG60" s="74">
        <v>-232.26027517716349</v>
      </c>
      <c r="AH60" s="76">
        <f>SUM(AH61:AH64)+SUMIFS(Aut_Ajustes_Manuais!$G:$G,Aut_Ajustes_Manuais!$I:$I,DRE!AF$4,Aut_Ajustes_Manuais!$F:$F,"Serviços de Terceiros - Eventos")</f>
        <v>0</v>
      </c>
      <c r="AI60" s="252">
        <v>0</v>
      </c>
      <c r="AJ60" s="74">
        <v>-233.7253630933821</v>
      </c>
      <c r="AK60" s="76">
        <f>SUM(AK61:AK64)+SUMIFS(Aut_Ajustes_Manuais!$G:$G,Aut_Ajustes_Manuais!$I:$I,DRE!AI$4,Aut_Ajustes_Manuais!$F:$F,"Serviços de Terceiros - Eventos")</f>
        <v>0</v>
      </c>
      <c r="AL60" s="252">
        <v>-508.5</v>
      </c>
      <c r="AM60" s="74">
        <v>-271.23661098917489</v>
      </c>
      <c r="AN60" s="76">
        <f>SUM(AN61:AN64)+SUMIFS(Aut_Ajustes_Manuais!$G:$G,Aut_Ajustes_Manuais!$I:$I,DRE!AL$4,Aut_Ajustes_Manuais!$F:$F,"Serviços de Terceiros - Eventos")</f>
        <v>0</v>
      </c>
      <c r="AO60" s="252">
        <v>0</v>
      </c>
      <c r="AP60" s="74">
        <v>-245.499898864231</v>
      </c>
      <c r="AQ60" s="76">
        <f>SUM(AQ61:AQ64)+SUMIFS(Aut_Ajustes_Manuais!$G:$G,Aut_Ajustes_Manuais!$I:$I,DRE!AO$4,Aut_Ajustes_Manuais!$F:$F,"Serviços de Terceiros - Eventos")</f>
        <v>0</v>
      </c>
      <c r="AR60" s="241">
        <f t="shared" ca="1" si="65"/>
        <v>0</v>
      </c>
      <c r="AS60" s="27">
        <f t="shared" ca="1" si="66"/>
        <v>-1286.9908666132021</v>
      </c>
      <c r="AT60" s="76">
        <f t="shared" ca="1" si="67"/>
        <v>-3737.45</v>
      </c>
      <c r="AU60" s="252">
        <f t="shared" ref="AU60:BI60" si="74">SUM(AU61:AU64)</f>
        <v>-508.5</v>
      </c>
      <c r="AV60" s="74">
        <f t="shared" si="74"/>
        <v>-2783.2497590083062</v>
      </c>
      <c r="AW60" s="76">
        <f t="shared" si="74"/>
        <v>-3737.45</v>
      </c>
      <c r="AX60" s="252">
        <f t="shared" si="74"/>
        <v>0</v>
      </c>
      <c r="AY60" s="74">
        <f t="shared" si="74"/>
        <v>-586.51143975874811</v>
      </c>
      <c r="AZ60" s="76">
        <f t="shared" si="74"/>
        <v>0</v>
      </c>
      <c r="BA60" s="252">
        <f t="shared" si="74"/>
        <v>0</v>
      </c>
      <c r="BB60" s="74">
        <f t="shared" si="74"/>
        <v>-700.47942685445412</v>
      </c>
      <c r="BC60" s="76">
        <f t="shared" si="74"/>
        <v>-3737.45</v>
      </c>
      <c r="BD60" s="252">
        <f t="shared" si="74"/>
        <v>0</v>
      </c>
      <c r="BE60" s="74">
        <f t="shared" si="74"/>
        <v>-745.79701944831641</v>
      </c>
      <c r="BF60" s="76">
        <f t="shared" si="74"/>
        <v>0</v>
      </c>
      <c r="BG60" s="252">
        <f t="shared" si="74"/>
        <v>-508.5</v>
      </c>
      <c r="BH60" s="74">
        <f t="shared" si="74"/>
        <v>-750.46187294678793</v>
      </c>
      <c r="BI60" s="76">
        <f t="shared" si="74"/>
        <v>0</v>
      </c>
      <c r="BK60" s="448">
        <f t="shared" si="1"/>
        <v>-2783.2497590083067</v>
      </c>
      <c r="BL60" s="448">
        <f t="shared" si="2"/>
        <v>0</v>
      </c>
      <c r="BM60" s="448">
        <f t="shared" si="3"/>
        <v>0</v>
      </c>
      <c r="BN60" s="448">
        <f t="shared" ca="1" si="4"/>
        <v>3737.45</v>
      </c>
    </row>
    <row r="61" spans="1:66" s="29" customFormat="1" hidden="1" outlineLevel="1" x14ac:dyDescent="0.3">
      <c r="A61" s="22" t="s">
        <v>80</v>
      </c>
      <c r="B61" s="2"/>
      <c r="C61" s="24" t="s">
        <v>81</v>
      </c>
      <c r="D61" s="69" t="s">
        <v>78</v>
      </c>
      <c r="E61" s="80">
        <v>-0.02</v>
      </c>
      <c r="F61" s="41"/>
      <c r="G61" s="23"/>
      <c r="H61" s="241">
        <v>0</v>
      </c>
      <c r="I61" s="81">
        <v>-164.8986423896508</v>
      </c>
      <c r="J61" s="82">
        <f>SUMIFS(Aut_BlueMe_Sem_Pedido!$J:$J,Aut_BlueMe_Sem_Pedido!$Q:$Q,DRE!H$4,Aut_BlueMe_Sem_Pedido!$H:$H,DRE!$A61)+SUMIFS(Aut_Ajustes_Manuais!$G:$G,Aut_Ajustes_Manuais!$I:$I,DRE!H$4,Aut_Ajustes_Manuais!$F:$F,"Serviços Terceirizados - Eventos")</f>
        <v>0</v>
      </c>
      <c r="K61" s="254">
        <v>0</v>
      </c>
      <c r="L61" s="81">
        <v>-156.45289018605169</v>
      </c>
      <c r="M61" s="82">
        <f>SUMIFS(Aut_BlueMe_Sem_Pedido!$J:$J,Aut_BlueMe_Sem_Pedido!$Q:$Q,DRE!K$4,Aut_BlueMe_Sem_Pedido!$H:$H,DRE!$A61)+SUMIFS(Aut_Ajustes_Manuais!$G:$G,Aut_Ajustes_Manuais!$I:$I,DRE!K$4,Aut_Ajustes_Manuais!$F:$F,"Serviços Terceirizados - Eventos")</f>
        <v>0</v>
      </c>
      <c r="N61" s="254">
        <v>0</v>
      </c>
      <c r="O61" s="81">
        <v>-125.51432628810559</v>
      </c>
      <c r="P61" s="82">
        <f>SUMIFS(Aut_BlueMe_Sem_Pedido!$J:$J,Aut_BlueMe_Sem_Pedido!$Q:$Q,DRE!N$4,Aut_BlueMe_Sem_Pedido!$H:$H,DRE!$A61)+SUMIFS(Aut_Ajustes_Manuais!$G:$G,Aut_Ajustes_Manuais!$I:$I,DRE!N$4,Aut_Ajustes_Manuais!$F:$F,"Serviços Terceirizados - Eventos")</f>
        <v>0</v>
      </c>
      <c r="Q61" s="241">
        <v>0</v>
      </c>
      <c r="R61" s="81">
        <v>-130.62100114517821</v>
      </c>
      <c r="S61" s="82">
        <f>SUMIFS(Aut_BlueMe_Sem_Pedido!$J:$J,Aut_BlueMe_Sem_Pedido!$Q:$Q,DRE!Q$4,Aut_BlueMe_Sem_Pedido!$H:$H,DRE!$A61)+SUMIFS(Aut_Ajustes_Manuais!$G:$G,Aut_Ajustes_Manuais!$I:$I,DRE!Q$4,Aut_Ajustes_Manuais!$F:$F,"Serviços Terceirizados - Eventos")</f>
        <v>0</v>
      </c>
      <c r="T61" s="241">
        <v>0</v>
      </c>
      <c r="U61" s="81">
        <v>-213.09590434973219</v>
      </c>
      <c r="V61" s="82">
        <f>SUMIFS(Aut_BlueMe_Sem_Pedido!$J:$J,Aut_BlueMe_Sem_Pedido!$Q:$Q,DRE!T$4,Aut_BlueMe_Sem_Pedido!$H:$H,DRE!$A61)+SUMIFS(Aut_Ajustes_Manuais!$G:$G,Aut_Ajustes_Manuais!$I:$I,DRE!T$4,Aut_Ajustes_Manuais!$F:$F,"Serviços Terceirizados - Eventos")</f>
        <v>0</v>
      </c>
      <c r="W61" s="241">
        <v>0</v>
      </c>
      <c r="X61" s="81">
        <v>-189.9817054418165</v>
      </c>
      <c r="Y61" s="82">
        <f>SUMIFS(Aut_BlueMe_Sem_Pedido!$J:$J,Aut_BlueMe_Sem_Pedido!$Q:$Q,DRE!W$4,Aut_BlueMe_Sem_Pedido!$H:$H,DRE!$A61)+SUMIFS(Aut_Ajustes_Manuais!$G:$G,Aut_Ajustes_Manuais!$I:$I,DRE!W$4,Aut_Ajustes_Manuais!$F:$F,"Serviços Terceirizados - Eventos")</f>
        <v>-3737.45</v>
      </c>
      <c r="Z61" s="241">
        <v>0</v>
      </c>
      <c r="AA61" s="81">
        <v>-188.1801993998173</v>
      </c>
      <c r="AB61" s="82">
        <f>SUMIFS(Aut_BlueMe_Sem_Pedido!$J:$J,Aut_BlueMe_Sem_Pedido!$Q:$Q,DRE!Z$4,Aut_BlueMe_Sem_Pedido!$H:$H,DRE!$A61)+SUMIFS(Aut_Ajustes_Manuais!$G:$G,Aut_Ajustes_Manuais!$I:$I,DRE!Z$4,Aut_Ajustes_Manuais!$F:$F,"Serviços Terceirizados - Eventos")</f>
        <v>0</v>
      </c>
      <c r="AC61" s="241">
        <v>0</v>
      </c>
      <c r="AD61" s="81">
        <v>-203.08589147344199</v>
      </c>
      <c r="AE61" s="82">
        <f>SUMIFS(Aut_BlueMe_Sem_Pedido!$J:$J,Aut_BlueMe_Sem_Pedido!$Q:$Q,DRE!AC$4,Aut_BlueMe_Sem_Pedido!$H:$H,DRE!$A61)+SUMIFS(Aut_Ajustes_Manuais!$G:$G,Aut_Ajustes_Manuais!$I:$I,DRE!AC$4,Aut_Ajustes_Manuais!$F:$F,"Serviços Terceirizados - Eventos")</f>
        <v>0</v>
      </c>
      <c r="AF61" s="241">
        <v>0</v>
      </c>
      <c r="AG61" s="81">
        <v>-176.96020965879131</v>
      </c>
      <c r="AH61" s="82">
        <f>SUMIFS(Aut_BlueMe_Sem_Pedido!$J:$J,Aut_BlueMe_Sem_Pedido!$Q:$Q,DRE!AF$4,Aut_BlueMe_Sem_Pedido!$H:$H,DRE!$A61)+SUMIFS(Aut_Ajustes_Manuais!$G:$G,Aut_Ajustes_Manuais!$I:$I,DRE!AF$4,Aut_Ajustes_Manuais!$F:$F,"Serviços Terceirizados - Eventos")</f>
        <v>0</v>
      </c>
      <c r="AI61" s="241">
        <v>0</v>
      </c>
      <c r="AJ61" s="81">
        <v>-178.07646711876731</v>
      </c>
      <c r="AK61" s="82">
        <f>SUMIFS(Aut_BlueMe_Sem_Pedido!$J:$J,Aut_BlueMe_Sem_Pedido!$Q:$Q,DRE!AI$4,Aut_BlueMe_Sem_Pedido!$H:$H,DRE!$A61)+SUMIFS(Aut_Ajustes_Manuais!$G:$G,Aut_Ajustes_Manuais!$I:$I,DRE!AI$4,Aut_Ajustes_Manuais!$F:$F,"Serviços Terceirizados - Eventos")</f>
        <v>0</v>
      </c>
      <c r="AL61" s="241">
        <v>0</v>
      </c>
      <c r="AM61" s="81">
        <v>-206.65646551556179</v>
      </c>
      <c r="AN61" s="82">
        <f>SUMIFS(Aut_BlueMe_Sem_Pedido!$J:$J,Aut_BlueMe_Sem_Pedido!$Q:$Q,DRE!AL$4,Aut_BlueMe_Sem_Pedido!$H:$H,DRE!$A61)+SUMIFS(Aut_Ajustes_Manuais!$G:$G,Aut_Ajustes_Manuais!$I:$I,DRE!AL$4,Aut_Ajustes_Manuais!$F:$F,"Serviços Terceirizados - Eventos")</f>
        <v>0</v>
      </c>
      <c r="AO61" s="241">
        <v>0</v>
      </c>
      <c r="AP61" s="81">
        <v>-187.04754199179499</v>
      </c>
      <c r="AQ61" s="82">
        <f>SUMIFS(Aut_BlueMe_Sem_Pedido!$J:$J,Aut_BlueMe_Sem_Pedido!$Q:$Q,DRE!AO$4,Aut_BlueMe_Sem_Pedido!$H:$H,DRE!$A61)+SUMIFS(Aut_Ajustes_Manuais!$G:$G,Aut_Ajustes_Manuais!$I:$I,DRE!AO$4,Aut_Ajustes_Manuais!$F:$F,"Serviços Terceirizados - Eventos")</f>
        <v>0</v>
      </c>
      <c r="AR61" s="241">
        <f t="shared" ca="1" si="65"/>
        <v>0</v>
      </c>
      <c r="AS61" s="27">
        <f t="shared" ca="1" si="66"/>
        <v>-980.56446980053499</v>
      </c>
      <c r="AT61" s="82">
        <f t="shared" ca="1" si="67"/>
        <v>-3737.45</v>
      </c>
      <c r="AU61" s="241">
        <f t="shared" ref="AU61:AW64" si="75">SUM(H61,K61,N61,Q61,T61,W61,Z61,AC61,AF61,AI61,AL61,AO61)</f>
        <v>0</v>
      </c>
      <c r="AV61" s="81">
        <f t="shared" si="75"/>
        <v>-2120.5712449587095</v>
      </c>
      <c r="AW61" s="82">
        <f t="shared" si="75"/>
        <v>-3737.45</v>
      </c>
      <c r="AX61" s="241">
        <f t="shared" ref="AX61:AZ64" si="76">SUM(H61,K61,N61)</f>
        <v>0</v>
      </c>
      <c r="AY61" s="81">
        <f t="shared" si="76"/>
        <v>-446.86585886380806</v>
      </c>
      <c r="AZ61" s="82">
        <f t="shared" si="76"/>
        <v>0</v>
      </c>
      <c r="BA61" s="241">
        <f t="shared" ref="BA61:BC64" si="77">SUM(Q61,T61,W61)</f>
        <v>0</v>
      </c>
      <c r="BB61" s="81">
        <f t="shared" si="77"/>
        <v>-533.69861093672694</v>
      </c>
      <c r="BC61" s="82">
        <f t="shared" si="77"/>
        <v>-3737.45</v>
      </c>
      <c r="BD61" s="241">
        <f t="shared" ref="BD61:BF64" si="78">SUM(Z61,AC61,AF61)</f>
        <v>0</v>
      </c>
      <c r="BE61" s="81">
        <f t="shared" si="78"/>
        <v>-568.22630053205057</v>
      </c>
      <c r="BF61" s="82">
        <f t="shared" si="78"/>
        <v>0</v>
      </c>
      <c r="BG61" s="241">
        <f t="shared" ref="BG61:BI64" si="79">SUM(AI61,AL61,AO61)</f>
        <v>0</v>
      </c>
      <c r="BH61" s="81">
        <f t="shared" si="79"/>
        <v>-571.78047462612415</v>
      </c>
      <c r="BI61" s="82">
        <f t="shared" si="79"/>
        <v>0</v>
      </c>
      <c r="BK61" s="448">
        <f t="shared" si="1"/>
        <v>-2120.5712449587095</v>
      </c>
      <c r="BL61" s="448">
        <f t="shared" si="2"/>
        <v>0</v>
      </c>
      <c r="BM61" s="448">
        <f t="shared" si="3"/>
        <v>0</v>
      </c>
      <c r="BN61" s="448">
        <f t="shared" ca="1" si="4"/>
        <v>3737.45</v>
      </c>
    </row>
    <row r="62" spans="1:66" s="29" customFormat="1" hidden="1" outlineLevel="1" x14ac:dyDescent="0.3">
      <c r="A62" s="22" t="s">
        <v>82</v>
      </c>
      <c r="B62" s="2"/>
      <c r="C62" s="24" t="s">
        <v>83</v>
      </c>
      <c r="D62" s="69" t="s">
        <v>78</v>
      </c>
      <c r="E62" s="80">
        <v>0</v>
      </c>
      <c r="F62" s="41"/>
      <c r="G62" s="23"/>
      <c r="H62" s="241">
        <v>0</v>
      </c>
      <c r="I62" s="81">
        <v>-51.530825746765871</v>
      </c>
      <c r="J62" s="82">
        <f>SUMIFS(Aut_BlueMe_Sem_Pedido!$J:$J,Aut_BlueMe_Sem_Pedido!$Q:$Q,DRE!H$4,Aut_BlueMe_Sem_Pedido!$H:$H,DRE!$A62)+SUMIFS(Aut_Ajustes_Manuais!$G:$G,Aut_Ajustes_Manuais!$I:$I,DRE!H$4,Aut_Ajustes_Manuais!$F:$F,"Serviço de Segurança - Eventos")</f>
        <v>0</v>
      </c>
      <c r="K62" s="254">
        <v>0</v>
      </c>
      <c r="L62" s="81">
        <v>-48.891528183141162</v>
      </c>
      <c r="M62" s="82">
        <f>SUMIFS(Aut_BlueMe_Sem_Pedido!$J:$J,Aut_BlueMe_Sem_Pedido!$Q:$Q,DRE!K$4,Aut_BlueMe_Sem_Pedido!$H:$H,DRE!$A62)+SUMIFS(Aut_Ajustes_Manuais!$G:$G,Aut_Ajustes_Manuais!$I:$I,DRE!K$4,Aut_Ajustes_Manuais!$F:$F,"Serviço de Segurança - Eventos")</f>
        <v>0</v>
      </c>
      <c r="N62" s="254">
        <v>0</v>
      </c>
      <c r="O62" s="81">
        <v>-39.223226965033007</v>
      </c>
      <c r="P62" s="82">
        <f>SUMIFS(Aut_BlueMe_Sem_Pedido!$J:$J,Aut_BlueMe_Sem_Pedido!$Q:$Q,DRE!N$4,Aut_BlueMe_Sem_Pedido!$H:$H,DRE!$A62)+SUMIFS(Aut_Ajustes_Manuais!$G:$G,Aut_Ajustes_Manuais!$I:$I,DRE!N$4,Aut_Ajustes_Manuais!$F:$F,"Serviço de Segurança - Eventos")</f>
        <v>0</v>
      </c>
      <c r="Q62" s="241">
        <v>0</v>
      </c>
      <c r="R62" s="81">
        <v>-40.819062857868197</v>
      </c>
      <c r="S62" s="82">
        <f>SUMIFS(Aut_BlueMe_Sem_Pedido!$J:$J,Aut_BlueMe_Sem_Pedido!$Q:$Q,DRE!Q$4,Aut_BlueMe_Sem_Pedido!$H:$H,DRE!$A62)+SUMIFS(Aut_Ajustes_Manuais!$G:$G,Aut_Ajustes_Manuais!$I:$I,DRE!Q$4,Aut_Ajustes_Manuais!$F:$F,"Serviço de Segurança - Eventos")</f>
        <v>0</v>
      </c>
      <c r="T62" s="241">
        <v>0</v>
      </c>
      <c r="U62" s="81">
        <v>-66.592470109291298</v>
      </c>
      <c r="V62" s="82">
        <f>SUMIFS(Aut_BlueMe_Sem_Pedido!$J:$J,Aut_BlueMe_Sem_Pedido!$Q:$Q,DRE!T$4,Aut_BlueMe_Sem_Pedido!$H:$H,DRE!$A62)+SUMIFS(Aut_Ajustes_Manuais!$G:$G,Aut_Ajustes_Manuais!$I:$I,DRE!T$4,Aut_Ajustes_Manuais!$F:$F,"Serviço de Segurança - Eventos")</f>
        <v>0</v>
      </c>
      <c r="W62" s="241">
        <v>0</v>
      </c>
      <c r="X62" s="81">
        <v>-59.369282950567651</v>
      </c>
      <c r="Y62" s="82">
        <f>SUMIFS(Aut_BlueMe_Sem_Pedido!$J:$J,Aut_BlueMe_Sem_Pedido!$Q:$Q,DRE!W$4,Aut_BlueMe_Sem_Pedido!$H:$H,DRE!$A62)+SUMIFS(Aut_Ajustes_Manuais!$G:$G,Aut_Ajustes_Manuais!$I:$I,DRE!W$4,Aut_Ajustes_Manuais!$F:$F,"Serviço de Segurança - Eventos")</f>
        <v>0</v>
      </c>
      <c r="Z62" s="241">
        <v>0</v>
      </c>
      <c r="AA62" s="81">
        <v>-58.806312312442898</v>
      </c>
      <c r="AB62" s="82">
        <f>SUMIFS(Aut_BlueMe_Sem_Pedido!$J:$J,Aut_BlueMe_Sem_Pedido!$Q:$Q,DRE!Z$4,Aut_BlueMe_Sem_Pedido!$H:$H,DRE!$A62)+SUMIFS(Aut_Ajustes_Manuais!$G:$G,Aut_Ajustes_Manuais!$I:$I,DRE!Z$4,Aut_Ajustes_Manuais!$F:$F,"Serviço de Segurança - Eventos")</f>
        <v>0</v>
      </c>
      <c r="AC62" s="241">
        <v>0</v>
      </c>
      <c r="AD62" s="81">
        <v>-63.464341085450613</v>
      </c>
      <c r="AE62" s="82">
        <f>SUMIFS(Aut_BlueMe_Sem_Pedido!$J:$J,Aut_BlueMe_Sem_Pedido!$Q:$Q,DRE!AC$4,Aut_BlueMe_Sem_Pedido!$H:$H,DRE!$A62)+SUMIFS(Aut_Ajustes_Manuais!$G:$G,Aut_Ajustes_Manuais!$I:$I,DRE!AC$4,Aut_Ajustes_Manuais!$F:$F,"Serviço de Segurança - Eventos")</f>
        <v>0</v>
      </c>
      <c r="AF62" s="241">
        <v>0</v>
      </c>
      <c r="AG62" s="81">
        <v>-55.300065518372257</v>
      </c>
      <c r="AH62" s="82">
        <f>SUMIFS(Aut_BlueMe_Sem_Pedido!$J:$J,Aut_BlueMe_Sem_Pedido!$Q:$Q,DRE!AF$4,Aut_BlueMe_Sem_Pedido!$H:$H,DRE!$A62)+SUMIFS(Aut_Ajustes_Manuais!$G:$G,Aut_Ajustes_Manuais!$I:$I,DRE!AF$4,Aut_Ajustes_Manuais!$F:$F,"Serviço de Segurança - Eventos")</f>
        <v>0</v>
      </c>
      <c r="AI62" s="241">
        <v>0</v>
      </c>
      <c r="AJ62" s="81">
        <v>-55.648895974614781</v>
      </c>
      <c r="AK62" s="82">
        <f>SUMIFS(Aut_BlueMe_Sem_Pedido!$J:$J,Aut_BlueMe_Sem_Pedido!$Q:$Q,DRE!AI$4,Aut_BlueMe_Sem_Pedido!$H:$H,DRE!$A62)+SUMIFS(Aut_Ajustes_Manuais!$G:$G,Aut_Ajustes_Manuais!$I:$I,DRE!AI$4,Aut_Ajustes_Manuais!$F:$F,"Serviço de Segurança - Eventos")</f>
        <v>0</v>
      </c>
      <c r="AL62" s="241">
        <v>0</v>
      </c>
      <c r="AM62" s="81">
        <v>-64.580145473613072</v>
      </c>
      <c r="AN62" s="82">
        <f>SUMIFS(Aut_BlueMe_Sem_Pedido!$J:$J,Aut_BlueMe_Sem_Pedido!$Q:$Q,DRE!AL$4,Aut_BlueMe_Sem_Pedido!$H:$H,DRE!$A62)+SUMIFS(Aut_Ajustes_Manuais!$G:$G,Aut_Ajustes_Manuais!$I:$I,DRE!AL$4,Aut_Ajustes_Manuais!$F:$F,"Serviço de Segurança - Eventos")</f>
        <v>0</v>
      </c>
      <c r="AO62" s="241">
        <v>0</v>
      </c>
      <c r="AP62" s="81">
        <v>-58.452356872435949</v>
      </c>
      <c r="AQ62" s="82">
        <f>SUMIFS(Aut_BlueMe_Sem_Pedido!$J:$J,Aut_BlueMe_Sem_Pedido!$Q:$Q,DRE!AO$4,Aut_BlueMe_Sem_Pedido!$H:$H,DRE!$A62)+SUMIFS(Aut_Ajustes_Manuais!$G:$G,Aut_Ajustes_Manuais!$I:$I,DRE!AO$4,Aut_Ajustes_Manuais!$F:$F,"Serviço de Segurança - Eventos")</f>
        <v>0</v>
      </c>
      <c r="AR62" s="241">
        <f t="shared" ca="1" si="65"/>
        <v>0</v>
      </c>
      <c r="AS62" s="27">
        <f t="shared" ca="1" si="66"/>
        <v>-306.42639681266724</v>
      </c>
      <c r="AT62" s="82">
        <f t="shared" ca="1" si="67"/>
        <v>0</v>
      </c>
      <c r="AU62" s="241">
        <f t="shared" si="75"/>
        <v>0</v>
      </c>
      <c r="AV62" s="81">
        <f t="shared" si="75"/>
        <v>-662.67851404959674</v>
      </c>
      <c r="AW62" s="82">
        <f t="shared" si="75"/>
        <v>0</v>
      </c>
      <c r="AX62" s="241">
        <f t="shared" si="76"/>
        <v>0</v>
      </c>
      <c r="AY62" s="81">
        <f t="shared" si="76"/>
        <v>-139.64558089494005</v>
      </c>
      <c r="AZ62" s="82">
        <f t="shared" si="76"/>
        <v>0</v>
      </c>
      <c r="BA62" s="241">
        <f t="shared" si="77"/>
        <v>0</v>
      </c>
      <c r="BB62" s="81">
        <f t="shared" si="77"/>
        <v>-166.78081591772715</v>
      </c>
      <c r="BC62" s="82">
        <f t="shared" si="77"/>
        <v>0</v>
      </c>
      <c r="BD62" s="241">
        <f t="shared" si="78"/>
        <v>0</v>
      </c>
      <c r="BE62" s="81">
        <f t="shared" si="78"/>
        <v>-177.57071891626578</v>
      </c>
      <c r="BF62" s="82">
        <f t="shared" si="78"/>
        <v>0</v>
      </c>
      <c r="BG62" s="241">
        <f t="shared" si="79"/>
        <v>0</v>
      </c>
      <c r="BH62" s="81">
        <f t="shared" si="79"/>
        <v>-178.68139832066382</v>
      </c>
      <c r="BI62" s="82">
        <f t="shared" si="79"/>
        <v>0</v>
      </c>
      <c r="BK62" s="448">
        <f t="shared" si="1"/>
        <v>-662.67851404959674</v>
      </c>
      <c r="BL62" s="448">
        <f t="shared" si="2"/>
        <v>0</v>
      </c>
      <c r="BM62" s="448">
        <f t="shared" si="3"/>
        <v>0</v>
      </c>
      <c r="BN62" s="448">
        <f t="shared" ca="1" si="4"/>
        <v>0</v>
      </c>
    </row>
    <row r="63" spans="1:66" s="29" customFormat="1" hidden="1" outlineLevel="1" x14ac:dyDescent="0.3">
      <c r="A63" s="22" t="s">
        <v>84</v>
      </c>
      <c r="B63" s="2"/>
      <c r="C63" s="24" t="s">
        <v>85</v>
      </c>
      <c r="D63" s="69" t="s">
        <v>78</v>
      </c>
      <c r="E63" s="80"/>
      <c r="F63" s="41"/>
      <c r="G63" s="23"/>
      <c r="H63" s="241">
        <v>0</v>
      </c>
      <c r="I63" s="81">
        <v>0</v>
      </c>
      <c r="J63" s="82">
        <f>SUMIFS(Aut_BlueMe_Sem_Pedido!$J:$J,Aut_BlueMe_Sem_Pedido!$Q:$Q,DRE!H$4,Aut_BlueMe_Sem_Pedido!$H:$H,DRE!$A63)+SUMIFS(Aut_Ajustes_Manuais!$G:$G,Aut_Ajustes_Manuais!$I:$I,DRE!H$4,Aut_Ajustes_Manuais!$F:$F,"Artistas e Palestrantes - Eventos")</f>
        <v>0</v>
      </c>
      <c r="K63" s="254">
        <v>0</v>
      </c>
      <c r="L63" s="81">
        <v>0</v>
      </c>
      <c r="M63" s="82">
        <f>SUMIFS(Aut_BlueMe_Sem_Pedido!$J:$J,Aut_BlueMe_Sem_Pedido!$Q:$Q,DRE!K$4,Aut_BlueMe_Sem_Pedido!$H:$H,DRE!$A63)+SUMIFS(Aut_Ajustes_Manuais!$G:$G,Aut_Ajustes_Manuais!$I:$I,DRE!K$4,Aut_Ajustes_Manuais!$F:$F,"Artistas e Palestrantes - Eventos")</f>
        <v>0</v>
      </c>
      <c r="N63" s="254">
        <v>0</v>
      </c>
      <c r="O63" s="81">
        <v>0</v>
      </c>
      <c r="P63" s="82">
        <f>SUMIFS(Aut_BlueMe_Sem_Pedido!$J:$J,Aut_BlueMe_Sem_Pedido!$Q:$Q,DRE!N$4,Aut_BlueMe_Sem_Pedido!$H:$H,DRE!$A63)+SUMIFS(Aut_Ajustes_Manuais!$G:$G,Aut_Ajustes_Manuais!$I:$I,DRE!N$4,Aut_Ajustes_Manuais!$F:$F,"Artistas e Palestrantes - Eventos")</f>
        <v>0</v>
      </c>
      <c r="Q63" s="241">
        <v>0</v>
      </c>
      <c r="R63" s="81">
        <v>0</v>
      </c>
      <c r="S63" s="82">
        <f>SUMIFS(Aut_BlueMe_Sem_Pedido!$J:$J,Aut_BlueMe_Sem_Pedido!$Q:$Q,DRE!Q$4,Aut_BlueMe_Sem_Pedido!$H:$H,DRE!$A63)+SUMIFS(Aut_Ajustes_Manuais!$G:$G,Aut_Ajustes_Manuais!$I:$I,DRE!Q$4,Aut_Ajustes_Manuais!$F:$F,"Artistas e Palestrantes - Eventos")</f>
        <v>0</v>
      </c>
      <c r="T63" s="241">
        <v>0</v>
      </c>
      <c r="U63" s="81">
        <v>0</v>
      </c>
      <c r="V63" s="82">
        <f>SUMIFS(Aut_BlueMe_Sem_Pedido!$J:$J,Aut_BlueMe_Sem_Pedido!$Q:$Q,DRE!T$4,Aut_BlueMe_Sem_Pedido!$H:$H,DRE!$A63)+SUMIFS(Aut_Ajustes_Manuais!$G:$G,Aut_Ajustes_Manuais!$I:$I,DRE!T$4,Aut_Ajustes_Manuais!$F:$F,"Artistas e Palestrantes - Eventos")</f>
        <v>0</v>
      </c>
      <c r="W63" s="241">
        <v>0</v>
      </c>
      <c r="X63" s="81">
        <v>0</v>
      </c>
      <c r="Y63" s="82">
        <f>SUMIFS(Aut_BlueMe_Sem_Pedido!$J:$J,Aut_BlueMe_Sem_Pedido!$Q:$Q,DRE!W$4,Aut_BlueMe_Sem_Pedido!$H:$H,DRE!$A63)+SUMIFS(Aut_Ajustes_Manuais!$G:$G,Aut_Ajustes_Manuais!$I:$I,DRE!W$4,Aut_Ajustes_Manuais!$F:$F,"Artistas e Palestrantes - Eventos")</f>
        <v>0</v>
      </c>
      <c r="Z63" s="241">
        <v>0</v>
      </c>
      <c r="AA63" s="81">
        <v>0</v>
      </c>
      <c r="AB63" s="82">
        <f>SUMIFS(Aut_BlueMe_Sem_Pedido!$J:$J,Aut_BlueMe_Sem_Pedido!$Q:$Q,DRE!Z$4,Aut_BlueMe_Sem_Pedido!$H:$H,DRE!$A63)+SUMIFS(Aut_Ajustes_Manuais!$G:$G,Aut_Ajustes_Manuais!$I:$I,DRE!Z$4,Aut_Ajustes_Manuais!$F:$F,"Artistas e Palestrantes - Eventos")</f>
        <v>0</v>
      </c>
      <c r="AC63" s="241">
        <v>0</v>
      </c>
      <c r="AD63" s="81">
        <v>0</v>
      </c>
      <c r="AE63" s="82">
        <f>SUMIFS(Aut_BlueMe_Sem_Pedido!$J:$J,Aut_BlueMe_Sem_Pedido!$Q:$Q,DRE!AC$4,Aut_BlueMe_Sem_Pedido!$H:$H,DRE!$A63)+SUMIFS(Aut_Ajustes_Manuais!$G:$G,Aut_Ajustes_Manuais!$I:$I,DRE!AC$4,Aut_Ajustes_Manuais!$F:$F,"Artistas e Palestrantes - Eventos")</f>
        <v>0</v>
      </c>
      <c r="AF63" s="241">
        <v>0</v>
      </c>
      <c r="AG63" s="81">
        <v>0</v>
      </c>
      <c r="AH63" s="82">
        <f>SUMIFS(Aut_BlueMe_Sem_Pedido!$J:$J,Aut_BlueMe_Sem_Pedido!$Q:$Q,DRE!AF$4,Aut_BlueMe_Sem_Pedido!$H:$H,DRE!$A63)+SUMIFS(Aut_Ajustes_Manuais!$G:$G,Aut_Ajustes_Manuais!$I:$I,DRE!AF$4,Aut_Ajustes_Manuais!$F:$F,"Artistas e Palestrantes - Eventos")</f>
        <v>0</v>
      </c>
      <c r="AI63" s="241">
        <v>0</v>
      </c>
      <c r="AJ63" s="81">
        <v>0</v>
      </c>
      <c r="AK63" s="82">
        <f>SUMIFS(Aut_BlueMe_Sem_Pedido!$J:$J,Aut_BlueMe_Sem_Pedido!$Q:$Q,DRE!AI$4,Aut_BlueMe_Sem_Pedido!$H:$H,DRE!$A63)+SUMIFS(Aut_Ajustes_Manuais!$G:$G,Aut_Ajustes_Manuais!$I:$I,DRE!AI$4,Aut_Ajustes_Manuais!$F:$F,"Artistas e Palestrantes - Eventos")</f>
        <v>0</v>
      </c>
      <c r="AL63" s="241">
        <v>0</v>
      </c>
      <c r="AM63" s="81">
        <v>0</v>
      </c>
      <c r="AN63" s="82">
        <f>SUMIFS(Aut_BlueMe_Sem_Pedido!$J:$J,Aut_BlueMe_Sem_Pedido!$Q:$Q,DRE!AL$4,Aut_BlueMe_Sem_Pedido!$H:$H,DRE!$A63)+SUMIFS(Aut_Ajustes_Manuais!$G:$G,Aut_Ajustes_Manuais!$I:$I,DRE!AL$4,Aut_Ajustes_Manuais!$F:$F,"Artistas e Palestrantes - Eventos")</f>
        <v>0</v>
      </c>
      <c r="AO63" s="241">
        <v>0</v>
      </c>
      <c r="AP63" s="81">
        <v>0</v>
      </c>
      <c r="AQ63" s="82">
        <f>SUMIFS(Aut_BlueMe_Sem_Pedido!$J:$J,Aut_BlueMe_Sem_Pedido!$Q:$Q,DRE!AO$4,Aut_BlueMe_Sem_Pedido!$H:$H,DRE!$A63)+SUMIFS(Aut_Ajustes_Manuais!$G:$G,Aut_Ajustes_Manuais!$I:$I,DRE!AO$4,Aut_Ajustes_Manuais!$F:$F,"Artistas e Palestrantes - Eventos")</f>
        <v>0</v>
      </c>
      <c r="AR63" s="241">
        <f t="shared" ca="1" si="65"/>
        <v>0</v>
      </c>
      <c r="AS63" s="27">
        <f t="shared" ca="1" si="66"/>
        <v>0</v>
      </c>
      <c r="AT63" s="82">
        <f t="shared" ca="1" si="67"/>
        <v>0</v>
      </c>
      <c r="AU63" s="241">
        <f t="shared" si="75"/>
        <v>0</v>
      </c>
      <c r="AV63" s="81">
        <f t="shared" si="75"/>
        <v>0</v>
      </c>
      <c r="AW63" s="82">
        <f t="shared" si="75"/>
        <v>0</v>
      </c>
      <c r="AX63" s="241">
        <f t="shared" si="76"/>
        <v>0</v>
      </c>
      <c r="AY63" s="81">
        <f t="shared" si="76"/>
        <v>0</v>
      </c>
      <c r="AZ63" s="82">
        <f t="shared" si="76"/>
        <v>0</v>
      </c>
      <c r="BA63" s="241">
        <f t="shared" si="77"/>
        <v>0</v>
      </c>
      <c r="BB63" s="81">
        <f t="shared" si="77"/>
        <v>0</v>
      </c>
      <c r="BC63" s="82">
        <f t="shared" si="77"/>
        <v>0</v>
      </c>
      <c r="BD63" s="241">
        <f t="shared" si="78"/>
        <v>0</v>
      </c>
      <c r="BE63" s="81">
        <f t="shared" si="78"/>
        <v>0</v>
      </c>
      <c r="BF63" s="82">
        <f t="shared" si="78"/>
        <v>0</v>
      </c>
      <c r="BG63" s="241">
        <f t="shared" si="79"/>
        <v>0</v>
      </c>
      <c r="BH63" s="81">
        <f t="shared" si="79"/>
        <v>0</v>
      </c>
      <c r="BI63" s="82">
        <f t="shared" si="79"/>
        <v>0</v>
      </c>
      <c r="BK63" s="448">
        <f t="shared" si="1"/>
        <v>0</v>
      </c>
      <c r="BL63" s="448">
        <f t="shared" si="2"/>
        <v>0</v>
      </c>
      <c r="BM63" s="448">
        <f t="shared" si="3"/>
        <v>0</v>
      </c>
      <c r="BN63" s="448">
        <f t="shared" ca="1" si="4"/>
        <v>0</v>
      </c>
    </row>
    <row r="64" spans="1:66" s="29" customFormat="1" hidden="1" outlineLevel="1" x14ac:dyDescent="0.3">
      <c r="A64" s="22" t="s">
        <v>86</v>
      </c>
      <c r="B64" s="2"/>
      <c r="C64" s="24"/>
      <c r="D64" s="69" t="s">
        <v>78</v>
      </c>
      <c r="E64" s="45">
        <v>-3.0000000000000001E-3</v>
      </c>
      <c r="F64" s="41"/>
      <c r="G64" s="23"/>
      <c r="H64" s="241">
        <v>0</v>
      </c>
      <c r="I64" s="81">
        <v>0</v>
      </c>
      <c r="J64" s="82">
        <f>SUMIFS(Aut_BlueMe_Sem_Pedido!$J:$J,Aut_BlueMe_Sem_Pedido!$Q:$Q,DRE!H$4,Aut_BlueMe_Sem_Pedido!$H:$H,DRE!$A64)+SUMIFS(Aut_Ajustes_Manuais!$G:$G,Aut_Ajustes_Manuais!$I:$I,DRE!H$4,Aut_Ajustes_Manuais!$F:$F,"Decoração - Eventos")</f>
        <v>0</v>
      </c>
      <c r="K64" s="254">
        <v>0</v>
      </c>
      <c r="L64" s="81">
        <v>0</v>
      </c>
      <c r="M64" s="82">
        <f>SUMIFS(Aut_BlueMe_Sem_Pedido!$J:$J,Aut_BlueMe_Sem_Pedido!$Q:$Q,DRE!K$4,Aut_BlueMe_Sem_Pedido!$H:$H,DRE!$A64)+SUMIFS(Aut_Ajustes_Manuais!$G:$G,Aut_Ajustes_Manuais!$I:$I,DRE!K$4,Aut_Ajustes_Manuais!$F:$F,"Decoração - Eventos")</f>
        <v>0</v>
      </c>
      <c r="N64" s="254">
        <v>0</v>
      </c>
      <c r="O64" s="81">
        <v>0</v>
      </c>
      <c r="P64" s="82">
        <f>SUMIFS(Aut_BlueMe_Sem_Pedido!$J:$J,Aut_BlueMe_Sem_Pedido!$Q:$Q,DRE!N$4,Aut_BlueMe_Sem_Pedido!$H:$H,DRE!$A64)+SUMIFS(Aut_Ajustes_Manuais!$G:$G,Aut_Ajustes_Manuais!$I:$I,DRE!N$4,Aut_Ajustes_Manuais!$F:$F,"Decoração - Eventos")</f>
        <v>0</v>
      </c>
      <c r="Q64" s="241">
        <v>0</v>
      </c>
      <c r="R64" s="81">
        <v>0</v>
      </c>
      <c r="S64" s="82">
        <f>SUMIFS(Aut_BlueMe_Sem_Pedido!$J:$J,Aut_BlueMe_Sem_Pedido!$Q:$Q,DRE!Q$4,Aut_BlueMe_Sem_Pedido!$H:$H,DRE!$A64)+SUMIFS(Aut_Ajustes_Manuais!$G:$G,Aut_Ajustes_Manuais!$I:$I,DRE!Q$4,Aut_Ajustes_Manuais!$F:$F,"Decoração - Eventos")</f>
        <v>0</v>
      </c>
      <c r="T64" s="241">
        <v>0</v>
      </c>
      <c r="U64" s="81">
        <v>0</v>
      </c>
      <c r="V64" s="82">
        <f>SUMIFS(Aut_BlueMe_Sem_Pedido!$J:$J,Aut_BlueMe_Sem_Pedido!$Q:$Q,DRE!T$4,Aut_BlueMe_Sem_Pedido!$H:$H,DRE!$A64)+SUMIFS(Aut_Ajustes_Manuais!$G:$G,Aut_Ajustes_Manuais!$I:$I,DRE!T$4,Aut_Ajustes_Manuais!$F:$F,"Decoração - Eventos")</f>
        <v>0</v>
      </c>
      <c r="W64" s="241">
        <v>0</v>
      </c>
      <c r="X64" s="81">
        <v>0</v>
      </c>
      <c r="Y64" s="82">
        <f>SUMIFS(Aut_BlueMe_Sem_Pedido!$J:$J,Aut_BlueMe_Sem_Pedido!$Q:$Q,DRE!W$4,Aut_BlueMe_Sem_Pedido!$H:$H,DRE!$A64)+SUMIFS(Aut_Ajustes_Manuais!$G:$G,Aut_Ajustes_Manuais!$I:$I,DRE!W$4,Aut_Ajustes_Manuais!$F:$F,"Decoração - Eventos")</f>
        <v>0</v>
      </c>
      <c r="Z64" s="241">
        <v>0</v>
      </c>
      <c r="AA64" s="81">
        <v>0</v>
      </c>
      <c r="AB64" s="82">
        <f>SUMIFS(Aut_BlueMe_Sem_Pedido!$J:$J,Aut_BlueMe_Sem_Pedido!$Q:$Q,DRE!Z$4,Aut_BlueMe_Sem_Pedido!$H:$H,DRE!$A64)+SUMIFS(Aut_Ajustes_Manuais!$G:$G,Aut_Ajustes_Manuais!$I:$I,DRE!Z$4,Aut_Ajustes_Manuais!$F:$F,"Decoração - Eventos")</f>
        <v>0</v>
      </c>
      <c r="AC64" s="241">
        <v>0</v>
      </c>
      <c r="AD64" s="81">
        <v>0</v>
      </c>
      <c r="AE64" s="82">
        <f>SUMIFS(Aut_BlueMe_Sem_Pedido!$J:$J,Aut_BlueMe_Sem_Pedido!$Q:$Q,DRE!AC$4,Aut_BlueMe_Sem_Pedido!$H:$H,DRE!$A64)+SUMIFS(Aut_Ajustes_Manuais!$G:$G,Aut_Ajustes_Manuais!$I:$I,DRE!AC$4,Aut_Ajustes_Manuais!$F:$F,"Decoração - Eventos")</f>
        <v>0</v>
      </c>
      <c r="AF64" s="241">
        <v>0</v>
      </c>
      <c r="AG64" s="81">
        <v>0</v>
      </c>
      <c r="AH64" s="82">
        <f>SUMIFS(Aut_BlueMe_Sem_Pedido!$J:$J,Aut_BlueMe_Sem_Pedido!$Q:$Q,DRE!AF$4,Aut_BlueMe_Sem_Pedido!$H:$H,DRE!$A64)+SUMIFS(Aut_Ajustes_Manuais!$G:$G,Aut_Ajustes_Manuais!$I:$I,DRE!AF$4,Aut_Ajustes_Manuais!$F:$F,"Decoração - Eventos")</f>
        <v>0</v>
      </c>
      <c r="AI64" s="241">
        <v>0</v>
      </c>
      <c r="AJ64" s="81">
        <v>0</v>
      </c>
      <c r="AK64" s="82">
        <f>SUMIFS(Aut_BlueMe_Sem_Pedido!$J:$J,Aut_BlueMe_Sem_Pedido!$Q:$Q,DRE!AI$4,Aut_BlueMe_Sem_Pedido!$H:$H,DRE!$A64)+SUMIFS(Aut_Ajustes_Manuais!$G:$G,Aut_Ajustes_Manuais!$I:$I,DRE!AI$4,Aut_Ajustes_Manuais!$F:$F,"Decoração - Eventos")</f>
        <v>0</v>
      </c>
      <c r="AL64" s="241">
        <v>-508.5</v>
      </c>
      <c r="AM64" s="81">
        <v>0</v>
      </c>
      <c r="AN64" s="82">
        <f>SUMIFS(Aut_BlueMe_Sem_Pedido!$J:$J,Aut_BlueMe_Sem_Pedido!$Q:$Q,DRE!AL$4,Aut_BlueMe_Sem_Pedido!$H:$H,DRE!$A64)+SUMIFS(Aut_Ajustes_Manuais!$G:$G,Aut_Ajustes_Manuais!$I:$I,DRE!AL$4,Aut_Ajustes_Manuais!$F:$F,"Decoração - Eventos")</f>
        <v>0</v>
      </c>
      <c r="AO64" s="241">
        <v>0</v>
      </c>
      <c r="AP64" s="81">
        <v>0</v>
      </c>
      <c r="AQ64" s="82">
        <f>SUMIFS(Aut_BlueMe_Sem_Pedido!$J:$J,Aut_BlueMe_Sem_Pedido!$Q:$Q,DRE!AO$4,Aut_BlueMe_Sem_Pedido!$H:$H,DRE!$A64)+SUMIFS(Aut_Ajustes_Manuais!$G:$G,Aut_Ajustes_Manuais!$I:$I,DRE!AO$4,Aut_Ajustes_Manuais!$F:$F,"Decoração - Eventos")</f>
        <v>0</v>
      </c>
      <c r="AR64" s="241">
        <f t="shared" ca="1" si="65"/>
        <v>0</v>
      </c>
      <c r="AS64" s="27">
        <f t="shared" ca="1" si="66"/>
        <v>0</v>
      </c>
      <c r="AT64" s="82">
        <f t="shared" ca="1" si="67"/>
        <v>0</v>
      </c>
      <c r="AU64" s="241">
        <f t="shared" si="75"/>
        <v>-508.5</v>
      </c>
      <c r="AV64" s="81">
        <f t="shared" si="75"/>
        <v>0</v>
      </c>
      <c r="AW64" s="82">
        <f t="shared" si="75"/>
        <v>0</v>
      </c>
      <c r="AX64" s="241">
        <f t="shared" si="76"/>
        <v>0</v>
      </c>
      <c r="AY64" s="81">
        <f t="shared" si="76"/>
        <v>0</v>
      </c>
      <c r="AZ64" s="82">
        <f t="shared" si="76"/>
        <v>0</v>
      </c>
      <c r="BA64" s="241">
        <f t="shared" si="77"/>
        <v>0</v>
      </c>
      <c r="BB64" s="81">
        <f t="shared" si="77"/>
        <v>0</v>
      </c>
      <c r="BC64" s="82">
        <f t="shared" si="77"/>
        <v>0</v>
      </c>
      <c r="BD64" s="241">
        <f t="shared" si="78"/>
        <v>0</v>
      </c>
      <c r="BE64" s="81">
        <f t="shared" si="78"/>
        <v>0</v>
      </c>
      <c r="BF64" s="82">
        <f t="shared" si="78"/>
        <v>0</v>
      </c>
      <c r="BG64" s="241">
        <f t="shared" si="79"/>
        <v>-508.5</v>
      </c>
      <c r="BH64" s="81">
        <f t="shared" si="79"/>
        <v>0</v>
      </c>
      <c r="BI64" s="82">
        <f t="shared" si="79"/>
        <v>0</v>
      </c>
      <c r="BK64" s="448">
        <f t="shared" si="1"/>
        <v>0</v>
      </c>
      <c r="BL64" s="448">
        <f t="shared" si="2"/>
        <v>0</v>
      </c>
      <c r="BM64" s="448">
        <f t="shared" si="3"/>
        <v>0</v>
      </c>
      <c r="BN64" s="448">
        <f t="shared" ca="1" si="4"/>
        <v>0</v>
      </c>
    </row>
    <row r="65" spans="1:66" ht="18" hidden="1" customHeight="1" outlineLevel="1" x14ac:dyDescent="0.3">
      <c r="A65" s="73" t="s">
        <v>87</v>
      </c>
      <c r="C65" s="24"/>
      <c r="D65" s="69"/>
      <c r="E65" s="80"/>
      <c r="F65" s="41"/>
      <c r="H65" s="252">
        <v>0</v>
      </c>
      <c r="I65" s="74">
        <v>0</v>
      </c>
      <c r="J65" s="76">
        <f>SUM(J66:J69)+SUMIFS(Aut_Ajustes_Manuais!$G:$G,Aut_Ajustes_Manuais!$I:$I,DRE!H$4,Aut_Ajustes_Manuais!$F:$F,"Material de Consumo")</f>
        <v>0</v>
      </c>
      <c r="K65" s="252">
        <v>0</v>
      </c>
      <c r="L65" s="74">
        <v>0</v>
      </c>
      <c r="M65" s="76">
        <f>SUM(M66:M69)+SUMIFS(Aut_Ajustes_Manuais!$G:$G,Aut_Ajustes_Manuais!$I:$I,DRE!K$4,Aut_Ajustes_Manuais!$F:$F,"Material de Consumo")</f>
        <v>0</v>
      </c>
      <c r="N65" s="252">
        <v>0</v>
      </c>
      <c r="O65" s="74">
        <v>0</v>
      </c>
      <c r="P65" s="76">
        <f>SUM(P66:P69)+SUMIFS(Aut_Ajustes_Manuais!$G:$G,Aut_Ajustes_Manuais!$I:$I,DRE!N$4,Aut_Ajustes_Manuais!$F:$F,"Material de Consumo")</f>
        <v>0</v>
      </c>
      <c r="Q65" s="252">
        <v>0</v>
      </c>
      <c r="R65" s="74">
        <v>0</v>
      </c>
      <c r="S65" s="76">
        <f>SUM(S66:S69)+SUMIFS(Aut_Ajustes_Manuais!$G:$G,Aut_Ajustes_Manuais!$I:$I,DRE!Q$4,Aut_Ajustes_Manuais!$F:$F,"Material de Consumo")</f>
        <v>0</v>
      </c>
      <c r="T65" s="252">
        <v>0</v>
      </c>
      <c r="U65" s="74">
        <v>0</v>
      </c>
      <c r="V65" s="76">
        <f>SUM(V66:V69)+SUMIFS(Aut_Ajustes_Manuais!$G:$G,Aut_Ajustes_Manuais!$I:$I,DRE!T$4,Aut_Ajustes_Manuais!$F:$F,"Material de Consumo")</f>
        <v>0</v>
      </c>
      <c r="W65" s="252">
        <v>0</v>
      </c>
      <c r="X65" s="74">
        <v>0</v>
      </c>
      <c r="Y65" s="76">
        <f>SUM(Y66:Y69)+SUMIFS(Aut_Ajustes_Manuais!$G:$G,Aut_Ajustes_Manuais!$I:$I,DRE!W$4,Aut_Ajustes_Manuais!$F:$F,"Material de Consumo")</f>
        <v>0</v>
      </c>
      <c r="Z65" s="252">
        <v>0</v>
      </c>
      <c r="AA65" s="74">
        <v>0</v>
      </c>
      <c r="AB65" s="76">
        <f>SUM(AB66:AB69)+SUMIFS(Aut_Ajustes_Manuais!$G:$G,Aut_Ajustes_Manuais!$I:$I,DRE!Z$4,Aut_Ajustes_Manuais!$F:$F,"Material de Consumo")</f>
        <v>0</v>
      </c>
      <c r="AC65" s="252">
        <v>0</v>
      </c>
      <c r="AD65" s="74">
        <v>0</v>
      </c>
      <c r="AE65" s="76">
        <f>SUM(AE66:AE69)+SUMIFS(Aut_Ajustes_Manuais!$G:$G,Aut_Ajustes_Manuais!$I:$I,DRE!AC$4,Aut_Ajustes_Manuais!$F:$F,"Material de Consumo")</f>
        <v>0</v>
      </c>
      <c r="AF65" s="252">
        <v>0</v>
      </c>
      <c r="AG65" s="74">
        <v>0</v>
      </c>
      <c r="AH65" s="76">
        <f>SUM(AH66:AH69)+SUMIFS(Aut_Ajustes_Manuais!$G:$G,Aut_Ajustes_Manuais!$I:$I,DRE!AF$4,Aut_Ajustes_Manuais!$F:$F,"Material de Consumo")</f>
        <v>0</v>
      </c>
      <c r="AI65" s="252">
        <v>0</v>
      </c>
      <c r="AJ65" s="74">
        <v>0</v>
      </c>
      <c r="AK65" s="76">
        <f>SUM(AK66:AK69)+SUMIFS(Aut_Ajustes_Manuais!$G:$G,Aut_Ajustes_Manuais!$I:$I,DRE!AI$4,Aut_Ajustes_Manuais!$F:$F,"Material de Consumo")</f>
        <v>0</v>
      </c>
      <c r="AL65" s="252">
        <v>-6785</v>
      </c>
      <c r="AM65" s="74">
        <v>0</v>
      </c>
      <c r="AN65" s="76">
        <f>SUM(AN66:AN69)+SUMIFS(Aut_Ajustes_Manuais!$G:$G,Aut_Ajustes_Manuais!$I:$I,DRE!AL$4,Aut_Ajustes_Manuais!$F:$F,"Material de Consumo")</f>
        <v>0</v>
      </c>
      <c r="AO65" s="252">
        <v>0</v>
      </c>
      <c r="AP65" s="74">
        <v>0</v>
      </c>
      <c r="AQ65" s="76">
        <f>SUM(AQ66:AQ69)+SUMIFS(Aut_Ajustes_Manuais!$G:$G,Aut_Ajustes_Manuais!$I:$I,DRE!AO$4,Aut_Ajustes_Manuais!$F:$F,"Material de Consumo")</f>
        <v>0</v>
      </c>
      <c r="AR65" s="241">
        <f t="shared" ca="1" si="65"/>
        <v>0</v>
      </c>
      <c r="AS65" s="27">
        <f t="shared" ca="1" si="66"/>
        <v>0</v>
      </c>
      <c r="AT65" s="76">
        <f t="shared" ca="1" si="67"/>
        <v>0</v>
      </c>
      <c r="AU65" s="252">
        <f t="shared" ref="AU65:BI65" si="80">SUM(AU66:AU69)</f>
        <v>-6785</v>
      </c>
      <c r="AV65" s="74">
        <f t="shared" si="80"/>
        <v>0</v>
      </c>
      <c r="AW65" s="76">
        <f t="shared" si="80"/>
        <v>0</v>
      </c>
      <c r="AX65" s="252">
        <f t="shared" si="80"/>
        <v>0</v>
      </c>
      <c r="AY65" s="74">
        <f t="shared" si="80"/>
        <v>0</v>
      </c>
      <c r="AZ65" s="76">
        <f t="shared" si="80"/>
        <v>0</v>
      </c>
      <c r="BA65" s="252">
        <f t="shared" si="80"/>
        <v>0</v>
      </c>
      <c r="BB65" s="74">
        <f t="shared" si="80"/>
        <v>0</v>
      </c>
      <c r="BC65" s="76">
        <f t="shared" si="80"/>
        <v>0</v>
      </c>
      <c r="BD65" s="252">
        <f t="shared" si="80"/>
        <v>0</v>
      </c>
      <c r="BE65" s="74">
        <f t="shared" si="80"/>
        <v>0</v>
      </c>
      <c r="BF65" s="76">
        <f t="shared" si="80"/>
        <v>0</v>
      </c>
      <c r="BG65" s="252">
        <f t="shared" si="80"/>
        <v>-6785</v>
      </c>
      <c r="BH65" s="74">
        <f t="shared" si="80"/>
        <v>0</v>
      </c>
      <c r="BI65" s="76">
        <f t="shared" si="80"/>
        <v>0</v>
      </c>
      <c r="BK65" s="448">
        <f t="shared" si="1"/>
        <v>0</v>
      </c>
      <c r="BL65" s="448">
        <f t="shared" si="2"/>
        <v>0</v>
      </c>
      <c r="BM65" s="448">
        <f t="shared" si="3"/>
        <v>0</v>
      </c>
      <c r="BN65" s="448">
        <f t="shared" ca="1" si="4"/>
        <v>0</v>
      </c>
    </row>
    <row r="66" spans="1:66" s="29" customFormat="1" hidden="1" outlineLevel="1" x14ac:dyDescent="0.3">
      <c r="A66" s="22" t="s">
        <v>88</v>
      </c>
      <c r="B66" s="2"/>
      <c r="C66" s="24"/>
      <c r="D66" s="69" t="s">
        <v>78</v>
      </c>
      <c r="E66" s="80"/>
      <c r="F66" s="41"/>
      <c r="G66" s="23"/>
      <c r="H66" s="241">
        <v>0</v>
      </c>
      <c r="I66" s="81">
        <v>0</v>
      </c>
      <c r="J66" s="82">
        <f>SUMIFS(Aut_BlueMe_Sem_Pedido!$J:$J,Aut_BlueMe_Sem_Pedido!$Q:$Q,DRE!H$4,Aut_BlueMe_Sem_Pedido!$H:$H,DRE!$A66)+SUMIFS(Aut_Ajustes_Manuais!$G:$G,Aut_Ajustes_Manuais!$I:$I,DRE!H$4,Aut_Ajustes_Manuais!$F:$F,"Material Descartável - Eventos")</f>
        <v>0</v>
      </c>
      <c r="K66" s="254">
        <v>0</v>
      </c>
      <c r="L66" s="81">
        <v>0</v>
      </c>
      <c r="M66" s="82">
        <f>SUMIFS(Aut_BlueMe_Sem_Pedido!$J:$J,Aut_BlueMe_Sem_Pedido!$Q:$Q,DRE!K$4,Aut_BlueMe_Sem_Pedido!$H:$H,DRE!$A66)+SUMIFS(Aut_Ajustes_Manuais!$G:$G,Aut_Ajustes_Manuais!$I:$I,DRE!K$4,Aut_Ajustes_Manuais!$F:$F,"Material Descartável - Eventos")</f>
        <v>0</v>
      </c>
      <c r="N66" s="254">
        <v>0</v>
      </c>
      <c r="O66" s="81">
        <v>0</v>
      </c>
      <c r="P66" s="82">
        <f>SUMIFS(Aut_BlueMe_Sem_Pedido!$J:$J,Aut_BlueMe_Sem_Pedido!$Q:$Q,DRE!N$4,Aut_BlueMe_Sem_Pedido!$H:$H,DRE!$A66)+SUMIFS(Aut_Ajustes_Manuais!$G:$G,Aut_Ajustes_Manuais!$I:$I,DRE!N$4,Aut_Ajustes_Manuais!$F:$F,"Material Descartável - Eventos")</f>
        <v>0</v>
      </c>
      <c r="Q66" s="241">
        <v>0</v>
      </c>
      <c r="R66" s="81">
        <v>0</v>
      </c>
      <c r="S66" s="82">
        <f>SUMIFS(Aut_BlueMe_Sem_Pedido!$J:$J,Aut_BlueMe_Sem_Pedido!$Q:$Q,DRE!Q$4,Aut_BlueMe_Sem_Pedido!$H:$H,DRE!$A66)+SUMIFS(Aut_Ajustes_Manuais!$G:$G,Aut_Ajustes_Manuais!$I:$I,DRE!Q$4,Aut_Ajustes_Manuais!$F:$F,"Material Descartável - Eventos")</f>
        <v>0</v>
      </c>
      <c r="T66" s="241">
        <v>0</v>
      </c>
      <c r="U66" s="81">
        <v>0</v>
      </c>
      <c r="V66" s="82">
        <f>SUMIFS(Aut_BlueMe_Sem_Pedido!$J:$J,Aut_BlueMe_Sem_Pedido!$Q:$Q,DRE!T$4,Aut_BlueMe_Sem_Pedido!$H:$H,DRE!$A66)+SUMIFS(Aut_Ajustes_Manuais!$G:$G,Aut_Ajustes_Manuais!$I:$I,DRE!T$4,Aut_Ajustes_Manuais!$F:$F,"Material Descartável - Eventos")</f>
        <v>0</v>
      </c>
      <c r="W66" s="241">
        <v>0</v>
      </c>
      <c r="X66" s="81">
        <v>0</v>
      </c>
      <c r="Y66" s="82">
        <f>SUMIFS(Aut_BlueMe_Sem_Pedido!$J:$J,Aut_BlueMe_Sem_Pedido!$Q:$Q,DRE!W$4,Aut_BlueMe_Sem_Pedido!$H:$H,DRE!$A66)+SUMIFS(Aut_Ajustes_Manuais!$G:$G,Aut_Ajustes_Manuais!$I:$I,DRE!W$4,Aut_Ajustes_Manuais!$F:$F,"Material Descartável - Eventos")</f>
        <v>0</v>
      </c>
      <c r="Z66" s="241">
        <v>0</v>
      </c>
      <c r="AA66" s="81">
        <v>0</v>
      </c>
      <c r="AB66" s="82">
        <f>SUMIFS(Aut_BlueMe_Sem_Pedido!$J:$J,Aut_BlueMe_Sem_Pedido!$Q:$Q,DRE!Z$4,Aut_BlueMe_Sem_Pedido!$H:$H,DRE!$A66)+SUMIFS(Aut_Ajustes_Manuais!$G:$G,Aut_Ajustes_Manuais!$I:$I,DRE!Z$4,Aut_Ajustes_Manuais!$F:$F,"Material Descartável - Eventos")</f>
        <v>0</v>
      </c>
      <c r="AC66" s="241">
        <v>0</v>
      </c>
      <c r="AD66" s="81">
        <v>0</v>
      </c>
      <c r="AE66" s="82">
        <f>SUMIFS(Aut_BlueMe_Sem_Pedido!$J:$J,Aut_BlueMe_Sem_Pedido!$Q:$Q,DRE!AC$4,Aut_BlueMe_Sem_Pedido!$H:$H,DRE!$A66)+SUMIFS(Aut_Ajustes_Manuais!$G:$G,Aut_Ajustes_Manuais!$I:$I,DRE!AC$4,Aut_Ajustes_Manuais!$F:$F,"Material Descartável - Eventos")</f>
        <v>0</v>
      </c>
      <c r="AF66" s="241">
        <v>0</v>
      </c>
      <c r="AG66" s="81">
        <v>0</v>
      </c>
      <c r="AH66" s="82">
        <f>SUMIFS(Aut_BlueMe_Sem_Pedido!$J:$J,Aut_BlueMe_Sem_Pedido!$Q:$Q,DRE!AF$4,Aut_BlueMe_Sem_Pedido!$H:$H,DRE!$A66)+SUMIFS(Aut_Ajustes_Manuais!$G:$G,Aut_Ajustes_Manuais!$I:$I,DRE!AF$4,Aut_Ajustes_Manuais!$F:$F,"Material Descartável - Eventos")</f>
        <v>0</v>
      </c>
      <c r="AI66" s="241">
        <v>0</v>
      </c>
      <c r="AJ66" s="81">
        <v>0</v>
      </c>
      <c r="AK66" s="82">
        <f>SUMIFS(Aut_BlueMe_Sem_Pedido!$J:$J,Aut_BlueMe_Sem_Pedido!$Q:$Q,DRE!AI$4,Aut_BlueMe_Sem_Pedido!$H:$H,DRE!$A66)+SUMIFS(Aut_Ajustes_Manuais!$G:$G,Aut_Ajustes_Manuais!$I:$I,DRE!AI$4,Aut_Ajustes_Manuais!$F:$F,"Material Descartável - Eventos")</f>
        <v>0</v>
      </c>
      <c r="AL66" s="241">
        <v>0</v>
      </c>
      <c r="AM66" s="81">
        <v>0</v>
      </c>
      <c r="AN66" s="82">
        <f>SUMIFS(Aut_BlueMe_Sem_Pedido!$J:$J,Aut_BlueMe_Sem_Pedido!$Q:$Q,DRE!AL$4,Aut_BlueMe_Sem_Pedido!$H:$H,DRE!$A66)+SUMIFS(Aut_Ajustes_Manuais!$G:$G,Aut_Ajustes_Manuais!$I:$I,DRE!AL$4,Aut_Ajustes_Manuais!$F:$F,"Material Descartável - Eventos")</f>
        <v>0</v>
      </c>
      <c r="AO66" s="241">
        <v>0</v>
      </c>
      <c r="AP66" s="81">
        <v>0</v>
      </c>
      <c r="AQ66" s="82">
        <f>SUMIFS(Aut_BlueMe_Sem_Pedido!$J:$J,Aut_BlueMe_Sem_Pedido!$Q:$Q,DRE!AO$4,Aut_BlueMe_Sem_Pedido!$H:$H,DRE!$A66)+SUMIFS(Aut_Ajustes_Manuais!$G:$G,Aut_Ajustes_Manuais!$I:$I,DRE!AO$4,Aut_Ajustes_Manuais!$F:$F,"Material Descartável - Eventos")</f>
        <v>0</v>
      </c>
      <c r="AR66" s="241">
        <f t="shared" ca="1" si="65"/>
        <v>0</v>
      </c>
      <c r="AS66" s="27">
        <f t="shared" ca="1" si="66"/>
        <v>0</v>
      </c>
      <c r="AT66" s="82">
        <f t="shared" ca="1" si="67"/>
        <v>0</v>
      </c>
      <c r="AU66" s="241">
        <f t="shared" ref="AU66:AW69" si="81">SUM(H66,K66,N66,Q66,T66,W66,Z66,AC66,AF66,AI66,AL66,AO66)</f>
        <v>0</v>
      </c>
      <c r="AV66" s="81">
        <f t="shared" si="81"/>
        <v>0</v>
      </c>
      <c r="AW66" s="82">
        <f t="shared" si="81"/>
        <v>0</v>
      </c>
      <c r="AX66" s="241">
        <f t="shared" ref="AX66:AZ69" si="82">SUM(H66,K66,N66)</f>
        <v>0</v>
      </c>
      <c r="AY66" s="81">
        <f t="shared" si="82"/>
        <v>0</v>
      </c>
      <c r="AZ66" s="82">
        <f t="shared" si="82"/>
        <v>0</v>
      </c>
      <c r="BA66" s="241">
        <f t="shared" ref="BA66:BC69" si="83">SUM(Q66,T66,W66)</f>
        <v>0</v>
      </c>
      <c r="BB66" s="81">
        <f t="shared" si="83"/>
        <v>0</v>
      </c>
      <c r="BC66" s="82">
        <f t="shared" si="83"/>
        <v>0</v>
      </c>
      <c r="BD66" s="241">
        <f t="shared" ref="BD66:BF69" si="84">SUM(Z66,AC66,AF66)</f>
        <v>0</v>
      </c>
      <c r="BE66" s="81">
        <f t="shared" si="84"/>
        <v>0</v>
      </c>
      <c r="BF66" s="82">
        <f t="shared" si="84"/>
        <v>0</v>
      </c>
      <c r="BG66" s="241">
        <f t="shared" ref="BG66:BI69" si="85">SUM(AI66,AL66,AO66)</f>
        <v>0</v>
      </c>
      <c r="BH66" s="81">
        <f t="shared" si="85"/>
        <v>0</v>
      </c>
      <c r="BI66" s="82">
        <f t="shared" si="85"/>
        <v>0</v>
      </c>
      <c r="BK66" s="448">
        <f t="shared" si="1"/>
        <v>0</v>
      </c>
      <c r="BL66" s="448">
        <f t="shared" si="2"/>
        <v>0</v>
      </c>
      <c r="BM66" s="448">
        <f t="shared" si="3"/>
        <v>0</v>
      </c>
      <c r="BN66" s="448">
        <f t="shared" ca="1" si="4"/>
        <v>0</v>
      </c>
    </row>
    <row r="67" spans="1:66" s="29" customFormat="1" hidden="1" outlineLevel="1" x14ac:dyDescent="0.3">
      <c r="A67" s="22" t="s">
        <v>89</v>
      </c>
      <c r="B67" s="2"/>
      <c r="C67" s="24"/>
      <c r="D67" s="69" t="s">
        <v>78</v>
      </c>
      <c r="E67" s="80"/>
      <c r="F67" s="41"/>
      <c r="G67" s="23"/>
      <c r="H67" s="241">
        <v>0</v>
      </c>
      <c r="I67" s="81">
        <v>0</v>
      </c>
      <c r="J67" s="82">
        <f>SUMIFS(Aut_BlueMe_Sem_Pedido!$J:$J,Aut_BlueMe_Sem_Pedido!$Q:$Q,DRE!H$4,Aut_BlueMe_Sem_Pedido!$H:$H,DRE!$A67)+SUMIFS(Aut_Ajustes_Manuais!$G:$G,Aut_Ajustes_Manuais!$I:$I,DRE!H$4,Aut_Ajustes_Manuais!$F:$F,"Brindes e Confraternizações - Eventos")</f>
        <v>0</v>
      </c>
      <c r="K67" s="254">
        <v>0</v>
      </c>
      <c r="L67" s="81">
        <v>0</v>
      </c>
      <c r="M67" s="82">
        <f>SUMIFS(Aut_BlueMe_Sem_Pedido!$J:$J,Aut_BlueMe_Sem_Pedido!$Q:$Q,DRE!K$4,Aut_BlueMe_Sem_Pedido!$H:$H,DRE!$A67)+SUMIFS(Aut_Ajustes_Manuais!$G:$G,Aut_Ajustes_Manuais!$I:$I,DRE!K$4,Aut_Ajustes_Manuais!$F:$F,"Brindes e Confraternizações - Eventos")</f>
        <v>0</v>
      </c>
      <c r="N67" s="254">
        <v>0</v>
      </c>
      <c r="O67" s="81">
        <v>0</v>
      </c>
      <c r="P67" s="82">
        <f>SUMIFS(Aut_BlueMe_Sem_Pedido!$J:$J,Aut_BlueMe_Sem_Pedido!$Q:$Q,DRE!N$4,Aut_BlueMe_Sem_Pedido!$H:$H,DRE!$A67)+SUMIFS(Aut_Ajustes_Manuais!$G:$G,Aut_Ajustes_Manuais!$I:$I,DRE!N$4,Aut_Ajustes_Manuais!$F:$F,"Brindes e Confraternizações - Eventos")</f>
        <v>0</v>
      </c>
      <c r="Q67" s="241">
        <v>0</v>
      </c>
      <c r="R67" s="81">
        <v>0</v>
      </c>
      <c r="S67" s="82">
        <f>SUMIFS(Aut_BlueMe_Sem_Pedido!$J:$J,Aut_BlueMe_Sem_Pedido!$Q:$Q,DRE!Q$4,Aut_BlueMe_Sem_Pedido!$H:$H,DRE!$A67)+SUMIFS(Aut_Ajustes_Manuais!$G:$G,Aut_Ajustes_Manuais!$I:$I,DRE!Q$4,Aut_Ajustes_Manuais!$F:$F,"Brindes e Confraternizações - Eventos")</f>
        <v>0</v>
      </c>
      <c r="T67" s="241">
        <v>0</v>
      </c>
      <c r="U67" s="81">
        <v>0</v>
      </c>
      <c r="V67" s="82">
        <f>SUMIFS(Aut_BlueMe_Sem_Pedido!$J:$J,Aut_BlueMe_Sem_Pedido!$Q:$Q,DRE!T$4,Aut_BlueMe_Sem_Pedido!$H:$H,DRE!$A67)+SUMIFS(Aut_Ajustes_Manuais!$G:$G,Aut_Ajustes_Manuais!$I:$I,DRE!T$4,Aut_Ajustes_Manuais!$F:$F,"Brindes e Confraternizações - Eventos")</f>
        <v>0</v>
      </c>
      <c r="W67" s="241">
        <v>0</v>
      </c>
      <c r="X67" s="81">
        <v>0</v>
      </c>
      <c r="Y67" s="82">
        <f>SUMIFS(Aut_BlueMe_Sem_Pedido!$J:$J,Aut_BlueMe_Sem_Pedido!$Q:$Q,DRE!W$4,Aut_BlueMe_Sem_Pedido!$H:$H,DRE!$A67)+SUMIFS(Aut_Ajustes_Manuais!$G:$G,Aut_Ajustes_Manuais!$I:$I,DRE!W$4,Aut_Ajustes_Manuais!$F:$F,"Brindes e Confraternizações - Eventos")</f>
        <v>0</v>
      </c>
      <c r="Z67" s="241">
        <v>0</v>
      </c>
      <c r="AA67" s="81">
        <v>0</v>
      </c>
      <c r="AB67" s="82">
        <f>SUMIFS(Aut_BlueMe_Sem_Pedido!$J:$J,Aut_BlueMe_Sem_Pedido!$Q:$Q,DRE!Z$4,Aut_BlueMe_Sem_Pedido!$H:$H,DRE!$A67)+SUMIFS(Aut_Ajustes_Manuais!$G:$G,Aut_Ajustes_Manuais!$I:$I,DRE!Z$4,Aut_Ajustes_Manuais!$F:$F,"Brindes e Confraternizações - Eventos")</f>
        <v>0</v>
      </c>
      <c r="AC67" s="241">
        <v>0</v>
      </c>
      <c r="AD67" s="81">
        <v>0</v>
      </c>
      <c r="AE67" s="82">
        <f>SUMIFS(Aut_BlueMe_Sem_Pedido!$J:$J,Aut_BlueMe_Sem_Pedido!$Q:$Q,DRE!AC$4,Aut_BlueMe_Sem_Pedido!$H:$H,DRE!$A67)+SUMIFS(Aut_Ajustes_Manuais!$G:$G,Aut_Ajustes_Manuais!$I:$I,DRE!AC$4,Aut_Ajustes_Manuais!$F:$F,"Brindes e Confraternizações - Eventos")</f>
        <v>0</v>
      </c>
      <c r="AF67" s="241">
        <v>0</v>
      </c>
      <c r="AG67" s="81">
        <v>0</v>
      </c>
      <c r="AH67" s="82">
        <f>SUMIFS(Aut_BlueMe_Sem_Pedido!$J:$J,Aut_BlueMe_Sem_Pedido!$Q:$Q,DRE!AF$4,Aut_BlueMe_Sem_Pedido!$H:$H,DRE!$A67)+SUMIFS(Aut_Ajustes_Manuais!$G:$G,Aut_Ajustes_Manuais!$I:$I,DRE!AF$4,Aut_Ajustes_Manuais!$F:$F,"Brindes e Confraternizações - Eventos")</f>
        <v>0</v>
      </c>
      <c r="AI67" s="241">
        <v>0</v>
      </c>
      <c r="AJ67" s="81">
        <v>0</v>
      </c>
      <c r="AK67" s="82">
        <f>SUMIFS(Aut_BlueMe_Sem_Pedido!$J:$J,Aut_BlueMe_Sem_Pedido!$Q:$Q,DRE!AI$4,Aut_BlueMe_Sem_Pedido!$H:$H,DRE!$A67)+SUMIFS(Aut_Ajustes_Manuais!$G:$G,Aut_Ajustes_Manuais!$I:$I,DRE!AI$4,Aut_Ajustes_Manuais!$F:$F,"Brindes e Confraternizações - Eventos")</f>
        <v>0</v>
      </c>
      <c r="AL67" s="241">
        <v>-6785</v>
      </c>
      <c r="AM67" s="81">
        <v>0</v>
      </c>
      <c r="AN67" s="82">
        <f>SUMIFS(Aut_BlueMe_Sem_Pedido!$J:$J,Aut_BlueMe_Sem_Pedido!$Q:$Q,DRE!AL$4,Aut_BlueMe_Sem_Pedido!$H:$H,DRE!$A67)+SUMIFS(Aut_Ajustes_Manuais!$G:$G,Aut_Ajustes_Manuais!$I:$I,DRE!AL$4,Aut_Ajustes_Manuais!$F:$F,"Brindes e Confraternizações - Eventos")</f>
        <v>0</v>
      </c>
      <c r="AO67" s="241">
        <v>0</v>
      </c>
      <c r="AP67" s="81">
        <v>0</v>
      </c>
      <c r="AQ67" s="82">
        <f>SUMIFS(Aut_BlueMe_Sem_Pedido!$J:$J,Aut_BlueMe_Sem_Pedido!$Q:$Q,DRE!AO$4,Aut_BlueMe_Sem_Pedido!$H:$H,DRE!$A67)+SUMIFS(Aut_Ajustes_Manuais!$G:$G,Aut_Ajustes_Manuais!$I:$I,DRE!AO$4,Aut_Ajustes_Manuais!$F:$F,"Brindes e Confraternizações - Eventos")</f>
        <v>0</v>
      </c>
      <c r="AR67" s="241">
        <f t="shared" ca="1" si="65"/>
        <v>0</v>
      </c>
      <c r="AS67" s="27">
        <f t="shared" ca="1" si="66"/>
        <v>0</v>
      </c>
      <c r="AT67" s="82">
        <f t="shared" ca="1" si="67"/>
        <v>0</v>
      </c>
      <c r="AU67" s="241">
        <f t="shared" si="81"/>
        <v>-6785</v>
      </c>
      <c r="AV67" s="81">
        <f t="shared" si="81"/>
        <v>0</v>
      </c>
      <c r="AW67" s="82">
        <f t="shared" si="81"/>
        <v>0</v>
      </c>
      <c r="AX67" s="241">
        <f t="shared" si="82"/>
        <v>0</v>
      </c>
      <c r="AY67" s="81">
        <f t="shared" si="82"/>
        <v>0</v>
      </c>
      <c r="AZ67" s="82">
        <f t="shared" si="82"/>
        <v>0</v>
      </c>
      <c r="BA67" s="241">
        <f t="shared" si="83"/>
        <v>0</v>
      </c>
      <c r="BB67" s="81">
        <f t="shared" si="83"/>
        <v>0</v>
      </c>
      <c r="BC67" s="82">
        <f t="shared" si="83"/>
        <v>0</v>
      </c>
      <c r="BD67" s="241">
        <f t="shared" si="84"/>
        <v>0</v>
      </c>
      <c r="BE67" s="81">
        <f t="shared" si="84"/>
        <v>0</v>
      </c>
      <c r="BF67" s="82">
        <f t="shared" si="84"/>
        <v>0</v>
      </c>
      <c r="BG67" s="241">
        <f t="shared" si="85"/>
        <v>-6785</v>
      </c>
      <c r="BH67" s="81">
        <f t="shared" si="85"/>
        <v>0</v>
      </c>
      <c r="BI67" s="82">
        <f t="shared" si="85"/>
        <v>0</v>
      </c>
      <c r="BK67" s="448">
        <f t="shared" si="1"/>
        <v>0</v>
      </c>
      <c r="BL67" s="448">
        <f t="shared" si="2"/>
        <v>0</v>
      </c>
      <c r="BM67" s="448">
        <f t="shared" si="3"/>
        <v>0</v>
      </c>
      <c r="BN67" s="448">
        <f t="shared" ca="1" si="4"/>
        <v>0</v>
      </c>
    </row>
    <row r="68" spans="1:66" s="29" customFormat="1" hidden="1" outlineLevel="1" x14ac:dyDescent="0.3">
      <c r="A68" s="22" t="s">
        <v>90</v>
      </c>
      <c r="B68" s="2"/>
      <c r="C68" s="24"/>
      <c r="D68" s="69" t="s">
        <v>78</v>
      </c>
      <c r="E68" s="80"/>
      <c r="F68" s="41"/>
      <c r="G68" s="23"/>
      <c r="H68" s="241">
        <v>0</v>
      </c>
      <c r="I68" s="81">
        <v>0</v>
      </c>
      <c r="J68" s="82">
        <f>SUMIFS(Aut_BlueMe_Sem_Pedido!$J:$J,Aut_BlueMe_Sem_Pedido!$Q:$Q,DRE!H$4,Aut_BlueMe_Sem_Pedido!$H:$H,DRE!$A68)+SUMIFS(Aut_Ajustes_Manuais!$G:$G,Aut_Ajustes_Manuais!$I:$I,DRE!H$4,Aut_Ajustes_Manuais!$F:$F,"Material de Escritório - Eventos")</f>
        <v>0</v>
      </c>
      <c r="K68" s="254">
        <v>0</v>
      </c>
      <c r="L68" s="81">
        <v>0</v>
      </c>
      <c r="M68" s="82">
        <f>SUMIFS(Aut_BlueMe_Sem_Pedido!$J:$J,Aut_BlueMe_Sem_Pedido!$Q:$Q,DRE!K$4,Aut_BlueMe_Sem_Pedido!$H:$H,DRE!$A68)+SUMIFS(Aut_Ajustes_Manuais!$G:$G,Aut_Ajustes_Manuais!$I:$I,DRE!K$4,Aut_Ajustes_Manuais!$F:$F,"Material de Escritório - Eventos")</f>
        <v>0</v>
      </c>
      <c r="N68" s="254">
        <v>0</v>
      </c>
      <c r="O68" s="81">
        <v>0</v>
      </c>
      <c r="P68" s="82">
        <f>SUMIFS(Aut_BlueMe_Sem_Pedido!$J:$J,Aut_BlueMe_Sem_Pedido!$Q:$Q,DRE!N$4,Aut_BlueMe_Sem_Pedido!$H:$H,DRE!$A68)+SUMIFS(Aut_Ajustes_Manuais!$G:$G,Aut_Ajustes_Manuais!$I:$I,DRE!N$4,Aut_Ajustes_Manuais!$F:$F,"Material de Escritório - Eventos")</f>
        <v>0</v>
      </c>
      <c r="Q68" s="241">
        <v>0</v>
      </c>
      <c r="R68" s="81">
        <v>0</v>
      </c>
      <c r="S68" s="82">
        <f>SUMIFS(Aut_BlueMe_Sem_Pedido!$J:$J,Aut_BlueMe_Sem_Pedido!$Q:$Q,DRE!Q$4,Aut_BlueMe_Sem_Pedido!$H:$H,DRE!$A68)+SUMIFS(Aut_Ajustes_Manuais!$G:$G,Aut_Ajustes_Manuais!$I:$I,DRE!Q$4,Aut_Ajustes_Manuais!$F:$F,"Material de Escritório - Eventos")</f>
        <v>0</v>
      </c>
      <c r="T68" s="241">
        <v>0</v>
      </c>
      <c r="U68" s="81">
        <v>0</v>
      </c>
      <c r="V68" s="82">
        <f>SUMIFS(Aut_BlueMe_Sem_Pedido!$J:$J,Aut_BlueMe_Sem_Pedido!$Q:$Q,DRE!T$4,Aut_BlueMe_Sem_Pedido!$H:$H,DRE!$A68)+SUMIFS(Aut_Ajustes_Manuais!$G:$G,Aut_Ajustes_Manuais!$I:$I,DRE!T$4,Aut_Ajustes_Manuais!$F:$F,"Material de Escritório - Eventos")</f>
        <v>0</v>
      </c>
      <c r="W68" s="241">
        <v>0</v>
      </c>
      <c r="X68" s="81">
        <v>0</v>
      </c>
      <c r="Y68" s="82">
        <f>SUMIFS(Aut_BlueMe_Sem_Pedido!$J:$J,Aut_BlueMe_Sem_Pedido!$Q:$Q,DRE!W$4,Aut_BlueMe_Sem_Pedido!$H:$H,DRE!$A68)+SUMIFS(Aut_Ajustes_Manuais!$G:$G,Aut_Ajustes_Manuais!$I:$I,DRE!W$4,Aut_Ajustes_Manuais!$F:$F,"Material de Escritório - Eventos")</f>
        <v>0</v>
      </c>
      <c r="Z68" s="241">
        <v>0</v>
      </c>
      <c r="AA68" s="81">
        <v>0</v>
      </c>
      <c r="AB68" s="82">
        <f>SUMIFS(Aut_BlueMe_Sem_Pedido!$J:$J,Aut_BlueMe_Sem_Pedido!$Q:$Q,DRE!Z$4,Aut_BlueMe_Sem_Pedido!$H:$H,DRE!$A68)+SUMIFS(Aut_Ajustes_Manuais!$G:$G,Aut_Ajustes_Manuais!$I:$I,DRE!Z$4,Aut_Ajustes_Manuais!$F:$F,"Material de Escritório - Eventos")</f>
        <v>0</v>
      </c>
      <c r="AC68" s="241">
        <v>0</v>
      </c>
      <c r="AD68" s="81">
        <v>0</v>
      </c>
      <c r="AE68" s="82">
        <f>SUMIFS(Aut_BlueMe_Sem_Pedido!$J:$J,Aut_BlueMe_Sem_Pedido!$Q:$Q,DRE!AC$4,Aut_BlueMe_Sem_Pedido!$H:$H,DRE!$A68)+SUMIFS(Aut_Ajustes_Manuais!$G:$G,Aut_Ajustes_Manuais!$I:$I,DRE!AC$4,Aut_Ajustes_Manuais!$F:$F,"Material de Escritório - Eventos")</f>
        <v>0</v>
      </c>
      <c r="AF68" s="241">
        <v>0</v>
      </c>
      <c r="AG68" s="81">
        <v>0</v>
      </c>
      <c r="AH68" s="82">
        <f>SUMIFS(Aut_BlueMe_Sem_Pedido!$J:$J,Aut_BlueMe_Sem_Pedido!$Q:$Q,DRE!AF$4,Aut_BlueMe_Sem_Pedido!$H:$H,DRE!$A68)+SUMIFS(Aut_Ajustes_Manuais!$G:$G,Aut_Ajustes_Manuais!$I:$I,DRE!AF$4,Aut_Ajustes_Manuais!$F:$F,"Material de Escritório - Eventos")</f>
        <v>0</v>
      </c>
      <c r="AI68" s="241">
        <v>0</v>
      </c>
      <c r="AJ68" s="81">
        <v>0</v>
      </c>
      <c r="AK68" s="82">
        <f>SUMIFS(Aut_BlueMe_Sem_Pedido!$J:$J,Aut_BlueMe_Sem_Pedido!$Q:$Q,DRE!AI$4,Aut_BlueMe_Sem_Pedido!$H:$H,DRE!$A68)+SUMIFS(Aut_Ajustes_Manuais!$G:$G,Aut_Ajustes_Manuais!$I:$I,DRE!AI$4,Aut_Ajustes_Manuais!$F:$F,"Material de Escritório - Eventos")</f>
        <v>0</v>
      </c>
      <c r="AL68" s="241">
        <v>0</v>
      </c>
      <c r="AM68" s="81">
        <v>0</v>
      </c>
      <c r="AN68" s="82">
        <f>SUMIFS(Aut_BlueMe_Sem_Pedido!$J:$J,Aut_BlueMe_Sem_Pedido!$Q:$Q,DRE!AL$4,Aut_BlueMe_Sem_Pedido!$H:$H,DRE!$A68)+SUMIFS(Aut_Ajustes_Manuais!$G:$G,Aut_Ajustes_Manuais!$I:$I,DRE!AL$4,Aut_Ajustes_Manuais!$F:$F,"Material de Escritório - Eventos")</f>
        <v>0</v>
      </c>
      <c r="AO68" s="241">
        <v>0</v>
      </c>
      <c r="AP68" s="81">
        <v>0</v>
      </c>
      <c r="AQ68" s="82">
        <f>SUMIFS(Aut_BlueMe_Sem_Pedido!$J:$J,Aut_BlueMe_Sem_Pedido!$Q:$Q,DRE!AO$4,Aut_BlueMe_Sem_Pedido!$H:$H,DRE!$A68)+SUMIFS(Aut_Ajustes_Manuais!$G:$G,Aut_Ajustes_Manuais!$I:$I,DRE!AO$4,Aut_Ajustes_Manuais!$F:$F,"Material de Escritório - Eventos")</f>
        <v>0</v>
      </c>
      <c r="AR68" s="241">
        <f t="shared" ca="1" si="65"/>
        <v>0</v>
      </c>
      <c r="AS68" s="27">
        <f t="shared" ca="1" si="66"/>
        <v>0</v>
      </c>
      <c r="AT68" s="82">
        <f t="shared" ca="1" si="67"/>
        <v>0</v>
      </c>
      <c r="AU68" s="241">
        <f t="shared" si="81"/>
        <v>0</v>
      </c>
      <c r="AV68" s="81">
        <f t="shared" si="81"/>
        <v>0</v>
      </c>
      <c r="AW68" s="82">
        <f t="shared" si="81"/>
        <v>0</v>
      </c>
      <c r="AX68" s="241">
        <f t="shared" si="82"/>
        <v>0</v>
      </c>
      <c r="AY68" s="81">
        <f t="shared" si="82"/>
        <v>0</v>
      </c>
      <c r="AZ68" s="82">
        <f t="shared" si="82"/>
        <v>0</v>
      </c>
      <c r="BA68" s="241">
        <f t="shared" si="83"/>
        <v>0</v>
      </c>
      <c r="BB68" s="81">
        <f t="shared" si="83"/>
        <v>0</v>
      </c>
      <c r="BC68" s="82">
        <f t="shared" si="83"/>
        <v>0</v>
      </c>
      <c r="BD68" s="241">
        <f t="shared" si="84"/>
        <v>0</v>
      </c>
      <c r="BE68" s="81">
        <f t="shared" si="84"/>
        <v>0</v>
      </c>
      <c r="BF68" s="82">
        <f t="shared" si="84"/>
        <v>0</v>
      </c>
      <c r="BG68" s="241">
        <f t="shared" si="85"/>
        <v>0</v>
      </c>
      <c r="BH68" s="81">
        <f t="shared" si="85"/>
        <v>0</v>
      </c>
      <c r="BI68" s="82">
        <f t="shared" si="85"/>
        <v>0</v>
      </c>
      <c r="BK68" s="448">
        <f t="shared" si="1"/>
        <v>0</v>
      </c>
      <c r="BL68" s="448">
        <f t="shared" si="2"/>
        <v>0</v>
      </c>
      <c r="BM68" s="448">
        <f t="shared" si="3"/>
        <v>0</v>
      </c>
      <c r="BN68" s="448">
        <f t="shared" ca="1" si="4"/>
        <v>0</v>
      </c>
    </row>
    <row r="69" spans="1:66" s="29" customFormat="1" hidden="1" outlineLevel="1" x14ac:dyDescent="0.3">
      <c r="A69" s="22" t="s">
        <v>91</v>
      </c>
      <c r="B69" s="2"/>
      <c r="C69" s="24"/>
      <c r="D69" s="69" t="s">
        <v>78</v>
      </c>
      <c r="E69" s="80"/>
      <c r="F69" s="41"/>
      <c r="G69" s="23"/>
      <c r="H69" s="241">
        <v>0</v>
      </c>
      <c r="I69" s="81">
        <v>0</v>
      </c>
      <c r="J69" s="82">
        <f>SUMIFS(Aut_BlueMe_Sem_Pedido!$J:$J,Aut_BlueMe_Sem_Pedido!$Q:$Q,DRE!H$4,Aut_BlueMe_Sem_Pedido!$H:$H,DRE!$A69)+SUMIFS(Aut_Ajustes_Manuais!$G:$G,Aut_Ajustes_Manuais!$I:$I,DRE!H$4,Aut_Ajustes_Manuais!$F:$F,"Material de Manutenção - Eventos")</f>
        <v>0</v>
      </c>
      <c r="K69" s="254">
        <v>0</v>
      </c>
      <c r="L69" s="81">
        <v>0</v>
      </c>
      <c r="M69" s="82">
        <f>SUMIFS(Aut_BlueMe_Sem_Pedido!$J:$J,Aut_BlueMe_Sem_Pedido!$Q:$Q,DRE!K$4,Aut_BlueMe_Sem_Pedido!$H:$H,DRE!$A69)+SUMIFS(Aut_Ajustes_Manuais!$G:$G,Aut_Ajustes_Manuais!$I:$I,DRE!K$4,Aut_Ajustes_Manuais!$F:$F,"Material de Manutenção - Eventos")</f>
        <v>0</v>
      </c>
      <c r="N69" s="254">
        <v>0</v>
      </c>
      <c r="O69" s="81">
        <v>0</v>
      </c>
      <c r="P69" s="82">
        <f>SUMIFS(Aut_BlueMe_Sem_Pedido!$J:$J,Aut_BlueMe_Sem_Pedido!$Q:$Q,DRE!N$4,Aut_BlueMe_Sem_Pedido!$H:$H,DRE!$A69)+SUMIFS(Aut_Ajustes_Manuais!$G:$G,Aut_Ajustes_Manuais!$I:$I,DRE!N$4,Aut_Ajustes_Manuais!$F:$F,"Material de Manutenção - Eventos")</f>
        <v>0</v>
      </c>
      <c r="Q69" s="241">
        <v>0</v>
      </c>
      <c r="R69" s="81">
        <v>0</v>
      </c>
      <c r="S69" s="82">
        <f>SUMIFS(Aut_BlueMe_Sem_Pedido!$J:$J,Aut_BlueMe_Sem_Pedido!$Q:$Q,DRE!Q$4,Aut_BlueMe_Sem_Pedido!$H:$H,DRE!$A69)+SUMIFS(Aut_Ajustes_Manuais!$G:$G,Aut_Ajustes_Manuais!$I:$I,DRE!Q$4,Aut_Ajustes_Manuais!$F:$F,"Material de Manutenção - Eventos")</f>
        <v>0</v>
      </c>
      <c r="T69" s="241">
        <v>0</v>
      </c>
      <c r="U69" s="81">
        <v>0</v>
      </c>
      <c r="V69" s="82">
        <f>SUMIFS(Aut_BlueMe_Sem_Pedido!$J:$J,Aut_BlueMe_Sem_Pedido!$Q:$Q,DRE!T$4,Aut_BlueMe_Sem_Pedido!$H:$H,DRE!$A69)+SUMIFS(Aut_Ajustes_Manuais!$G:$G,Aut_Ajustes_Manuais!$I:$I,DRE!T$4,Aut_Ajustes_Manuais!$F:$F,"Material de Manutenção - Eventos")</f>
        <v>0</v>
      </c>
      <c r="W69" s="241">
        <v>0</v>
      </c>
      <c r="X69" s="81">
        <v>0</v>
      </c>
      <c r="Y69" s="82">
        <f>SUMIFS(Aut_BlueMe_Sem_Pedido!$J:$J,Aut_BlueMe_Sem_Pedido!$Q:$Q,DRE!W$4,Aut_BlueMe_Sem_Pedido!$H:$H,DRE!$A69)+SUMIFS(Aut_Ajustes_Manuais!$G:$G,Aut_Ajustes_Manuais!$I:$I,DRE!W$4,Aut_Ajustes_Manuais!$F:$F,"Material de Manutenção - Eventos")</f>
        <v>0</v>
      </c>
      <c r="Z69" s="241">
        <v>0</v>
      </c>
      <c r="AA69" s="81">
        <v>0</v>
      </c>
      <c r="AB69" s="82">
        <f>SUMIFS(Aut_BlueMe_Sem_Pedido!$J:$J,Aut_BlueMe_Sem_Pedido!$Q:$Q,DRE!Z$4,Aut_BlueMe_Sem_Pedido!$H:$H,DRE!$A69)+SUMIFS(Aut_Ajustes_Manuais!$G:$G,Aut_Ajustes_Manuais!$I:$I,DRE!Z$4,Aut_Ajustes_Manuais!$F:$F,"Material de Manutenção - Eventos")</f>
        <v>0</v>
      </c>
      <c r="AC69" s="241">
        <v>0</v>
      </c>
      <c r="AD69" s="81">
        <v>0</v>
      </c>
      <c r="AE69" s="82">
        <f>SUMIFS(Aut_BlueMe_Sem_Pedido!$J:$J,Aut_BlueMe_Sem_Pedido!$Q:$Q,DRE!AC$4,Aut_BlueMe_Sem_Pedido!$H:$H,DRE!$A69)+SUMIFS(Aut_Ajustes_Manuais!$G:$G,Aut_Ajustes_Manuais!$I:$I,DRE!AC$4,Aut_Ajustes_Manuais!$F:$F,"Material de Manutenção - Eventos")</f>
        <v>0</v>
      </c>
      <c r="AF69" s="241">
        <v>0</v>
      </c>
      <c r="AG69" s="81">
        <v>0</v>
      </c>
      <c r="AH69" s="82">
        <f>SUMIFS(Aut_BlueMe_Sem_Pedido!$J:$J,Aut_BlueMe_Sem_Pedido!$Q:$Q,DRE!AF$4,Aut_BlueMe_Sem_Pedido!$H:$H,DRE!$A69)+SUMIFS(Aut_Ajustes_Manuais!$G:$G,Aut_Ajustes_Manuais!$I:$I,DRE!AF$4,Aut_Ajustes_Manuais!$F:$F,"Material de Manutenção - Eventos")</f>
        <v>0</v>
      </c>
      <c r="AI69" s="241">
        <v>0</v>
      </c>
      <c r="AJ69" s="81">
        <v>0</v>
      </c>
      <c r="AK69" s="82">
        <f>SUMIFS(Aut_BlueMe_Sem_Pedido!$J:$J,Aut_BlueMe_Sem_Pedido!$Q:$Q,DRE!AI$4,Aut_BlueMe_Sem_Pedido!$H:$H,DRE!$A69)+SUMIFS(Aut_Ajustes_Manuais!$G:$G,Aut_Ajustes_Manuais!$I:$I,DRE!AI$4,Aut_Ajustes_Manuais!$F:$F,"Material de Manutenção - Eventos")</f>
        <v>0</v>
      </c>
      <c r="AL69" s="241">
        <v>0</v>
      </c>
      <c r="AM69" s="81">
        <v>0</v>
      </c>
      <c r="AN69" s="82">
        <f>SUMIFS(Aut_BlueMe_Sem_Pedido!$J:$J,Aut_BlueMe_Sem_Pedido!$Q:$Q,DRE!AL$4,Aut_BlueMe_Sem_Pedido!$H:$H,DRE!$A69)+SUMIFS(Aut_Ajustes_Manuais!$G:$G,Aut_Ajustes_Manuais!$I:$I,DRE!AL$4,Aut_Ajustes_Manuais!$F:$F,"Material de Manutenção - Eventos")</f>
        <v>0</v>
      </c>
      <c r="AO69" s="241">
        <v>0</v>
      </c>
      <c r="AP69" s="81">
        <v>0</v>
      </c>
      <c r="AQ69" s="82">
        <f>SUMIFS(Aut_BlueMe_Sem_Pedido!$J:$J,Aut_BlueMe_Sem_Pedido!$Q:$Q,DRE!AO$4,Aut_BlueMe_Sem_Pedido!$H:$H,DRE!$A69)+SUMIFS(Aut_Ajustes_Manuais!$G:$G,Aut_Ajustes_Manuais!$I:$I,DRE!AO$4,Aut_Ajustes_Manuais!$F:$F,"Material de Manutenção - Eventos")</f>
        <v>0</v>
      </c>
      <c r="AR69" s="241">
        <f t="shared" ca="1" si="65"/>
        <v>0</v>
      </c>
      <c r="AS69" s="27">
        <f t="shared" ca="1" si="66"/>
        <v>0</v>
      </c>
      <c r="AT69" s="82">
        <f t="shared" ca="1" si="67"/>
        <v>0</v>
      </c>
      <c r="AU69" s="241">
        <f t="shared" si="81"/>
        <v>0</v>
      </c>
      <c r="AV69" s="81">
        <f t="shared" si="81"/>
        <v>0</v>
      </c>
      <c r="AW69" s="82">
        <f t="shared" si="81"/>
        <v>0</v>
      </c>
      <c r="AX69" s="241">
        <f t="shared" si="82"/>
        <v>0</v>
      </c>
      <c r="AY69" s="81">
        <f t="shared" si="82"/>
        <v>0</v>
      </c>
      <c r="AZ69" s="82">
        <f t="shared" si="82"/>
        <v>0</v>
      </c>
      <c r="BA69" s="241">
        <f t="shared" si="83"/>
        <v>0</v>
      </c>
      <c r="BB69" s="81">
        <f t="shared" si="83"/>
        <v>0</v>
      </c>
      <c r="BC69" s="82">
        <f t="shared" si="83"/>
        <v>0</v>
      </c>
      <c r="BD69" s="241">
        <f t="shared" si="84"/>
        <v>0</v>
      </c>
      <c r="BE69" s="81">
        <f t="shared" si="84"/>
        <v>0</v>
      </c>
      <c r="BF69" s="82">
        <f t="shared" si="84"/>
        <v>0</v>
      </c>
      <c r="BG69" s="241">
        <f t="shared" si="85"/>
        <v>0</v>
      </c>
      <c r="BH69" s="81">
        <f t="shared" si="85"/>
        <v>0</v>
      </c>
      <c r="BI69" s="82">
        <f t="shared" si="85"/>
        <v>0</v>
      </c>
      <c r="BK69" s="448">
        <f t="shared" si="1"/>
        <v>0</v>
      </c>
      <c r="BL69" s="448">
        <f t="shared" si="2"/>
        <v>0</v>
      </c>
      <c r="BM69" s="448">
        <f t="shared" si="3"/>
        <v>0</v>
      </c>
      <c r="BN69" s="448">
        <f t="shared" ca="1" si="4"/>
        <v>0</v>
      </c>
    </row>
    <row r="70" spans="1:66" ht="18" hidden="1" customHeight="1" outlineLevel="1" x14ac:dyDescent="0.3">
      <c r="A70" s="73" t="s">
        <v>92</v>
      </c>
      <c r="C70" s="24"/>
      <c r="D70" s="69"/>
      <c r="E70" s="80"/>
      <c r="F70" s="41"/>
      <c r="H70" s="252">
        <v>0</v>
      </c>
      <c r="I70" s="74">
        <v>0</v>
      </c>
      <c r="J70" s="76">
        <f>SUM(J71:J72)+SUMIFS(Aut_Ajustes_Manuais!$G:$G,Aut_Ajustes_Manuais!$I:$I,DRE!H$4,Aut_Ajustes_Manuais!$F:$F,"Manutenção Geral")</f>
        <v>0</v>
      </c>
      <c r="K70" s="252">
        <v>0</v>
      </c>
      <c r="L70" s="74">
        <v>0</v>
      </c>
      <c r="M70" s="76">
        <f>SUM(M71:M72)+SUMIFS(Aut_Ajustes_Manuais!$G:$G,Aut_Ajustes_Manuais!$I:$I,DRE!K$4,Aut_Ajustes_Manuais!$F:$F,"Manutenção Geral")</f>
        <v>0</v>
      </c>
      <c r="N70" s="252">
        <v>0</v>
      </c>
      <c r="O70" s="74">
        <v>0</v>
      </c>
      <c r="P70" s="76">
        <f>SUM(P71:P72)+SUMIFS(Aut_Ajustes_Manuais!$G:$G,Aut_Ajustes_Manuais!$I:$I,DRE!N$4,Aut_Ajustes_Manuais!$F:$F,"Manutenção Geral")</f>
        <v>0</v>
      </c>
      <c r="Q70" s="252">
        <v>0</v>
      </c>
      <c r="R70" s="74">
        <v>0</v>
      </c>
      <c r="S70" s="76">
        <f>SUM(S71:S72)+SUMIFS(Aut_Ajustes_Manuais!$G:$G,Aut_Ajustes_Manuais!$I:$I,DRE!Q$4,Aut_Ajustes_Manuais!$F:$F,"Manutenção Geral")</f>
        <v>0</v>
      </c>
      <c r="T70" s="252">
        <v>0</v>
      </c>
      <c r="U70" s="74">
        <v>0</v>
      </c>
      <c r="V70" s="76">
        <f>SUM(V71:V72)+SUMIFS(Aut_Ajustes_Manuais!$G:$G,Aut_Ajustes_Manuais!$I:$I,DRE!T$4,Aut_Ajustes_Manuais!$F:$F,"Manutenção Geral")</f>
        <v>0</v>
      </c>
      <c r="W70" s="252">
        <v>0</v>
      </c>
      <c r="X70" s="74">
        <v>0</v>
      </c>
      <c r="Y70" s="76">
        <f>SUM(Y71:Y72)+SUMIFS(Aut_Ajustes_Manuais!$G:$G,Aut_Ajustes_Manuais!$I:$I,DRE!W$4,Aut_Ajustes_Manuais!$F:$F,"Manutenção Geral")</f>
        <v>0</v>
      </c>
      <c r="Z70" s="252">
        <v>0</v>
      </c>
      <c r="AA70" s="74">
        <v>0</v>
      </c>
      <c r="AB70" s="76">
        <f>SUM(AB71:AB72)+SUMIFS(Aut_Ajustes_Manuais!$G:$G,Aut_Ajustes_Manuais!$I:$I,DRE!Z$4,Aut_Ajustes_Manuais!$F:$F,"Manutenção Geral")</f>
        <v>0</v>
      </c>
      <c r="AC70" s="252">
        <v>0</v>
      </c>
      <c r="AD70" s="74">
        <v>0</v>
      </c>
      <c r="AE70" s="76">
        <f>SUM(AE71:AE72)+SUMIFS(Aut_Ajustes_Manuais!$G:$G,Aut_Ajustes_Manuais!$I:$I,DRE!AC$4,Aut_Ajustes_Manuais!$F:$F,"Manutenção Geral")</f>
        <v>0</v>
      </c>
      <c r="AF70" s="252">
        <v>0</v>
      </c>
      <c r="AG70" s="74">
        <v>0</v>
      </c>
      <c r="AH70" s="76">
        <f>SUM(AH71:AH72)+SUMIFS(Aut_Ajustes_Manuais!$G:$G,Aut_Ajustes_Manuais!$I:$I,DRE!AF$4,Aut_Ajustes_Manuais!$F:$F,"Manutenção Geral")</f>
        <v>0</v>
      </c>
      <c r="AI70" s="252">
        <v>0</v>
      </c>
      <c r="AJ70" s="74">
        <v>0</v>
      </c>
      <c r="AK70" s="76">
        <f>SUM(AK71:AK72)+SUMIFS(Aut_Ajustes_Manuais!$G:$G,Aut_Ajustes_Manuais!$I:$I,DRE!AI$4,Aut_Ajustes_Manuais!$F:$F,"Manutenção Geral")</f>
        <v>0</v>
      </c>
      <c r="AL70" s="252">
        <v>0</v>
      </c>
      <c r="AM70" s="74">
        <v>0</v>
      </c>
      <c r="AN70" s="76">
        <f>SUM(AN71:AN72)+SUMIFS(Aut_Ajustes_Manuais!$G:$G,Aut_Ajustes_Manuais!$I:$I,DRE!AL$4,Aut_Ajustes_Manuais!$F:$F,"Manutenção Geral")</f>
        <v>0</v>
      </c>
      <c r="AO70" s="252">
        <v>0</v>
      </c>
      <c r="AP70" s="74">
        <v>0</v>
      </c>
      <c r="AQ70" s="76">
        <f>SUM(AQ71:AQ72)+SUMIFS(Aut_Ajustes_Manuais!$G:$G,Aut_Ajustes_Manuais!$I:$I,DRE!AO$4,Aut_Ajustes_Manuais!$F:$F,"Manutenção Geral")</f>
        <v>0</v>
      </c>
      <c r="AR70" s="241">
        <f t="shared" ca="1" si="65"/>
        <v>0</v>
      </c>
      <c r="AS70" s="27">
        <f t="shared" ca="1" si="66"/>
        <v>0</v>
      </c>
      <c r="AT70" s="76">
        <f t="shared" ca="1" si="67"/>
        <v>0</v>
      </c>
      <c r="AU70" s="252">
        <f t="shared" ref="AU70:BI70" si="86">SUM(AU71:AU72)</f>
        <v>0</v>
      </c>
      <c r="AV70" s="74">
        <f t="shared" si="86"/>
        <v>0</v>
      </c>
      <c r="AW70" s="76">
        <f t="shared" si="86"/>
        <v>0</v>
      </c>
      <c r="AX70" s="252">
        <f t="shared" si="86"/>
        <v>0</v>
      </c>
      <c r="AY70" s="74">
        <f t="shared" si="86"/>
        <v>0</v>
      </c>
      <c r="AZ70" s="76">
        <f t="shared" si="86"/>
        <v>0</v>
      </c>
      <c r="BA70" s="252">
        <f t="shared" si="86"/>
        <v>0</v>
      </c>
      <c r="BB70" s="74">
        <f t="shared" si="86"/>
        <v>0</v>
      </c>
      <c r="BC70" s="76">
        <f t="shared" si="86"/>
        <v>0</v>
      </c>
      <c r="BD70" s="252">
        <f t="shared" si="86"/>
        <v>0</v>
      </c>
      <c r="BE70" s="74">
        <f t="shared" si="86"/>
        <v>0</v>
      </c>
      <c r="BF70" s="76">
        <f t="shared" si="86"/>
        <v>0</v>
      </c>
      <c r="BG70" s="252">
        <f t="shared" si="86"/>
        <v>0</v>
      </c>
      <c r="BH70" s="74">
        <f t="shared" si="86"/>
        <v>0</v>
      </c>
      <c r="BI70" s="76">
        <f t="shared" si="86"/>
        <v>0</v>
      </c>
      <c r="BK70" s="448">
        <f t="shared" si="1"/>
        <v>0</v>
      </c>
      <c r="BL70" s="448">
        <f t="shared" si="2"/>
        <v>0</v>
      </c>
      <c r="BM70" s="448">
        <f t="shared" si="3"/>
        <v>0</v>
      </c>
      <c r="BN70" s="448">
        <f t="shared" ca="1" si="4"/>
        <v>0</v>
      </c>
    </row>
    <row r="71" spans="1:66" s="29" customFormat="1" hidden="1" outlineLevel="1" x14ac:dyDescent="0.3">
      <c r="A71" s="22" t="s">
        <v>93</v>
      </c>
      <c r="B71" s="2"/>
      <c r="C71" s="24" t="s">
        <v>94</v>
      </c>
      <c r="D71" s="69" t="s">
        <v>78</v>
      </c>
      <c r="E71" s="80"/>
      <c r="F71" s="41"/>
      <c r="G71" s="23"/>
      <c r="H71" s="241">
        <v>0</v>
      </c>
      <c r="I71" s="81">
        <v>0</v>
      </c>
      <c r="J71" s="82">
        <f>SUMIFS(Aut_BlueMe_Sem_Pedido!$J:$J,Aut_BlueMe_Sem_Pedido!$Q:$Q,DRE!H$4,Aut_BlueMe_Sem_Pedido!$H:$H,DRE!$A71)+SUMIFS(Aut_Ajustes_Manuais!$G:$G,Aut_Ajustes_Manuais!$I:$I,DRE!H$4,Aut_Ajustes_Manuais!$F:$F,"Serviço de Manutenção - Estrutura - Eventos")</f>
        <v>0</v>
      </c>
      <c r="K71" s="254">
        <v>0</v>
      </c>
      <c r="L71" s="81">
        <v>0</v>
      </c>
      <c r="M71" s="82">
        <f>SUMIFS(Aut_BlueMe_Sem_Pedido!$J:$J,Aut_BlueMe_Sem_Pedido!$Q:$Q,DRE!K$4,Aut_BlueMe_Sem_Pedido!$H:$H,DRE!$A71)+SUMIFS(Aut_Ajustes_Manuais!$G:$G,Aut_Ajustes_Manuais!$I:$I,DRE!K$4,Aut_Ajustes_Manuais!$F:$F,"Serviço de Manutenção - Estrutura - Eventos")</f>
        <v>0</v>
      </c>
      <c r="N71" s="254">
        <v>0</v>
      </c>
      <c r="O71" s="81">
        <v>0</v>
      </c>
      <c r="P71" s="82">
        <f>SUMIFS(Aut_BlueMe_Sem_Pedido!$J:$J,Aut_BlueMe_Sem_Pedido!$Q:$Q,DRE!N$4,Aut_BlueMe_Sem_Pedido!$H:$H,DRE!$A71)+SUMIFS(Aut_Ajustes_Manuais!$G:$G,Aut_Ajustes_Manuais!$I:$I,DRE!N$4,Aut_Ajustes_Manuais!$F:$F,"Serviço de Manutenção - Estrutura - Eventos")</f>
        <v>0</v>
      </c>
      <c r="Q71" s="241">
        <v>0</v>
      </c>
      <c r="R71" s="81">
        <v>0</v>
      </c>
      <c r="S71" s="82">
        <f>SUMIFS(Aut_BlueMe_Sem_Pedido!$J:$J,Aut_BlueMe_Sem_Pedido!$Q:$Q,DRE!Q$4,Aut_BlueMe_Sem_Pedido!$H:$H,DRE!$A71)+SUMIFS(Aut_Ajustes_Manuais!$G:$G,Aut_Ajustes_Manuais!$I:$I,DRE!Q$4,Aut_Ajustes_Manuais!$F:$F,"Serviço de Manutenção - Estrutura - Eventos")</f>
        <v>0</v>
      </c>
      <c r="T71" s="241">
        <v>0</v>
      </c>
      <c r="U71" s="81">
        <v>0</v>
      </c>
      <c r="V71" s="82">
        <f>SUMIFS(Aut_BlueMe_Sem_Pedido!$J:$J,Aut_BlueMe_Sem_Pedido!$Q:$Q,DRE!T$4,Aut_BlueMe_Sem_Pedido!$H:$H,DRE!$A71)+SUMIFS(Aut_Ajustes_Manuais!$G:$G,Aut_Ajustes_Manuais!$I:$I,DRE!T$4,Aut_Ajustes_Manuais!$F:$F,"Serviço de Manutenção - Estrutura - Eventos")</f>
        <v>0</v>
      </c>
      <c r="W71" s="241">
        <v>0</v>
      </c>
      <c r="X71" s="81">
        <v>0</v>
      </c>
      <c r="Y71" s="82">
        <f>SUMIFS(Aut_BlueMe_Sem_Pedido!$J:$J,Aut_BlueMe_Sem_Pedido!$Q:$Q,DRE!W$4,Aut_BlueMe_Sem_Pedido!$H:$H,DRE!$A71)+SUMIFS(Aut_Ajustes_Manuais!$G:$G,Aut_Ajustes_Manuais!$I:$I,DRE!W$4,Aut_Ajustes_Manuais!$F:$F,"Serviço de Manutenção - Estrutura - Eventos")</f>
        <v>0</v>
      </c>
      <c r="Z71" s="241">
        <v>0</v>
      </c>
      <c r="AA71" s="81">
        <v>0</v>
      </c>
      <c r="AB71" s="82">
        <f>SUMIFS(Aut_BlueMe_Sem_Pedido!$J:$J,Aut_BlueMe_Sem_Pedido!$Q:$Q,DRE!Z$4,Aut_BlueMe_Sem_Pedido!$H:$H,DRE!$A71)+SUMIFS(Aut_Ajustes_Manuais!$G:$G,Aut_Ajustes_Manuais!$I:$I,DRE!Z$4,Aut_Ajustes_Manuais!$F:$F,"Serviço de Manutenção - Estrutura - Eventos")</f>
        <v>0</v>
      </c>
      <c r="AC71" s="241">
        <v>0</v>
      </c>
      <c r="AD71" s="81">
        <v>0</v>
      </c>
      <c r="AE71" s="82">
        <f>SUMIFS(Aut_BlueMe_Sem_Pedido!$J:$J,Aut_BlueMe_Sem_Pedido!$Q:$Q,DRE!AC$4,Aut_BlueMe_Sem_Pedido!$H:$H,DRE!$A71)+SUMIFS(Aut_Ajustes_Manuais!$G:$G,Aut_Ajustes_Manuais!$I:$I,DRE!AC$4,Aut_Ajustes_Manuais!$F:$F,"Serviço de Manutenção - Estrutura - Eventos")</f>
        <v>0</v>
      </c>
      <c r="AF71" s="241">
        <v>0</v>
      </c>
      <c r="AG71" s="81">
        <v>0</v>
      </c>
      <c r="AH71" s="82">
        <f>SUMIFS(Aut_BlueMe_Sem_Pedido!$J:$J,Aut_BlueMe_Sem_Pedido!$Q:$Q,DRE!AF$4,Aut_BlueMe_Sem_Pedido!$H:$H,DRE!$A71)+SUMIFS(Aut_Ajustes_Manuais!$G:$G,Aut_Ajustes_Manuais!$I:$I,DRE!AF$4,Aut_Ajustes_Manuais!$F:$F,"Serviço de Manutenção - Estrutura - Eventos")</f>
        <v>0</v>
      </c>
      <c r="AI71" s="241">
        <v>0</v>
      </c>
      <c r="AJ71" s="81">
        <v>0</v>
      </c>
      <c r="AK71" s="82">
        <f>SUMIFS(Aut_BlueMe_Sem_Pedido!$J:$J,Aut_BlueMe_Sem_Pedido!$Q:$Q,DRE!AI$4,Aut_BlueMe_Sem_Pedido!$H:$H,DRE!$A71)+SUMIFS(Aut_Ajustes_Manuais!$G:$G,Aut_Ajustes_Manuais!$I:$I,DRE!AI$4,Aut_Ajustes_Manuais!$F:$F,"Serviço de Manutenção - Estrutura - Eventos")</f>
        <v>0</v>
      </c>
      <c r="AL71" s="241">
        <v>0</v>
      </c>
      <c r="AM71" s="81">
        <v>0</v>
      </c>
      <c r="AN71" s="82">
        <f>SUMIFS(Aut_BlueMe_Sem_Pedido!$J:$J,Aut_BlueMe_Sem_Pedido!$Q:$Q,DRE!AL$4,Aut_BlueMe_Sem_Pedido!$H:$H,DRE!$A71)+SUMIFS(Aut_Ajustes_Manuais!$G:$G,Aut_Ajustes_Manuais!$I:$I,DRE!AL$4,Aut_Ajustes_Manuais!$F:$F,"Serviço de Manutenção - Estrutura - Eventos")</f>
        <v>0</v>
      </c>
      <c r="AO71" s="241">
        <v>0</v>
      </c>
      <c r="AP71" s="81">
        <v>0</v>
      </c>
      <c r="AQ71" s="82">
        <f>SUMIFS(Aut_BlueMe_Sem_Pedido!$J:$J,Aut_BlueMe_Sem_Pedido!$Q:$Q,DRE!AO$4,Aut_BlueMe_Sem_Pedido!$H:$H,DRE!$A71)+SUMIFS(Aut_Ajustes_Manuais!$G:$G,Aut_Ajustes_Manuais!$I:$I,DRE!AO$4,Aut_Ajustes_Manuais!$F:$F,"Serviço de Manutenção - Estrutura - Eventos")</f>
        <v>0</v>
      </c>
      <c r="AR71" s="241">
        <f t="shared" ca="1" si="65"/>
        <v>0</v>
      </c>
      <c r="AS71" s="27">
        <f t="shared" ca="1" si="66"/>
        <v>0</v>
      </c>
      <c r="AT71" s="82">
        <f t="shared" ca="1" si="67"/>
        <v>0</v>
      </c>
      <c r="AU71" s="241"/>
      <c r="AV71" s="81"/>
      <c r="AW71" s="82"/>
      <c r="AX71" s="241"/>
      <c r="AY71" s="81">
        <v>0</v>
      </c>
      <c r="AZ71" s="82"/>
      <c r="BA71" s="241"/>
      <c r="BB71" s="81">
        <v>0</v>
      </c>
      <c r="BC71" s="82"/>
      <c r="BD71" s="241"/>
      <c r="BE71" s="81">
        <v>0</v>
      </c>
      <c r="BF71" s="82"/>
      <c r="BG71" s="241"/>
      <c r="BH71" s="81">
        <v>0</v>
      </c>
      <c r="BI71" s="82"/>
      <c r="BK71" s="448">
        <f t="shared" si="1"/>
        <v>0</v>
      </c>
      <c r="BL71" s="448">
        <f t="shared" si="2"/>
        <v>0</v>
      </c>
      <c r="BM71" s="448">
        <f t="shared" si="3"/>
        <v>0</v>
      </c>
      <c r="BN71" s="448">
        <f t="shared" ca="1" si="4"/>
        <v>0</v>
      </c>
    </row>
    <row r="72" spans="1:66" s="29" customFormat="1" hidden="1" outlineLevel="1" x14ac:dyDescent="0.3">
      <c r="A72" s="22" t="s">
        <v>95</v>
      </c>
      <c r="B72" s="2"/>
      <c r="C72" s="24" t="s">
        <v>96</v>
      </c>
      <c r="D72" s="69" t="s">
        <v>78</v>
      </c>
      <c r="E72" s="80"/>
      <c r="F72" s="41"/>
      <c r="G72" s="23"/>
      <c r="H72" s="241">
        <v>0</v>
      </c>
      <c r="I72" s="81">
        <v>0</v>
      </c>
      <c r="J72" s="82">
        <f>SUMIFS(Aut_BlueMe_Sem_Pedido!$J:$J,Aut_BlueMe_Sem_Pedido!$Q:$Q,DRE!H$4,Aut_BlueMe_Sem_Pedido!$H:$H,DRE!$A72)+SUMIFS(Aut_Ajustes_Manuais!$G:$G,Aut_Ajustes_Manuais!$I:$I,DRE!H$4,Aut_Ajustes_Manuais!$F:$F,"Serviço de Manutenção - Equipamentos - Eventos")</f>
        <v>0</v>
      </c>
      <c r="K72" s="254">
        <v>0</v>
      </c>
      <c r="L72" s="81">
        <v>0</v>
      </c>
      <c r="M72" s="82">
        <f>SUMIFS(Aut_BlueMe_Sem_Pedido!$J:$J,Aut_BlueMe_Sem_Pedido!$Q:$Q,DRE!K$4,Aut_BlueMe_Sem_Pedido!$H:$H,DRE!$A72)+SUMIFS(Aut_Ajustes_Manuais!$G:$G,Aut_Ajustes_Manuais!$I:$I,DRE!K$4,Aut_Ajustes_Manuais!$F:$F,"Serviço de Manutenção - Equipamentos - Eventos")</f>
        <v>0</v>
      </c>
      <c r="N72" s="254">
        <v>0</v>
      </c>
      <c r="O72" s="81">
        <v>0</v>
      </c>
      <c r="P72" s="82">
        <f>SUMIFS(Aut_BlueMe_Sem_Pedido!$J:$J,Aut_BlueMe_Sem_Pedido!$Q:$Q,DRE!N$4,Aut_BlueMe_Sem_Pedido!$H:$H,DRE!$A72)+SUMIFS(Aut_Ajustes_Manuais!$G:$G,Aut_Ajustes_Manuais!$I:$I,DRE!N$4,Aut_Ajustes_Manuais!$F:$F,"Serviço de Manutenção - Equipamentos - Eventos")</f>
        <v>0</v>
      </c>
      <c r="Q72" s="241">
        <v>0</v>
      </c>
      <c r="R72" s="81">
        <v>0</v>
      </c>
      <c r="S72" s="82">
        <f>SUMIFS(Aut_BlueMe_Sem_Pedido!$J:$J,Aut_BlueMe_Sem_Pedido!$Q:$Q,DRE!Q$4,Aut_BlueMe_Sem_Pedido!$H:$H,DRE!$A72)+SUMIFS(Aut_Ajustes_Manuais!$G:$G,Aut_Ajustes_Manuais!$I:$I,DRE!Q$4,Aut_Ajustes_Manuais!$F:$F,"Serviço de Manutenção - Equipamentos - Eventos")</f>
        <v>0</v>
      </c>
      <c r="T72" s="241">
        <v>0</v>
      </c>
      <c r="U72" s="81">
        <v>0</v>
      </c>
      <c r="V72" s="82">
        <f>SUMIFS(Aut_BlueMe_Sem_Pedido!$J:$J,Aut_BlueMe_Sem_Pedido!$Q:$Q,DRE!T$4,Aut_BlueMe_Sem_Pedido!$H:$H,DRE!$A72)+SUMIFS(Aut_Ajustes_Manuais!$G:$G,Aut_Ajustes_Manuais!$I:$I,DRE!T$4,Aut_Ajustes_Manuais!$F:$F,"Serviço de Manutenção - Equipamentos - Eventos")</f>
        <v>0</v>
      </c>
      <c r="W72" s="241">
        <v>0</v>
      </c>
      <c r="X72" s="81">
        <v>0</v>
      </c>
      <c r="Y72" s="82">
        <f>SUMIFS(Aut_BlueMe_Sem_Pedido!$J:$J,Aut_BlueMe_Sem_Pedido!$Q:$Q,DRE!W$4,Aut_BlueMe_Sem_Pedido!$H:$H,DRE!$A72)+SUMIFS(Aut_Ajustes_Manuais!$G:$G,Aut_Ajustes_Manuais!$I:$I,DRE!W$4,Aut_Ajustes_Manuais!$F:$F,"Serviço de Manutenção - Equipamentos - Eventos")</f>
        <v>0</v>
      </c>
      <c r="Z72" s="241">
        <v>0</v>
      </c>
      <c r="AA72" s="81">
        <v>0</v>
      </c>
      <c r="AB72" s="82">
        <f>SUMIFS(Aut_BlueMe_Sem_Pedido!$J:$J,Aut_BlueMe_Sem_Pedido!$Q:$Q,DRE!Z$4,Aut_BlueMe_Sem_Pedido!$H:$H,DRE!$A72)+SUMIFS(Aut_Ajustes_Manuais!$G:$G,Aut_Ajustes_Manuais!$I:$I,DRE!Z$4,Aut_Ajustes_Manuais!$F:$F,"Serviço de Manutenção - Equipamentos - Eventos")</f>
        <v>0</v>
      </c>
      <c r="AC72" s="241">
        <v>0</v>
      </c>
      <c r="AD72" s="81">
        <v>0</v>
      </c>
      <c r="AE72" s="82">
        <f>SUMIFS(Aut_BlueMe_Sem_Pedido!$J:$J,Aut_BlueMe_Sem_Pedido!$Q:$Q,DRE!AC$4,Aut_BlueMe_Sem_Pedido!$H:$H,DRE!$A72)+SUMIFS(Aut_Ajustes_Manuais!$G:$G,Aut_Ajustes_Manuais!$I:$I,DRE!AC$4,Aut_Ajustes_Manuais!$F:$F,"Serviço de Manutenção - Equipamentos - Eventos")</f>
        <v>0</v>
      </c>
      <c r="AF72" s="241">
        <v>0</v>
      </c>
      <c r="AG72" s="81">
        <v>0</v>
      </c>
      <c r="AH72" s="82">
        <f>SUMIFS(Aut_BlueMe_Sem_Pedido!$J:$J,Aut_BlueMe_Sem_Pedido!$Q:$Q,DRE!AF$4,Aut_BlueMe_Sem_Pedido!$H:$H,DRE!$A72)+SUMIFS(Aut_Ajustes_Manuais!$G:$G,Aut_Ajustes_Manuais!$I:$I,DRE!AF$4,Aut_Ajustes_Manuais!$F:$F,"Serviço de Manutenção - Equipamentos - Eventos")</f>
        <v>0</v>
      </c>
      <c r="AI72" s="241">
        <v>0</v>
      </c>
      <c r="AJ72" s="81">
        <v>0</v>
      </c>
      <c r="AK72" s="82">
        <f>SUMIFS(Aut_BlueMe_Sem_Pedido!$J:$J,Aut_BlueMe_Sem_Pedido!$Q:$Q,DRE!AI$4,Aut_BlueMe_Sem_Pedido!$H:$H,DRE!$A72)+SUMIFS(Aut_Ajustes_Manuais!$G:$G,Aut_Ajustes_Manuais!$I:$I,DRE!AI$4,Aut_Ajustes_Manuais!$F:$F,"Serviço de Manutenção - Equipamentos - Eventos")</f>
        <v>0</v>
      </c>
      <c r="AL72" s="241">
        <v>0</v>
      </c>
      <c r="AM72" s="81">
        <v>0</v>
      </c>
      <c r="AN72" s="82">
        <f>SUMIFS(Aut_BlueMe_Sem_Pedido!$J:$J,Aut_BlueMe_Sem_Pedido!$Q:$Q,DRE!AL$4,Aut_BlueMe_Sem_Pedido!$H:$H,DRE!$A72)+SUMIFS(Aut_Ajustes_Manuais!$G:$G,Aut_Ajustes_Manuais!$I:$I,DRE!AL$4,Aut_Ajustes_Manuais!$F:$F,"Serviço de Manutenção - Equipamentos - Eventos")</f>
        <v>0</v>
      </c>
      <c r="AO72" s="241">
        <v>0</v>
      </c>
      <c r="AP72" s="81">
        <v>0</v>
      </c>
      <c r="AQ72" s="82">
        <f>SUMIFS(Aut_BlueMe_Sem_Pedido!$J:$J,Aut_BlueMe_Sem_Pedido!$Q:$Q,DRE!AO$4,Aut_BlueMe_Sem_Pedido!$H:$H,DRE!$A72)+SUMIFS(Aut_Ajustes_Manuais!$G:$G,Aut_Ajustes_Manuais!$I:$I,DRE!AO$4,Aut_Ajustes_Manuais!$F:$F,"Serviço de Manutenção - Equipamentos - Eventos")</f>
        <v>0</v>
      </c>
      <c r="AR72" s="241">
        <f t="shared" ca="1" si="65"/>
        <v>0</v>
      </c>
      <c r="AS72" s="27">
        <f t="shared" ca="1" si="66"/>
        <v>0</v>
      </c>
      <c r="AT72" s="82">
        <f t="shared" ca="1" si="67"/>
        <v>0</v>
      </c>
      <c r="AU72" s="241"/>
      <c r="AV72" s="81"/>
      <c r="AW72" s="82"/>
      <c r="AX72" s="241"/>
      <c r="AY72" s="81">
        <v>0</v>
      </c>
      <c r="AZ72" s="82"/>
      <c r="BA72" s="241"/>
      <c r="BB72" s="81">
        <v>0</v>
      </c>
      <c r="BC72" s="82"/>
      <c r="BD72" s="241"/>
      <c r="BE72" s="81">
        <v>0</v>
      </c>
      <c r="BF72" s="82"/>
      <c r="BG72" s="241"/>
      <c r="BH72" s="81">
        <v>0</v>
      </c>
      <c r="BI72" s="82"/>
      <c r="BK72" s="448">
        <f t="shared" ref="BK72:BK135" si="87">SUM(I72,L72,O72,R72,U72,X72,AA72,AD72,AG72,AJ72,AM72,AP72)</f>
        <v>0</v>
      </c>
      <c r="BL72" s="448">
        <f t="shared" ref="BL72:BL135" si="88">BK72-AV72</f>
        <v>0</v>
      </c>
      <c r="BM72" s="448">
        <f t="shared" ref="BM72:BM135" si="89">SUM(J72,M72,P72,S72,V72)</f>
        <v>0</v>
      </c>
      <c r="BN72" s="448">
        <f t="shared" ref="BN72:BN135" ca="1" si="90">BM72-AT72</f>
        <v>0</v>
      </c>
    </row>
    <row r="73" spans="1:66" ht="18" hidden="1" customHeight="1" outlineLevel="1" x14ac:dyDescent="0.3">
      <c r="A73" s="73" t="s">
        <v>97</v>
      </c>
      <c r="C73" s="24"/>
      <c r="D73" s="69"/>
      <c r="E73" s="80"/>
      <c r="F73" s="41"/>
      <c r="H73" s="252">
        <v>0</v>
      </c>
      <c r="I73" s="74">
        <v>0</v>
      </c>
      <c r="J73" s="76">
        <f>SUM(J74:J76)+SUMIFS(Aut_Ajustes_Manuais!$G:$G,Aut_Ajustes_Manuais!$I:$I,DRE!H$4,Aut_Ajustes_Manuais!$F:$F,"Transportes")</f>
        <v>0</v>
      </c>
      <c r="K73" s="252">
        <v>0</v>
      </c>
      <c r="L73" s="74">
        <v>0</v>
      </c>
      <c r="M73" s="76">
        <f>SUM(M74:M76)+SUMIFS(Aut_Ajustes_Manuais!$G:$G,Aut_Ajustes_Manuais!$I:$I,DRE!K$4,Aut_Ajustes_Manuais!$F:$F,"Transportes")</f>
        <v>0</v>
      </c>
      <c r="N73" s="252">
        <v>0</v>
      </c>
      <c r="O73" s="74">
        <v>0</v>
      </c>
      <c r="P73" s="76">
        <f>SUM(P74:P76)+SUMIFS(Aut_Ajustes_Manuais!$G:$G,Aut_Ajustes_Manuais!$I:$I,DRE!N$4,Aut_Ajustes_Manuais!$F:$F,"Transportes")</f>
        <v>0</v>
      </c>
      <c r="Q73" s="252">
        <v>0</v>
      </c>
      <c r="R73" s="74">
        <v>0</v>
      </c>
      <c r="S73" s="76">
        <f>SUM(S74:S76)+SUMIFS(Aut_Ajustes_Manuais!$G:$G,Aut_Ajustes_Manuais!$I:$I,DRE!Q$4,Aut_Ajustes_Manuais!$F:$F,"Transportes")</f>
        <v>0</v>
      </c>
      <c r="T73" s="252">
        <v>0</v>
      </c>
      <c r="U73" s="74">
        <v>0</v>
      </c>
      <c r="V73" s="76">
        <f>SUM(V74:V76)+SUMIFS(Aut_Ajustes_Manuais!$G:$G,Aut_Ajustes_Manuais!$I:$I,DRE!T$4,Aut_Ajustes_Manuais!$F:$F,"Transportes")</f>
        <v>0</v>
      </c>
      <c r="W73" s="252">
        <v>0</v>
      </c>
      <c r="X73" s="74">
        <v>0</v>
      </c>
      <c r="Y73" s="76">
        <f>SUM(Y74:Y76)+SUMIFS(Aut_Ajustes_Manuais!$G:$G,Aut_Ajustes_Manuais!$I:$I,DRE!W$4,Aut_Ajustes_Manuais!$F:$F,"Transportes")</f>
        <v>0</v>
      </c>
      <c r="Z73" s="252">
        <v>0</v>
      </c>
      <c r="AA73" s="74">
        <v>0</v>
      </c>
      <c r="AB73" s="76">
        <f>SUM(AB74:AB76)+SUMIFS(Aut_Ajustes_Manuais!$G:$G,Aut_Ajustes_Manuais!$I:$I,DRE!Z$4,Aut_Ajustes_Manuais!$F:$F,"Transportes")</f>
        <v>0</v>
      </c>
      <c r="AC73" s="252">
        <v>0</v>
      </c>
      <c r="AD73" s="74">
        <v>0</v>
      </c>
      <c r="AE73" s="76">
        <f>SUM(AE74:AE76)+SUMIFS(Aut_Ajustes_Manuais!$G:$G,Aut_Ajustes_Manuais!$I:$I,DRE!AC$4,Aut_Ajustes_Manuais!$F:$F,"Transportes")</f>
        <v>0</v>
      </c>
      <c r="AF73" s="252">
        <v>0</v>
      </c>
      <c r="AG73" s="74">
        <v>0</v>
      </c>
      <c r="AH73" s="76">
        <f>SUM(AH74:AH76)+SUMIFS(Aut_Ajustes_Manuais!$G:$G,Aut_Ajustes_Manuais!$I:$I,DRE!AF$4,Aut_Ajustes_Manuais!$F:$F,"Transportes")</f>
        <v>0</v>
      </c>
      <c r="AI73" s="252">
        <v>0</v>
      </c>
      <c r="AJ73" s="74">
        <v>0</v>
      </c>
      <c r="AK73" s="76">
        <f>SUM(AK74:AK76)+SUMIFS(Aut_Ajustes_Manuais!$G:$G,Aut_Ajustes_Manuais!$I:$I,DRE!AI$4,Aut_Ajustes_Manuais!$F:$F,"Transportes")</f>
        <v>0</v>
      </c>
      <c r="AL73" s="252">
        <v>0</v>
      </c>
      <c r="AM73" s="74">
        <v>0</v>
      </c>
      <c r="AN73" s="76">
        <f>SUM(AN74:AN76)+SUMIFS(Aut_Ajustes_Manuais!$G:$G,Aut_Ajustes_Manuais!$I:$I,DRE!AL$4,Aut_Ajustes_Manuais!$F:$F,"Transportes")</f>
        <v>0</v>
      </c>
      <c r="AO73" s="252">
        <v>0</v>
      </c>
      <c r="AP73" s="74">
        <v>0</v>
      </c>
      <c r="AQ73" s="76">
        <f>SUM(AQ74:AQ76)+SUMIFS(Aut_Ajustes_Manuais!$G:$G,Aut_Ajustes_Manuais!$I:$I,DRE!AO$4,Aut_Ajustes_Manuais!$F:$F,"Transportes")</f>
        <v>0</v>
      </c>
      <c r="AR73" s="241">
        <f t="shared" ca="1" si="65"/>
        <v>0</v>
      </c>
      <c r="AS73" s="27">
        <f t="shared" ca="1" si="66"/>
        <v>0</v>
      </c>
      <c r="AT73" s="76">
        <f t="shared" ca="1" si="67"/>
        <v>0</v>
      </c>
      <c r="AU73" s="252">
        <f t="shared" ref="AU73:BI73" si="91">SUM(AU74:AU76)</f>
        <v>0</v>
      </c>
      <c r="AV73" s="74">
        <f t="shared" si="91"/>
        <v>0</v>
      </c>
      <c r="AW73" s="76">
        <f t="shared" si="91"/>
        <v>0</v>
      </c>
      <c r="AX73" s="252">
        <f t="shared" si="91"/>
        <v>0</v>
      </c>
      <c r="AY73" s="74">
        <f t="shared" si="91"/>
        <v>0</v>
      </c>
      <c r="AZ73" s="76">
        <f t="shared" si="91"/>
        <v>0</v>
      </c>
      <c r="BA73" s="252">
        <f t="shared" si="91"/>
        <v>0</v>
      </c>
      <c r="BB73" s="74">
        <f t="shared" si="91"/>
        <v>0</v>
      </c>
      <c r="BC73" s="76">
        <f t="shared" si="91"/>
        <v>0</v>
      </c>
      <c r="BD73" s="252">
        <f t="shared" si="91"/>
        <v>0</v>
      </c>
      <c r="BE73" s="74">
        <f t="shared" si="91"/>
        <v>0</v>
      </c>
      <c r="BF73" s="76">
        <f t="shared" si="91"/>
        <v>0</v>
      </c>
      <c r="BG73" s="252">
        <f t="shared" si="91"/>
        <v>0</v>
      </c>
      <c r="BH73" s="74">
        <f t="shared" si="91"/>
        <v>0</v>
      </c>
      <c r="BI73" s="76">
        <f t="shared" si="91"/>
        <v>0</v>
      </c>
      <c r="BK73" s="448">
        <f t="shared" si="87"/>
        <v>0</v>
      </c>
      <c r="BL73" s="448">
        <f t="shared" si="88"/>
        <v>0</v>
      </c>
      <c r="BM73" s="448">
        <f t="shared" si="89"/>
        <v>0</v>
      </c>
      <c r="BN73" s="448">
        <f t="shared" ca="1" si="90"/>
        <v>0</v>
      </c>
    </row>
    <row r="74" spans="1:66" s="29" customFormat="1" hidden="1" outlineLevel="1" x14ac:dyDescent="0.3">
      <c r="A74" s="22" t="s">
        <v>98</v>
      </c>
      <c r="B74" s="2"/>
      <c r="C74" s="24" t="s">
        <v>99</v>
      </c>
      <c r="D74" s="69" t="s">
        <v>78</v>
      </c>
      <c r="E74" s="80"/>
      <c r="F74" s="41"/>
      <c r="G74" s="23"/>
      <c r="H74" s="241">
        <v>0</v>
      </c>
      <c r="I74" s="81">
        <v>0</v>
      </c>
      <c r="J74" s="82">
        <f>SUMIFS(Aut_BlueMe_Sem_Pedido!$J:$J,Aut_BlueMe_Sem_Pedido!$Q:$Q,DRE!H$4,Aut_BlueMe_Sem_Pedido!$H:$H,DRE!$A74)+SUMIFS(Aut_Ajustes_Manuais!$G:$G,Aut_Ajustes_Manuais!$I:$I,DRE!H$4,Aut_Ajustes_Manuais!$F:$F,"Viagens e Estadias - Eventos")</f>
        <v>0</v>
      </c>
      <c r="K74" s="254">
        <v>0</v>
      </c>
      <c r="L74" s="81">
        <v>0</v>
      </c>
      <c r="M74" s="82">
        <f>SUMIFS(Aut_BlueMe_Sem_Pedido!$J:$J,Aut_BlueMe_Sem_Pedido!$Q:$Q,DRE!K$4,Aut_BlueMe_Sem_Pedido!$H:$H,DRE!$A74)+SUMIFS(Aut_Ajustes_Manuais!$G:$G,Aut_Ajustes_Manuais!$I:$I,DRE!K$4,Aut_Ajustes_Manuais!$F:$F,"Viagens e Estadias - Eventos")</f>
        <v>0</v>
      </c>
      <c r="N74" s="254">
        <v>0</v>
      </c>
      <c r="O74" s="81">
        <v>0</v>
      </c>
      <c r="P74" s="82">
        <f>SUMIFS(Aut_BlueMe_Sem_Pedido!$J:$J,Aut_BlueMe_Sem_Pedido!$Q:$Q,DRE!N$4,Aut_BlueMe_Sem_Pedido!$H:$H,DRE!$A74)+SUMIFS(Aut_Ajustes_Manuais!$G:$G,Aut_Ajustes_Manuais!$I:$I,DRE!N$4,Aut_Ajustes_Manuais!$F:$F,"Viagens e Estadias - Eventos")</f>
        <v>0</v>
      </c>
      <c r="Q74" s="241">
        <v>0</v>
      </c>
      <c r="R74" s="81">
        <v>0</v>
      </c>
      <c r="S74" s="82">
        <f>SUMIFS(Aut_BlueMe_Sem_Pedido!$J:$J,Aut_BlueMe_Sem_Pedido!$Q:$Q,DRE!Q$4,Aut_BlueMe_Sem_Pedido!$H:$H,DRE!$A74)+SUMIFS(Aut_Ajustes_Manuais!$G:$G,Aut_Ajustes_Manuais!$I:$I,DRE!Q$4,Aut_Ajustes_Manuais!$F:$F,"Viagens e Estadias - Eventos")</f>
        <v>0</v>
      </c>
      <c r="T74" s="241">
        <v>0</v>
      </c>
      <c r="U74" s="81">
        <v>0</v>
      </c>
      <c r="V74" s="82">
        <f>SUMIFS(Aut_BlueMe_Sem_Pedido!$J:$J,Aut_BlueMe_Sem_Pedido!$Q:$Q,DRE!T$4,Aut_BlueMe_Sem_Pedido!$H:$H,DRE!$A74)+SUMIFS(Aut_Ajustes_Manuais!$G:$G,Aut_Ajustes_Manuais!$I:$I,DRE!T$4,Aut_Ajustes_Manuais!$F:$F,"Viagens e Estadias - Eventos")</f>
        <v>0</v>
      </c>
      <c r="W74" s="241">
        <v>0</v>
      </c>
      <c r="X74" s="81">
        <v>0</v>
      </c>
      <c r="Y74" s="82">
        <f>SUMIFS(Aut_BlueMe_Sem_Pedido!$J:$J,Aut_BlueMe_Sem_Pedido!$Q:$Q,DRE!W$4,Aut_BlueMe_Sem_Pedido!$H:$H,DRE!$A74)+SUMIFS(Aut_Ajustes_Manuais!$G:$G,Aut_Ajustes_Manuais!$I:$I,DRE!W$4,Aut_Ajustes_Manuais!$F:$F,"Viagens e Estadias - Eventos")</f>
        <v>0</v>
      </c>
      <c r="Z74" s="241">
        <v>0</v>
      </c>
      <c r="AA74" s="81">
        <v>0</v>
      </c>
      <c r="AB74" s="82">
        <f>SUMIFS(Aut_BlueMe_Sem_Pedido!$J:$J,Aut_BlueMe_Sem_Pedido!$Q:$Q,DRE!Z$4,Aut_BlueMe_Sem_Pedido!$H:$H,DRE!$A74)+SUMIFS(Aut_Ajustes_Manuais!$G:$G,Aut_Ajustes_Manuais!$I:$I,DRE!Z$4,Aut_Ajustes_Manuais!$F:$F,"Viagens e Estadias - Eventos")</f>
        <v>0</v>
      </c>
      <c r="AC74" s="241">
        <v>0</v>
      </c>
      <c r="AD74" s="81">
        <v>0</v>
      </c>
      <c r="AE74" s="82">
        <f>SUMIFS(Aut_BlueMe_Sem_Pedido!$J:$J,Aut_BlueMe_Sem_Pedido!$Q:$Q,DRE!AC$4,Aut_BlueMe_Sem_Pedido!$H:$H,DRE!$A74)+SUMIFS(Aut_Ajustes_Manuais!$G:$G,Aut_Ajustes_Manuais!$I:$I,DRE!AC$4,Aut_Ajustes_Manuais!$F:$F,"Viagens e Estadias - Eventos")</f>
        <v>0</v>
      </c>
      <c r="AF74" s="241">
        <v>0</v>
      </c>
      <c r="AG74" s="81">
        <v>0</v>
      </c>
      <c r="AH74" s="82">
        <f>SUMIFS(Aut_BlueMe_Sem_Pedido!$J:$J,Aut_BlueMe_Sem_Pedido!$Q:$Q,DRE!AF$4,Aut_BlueMe_Sem_Pedido!$H:$H,DRE!$A74)+SUMIFS(Aut_Ajustes_Manuais!$G:$G,Aut_Ajustes_Manuais!$I:$I,DRE!AF$4,Aut_Ajustes_Manuais!$F:$F,"Viagens e Estadias - Eventos")</f>
        <v>0</v>
      </c>
      <c r="AI74" s="241">
        <v>0</v>
      </c>
      <c r="AJ74" s="81">
        <v>0</v>
      </c>
      <c r="AK74" s="82">
        <f>SUMIFS(Aut_BlueMe_Sem_Pedido!$J:$J,Aut_BlueMe_Sem_Pedido!$Q:$Q,DRE!AI$4,Aut_BlueMe_Sem_Pedido!$H:$H,DRE!$A74)+SUMIFS(Aut_Ajustes_Manuais!$G:$G,Aut_Ajustes_Manuais!$I:$I,DRE!AI$4,Aut_Ajustes_Manuais!$F:$F,"Viagens e Estadias - Eventos")</f>
        <v>0</v>
      </c>
      <c r="AL74" s="241">
        <v>0</v>
      </c>
      <c r="AM74" s="81">
        <v>0</v>
      </c>
      <c r="AN74" s="82">
        <f>SUMIFS(Aut_BlueMe_Sem_Pedido!$J:$J,Aut_BlueMe_Sem_Pedido!$Q:$Q,DRE!AL$4,Aut_BlueMe_Sem_Pedido!$H:$H,DRE!$A74)+SUMIFS(Aut_Ajustes_Manuais!$G:$G,Aut_Ajustes_Manuais!$I:$I,DRE!AL$4,Aut_Ajustes_Manuais!$F:$F,"Viagens e Estadias - Eventos")</f>
        <v>0</v>
      </c>
      <c r="AO74" s="241">
        <v>0</v>
      </c>
      <c r="AP74" s="81">
        <v>0</v>
      </c>
      <c r="AQ74" s="82">
        <f>SUMIFS(Aut_BlueMe_Sem_Pedido!$J:$J,Aut_BlueMe_Sem_Pedido!$Q:$Q,DRE!AO$4,Aut_BlueMe_Sem_Pedido!$H:$H,DRE!$A74)+SUMIFS(Aut_Ajustes_Manuais!$G:$G,Aut_Ajustes_Manuais!$I:$I,DRE!AO$4,Aut_Ajustes_Manuais!$F:$F,"Viagens e Estadias - Eventos")</f>
        <v>0</v>
      </c>
      <c r="AR74" s="241">
        <f t="shared" ca="1" si="65"/>
        <v>0</v>
      </c>
      <c r="AS74" s="27">
        <f t="shared" ca="1" si="66"/>
        <v>0</v>
      </c>
      <c r="AT74" s="82">
        <f t="shared" ca="1" si="67"/>
        <v>0</v>
      </c>
      <c r="AU74" s="241">
        <f t="shared" ref="AU74:AW76" si="92">SUM(H74,K74,N74,Q74,T74,W74,Z74,AC74,AF74,AI74,AL74,AO74)</f>
        <v>0</v>
      </c>
      <c r="AV74" s="81">
        <f t="shared" si="92"/>
        <v>0</v>
      </c>
      <c r="AW74" s="82">
        <f t="shared" si="92"/>
        <v>0</v>
      </c>
      <c r="AX74" s="241">
        <f t="shared" ref="AX74:AZ76" si="93">SUM(H74,K74,N74)</f>
        <v>0</v>
      </c>
      <c r="AY74" s="81">
        <f t="shared" si="93"/>
        <v>0</v>
      </c>
      <c r="AZ74" s="82">
        <f t="shared" si="93"/>
        <v>0</v>
      </c>
      <c r="BA74" s="241">
        <f t="shared" ref="BA74:BC76" si="94">SUM(Q74,T74,W74)</f>
        <v>0</v>
      </c>
      <c r="BB74" s="81">
        <f t="shared" si="94"/>
        <v>0</v>
      </c>
      <c r="BC74" s="82">
        <f t="shared" si="94"/>
        <v>0</v>
      </c>
      <c r="BD74" s="241">
        <f t="shared" ref="BD74:BF76" si="95">SUM(Z74,AC74,AF74)</f>
        <v>0</v>
      </c>
      <c r="BE74" s="81">
        <f t="shared" si="95"/>
        <v>0</v>
      </c>
      <c r="BF74" s="82">
        <f t="shared" si="95"/>
        <v>0</v>
      </c>
      <c r="BG74" s="241">
        <f t="shared" ref="BG74:BI76" si="96">SUM(AI74,AL74,AO74)</f>
        <v>0</v>
      </c>
      <c r="BH74" s="81">
        <f t="shared" si="96"/>
        <v>0</v>
      </c>
      <c r="BI74" s="82">
        <f t="shared" si="96"/>
        <v>0</v>
      </c>
      <c r="BK74" s="448">
        <f t="shared" si="87"/>
        <v>0</v>
      </c>
      <c r="BL74" s="448">
        <f t="shared" si="88"/>
        <v>0</v>
      </c>
      <c r="BM74" s="448">
        <f t="shared" si="89"/>
        <v>0</v>
      </c>
      <c r="BN74" s="448">
        <f t="shared" ca="1" si="90"/>
        <v>0</v>
      </c>
    </row>
    <row r="75" spans="1:66" s="29" customFormat="1" hidden="1" outlineLevel="1" x14ac:dyDescent="0.3">
      <c r="A75" s="22" t="s">
        <v>100</v>
      </c>
      <c r="B75" s="2"/>
      <c r="C75" s="24" t="s">
        <v>101</v>
      </c>
      <c r="D75" s="69" t="s">
        <v>78</v>
      </c>
      <c r="E75" s="80"/>
      <c r="F75" s="41"/>
      <c r="G75" s="23"/>
      <c r="H75" s="241">
        <v>0</v>
      </c>
      <c r="I75" s="81">
        <v>0</v>
      </c>
      <c r="J75" s="82">
        <f>SUMIFS(Aut_BlueMe_Sem_Pedido!$J:$J,Aut_BlueMe_Sem_Pedido!$Q:$Q,DRE!H$4,Aut_BlueMe_Sem_Pedido!$H:$H,DRE!$A75)+SUMIFS(Aut_Ajustes_Manuais!$G:$G,Aut_Ajustes_Manuais!$I:$I,DRE!H$4,Aut_Ajustes_Manuais!$F:$F,"Transporte Equipe - Eventos")</f>
        <v>0</v>
      </c>
      <c r="K75" s="254">
        <v>0</v>
      </c>
      <c r="L75" s="81">
        <v>0</v>
      </c>
      <c r="M75" s="82">
        <f>SUMIFS(Aut_BlueMe_Sem_Pedido!$J:$J,Aut_BlueMe_Sem_Pedido!$Q:$Q,DRE!K$4,Aut_BlueMe_Sem_Pedido!$H:$H,DRE!$A75)+SUMIFS(Aut_Ajustes_Manuais!$G:$G,Aut_Ajustes_Manuais!$I:$I,DRE!K$4,Aut_Ajustes_Manuais!$F:$F,"Transporte Equipe - Eventos")</f>
        <v>0</v>
      </c>
      <c r="N75" s="254">
        <v>0</v>
      </c>
      <c r="O75" s="81">
        <v>0</v>
      </c>
      <c r="P75" s="82">
        <f>SUMIFS(Aut_BlueMe_Sem_Pedido!$J:$J,Aut_BlueMe_Sem_Pedido!$Q:$Q,DRE!N$4,Aut_BlueMe_Sem_Pedido!$H:$H,DRE!$A75)+SUMIFS(Aut_Ajustes_Manuais!$G:$G,Aut_Ajustes_Manuais!$I:$I,DRE!N$4,Aut_Ajustes_Manuais!$F:$F,"Transporte Equipe - Eventos")</f>
        <v>0</v>
      </c>
      <c r="Q75" s="241">
        <v>0</v>
      </c>
      <c r="R75" s="81">
        <v>0</v>
      </c>
      <c r="S75" s="82">
        <f>SUMIFS(Aut_BlueMe_Sem_Pedido!$J:$J,Aut_BlueMe_Sem_Pedido!$Q:$Q,DRE!Q$4,Aut_BlueMe_Sem_Pedido!$H:$H,DRE!$A75)+SUMIFS(Aut_Ajustes_Manuais!$G:$G,Aut_Ajustes_Manuais!$I:$I,DRE!Q$4,Aut_Ajustes_Manuais!$F:$F,"Transporte Equipe - Eventos")</f>
        <v>0</v>
      </c>
      <c r="T75" s="241">
        <v>0</v>
      </c>
      <c r="U75" s="81">
        <v>0</v>
      </c>
      <c r="V75" s="82">
        <f>SUMIFS(Aut_BlueMe_Sem_Pedido!$J:$J,Aut_BlueMe_Sem_Pedido!$Q:$Q,DRE!T$4,Aut_BlueMe_Sem_Pedido!$H:$H,DRE!$A75)+SUMIFS(Aut_Ajustes_Manuais!$G:$G,Aut_Ajustes_Manuais!$I:$I,DRE!T$4,Aut_Ajustes_Manuais!$F:$F,"Transporte Equipe - Eventos")</f>
        <v>0</v>
      </c>
      <c r="W75" s="241">
        <v>0</v>
      </c>
      <c r="X75" s="81">
        <v>0</v>
      </c>
      <c r="Y75" s="82">
        <f>SUMIFS(Aut_BlueMe_Sem_Pedido!$J:$J,Aut_BlueMe_Sem_Pedido!$Q:$Q,DRE!W$4,Aut_BlueMe_Sem_Pedido!$H:$H,DRE!$A75)+SUMIFS(Aut_Ajustes_Manuais!$G:$G,Aut_Ajustes_Manuais!$I:$I,DRE!W$4,Aut_Ajustes_Manuais!$F:$F,"Transporte Equipe - Eventos")</f>
        <v>0</v>
      </c>
      <c r="Z75" s="241">
        <v>0</v>
      </c>
      <c r="AA75" s="81">
        <v>0</v>
      </c>
      <c r="AB75" s="82">
        <f>SUMIFS(Aut_BlueMe_Sem_Pedido!$J:$J,Aut_BlueMe_Sem_Pedido!$Q:$Q,DRE!Z$4,Aut_BlueMe_Sem_Pedido!$H:$H,DRE!$A75)+SUMIFS(Aut_Ajustes_Manuais!$G:$G,Aut_Ajustes_Manuais!$I:$I,DRE!Z$4,Aut_Ajustes_Manuais!$F:$F,"Transporte Equipe - Eventos")</f>
        <v>0</v>
      </c>
      <c r="AC75" s="241">
        <v>0</v>
      </c>
      <c r="AD75" s="81">
        <v>0</v>
      </c>
      <c r="AE75" s="82">
        <f>SUMIFS(Aut_BlueMe_Sem_Pedido!$J:$J,Aut_BlueMe_Sem_Pedido!$Q:$Q,DRE!AC$4,Aut_BlueMe_Sem_Pedido!$H:$H,DRE!$A75)+SUMIFS(Aut_Ajustes_Manuais!$G:$G,Aut_Ajustes_Manuais!$I:$I,DRE!AC$4,Aut_Ajustes_Manuais!$F:$F,"Transporte Equipe - Eventos")</f>
        <v>0</v>
      </c>
      <c r="AF75" s="241">
        <v>0</v>
      </c>
      <c r="AG75" s="81">
        <v>0</v>
      </c>
      <c r="AH75" s="82">
        <f>SUMIFS(Aut_BlueMe_Sem_Pedido!$J:$J,Aut_BlueMe_Sem_Pedido!$Q:$Q,DRE!AF$4,Aut_BlueMe_Sem_Pedido!$H:$H,DRE!$A75)+SUMIFS(Aut_Ajustes_Manuais!$G:$G,Aut_Ajustes_Manuais!$I:$I,DRE!AF$4,Aut_Ajustes_Manuais!$F:$F,"Transporte Equipe - Eventos")</f>
        <v>0</v>
      </c>
      <c r="AI75" s="241">
        <v>0</v>
      </c>
      <c r="AJ75" s="81">
        <v>0</v>
      </c>
      <c r="AK75" s="82">
        <f>SUMIFS(Aut_BlueMe_Sem_Pedido!$J:$J,Aut_BlueMe_Sem_Pedido!$Q:$Q,DRE!AI$4,Aut_BlueMe_Sem_Pedido!$H:$H,DRE!$A75)+SUMIFS(Aut_Ajustes_Manuais!$G:$G,Aut_Ajustes_Manuais!$I:$I,DRE!AI$4,Aut_Ajustes_Manuais!$F:$F,"Transporte Equipe - Eventos")</f>
        <v>0</v>
      </c>
      <c r="AL75" s="241">
        <v>0</v>
      </c>
      <c r="AM75" s="81">
        <v>0</v>
      </c>
      <c r="AN75" s="82">
        <f>SUMIFS(Aut_BlueMe_Sem_Pedido!$J:$J,Aut_BlueMe_Sem_Pedido!$Q:$Q,DRE!AL$4,Aut_BlueMe_Sem_Pedido!$H:$H,DRE!$A75)+SUMIFS(Aut_Ajustes_Manuais!$G:$G,Aut_Ajustes_Manuais!$I:$I,DRE!AL$4,Aut_Ajustes_Manuais!$F:$F,"Transporte Equipe - Eventos")</f>
        <v>0</v>
      </c>
      <c r="AO75" s="241">
        <v>0</v>
      </c>
      <c r="AP75" s="81">
        <v>0</v>
      </c>
      <c r="AQ75" s="82">
        <f>SUMIFS(Aut_BlueMe_Sem_Pedido!$J:$J,Aut_BlueMe_Sem_Pedido!$Q:$Q,DRE!AO$4,Aut_BlueMe_Sem_Pedido!$H:$H,DRE!$A75)+SUMIFS(Aut_Ajustes_Manuais!$G:$G,Aut_Ajustes_Manuais!$I:$I,DRE!AO$4,Aut_Ajustes_Manuais!$F:$F,"Transporte Equipe - Eventos")</f>
        <v>0</v>
      </c>
      <c r="AR75" s="241">
        <f t="shared" ca="1" si="65"/>
        <v>0</v>
      </c>
      <c r="AS75" s="27">
        <f t="shared" ca="1" si="66"/>
        <v>0</v>
      </c>
      <c r="AT75" s="82">
        <f t="shared" ca="1" si="67"/>
        <v>0</v>
      </c>
      <c r="AU75" s="241">
        <f t="shared" si="92"/>
        <v>0</v>
      </c>
      <c r="AV75" s="81">
        <f t="shared" si="92"/>
        <v>0</v>
      </c>
      <c r="AW75" s="82">
        <f t="shared" si="92"/>
        <v>0</v>
      </c>
      <c r="AX75" s="241">
        <f t="shared" si="93"/>
        <v>0</v>
      </c>
      <c r="AY75" s="81">
        <f t="shared" si="93"/>
        <v>0</v>
      </c>
      <c r="AZ75" s="82">
        <f t="shared" si="93"/>
        <v>0</v>
      </c>
      <c r="BA75" s="241">
        <f t="shared" si="94"/>
        <v>0</v>
      </c>
      <c r="BB75" s="81">
        <f t="shared" si="94"/>
        <v>0</v>
      </c>
      <c r="BC75" s="82">
        <f t="shared" si="94"/>
        <v>0</v>
      </c>
      <c r="BD75" s="241">
        <f t="shared" si="95"/>
        <v>0</v>
      </c>
      <c r="BE75" s="81">
        <f t="shared" si="95"/>
        <v>0</v>
      </c>
      <c r="BF75" s="82">
        <f t="shared" si="95"/>
        <v>0</v>
      </c>
      <c r="BG75" s="241">
        <f t="shared" si="96"/>
        <v>0</v>
      </c>
      <c r="BH75" s="81">
        <f t="shared" si="96"/>
        <v>0</v>
      </c>
      <c r="BI75" s="82">
        <f t="shared" si="96"/>
        <v>0</v>
      </c>
      <c r="BK75" s="448">
        <f t="shared" si="87"/>
        <v>0</v>
      </c>
      <c r="BL75" s="448">
        <f t="shared" si="88"/>
        <v>0</v>
      </c>
      <c r="BM75" s="448">
        <f t="shared" si="89"/>
        <v>0</v>
      </c>
      <c r="BN75" s="448">
        <f t="shared" ca="1" si="90"/>
        <v>0</v>
      </c>
    </row>
    <row r="76" spans="1:66" s="29" customFormat="1" hidden="1" outlineLevel="1" x14ac:dyDescent="0.3">
      <c r="A76" s="22" t="s">
        <v>102</v>
      </c>
      <c r="B76" s="2"/>
      <c r="C76" s="24"/>
      <c r="D76" s="69" t="s">
        <v>78</v>
      </c>
      <c r="E76" s="45">
        <v>-2E-3</v>
      </c>
      <c r="F76" s="41"/>
      <c r="G76" s="23"/>
      <c r="H76" s="241">
        <v>0</v>
      </c>
      <c r="I76" s="81">
        <v>0</v>
      </c>
      <c r="J76" s="82">
        <f>SUMIFS(Aut_BlueMe_Sem_Pedido!$J:$J,Aut_BlueMe_Sem_Pedido!$Q:$Q,DRE!H$4,Aut_BlueMe_Sem_Pedido!$H:$H,DRE!$A76)+SUMIFS(Aut_Ajustes_Manuais!$G:$G,Aut_Ajustes_Manuais!$I:$I,DRE!H$4,Aut_Ajustes_Manuais!$F:$F,"Fretes e Carretos - Eventos")</f>
        <v>0</v>
      </c>
      <c r="K76" s="254">
        <v>0</v>
      </c>
      <c r="L76" s="81">
        <v>0</v>
      </c>
      <c r="M76" s="82">
        <f>SUMIFS(Aut_BlueMe_Sem_Pedido!$J:$J,Aut_BlueMe_Sem_Pedido!$Q:$Q,DRE!K$4,Aut_BlueMe_Sem_Pedido!$H:$H,DRE!$A76)+SUMIFS(Aut_Ajustes_Manuais!$G:$G,Aut_Ajustes_Manuais!$I:$I,DRE!K$4,Aut_Ajustes_Manuais!$F:$F,"Fretes e Carretos - Eventos")</f>
        <v>0</v>
      </c>
      <c r="N76" s="254">
        <v>0</v>
      </c>
      <c r="O76" s="81">
        <v>0</v>
      </c>
      <c r="P76" s="82">
        <f>SUMIFS(Aut_BlueMe_Sem_Pedido!$J:$J,Aut_BlueMe_Sem_Pedido!$Q:$Q,DRE!N$4,Aut_BlueMe_Sem_Pedido!$H:$H,DRE!$A76)+SUMIFS(Aut_Ajustes_Manuais!$G:$G,Aut_Ajustes_Manuais!$I:$I,DRE!N$4,Aut_Ajustes_Manuais!$F:$F,"Fretes e Carretos - Eventos")</f>
        <v>0</v>
      </c>
      <c r="Q76" s="241">
        <v>0</v>
      </c>
      <c r="R76" s="81">
        <v>0</v>
      </c>
      <c r="S76" s="82">
        <f>SUMIFS(Aut_BlueMe_Sem_Pedido!$J:$J,Aut_BlueMe_Sem_Pedido!$Q:$Q,DRE!Q$4,Aut_BlueMe_Sem_Pedido!$H:$H,DRE!$A76)+SUMIFS(Aut_Ajustes_Manuais!$G:$G,Aut_Ajustes_Manuais!$I:$I,DRE!Q$4,Aut_Ajustes_Manuais!$F:$F,"Fretes e Carretos - Eventos")</f>
        <v>0</v>
      </c>
      <c r="T76" s="241">
        <v>0</v>
      </c>
      <c r="U76" s="81">
        <v>0</v>
      </c>
      <c r="V76" s="82">
        <f>SUMIFS(Aut_BlueMe_Sem_Pedido!$J:$J,Aut_BlueMe_Sem_Pedido!$Q:$Q,DRE!T$4,Aut_BlueMe_Sem_Pedido!$H:$H,DRE!$A76)+SUMIFS(Aut_Ajustes_Manuais!$G:$G,Aut_Ajustes_Manuais!$I:$I,DRE!T$4,Aut_Ajustes_Manuais!$F:$F,"Fretes e Carretos - Eventos")</f>
        <v>0</v>
      </c>
      <c r="W76" s="241">
        <v>0</v>
      </c>
      <c r="X76" s="81">
        <v>0</v>
      </c>
      <c r="Y76" s="82">
        <f>SUMIFS(Aut_BlueMe_Sem_Pedido!$J:$J,Aut_BlueMe_Sem_Pedido!$Q:$Q,DRE!W$4,Aut_BlueMe_Sem_Pedido!$H:$H,DRE!$A76)+SUMIFS(Aut_Ajustes_Manuais!$G:$G,Aut_Ajustes_Manuais!$I:$I,DRE!W$4,Aut_Ajustes_Manuais!$F:$F,"Fretes e Carretos - Eventos")</f>
        <v>0</v>
      </c>
      <c r="Z76" s="241">
        <v>0</v>
      </c>
      <c r="AA76" s="81">
        <v>0</v>
      </c>
      <c r="AB76" s="82">
        <f>SUMIFS(Aut_BlueMe_Sem_Pedido!$J:$J,Aut_BlueMe_Sem_Pedido!$Q:$Q,DRE!Z$4,Aut_BlueMe_Sem_Pedido!$H:$H,DRE!$A76)+SUMIFS(Aut_Ajustes_Manuais!$G:$G,Aut_Ajustes_Manuais!$I:$I,DRE!Z$4,Aut_Ajustes_Manuais!$F:$F,"Fretes e Carretos - Eventos")</f>
        <v>0</v>
      </c>
      <c r="AC76" s="241">
        <v>0</v>
      </c>
      <c r="AD76" s="81">
        <v>0</v>
      </c>
      <c r="AE76" s="82">
        <f>SUMIFS(Aut_BlueMe_Sem_Pedido!$J:$J,Aut_BlueMe_Sem_Pedido!$Q:$Q,DRE!AC$4,Aut_BlueMe_Sem_Pedido!$H:$H,DRE!$A76)+SUMIFS(Aut_Ajustes_Manuais!$G:$G,Aut_Ajustes_Manuais!$I:$I,DRE!AC$4,Aut_Ajustes_Manuais!$F:$F,"Fretes e Carretos - Eventos")</f>
        <v>0</v>
      </c>
      <c r="AF76" s="241">
        <v>0</v>
      </c>
      <c r="AG76" s="81">
        <v>0</v>
      </c>
      <c r="AH76" s="82">
        <f>SUMIFS(Aut_BlueMe_Sem_Pedido!$J:$J,Aut_BlueMe_Sem_Pedido!$Q:$Q,DRE!AF$4,Aut_BlueMe_Sem_Pedido!$H:$H,DRE!$A76)+SUMIFS(Aut_Ajustes_Manuais!$G:$G,Aut_Ajustes_Manuais!$I:$I,DRE!AF$4,Aut_Ajustes_Manuais!$F:$F,"Fretes e Carretos - Eventos")</f>
        <v>0</v>
      </c>
      <c r="AI76" s="241">
        <v>0</v>
      </c>
      <c r="AJ76" s="81">
        <v>0</v>
      </c>
      <c r="AK76" s="82">
        <f>SUMIFS(Aut_BlueMe_Sem_Pedido!$J:$J,Aut_BlueMe_Sem_Pedido!$Q:$Q,DRE!AI$4,Aut_BlueMe_Sem_Pedido!$H:$H,DRE!$A76)+SUMIFS(Aut_Ajustes_Manuais!$G:$G,Aut_Ajustes_Manuais!$I:$I,DRE!AI$4,Aut_Ajustes_Manuais!$F:$F,"Fretes e Carretos - Eventos")</f>
        <v>0</v>
      </c>
      <c r="AL76" s="241">
        <v>0</v>
      </c>
      <c r="AM76" s="81">
        <v>0</v>
      </c>
      <c r="AN76" s="82">
        <f>SUMIFS(Aut_BlueMe_Sem_Pedido!$J:$J,Aut_BlueMe_Sem_Pedido!$Q:$Q,DRE!AL$4,Aut_BlueMe_Sem_Pedido!$H:$H,DRE!$A76)+SUMIFS(Aut_Ajustes_Manuais!$G:$G,Aut_Ajustes_Manuais!$I:$I,DRE!AL$4,Aut_Ajustes_Manuais!$F:$F,"Fretes e Carretos - Eventos")</f>
        <v>0</v>
      </c>
      <c r="AO76" s="241">
        <v>0</v>
      </c>
      <c r="AP76" s="81">
        <v>0</v>
      </c>
      <c r="AQ76" s="82">
        <f>SUMIFS(Aut_BlueMe_Sem_Pedido!$J:$J,Aut_BlueMe_Sem_Pedido!$Q:$Q,DRE!AO$4,Aut_BlueMe_Sem_Pedido!$H:$H,DRE!$A76)+SUMIFS(Aut_Ajustes_Manuais!$G:$G,Aut_Ajustes_Manuais!$I:$I,DRE!AO$4,Aut_Ajustes_Manuais!$F:$F,"Fretes e Carretos - Eventos")</f>
        <v>0</v>
      </c>
      <c r="AR76" s="241">
        <f t="shared" ca="1" si="65"/>
        <v>0</v>
      </c>
      <c r="AS76" s="27">
        <f t="shared" ca="1" si="66"/>
        <v>0</v>
      </c>
      <c r="AT76" s="82">
        <f t="shared" ca="1" si="67"/>
        <v>0</v>
      </c>
      <c r="AU76" s="241">
        <f t="shared" si="92"/>
        <v>0</v>
      </c>
      <c r="AV76" s="81">
        <f t="shared" si="92"/>
        <v>0</v>
      </c>
      <c r="AW76" s="82">
        <f t="shared" si="92"/>
        <v>0</v>
      </c>
      <c r="AX76" s="241">
        <f t="shared" si="93"/>
        <v>0</v>
      </c>
      <c r="AY76" s="81">
        <f t="shared" si="93"/>
        <v>0</v>
      </c>
      <c r="AZ76" s="82">
        <f t="shared" si="93"/>
        <v>0</v>
      </c>
      <c r="BA76" s="241">
        <f t="shared" si="94"/>
        <v>0</v>
      </c>
      <c r="BB76" s="81">
        <f t="shared" si="94"/>
        <v>0</v>
      </c>
      <c r="BC76" s="82">
        <f t="shared" si="94"/>
        <v>0</v>
      </c>
      <c r="BD76" s="241">
        <f t="shared" si="95"/>
        <v>0</v>
      </c>
      <c r="BE76" s="81">
        <f t="shared" si="95"/>
        <v>0</v>
      </c>
      <c r="BF76" s="82">
        <f t="shared" si="95"/>
        <v>0</v>
      </c>
      <c r="BG76" s="241">
        <f t="shared" si="96"/>
        <v>0</v>
      </c>
      <c r="BH76" s="81">
        <f t="shared" si="96"/>
        <v>0</v>
      </c>
      <c r="BI76" s="82">
        <f t="shared" si="96"/>
        <v>0</v>
      </c>
      <c r="BK76" s="448">
        <f t="shared" si="87"/>
        <v>0</v>
      </c>
      <c r="BL76" s="448">
        <f t="shared" si="88"/>
        <v>0</v>
      </c>
      <c r="BM76" s="448">
        <f t="shared" si="89"/>
        <v>0</v>
      </c>
      <c r="BN76" s="448">
        <f t="shared" ca="1" si="90"/>
        <v>0</v>
      </c>
    </row>
    <row r="77" spans="1:66" ht="18" hidden="1" customHeight="1" outlineLevel="1" x14ac:dyDescent="0.3">
      <c r="A77" s="73" t="s">
        <v>103</v>
      </c>
      <c r="C77" s="24"/>
      <c r="D77" s="69"/>
      <c r="E77" s="69"/>
      <c r="F77" s="41"/>
      <c r="H77" s="252">
        <v>0</v>
      </c>
      <c r="I77" s="74">
        <v>0</v>
      </c>
      <c r="J77" s="76">
        <f>SUM(J78:J81)+SUMIFS(Aut_Ajustes_Manuais!$G:$G,Aut_Ajustes_Manuais!$I:$I,DRE!H$4,Aut_Ajustes_Manuais!$F:$F,"Locações")</f>
        <v>0</v>
      </c>
      <c r="K77" s="252">
        <v>0</v>
      </c>
      <c r="L77" s="74">
        <v>0</v>
      </c>
      <c r="M77" s="76">
        <f>SUM(M78:M81)+SUMIFS(Aut_Ajustes_Manuais!$G:$G,Aut_Ajustes_Manuais!$I:$I,DRE!K$4,Aut_Ajustes_Manuais!$F:$F,"Locações")</f>
        <v>0</v>
      </c>
      <c r="N77" s="252">
        <v>0</v>
      </c>
      <c r="O77" s="74">
        <v>0</v>
      </c>
      <c r="P77" s="76">
        <f>SUM(P78:P81)+SUMIFS(Aut_Ajustes_Manuais!$G:$G,Aut_Ajustes_Manuais!$I:$I,DRE!N$4,Aut_Ajustes_Manuais!$F:$F,"Locações")</f>
        <v>0</v>
      </c>
      <c r="Q77" s="252">
        <v>0</v>
      </c>
      <c r="R77" s="74">
        <v>0</v>
      </c>
      <c r="S77" s="76">
        <f>SUM(S78:S81)+SUMIFS(Aut_Ajustes_Manuais!$G:$G,Aut_Ajustes_Manuais!$I:$I,DRE!Q$4,Aut_Ajustes_Manuais!$F:$F,"Locações")</f>
        <v>0</v>
      </c>
      <c r="T77" s="252">
        <v>0</v>
      </c>
      <c r="U77" s="74">
        <v>0</v>
      </c>
      <c r="V77" s="76">
        <f>SUM(V78:V81)+SUMIFS(Aut_Ajustes_Manuais!$G:$G,Aut_Ajustes_Manuais!$I:$I,DRE!T$4,Aut_Ajustes_Manuais!$F:$F,"Locações")</f>
        <v>0</v>
      </c>
      <c r="W77" s="252">
        <v>0</v>
      </c>
      <c r="X77" s="74">
        <v>0</v>
      </c>
      <c r="Y77" s="76">
        <f>SUM(Y78:Y81)+SUMIFS(Aut_Ajustes_Manuais!$G:$G,Aut_Ajustes_Manuais!$I:$I,DRE!W$4,Aut_Ajustes_Manuais!$F:$F,"Locações")</f>
        <v>0</v>
      </c>
      <c r="Z77" s="252">
        <v>0</v>
      </c>
      <c r="AA77" s="74">
        <v>0</v>
      </c>
      <c r="AB77" s="76">
        <f>SUM(AB78:AB81)+SUMIFS(Aut_Ajustes_Manuais!$G:$G,Aut_Ajustes_Manuais!$I:$I,DRE!Z$4,Aut_Ajustes_Manuais!$F:$F,"Locações")</f>
        <v>0</v>
      </c>
      <c r="AC77" s="252">
        <v>0</v>
      </c>
      <c r="AD77" s="74">
        <v>0</v>
      </c>
      <c r="AE77" s="76">
        <f>SUM(AE78:AE81)+SUMIFS(Aut_Ajustes_Manuais!$G:$G,Aut_Ajustes_Manuais!$I:$I,DRE!AC$4,Aut_Ajustes_Manuais!$F:$F,"Locações")</f>
        <v>0</v>
      </c>
      <c r="AF77" s="252">
        <v>0</v>
      </c>
      <c r="AG77" s="74">
        <v>0</v>
      </c>
      <c r="AH77" s="76">
        <f>SUM(AH78:AH81)+SUMIFS(Aut_Ajustes_Manuais!$G:$G,Aut_Ajustes_Manuais!$I:$I,DRE!AF$4,Aut_Ajustes_Manuais!$F:$F,"Locações")</f>
        <v>0</v>
      </c>
      <c r="AI77" s="252">
        <v>0</v>
      </c>
      <c r="AJ77" s="74">
        <v>0</v>
      </c>
      <c r="AK77" s="76">
        <f>SUM(AK78:AK81)+SUMIFS(Aut_Ajustes_Manuais!$G:$G,Aut_Ajustes_Manuais!$I:$I,DRE!AI$4,Aut_Ajustes_Manuais!$F:$F,"Locações")</f>
        <v>0</v>
      </c>
      <c r="AL77" s="252">
        <v>0</v>
      </c>
      <c r="AM77" s="74">
        <v>0</v>
      </c>
      <c r="AN77" s="76">
        <f>SUM(AN78:AN81)+SUMIFS(Aut_Ajustes_Manuais!$G:$G,Aut_Ajustes_Manuais!$I:$I,DRE!AL$4,Aut_Ajustes_Manuais!$F:$F,"Locações")</f>
        <v>0</v>
      </c>
      <c r="AO77" s="252">
        <v>-528</v>
      </c>
      <c r="AP77" s="74">
        <v>0</v>
      </c>
      <c r="AQ77" s="76">
        <f>SUM(AQ78:AQ81)+SUMIFS(Aut_Ajustes_Manuais!$G:$G,Aut_Ajustes_Manuais!$I:$I,DRE!AO$4,Aut_Ajustes_Manuais!$F:$F,"Locações")</f>
        <v>0</v>
      </c>
      <c r="AR77" s="241">
        <f t="shared" ca="1" si="65"/>
        <v>0</v>
      </c>
      <c r="AS77" s="27">
        <f t="shared" ca="1" si="66"/>
        <v>0</v>
      </c>
      <c r="AT77" s="76">
        <f t="shared" ca="1" si="67"/>
        <v>0</v>
      </c>
      <c r="AU77" s="252">
        <f t="shared" ref="AU77:BI77" si="97">SUM(AU78:AU81)</f>
        <v>-528</v>
      </c>
      <c r="AV77" s="74">
        <f t="shared" si="97"/>
        <v>0</v>
      </c>
      <c r="AW77" s="76">
        <f t="shared" si="97"/>
        <v>0</v>
      </c>
      <c r="AX77" s="252">
        <f t="shared" si="97"/>
        <v>0</v>
      </c>
      <c r="AY77" s="74">
        <f t="shared" si="97"/>
        <v>0</v>
      </c>
      <c r="AZ77" s="76">
        <f t="shared" si="97"/>
        <v>0</v>
      </c>
      <c r="BA77" s="252">
        <f t="shared" si="97"/>
        <v>0</v>
      </c>
      <c r="BB77" s="74">
        <f t="shared" si="97"/>
        <v>0</v>
      </c>
      <c r="BC77" s="76">
        <f t="shared" si="97"/>
        <v>0</v>
      </c>
      <c r="BD77" s="252">
        <f t="shared" si="97"/>
        <v>0</v>
      </c>
      <c r="BE77" s="74">
        <f t="shared" si="97"/>
        <v>0</v>
      </c>
      <c r="BF77" s="76">
        <f t="shared" si="97"/>
        <v>0</v>
      </c>
      <c r="BG77" s="252">
        <f t="shared" si="97"/>
        <v>-528</v>
      </c>
      <c r="BH77" s="74">
        <f t="shared" si="97"/>
        <v>0</v>
      </c>
      <c r="BI77" s="76">
        <f t="shared" si="97"/>
        <v>0</v>
      </c>
      <c r="BK77" s="448">
        <f t="shared" si="87"/>
        <v>0</v>
      </c>
      <c r="BL77" s="448">
        <f t="shared" si="88"/>
        <v>0</v>
      </c>
      <c r="BM77" s="448">
        <f t="shared" si="89"/>
        <v>0</v>
      </c>
      <c r="BN77" s="448">
        <f t="shared" ca="1" si="90"/>
        <v>0</v>
      </c>
    </row>
    <row r="78" spans="1:66" s="29" customFormat="1" hidden="1" outlineLevel="1" x14ac:dyDescent="0.3">
      <c r="A78" s="22" t="s">
        <v>104</v>
      </c>
      <c r="B78" s="2"/>
      <c r="C78" s="24"/>
      <c r="D78" s="69" t="s">
        <v>78</v>
      </c>
      <c r="E78" s="45">
        <v>-1.7999999999999999E-2</v>
      </c>
      <c r="F78" s="41"/>
      <c r="G78" s="23"/>
      <c r="H78" s="241">
        <v>0</v>
      </c>
      <c r="I78" s="81">
        <v>0</v>
      </c>
      <c r="J78" s="82">
        <f>SUMIFS(Aut_BlueMe_Sem_Pedido!$J:$J,Aut_BlueMe_Sem_Pedido!$Q:$Q,DRE!H$4,Aut_BlueMe_Sem_Pedido!$H:$H,DRE!$A78)+SUMIFS(Aut_Ajustes_Manuais!$G:$G,Aut_Ajustes_Manuais!$I:$I,DRE!H$4,Aut_Ajustes_Manuais!$F:$F,"Locação de Utensílios - Eventos")</f>
        <v>0</v>
      </c>
      <c r="K78" s="254">
        <v>0</v>
      </c>
      <c r="L78" s="81">
        <v>0</v>
      </c>
      <c r="M78" s="82">
        <f>SUMIFS(Aut_BlueMe_Sem_Pedido!$J:$J,Aut_BlueMe_Sem_Pedido!$Q:$Q,DRE!K$4,Aut_BlueMe_Sem_Pedido!$H:$H,DRE!$A78)+SUMIFS(Aut_Ajustes_Manuais!$G:$G,Aut_Ajustes_Manuais!$I:$I,DRE!K$4,Aut_Ajustes_Manuais!$F:$F,"Locação de Utensílios - Eventos")</f>
        <v>0</v>
      </c>
      <c r="N78" s="254">
        <v>0</v>
      </c>
      <c r="O78" s="81">
        <v>0</v>
      </c>
      <c r="P78" s="82">
        <f>SUMIFS(Aut_BlueMe_Sem_Pedido!$J:$J,Aut_BlueMe_Sem_Pedido!$Q:$Q,DRE!N$4,Aut_BlueMe_Sem_Pedido!$H:$H,DRE!$A78)+SUMIFS(Aut_Ajustes_Manuais!$G:$G,Aut_Ajustes_Manuais!$I:$I,DRE!N$4,Aut_Ajustes_Manuais!$F:$F,"Locação de Utensílios - Eventos")</f>
        <v>0</v>
      </c>
      <c r="Q78" s="241">
        <v>0</v>
      </c>
      <c r="R78" s="81">
        <v>0</v>
      </c>
      <c r="S78" s="82">
        <f>SUMIFS(Aut_BlueMe_Sem_Pedido!$J:$J,Aut_BlueMe_Sem_Pedido!$Q:$Q,DRE!Q$4,Aut_BlueMe_Sem_Pedido!$H:$H,DRE!$A78)+SUMIFS(Aut_Ajustes_Manuais!$G:$G,Aut_Ajustes_Manuais!$I:$I,DRE!Q$4,Aut_Ajustes_Manuais!$F:$F,"Locação de Utensílios - Eventos")</f>
        <v>0</v>
      </c>
      <c r="T78" s="241">
        <v>0</v>
      </c>
      <c r="U78" s="81">
        <v>0</v>
      </c>
      <c r="V78" s="82">
        <f>SUMIFS(Aut_BlueMe_Sem_Pedido!$J:$J,Aut_BlueMe_Sem_Pedido!$Q:$Q,DRE!T$4,Aut_BlueMe_Sem_Pedido!$H:$H,DRE!$A78)+SUMIFS(Aut_Ajustes_Manuais!$G:$G,Aut_Ajustes_Manuais!$I:$I,DRE!T$4,Aut_Ajustes_Manuais!$F:$F,"Locação de Utensílios - Eventos")</f>
        <v>0</v>
      </c>
      <c r="W78" s="241">
        <v>0</v>
      </c>
      <c r="X78" s="81">
        <v>0</v>
      </c>
      <c r="Y78" s="82">
        <f>SUMIFS(Aut_BlueMe_Sem_Pedido!$J:$J,Aut_BlueMe_Sem_Pedido!$Q:$Q,DRE!W$4,Aut_BlueMe_Sem_Pedido!$H:$H,DRE!$A78)+SUMIFS(Aut_Ajustes_Manuais!$G:$G,Aut_Ajustes_Manuais!$I:$I,DRE!W$4,Aut_Ajustes_Manuais!$F:$F,"Locação de Utensílios - Eventos")</f>
        <v>0</v>
      </c>
      <c r="Z78" s="241">
        <v>0</v>
      </c>
      <c r="AA78" s="81">
        <v>0</v>
      </c>
      <c r="AB78" s="82">
        <f>SUMIFS(Aut_BlueMe_Sem_Pedido!$J:$J,Aut_BlueMe_Sem_Pedido!$Q:$Q,DRE!Z$4,Aut_BlueMe_Sem_Pedido!$H:$H,DRE!$A78)+SUMIFS(Aut_Ajustes_Manuais!$G:$G,Aut_Ajustes_Manuais!$I:$I,DRE!Z$4,Aut_Ajustes_Manuais!$F:$F,"Locação de Utensílios - Eventos")</f>
        <v>0</v>
      </c>
      <c r="AC78" s="241">
        <v>0</v>
      </c>
      <c r="AD78" s="81">
        <v>0</v>
      </c>
      <c r="AE78" s="82">
        <f>SUMIFS(Aut_BlueMe_Sem_Pedido!$J:$J,Aut_BlueMe_Sem_Pedido!$Q:$Q,DRE!AC$4,Aut_BlueMe_Sem_Pedido!$H:$H,DRE!$A78)+SUMIFS(Aut_Ajustes_Manuais!$G:$G,Aut_Ajustes_Manuais!$I:$I,DRE!AC$4,Aut_Ajustes_Manuais!$F:$F,"Locação de Utensílios - Eventos")</f>
        <v>0</v>
      </c>
      <c r="AF78" s="241">
        <v>0</v>
      </c>
      <c r="AG78" s="81">
        <v>0</v>
      </c>
      <c r="AH78" s="82">
        <f>SUMIFS(Aut_BlueMe_Sem_Pedido!$J:$J,Aut_BlueMe_Sem_Pedido!$Q:$Q,DRE!AF$4,Aut_BlueMe_Sem_Pedido!$H:$H,DRE!$A78)+SUMIFS(Aut_Ajustes_Manuais!$G:$G,Aut_Ajustes_Manuais!$I:$I,DRE!AF$4,Aut_Ajustes_Manuais!$F:$F,"Locação de Utensílios - Eventos")</f>
        <v>0</v>
      </c>
      <c r="AI78" s="241">
        <v>0</v>
      </c>
      <c r="AJ78" s="81">
        <v>0</v>
      </c>
      <c r="AK78" s="82">
        <f>SUMIFS(Aut_BlueMe_Sem_Pedido!$J:$J,Aut_BlueMe_Sem_Pedido!$Q:$Q,DRE!AI$4,Aut_BlueMe_Sem_Pedido!$H:$H,DRE!$A78)+SUMIFS(Aut_Ajustes_Manuais!$G:$G,Aut_Ajustes_Manuais!$I:$I,DRE!AI$4,Aut_Ajustes_Manuais!$F:$F,"Locação de Utensílios - Eventos")</f>
        <v>0</v>
      </c>
      <c r="AL78" s="241">
        <v>0</v>
      </c>
      <c r="AM78" s="81">
        <v>0</v>
      </c>
      <c r="AN78" s="82">
        <f>SUMIFS(Aut_BlueMe_Sem_Pedido!$J:$J,Aut_BlueMe_Sem_Pedido!$Q:$Q,DRE!AL$4,Aut_BlueMe_Sem_Pedido!$H:$H,DRE!$A78)+SUMIFS(Aut_Ajustes_Manuais!$G:$G,Aut_Ajustes_Manuais!$I:$I,DRE!AL$4,Aut_Ajustes_Manuais!$F:$F,"Locação de Utensílios - Eventos")</f>
        <v>0</v>
      </c>
      <c r="AO78" s="241">
        <v>0</v>
      </c>
      <c r="AP78" s="81">
        <v>0</v>
      </c>
      <c r="AQ78" s="82">
        <f>SUMIFS(Aut_BlueMe_Sem_Pedido!$J:$J,Aut_BlueMe_Sem_Pedido!$Q:$Q,DRE!AO$4,Aut_BlueMe_Sem_Pedido!$H:$H,DRE!$A78)+SUMIFS(Aut_Ajustes_Manuais!$G:$G,Aut_Ajustes_Manuais!$I:$I,DRE!AO$4,Aut_Ajustes_Manuais!$F:$F,"Locação de Utensílios - Eventos")</f>
        <v>0</v>
      </c>
      <c r="AR78" s="241">
        <f t="shared" ca="1" si="65"/>
        <v>0</v>
      </c>
      <c r="AS78" s="27">
        <f t="shared" ca="1" si="66"/>
        <v>0</v>
      </c>
      <c r="AT78" s="82">
        <f t="shared" ca="1" si="67"/>
        <v>0</v>
      </c>
      <c r="AU78" s="241">
        <f t="shared" ref="AU78:AW81" si="98">SUM(H78,K78,N78,Q78,T78,W78,Z78,AC78,AF78,AI78,AL78,AO78)</f>
        <v>0</v>
      </c>
      <c r="AV78" s="81">
        <f t="shared" si="98"/>
        <v>0</v>
      </c>
      <c r="AW78" s="82">
        <f t="shared" si="98"/>
        <v>0</v>
      </c>
      <c r="AX78" s="241">
        <f t="shared" ref="AX78:AZ81" si="99">SUM(H78,K78,N78)</f>
        <v>0</v>
      </c>
      <c r="AY78" s="81">
        <f t="shared" si="99"/>
        <v>0</v>
      </c>
      <c r="AZ78" s="82">
        <f t="shared" si="99"/>
        <v>0</v>
      </c>
      <c r="BA78" s="241">
        <f t="shared" ref="BA78:BC81" si="100">SUM(Q78,T78,W78)</f>
        <v>0</v>
      </c>
      <c r="BB78" s="81">
        <f t="shared" si="100"/>
        <v>0</v>
      </c>
      <c r="BC78" s="82">
        <f t="shared" si="100"/>
        <v>0</v>
      </c>
      <c r="BD78" s="241">
        <f t="shared" ref="BD78:BF81" si="101">SUM(Z78,AC78,AF78)</f>
        <v>0</v>
      </c>
      <c r="BE78" s="81">
        <f t="shared" si="101"/>
        <v>0</v>
      </c>
      <c r="BF78" s="82">
        <f t="shared" si="101"/>
        <v>0</v>
      </c>
      <c r="BG78" s="241">
        <f t="shared" ref="BG78:BI81" si="102">SUM(AI78,AL78,AO78)</f>
        <v>0</v>
      </c>
      <c r="BH78" s="81">
        <f t="shared" si="102"/>
        <v>0</v>
      </c>
      <c r="BI78" s="82">
        <f t="shared" si="102"/>
        <v>0</v>
      </c>
      <c r="BK78" s="448">
        <f t="shared" si="87"/>
        <v>0</v>
      </c>
      <c r="BL78" s="448">
        <f t="shared" si="88"/>
        <v>0</v>
      </c>
      <c r="BM78" s="448">
        <f t="shared" si="89"/>
        <v>0</v>
      </c>
      <c r="BN78" s="448">
        <f t="shared" ca="1" si="90"/>
        <v>0</v>
      </c>
    </row>
    <row r="79" spans="1:66" s="29" customFormat="1" hidden="1" outlineLevel="1" x14ac:dyDescent="0.3">
      <c r="A79" s="22" t="s">
        <v>105</v>
      </c>
      <c r="B79" s="2"/>
      <c r="C79" s="24"/>
      <c r="D79" s="69" t="s">
        <v>78</v>
      </c>
      <c r="E79" s="45">
        <v>-3.0000000000000001E-3</v>
      </c>
      <c r="F79" s="41"/>
      <c r="G79" s="23"/>
      <c r="H79" s="241">
        <v>0</v>
      </c>
      <c r="I79" s="81">
        <v>0</v>
      </c>
      <c r="J79" s="82">
        <f>SUMIFS(Aut_BlueMe_Sem_Pedido!$J:$J,Aut_BlueMe_Sem_Pedido!$Q:$Q,DRE!H$4,Aut_BlueMe_Sem_Pedido!$H:$H,DRE!$A79)+SUMIFS(Aut_Ajustes_Manuais!$G:$G,Aut_Ajustes_Manuais!$I:$I,DRE!H$4,Aut_Ajustes_Manuais!$F:$F,"Locação de Equipamentos - Eventos")</f>
        <v>0</v>
      </c>
      <c r="K79" s="254">
        <v>0</v>
      </c>
      <c r="L79" s="81">
        <v>0</v>
      </c>
      <c r="M79" s="82">
        <f>SUMIFS(Aut_BlueMe_Sem_Pedido!$J:$J,Aut_BlueMe_Sem_Pedido!$Q:$Q,DRE!K$4,Aut_BlueMe_Sem_Pedido!$H:$H,DRE!$A79)+SUMIFS(Aut_Ajustes_Manuais!$G:$G,Aut_Ajustes_Manuais!$I:$I,DRE!K$4,Aut_Ajustes_Manuais!$F:$F,"Locação de Equipamentos - Eventos")</f>
        <v>0</v>
      </c>
      <c r="N79" s="254">
        <v>0</v>
      </c>
      <c r="O79" s="81">
        <v>0</v>
      </c>
      <c r="P79" s="82">
        <f>SUMIFS(Aut_BlueMe_Sem_Pedido!$J:$J,Aut_BlueMe_Sem_Pedido!$Q:$Q,DRE!N$4,Aut_BlueMe_Sem_Pedido!$H:$H,DRE!$A79)+SUMIFS(Aut_Ajustes_Manuais!$G:$G,Aut_Ajustes_Manuais!$I:$I,DRE!N$4,Aut_Ajustes_Manuais!$F:$F,"Locação de Equipamentos - Eventos")</f>
        <v>0</v>
      </c>
      <c r="Q79" s="241">
        <v>0</v>
      </c>
      <c r="R79" s="81">
        <v>0</v>
      </c>
      <c r="S79" s="82">
        <f>SUMIFS(Aut_BlueMe_Sem_Pedido!$J:$J,Aut_BlueMe_Sem_Pedido!$Q:$Q,DRE!Q$4,Aut_BlueMe_Sem_Pedido!$H:$H,DRE!$A79)+SUMIFS(Aut_Ajustes_Manuais!$G:$G,Aut_Ajustes_Manuais!$I:$I,DRE!Q$4,Aut_Ajustes_Manuais!$F:$F,"Locação de Equipamentos - Eventos")</f>
        <v>0</v>
      </c>
      <c r="T79" s="241">
        <v>0</v>
      </c>
      <c r="U79" s="81">
        <v>0</v>
      </c>
      <c r="V79" s="82">
        <f>SUMIFS(Aut_BlueMe_Sem_Pedido!$J:$J,Aut_BlueMe_Sem_Pedido!$Q:$Q,DRE!T$4,Aut_BlueMe_Sem_Pedido!$H:$H,DRE!$A79)+SUMIFS(Aut_Ajustes_Manuais!$G:$G,Aut_Ajustes_Manuais!$I:$I,DRE!T$4,Aut_Ajustes_Manuais!$F:$F,"Locação de Equipamentos - Eventos")</f>
        <v>0</v>
      </c>
      <c r="W79" s="241">
        <v>0</v>
      </c>
      <c r="X79" s="81">
        <v>0</v>
      </c>
      <c r="Y79" s="82">
        <f>SUMIFS(Aut_BlueMe_Sem_Pedido!$J:$J,Aut_BlueMe_Sem_Pedido!$Q:$Q,DRE!W$4,Aut_BlueMe_Sem_Pedido!$H:$H,DRE!$A79)+SUMIFS(Aut_Ajustes_Manuais!$G:$G,Aut_Ajustes_Manuais!$I:$I,DRE!W$4,Aut_Ajustes_Manuais!$F:$F,"Locação de Equipamentos - Eventos")</f>
        <v>0</v>
      </c>
      <c r="Z79" s="241">
        <v>0</v>
      </c>
      <c r="AA79" s="81">
        <v>0</v>
      </c>
      <c r="AB79" s="82">
        <f>SUMIFS(Aut_BlueMe_Sem_Pedido!$J:$J,Aut_BlueMe_Sem_Pedido!$Q:$Q,DRE!Z$4,Aut_BlueMe_Sem_Pedido!$H:$H,DRE!$A79)+SUMIFS(Aut_Ajustes_Manuais!$G:$G,Aut_Ajustes_Manuais!$I:$I,DRE!Z$4,Aut_Ajustes_Manuais!$F:$F,"Locação de Equipamentos - Eventos")</f>
        <v>0</v>
      </c>
      <c r="AC79" s="241">
        <v>0</v>
      </c>
      <c r="AD79" s="81">
        <v>0</v>
      </c>
      <c r="AE79" s="82">
        <f>SUMIFS(Aut_BlueMe_Sem_Pedido!$J:$J,Aut_BlueMe_Sem_Pedido!$Q:$Q,DRE!AC$4,Aut_BlueMe_Sem_Pedido!$H:$H,DRE!$A79)+SUMIFS(Aut_Ajustes_Manuais!$G:$G,Aut_Ajustes_Manuais!$I:$I,DRE!AC$4,Aut_Ajustes_Manuais!$F:$F,"Locação de Equipamentos - Eventos")</f>
        <v>0</v>
      </c>
      <c r="AF79" s="241">
        <v>0</v>
      </c>
      <c r="AG79" s="81">
        <v>0</v>
      </c>
      <c r="AH79" s="82">
        <f>SUMIFS(Aut_BlueMe_Sem_Pedido!$J:$J,Aut_BlueMe_Sem_Pedido!$Q:$Q,DRE!AF$4,Aut_BlueMe_Sem_Pedido!$H:$H,DRE!$A79)+SUMIFS(Aut_Ajustes_Manuais!$G:$G,Aut_Ajustes_Manuais!$I:$I,DRE!AF$4,Aut_Ajustes_Manuais!$F:$F,"Locação de Equipamentos - Eventos")</f>
        <v>0</v>
      </c>
      <c r="AI79" s="241">
        <v>0</v>
      </c>
      <c r="AJ79" s="81">
        <v>0</v>
      </c>
      <c r="AK79" s="82">
        <f>SUMIFS(Aut_BlueMe_Sem_Pedido!$J:$J,Aut_BlueMe_Sem_Pedido!$Q:$Q,DRE!AI$4,Aut_BlueMe_Sem_Pedido!$H:$H,DRE!$A79)+SUMIFS(Aut_Ajustes_Manuais!$G:$G,Aut_Ajustes_Manuais!$I:$I,DRE!AI$4,Aut_Ajustes_Manuais!$F:$F,"Locação de Equipamentos - Eventos")</f>
        <v>0</v>
      </c>
      <c r="AL79" s="241">
        <v>0</v>
      </c>
      <c r="AM79" s="81">
        <v>0</v>
      </c>
      <c r="AN79" s="82">
        <f>SUMIFS(Aut_BlueMe_Sem_Pedido!$J:$J,Aut_BlueMe_Sem_Pedido!$Q:$Q,DRE!AL$4,Aut_BlueMe_Sem_Pedido!$H:$H,DRE!$A79)+SUMIFS(Aut_Ajustes_Manuais!$G:$G,Aut_Ajustes_Manuais!$I:$I,DRE!AL$4,Aut_Ajustes_Manuais!$F:$F,"Locação de Equipamentos - Eventos")</f>
        <v>0</v>
      </c>
      <c r="AO79" s="241">
        <v>0</v>
      </c>
      <c r="AP79" s="81">
        <v>0</v>
      </c>
      <c r="AQ79" s="82">
        <f>SUMIFS(Aut_BlueMe_Sem_Pedido!$J:$J,Aut_BlueMe_Sem_Pedido!$Q:$Q,DRE!AO$4,Aut_BlueMe_Sem_Pedido!$H:$H,DRE!$A79)+SUMIFS(Aut_Ajustes_Manuais!$G:$G,Aut_Ajustes_Manuais!$I:$I,DRE!AO$4,Aut_Ajustes_Manuais!$F:$F,"Locação de Equipamentos - Eventos")</f>
        <v>0</v>
      </c>
      <c r="AR79" s="241">
        <f t="shared" ca="1" si="65"/>
        <v>0</v>
      </c>
      <c r="AS79" s="27">
        <f t="shared" ca="1" si="66"/>
        <v>0</v>
      </c>
      <c r="AT79" s="82">
        <f t="shared" ca="1" si="67"/>
        <v>0</v>
      </c>
      <c r="AU79" s="241">
        <f t="shared" si="98"/>
        <v>0</v>
      </c>
      <c r="AV79" s="81">
        <f t="shared" si="98"/>
        <v>0</v>
      </c>
      <c r="AW79" s="82">
        <f t="shared" si="98"/>
        <v>0</v>
      </c>
      <c r="AX79" s="241">
        <f t="shared" si="99"/>
        <v>0</v>
      </c>
      <c r="AY79" s="81">
        <f t="shared" si="99"/>
        <v>0</v>
      </c>
      <c r="AZ79" s="82">
        <f t="shared" si="99"/>
        <v>0</v>
      </c>
      <c r="BA79" s="241">
        <f t="shared" si="100"/>
        <v>0</v>
      </c>
      <c r="BB79" s="81">
        <f t="shared" si="100"/>
        <v>0</v>
      </c>
      <c r="BC79" s="82">
        <f t="shared" si="100"/>
        <v>0</v>
      </c>
      <c r="BD79" s="241">
        <f t="shared" si="101"/>
        <v>0</v>
      </c>
      <c r="BE79" s="81">
        <f t="shared" si="101"/>
        <v>0</v>
      </c>
      <c r="BF79" s="82">
        <f t="shared" si="101"/>
        <v>0</v>
      </c>
      <c r="BG79" s="241">
        <f t="shared" si="102"/>
        <v>0</v>
      </c>
      <c r="BH79" s="81">
        <f t="shared" si="102"/>
        <v>0</v>
      </c>
      <c r="BI79" s="82">
        <f t="shared" si="102"/>
        <v>0</v>
      </c>
      <c r="BK79" s="448">
        <f t="shared" si="87"/>
        <v>0</v>
      </c>
      <c r="BL79" s="448">
        <f t="shared" si="88"/>
        <v>0</v>
      </c>
      <c r="BM79" s="448">
        <f t="shared" si="89"/>
        <v>0</v>
      </c>
      <c r="BN79" s="448">
        <f t="shared" ca="1" si="90"/>
        <v>0</v>
      </c>
    </row>
    <row r="80" spans="1:66" s="29" customFormat="1" hidden="1" outlineLevel="1" x14ac:dyDescent="0.3">
      <c r="A80" s="22" t="s">
        <v>106</v>
      </c>
      <c r="B80" s="2"/>
      <c r="C80" s="24"/>
      <c r="D80" s="69" t="s">
        <v>78</v>
      </c>
      <c r="E80" s="69"/>
      <c r="F80" s="41"/>
      <c r="G80" s="23"/>
      <c r="H80" s="241">
        <v>0</v>
      </c>
      <c r="I80" s="81">
        <v>0</v>
      </c>
      <c r="J80" s="82">
        <f>SUMIFS(Aut_BlueMe_Sem_Pedido!$J:$J,Aut_BlueMe_Sem_Pedido!$Q:$Q,DRE!H$4,Aut_BlueMe_Sem_Pedido!$H:$H,DRE!$A80)+SUMIFS(Aut_Ajustes_Manuais!$G:$G,Aut_Ajustes_Manuais!$I:$I,DRE!H$4,Aut_Ajustes_Manuais!$F:$F,"Locação de Mobiliário - Eventos")</f>
        <v>0</v>
      </c>
      <c r="K80" s="254">
        <v>0</v>
      </c>
      <c r="L80" s="81">
        <v>0</v>
      </c>
      <c r="M80" s="82">
        <f>SUMIFS(Aut_BlueMe_Sem_Pedido!$J:$J,Aut_BlueMe_Sem_Pedido!$Q:$Q,DRE!K$4,Aut_BlueMe_Sem_Pedido!$H:$H,DRE!$A80)+SUMIFS(Aut_Ajustes_Manuais!$G:$G,Aut_Ajustes_Manuais!$I:$I,DRE!K$4,Aut_Ajustes_Manuais!$F:$F,"Locação de Mobiliário - Eventos")</f>
        <v>0</v>
      </c>
      <c r="N80" s="254">
        <v>0</v>
      </c>
      <c r="O80" s="81">
        <v>0</v>
      </c>
      <c r="P80" s="82">
        <f>SUMIFS(Aut_BlueMe_Sem_Pedido!$J:$J,Aut_BlueMe_Sem_Pedido!$Q:$Q,DRE!N$4,Aut_BlueMe_Sem_Pedido!$H:$H,DRE!$A80)+SUMIFS(Aut_Ajustes_Manuais!$G:$G,Aut_Ajustes_Manuais!$I:$I,DRE!N$4,Aut_Ajustes_Manuais!$F:$F,"Locação de Mobiliário - Eventos")</f>
        <v>0</v>
      </c>
      <c r="Q80" s="241">
        <v>0</v>
      </c>
      <c r="R80" s="81">
        <v>0</v>
      </c>
      <c r="S80" s="82">
        <f>SUMIFS(Aut_BlueMe_Sem_Pedido!$J:$J,Aut_BlueMe_Sem_Pedido!$Q:$Q,DRE!Q$4,Aut_BlueMe_Sem_Pedido!$H:$H,DRE!$A80)+SUMIFS(Aut_Ajustes_Manuais!$G:$G,Aut_Ajustes_Manuais!$I:$I,DRE!Q$4,Aut_Ajustes_Manuais!$F:$F,"Locação de Mobiliário - Eventos")</f>
        <v>0</v>
      </c>
      <c r="T80" s="241">
        <v>0</v>
      </c>
      <c r="U80" s="81">
        <v>0</v>
      </c>
      <c r="V80" s="82">
        <f>SUMIFS(Aut_BlueMe_Sem_Pedido!$J:$J,Aut_BlueMe_Sem_Pedido!$Q:$Q,DRE!T$4,Aut_BlueMe_Sem_Pedido!$H:$H,DRE!$A80)+SUMIFS(Aut_Ajustes_Manuais!$G:$G,Aut_Ajustes_Manuais!$I:$I,DRE!T$4,Aut_Ajustes_Manuais!$F:$F,"Locação de Mobiliário - Eventos")</f>
        <v>0</v>
      </c>
      <c r="W80" s="241">
        <v>0</v>
      </c>
      <c r="X80" s="81">
        <v>0</v>
      </c>
      <c r="Y80" s="82">
        <f>SUMIFS(Aut_BlueMe_Sem_Pedido!$J:$J,Aut_BlueMe_Sem_Pedido!$Q:$Q,DRE!W$4,Aut_BlueMe_Sem_Pedido!$H:$H,DRE!$A80)+SUMIFS(Aut_Ajustes_Manuais!$G:$G,Aut_Ajustes_Manuais!$I:$I,DRE!W$4,Aut_Ajustes_Manuais!$F:$F,"Locação de Mobiliário - Eventos")</f>
        <v>0</v>
      </c>
      <c r="Z80" s="241">
        <v>0</v>
      </c>
      <c r="AA80" s="81">
        <v>0</v>
      </c>
      <c r="AB80" s="82">
        <f>SUMIFS(Aut_BlueMe_Sem_Pedido!$J:$J,Aut_BlueMe_Sem_Pedido!$Q:$Q,DRE!Z$4,Aut_BlueMe_Sem_Pedido!$H:$H,DRE!$A80)+SUMIFS(Aut_Ajustes_Manuais!$G:$G,Aut_Ajustes_Manuais!$I:$I,DRE!Z$4,Aut_Ajustes_Manuais!$F:$F,"Locação de Mobiliário - Eventos")</f>
        <v>0</v>
      </c>
      <c r="AC80" s="241">
        <v>0</v>
      </c>
      <c r="AD80" s="81">
        <v>0</v>
      </c>
      <c r="AE80" s="82">
        <f>SUMIFS(Aut_BlueMe_Sem_Pedido!$J:$J,Aut_BlueMe_Sem_Pedido!$Q:$Q,DRE!AC$4,Aut_BlueMe_Sem_Pedido!$H:$H,DRE!$A80)+SUMIFS(Aut_Ajustes_Manuais!$G:$G,Aut_Ajustes_Manuais!$I:$I,DRE!AC$4,Aut_Ajustes_Manuais!$F:$F,"Locação de Mobiliário - Eventos")</f>
        <v>0</v>
      </c>
      <c r="AF80" s="241">
        <v>0</v>
      </c>
      <c r="AG80" s="81">
        <v>0</v>
      </c>
      <c r="AH80" s="82">
        <f>SUMIFS(Aut_BlueMe_Sem_Pedido!$J:$J,Aut_BlueMe_Sem_Pedido!$Q:$Q,DRE!AF$4,Aut_BlueMe_Sem_Pedido!$H:$H,DRE!$A80)+SUMIFS(Aut_Ajustes_Manuais!$G:$G,Aut_Ajustes_Manuais!$I:$I,DRE!AF$4,Aut_Ajustes_Manuais!$F:$F,"Locação de Mobiliário - Eventos")</f>
        <v>0</v>
      </c>
      <c r="AI80" s="241">
        <v>0</v>
      </c>
      <c r="AJ80" s="81">
        <v>0</v>
      </c>
      <c r="AK80" s="82">
        <f>SUMIFS(Aut_BlueMe_Sem_Pedido!$J:$J,Aut_BlueMe_Sem_Pedido!$Q:$Q,DRE!AI$4,Aut_BlueMe_Sem_Pedido!$H:$H,DRE!$A80)+SUMIFS(Aut_Ajustes_Manuais!$G:$G,Aut_Ajustes_Manuais!$I:$I,DRE!AI$4,Aut_Ajustes_Manuais!$F:$F,"Locação de Mobiliário - Eventos")</f>
        <v>0</v>
      </c>
      <c r="AL80" s="241">
        <v>0</v>
      </c>
      <c r="AM80" s="81">
        <v>0</v>
      </c>
      <c r="AN80" s="82">
        <f>SUMIFS(Aut_BlueMe_Sem_Pedido!$J:$J,Aut_BlueMe_Sem_Pedido!$Q:$Q,DRE!AL$4,Aut_BlueMe_Sem_Pedido!$H:$H,DRE!$A80)+SUMIFS(Aut_Ajustes_Manuais!$G:$G,Aut_Ajustes_Manuais!$I:$I,DRE!AL$4,Aut_Ajustes_Manuais!$F:$F,"Locação de Mobiliário - Eventos")</f>
        <v>0</v>
      </c>
      <c r="AO80" s="241">
        <v>-528</v>
      </c>
      <c r="AP80" s="81">
        <v>0</v>
      </c>
      <c r="AQ80" s="82">
        <f>SUMIFS(Aut_BlueMe_Sem_Pedido!$J:$J,Aut_BlueMe_Sem_Pedido!$Q:$Q,DRE!AO$4,Aut_BlueMe_Sem_Pedido!$H:$H,DRE!$A80)+SUMIFS(Aut_Ajustes_Manuais!$G:$G,Aut_Ajustes_Manuais!$I:$I,DRE!AO$4,Aut_Ajustes_Manuais!$F:$F,"Locação de Mobiliário - Eventos")</f>
        <v>0</v>
      </c>
      <c r="AR80" s="241">
        <f t="shared" ca="1" si="65"/>
        <v>0</v>
      </c>
      <c r="AS80" s="27">
        <f t="shared" ca="1" si="66"/>
        <v>0</v>
      </c>
      <c r="AT80" s="82">
        <f t="shared" ca="1" si="67"/>
        <v>0</v>
      </c>
      <c r="AU80" s="241">
        <f t="shared" si="98"/>
        <v>-528</v>
      </c>
      <c r="AV80" s="81">
        <f t="shared" si="98"/>
        <v>0</v>
      </c>
      <c r="AW80" s="82">
        <f t="shared" si="98"/>
        <v>0</v>
      </c>
      <c r="AX80" s="241">
        <f t="shared" si="99"/>
        <v>0</v>
      </c>
      <c r="AY80" s="81">
        <f t="shared" si="99"/>
        <v>0</v>
      </c>
      <c r="AZ80" s="82">
        <f t="shared" si="99"/>
        <v>0</v>
      </c>
      <c r="BA80" s="241">
        <f t="shared" si="100"/>
        <v>0</v>
      </c>
      <c r="BB80" s="81">
        <f t="shared" si="100"/>
        <v>0</v>
      </c>
      <c r="BC80" s="82">
        <f t="shared" si="100"/>
        <v>0</v>
      </c>
      <c r="BD80" s="241">
        <f t="shared" si="101"/>
        <v>0</v>
      </c>
      <c r="BE80" s="81">
        <f t="shared" si="101"/>
        <v>0</v>
      </c>
      <c r="BF80" s="82">
        <f t="shared" si="101"/>
        <v>0</v>
      </c>
      <c r="BG80" s="241">
        <f t="shared" si="102"/>
        <v>-528</v>
      </c>
      <c r="BH80" s="81">
        <f t="shared" si="102"/>
        <v>0</v>
      </c>
      <c r="BI80" s="82">
        <f t="shared" si="102"/>
        <v>0</v>
      </c>
      <c r="BK80" s="448">
        <f t="shared" si="87"/>
        <v>0</v>
      </c>
      <c r="BL80" s="448">
        <f t="shared" si="88"/>
        <v>0</v>
      </c>
      <c r="BM80" s="448">
        <f t="shared" si="89"/>
        <v>0</v>
      </c>
      <c r="BN80" s="448">
        <f t="shared" ca="1" si="90"/>
        <v>0</v>
      </c>
    </row>
    <row r="81" spans="1:66" s="29" customFormat="1" hidden="1" outlineLevel="1" x14ac:dyDescent="0.3">
      <c r="A81" s="22" t="s">
        <v>107</v>
      </c>
      <c r="B81" s="2"/>
      <c r="C81" s="24" t="s">
        <v>108</v>
      </c>
      <c r="D81" s="69" t="s">
        <v>78</v>
      </c>
      <c r="E81" s="69"/>
      <c r="F81" s="41"/>
      <c r="G81" s="23"/>
      <c r="H81" s="241">
        <v>0</v>
      </c>
      <c r="I81" s="81">
        <v>0</v>
      </c>
      <c r="J81" s="82">
        <f>SUMIFS(Aut_BlueMe_Sem_Pedido!$J:$J,Aut_BlueMe_Sem_Pedido!$Q:$Q,DRE!H$4,Aut_BlueMe_Sem_Pedido!$H:$H,DRE!$A81)+SUMIFS(Aut_Ajustes_Manuais!$G:$G,Aut_Ajustes_Manuais!$I:$I,DRE!H$4,Aut_Ajustes_Manuais!$F:$F,"Locação de Coberturas - Eventos")</f>
        <v>0</v>
      </c>
      <c r="K81" s="254">
        <v>0</v>
      </c>
      <c r="L81" s="81">
        <v>0</v>
      </c>
      <c r="M81" s="82">
        <f>SUMIFS(Aut_BlueMe_Sem_Pedido!$J:$J,Aut_BlueMe_Sem_Pedido!$Q:$Q,DRE!K$4,Aut_BlueMe_Sem_Pedido!$H:$H,DRE!$A81)+SUMIFS(Aut_Ajustes_Manuais!$G:$G,Aut_Ajustes_Manuais!$I:$I,DRE!K$4,Aut_Ajustes_Manuais!$F:$F,"Locação de Coberturas - Eventos")</f>
        <v>0</v>
      </c>
      <c r="N81" s="254">
        <v>0</v>
      </c>
      <c r="O81" s="81">
        <v>0</v>
      </c>
      <c r="P81" s="82">
        <f>SUMIFS(Aut_BlueMe_Sem_Pedido!$J:$J,Aut_BlueMe_Sem_Pedido!$Q:$Q,DRE!N$4,Aut_BlueMe_Sem_Pedido!$H:$H,DRE!$A81)+SUMIFS(Aut_Ajustes_Manuais!$G:$G,Aut_Ajustes_Manuais!$I:$I,DRE!N$4,Aut_Ajustes_Manuais!$F:$F,"Locação de Coberturas - Eventos")</f>
        <v>0</v>
      </c>
      <c r="Q81" s="241">
        <v>0</v>
      </c>
      <c r="R81" s="81">
        <v>0</v>
      </c>
      <c r="S81" s="82">
        <f>SUMIFS(Aut_BlueMe_Sem_Pedido!$J:$J,Aut_BlueMe_Sem_Pedido!$Q:$Q,DRE!Q$4,Aut_BlueMe_Sem_Pedido!$H:$H,DRE!$A81)+SUMIFS(Aut_Ajustes_Manuais!$G:$G,Aut_Ajustes_Manuais!$I:$I,DRE!Q$4,Aut_Ajustes_Manuais!$F:$F,"Locação de Coberturas - Eventos")</f>
        <v>0</v>
      </c>
      <c r="T81" s="241">
        <v>0</v>
      </c>
      <c r="U81" s="81">
        <v>0</v>
      </c>
      <c r="V81" s="82">
        <f>SUMIFS(Aut_BlueMe_Sem_Pedido!$J:$J,Aut_BlueMe_Sem_Pedido!$Q:$Q,DRE!T$4,Aut_BlueMe_Sem_Pedido!$H:$H,DRE!$A81)+SUMIFS(Aut_Ajustes_Manuais!$G:$G,Aut_Ajustes_Manuais!$I:$I,DRE!T$4,Aut_Ajustes_Manuais!$F:$F,"Locação de Coberturas - Eventos")</f>
        <v>0</v>
      </c>
      <c r="W81" s="241">
        <v>0</v>
      </c>
      <c r="X81" s="81">
        <v>0</v>
      </c>
      <c r="Y81" s="82">
        <f>SUMIFS(Aut_BlueMe_Sem_Pedido!$J:$J,Aut_BlueMe_Sem_Pedido!$Q:$Q,DRE!W$4,Aut_BlueMe_Sem_Pedido!$H:$H,DRE!$A81)+SUMIFS(Aut_Ajustes_Manuais!$G:$G,Aut_Ajustes_Manuais!$I:$I,DRE!W$4,Aut_Ajustes_Manuais!$F:$F,"Locação de Coberturas - Eventos")</f>
        <v>0</v>
      </c>
      <c r="Z81" s="241">
        <v>0</v>
      </c>
      <c r="AA81" s="81">
        <v>0</v>
      </c>
      <c r="AB81" s="82">
        <f>SUMIFS(Aut_BlueMe_Sem_Pedido!$J:$J,Aut_BlueMe_Sem_Pedido!$Q:$Q,DRE!Z$4,Aut_BlueMe_Sem_Pedido!$H:$H,DRE!$A81)+SUMIFS(Aut_Ajustes_Manuais!$G:$G,Aut_Ajustes_Manuais!$I:$I,DRE!Z$4,Aut_Ajustes_Manuais!$F:$F,"Locação de Coberturas - Eventos")</f>
        <v>0</v>
      </c>
      <c r="AC81" s="241">
        <v>0</v>
      </c>
      <c r="AD81" s="81">
        <v>0</v>
      </c>
      <c r="AE81" s="82">
        <f>SUMIFS(Aut_BlueMe_Sem_Pedido!$J:$J,Aut_BlueMe_Sem_Pedido!$Q:$Q,DRE!AC$4,Aut_BlueMe_Sem_Pedido!$H:$H,DRE!$A81)+SUMIFS(Aut_Ajustes_Manuais!$G:$G,Aut_Ajustes_Manuais!$I:$I,DRE!AC$4,Aut_Ajustes_Manuais!$F:$F,"Locação de Coberturas - Eventos")</f>
        <v>0</v>
      </c>
      <c r="AF81" s="241">
        <v>0</v>
      </c>
      <c r="AG81" s="81">
        <v>0</v>
      </c>
      <c r="AH81" s="82">
        <f>SUMIFS(Aut_BlueMe_Sem_Pedido!$J:$J,Aut_BlueMe_Sem_Pedido!$Q:$Q,DRE!AF$4,Aut_BlueMe_Sem_Pedido!$H:$H,DRE!$A81)+SUMIFS(Aut_Ajustes_Manuais!$G:$G,Aut_Ajustes_Manuais!$I:$I,DRE!AF$4,Aut_Ajustes_Manuais!$F:$F,"Locação de Coberturas - Eventos")</f>
        <v>0</v>
      </c>
      <c r="AI81" s="241">
        <v>0</v>
      </c>
      <c r="AJ81" s="81">
        <v>0</v>
      </c>
      <c r="AK81" s="82">
        <f>SUMIFS(Aut_BlueMe_Sem_Pedido!$J:$J,Aut_BlueMe_Sem_Pedido!$Q:$Q,DRE!AI$4,Aut_BlueMe_Sem_Pedido!$H:$H,DRE!$A81)+SUMIFS(Aut_Ajustes_Manuais!$G:$G,Aut_Ajustes_Manuais!$I:$I,DRE!AI$4,Aut_Ajustes_Manuais!$F:$F,"Locação de Coberturas - Eventos")</f>
        <v>0</v>
      </c>
      <c r="AL81" s="241">
        <v>0</v>
      </c>
      <c r="AM81" s="81">
        <v>0</v>
      </c>
      <c r="AN81" s="82">
        <f>SUMIFS(Aut_BlueMe_Sem_Pedido!$J:$J,Aut_BlueMe_Sem_Pedido!$Q:$Q,DRE!AL$4,Aut_BlueMe_Sem_Pedido!$H:$H,DRE!$A81)+SUMIFS(Aut_Ajustes_Manuais!$G:$G,Aut_Ajustes_Manuais!$I:$I,DRE!AL$4,Aut_Ajustes_Manuais!$F:$F,"Locação de Coberturas - Eventos")</f>
        <v>0</v>
      </c>
      <c r="AO81" s="241">
        <v>0</v>
      </c>
      <c r="AP81" s="81">
        <v>0</v>
      </c>
      <c r="AQ81" s="82">
        <f>SUMIFS(Aut_BlueMe_Sem_Pedido!$J:$J,Aut_BlueMe_Sem_Pedido!$Q:$Q,DRE!AO$4,Aut_BlueMe_Sem_Pedido!$H:$H,DRE!$A81)+SUMIFS(Aut_Ajustes_Manuais!$G:$G,Aut_Ajustes_Manuais!$I:$I,DRE!AO$4,Aut_Ajustes_Manuais!$F:$F,"Locação de Coberturas - Eventos")</f>
        <v>0</v>
      </c>
      <c r="AR81" s="241">
        <f t="shared" ca="1" si="65"/>
        <v>0</v>
      </c>
      <c r="AS81" s="27">
        <f t="shared" ca="1" si="66"/>
        <v>0</v>
      </c>
      <c r="AT81" s="82">
        <f t="shared" ca="1" si="67"/>
        <v>0</v>
      </c>
      <c r="AU81" s="241">
        <f t="shared" si="98"/>
        <v>0</v>
      </c>
      <c r="AV81" s="81">
        <f t="shared" si="98"/>
        <v>0</v>
      </c>
      <c r="AW81" s="82">
        <f t="shared" si="98"/>
        <v>0</v>
      </c>
      <c r="AX81" s="241">
        <f t="shared" si="99"/>
        <v>0</v>
      </c>
      <c r="AY81" s="81">
        <f t="shared" si="99"/>
        <v>0</v>
      </c>
      <c r="AZ81" s="82">
        <f t="shared" si="99"/>
        <v>0</v>
      </c>
      <c r="BA81" s="241">
        <f t="shared" si="100"/>
        <v>0</v>
      </c>
      <c r="BB81" s="81">
        <f t="shared" si="100"/>
        <v>0</v>
      </c>
      <c r="BC81" s="82">
        <f t="shared" si="100"/>
        <v>0</v>
      </c>
      <c r="BD81" s="241">
        <f t="shared" si="101"/>
        <v>0</v>
      </c>
      <c r="BE81" s="81">
        <f t="shared" si="101"/>
        <v>0</v>
      </c>
      <c r="BF81" s="82">
        <f t="shared" si="101"/>
        <v>0</v>
      </c>
      <c r="BG81" s="241">
        <f t="shared" si="102"/>
        <v>0</v>
      </c>
      <c r="BH81" s="81">
        <f t="shared" si="102"/>
        <v>0</v>
      </c>
      <c r="BI81" s="82">
        <f t="shared" si="102"/>
        <v>0</v>
      </c>
      <c r="BK81" s="448">
        <f t="shared" si="87"/>
        <v>0</v>
      </c>
      <c r="BL81" s="448">
        <f t="shared" si="88"/>
        <v>0</v>
      </c>
      <c r="BM81" s="448">
        <f t="shared" si="89"/>
        <v>0</v>
      </c>
      <c r="BN81" s="448">
        <f t="shared" ca="1" si="90"/>
        <v>0</v>
      </c>
    </row>
    <row r="82" spans="1:66" ht="18" hidden="1" customHeight="1" outlineLevel="1" x14ac:dyDescent="0.3">
      <c r="A82" s="73" t="s">
        <v>109</v>
      </c>
      <c r="C82" s="24"/>
      <c r="D82" s="69"/>
      <c r="E82" s="69"/>
      <c r="F82" s="41"/>
      <c r="H82" s="252">
        <v>0</v>
      </c>
      <c r="I82" s="74">
        <v>0</v>
      </c>
      <c r="J82" s="76">
        <f>SUM(J83:J84)+SUMIFS(Aut_Ajustes_Manuais!$G:$G,Aut_Ajustes_Manuais!$I:$I,DRE!H$4,Aut_Ajustes_Manuais!$F:$F,"Repasses Locação de Espaço")</f>
        <v>0</v>
      </c>
      <c r="K82" s="252">
        <v>0</v>
      </c>
      <c r="L82" s="74">
        <v>0</v>
      </c>
      <c r="M82" s="76">
        <f>SUM(M83:M84)+SUMIFS(Aut_Ajustes_Manuais!$G:$G,Aut_Ajustes_Manuais!$I:$I,DRE!K$4,Aut_Ajustes_Manuais!$F:$F,"Repasses Locação de Espaço")</f>
        <v>0</v>
      </c>
      <c r="N82" s="252">
        <v>0</v>
      </c>
      <c r="O82" s="74">
        <v>0</v>
      </c>
      <c r="P82" s="76">
        <f>SUM(P83:P84)+SUMIFS(Aut_Ajustes_Manuais!$G:$G,Aut_Ajustes_Manuais!$I:$I,DRE!N$4,Aut_Ajustes_Manuais!$F:$F,"Repasses Locação de Espaço")</f>
        <v>0</v>
      </c>
      <c r="Q82" s="252">
        <v>0</v>
      </c>
      <c r="R82" s="74">
        <v>0</v>
      </c>
      <c r="S82" s="82">
        <f>SUMIFS(Aut_BlueMe_Sem_Pedido!$J:$J,Aut_BlueMe_Sem_Pedido!$Q:$Q,DRE!Q$4,Aut_BlueMe_Sem_Pedido!$H:$H,DRE!$A82)+SUMIFS(Aut_Ajustes_Manuais!$G:$G,Aut_Ajustes_Manuais!$I:$I,DRE!Q$4,Aut_Ajustes_Manuais!$F:$F,"Repasses Locação de Espaço")</f>
        <v>0</v>
      </c>
      <c r="T82" s="252">
        <v>0</v>
      </c>
      <c r="U82" s="74">
        <v>0</v>
      </c>
      <c r="V82" s="76">
        <f>SUMIFS(Aut_BlueMe_Sem_Pedido!$J:$J,Aut_BlueMe_Sem_Pedido!$Q:$Q,DRE!T$4,Aut_BlueMe_Sem_Pedido!$H:$H,DRE!$A82)+SUMIFS(Aut_Ajustes_Manuais!$G:$G,Aut_Ajustes_Manuais!$I:$I,DRE!T$4,Aut_Ajustes_Manuais!$F:$F,"Repasses Locação de Espaço")</f>
        <v>0</v>
      </c>
      <c r="W82" s="252">
        <v>0</v>
      </c>
      <c r="X82" s="74">
        <v>0</v>
      </c>
      <c r="Y82" s="76">
        <f>SUMIFS(Aut_BlueMe_Sem_Pedido!$J:$J,Aut_BlueMe_Sem_Pedido!$Q:$Q,DRE!W$4,Aut_BlueMe_Sem_Pedido!$H:$H,DRE!$A82)+SUMIFS(Aut_Ajustes_Manuais!$G:$G,Aut_Ajustes_Manuais!$I:$I,DRE!W$4,Aut_Ajustes_Manuais!$F:$F,"Repasses Locação de Espaço")</f>
        <v>0</v>
      </c>
      <c r="Z82" s="252">
        <v>0</v>
      </c>
      <c r="AA82" s="74">
        <v>0</v>
      </c>
      <c r="AB82" s="76">
        <f>SUMIFS(Aut_BlueMe_Sem_Pedido!$J:$J,Aut_BlueMe_Sem_Pedido!$Q:$Q,DRE!Z$4,Aut_BlueMe_Sem_Pedido!$H:$H,DRE!$A82)+SUMIFS(Aut_Ajustes_Manuais!$G:$G,Aut_Ajustes_Manuais!$I:$I,DRE!Z$4,Aut_Ajustes_Manuais!$F:$F,"Repasses Locação de Espaço")</f>
        <v>0</v>
      </c>
      <c r="AC82" s="252">
        <v>0</v>
      </c>
      <c r="AD82" s="74">
        <v>0</v>
      </c>
      <c r="AE82" s="76">
        <f>SUMIFS(Aut_BlueMe_Sem_Pedido!$J:$J,Aut_BlueMe_Sem_Pedido!$Q:$Q,DRE!AC$4,Aut_BlueMe_Sem_Pedido!$H:$H,DRE!$A82)+SUMIFS(Aut_Ajustes_Manuais!$G:$G,Aut_Ajustes_Manuais!$I:$I,DRE!AC$4,Aut_Ajustes_Manuais!$F:$F,"Repasses Locação de Espaço")</f>
        <v>0</v>
      </c>
      <c r="AF82" s="252">
        <v>0</v>
      </c>
      <c r="AG82" s="74">
        <v>0</v>
      </c>
      <c r="AH82" s="76">
        <f>SUMIFS(Aut_BlueMe_Sem_Pedido!$J:$J,Aut_BlueMe_Sem_Pedido!$Q:$Q,DRE!AF$4,Aut_BlueMe_Sem_Pedido!$H:$H,DRE!$A82)+SUMIFS(Aut_Ajustes_Manuais!$G:$G,Aut_Ajustes_Manuais!$I:$I,DRE!AF$4,Aut_Ajustes_Manuais!$F:$F,"Repasses Locação de Espaço")</f>
        <v>0</v>
      </c>
      <c r="AI82" s="252">
        <v>0</v>
      </c>
      <c r="AJ82" s="74">
        <v>0</v>
      </c>
      <c r="AK82" s="76">
        <f>SUMIFS(Aut_BlueMe_Sem_Pedido!$J:$J,Aut_BlueMe_Sem_Pedido!$Q:$Q,DRE!AI$4,Aut_BlueMe_Sem_Pedido!$H:$H,DRE!$A82)+SUMIFS(Aut_Ajustes_Manuais!$G:$G,Aut_Ajustes_Manuais!$I:$I,DRE!AI$4,Aut_Ajustes_Manuais!$F:$F,"Repasses Locação de Espaço")</f>
        <v>0</v>
      </c>
      <c r="AL82" s="252">
        <v>0</v>
      </c>
      <c r="AM82" s="74">
        <v>0</v>
      </c>
      <c r="AN82" s="76">
        <f>SUMIFS(Aut_BlueMe_Sem_Pedido!$J:$J,Aut_BlueMe_Sem_Pedido!$Q:$Q,DRE!AL$4,Aut_BlueMe_Sem_Pedido!$H:$H,DRE!$A82)+SUMIFS(Aut_Ajustes_Manuais!$G:$G,Aut_Ajustes_Manuais!$I:$I,DRE!AL$4,Aut_Ajustes_Manuais!$F:$F,"Repasses Locação de Espaço")</f>
        <v>0</v>
      </c>
      <c r="AO82" s="252">
        <v>0</v>
      </c>
      <c r="AP82" s="74">
        <v>0</v>
      </c>
      <c r="AQ82" s="76">
        <f>SUMIFS(Aut_BlueMe_Sem_Pedido!$J:$J,Aut_BlueMe_Sem_Pedido!$Q:$Q,DRE!AO$4,Aut_BlueMe_Sem_Pedido!$H:$H,DRE!$A82)+SUMIFS(Aut_Ajustes_Manuais!$G:$G,Aut_Ajustes_Manuais!$I:$I,DRE!AO$4,Aut_Ajustes_Manuais!$F:$F,"Repasses Locação de Espaço")</f>
        <v>0</v>
      </c>
      <c r="AR82" s="241">
        <f t="shared" ca="1" si="65"/>
        <v>0</v>
      </c>
      <c r="AS82" s="27">
        <f t="shared" ca="1" si="66"/>
        <v>0</v>
      </c>
      <c r="AT82" s="76">
        <f t="shared" ca="1" si="67"/>
        <v>0</v>
      </c>
      <c r="AU82" s="252">
        <f t="shared" ref="AU82:BI82" si="103">SUM(AU83:AU84)</f>
        <v>0</v>
      </c>
      <c r="AV82" s="74">
        <f t="shared" si="103"/>
        <v>0</v>
      </c>
      <c r="AW82" s="76">
        <f t="shared" si="103"/>
        <v>0</v>
      </c>
      <c r="AX82" s="252">
        <f t="shared" si="103"/>
        <v>0</v>
      </c>
      <c r="AY82" s="74">
        <f t="shared" si="103"/>
        <v>0</v>
      </c>
      <c r="AZ82" s="76">
        <f t="shared" si="103"/>
        <v>0</v>
      </c>
      <c r="BA82" s="252">
        <f t="shared" si="103"/>
        <v>0</v>
      </c>
      <c r="BB82" s="74">
        <f t="shared" si="103"/>
        <v>0</v>
      </c>
      <c r="BC82" s="76">
        <f t="shared" si="103"/>
        <v>0</v>
      </c>
      <c r="BD82" s="252">
        <f t="shared" si="103"/>
        <v>0</v>
      </c>
      <c r="BE82" s="74">
        <f t="shared" si="103"/>
        <v>0</v>
      </c>
      <c r="BF82" s="76">
        <f t="shared" si="103"/>
        <v>0</v>
      </c>
      <c r="BG82" s="252">
        <f t="shared" si="103"/>
        <v>0</v>
      </c>
      <c r="BH82" s="74">
        <f t="shared" si="103"/>
        <v>0</v>
      </c>
      <c r="BI82" s="76">
        <f t="shared" si="103"/>
        <v>0</v>
      </c>
      <c r="BK82" s="448">
        <f t="shared" si="87"/>
        <v>0</v>
      </c>
      <c r="BL82" s="448">
        <f t="shared" si="88"/>
        <v>0</v>
      </c>
      <c r="BM82" s="448">
        <f t="shared" si="89"/>
        <v>0</v>
      </c>
      <c r="BN82" s="448">
        <f t="shared" ca="1" si="90"/>
        <v>0</v>
      </c>
    </row>
    <row r="83" spans="1:66" s="29" customFormat="1" hidden="1" outlineLevel="1" x14ac:dyDescent="0.3">
      <c r="A83" s="22" t="s">
        <v>110</v>
      </c>
      <c r="B83" s="2"/>
      <c r="C83" s="24"/>
      <c r="D83" s="69" t="s">
        <v>78</v>
      </c>
      <c r="E83" s="80">
        <v>0</v>
      </c>
      <c r="F83" s="41"/>
      <c r="G83" s="23"/>
      <c r="H83" s="241">
        <v>0</v>
      </c>
      <c r="I83" s="81">
        <v>0</v>
      </c>
      <c r="J83" s="82">
        <f>SUMIFS(Aut_BlueMe_Sem_Pedido!$J:$J,Aut_BlueMe_Sem_Pedido!$Q:$Q,DRE!H$4,Aut_BlueMe_Sem_Pedido!$H:$H,DRE!$A83)+SUMIFS(Aut_Ajustes_Manuais!$G:$G,Aut_Ajustes_Manuais!$I:$I,DRE!H$4,Aut_Ajustes_Manuais!$F:$F,"Repasse Gazit - Locação Aroo")</f>
        <v>0</v>
      </c>
      <c r="K83" s="254">
        <v>0</v>
      </c>
      <c r="L83" s="81">
        <v>0</v>
      </c>
      <c r="M83" s="82">
        <f>SUMIFS(Aut_BlueMe_Sem_Pedido!$J:$J,Aut_BlueMe_Sem_Pedido!$Q:$Q,DRE!K$4,Aut_BlueMe_Sem_Pedido!$H:$H,DRE!$A83)+SUMIFS(Aut_Ajustes_Manuais!$G:$G,Aut_Ajustes_Manuais!$I:$I,DRE!K$4,Aut_Ajustes_Manuais!$F:$F,"Repasse Gazit - Locação Aroo")</f>
        <v>0</v>
      </c>
      <c r="N83" s="254">
        <v>0</v>
      </c>
      <c r="O83" s="81">
        <v>0</v>
      </c>
      <c r="P83" s="82">
        <f>SUMIFS(Aut_BlueMe_Sem_Pedido!$J:$J,Aut_BlueMe_Sem_Pedido!$Q:$Q,DRE!N$4,Aut_BlueMe_Sem_Pedido!$H:$H,DRE!$A83)+SUMIFS(Aut_Ajustes_Manuais!$G:$G,Aut_Ajustes_Manuais!$I:$I,DRE!N$4,Aut_Ajustes_Manuais!$F:$F,"Repasse Gazit - Locação Aroo")</f>
        <v>0</v>
      </c>
      <c r="Q83" s="241">
        <v>0</v>
      </c>
      <c r="R83" s="81">
        <v>0</v>
      </c>
      <c r="S83" s="82">
        <f>SUMIFS(Aut_BlueMe_Sem_Pedido!$J:$J,Aut_BlueMe_Sem_Pedido!$Q:$Q,DRE!Q$4,Aut_BlueMe_Sem_Pedido!$H:$H,DRE!$A83)+SUMIFS(Aut_Ajustes_Manuais!$G:$G,Aut_Ajustes_Manuais!$I:$I,DRE!Q$4,Aut_Ajustes_Manuais!$F:$F,"Repasse Gazit - Locação Aroo")</f>
        <v>0</v>
      </c>
      <c r="T83" s="241">
        <v>0</v>
      </c>
      <c r="U83" s="81">
        <v>0</v>
      </c>
      <c r="V83" s="82">
        <f>SUMIFS(Aut_BlueMe_Sem_Pedido!$J:$J,Aut_BlueMe_Sem_Pedido!$Q:$Q,DRE!T$4,Aut_BlueMe_Sem_Pedido!$H:$H,DRE!$A83)+SUMIFS(Aut_Ajustes_Manuais!$G:$G,Aut_Ajustes_Manuais!$I:$I,DRE!T$4,Aut_Ajustes_Manuais!$F:$F,"Repasse Gazit - Locação Aroo")</f>
        <v>0</v>
      </c>
      <c r="W83" s="241">
        <v>0</v>
      </c>
      <c r="X83" s="81">
        <v>0</v>
      </c>
      <c r="Y83" s="82">
        <f>SUMIFS(Aut_BlueMe_Sem_Pedido!$J:$J,Aut_BlueMe_Sem_Pedido!$Q:$Q,DRE!W$4,Aut_BlueMe_Sem_Pedido!$H:$H,DRE!$A83)+SUMIFS(Aut_Ajustes_Manuais!$G:$G,Aut_Ajustes_Manuais!$I:$I,DRE!W$4,Aut_Ajustes_Manuais!$F:$F,"Repasse Gazit - Locação Aroo")</f>
        <v>0</v>
      </c>
      <c r="Z83" s="241">
        <v>0</v>
      </c>
      <c r="AA83" s="81">
        <v>0</v>
      </c>
      <c r="AB83" s="82">
        <f>SUMIFS(Aut_BlueMe_Sem_Pedido!$J:$J,Aut_BlueMe_Sem_Pedido!$Q:$Q,DRE!Z$4,Aut_BlueMe_Sem_Pedido!$H:$H,DRE!$A83)+SUMIFS(Aut_Ajustes_Manuais!$G:$G,Aut_Ajustes_Manuais!$I:$I,DRE!Z$4,Aut_Ajustes_Manuais!$F:$F,"Repasse Gazit - Locação Aroo")</f>
        <v>0</v>
      </c>
      <c r="AC83" s="241">
        <v>0</v>
      </c>
      <c r="AD83" s="81">
        <v>0</v>
      </c>
      <c r="AE83" s="82">
        <f>SUMIFS(Aut_BlueMe_Sem_Pedido!$J:$J,Aut_BlueMe_Sem_Pedido!$Q:$Q,DRE!AC$4,Aut_BlueMe_Sem_Pedido!$H:$H,DRE!$A83)+SUMIFS(Aut_Ajustes_Manuais!$G:$G,Aut_Ajustes_Manuais!$I:$I,DRE!AC$4,Aut_Ajustes_Manuais!$F:$F,"Repasse Gazit - Locação Aroo")</f>
        <v>0</v>
      </c>
      <c r="AF83" s="241">
        <v>0</v>
      </c>
      <c r="AG83" s="81">
        <v>0</v>
      </c>
      <c r="AH83" s="82">
        <f>SUMIFS(Aut_BlueMe_Sem_Pedido!$J:$J,Aut_BlueMe_Sem_Pedido!$Q:$Q,DRE!AF$4,Aut_BlueMe_Sem_Pedido!$H:$H,DRE!$A83)+SUMIFS(Aut_Ajustes_Manuais!$G:$G,Aut_Ajustes_Manuais!$I:$I,DRE!AF$4,Aut_Ajustes_Manuais!$F:$F,"Repasse Gazit - Locação Aroo")</f>
        <v>0</v>
      </c>
      <c r="AI83" s="241">
        <v>0</v>
      </c>
      <c r="AJ83" s="81">
        <v>0</v>
      </c>
      <c r="AK83" s="82">
        <f>SUMIFS(Aut_BlueMe_Sem_Pedido!$J:$J,Aut_BlueMe_Sem_Pedido!$Q:$Q,DRE!AI$4,Aut_BlueMe_Sem_Pedido!$H:$H,DRE!$A83)+SUMIFS(Aut_Ajustes_Manuais!$G:$G,Aut_Ajustes_Manuais!$I:$I,DRE!AI$4,Aut_Ajustes_Manuais!$F:$F,"Repasse Gazit - Locação Aroo")</f>
        <v>0</v>
      </c>
      <c r="AL83" s="241">
        <v>0</v>
      </c>
      <c r="AM83" s="81">
        <v>0</v>
      </c>
      <c r="AN83" s="82">
        <f>SUMIFS(Aut_BlueMe_Sem_Pedido!$J:$J,Aut_BlueMe_Sem_Pedido!$Q:$Q,DRE!AL$4,Aut_BlueMe_Sem_Pedido!$H:$H,DRE!$A83)+SUMIFS(Aut_Ajustes_Manuais!$G:$G,Aut_Ajustes_Manuais!$I:$I,DRE!AL$4,Aut_Ajustes_Manuais!$F:$F,"Repasse Gazit - Locação Aroo")</f>
        <v>0</v>
      </c>
      <c r="AO83" s="241">
        <v>0</v>
      </c>
      <c r="AP83" s="81">
        <v>0</v>
      </c>
      <c r="AQ83" s="82">
        <f>SUMIFS(Aut_BlueMe_Sem_Pedido!$J:$J,Aut_BlueMe_Sem_Pedido!$Q:$Q,DRE!AO$4,Aut_BlueMe_Sem_Pedido!$H:$H,DRE!$A83)+SUMIFS(Aut_Ajustes_Manuais!$G:$G,Aut_Ajustes_Manuais!$I:$I,DRE!AO$4,Aut_Ajustes_Manuais!$F:$F,"Repasse Gazit - Locação Aroo")</f>
        <v>0</v>
      </c>
      <c r="AR83" s="241">
        <f t="shared" ca="1" si="65"/>
        <v>0</v>
      </c>
      <c r="AS83" s="27">
        <f t="shared" ca="1" si="66"/>
        <v>0</v>
      </c>
      <c r="AT83" s="82">
        <f t="shared" ca="1" si="67"/>
        <v>0</v>
      </c>
      <c r="AU83" s="241">
        <f t="shared" ref="AU83:AW84" si="104">SUM(H83,K83,N83,Q83,T83,W83,Z83,AC83,AF83,AI83,AL83,AO83)</f>
        <v>0</v>
      </c>
      <c r="AV83" s="81">
        <f t="shared" si="104"/>
        <v>0</v>
      </c>
      <c r="AW83" s="82">
        <f t="shared" si="104"/>
        <v>0</v>
      </c>
      <c r="AX83" s="241">
        <f t="shared" ref="AX83:AZ84" si="105">SUM(H83,K83,N83)</f>
        <v>0</v>
      </c>
      <c r="AY83" s="81">
        <f t="shared" si="105"/>
        <v>0</v>
      </c>
      <c r="AZ83" s="82">
        <f t="shared" si="105"/>
        <v>0</v>
      </c>
      <c r="BA83" s="241">
        <f t="shared" ref="BA83:BC84" si="106">SUM(Q83,T83,W83)</f>
        <v>0</v>
      </c>
      <c r="BB83" s="81">
        <f t="shared" si="106"/>
        <v>0</v>
      </c>
      <c r="BC83" s="82">
        <f t="shared" si="106"/>
        <v>0</v>
      </c>
      <c r="BD83" s="241">
        <f t="shared" ref="BD83:BF84" si="107">SUM(Z83,AC83,AF83)</f>
        <v>0</v>
      </c>
      <c r="BE83" s="81">
        <f t="shared" si="107"/>
        <v>0</v>
      </c>
      <c r="BF83" s="82">
        <f t="shared" si="107"/>
        <v>0</v>
      </c>
      <c r="BG83" s="241">
        <f t="shared" ref="BG83:BI84" si="108">SUM(AI83,AL83,AO83)</f>
        <v>0</v>
      </c>
      <c r="BH83" s="81">
        <f t="shared" si="108"/>
        <v>0</v>
      </c>
      <c r="BI83" s="82">
        <f t="shared" si="108"/>
        <v>0</v>
      </c>
      <c r="BK83" s="448">
        <f t="shared" si="87"/>
        <v>0</v>
      </c>
      <c r="BL83" s="448">
        <f t="shared" si="88"/>
        <v>0</v>
      </c>
      <c r="BM83" s="448">
        <f t="shared" si="89"/>
        <v>0</v>
      </c>
      <c r="BN83" s="448">
        <f t="shared" ca="1" si="90"/>
        <v>0</v>
      </c>
    </row>
    <row r="84" spans="1:66" s="29" customFormat="1" hidden="1" outlineLevel="1" x14ac:dyDescent="0.3">
      <c r="A84" s="22" t="s">
        <v>111</v>
      </c>
      <c r="B84" s="2"/>
      <c r="C84" s="24"/>
      <c r="D84" s="69" t="s">
        <v>78</v>
      </c>
      <c r="E84" s="80">
        <v>0</v>
      </c>
      <c r="F84" s="41"/>
      <c r="G84" s="23"/>
      <c r="H84" s="241">
        <v>0</v>
      </c>
      <c r="I84" s="81">
        <v>0</v>
      </c>
      <c r="J84" s="82">
        <f>SUMIFS(Aut_BlueMe_Sem_Pedido!$J:$J,Aut_BlueMe_Sem_Pedido!$Q:$Q,DRE!H$4,Aut_BlueMe_Sem_Pedido!$H:$H,DRE!$A84)+SUMIFS(Aut_Ajustes_Manuais!$G:$G,Aut_Ajustes_Manuais!$I:$I,DRE!H$4,Aut_Ajustes_Manuais!$F:$F,"Repasse Gazit - Locação Anexo Abaru")</f>
        <v>0</v>
      </c>
      <c r="K84" s="254">
        <v>0</v>
      </c>
      <c r="L84" s="81">
        <v>0</v>
      </c>
      <c r="M84" s="82">
        <f>SUMIFS(Aut_BlueMe_Sem_Pedido!$J:$J,Aut_BlueMe_Sem_Pedido!$Q:$Q,DRE!K$4,Aut_BlueMe_Sem_Pedido!$H:$H,DRE!$A84)+SUMIFS(Aut_Ajustes_Manuais!$G:$G,Aut_Ajustes_Manuais!$I:$I,DRE!K$4,Aut_Ajustes_Manuais!$F:$F,"Repasse Gazit - Locação Anexo Abaru")</f>
        <v>0</v>
      </c>
      <c r="N84" s="254">
        <v>0</v>
      </c>
      <c r="O84" s="81">
        <v>0</v>
      </c>
      <c r="P84" s="82">
        <f>SUMIFS(Aut_BlueMe_Sem_Pedido!$J:$J,Aut_BlueMe_Sem_Pedido!$Q:$Q,DRE!N$4,Aut_BlueMe_Sem_Pedido!$H:$H,DRE!$A84)+SUMIFS(Aut_Ajustes_Manuais!$G:$G,Aut_Ajustes_Manuais!$I:$I,DRE!N$4,Aut_Ajustes_Manuais!$F:$F,"Repasse Gazit - Locação Anexo Abaru")</f>
        <v>0</v>
      </c>
      <c r="Q84" s="241">
        <v>0</v>
      </c>
      <c r="R84" s="81">
        <v>0</v>
      </c>
      <c r="S84" s="82">
        <f>SUMIFS(Aut_BlueMe_Sem_Pedido!$J:$J,Aut_BlueMe_Sem_Pedido!$Q:$Q,DRE!Q$4,Aut_BlueMe_Sem_Pedido!$H:$H,DRE!$A84)+SUMIFS(Aut_Ajustes_Manuais!$G:$G,Aut_Ajustes_Manuais!$I:$I,DRE!Q$4,Aut_Ajustes_Manuais!$F:$F,"Repasse Gazit - Locação Anexo Abaru")</f>
        <v>0</v>
      </c>
      <c r="T84" s="241">
        <v>0</v>
      </c>
      <c r="U84" s="81">
        <v>0</v>
      </c>
      <c r="V84" s="82">
        <f>SUMIFS(Aut_BlueMe_Sem_Pedido!$J:$J,Aut_BlueMe_Sem_Pedido!$Q:$Q,DRE!T$4,Aut_BlueMe_Sem_Pedido!$H:$H,DRE!$A84)+SUMIFS(Aut_Ajustes_Manuais!$G:$G,Aut_Ajustes_Manuais!$I:$I,DRE!T$4,Aut_Ajustes_Manuais!$F:$F,"Repasse Gazit - Locação Anexo Abaru")</f>
        <v>0</v>
      </c>
      <c r="W84" s="241">
        <v>0</v>
      </c>
      <c r="X84" s="81">
        <v>0</v>
      </c>
      <c r="Y84" s="82">
        <f>SUMIFS(Aut_BlueMe_Sem_Pedido!$J:$J,Aut_BlueMe_Sem_Pedido!$Q:$Q,DRE!W$4,Aut_BlueMe_Sem_Pedido!$H:$H,DRE!$A84)+SUMIFS(Aut_Ajustes_Manuais!$G:$G,Aut_Ajustes_Manuais!$I:$I,DRE!W$4,Aut_Ajustes_Manuais!$F:$F,"Repasse Gazit - Locação Anexo Abaru")</f>
        <v>0</v>
      </c>
      <c r="Z84" s="241">
        <v>0</v>
      </c>
      <c r="AA84" s="81">
        <v>0</v>
      </c>
      <c r="AB84" s="82">
        <f>SUMIFS(Aut_BlueMe_Sem_Pedido!$J:$J,Aut_BlueMe_Sem_Pedido!$Q:$Q,DRE!Z$4,Aut_BlueMe_Sem_Pedido!$H:$H,DRE!$A84)+SUMIFS(Aut_Ajustes_Manuais!$G:$G,Aut_Ajustes_Manuais!$I:$I,DRE!Z$4,Aut_Ajustes_Manuais!$F:$F,"Repasse Gazit - Locação Anexo Abaru")</f>
        <v>0</v>
      </c>
      <c r="AC84" s="241">
        <v>0</v>
      </c>
      <c r="AD84" s="81">
        <v>0</v>
      </c>
      <c r="AE84" s="82">
        <f>SUMIFS(Aut_BlueMe_Sem_Pedido!$J:$J,Aut_BlueMe_Sem_Pedido!$Q:$Q,DRE!AC$4,Aut_BlueMe_Sem_Pedido!$H:$H,DRE!$A84)+SUMIFS(Aut_Ajustes_Manuais!$G:$G,Aut_Ajustes_Manuais!$I:$I,DRE!AC$4,Aut_Ajustes_Manuais!$F:$F,"Repasse Gazit - Locação Anexo Abaru")</f>
        <v>0</v>
      </c>
      <c r="AF84" s="241">
        <v>0</v>
      </c>
      <c r="AG84" s="81">
        <v>0</v>
      </c>
      <c r="AH84" s="82">
        <f>SUMIFS(Aut_BlueMe_Sem_Pedido!$J:$J,Aut_BlueMe_Sem_Pedido!$Q:$Q,DRE!AF$4,Aut_BlueMe_Sem_Pedido!$H:$H,DRE!$A84)+SUMIFS(Aut_Ajustes_Manuais!$G:$G,Aut_Ajustes_Manuais!$I:$I,DRE!AF$4,Aut_Ajustes_Manuais!$F:$F,"Repasse Gazit - Locação Anexo Abaru")</f>
        <v>0</v>
      </c>
      <c r="AI84" s="241">
        <v>0</v>
      </c>
      <c r="AJ84" s="81">
        <v>0</v>
      </c>
      <c r="AK84" s="82">
        <f>SUMIFS(Aut_BlueMe_Sem_Pedido!$J:$J,Aut_BlueMe_Sem_Pedido!$Q:$Q,DRE!AI$4,Aut_BlueMe_Sem_Pedido!$H:$H,DRE!$A84)+SUMIFS(Aut_Ajustes_Manuais!$G:$G,Aut_Ajustes_Manuais!$I:$I,DRE!AI$4,Aut_Ajustes_Manuais!$F:$F,"Repasse Gazit - Locação Anexo Abaru")</f>
        <v>0</v>
      </c>
      <c r="AL84" s="241">
        <v>0</v>
      </c>
      <c r="AM84" s="81">
        <v>0</v>
      </c>
      <c r="AN84" s="82">
        <f>SUMIFS(Aut_BlueMe_Sem_Pedido!$J:$J,Aut_BlueMe_Sem_Pedido!$Q:$Q,DRE!AL$4,Aut_BlueMe_Sem_Pedido!$H:$H,DRE!$A84)+SUMIFS(Aut_Ajustes_Manuais!$G:$G,Aut_Ajustes_Manuais!$I:$I,DRE!AL$4,Aut_Ajustes_Manuais!$F:$F,"Repasse Gazit - Locação Anexo Abaru")</f>
        <v>0</v>
      </c>
      <c r="AO84" s="241">
        <v>0</v>
      </c>
      <c r="AP84" s="81">
        <v>0</v>
      </c>
      <c r="AQ84" s="82">
        <f>SUMIFS(Aut_BlueMe_Sem_Pedido!$J:$J,Aut_BlueMe_Sem_Pedido!$Q:$Q,DRE!AO$4,Aut_BlueMe_Sem_Pedido!$H:$H,DRE!$A84)+SUMIFS(Aut_Ajustes_Manuais!$G:$G,Aut_Ajustes_Manuais!$I:$I,DRE!AO$4,Aut_Ajustes_Manuais!$F:$F,"Repasse Gazit - Locação Anexo Abaru")</f>
        <v>0</v>
      </c>
      <c r="AR84" s="241">
        <f t="shared" ca="1" si="65"/>
        <v>0</v>
      </c>
      <c r="AS84" s="27">
        <f t="shared" ca="1" si="66"/>
        <v>0</v>
      </c>
      <c r="AT84" s="82">
        <f t="shared" ca="1" si="67"/>
        <v>0</v>
      </c>
      <c r="AU84" s="241">
        <f t="shared" si="104"/>
        <v>0</v>
      </c>
      <c r="AV84" s="81">
        <f t="shared" si="104"/>
        <v>0</v>
      </c>
      <c r="AW84" s="82">
        <f t="shared" si="104"/>
        <v>0</v>
      </c>
      <c r="AX84" s="241">
        <f t="shared" si="105"/>
        <v>0</v>
      </c>
      <c r="AY84" s="81">
        <f t="shared" si="105"/>
        <v>0</v>
      </c>
      <c r="AZ84" s="82">
        <f t="shared" si="105"/>
        <v>0</v>
      </c>
      <c r="BA84" s="241">
        <f t="shared" si="106"/>
        <v>0</v>
      </c>
      <c r="BB84" s="81">
        <f t="shared" si="106"/>
        <v>0</v>
      </c>
      <c r="BC84" s="82">
        <f t="shared" si="106"/>
        <v>0</v>
      </c>
      <c r="BD84" s="241">
        <f t="shared" si="107"/>
        <v>0</v>
      </c>
      <c r="BE84" s="81">
        <f t="shared" si="107"/>
        <v>0</v>
      </c>
      <c r="BF84" s="82">
        <f t="shared" si="107"/>
        <v>0</v>
      </c>
      <c r="BG84" s="241">
        <f t="shared" si="108"/>
        <v>0</v>
      </c>
      <c r="BH84" s="81">
        <f t="shared" si="108"/>
        <v>0</v>
      </c>
      <c r="BI84" s="82">
        <f t="shared" si="108"/>
        <v>0</v>
      </c>
      <c r="BK84" s="448">
        <f t="shared" si="87"/>
        <v>0</v>
      </c>
      <c r="BL84" s="448">
        <f t="shared" si="88"/>
        <v>0</v>
      </c>
      <c r="BM84" s="448">
        <f t="shared" si="89"/>
        <v>0</v>
      </c>
      <c r="BN84" s="448">
        <f t="shared" ca="1" si="90"/>
        <v>0</v>
      </c>
    </row>
    <row r="85" spans="1:66" collapsed="1" x14ac:dyDescent="0.3">
      <c r="A85" s="71" t="s">
        <v>112</v>
      </c>
      <c r="C85" s="24"/>
      <c r="D85" s="69"/>
      <c r="E85" s="69"/>
      <c r="F85" s="41"/>
      <c r="H85" s="255">
        <v>0</v>
      </c>
      <c r="I85" s="83">
        <v>-0.23712528759750739</v>
      </c>
      <c r="J85" s="84">
        <f>IFERROR(J56/(J14+J15+J16),0)+SUMIFS(Aut_Ajustes_Manuais!$G:$G,Aut_Ajustes_Manuais!$I:$I,DRE!H$4,Aut_Ajustes_Manuais!$F:$F,"% sobre Receita de Eventos")</f>
        <v>0</v>
      </c>
      <c r="K85" s="255">
        <v>0</v>
      </c>
      <c r="L85" s="83">
        <v>-0.2479228826884021</v>
      </c>
      <c r="M85" s="84">
        <f>IFERROR(M56/(M14+M15+M16),0)+SUMIFS(Aut_Ajustes_Manuais!$G:$G,Aut_Ajustes_Manuais!$I:$I,DRE!K$4,Aut_Ajustes_Manuais!$F:$F,"% sobre Receita de Eventos")</f>
        <v>0</v>
      </c>
      <c r="N85" s="255">
        <v>0</v>
      </c>
      <c r="O85" s="83">
        <v>-0.29988808636879388</v>
      </c>
      <c r="P85" s="84">
        <f>IFERROR(P56/(P14+P15+P16),0)+SUMIFS(Aut_Ajustes_Manuais!$G:$G,Aut_Ajustes_Manuais!$I:$I,DRE!N$4,Aut_Ajustes_Manuais!$F:$F,"% sobre Receita de Eventos")</f>
        <v>0</v>
      </c>
      <c r="Q85" s="255">
        <v>0</v>
      </c>
      <c r="R85" s="83">
        <v>-0.28961451901644292</v>
      </c>
      <c r="S85" s="84">
        <f>IFERROR(S56/(S14+S15+S16),0)+SUMIFS(Aut_Ajustes_Manuais!$G:$G,Aut_Ajustes_Manuais!$I:$I,DRE!Q$4,Aut_Ajustes_Manuais!$F:$F,"% sobre Receita de Eventos")</f>
        <v>0</v>
      </c>
      <c r="T85" s="255">
        <v>0</v>
      </c>
      <c r="U85" s="83">
        <v>-0.19188560419821349</v>
      </c>
      <c r="V85" s="84">
        <f>IFERROR(V56/(V14+V15+V16),0)+SUMIFS(Aut_Ajustes_Manuais!$G:$G,Aut_Ajustes_Manuais!$I:$I,DRE!T$4,Aut_Ajustes_Manuais!$F:$F,"% sobre Receita de Eventos")</f>
        <v>0</v>
      </c>
      <c r="W85" s="255">
        <v>0</v>
      </c>
      <c r="X85" s="83">
        <v>-0.2107169489516785</v>
      </c>
      <c r="Y85" s="84">
        <f>IFERROR(Y56/(Y14+Y15+Y16),0)+SUMIFS(Aut_Ajustes_Manuais!$G:$G,Aut_Ajustes_Manuais!$I:$I,DRE!W$4,Aut_Ajustes_Manuais!$F:$F,"% sobre Receita de Eventos")</f>
        <v>0</v>
      </c>
      <c r="Z85" s="255">
        <v>0</v>
      </c>
      <c r="AA85" s="83">
        <v>-0.21237898098294941</v>
      </c>
      <c r="AB85" s="84">
        <f>IFERROR(AB56/(AB14+AB15+AB16),0)+SUMIFS(Aut_Ajustes_Manuais!$G:$G,Aut_Ajustes_Manuais!$I:$I,DRE!Z$4,Aut_Ajustes_Manuais!$F:$F,"% sobre Receita de Eventos")</f>
        <v>0</v>
      </c>
      <c r="AC85" s="255">
        <v>0</v>
      </c>
      <c r="AD85" s="83">
        <v>-0.19951463120674959</v>
      </c>
      <c r="AE85" s="84">
        <f>IFERROR(AE56/(AE14+AE15+AE16),0)+SUMIFS(Aut_Ajustes_Manuais!$G:$G,Aut_Ajustes_Manuais!$I:$I,DRE!AC$4,Aut_Ajustes_Manuais!$F:$F,"% sobre Receita de Eventos")</f>
        <v>0</v>
      </c>
      <c r="AF85" s="255">
        <v>0</v>
      </c>
      <c r="AG85" s="83">
        <v>-0.22349200579505971</v>
      </c>
      <c r="AH85" s="84">
        <f>IFERROR(AH56/(AH14+AH15+AH16),0)+SUMIFS(Aut_Ajustes_Manuais!$G:$G,Aut_Ajustes_Manuais!$I:$I,DRE!AF$4,Aut_Ajustes_Manuais!$F:$F,"% sobre Receita de Eventos")</f>
        <v>0</v>
      </c>
      <c r="AI85" s="255">
        <v>0</v>
      </c>
      <c r="AJ85" s="83">
        <v>-0.22232365948357061</v>
      </c>
      <c r="AK85" s="84">
        <f>IFERROR(AK56/(AK14+AK15+AK16),0)+SUMIFS(Aut_Ajustes_Manuais!$G:$G,Aut_Ajustes_Manuais!$I:$I,DRE!AI$4,Aut_Ajustes_Manuais!$F:$F,"% sobre Receita de Eventos")</f>
        <v>0</v>
      </c>
      <c r="AL85" s="255">
        <v>-1.233359375</v>
      </c>
      <c r="AM85" s="83">
        <v>-0.1967085601445463</v>
      </c>
      <c r="AN85" s="84">
        <f>IFERROR(AN56/(AN14+AN15+AN16),0)+SUMIFS(Aut_Ajustes_Manuais!$G:$G,Aut_Ajustes_Manuais!$I:$I,DRE!AL$4,Aut_Ajustes_Manuais!$F:$F,"% sobre Receita de Eventos")</f>
        <v>0</v>
      </c>
      <c r="AO85" s="255">
        <v>-0.1135238095238095</v>
      </c>
      <c r="AP85" s="83">
        <v>-0.21344033926376729</v>
      </c>
      <c r="AQ85" s="84">
        <f>IFERROR(AQ56/(AQ14+AQ15+AQ16),0)+SUMIFS(Aut_Ajustes_Manuais!$G:$G,Aut_Ajustes_Manuais!$I:$I,DRE!AO$4,Aut_Ajustes_Manuais!$F:$F,"% sobre Receita de Eventos")</f>
        <v>0</v>
      </c>
      <c r="AR85" s="255">
        <f t="shared" ref="AR85:BI85" ca="1" si="109">IFERROR(AR56/(AR14+AR15+AR16),0)</f>
        <v>0</v>
      </c>
      <c r="AS85" s="83">
        <f t="shared" ca="1" si="109"/>
        <v>-0.23892593295447914</v>
      </c>
      <c r="AT85" s="84">
        <f t="shared" ca="1" si="109"/>
        <v>0</v>
      </c>
      <c r="AU85" s="255">
        <f t="shared" si="109"/>
        <v>-0.80331360946745567</v>
      </c>
      <c r="AV85" s="83">
        <f t="shared" si="109"/>
        <v>-0.22375140578984998</v>
      </c>
      <c r="AW85" s="84">
        <f t="shared" si="109"/>
        <v>0</v>
      </c>
      <c r="AX85" s="255">
        <f t="shared" si="109"/>
        <v>0</v>
      </c>
      <c r="AY85" s="83">
        <f t="shared" si="109"/>
        <v>-0.25853427459662132</v>
      </c>
      <c r="AZ85" s="84">
        <f t="shared" si="109"/>
        <v>0</v>
      </c>
      <c r="BA85" s="255">
        <f t="shared" si="109"/>
        <v>0</v>
      </c>
      <c r="BB85" s="83">
        <f t="shared" si="109"/>
        <v>-0.22250786805932865</v>
      </c>
      <c r="BC85" s="84">
        <f t="shared" si="109"/>
        <v>0</v>
      </c>
      <c r="BD85" s="255">
        <f t="shared" si="109"/>
        <v>0</v>
      </c>
      <c r="BE85" s="83">
        <f t="shared" si="109"/>
        <v>-0.21124210164240068</v>
      </c>
      <c r="BF85" s="84">
        <f t="shared" si="109"/>
        <v>0</v>
      </c>
      <c r="BG85" s="255">
        <f t="shared" si="109"/>
        <v>-0.57310650887573966</v>
      </c>
      <c r="BH85" s="83">
        <f t="shared" si="109"/>
        <v>-0.21015967450380929</v>
      </c>
      <c r="BI85" s="84">
        <f t="shared" si="109"/>
        <v>0</v>
      </c>
      <c r="BK85" s="448">
        <f t="shared" si="87"/>
        <v>-2.7450115056976814</v>
      </c>
      <c r="BL85" s="448">
        <f t="shared" si="88"/>
        <v>-2.5212600999078312</v>
      </c>
      <c r="BM85" s="448">
        <f t="shared" si="89"/>
        <v>0</v>
      </c>
      <c r="BN85" s="448">
        <f t="shared" ca="1" si="90"/>
        <v>0</v>
      </c>
    </row>
    <row r="86" spans="1:66" x14ac:dyDescent="0.3">
      <c r="A86" s="71" t="s">
        <v>46</v>
      </c>
      <c r="C86" s="24"/>
      <c r="D86" s="69"/>
      <c r="E86" s="69"/>
      <c r="F86" s="41"/>
      <c r="H86" s="255">
        <v>-1.4407283899773591E-3</v>
      </c>
      <c r="I86" s="83">
        <v>-6.3311993883117057E-3</v>
      </c>
      <c r="J86" s="84">
        <f>IFERROR(J56/J8,0)+SUMIFS(Aut_Ajustes_Manuais!$G:$G,Aut_Ajustes_Manuais!$I:$I,DRE!H$4,Aut_Ajustes_Manuais!$F:$F,"% sobre Receita Bruta")</f>
        <v>-1.5528693790981193E-3</v>
      </c>
      <c r="K86" s="255">
        <v>-1.2946182911828281E-3</v>
      </c>
      <c r="L86" s="83">
        <v>-6.6194930921479054E-3</v>
      </c>
      <c r="M86" s="84">
        <f>IFERROR(M56/M8,0)+SUMIFS(Aut_Ajustes_Manuais!$G:$G,Aut_Ajustes_Manuais!$I:$I,DRE!K$4,Aut_Ajustes_Manuais!$F:$F,"% sobre Receita Bruta")</f>
        <v>-1.8926921767083028E-3</v>
      </c>
      <c r="N86" s="255">
        <v>-1.290987439176337E-3</v>
      </c>
      <c r="O86" s="83">
        <v>-8.006953995572233E-3</v>
      </c>
      <c r="P86" s="84">
        <f>IFERROR(P56/P8,0)+SUMIFS(Aut_Ajustes_Manuais!$G:$G,Aut_Ajustes_Manuais!$I:$I,DRE!N$4,Aut_Ajustes_Manuais!$F:$F,"% sobre Receita Bruta")</f>
        <v>-1.7783603949892565E-3</v>
      </c>
      <c r="Q86" s="255">
        <v>-1.2135480872525299E-3</v>
      </c>
      <c r="R86" s="83">
        <v>-7.7326517311617467E-3</v>
      </c>
      <c r="S86" s="84">
        <f>IFERROR(S56/S8,0)+SUMIFS(Aut_Ajustes_Manuais!$G:$G,Aut_Ajustes_Manuais!$I:$I,DRE!Q$4,Aut_Ajustes_Manuais!$F:$F,"% sobre Receita Bruta")</f>
        <v>-1.6237776911943427E-3</v>
      </c>
      <c r="T86" s="255">
        <v>-9.1743512753139547E-4</v>
      </c>
      <c r="U86" s="83">
        <v>-5.1233085776479703E-3</v>
      </c>
      <c r="V86" s="84">
        <f>IFERROR(V56/V8,0)+SUMIFS(Aut_Ajustes_Manuais!$G:$G,Aut_Ajustes_Manuais!$I:$I,DRE!T$4,Aut_Ajustes_Manuais!$F:$F,"% sobre Receita Bruta")</f>
        <v>-1.609394399908329E-3</v>
      </c>
      <c r="W86" s="255">
        <v>0</v>
      </c>
      <c r="X86" s="83">
        <v>-5.6261018461018809E-3</v>
      </c>
      <c r="Y86" s="84">
        <f>IFERROR(Y56/Y8,0)+SUMIFS(Aut_Ajustes_Manuais!$G:$G,Aut_Ajustes_Manuais!$I:$I,DRE!W$4,Aut_Ajustes_Manuais!$F:$F,"% sobre Receita Bruta")</f>
        <v>-1.2065325471017654E-2</v>
      </c>
      <c r="Z86" s="255">
        <v>-1.684713552226106E-3</v>
      </c>
      <c r="AA86" s="83">
        <v>-5.6704777803868751E-3</v>
      </c>
      <c r="AB86" s="84">
        <f>IFERROR(AB56/AB8,0)+SUMIFS(Aut_Ajustes_Manuais!$G:$G,Aut_Ajustes_Manuais!$I:$I,DRE!Z$4,Aut_Ajustes_Manuais!$F:$F,"% sobre Receita Bruta")</f>
        <v>-7.6393824425091917E-3</v>
      </c>
      <c r="AC86" s="255">
        <v>-1.4439826427510411E-3</v>
      </c>
      <c r="AD86" s="83">
        <v>-5.3270021255577239E-3</v>
      </c>
      <c r="AE86" s="84">
        <f>IFERROR(AE56/AE8,0)+SUMIFS(Aut_Ajustes_Manuais!$G:$G,Aut_Ajustes_Manuais!$I:$I,DRE!AC$4,Aut_Ajustes_Manuais!$F:$F,"% sobre Receita Bruta")</f>
        <v>0</v>
      </c>
      <c r="AF86" s="255">
        <v>-1.701954615451297E-3</v>
      </c>
      <c r="AG86" s="83">
        <v>-5.9671933968678597E-3</v>
      </c>
      <c r="AH86" s="84">
        <f>IFERROR(AH56/AH8,0)+SUMIFS(Aut_Ajustes_Manuais!$G:$G,Aut_Ajustes_Manuais!$I:$I,DRE!AF$4,Aut_Ajustes_Manuais!$F:$F,"% sobre Receita Bruta")</f>
        <v>0</v>
      </c>
      <c r="AI86" s="255">
        <v>-1.65328989810113E-3</v>
      </c>
      <c r="AJ86" s="83">
        <v>-5.9359987759668954E-3</v>
      </c>
      <c r="AK86" s="84">
        <f>IFERROR(AK56/AK8,0)+SUMIFS(Aut_Ajustes_Manuais!$G:$G,Aut_Ajustes_Manuais!$I:$I,DRE!AI$4,Aut_Ajustes_Manuais!$F:$F,"% sobre Receita Bruta")</f>
        <v>0</v>
      </c>
      <c r="AL86" s="255">
        <v>-1.837691698122116E-2</v>
      </c>
      <c r="AM86" s="83">
        <v>-5.2520805700687293E-3</v>
      </c>
      <c r="AN86" s="84">
        <f>IFERROR(AN56/AN8,0)+SUMIFS(Aut_Ajustes_Manuais!$G:$G,Aut_Ajustes_Manuais!$I:$I,DRE!AL$4,Aut_Ajustes_Manuais!$F:$F,"% sobre Receita Bruta")</f>
        <v>0</v>
      </c>
      <c r="AO86" s="255">
        <v>-2.482130430873271E-3</v>
      </c>
      <c r="AP86" s="83">
        <v>-5.6988158415290464E-3</v>
      </c>
      <c r="AQ86" s="84">
        <f>IFERROR(AQ56/AQ8,0)+SUMIFS(Aut_Ajustes_Manuais!$G:$G,Aut_Ajustes_Manuais!$I:$I,DRE!AO$4,Aut_Ajustes_Manuais!$F:$F,"% sobre Receita Bruta")</f>
        <v>0</v>
      </c>
      <c r="AR86" s="255">
        <f t="shared" ref="AR86:BI86" ca="1" si="110">IFERROR(AR56/AR8,0)</f>
        <v>-1.0163995940800008E-3</v>
      </c>
      <c r="AS86" s="83">
        <f t="shared" ca="1" si="110"/>
        <v>-6.3792762716257155E-3</v>
      </c>
      <c r="AT86" s="84">
        <f t="shared" ca="1" si="110"/>
        <v>-3.42455974610022E-3</v>
      </c>
      <c r="AU86" s="255">
        <f t="shared" si="110"/>
        <v>-3.0482892897668724E-3</v>
      </c>
      <c r="AV86" s="83">
        <f t="shared" si="110"/>
        <v>-5.9741193266368165E-3</v>
      </c>
      <c r="AW86" s="84">
        <f t="shared" si="110"/>
        <v>-4.9242573497133655E-3</v>
      </c>
      <c r="AX86" s="255">
        <f t="shared" si="110"/>
        <v>-1.3453015024468954E-3</v>
      </c>
      <c r="AY86" s="83">
        <f t="shared" si="110"/>
        <v>-6.9028152069638042E-3</v>
      </c>
      <c r="AZ86" s="84">
        <f t="shared" si="110"/>
        <v>-1.7294726418037617E-3</v>
      </c>
      <c r="BA86" s="255">
        <f t="shared" si="110"/>
        <v>-7.2892587150992223E-4</v>
      </c>
      <c r="BB86" s="83">
        <f t="shared" si="110"/>
        <v>-5.9409171093676794E-3</v>
      </c>
      <c r="BC86" s="84">
        <f t="shared" si="110"/>
        <v>-5.0257443412398579E-3</v>
      </c>
      <c r="BD86" s="255">
        <f t="shared" si="110"/>
        <v>-1.6011429598904883E-3</v>
      </c>
      <c r="BE86" s="83">
        <f t="shared" si="110"/>
        <v>-5.6401233215335276E-3</v>
      </c>
      <c r="BF86" s="84">
        <f t="shared" si="110"/>
        <v>-2.2918147327527574E-2</v>
      </c>
      <c r="BG86" s="255">
        <f t="shared" si="110"/>
        <v>-7.6103255589705732E-3</v>
      </c>
      <c r="BH86" s="83">
        <f t="shared" si="110"/>
        <v>-5.6112227259573436E-3</v>
      </c>
      <c r="BI86" s="84">
        <f t="shared" si="110"/>
        <v>0</v>
      </c>
      <c r="BK86" s="448">
        <f t="shared" si="87"/>
        <v>-7.3291277121320567E-2</v>
      </c>
      <c r="BL86" s="448">
        <f t="shared" si="88"/>
        <v>-6.7317157794683752E-2</v>
      </c>
      <c r="BM86" s="448">
        <f t="shared" si="89"/>
        <v>-8.4570940418983512E-3</v>
      </c>
      <c r="BN86" s="448">
        <f t="shared" ca="1" si="90"/>
        <v>-5.0325342957981307E-3</v>
      </c>
    </row>
    <row r="87" spans="1:66" x14ac:dyDescent="0.3">
      <c r="A87" s="18"/>
      <c r="C87" s="60"/>
      <c r="E87" s="16"/>
      <c r="F87" s="17"/>
      <c r="H87" s="256"/>
      <c r="I87" s="232"/>
      <c r="J87" s="85"/>
      <c r="K87" s="256"/>
      <c r="L87" s="232"/>
      <c r="M87" s="85"/>
      <c r="N87" s="256"/>
      <c r="O87" s="232"/>
      <c r="P87" s="85"/>
      <c r="Q87" s="256"/>
      <c r="R87" s="232"/>
      <c r="S87" s="85"/>
      <c r="T87" s="256"/>
      <c r="U87" s="232"/>
      <c r="V87" s="85"/>
      <c r="W87" s="256"/>
      <c r="X87" s="232"/>
      <c r="Y87" s="85"/>
      <c r="Z87" s="256"/>
      <c r="AA87" s="232"/>
      <c r="AB87" s="85"/>
      <c r="AC87" s="256"/>
      <c r="AD87" s="232"/>
      <c r="AE87" s="85"/>
      <c r="AF87" s="256"/>
      <c r="AG87" s="232"/>
      <c r="AH87" s="85"/>
      <c r="AI87" s="256"/>
      <c r="AJ87" s="232"/>
      <c r="AK87" s="85"/>
      <c r="AL87" s="256"/>
      <c r="AM87" s="232"/>
      <c r="AN87" s="85"/>
      <c r="AO87" s="256"/>
      <c r="AP87" s="232"/>
      <c r="AQ87" s="85"/>
      <c r="AR87" s="256"/>
      <c r="AS87" s="232"/>
      <c r="AT87" s="85"/>
      <c r="AU87" s="256"/>
      <c r="AV87" s="232"/>
      <c r="AW87" s="85"/>
      <c r="AX87" s="256"/>
      <c r="AY87" s="232"/>
      <c r="AZ87" s="85"/>
      <c r="BA87" s="256"/>
      <c r="BB87" s="232"/>
      <c r="BC87" s="85"/>
      <c r="BD87" s="256"/>
      <c r="BE87" s="232"/>
      <c r="BF87" s="85"/>
      <c r="BG87" s="256"/>
      <c r="BH87" s="232"/>
      <c r="BI87" s="85"/>
      <c r="BK87" s="448">
        <f t="shared" si="87"/>
        <v>0</v>
      </c>
      <c r="BL87" s="448">
        <f t="shared" si="88"/>
        <v>0</v>
      </c>
      <c r="BM87" s="448">
        <f t="shared" si="89"/>
        <v>0</v>
      </c>
      <c r="BN87" s="448">
        <f t="shared" si="90"/>
        <v>0</v>
      </c>
    </row>
    <row r="88" spans="1:66" x14ac:dyDescent="0.3">
      <c r="A88" s="39" t="s">
        <v>113</v>
      </c>
      <c r="C88" s="40" t="s">
        <v>37</v>
      </c>
      <c r="D88" s="40" t="s">
        <v>38</v>
      </c>
      <c r="E88" s="40" t="s">
        <v>39</v>
      </c>
      <c r="F88" s="41"/>
      <c r="G88" s="86"/>
      <c r="H88" s="251">
        <v>-22750</v>
      </c>
      <c r="I88" s="67">
        <v>-26089.85148425357</v>
      </c>
      <c r="J88" s="68">
        <f>SUM(J89:J90)+SUMIFS(Aut_Ajustes_Manuais!$G:$G,Aut_Ajustes_Manuais!$I:$I,DRE!H$4,Aut_Ajustes_Manuais!$F:$F,"(-) Dedução da Gorjeta")</f>
        <v>-27610</v>
      </c>
      <c r="K88" s="251">
        <v>-20810</v>
      </c>
      <c r="L88" s="67">
        <v>-24753.58565773434</v>
      </c>
      <c r="M88" s="68">
        <f>SUM(M89:M90)+SUMIFS(Aut_Ajustes_Manuais!$G:$G,Aut_Ajustes_Manuais!$I:$I,DRE!K$4,Aut_Ajustes_Manuais!$F:$F,"(-) Dedução da Gorjeta")</f>
        <v>-24560</v>
      </c>
      <c r="N88" s="251">
        <v>-18310</v>
      </c>
      <c r="O88" s="67">
        <f>SUM(O89:O90)</f>
        <v>-19858.563324402119</v>
      </c>
      <c r="P88" s="68">
        <f>SUM(P89:P90)+SUMIFS(Aut_Ajustes_Manuais!$G:$G,Aut_Ajustes_Manuais!$I:$I,DRE!N$4,Aut_Ajustes_Manuais!$F:$F,"(-) Dedução da Gorjeta")</f>
        <v>-20760</v>
      </c>
      <c r="Q88" s="251">
        <v>-25670</v>
      </c>
      <c r="R88" s="67">
        <f>SUM(R89:R90)</f>
        <v>-20666.528670075331</v>
      </c>
      <c r="S88" s="68">
        <f>SUM(S89:S90)+SUMIFS(Aut_Ajustes_Manuais!$G:$G,Aut_Ajustes_Manuais!$I:$I,DRE!Q$4,Aut_Ajustes_Manuais!$F:$F,"(-) Dedução da Gorjeta")</f>
        <v>-25230</v>
      </c>
      <c r="T88" s="251">
        <v>-24970</v>
      </c>
      <c r="U88" s="67">
        <f>SUM(U89:U90)</f>
        <v>-33715.501933908869</v>
      </c>
      <c r="V88" s="68">
        <f>SUM(V89:V90)+SUMIFS(Aut_Ajustes_Manuais!$G:$G,Aut_Ajustes_Manuais!$I:$I,DRE!T$4,Aut_Ajustes_Manuais!$F:$F,"(-) Dedução da Gorjeta")</f>
        <v>-23090</v>
      </c>
      <c r="W88" s="251">
        <v>-29187.45</v>
      </c>
      <c r="X88" s="67">
        <f>SUM(X89:X90)</f>
        <v>-30058.431093628471</v>
      </c>
      <c r="Y88" s="68">
        <f>SUM(Y89:Y90)+SUMIFS(Aut_Ajustes_Manuais!$G:$G,Aut_Ajustes_Manuais!$I:$I,DRE!W$4,Aut_Ajustes_Manuais!$F:$F,"(-) Dedução da Gorjeta")</f>
        <v>-29380</v>
      </c>
      <c r="Z88" s="251">
        <v>-22810</v>
      </c>
      <c r="AA88" s="67">
        <f>SUM(AA89:AA90)</f>
        <v>-29773.40130561675</v>
      </c>
      <c r="AB88" s="68">
        <f>SUM(AB89:AB90)+SUMIFS(Aut_Ajustes_Manuais!$G:$G,Aut_Ajustes_Manuais!$I:$I,DRE!Z$4,Aut_Ajustes_Manuais!$F:$F,"(-) Dedução da Gorjeta")</f>
        <v>-15000</v>
      </c>
      <c r="AC88" s="251">
        <v>-24930</v>
      </c>
      <c r="AD88" s="67">
        <f>SUM(AD89:AD90)</f>
        <v>-32131.742689361759</v>
      </c>
      <c r="AE88" s="68">
        <f>SUM(AE89:AE90)+SUMIFS(Aut_Ajustes_Manuais!$G:$G,Aut_Ajustes_Manuais!$I:$I,DRE!AC$4,Aut_Ajustes_Manuais!$F:$F,"(-) Dedução da Gorjeta")</f>
        <v>-15000</v>
      </c>
      <c r="AF88" s="251">
        <v>-28220</v>
      </c>
      <c r="AG88" s="67">
        <f>SUM(AG89:AG90)</f>
        <v>-27998.202542569859</v>
      </c>
      <c r="AH88" s="68">
        <f>SUM(AH89:AH90)+SUMIFS(Aut_Ajustes_Manuais!$G:$G,Aut_Ajustes_Manuais!$I:$I,DRE!AF$4,Aut_Ajustes_Manuais!$F:$F,"(-) Dedução da Gorjeta")</f>
        <v>-15000</v>
      </c>
      <c r="AI88" s="251">
        <v>-24060</v>
      </c>
      <c r="AJ88" s="67">
        <f>SUM(AJ89:AJ90)</f>
        <v>-28174.814010844701</v>
      </c>
      <c r="AK88" s="68">
        <f>SUM(AK89:AK90)+SUMIFS(Aut_Ajustes_Manuais!$G:$G,Aut_Ajustes_Manuais!$I:$I,DRE!AI$4,Aut_Ajustes_Manuais!$F:$F,"(-) Dedução da Gorjeta")</f>
        <v>-15000</v>
      </c>
      <c r="AL88" s="251">
        <v>-26260</v>
      </c>
      <c r="AM88" s="67">
        <f>SUM(AM89:AM90)</f>
        <v>-32696.669999389658</v>
      </c>
      <c r="AN88" s="68">
        <f>SUM(AN89:AN90)+SUMIFS(Aut_Ajustes_Manuais!$G:$G,Aut_Ajustes_Manuais!$I:$I,DRE!AL$4,Aut_Ajustes_Manuais!$F:$F,"(-) Dedução da Gorjeta")</f>
        <v>-15000</v>
      </c>
      <c r="AO88" s="251">
        <v>-33610</v>
      </c>
      <c r="AP88" s="67">
        <f>SUM(AP89:AP90)</f>
        <v>-29594.19507850899</v>
      </c>
      <c r="AQ88" s="68">
        <f>SUM(AQ89:AQ90)+SUMIFS(Aut_Ajustes_Manuais!$G:$G,Aut_Ajustes_Manuais!$I:$I,DRE!AO$4,Aut_Ajustes_Manuais!$F:$F,"(-) Dedução da Gorjeta")</f>
        <v>-15000</v>
      </c>
      <c r="AR88" s="251">
        <f t="shared" ref="AR88:BI88" ca="1" si="111">SUM(AR89:AR90)</f>
        <v>-141697.45000000001</v>
      </c>
      <c r="AS88" s="67">
        <f t="shared" ca="1" si="111"/>
        <v>-155142.4621640027</v>
      </c>
      <c r="AT88" s="68">
        <f t="shared" ca="1" si="111"/>
        <v>-150630</v>
      </c>
      <c r="AU88" s="251">
        <f t="shared" si="111"/>
        <v>-301587.45</v>
      </c>
      <c r="AV88" s="67">
        <f t="shared" si="111"/>
        <v>-335511.48779029446</v>
      </c>
      <c r="AW88" s="68">
        <f t="shared" si="111"/>
        <v>-240630</v>
      </c>
      <c r="AX88" s="251">
        <f t="shared" si="111"/>
        <v>-61870</v>
      </c>
      <c r="AY88" s="67">
        <f t="shared" si="111"/>
        <v>-70702.000466390033</v>
      </c>
      <c r="AZ88" s="68">
        <f t="shared" si="111"/>
        <v>-72930</v>
      </c>
      <c r="BA88" s="251">
        <f t="shared" si="111"/>
        <v>-79827.45</v>
      </c>
      <c r="BB88" s="67">
        <f t="shared" si="111"/>
        <v>-84440.461697612671</v>
      </c>
      <c r="BC88" s="68">
        <f t="shared" si="111"/>
        <v>-77700</v>
      </c>
      <c r="BD88" s="251">
        <f t="shared" si="111"/>
        <v>-75960</v>
      </c>
      <c r="BE88" s="67">
        <f t="shared" si="111"/>
        <v>-89903.346537548379</v>
      </c>
      <c r="BF88" s="68">
        <f t="shared" si="111"/>
        <v>-45000</v>
      </c>
      <c r="BG88" s="251">
        <f t="shared" si="111"/>
        <v>-83930</v>
      </c>
      <c r="BH88" s="67">
        <f t="shared" si="111"/>
        <v>-90465.679088743345</v>
      </c>
      <c r="BI88" s="68">
        <f t="shared" si="111"/>
        <v>-45000</v>
      </c>
      <c r="BK88" s="448">
        <f t="shared" si="87"/>
        <v>-335511.48779029446</v>
      </c>
      <c r="BL88" s="448">
        <f t="shared" si="88"/>
        <v>0</v>
      </c>
      <c r="BM88" s="448">
        <f t="shared" si="89"/>
        <v>-121250</v>
      </c>
      <c r="BN88" s="448">
        <f t="shared" ca="1" si="90"/>
        <v>29380</v>
      </c>
    </row>
    <row r="89" spans="1:66" s="29" customFormat="1" hidden="1" outlineLevel="1" x14ac:dyDescent="0.3">
      <c r="A89" s="22" t="s">
        <v>114</v>
      </c>
      <c r="B89" s="2"/>
      <c r="C89" s="24" t="s">
        <v>115</v>
      </c>
      <c r="D89" s="25" t="s">
        <v>116</v>
      </c>
      <c r="E89" s="87"/>
      <c r="F89" s="41"/>
      <c r="G89" s="23"/>
      <c r="H89" s="241">
        <v>-22750</v>
      </c>
      <c r="I89" s="81">
        <v>-26089.85148425357</v>
      </c>
      <c r="J89" s="82">
        <f>SUMIFS(Aut_BlueMe_Sem_Pedido!$J:$J,Aut_BlueMe_Sem_Pedido!$Q:$Q,DRE!H$4,Aut_BlueMe_Sem_Pedido!$H:$H,DRE!$A89)-SUMIFS(Aut_Folha!$J:$J,Aut_Folha!$K:$K,DRE!H$4,Aut_Folha!$G:$G,"Gorjeta")+SUMIFS(Aut_Ajustes_Manuais!$G:$G,Aut_Ajustes_Manuais!$I:$I,DRE!H$4,Aut_Ajustes_Manuais!$F:$F,"  -  Comissões e Gorjeta")</f>
        <v>-27610</v>
      </c>
      <c r="K89" s="254">
        <v>-20810</v>
      </c>
      <c r="L89" s="81">
        <v>-24753.58565773434</v>
      </c>
      <c r="M89" s="82">
        <f>SUMIFS(Aut_BlueMe_Sem_Pedido!$J:$J,Aut_BlueMe_Sem_Pedido!$Q:$Q,DRE!K$4,Aut_BlueMe_Sem_Pedido!$H:$H,DRE!$A89)-SUMIFS(Aut_Folha!$J:$J,Aut_Folha!$K:$K,DRE!K$4,Aut_Folha!$G:$G,"Gorjeta")+SUMIFS(Aut_Ajustes_Manuais!$G:$G,Aut_Ajustes_Manuais!$I:$I,DRE!K$4,Aut_Ajustes_Manuais!$F:$F,"  -  Comissões e Gorjeta")</f>
        <v>-24560</v>
      </c>
      <c r="N89" s="254">
        <v>-18310</v>
      </c>
      <c r="O89" s="81">
        <v>-19858.563324402119</v>
      </c>
      <c r="P89" s="82">
        <f>SUMIFS(Aut_BlueMe_Sem_Pedido!$J:$J,Aut_BlueMe_Sem_Pedido!$Q:$Q,DRE!N$4,Aut_BlueMe_Sem_Pedido!$H:$H,DRE!$A89)-SUMIFS(Aut_Folha!$J:$J,Aut_Folha!$K:$K,DRE!N$4,Aut_Folha!$G:$G,"Gorjeta")+SUMIFS(Aut_Ajustes_Manuais!$G:$G,Aut_Ajustes_Manuais!$I:$I,DRE!N$4,Aut_Ajustes_Manuais!$F:$F,"  -  Comissões e Gorjeta")</f>
        <v>-20760</v>
      </c>
      <c r="Q89" s="241">
        <v>-25670</v>
      </c>
      <c r="R89" s="81">
        <v>-20666.528670075331</v>
      </c>
      <c r="S89" s="82">
        <f>SUMIFS(Aut_BlueMe_Sem_Pedido!$J:$J,Aut_BlueMe_Sem_Pedido!$Q:$Q,DRE!Q$4,Aut_BlueMe_Sem_Pedido!$H:$H,DRE!$A89)-SUMIFS(Aut_Folha!$J:$J,Aut_Folha!$K:$K,DRE!Q$4,Aut_Folha!$G:$G,"Gorjeta")+SUMIFS(Aut_Ajustes_Manuais!$G:$G,Aut_Ajustes_Manuais!$I:$I,DRE!Q$4,Aut_Ajustes_Manuais!$F:$F,"  -  Comissões e Gorjeta")</f>
        <v>-25230</v>
      </c>
      <c r="T89" s="241">
        <v>-24970</v>
      </c>
      <c r="U89" s="81">
        <v>-33715.501933908869</v>
      </c>
      <c r="V89" s="82">
        <f>SUMIFS(Aut_BlueMe_Sem_Pedido!$J:$J,Aut_BlueMe_Sem_Pedido!$Q:$Q,DRE!T$4,Aut_BlueMe_Sem_Pedido!$H:$H,DRE!$A89)-SUMIFS(Aut_Folha!$J:$J,Aut_Folha!$K:$K,DRE!T$4,Aut_Folha!$G:$G,"Gorjeta")+SUMIFS(Aut_Ajustes_Manuais!$G:$G,Aut_Ajustes_Manuais!$I:$I,DRE!T$4,Aut_Ajustes_Manuais!$F:$F,"  -  Comissões e Gorjeta")</f>
        <v>-23090</v>
      </c>
      <c r="W89" s="241">
        <v>-29187.45</v>
      </c>
      <c r="X89" s="81">
        <v>-30058.431093628471</v>
      </c>
      <c r="Y89" s="82">
        <f>SUMIFS(Aut_BlueMe_Sem_Pedido!$J:$J,Aut_BlueMe_Sem_Pedido!$Q:$Q,DRE!W$4,Aut_BlueMe_Sem_Pedido!$H:$H,DRE!$A89)-SUMIFS(Aut_Folha!$J:$J,Aut_Folha!$K:$K,DRE!W$4,Aut_Folha!$G:$G,"Gorjeta")+SUMIFS(Aut_Ajustes_Manuais!$G:$G,Aut_Ajustes_Manuais!$I:$I,DRE!W$4,Aut_Ajustes_Manuais!$F:$F,"  -  Comissões e Gorjeta")</f>
        <v>-29380</v>
      </c>
      <c r="Z89" s="241">
        <v>-22810</v>
      </c>
      <c r="AA89" s="81">
        <v>-29773.40130561675</v>
      </c>
      <c r="AB89" s="82">
        <f>SUMIFS(Aut_BlueMe_Sem_Pedido!$J:$J,Aut_BlueMe_Sem_Pedido!$Q:$Q,DRE!Z$4,Aut_BlueMe_Sem_Pedido!$H:$H,DRE!$A89)-SUMIFS(Aut_Folha!$J:$J,Aut_Folha!$K:$K,DRE!Z$4,Aut_Folha!$G:$G,"Gorjeta")+SUMIFS(Aut_Ajustes_Manuais!$G:$G,Aut_Ajustes_Manuais!$I:$I,DRE!Z$4,Aut_Ajustes_Manuais!$F:$F,"  -  Comissões e Gorjeta")</f>
        <v>-15000</v>
      </c>
      <c r="AC89" s="241">
        <v>-24930</v>
      </c>
      <c r="AD89" s="81">
        <v>-32131.742689361759</v>
      </c>
      <c r="AE89" s="82">
        <f>SUMIFS(Aut_BlueMe_Sem_Pedido!$J:$J,Aut_BlueMe_Sem_Pedido!$Q:$Q,DRE!AC$4,Aut_BlueMe_Sem_Pedido!$H:$H,DRE!$A89)-SUMIFS(Aut_Folha!$J:$J,Aut_Folha!$K:$K,DRE!AC$4,Aut_Folha!$G:$G,"Gorjeta")+SUMIFS(Aut_Ajustes_Manuais!$G:$G,Aut_Ajustes_Manuais!$I:$I,DRE!AC$4,Aut_Ajustes_Manuais!$F:$F,"  -  Comissões e Gorjeta")</f>
        <v>-15000</v>
      </c>
      <c r="AF89" s="241">
        <v>-28220</v>
      </c>
      <c r="AG89" s="81">
        <v>-27998.202542569859</v>
      </c>
      <c r="AH89" s="82">
        <f>SUMIFS(Aut_BlueMe_Sem_Pedido!$J:$J,Aut_BlueMe_Sem_Pedido!$Q:$Q,DRE!AF$4,Aut_BlueMe_Sem_Pedido!$H:$H,DRE!$A89)-SUMIFS(Aut_Folha!$J:$J,Aut_Folha!$K:$K,DRE!AF$4,Aut_Folha!$G:$G,"Gorjeta")+SUMIFS(Aut_Ajustes_Manuais!$G:$G,Aut_Ajustes_Manuais!$I:$I,DRE!AF$4,Aut_Ajustes_Manuais!$F:$F,"  -  Comissões e Gorjeta")</f>
        <v>-15000</v>
      </c>
      <c r="AI89" s="241">
        <v>-24060</v>
      </c>
      <c r="AJ89" s="81">
        <v>-28174.814010844701</v>
      </c>
      <c r="AK89" s="82">
        <f>SUMIFS(Aut_BlueMe_Sem_Pedido!$J:$J,Aut_BlueMe_Sem_Pedido!$Q:$Q,DRE!AI$4,Aut_BlueMe_Sem_Pedido!$H:$H,DRE!$A89)-SUMIFS(Aut_Folha!$J:$J,Aut_Folha!$K:$K,DRE!AI$4,Aut_Folha!$G:$G,"Gorjeta")+SUMIFS(Aut_Ajustes_Manuais!$G:$G,Aut_Ajustes_Manuais!$I:$I,DRE!AI$4,Aut_Ajustes_Manuais!$F:$F,"  -  Comissões e Gorjeta")</f>
        <v>-15000</v>
      </c>
      <c r="AL89" s="241">
        <v>-26260</v>
      </c>
      <c r="AM89" s="81">
        <v>-32696.669999389658</v>
      </c>
      <c r="AN89" s="82">
        <f>SUMIFS(Aut_BlueMe_Sem_Pedido!$J:$J,Aut_BlueMe_Sem_Pedido!$Q:$Q,DRE!AL$4,Aut_BlueMe_Sem_Pedido!$H:$H,DRE!$A89)-SUMIFS(Aut_Folha!$J:$J,Aut_Folha!$K:$K,DRE!AL$4,Aut_Folha!$G:$G,"Gorjeta")+SUMIFS(Aut_Ajustes_Manuais!$G:$G,Aut_Ajustes_Manuais!$I:$I,DRE!AL$4,Aut_Ajustes_Manuais!$F:$F,"  -  Comissões e Gorjeta")</f>
        <v>-15000</v>
      </c>
      <c r="AO89" s="241">
        <v>-33610</v>
      </c>
      <c r="AP89" s="81">
        <v>-29594.19507850899</v>
      </c>
      <c r="AQ89" s="82">
        <f>SUMIFS(Aut_BlueMe_Sem_Pedido!$J:$J,Aut_BlueMe_Sem_Pedido!$Q:$Q,DRE!AO$4,Aut_BlueMe_Sem_Pedido!$H:$H,DRE!$A89)-SUMIFS(Aut_Folha!$J:$J,Aut_Folha!$K:$K,DRE!AO$4,Aut_Folha!$G:$G,"Gorjeta")+SUMIFS(Aut_Ajustes_Manuais!$G:$G,Aut_Ajustes_Manuais!$I:$I,DRE!AO$4,Aut_Ajustes_Manuais!$F:$F,"  -  Comissões e Gorjeta")</f>
        <v>-15000</v>
      </c>
      <c r="AR89" s="241">
        <f ca="1">SUMIFS($H89:$AO89,$H$5:$AO$5,"&lt;"&amp;MONTH(TODAY()),$H$6:$AO$6,"REAL 25")</f>
        <v>-141697.45000000001</v>
      </c>
      <c r="AS89" s="81">
        <f ca="1">SUMIFS($I89:$AP89,$I$5:$AP$5,"&lt;"&amp;MONTH(TODAY()),$I$6:$AP$6,"ORÇADO ")</f>
        <v>-155142.4621640027</v>
      </c>
      <c r="AT89" s="82">
        <f ca="1">SUMIFS($J89:$AQ89,$J$5:$AQ$5,"&lt;"&amp;MONTH(TODAY()),$J$6:$AQ$6,"REAL 26")</f>
        <v>-150630</v>
      </c>
      <c r="AU89" s="241">
        <f t="shared" ref="AU89:AW90" si="112">SUM(H89,K89,N89,Q89,T89,W89,Z89,AC89,AF89,AI89,AL89,AO89)</f>
        <v>-301587.45</v>
      </c>
      <c r="AV89" s="81">
        <f t="shared" si="112"/>
        <v>-335511.48779029446</v>
      </c>
      <c r="AW89" s="82">
        <f t="shared" si="112"/>
        <v>-240630</v>
      </c>
      <c r="AX89" s="241">
        <f t="shared" ref="AX89:AZ90" si="113">SUM(H89,K89,N89)</f>
        <v>-61870</v>
      </c>
      <c r="AY89" s="81">
        <f t="shared" si="113"/>
        <v>-70702.000466390033</v>
      </c>
      <c r="AZ89" s="82">
        <f t="shared" si="113"/>
        <v>-72930</v>
      </c>
      <c r="BA89" s="241">
        <f t="shared" ref="BA89:BC90" si="114">SUM(Q89,T89,W89)</f>
        <v>-79827.45</v>
      </c>
      <c r="BB89" s="81">
        <f t="shared" si="114"/>
        <v>-84440.461697612671</v>
      </c>
      <c r="BC89" s="82">
        <f t="shared" si="114"/>
        <v>-77700</v>
      </c>
      <c r="BD89" s="241">
        <f t="shared" ref="BD89:BF90" si="115">SUM(Z89,AC89,AF89)</f>
        <v>-75960</v>
      </c>
      <c r="BE89" s="81">
        <f t="shared" si="115"/>
        <v>-89903.346537548379</v>
      </c>
      <c r="BF89" s="82">
        <f t="shared" si="115"/>
        <v>-45000</v>
      </c>
      <c r="BG89" s="241">
        <f t="shared" ref="BG89:BI90" si="116">SUM(AI89,AL89,AO89)</f>
        <v>-83930</v>
      </c>
      <c r="BH89" s="81">
        <f t="shared" si="116"/>
        <v>-90465.679088743345</v>
      </c>
      <c r="BI89" s="82">
        <f t="shared" si="116"/>
        <v>-45000</v>
      </c>
      <c r="BK89" s="448">
        <f t="shared" si="87"/>
        <v>-335511.48779029446</v>
      </c>
      <c r="BL89" s="448">
        <f t="shared" si="88"/>
        <v>0</v>
      </c>
      <c r="BM89" s="448">
        <f t="shared" si="89"/>
        <v>-121250</v>
      </c>
      <c r="BN89" s="448">
        <f t="shared" ca="1" si="90"/>
        <v>29380</v>
      </c>
    </row>
    <row r="90" spans="1:66" s="29" customFormat="1" hidden="1" outlineLevel="1" x14ac:dyDescent="0.3">
      <c r="A90" s="22"/>
      <c r="B90" s="2"/>
      <c r="C90" s="24"/>
      <c r="D90" s="25"/>
      <c r="E90" s="25"/>
      <c r="F90" s="41"/>
      <c r="G90" s="23"/>
      <c r="H90" s="254"/>
      <c r="I90" s="81"/>
      <c r="J90" s="82">
        <f>SUMIFS(Aut_BlueMe_Sem_Pedido!$J:$J,Aut_BlueMe_Sem_Pedido!$Q:$Q,DRE!H$4,Aut_BlueMe_Sem_Pedido!$H:$H,DRE!$A90)</f>
        <v>0</v>
      </c>
      <c r="K90" s="254"/>
      <c r="L90" s="81"/>
      <c r="M90" s="82">
        <f>SUMIFS(Aut_BlueMe_Sem_Pedido!$J:$J,Aut_BlueMe_Sem_Pedido!$Q:$Q,DRE!K$4,Aut_BlueMe_Sem_Pedido!$H:$H,DRE!$A90)</f>
        <v>0</v>
      </c>
      <c r="N90" s="254"/>
      <c r="O90" s="81"/>
      <c r="P90" s="82">
        <f>SUMIFS(Aut_BlueMe_Sem_Pedido!$J:$J,Aut_BlueMe_Sem_Pedido!$Q:$Q,DRE!N$4,Aut_BlueMe_Sem_Pedido!$H:$H,DRE!$A90)</f>
        <v>0</v>
      </c>
      <c r="Q90" s="254"/>
      <c r="R90" s="81"/>
      <c r="S90" s="82">
        <f>SUMIFS(Aut_BlueMe_Sem_Pedido!$J:$J,Aut_BlueMe_Sem_Pedido!$Q:$Q,DRE!Q$4,Aut_BlueMe_Sem_Pedido!$H:$H,DRE!$A90)</f>
        <v>0</v>
      </c>
      <c r="T90" s="254"/>
      <c r="U90" s="81"/>
      <c r="V90" s="82">
        <f>SUMIFS(Aut_BlueMe_Sem_Pedido!$J:$J,Aut_BlueMe_Sem_Pedido!$Q:$Q,DRE!T$4,Aut_BlueMe_Sem_Pedido!$H:$H,DRE!$A90)</f>
        <v>0</v>
      </c>
      <c r="W90" s="254"/>
      <c r="X90" s="81"/>
      <c r="Y90" s="82">
        <f>SUMIFS(Aut_BlueMe_Sem_Pedido!$J:$J,Aut_BlueMe_Sem_Pedido!$Q:$Q,DRE!W$4,Aut_BlueMe_Sem_Pedido!$H:$H,DRE!$A90)</f>
        <v>0</v>
      </c>
      <c r="Z90" s="254"/>
      <c r="AA90" s="81"/>
      <c r="AB90" s="82">
        <f>SUMIFS(Aut_BlueMe_Sem_Pedido!$J:$J,Aut_BlueMe_Sem_Pedido!$Q:$Q,DRE!Z$4,Aut_BlueMe_Sem_Pedido!$H:$H,DRE!$A90)</f>
        <v>0</v>
      </c>
      <c r="AC90" s="254"/>
      <c r="AD90" s="81"/>
      <c r="AE90" s="82">
        <f>SUMIFS(Aut_BlueMe_Sem_Pedido!$J:$J,Aut_BlueMe_Sem_Pedido!$Q:$Q,DRE!AC$4,Aut_BlueMe_Sem_Pedido!$H:$H,DRE!$A90)</f>
        <v>0</v>
      </c>
      <c r="AF90" s="254"/>
      <c r="AG90" s="81"/>
      <c r="AH90" s="82">
        <f>SUMIFS(Aut_BlueMe_Sem_Pedido!$J:$J,Aut_BlueMe_Sem_Pedido!$Q:$Q,DRE!AF$4,Aut_BlueMe_Sem_Pedido!$H:$H,DRE!$A90)</f>
        <v>0</v>
      </c>
      <c r="AI90" s="254"/>
      <c r="AJ90" s="81"/>
      <c r="AK90" s="82">
        <f>SUMIFS(Aut_BlueMe_Sem_Pedido!$J:$J,Aut_BlueMe_Sem_Pedido!$Q:$Q,DRE!AI$4,Aut_BlueMe_Sem_Pedido!$H:$H,DRE!$A90)</f>
        <v>0</v>
      </c>
      <c r="AL90" s="254"/>
      <c r="AM90" s="81"/>
      <c r="AN90" s="82">
        <f>SUMIFS(Aut_BlueMe_Sem_Pedido!$J:$J,Aut_BlueMe_Sem_Pedido!$Q:$Q,DRE!AL$4,Aut_BlueMe_Sem_Pedido!$H:$H,DRE!$A90)</f>
        <v>0</v>
      </c>
      <c r="AO90" s="254"/>
      <c r="AP90" s="81"/>
      <c r="AQ90" s="82">
        <f>SUMIFS(Aut_BlueMe_Sem_Pedido!$J:$J,Aut_BlueMe_Sem_Pedido!$Q:$Q,DRE!AO$4,Aut_BlueMe_Sem_Pedido!$H:$H,DRE!$A90)</f>
        <v>0</v>
      </c>
      <c r="AR90" s="241">
        <f ca="1">SUMIFS($H90:$AO90,$H$5:$AO$5,"&lt;"&amp;MONTH(TODAY()),$H$6:$AO$6,"REAL 25")</f>
        <v>0</v>
      </c>
      <c r="AS90" s="81">
        <f ca="1">SUMIFS($I90:$AP90,$I$5:$AP$5,"&lt;"&amp;MONTH(TODAY()),$I$6:$AP$6,"ORÇADO ")</f>
        <v>0</v>
      </c>
      <c r="AT90" s="82">
        <f ca="1">SUMIFS($J90:$AQ90,$J$5:$AQ$5,"&lt;"&amp;MONTH(TODAY()),$J$6:$AQ$6,"REAL 26")</f>
        <v>0</v>
      </c>
      <c r="AU90" s="254">
        <f t="shared" si="112"/>
        <v>0</v>
      </c>
      <c r="AV90" s="81">
        <f t="shared" si="112"/>
        <v>0</v>
      </c>
      <c r="AW90" s="82">
        <f t="shared" si="112"/>
        <v>0</v>
      </c>
      <c r="AX90" s="254">
        <f t="shared" si="113"/>
        <v>0</v>
      </c>
      <c r="AY90" s="81">
        <f t="shared" si="113"/>
        <v>0</v>
      </c>
      <c r="AZ90" s="82">
        <f t="shared" si="113"/>
        <v>0</v>
      </c>
      <c r="BA90" s="254">
        <f t="shared" si="114"/>
        <v>0</v>
      </c>
      <c r="BB90" s="81">
        <f t="shared" si="114"/>
        <v>0</v>
      </c>
      <c r="BC90" s="82">
        <f t="shared" si="114"/>
        <v>0</v>
      </c>
      <c r="BD90" s="254">
        <f t="shared" si="115"/>
        <v>0</v>
      </c>
      <c r="BE90" s="81">
        <f t="shared" si="115"/>
        <v>0</v>
      </c>
      <c r="BF90" s="82">
        <f t="shared" si="115"/>
        <v>0</v>
      </c>
      <c r="BG90" s="254">
        <f t="shared" si="116"/>
        <v>0</v>
      </c>
      <c r="BH90" s="81">
        <f t="shared" si="116"/>
        <v>0</v>
      </c>
      <c r="BI90" s="82">
        <f t="shared" si="116"/>
        <v>0</v>
      </c>
      <c r="BK90" s="448">
        <f t="shared" si="87"/>
        <v>0</v>
      </c>
      <c r="BL90" s="448">
        <f t="shared" si="88"/>
        <v>0</v>
      </c>
      <c r="BM90" s="448">
        <f t="shared" si="89"/>
        <v>0</v>
      </c>
      <c r="BN90" s="448">
        <f t="shared" ca="1" si="90"/>
        <v>0</v>
      </c>
    </row>
    <row r="91" spans="1:66" collapsed="1" x14ac:dyDescent="0.3">
      <c r="A91" s="71" t="s">
        <v>46</v>
      </c>
      <c r="C91" s="24"/>
      <c r="D91" s="25"/>
      <c r="E91" s="25"/>
      <c r="F91" s="41"/>
      <c r="H91" s="255">
        <v>-6.6822774458684855E-2</v>
      </c>
      <c r="I91" s="83">
        <v>-6.9666184271443013E-2</v>
      </c>
      <c r="J91" s="84">
        <f>IFERROR(J88/J8,0)+SUMIFS(Aut_Ajustes_Manuais!$G:$G,Aut_Ajustes_Manuais!$I:$I,DRE!H$4,Aut_Ajustes_Manuais!$F:$F,"% sobre Receita Bruta")</f>
        <v>-7.1457872594831787E-2</v>
      </c>
      <c r="K91" s="255">
        <v>-6.7352516598786605E-2</v>
      </c>
      <c r="L91" s="83">
        <v>-6.9666184271442999E-2</v>
      </c>
      <c r="M91" s="84">
        <f>IFERROR(M88/M8,0)+SUMIFS(Aut_Ajustes_Manuais!$G:$G,Aut_Ajustes_Manuais!$I:$I,DRE!K$4,Aut_Ajustes_Manuais!$F:$F,"% sobre Receita Bruta")</f>
        <v>-7.7474199766593199E-2</v>
      </c>
      <c r="N91" s="255">
        <v>-5.9094950028296837E-2</v>
      </c>
      <c r="O91" s="83">
        <v>-6.9666184271443041E-2</v>
      </c>
      <c r="P91" s="84">
        <f>IFERROR(P88/P8,0)+SUMIFS(Aut_Ajustes_Manuais!$G:$G,Aut_Ajustes_Manuais!$I:$I,DRE!N$4,Aut_Ajustes_Manuais!$F:$F,"% sobre Receita Bruta")</f>
        <v>-6.1531269666628273E-2</v>
      </c>
      <c r="Q91" s="255">
        <v>-7.7879448499431111E-2</v>
      </c>
      <c r="R91" s="83">
        <v>-6.9666184271443027E-2</v>
      </c>
      <c r="S91" s="84">
        <f>IFERROR(S88/S8,0)+SUMIFS(Aut_Ajustes_Manuais!$G:$G,Aut_Ajustes_Manuais!$I:$I,DRE!Q$4,Aut_Ajustes_Manuais!$F:$F,"% sobre Receita Bruta")</f>
        <v>-6.827985191472212E-2</v>
      </c>
      <c r="T91" s="255">
        <v>-5.7270887836147359E-2</v>
      </c>
      <c r="U91" s="83">
        <v>-6.9666184271442999E-2</v>
      </c>
      <c r="V91" s="84">
        <f>IFERROR(V88/V8,0)+SUMIFS(Aut_Ajustes_Manuais!$G:$G,Aut_Ajustes_Manuais!$I:$I,DRE!T$4,Aut_Ajustes_Manuais!$F:$F,"% sobre Receita Bruta")</f>
        <v>-6.1934861156472197E-2</v>
      </c>
      <c r="W91" s="255">
        <v>-8.7941773904091455E-2</v>
      </c>
      <c r="X91" s="83">
        <v>-6.9666184271443013E-2</v>
      </c>
      <c r="Y91" s="84">
        <f>IFERROR(Y88/Y8,0)+SUMIFS(Aut_Ajustes_Manuais!$G:$G,Aut_Ajustes_Manuais!$I:$I,DRE!W$4,Aut_Ajustes_Manuais!$F:$F,"% sobre Receita Bruta")</f>
        <v>-8.1725267689194969E-2</v>
      </c>
      <c r="Z91" s="255">
        <v>-6.4047193543795802E-2</v>
      </c>
      <c r="AA91" s="83">
        <v>-6.9666184271443027E-2</v>
      </c>
      <c r="AB91" s="84">
        <f>IFERROR(AB88/AB8,0)+SUMIFS(Aut_Ajustes_Manuais!$G:$G,Aut_Ajustes_Manuais!$I:$I,DRE!Z$4,Aut_Ajustes_Manuais!$F:$F,"% sobre Receita Bruta")</f>
        <v>-0.19098456106272979</v>
      </c>
      <c r="AC91" s="255">
        <v>-5.9997478806305772E-2</v>
      </c>
      <c r="AD91" s="83">
        <v>-6.9666184271442999E-2</v>
      </c>
      <c r="AE91" s="84">
        <f>IFERROR(AE88/AE8,0)+SUMIFS(Aut_Ajustes_Manuais!$G:$G,Aut_Ajustes_Manuais!$I:$I,DRE!AC$4,Aut_Ajustes_Manuais!$F:$F,"% sobre Receita Bruta")</f>
        <v>0</v>
      </c>
      <c r="AF91" s="255">
        <v>-8.0048598746726013E-2</v>
      </c>
      <c r="AG91" s="83">
        <v>-6.9666184271443027E-2</v>
      </c>
      <c r="AH91" s="84">
        <f>IFERROR(AH88/AH8,0)+SUMIFS(Aut_Ajustes_Manuais!$G:$G,Aut_Ajustes_Manuais!$I:$I,DRE!AF$4,Aut_Ajustes_Manuais!$F:$F,"% sobre Receita Bruta")</f>
        <v>0</v>
      </c>
      <c r="AI91" s="255">
        <v>-6.6296924913855332E-2</v>
      </c>
      <c r="AJ91" s="83">
        <v>-6.9666184271442999E-2</v>
      </c>
      <c r="AK91" s="84">
        <f>IFERROR(AK88/AK8,0)+SUMIFS(Aut_Ajustes_Manuais!$G:$G,Aut_Ajustes_Manuais!$I:$I,DRE!AI$4,Aut_Ajustes_Manuais!$F:$F,"% sobre Receita Bruta")</f>
        <v>0</v>
      </c>
      <c r="AL91" s="255">
        <v>-6.1136104380422843E-2</v>
      </c>
      <c r="AM91" s="83">
        <v>-6.9666184271443013E-2</v>
      </c>
      <c r="AN91" s="84">
        <f>IFERROR(AN88/AN8,0)+SUMIFS(Aut_Ajustes_Manuais!$G:$G,Aut_Ajustes_Manuais!$I:$I,DRE!AL$4,Aut_Ajustes_Manuais!$F:$F,"% sobre Receita Bruta")</f>
        <v>0</v>
      </c>
      <c r="AO91" s="255">
        <v>-6.9986915924203572E-2</v>
      </c>
      <c r="AP91" s="83">
        <v>-6.9666184271443013E-2</v>
      </c>
      <c r="AQ91" s="84">
        <f>IFERROR(AQ88/AQ8,0)+SUMIFS(Aut_Ajustes_Manuais!$G:$G,Aut_Ajustes_Manuais!$I:$I,DRE!AO$4,Aut_Ajustes_Manuais!$F:$F,"% sobre Receita Bruta")</f>
        <v>0</v>
      </c>
      <c r="AR91" s="255">
        <f t="shared" ref="AR91:BI91" ca="1" si="117">IFERROR(AR88/AR8,0)</f>
        <v>-6.8893198116322038E-2</v>
      </c>
      <c r="AS91" s="83">
        <f t="shared" ca="1" si="117"/>
        <v>-6.9666184271443041E-2</v>
      </c>
      <c r="AT91" s="84">
        <f t="shared" ca="1" si="117"/>
        <v>-7.0302548508688459E-2</v>
      </c>
      <c r="AU91" s="255">
        <f t="shared" si="117"/>
        <v>-6.771698539798926E-2</v>
      </c>
      <c r="AV91" s="83">
        <f t="shared" si="117"/>
        <v>-6.9666184271443027E-2</v>
      </c>
      <c r="AW91" s="84">
        <f t="shared" si="117"/>
        <v>-0.1083364080349192</v>
      </c>
      <c r="AX91" s="255">
        <f t="shared" si="117"/>
        <v>-6.4497329683370339E-2</v>
      </c>
      <c r="AY91" s="83">
        <f t="shared" si="117"/>
        <v>-6.9666184271443013E-2</v>
      </c>
      <c r="AZ91" s="84">
        <f t="shared" si="117"/>
        <v>-7.0072466537082406E-2</v>
      </c>
      <c r="BA91" s="255">
        <f t="shared" si="117"/>
        <v>-7.2735366952080924E-2</v>
      </c>
      <c r="BB91" s="83">
        <f t="shared" si="117"/>
        <v>-6.9666184271443027E-2</v>
      </c>
      <c r="BC91" s="84">
        <f t="shared" si="117"/>
        <v>-7.0519884660689841E-2</v>
      </c>
      <c r="BD91" s="255">
        <f t="shared" si="117"/>
        <v>-6.7568232907378609E-2</v>
      </c>
      <c r="BE91" s="83">
        <f t="shared" si="117"/>
        <v>-6.9666184271443027E-2</v>
      </c>
      <c r="BF91" s="84">
        <f t="shared" si="117"/>
        <v>-0.5729536831881894</v>
      </c>
      <c r="BG91" s="255">
        <f t="shared" si="117"/>
        <v>-6.5947511658086849E-2</v>
      </c>
      <c r="BH91" s="83">
        <f t="shared" si="117"/>
        <v>-6.9666184271443013E-2</v>
      </c>
      <c r="BI91" s="84">
        <f t="shared" si="117"/>
        <v>0</v>
      </c>
      <c r="BK91" s="448">
        <f t="shared" si="87"/>
        <v>-0.8359942112573161</v>
      </c>
      <c r="BL91" s="448">
        <f t="shared" si="88"/>
        <v>-0.7663280269858731</v>
      </c>
      <c r="BM91" s="448">
        <f t="shared" si="89"/>
        <v>-0.34067805509924753</v>
      </c>
      <c r="BN91" s="448">
        <f t="shared" ca="1" si="90"/>
        <v>-0.27037550659055909</v>
      </c>
    </row>
    <row r="92" spans="1:66" x14ac:dyDescent="0.3">
      <c r="A92" s="18"/>
      <c r="C92" s="60"/>
      <c r="E92" s="16"/>
      <c r="F92" s="17"/>
      <c r="H92" s="256"/>
      <c r="I92" s="232"/>
      <c r="J92" s="85"/>
      <c r="K92" s="256"/>
      <c r="L92" s="232"/>
      <c r="M92" s="85"/>
      <c r="N92" s="256"/>
      <c r="O92" s="232"/>
      <c r="P92" s="85"/>
      <c r="Q92" s="256"/>
      <c r="R92" s="232"/>
      <c r="S92" s="85"/>
      <c r="T92" s="256"/>
      <c r="U92" s="232"/>
      <c r="V92" s="85"/>
      <c r="W92" s="256"/>
      <c r="X92" s="232"/>
      <c r="Y92" s="85"/>
      <c r="Z92" s="256"/>
      <c r="AA92" s="232"/>
      <c r="AB92" s="85"/>
      <c r="AC92" s="256"/>
      <c r="AD92" s="232"/>
      <c r="AE92" s="85"/>
      <c r="AF92" s="256"/>
      <c r="AG92" s="232"/>
      <c r="AH92" s="85"/>
      <c r="AI92" s="256"/>
      <c r="AJ92" s="232"/>
      <c r="AK92" s="85"/>
      <c r="AL92" s="256"/>
      <c r="AM92" s="232"/>
      <c r="AN92" s="85"/>
      <c r="AO92" s="256"/>
      <c r="AP92" s="232"/>
      <c r="AQ92" s="85"/>
      <c r="AR92" s="256"/>
      <c r="AS92" s="232"/>
      <c r="AT92" s="85"/>
      <c r="AU92" s="256"/>
      <c r="AV92" s="232"/>
      <c r="AW92" s="85"/>
      <c r="AX92" s="256"/>
      <c r="AY92" s="232"/>
      <c r="AZ92" s="85"/>
      <c r="BA92" s="256"/>
      <c r="BB92" s="232"/>
      <c r="BC92" s="85"/>
      <c r="BD92" s="256"/>
      <c r="BE92" s="232"/>
      <c r="BF92" s="85"/>
      <c r="BG92" s="256"/>
      <c r="BH92" s="232"/>
      <c r="BI92" s="85"/>
      <c r="BK92" s="448">
        <f t="shared" si="87"/>
        <v>0</v>
      </c>
      <c r="BL92" s="448">
        <f t="shared" si="88"/>
        <v>0</v>
      </c>
      <c r="BM92" s="448">
        <f t="shared" si="89"/>
        <v>0</v>
      </c>
      <c r="BN92" s="448">
        <f t="shared" si="90"/>
        <v>0</v>
      </c>
    </row>
    <row r="93" spans="1:66" x14ac:dyDescent="0.3">
      <c r="A93" s="18"/>
      <c r="C93" s="60"/>
      <c r="E93" s="16"/>
      <c r="F93" s="17"/>
      <c r="H93" s="256"/>
      <c r="I93" s="232"/>
      <c r="J93" s="85"/>
      <c r="K93" s="256"/>
      <c r="L93" s="232"/>
      <c r="M93" s="85"/>
      <c r="N93" s="256"/>
      <c r="O93" s="232"/>
      <c r="P93" s="85"/>
      <c r="Q93" s="256"/>
      <c r="R93" s="232"/>
      <c r="S93" s="85"/>
      <c r="T93" s="256"/>
      <c r="U93" s="232"/>
      <c r="V93" s="85"/>
      <c r="W93" s="256"/>
      <c r="X93" s="232"/>
      <c r="Y93" s="85"/>
      <c r="Z93" s="256"/>
      <c r="AA93" s="232"/>
      <c r="AB93" s="85"/>
      <c r="AC93" s="256"/>
      <c r="AD93" s="232"/>
      <c r="AE93" s="85"/>
      <c r="AF93" s="256"/>
      <c r="AG93" s="232"/>
      <c r="AH93" s="85"/>
      <c r="AI93" s="256"/>
      <c r="AJ93" s="232"/>
      <c r="AK93" s="85"/>
      <c r="AL93" s="256"/>
      <c r="AM93" s="232"/>
      <c r="AN93" s="85"/>
      <c r="AO93" s="256"/>
      <c r="AP93" s="232"/>
      <c r="AQ93" s="85"/>
      <c r="AR93" s="256"/>
      <c r="AS93" s="232"/>
      <c r="AT93" s="85"/>
      <c r="AU93" s="256"/>
      <c r="AV93" s="232"/>
      <c r="AW93" s="85"/>
      <c r="AX93" s="256"/>
      <c r="AY93" s="232"/>
      <c r="AZ93" s="85"/>
      <c r="BA93" s="256"/>
      <c r="BB93" s="232"/>
      <c r="BC93" s="85"/>
      <c r="BD93" s="256"/>
      <c r="BE93" s="232"/>
      <c r="BF93" s="85"/>
      <c r="BG93" s="256"/>
      <c r="BH93" s="232"/>
      <c r="BI93" s="85"/>
      <c r="BK93" s="448">
        <f t="shared" si="87"/>
        <v>0</v>
      </c>
      <c r="BL93" s="448">
        <f t="shared" si="88"/>
        <v>0</v>
      </c>
      <c r="BM93" s="448">
        <f t="shared" si="89"/>
        <v>0</v>
      </c>
      <c r="BN93" s="448">
        <f t="shared" si="90"/>
        <v>0</v>
      </c>
    </row>
    <row r="94" spans="1:66" x14ac:dyDescent="0.3">
      <c r="A94" s="39" t="s">
        <v>117</v>
      </c>
      <c r="C94" s="40" t="s">
        <v>37</v>
      </c>
      <c r="D94" s="40" t="s">
        <v>38</v>
      </c>
      <c r="E94" s="40" t="s">
        <v>39</v>
      </c>
      <c r="F94" s="41"/>
      <c r="G94" s="88"/>
      <c r="H94" s="244">
        <v>-4656.9799999999996</v>
      </c>
      <c r="I94" s="42">
        <v>-6710.7277563646057</v>
      </c>
      <c r="J94" s="43">
        <f>SUM(J95:J98)+SUMIFS(Aut_Ajustes_Manuais!$G:$G,Aut_Ajustes_Manuais!$I:$I,DRE!H$4,Aut_Ajustes_Manuais!$F:$F,"(-) Deduções sobre Venda")</f>
        <v>-5422.96</v>
      </c>
      <c r="K94" s="244">
        <v>-4449.95</v>
      </c>
      <c r="L94" s="42">
        <v>-6367.0187790514819</v>
      </c>
      <c r="M94" s="43">
        <f>SUM(M95:M98)+SUMIFS(Aut_Ajustes_Manuais!$G:$G,Aut_Ajustes_Manuais!$I:$I,DRE!K$4,Aut_Ajustes_Manuais!$F:$F,"(-) Deduções sobre Venda")</f>
        <v>-5300.99</v>
      </c>
      <c r="N94" s="244">
        <v>-4974.37</v>
      </c>
      <c r="O94" s="42">
        <v>-5107.9406175623999</v>
      </c>
      <c r="P94" s="43">
        <f>SUM(P95:P98)+SUMIFS(Aut_Ajustes_Manuais!$G:$G,Aut_Ajustes_Manuais!$I:$I,DRE!N$4,Aut_Ajustes_Manuais!$F:$F,"(-) Deduções sobre Venda")</f>
        <v>-7735.7800000000007</v>
      </c>
      <c r="Q94" s="244">
        <v>-4307.0999999999995</v>
      </c>
      <c r="R94" s="42">
        <v>-5315.7622479255442</v>
      </c>
      <c r="S94" s="43">
        <f>SUM(S95:S98)+SUMIFS(Aut_Ajustes_Manuais!$G:$G,Aut_Ajustes_Manuais!$I:$I,DRE!Q$4,Aut_Ajustes_Manuais!$F:$F,"(-) Deduções sobre Venda")</f>
        <v>-7057.6100000000006</v>
      </c>
      <c r="T94" s="244">
        <v>-5471.1999999999989</v>
      </c>
      <c r="U94" s="42">
        <v>-8672.1672135313784</v>
      </c>
      <c r="V94" s="43">
        <f>SUM(V95:V98)+SUMIFS(Aut_Ajustes_Manuais!$G:$G,Aut_Ajustes_Manuais!$I:$I,DRE!T$4,Aut_Ajustes_Manuais!$F:$F,"(-) Deduções sobre Venda")</f>
        <v>-5906.08</v>
      </c>
      <c r="W94" s="244">
        <v>-5305.37</v>
      </c>
      <c r="X94" s="42">
        <v>-7731.5100078100941</v>
      </c>
      <c r="Y94" s="43">
        <f>SUM(Y95:Y98)+SUMIFS(Aut_Ajustes_Manuais!$G:$G,Aut_Ajustes_Manuais!$I:$I,DRE!W$4,Aut_Ajustes_Manuais!$F:$F,"(-) Deduções sobre Venda")</f>
        <v>-456.58999999999992</v>
      </c>
      <c r="Z94" s="244">
        <v>-5320.51</v>
      </c>
      <c r="AA94" s="42">
        <v>-7658.1957802087773</v>
      </c>
      <c r="AB94" s="43">
        <f>SUM(AB95:AB98)+SUMIFS(Aut_Ajustes_Manuais!$G:$G,Aut_Ajustes_Manuais!$I:$I,DRE!Z$4,Aut_Ajustes_Manuais!$F:$F,"(-) Deduções sobre Venda")</f>
        <v>0</v>
      </c>
      <c r="AC94" s="244">
        <v>-4954.8899999999994</v>
      </c>
      <c r="AD94" s="42">
        <v>-8264.7989643025212</v>
      </c>
      <c r="AE94" s="43">
        <f>SUM(AE95:AE98)+SUMIFS(Aut_Ajustes_Manuais!$G:$G,Aut_Ajustes_Manuais!$I:$I,DRE!AC$4,Aut_Ajustes_Manuais!$F:$F,"(-) Deduções sobre Venda")</f>
        <v>0</v>
      </c>
      <c r="AF94" s="244">
        <v>-4878.96</v>
      </c>
      <c r="AG94" s="42">
        <v>-7201.5862199959574</v>
      </c>
      <c r="AH94" s="43">
        <f>SUM(AH95:AH98)+SUMIFS(Aut_Ajustes_Manuais!$G:$G,Aut_Ajustes_Manuais!$I:$I,DRE!AF$4,Aut_Ajustes_Manuais!$F:$F,"(-) Deduções sobre Venda")</f>
        <v>0</v>
      </c>
      <c r="AI94" s="244">
        <v>-4907.67</v>
      </c>
      <c r="AJ94" s="42">
        <v>-7247.013518919437</v>
      </c>
      <c r="AK94" s="43">
        <f>SUM(AK95:AK98)+SUMIFS(Aut_Ajustes_Manuais!$G:$G,Aut_Ajustes_Manuais!$I:$I,DRE!AI$4,Aut_Ajustes_Manuais!$F:$F,"(-) Deduções sobre Venda")</f>
        <v>0</v>
      </c>
      <c r="AL94" s="244">
        <v>-6744.82</v>
      </c>
      <c r="AM94" s="42">
        <v>-8410.107318473134</v>
      </c>
      <c r="AN94" s="43">
        <f>SUM(AN95:AN98)+SUMIFS(Aut_Ajustes_Manuais!$G:$G,Aut_Ajustes_Manuais!$I:$I,DRE!AL$4,Aut_Ajustes_Manuais!$F:$F,"(-) Deduções sobre Venda")</f>
        <v>0</v>
      </c>
      <c r="AO94" s="244">
        <v>-6158.8200000000006</v>
      </c>
      <c r="AP94" s="42">
        <v>-7612.101067745919</v>
      </c>
      <c r="AQ94" s="43">
        <f>SUM(AQ95:AQ98)+SUMIFS(Aut_Ajustes_Manuais!$G:$G,Aut_Ajustes_Manuais!$I:$I,DRE!AO$4,Aut_Ajustes_Manuais!$F:$F,"(-) Deduções sobre Venda")</f>
        <v>0</v>
      </c>
      <c r="AR94" s="244">
        <f t="shared" ref="AR94:BI94" ca="1" si="118">SUM(AR95:AR98)</f>
        <v>-29164.97</v>
      </c>
      <c r="AS94" s="42">
        <f t="shared" ca="1" si="118"/>
        <v>-39905.126622245509</v>
      </c>
      <c r="AT94" s="43">
        <f t="shared" ca="1" si="118"/>
        <v>-31880.010000000002</v>
      </c>
      <c r="AU94" s="244">
        <f t="shared" si="118"/>
        <v>-62130.639999999992</v>
      </c>
      <c r="AV94" s="42">
        <f t="shared" si="118"/>
        <v>-86298.929491891264</v>
      </c>
      <c r="AW94" s="43">
        <f t="shared" si="118"/>
        <v>-31880.010000000002</v>
      </c>
      <c r="AX94" s="244">
        <f t="shared" si="118"/>
        <v>-14081.3</v>
      </c>
      <c r="AY94" s="42">
        <f t="shared" si="118"/>
        <v>-18185.687152978488</v>
      </c>
      <c r="AZ94" s="43">
        <f t="shared" si="118"/>
        <v>-18459.73</v>
      </c>
      <c r="BA94" s="244">
        <f t="shared" si="118"/>
        <v>-15083.669999999998</v>
      </c>
      <c r="BB94" s="42">
        <f t="shared" si="118"/>
        <v>-21719.439469267018</v>
      </c>
      <c r="BC94" s="43">
        <f t="shared" si="118"/>
        <v>-13420.280000000002</v>
      </c>
      <c r="BD94" s="244">
        <f t="shared" si="118"/>
        <v>-15154.359999999999</v>
      </c>
      <c r="BE94" s="42">
        <f t="shared" si="118"/>
        <v>-23124.580964507259</v>
      </c>
      <c r="BF94" s="43">
        <f t="shared" si="118"/>
        <v>0</v>
      </c>
      <c r="BG94" s="244">
        <f t="shared" si="118"/>
        <v>-17811.310000000001</v>
      </c>
      <c r="BH94" s="42">
        <f t="shared" si="118"/>
        <v>-23269.221905138489</v>
      </c>
      <c r="BI94" s="43">
        <f t="shared" si="118"/>
        <v>0</v>
      </c>
      <c r="BK94" s="448">
        <f t="shared" si="87"/>
        <v>-86298.929491891249</v>
      </c>
      <c r="BL94" s="448">
        <f t="shared" si="88"/>
        <v>0</v>
      </c>
      <c r="BM94" s="448">
        <f t="shared" si="89"/>
        <v>-31423.420000000006</v>
      </c>
      <c r="BN94" s="448">
        <f t="shared" ca="1" si="90"/>
        <v>456.58999999999651</v>
      </c>
    </row>
    <row r="95" spans="1:66" s="29" customFormat="1" hidden="1" outlineLevel="1" x14ac:dyDescent="0.3">
      <c r="A95" s="22" t="s">
        <v>118</v>
      </c>
      <c r="B95" s="23"/>
      <c r="C95" s="24" t="s">
        <v>119</v>
      </c>
      <c r="D95" s="55">
        <v>0.02</v>
      </c>
      <c r="E95" s="87">
        <v>0.85</v>
      </c>
      <c r="F95" s="56"/>
      <c r="G95" s="33"/>
      <c r="H95" s="241">
        <v>-4143.34</v>
      </c>
      <c r="I95" s="27">
        <v>-6366.4671729999982</v>
      </c>
      <c r="J95" s="28">
        <f>SUMIFS(Aut_BlueMe_Sem_Pedido!$J:$J,Aut_BlueMe_Sem_Pedido!$Q:$Q,DRE!H$4,Aut_BlueMe_Sem_Pedido!$H:$H,DRE!$A95)+SUMIFS(Aut_Ajustes_Manuais!$G:$G,Aut_Ajustes_Manuais!$I:$I,DRE!H$4,Aut_Ajustes_Manuais!$F:$F,"Meios de pagamento")</f>
        <v>-5066.12</v>
      </c>
      <c r="K95" s="241">
        <v>-4216.59</v>
      </c>
      <c r="L95" s="27">
        <v>-6040.3904789999988</v>
      </c>
      <c r="M95" s="28">
        <f>SUMIFS(Aut_BlueMe_Sem_Pedido!$J:$J,Aut_BlueMe_Sem_Pedido!$Q:$Q,DRE!K$4,Aut_BlueMe_Sem_Pedido!$H:$H,DRE!$A95)+SUMIFS(Aut_Ajustes_Manuais!$G:$G,Aut_Ajustes_Manuais!$I:$I,DRE!K$4,Aut_Ajustes_Manuais!$F:$F,"Meios de pagamento")</f>
        <v>-4090.9700000000003</v>
      </c>
      <c r="N95" s="241">
        <v>-4132.62</v>
      </c>
      <c r="O95" s="27">
        <v>-4845.903073999998</v>
      </c>
      <c r="P95" s="28">
        <f>SUMIFS(Aut_BlueMe_Sem_Pedido!$J:$J,Aut_BlueMe_Sem_Pedido!$Q:$Q,DRE!N$4,Aut_BlueMe_Sem_Pedido!$H:$H,DRE!$A95)+SUMIFS(Aut_Ajustes_Manuais!$G:$G,Aut_Ajustes_Manuais!$I:$I,DRE!N$4,Aut_Ajustes_Manuais!$F:$F,"Meios de pagamento")</f>
        <v>-4642.76</v>
      </c>
      <c r="Q95" s="241">
        <v>-4203.4399999999996</v>
      </c>
      <c r="R95" s="27">
        <v>-5043.0634469999986</v>
      </c>
      <c r="S95" s="28">
        <f>SUMIFS(Aut_BlueMe_Sem_Pedido!$J:$J,Aut_BlueMe_Sem_Pedido!$Q:$Q,DRE!Q$4,Aut_BlueMe_Sem_Pedido!$H:$H,DRE!$A95)+SUMIFS(Aut_Ajustes_Manuais!$G:$G,Aut_Ajustes_Manuais!$I:$I,DRE!Q$4,Aut_Ajustes_Manuais!$F:$F,"Meios de pagamento")</f>
        <v>-4828.3200000000006</v>
      </c>
      <c r="T95" s="241">
        <v>-5265.2899999999991</v>
      </c>
      <c r="U95" s="27">
        <v>-8227.2847130999999</v>
      </c>
      <c r="V95" s="28">
        <f>SUMIFS(Aut_BlueMe_Sem_Pedido!$J:$J,Aut_BlueMe_Sem_Pedido!$Q:$Q,DRE!T$4,Aut_BlueMe_Sem_Pedido!$H:$H,DRE!$A95)+SUMIFS(Aut_Ajustes_Manuais!$G:$G,Aut_Ajustes_Manuais!$I:$I,DRE!T$4,Aut_Ajustes_Manuais!$F:$F,"Meios de pagamento")</f>
        <v>-5030.49</v>
      </c>
      <c r="W95" s="241">
        <v>-4901.6499999999996</v>
      </c>
      <c r="X95" s="27">
        <v>-7334.8832570000004</v>
      </c>
      <c r="Y95" s="28">
        <f>SUMIFS(Aut_BlueMe_Sem_Pedido!$J:$J,Aut_BlueMe_Sem_Pedido!$Q:$Q,DRE!W$4,Aut_BlueMe_Sem_Pedido!$H:$H,DRE!$A95)+SUMIFS(Aut_Ajustes_Manuais!$G:$G,Aut_Ajustes_Manuais!$I:$I,DRE!W$4,Aut_Ajustes_Manuais!$F:$F,"Meios de pagamento")</f>
        <v>-456.58999999999992</v>
      </c>
      <c r="Z95" s="241">
        <v>-4768.4799999999996</v>
      </c>
      <c r="AA95" s="27">
        <v>-7265.3300519999984</v>
      </c>
      <c r="AB95" s="28">
        <f>SUMIFS(Aut_BlueMe_Sem_Pedido!$J:$J,Aut_BlueMe_Sem_Pedido!$Q:$Q,DRE!Z$4,Aut_BlueMe_Sem_Pedido!$H:$H,DRE!$A95)+SUMIFS(Aut_Ajustes_Manuais!$G:$G,Aut_Ajustes_Manuais!$I:$I,DRE!Z$4,Aut_Ajustes_Manuais!$F:$F,"Meios de pagamento")</f>
        <v>0</v>
      </c>
      <c r="AC95" s="241">
        <v>-4640.1499999999996</v>
      </c>
      <c r="AD95" s="27">
        <v>-7840.8144702</v>
      </c>
      <c r="AE95" s="28">
        <f>SUMIFS(Aut_BlueMe_Sem_Pedido!$J:$J,Aut_BlueMe_Sem_Pedido!$Q:$Q,DRE!AC$4,Aut_BlueMe_Sem_Pedido!$H:$H,DRE!$A95)+SUMIFS(Aut_Ajustes_Manuais!$G:$G,Aut_Ajustes_Manuais!$I:$I,DRE!AC$4,Aut_Ajustes_Manuais!$F:$F,"Meios de pagamento")</f>
        <v>0</v>
      </c>
      <c r="AF95" s="241">
        <v>-4519.84</v>
      </c>
      <c r="AG95" s="27">
        <v>-6832.1445791999977</v>
      </c>
      <c r="AH95" s="28">
        <f>SUMIFS(Aut_BlueMe_Sem_Pedido!$J:$J,Aut_BlueMe_Sem_Pedido!$Q:$Q,DRE!AF$4,Aut_BlueMe_Sem_Pedido!$H:$H,DRE!$A95)+SUMIFS(Aut_Ajustes_Manuais!$G:$G,Aut_Ajustes_Manuais!$I:$I,DRE!AF$4,Aut_Ajustes_Manuais!$F:$F,"Meios de pagamento")</f>
        <v>0</v>
      </c>
      <c r="AI95" s="241">
        <v>-4633.54</v>
      </c>
      <c r="AJ95" s="27">
        <v>-6875.2414559999979</v>
      </c>
      <c r="AK95" s="28">
        <f>SUMIFS(Aut_BlueMe_Sem_Pedido!$J:$J,Aut_BlueMe_Sem_Pedido!$Q:$Q,DRE!AI$4,Aut_BlueMe_Sem_Pedido!$H:$H,DRE!$A95)+SUMIFS(Aut_Ajustes_Manuais!$G:$G,Aut_Ajustes_Manuais!$I:$I,DRE!AI$4,Aut_Ajustes_Manuais!$F:$F,"Meios de pagamento")</f>
        <v>0</v>
      </c>
      <c r="AL95" s="241">
        <v>-6267.46</v>
      </c>
      <c r="AM95" s="27">
        <v>-7978.6685003999992</v>
      </c>
      <c r="AN95" s="28">
        <f>SUMIFS(Aut_BlueMe_Sem_Pedido!$J:$J,Aut_BlueMe_Sem_Pedido!$Q:$Q,DRE!AL$4,Aut_BlueMe_Sem_Pedido!$H:$H,DRE!$A95)+SUMIFS(Aut_Ajustes_Manuais!$G:$G,Aut_Ajustes_Manuais!$I:$I,DRE!AL$4,Aut_Ajustes_Manuais!$F:$F,"Meios de pagamento")</f>
        <v>0</v>
      </c>
      <c r="AO95" s="241">
        <v>-5868.93</v>
      </c>
      <c r="AP95" s="27">
        <v>-7221.5999999999995</v>
      </c>
      <c r="AQ95" s="28">
        <f>SUMIFS(Aut_BlueMe_Sem_Pedido!$J:$J,Aut_BlueMe_Sem_Pedido!$Q:$Q,DRE!AO$4,Aut_BlueMe_Sem_Pedido!$H:$H,DRE!$A95)+SUMIFS(Aut_Ajustes_Manuais!$G:$G,Aut_Ajustes_Manuais!$I:$I,DRE!AO$4,Aut_Ajustes_Manuais!$F:$F,"Meios de pagamento")</f>
        <v>0</v>
      </c>
      <c r="AR95" s="241">
        <f ca="1">SUMIFS($H95:$AO95,$H$5:$AO$5,"&lt;"&amp;MONTH(TODAY()),$H$6:$AO$6,"REAL 25")</f>
        <v>-26862.93</v>
      </c>
      <c r="AS95" s="27">
        <f ca="1">SUMIFS($I95:$AP95,$I$5:$AP$5,"&lt;"&amp;MONTH(TODAY()),$I$6:$AP$6,"ORÇADO ")</f>
        <v>-37857.992143099997</v>
      </c>
      <c r="AT95" s="28">
        <f ca="1">SUMIFS($J95:$AQ95,$J$5:$AQ$5,"&lt;"&amp;MONTH(TODAY()),$J$6:$AQ$6,"REAL 26")</f>
        <v>-24115.250000000004</v>
      </c>
      <c r="AU95" s="241">
        <f t="shared" ref="AU95:AW98" si="119">SUM(H95,K95,N95,Q95,T95,W95,Z95,AC95,AF95,AI95,AL95,AO95)</f>
        <v>-57561.329999999994</v>
      </c>
      <c r="AV95" s="27">
        <f t="shared" si="119"/>
        <v>-81871.791200899999</v>
      </c>
      <c r="AW95" s="28">
        <f t="shared" si="119"/>
        <v>-24115.250000000004</v>
      </c>
      <c r="AX95" s="241">
        <f t="shared" ref="AX95:AZ98" si="120">SUM(H95,K95,N95)</f>
        <v>-12492.55</v>
      </c>
      <c r="AY95" s="27">
        <f t="shared" si="120"/>
        <v>-17252.760725999993</v>
      </c>
      <c r="AZ95" s="28">
        <f t="shared" si="120"/>
        <v>-13799.85</v>
      </c>
      <c r="BA95" s="241">
        <f t="shared" ref="BA95:BC98" si="121">SUM(Q95,T95,W95)</f>
        <v>-14370.38</v>
      </c>
      <c r="BB95" s="27">
        <f t="shared" si="121"/>
        <v>-20605.2314171</v>
      </c>
      <c r="BC95" s="28">
        <f t="shared" si="121"/>
        <v>-10315.400000000001</v>
      </c>
      <c r="BD95" s="241">
        <f t="shared" ref="BD95:BF98" si="122">SUM(Z95,AC95,AF95)</f>
        <v>-13928.47</v>
      </c>
      <c r="BE95" s="27">
        <f t="shared" si="122"/>
        <v>-21938.289101399998</v>
      </c>
      <c r="BF95" s="28">
        <f t="shared" si="122"/>
        <v>0</v>
      </c>
      <c r="BG95" s="241">
        <f t="shared" ref="BG95:BI98" si="123">SUM(AI95,AL95,AO95)</f>
        <v>-16769.93</v>
      </c>
      <c r="BH95" s="27">
        <f t="shared" si="123"/>
        <v>-22075.509956399997</v>
      </c>
      <c r="BI95" s="28">
        <f t="shared" si="123"/>
        <v>0</v>
      </c>
      <c r="BK95" s="448">
        <f t="shared" si="87"/>
        <v>-81871.791200899999</v>
      </c>
      <c r="BL95" s="448">
        <f t="shared" si="88"/>
        <v>0</v>
      </c>
      <c r="BM95" s="448">
        <f t="shared" si="89"/>
        <v>-23658.660000000003</v>
      </c>
      <c r="BN95" s="448">
        <f t="shared" ca="1" si="90"/>
        <v>456.59000000000015</v>
      </c>
    </row>
    <row r="96" spans="1:66" s="29" customFormat="1" hidden="1" outlineLevel="1" x14ac:dyDescent="0.3">
      <c r="A96" s="22" t="s">
        <v>120</v>
      </c>
      <c r="B96" s="23"/>
      <c r="C96" s="24" t="s">
        <v>121</v>
      </c>
      <c r="D96" s="55">
        <v>0.26</v>
      </c>
      <c r="E96" s="87"/>
      <c r="F96" s="56"/>
      <c r="G96" s="33"/>
      <c r="H96" s="241">
        <v>-313.64</v>
      </c>
      <c r="I96" s="27">
        <v>-344.26058336460801</v>
      </c>
      <c r="J96" s="28">
        <f>SUMIFS(Aut_BlueMe_Sem_Pedido!$J:$J,Aut_BlueMe_Sem_Pedido!$Q:$Q,DRE!H$4,Aut_BlueMe_Sem_Pedido!$H:$H,DRE!$A96)+SUMIFS(Aut_Ajustes_Manuais!$G:$G,Aut_Ajustes_Manuais!$I:$I,DRE!H$4,Aut_Ajustes_Manuais!$F:$F,"Meios de pagamento - Delivery")</f>
        <v>-356.84</v>
      </c>
      <c r="K96" s="241">
        <v>-233.36</v>
      </c>
      <c r="L96" s="27">
        <v>-326.62830005148351</v>
      </c>
      <c r="M96" s="28">
        <f>SUMIFS(Aut_BlueMe_Sem_Pedido!$J:$J,Aut_BlueMe_Sem_Pedido!$Q:$Q,DRE!K$4,Aut_BlueMe_Sem_Pedido!$H:$H,DRE!$A96)+SUMIFS(Aut_Ajustes_Manuais!$G:$G,Aut_Ajustes_Manuais!$I:$I,DRE!K$4,Aut_Ajustes_Manuais!$F:$F,"Meios de pagamento - Delivery")</f>
        <v>-1210.02</v>
      </c>
      <c r="N96" s="241">
        <v>-841.75</v>
      </c>
      <c r="O96" s="27">
        <v>-262.03754356240159</v>
      </c>
      <c r="P96" s="28">
        <f>SUMIFS(Aut_BlueMe_Sem_Pedido!$J:$J,Aut_BlueMe_Sem_Pedido!$Q:$Q,DRE!N$4,Aut_BlueMe_Sem_Pedido!$H:$H,DRE!$A96)+SUMIFS(Aut_Ajustes_Manuais!$G:$G,Aut_Ajustes_Manuais!$I:$I,DRE!N$4,Aut_Ajustes_Manuais!$F:$F,"Meios de pagamento - Delivery")</f>
        <v>-3093.02</v>
      </c>
      <c r="Q96" s="241">
        <v>-103.66</v>
      </c>
      <c r="R96" s="27">
        <v>-272.69880092554598</v>
      </c>
      <c r="S96" s="28">
        <f>SUMIFS(Aut_BlueMe_Sem_Pedido!$J:$J,Aut_BlueMe_Sem_Pedido!$Q:$Q,DRE!Q$4,Aut_BlueMe_Sem_Pedido!$H:$H,DRE!$A96)+SUMIFS(Aut_Ajustes_Manuais!$G:$G,Aut_Ajustes_Manuais!$I:$I,DRE!Q$4,Aut_Ajustes_Manuais!$F:$F,"Meios de pagamento - Delivery")</f>
        <v>-2229.29</v>
      </c>
      <c r="T96" s="241">
        <v>-205.91</v>
      </c>
      <c r="U96" s="27">
        <v>-444.88250043137828</v>
      </c>
      <c r="V96" s="28">
        <f>SUMIFS(Aut_BlueMe_Sem_Pedido!$J:$J,Aut_BlueMe_Sem_Pedido!$Q:$Q,DRE!T$4,Aut_BlueMe_Sem_Pedido!$H:$H,DRE!$A96)+SUMIFS(Aut_Ajustes_Manuais!$G:$G,Aut_Ajustes_Manuais!$I:$I,DRE!T$4,Aut_Ajustes_Manuais!$F:$F,"Meios de pagamento - Delivery")</f>
        <v>-875.59</v>
      </c>
      <c r="W96" s="241">
        <v>-403.72</v>
      </c>
      <c r="X96" s="27">
        <v>-396.62675081009428</v>
      </c>
      <c r="Y96" s="28">
        <f>SUMIFS(Aut_BlueMe_Sem_Pedido!$J:$J,Aut_BlueMe_Sem_Pedido!$Q:$Q,DRE!W$4,Aut_BlueMe_Sem_Pedido!$H:$H,DRE!$A96)+SUMIFS(Aut_Ajustes_Manuais!$G:$G,Aut_Ajustes_Manuais!$I:$I,DRE!W$4,Aut_Ajustes_Manuais!$F:$F,"Meios de pagamento - Delivery")</f>
        <v>0</v>
      </c>
      <c r="Z96" s="241">
        <v>-552.03</v>
      </c>
      <c r="AA96" s="27">
        <v>-392.86572820878013</v>
      </c>
      <c r="AB96" s="28">
        <f>SUMIFS(Aut_BlueMe_Sem_Pedido!$J:$J,Aut_BlueMe_Sem_Pedido!$Q:$Q,DRE!Z$4,Aut_BlueMe_Sem_Pedido!$H:$H,DRE!$A96)+SUMIFS(Aut_Ajustes_Manuais!$G:$G,Aut_Ajustes_Manuais!$I:$I,DRE!Z$4,Aut_Ajustes_Manuais!$F:$F,"Meios de pagamento - Delivery")</f>
        <v>0</v>
      </c>
      <c r="AC96" s="241">
        <v>-314.74</v>
      </c>
      <c r="AD96" s="27">
        <v>-423.98449410252101</v>
      </c>
      <c r="AE96" s="28">
        <f>SUMIFS(Aut_BlueMe_Sem_Pedido!$J:$J,Aut_BlueMe_Sem_Pedido!$Q:$Q,DRE!AC$4,Aut_BlueMe_Sem_Pedido!$H:$H,DRE!$A96)+SUMIFS(Aut_Ajustes_Manuais!$G:$G,Aut_Ajustes_Manuais!$I:$I,DRE!AC$4,Aut_Ajustes_Manuais!$F:$F,"Meios de pagamento - Delivery")</f>
        <v>0</v>
      </c>
      <c r="AF96" s="241">
        <v>-359.12</v>
      </c>
      <c r="AG96" s="27">
        <v>-369.44164079595998</v>
      </c>
      <c r="AH96" s="28">
        <f>SUMIFS(Aut_BlueMe_Sem_Pedido!$J:$J,Aut_BlueMe_Sem_Pedido!$Q:$Q,DRE!AF$4,Aut_BlueMe_Sem_Pedido!$H:$H,DRE!$A96)+SUMIFS(Aut_Ajustes_Manuais!$G:$G,Aut_Ajustes_Manuais!$I:$I,DRE!AF$4,Aut_Ajustes_Manuais!$F:$F,"Meios de pagamento - Delivery")</f>
        <v>0</v>
      </c>
      <c r="AI96" s="241">
        <v>-274.13</v>
      </c>
      <c r="AJ96" s="27">
        <v>-371.77206291943872</v>
      </c>
      <c r="AK96" s="28">
        <f>SUMIFS(Aut_BlueMe_Sem_Pedido!$J:$J,Aut_BlueMe_Sem_Pedido!$Q:$Q,DRE!AI$4,Aut_BlueMe_Sem_Pedido!$H:$H,DRE!$A96)+SUMIFS(Aut_Ajustes_Manuais!$G:$G,Aut_Ajustes_Manuais!$I:$I,DRE!AI$4,Aut_Ajustes_Manuais!$F:$F,"Meios de pagamento - Delivery")</f>
        <v>0</v>
      </c>
      <c r="AL96" s="241">
        <v>-477.36</v>
      </c>
      <c r="AM96" s="27">
        <v>-431.43881807313397</v>
      </c>
      <c r="AN96" s="28">
        <f>SUMIFS(Aut_BlueMe_Sem_Pedido!$J:$J,Aut_BlueMe_Sem_Pedido!$Q:$Q,DRE!AL$4,Aut_BlueMe_Sem_Pedido!$H:$H,DRE!$A96)+SUMIFS(Aut_Ajustes_Manuais!$G:$G,Aut_Ajustes_Manuais!$I:$I,DRE!AL$4,Aut_Ajustes_Manuais!$F:$F,"Meios de pagamento - Delivery")</f>
        <v>0</v>
      </c>
      <c r="AO96" s="241">
        <v>-289.89</v>
      </c>
      <c r="AP96" s="27">
        <v>-390.50106774592069</v>
      </c>
      <c r="AQ96" s="28">
        <f>SUMIFS(Aut_BlueMe_Sem_Pedido!$J:$J,Aut_BlueMe_Sem_Pedido!$Q:$Q,DRE!AO$4,Aut_BlueMe_Sem_Pedido!$H:$H,DRE!$A96)+SUMIFS(Aut_Ajustes_Manuais!$G:$G,Aut_Ajustes_Manuais!$I:$I,DRE!AO$4,Aut_Ajustes_Manuais!$F:$F,"Meios de pagamento - Delivery")</f>
        <v>0</v>
      </c>
      <c r="AR96" s="241">
        <f ca="1">SUMIFS($H96:$AO96,$H$5:$AO$5,"&lt;"&amp;MONTH(TODAY()),$H$6:$AO$6,"REAL 25")</f>
        <v>-2102.04</v>
      </c>
      <c r="AS96" s="27">
        <f ca="1">SUMIFS($I96:$AP96,$I$5:$AP$5,"&lt;"&amp;MONTH(TODAY()),$I$6:$AP$6,"ORÇADO ")</f>
        <v>-2047.1344791455117</v>
      </c>
      <c r="AT96" s="28">
        <f ca="1">SUMIFS($J96:$AQ96,$J$5:$AQ$5,"&lt;"&amp;MONTH(TODAY()),$J$6:$AQ$6,"REAL 26")</f>
        <v>-7764.76</v>
      </c>
      <c r="AU96" s="241">
        <f t="shared" si="119"/>
        <v>-4369.3099999999995</v>
      </c>
      <c r="AV96" s="27">
        <f t="shared" si="119"/>
        <v>-4427.1382909912663</v>
      </c>
      <c r="AW96" s="28">
        <f t="shared" si="119"/>
        <v>-7764.76</v>
      </c>
      <c r="AX96" s="241">
        <f t="shared" si="120"/>
        <v>-1388.75</v>
      </c>
      <c r="AY96" s="27">
        <f t="shared" si="120"/>
        <v>-932.92642697849305</v>
      </c>
      <c r="AZ96" s="28">
        <f t="shared" si="120"/>
        <v>-4659.88</v>
      </c>
      <c r="BA96" s="241">
        <f t="shared" si="121"/>
        <v>-713.29</v>
      </c>
      <c r="BB96" s="27">
        <f t="shared" si="121"/>
        <v>-1114.2080521670186</v>
      </c>
      <c r="BC96" s="28">
        <f t="shared" si="121"/>
        <v>-3104.88</v>
      </c>
      <c r="BD96" s="241">
        <f t="shared" si="122"/>
        <v>-1225.8899999999999</v>
      </c>
      <c r="BE96" s="27">
        <f t="shared" si="122"/>
        <v>-1186.2918631072612</v>
      </c>
      <c r="BF96" s="28">
        <f t="shared" si="122"/>
        <v>0</v>
      </c>
      <c r="BG96" s="241">
        <f t="shared" si="123"/>
        <v>-1041.3800000000001</v>
      </c>
      <c r="BH96" s="27">
        <f t="shared" si="123"/>
        <v>-1193.7119487384934</v>
      </c>
      <c r="BI96" s="28">
        <f t="shared" si="123"/>
        <v>0</v>
      </c>
      <c r="BK96" s="448">
        <f t="shared" si="87"/>
        <v>-4427.1382909912663</v>
      </c>
      <c r="BL96" s="448">
        <f t="shared" si="88"/>
        <v>0</v>
      </c>
      <c r="BM96" s="448">
        <f t="shared" si="89"/>
        <v>-7764.76</v>
      </c>
      <c r="BN96" s="448">
        <f t="shared" ca="1" si="90"/>
        <v>0</v>
      </c>
    </row>
    <row r="97" spans="1:66" s="29" customFormat="1" hidden="1" outlineLevel="1" x14ac:dyDescent="0.3">
      <c r="A97" s="22" t="s">
        <v>122</v>
      </c>
      <c r="B97" s="23"/>
      <c r="C97" s="24" t="s">
        <v>123</v>
      </c>
      <c r="D97" s="25"/>
      <c r="E97" s="25"/>
      <c r="F97" s="56"/>
      <c r="G97" s="33"/>
      <c r="H97" s="241">
        <v>0</v>
      </c>
      <c r="I97" s="27">
        <v>0</v>
      </c>
      <c r="J97" s="28">
        <f>SUMIFS(Aut_BlueMe_Sem_Pedido!$J:$J,Aut_BlueMe_Sem_Pedido!$Q:$Q,DRE!H$4,Aut_BlueMe_Sem_Pedido!$H:$H,DRE!$A97)+SUMIFS(Aut_Ajustes_Manuais!$G:$G,Aut_Ajustes_Manuais!$I:$I,DRE!H$4,Aut_Ajustes_Manuais!$F:$F,"Inadimplência")</f>
        <v>0</v>
      </c>
      <c r="K97" s="241">
        <v>0</v>
      </c>
      <c r="L97" s="27">
        <v>0</v>
      </c>
      <c r="M97" s="28">
        <f>SUMIFS(Aut_BlueMe_Sem_Pedido!$J:$J,Aut_BlueMe_Sem_Pedido!$Q:$Q,DRE!K$4,Aut_BlueMe_Sem_Pedido!$H:$H,DRE!$A97)+SUMIFS(Aut_Ajustes_Manuais!$G:$G,Aut_Ajustes_Manuais!$I:$I,DRE!K$4,Aut_Ajustes_Manuais!$F:$F,"Inadimplência")</f>
        <v>0</v>
      </c>
      <c r="N97" s="241">
        <v>0</v>
      </c>
      <c r="O97" s="27">
        <v>0</v>
      </c>
      <c r="P97" s="28">
        <f>SUMIFS(Aut_BlueMe_Sem_Pedido!$J:$J,Aut_BlueMe_Sem_Pedido!$Q:$Q,DRE!N$4,Aut_BlueMe_Sem_Pedido!$H:$H,DRE!$A97)+SUMIFS(Aut_Ajustes_Manuais!$G:$G,Aut_Ajustes_Manuais!$I:$I,DRE!N$4,Aut_Ajustes_Manuais!$F:$F,"Inadimplência")</f>
        <v>0</v>
      </c>
      <c r="Q97" s="241">
        <v>0</v>
      </c>
      <c r="R97" s="27">
        <v>0</v>
      </c>
      <c r="S97" s="28">
        <f>SUMIFS(Aut_BlueMe_Sem_Pedido!$J:$J,Aut_BlueMe_Sem_Pedido!$Q:$Q,DRE!Q$4,Aut_BlueMe_Sem_Pedido!$H:$H,DRE!$A97)+SUMIFS(Aut_Ajustes_Manuais!$G:$G,Aut_Ajustes_Manuais!$I:$I,DRE!Q$4,Aut_Ajustes_Manuais!$F:$F,"Inadimplência")</f>
        <v>0</v>
      </c>
      <c r="T97" s="241">
        <v>0</v>
      </c>
      <c r="U97" s="27">
        <v>0</v>
      </c>
      <c r="V97" s="28">
        <f>SUMIFS(Aut_BlueMe_Sem_Pedido!$J:$J,Aut_BlueMe_Sem_Pedido!$Q:$Q,DRE!T$4,Aut_BlueMe_Sem_Pedido!$H:$H,DRE!$A97)+SUMIFS(Aut_Ajustes_Manuais!$G:$G,Aut_Ajustes_Manuais!$I:$I,DRE!T$4,Aut_Ajustes_Manuais!$F:$F,"Inadimplência")</f>
        <v>0</v>
      </c>
      <c r="W97" s="241">
        <v>0</v>
      </c>
      <c r="X97" s="27">
        <v>0</v>
      </c>
      <c r="Y97" s="28">
        <f>SUMIFS(Aut_BlueMe_Sem_Pedido!$J:$J,Aut_BlueMe_Sem_Pedido!$Q:$Q,DRE!W$4,Aut_BlueMe_Sem_Pedido!$H:$H,DRE!$A97)+SUMIFS(Aut_Ajustes_Manuais!$G:$G,Aut_Ajustes_Manuais!$I:$I,DRE!W$4,Aut_Ajustes_Manuais!$F:$F,"Inadimplência")</f>
        <v>0</v>
      </c>
      <c r="Z97" s="241">
        <v>0</v>
      </c>
      <c r="AA97" s="27">
        <v>0</v>
      </c>
      <c r="AB97" s="28">
        <f>SUMIFS(Aut_BlueMe_Sem_Pedido!$J:$J,Aut_BlueMe_Sem_Pedido!$Q:$Q,DRE!Z$4,Aut_BlueMe_Sem_Pedido!$H:$H,DRE!$A97)+SUMIFS(Aut_Ajustes_Manuais!$G:$G,Aut_Ajustes_Manuais!$I:$I,DRE!Z$4,Aut_Ajustes_Manuais!$F:$F,"Inadimplência")</f>
        <v>0</v>
      </c>
      <c r="AC97" s="241">
        <v>0</v>
      </c>
      <c r="AD97" s="27">
        <v>0</v>
      </c>
      <c r="AE97" s="28">
        <f>SUMIFS(Aut_BlueMe_Sem_Pedido!$J:$J,Aut_BlueMe_Sem_Pedido!$Q:$Q,DRE!AC$4,Aut_BlueMe_Sem_Pedido!$H:$H,DRE!$A97)+SUMIFS(Aut_Ajustes_Manuais!$G:$G,Aut_Ajustes_Manuais!$I:$I,DRE!AC$4,Aut_Ajustes_Manuais!$F:$F,"Inadimplência")</f>
        <v>0</v>
      </c>
      <c r="AF97" s="241">
        <v>0</v>
      </c>
      <c r="AG97" s="27">
        <v>0</v>
      </c>
      <c r="AH97" s="28">
        <f>SUMIFS(Aut_BlueMe_Sem_Pedido!$J:$J,Aut_BlueMe_Sem_Pedido!$Q:$Q,DRE!AF$4,Aut_BlueMe_Sem_Pedido!$H:$H,DRE!$A97)+SUMIFS(Aut_Ajustes_Manuais!$G:$G,Aut_Ajustes_Manuais!$I:$I,DRE!AF$4,Aut_Ajustes_Manuais!$F:$F,"Inadimplência")</f>
        <v>0</v>
      </c>
      <c r="AI97" s="241">
        <v>0</v>
      </c>
      <c r="AJ97" s="27">
        <v>0</v>
      </c>
      <c r="AK97" s="28">
        <f>SUMIFS(Aut_BlueMe_Sem_Pedido!$J:$J,Aut_BlueMe_Sem_Pedido!$Q:$Q,DRE!AI$4,Aut_BlueMe_Sem_Pedido!$H:$H,DRE!$A97)+SUMIFS(Aut_Ajustes_Manuais!$G:$G,Aut_Ajustes_Manuais!$I:$I,DRE!AI$4,Aut_Ajustes_Manuais!$F:$F,"Inadimplência")</f>
        <v>0</v>
      </c>
      <c r="AL97" s="241">
        <v>0</v>
      </c>
      <c r="AM97" s="27">
        <v>0</v>
      </c>
      <c r="AN97" s="28">
        <f>SUMIFS(Aut_BlueMe_Sem_Pedido!$J:$J,Aut_BlueMe_Sem_Pedido!$Q:$Q,DRE!AL$4,Aut_BlueMe_Sem_Pedido!$H:$H,DRE!$A97)+SUMIFS(Aut_Ajustes_Manuais!$G:$G,Aut_Ajustes_Manuais!$I:$I,DRE!AL$4,Aut_Ajustes_Manuais!$F:$F,"Inadimplência")</f>
        <v>0</v>
      </c>
      <c r="AO97" s="241">
        <v>0</v>
      </c>
      <c r="AP97" s="27">
        <v>0</v>
      </c>
      <c r="AQ97" s="28">
        <f>SUMIFS(Aut_BlueMe_Sem_Pedido!$J:$J,Aut_BlueMe_Sem_Pedido!$Q:$Q,DRE!AO$4,Aut_BlueMe_Sem_Pedido!$H:$H,DRE!$A97)+SUMIFS(Aut_Ajustes_Manuais!$G:$G,Aut_Ajustes_Manuais!$I:$I,DRE!AO$4,Aut_Ajustes_Manuais!$F:$F,"Inadimplência")</f>
        <v>0</v>
      </c>
      <c r="AR97" s="241">
        <f ca="1">SUMIFS($H97:$AO97,$H$5:$AO$5,"&lt;"&amp;MONTH(TODAY()),$H$6:$AO$6,"REAL 25")</f>
        <v>0</v>
      </c>
      <c r="AS97" s="27">
        <f ca="1">SUMIFS($I97:$AP97,$I$5:$AP$5,"&lt;"&amp;MONTH(TODAY()),$I$6:$AP$6,"ORÇADO ")</f>
        <v>0</v>
      </c>
      <c r="AT97" s="28">
        <f ca="1">SUMIFS($J97:$AQ97,$J$5:$AQ$5,"&lt;"&amp;MONTH(TODAY()),$J$6:$AQ$6,"REAL 26")</f>
        <v>0</v>
      </c>
      <c r="AU97" s="241">
        <f t="shared" si="119"/>
        <v>0</v>
      </c>
      <c r="AV97" s="27">
        <f t="shared" si="119"/>
        <v>0</v>
      </c>
      <c r="AW97" s="28">
        <f t="shared" si="119"/>
        <v>0</v>
      </c>
      <c r="AX97" s="241">
        <f t="shared" si="120"/>
        <v>0</v>
      </c>
      <c r="AY97" s="27">
        <f t="shared" si="120"/>
        <v>0</v>
      </c>
      <c r="AZ97" s="28">
        <f t="shared" si="120"/>
        <v>0</v>
      </c>
      <c r="BA97" s="241">
        <f t="shared" si="121"/>
        <v>0</v>
      </c>
      <c r="BB97" s="27">
        <f t="shared" si="121"/>
        <v>0</v>
      </c>
      <c r="BC97" s="28">
        <f t="shared" si="121"/>
        <v>0</v>
      </c>
      <c r="BD97" s="241">
        <f t="shared" si="122"/>
        <v>0</v>
      </c>
      <c r="BE97" s="27">
        <f t="shared" si="122"/>
        <v>0</v>
      </c>
      <c r="BF97" s="28">
        <f t="shared" si="122"/>
        <v>0</v>
      </c>
      <c r="BG97" s="241">
        <f t="shared" si="123"/>
        <v>0</v>
      </c>
      <c r="BH97" s="27">
        <f t="shared" si="123"/>
        <v>0</v>
      </c>
      <c r="BI97" s="28">
        <f t="shared" si="123"/>
        <v>0</v>
      </c>
      <c r="BK97" s="448">
        <f t="shared" si="87"/>
        <v>0</v>
      </c>
      <c r="BL97" s="448">
        <f t="shared" si="88"/>
        <v>0</v>
      </c>
      <c r="BM97" s="448">
        <f t="shared" si="89"/>
        <v>0</v>
      </c>
      <c r="BN97" s="448">
        <f t="shared" ca="1" si="90"/>
        <v>0</v>
      </c>
    </row>
    <row r="98" spans="1:66" s="29" customFormat="1" hidden="1" outlineLevel="1" x14ac:dyDescent="0.3">
      <c r="A98" s="22" t="s">
        <v>124</v>
      </c>
      <c r="B98" s="23"/>
      <c r="C98" s="24" t="s">
        <v>125</v>
      </c>
      <c r="D98" s="87" t="s">
        <v>126</v>
      </c>
      <c r="E98" s="89"/>
      <c r="F98" s="56"/>
      <c r="G98" s="33"/>
      <c r="H98" s="241">
        <v>-200</v>
      </c>
      <c r="I98" s="27">
        <v>0</v>
      </c>
      <c r="J98" s="28">
        <f>SUMIFS(Aut_BlueMe_Sem_Pedido!$J:$J,Aut_BlueMe_Sem_Pedido!$Q:$Q,DRE!H$4,Aut_BlueMe_Sem_Pedido!$H:$H,DRE!$A98)+SUMIFS(Aut_Ajustes_Manuais!$G:$G,Aut_Ajustes_Manuais!$I:$I,DRE!H$4,Aut_Ajustes_Manuais!$F:$F,"Outros D")</f>
        <v>0</v>
      </c>
      <c r="K98" s="241">
        <v>0</v>
      </c>
      <c r="L98" s="27">
        <v>0</v>
      </c>
      <c r="M98" s="28">
        <f>SUMIFS(Aut_BlueMe_Sem_Pedido!$J:$J,Aut_BlueMe_Sem_Pedido!$Q:$Q,DRE!K$4,Aut_BlueMe_Sem_Pedido!$H:$H,DRE!$A98)+SUMIFS(Aut_Ajustes_Manuais!$G:$G,Aut_Ajustes_Manuais!$I:$I,DRE!K$4,Aut_Ajustes_Manuais!$F:$F,"Outros D")</f>
        <v>0</v>
      </c>
      <c r="N98" s="241">
        <v>0</v>
      </c>
      <c r="O98" s="27">
        <v>0</v>
      </c>
      <c r="P98" s="28">
        <f>SUMIFS(Aut_BlueMe_Sem_Pedido!$J:$J,Aut_BlueMe_Sem_Pedido!$Q:$Q,DRE!N$4,Aut_BlueMe_Sem_Pedido!$H:$H,DRE!$A98)+SUMIFS(Aut_Ajustes_Manuais!$G:$G,Aut_Ajustes_Manuais!$I:$I,DRE!N$4,Aut_Ajustes_Manuais!$F:$F,"Outros D")</f>
        <v>0</v>
      </c>
      <c r="Q98" s="241">
        <v>0</v>
      </c>
      <c r="R98" s="27">
        <v>0</v>
      </c>
      <c r="S98" s="28">
        <f>SUMIFS(Aut_BlueMe_Sem_Pedido!$J:$J,Aut_BlueMe_Sem_Pedido!$Q:$Q,DRE!Q$4,Aut_BlueMe_Sem_Pedido!$H:$H,DRE!$A98)+SUMIFS(Aut_Ajustes_Manuais!$G:$G,Aut_Ajustes_Manuais!$I:$I,DRE!Q$4,Aut_Ajustes_Manuais!$F:$F,"Outros D")</f>
        <v>0</v>
      </c>
      <c r="T98" s="241">
        <v>0</v>
      </c>
      <c r="U98" s="27">
        <v>0</v>
      </c>
      <c r="V98" s="28">
        <f>SUMIFS(Aut_BlueMe_Sem_Pedido!$J:$J,Aut_BlueMe_Sem_Pedido!$Q:$Q,DRE!T$4,Aut_BlueMe_Sem_Pedido!$H:$H,DRE!$A98)+SUMIFS(Aut_Ajustes_Manuais!$G:$G,Aut_Ajustes_Manuais!$I:$I,DRE!T$4,Aut_Ajustes_Manuais!$F:$F,"Outros D")</f>
        <v>0</v>
      </c>
      <c r="W98" s="241">
        <v>0</v>
      </c>
      <c r="X98" s="27">
        <v>0</v>
      </c>
      <c r="Y98" s="28">
        <f>SUMIFS(Aut_BlueMe_Sem_Pedido!$J:$J,Aut_BlueMe_Sem_Pedido!$Q:$Q,DRE!W$4,Aut_BlueMe_Sem_Pedido!$H:$H,DRE!$A98)+SUMIFS(Aut_Ajustes_Manuais!$G:$G,Aut_Ajustes_Manuais!$I:$I,DRE!W$4,Aut_Ajustes_Manuais!$F:$F,"Outros D")</f>
        <v>0</v>
      </c>
      <c r="Z98" s="241">
        <v>0</v>
      </c>
      <c r="AA98" s="27">
        <v>0</v>
      </c>
      <c r="AB98" s="28">
        <f>SUMIFS(Aut_BlueMe_Sem_Pedido!$J:$J,Aut_BlueMe_Sem_Pedido!$Q:$Q,DRE!Z$4,Aut_BlueMe_Sem_Pedido!$H:$H,DRE!$A98)+SUMIFS(Aut_Ajustes_Manuais!$G:$G,Aut_Ajustes_Manuais!$I:$I,DRE!Z$4,Aut_Ajustes_Manuais!$F:$F,"Outros D")</f>
        <v>0</v>
      </c>
      <c r="AC98" s="241">
        <v>0</v>
      </c>
      <c r="AD98" s="27">
        <v>0</v>
      </c>
      <c r="AE98" s="28">
        <f>SUMIFS(Aut_BlueMe_Sem_Pedido!$J:$J,Aut_BlueMe_Sem_Pedido!$Q:$Q,DRE!AC$4,Aut_BlueMe_Sem_Pedido!$H:$H,DRE!$A98)+SUMIFS(Aut_Ajustes_Manuais!$G:$G,Aut_Ajustes_Manuais!$I:$I,DRE!AC$4,Aut_Ajustes_Manuais!$F:$F,"Outros D")</f>
        <v>0</v>
      </c>
      <c r="AF98" s="241">
        <v>0</v>
      </c>
      <c r="AG98" s="27">
        <v>0</v>
      </c>
      <c r="AH98" s="28">
        <f>SUMIFS(Aut_BlueMe_Sem_Pedido!$J:$J,Aut_BlueMe_Sem_Pedido!$Q:$Q,DRE!AF$4,Aut_BlueMe_Sem_Pedido!$H:$H,DRE!$A98)+SUMIFS(Aut_Ajustes_Manuais!$G:$G,Aut_Ajustes_Manuais!$I:$I,DRE!AF$4,Aut_Ajustes_Manuais!$F:$F,"Outros D")</f>
        <v>0</v>
      </c>
      <c r="AI98" s="241">
        <v>0</v>
      </c>
      <c r="AJ98" s="27">
        <v>0</v>
      </c>
      <c r="AK98" s="28">
        <f>SUMIFS(Aut_BlueMe_Sem_Pedido!$J:$J,Aut_BlueMe_Sem_Pedido!$Q:$Q,DRE!AI$4,Aut_BlueMe_Sem_Pedido!$H:$H,DRE!$A98)+SUMIFS(Aut_Ajustes_Manuais!$G:$G,Aut_Ajustes_Manuais!$I:$I,DRE!AI$4,Aut_Ajustes_Manuais!$F:$F,"Outros D")</f>
        <v>0</v>
      </c>
      <c r="AL98" s="241">
        <v>0</v>
      </c>
      <c r="AM98" s="27">
        <v>0</v>
      </c>
      <c r="AN98" s="28">
        <f>SUMIFS(Aut_BlueMe_Sem_Pedido!$J:$J,Aut_BlueMe_Sem_Pedido!$Q:$Q,DRE!AL$4,Aut_BlueMe_Sem_Pedido!$H:$H,DRE!$A98)+SUMIFS(Aut_Ajustes_Manuais!$G:$G,Aut_Ajustes_Manuais!$I:$I,DRE!AL$4,Aut_Ajustes_Manuais!$F:$F,"Outros D")</f>
        <v>0</v>
      </c>
      <c r="AO98" s="241">
        <v>0</v>
      </c>
      <c r="AP98" s="27">
        <v>0</v>
      </c>
      <c r="AQ98" s="28">
        <f>SUMIFS(Aut_BlueMe_Sem_Pedido!$J:$J,Aut_BlueMe_Sem_Pedido!$Q:$Q,DRE!AO$4,Aut_BlueMe_Sem_Pedido!$H:$H,DRE!$A98)+SUMIFS(Aut_Ajustes_Manuais!$G:$G,Aut_Ajustes_Manuais!$I:$I,DRE!AO$4,Aut_Ajustes_Manuais!$F:$F,"Outros D")</f>
        <v>0</v>
      </c>
      <c r="AR98" s="241">
        <f ca="1">SUMIFS($H98:$AO98,$H$5:$AO$5,"&lt;"&amp;MONTH(TODAY()),$H$6:$AO$6,"REAL 25")</f>
        <v>-200</v>
      </c>
      <c r="AS98" s="27">
        <f ca="1">SUMIFS($I98:$AP98,$I$5:$AP$5,"&lt;"&amp;MONTH(TODAY()),$I$6:$AP$6,"ORÇADO ")</f>
        <v>0</v>
      </c>
      <c r="AT98" s="28">
        <f ca="1">SUMIFS($J98:$AQ98,$J$5:$AQ$5,"&lt;"&amp;MONTH(TODAY()),$J$6:$AQ$6,"REAL 26")</f>
        <v>0</v>
      </c>
      <c r="AU98" s="241">
        <f t="shared" si="119"/>
        <v>-200</v>
      </c>
      <c r="AV98" s="27">
        <f t="shared" si="119"/>
        <v>0</v>
      </c>
      <c r="AW98" s="28">
        <f t="shared" si="119"/>
        <v>0</v>
      </c>
      <c r="AX98" s="241">
        <f t="shared" si="120"/>
        <v>-200</v>
      </c>
      <c r="AY98" s="27">
        <f t="shared" si="120"/>
        <v>0</v>
      </c>
      <c r="AZ98" s="28">
        <f t="shared" si="120"/>
        <v>0</v>
      </c>
      <c r="BA98" s="241">
        <f t="shared" si="121"/>
        <v>0</v>
      </c>
      <c r="BB98" s="27">
        <f t="shared" si="121"/>
        <v>0</v>
      </c>
      <c r="BC98" s="28">
        <f t="shared" si="121"/>
        <v>0</v>
      </c>
      <c r="BD98" s="241">
        <f t="shared" si="122"/>
        <v>0</v>
      </c>
      <c r="BE98" s="27">
        <f t="shared" si="122"/>
        <v>0</v>
      </c>
      <c r="BF98" s="28">
        <f t="shared" si="122"/>
        <v>0</v>
      </c>
      <c r="BG98" s="241">
        <f t="shared" si="123"/>
        <v>0</v>
      </c>
      <c r="BH98" s="27">
        <f t="shared" si="123"/>
        <v>0</v>
      </c>
      <c r="BI98" s="28">
        <f t="shared" si="123"/>
        <v>0</v>
      </c>
      <c r="BK98" s="448">
        <f t="shared" si="87"/>
        <v>0</v>
      </c>
      <c r="BL98" s="448">
        <f t="shared" si="88"/>
        <v>0</v>
      </c>
      <c r="BM98" s="448">
        <f t="shared" si="89"/>
        <v>0</v>
      </c>
      <c r="BN98" s="448">
        <f t="shared" ca="1" si="90"/>
        <v>0</v>
      </c>
    </row>
    <row r="99" spans="1:66" collapsed="1" x14ac:dyDescent="0.3">
      <c r="A99" s="71" t="s">
        <v>46</v>
      </c>
      <c r="C99" s="24"/>
      <c r="D99" s="87"/>
      <c r="E99" s="25"/>
      <c r="F99" s="41"/>
      <c r="G99" s="47"/>
      <c r="H99" s="245">
        <v>-1.3678783481257419E-2</v>
      </c>
      <c r="I99" s="50">
        <v>-1.791925863405348E-2</v>
      </c>
      <c r="J99" s="51">
        <f>IFERROR(J94/J8,0)+SUMIFS(Aut_Ajustes_Manuais!$G:$G,Aut_Ajustes_Manuais!$I:$I,DRE!H$4,Aut_Ajustes_Manuais!$F:$F,"% sobre Receita Bruta")</f>
        <v>-1.4035247546789895E-2</v>
      </c>
      <c r="K99" s="245">
        <v>-1.4402466662122561E-2</v>
      </c>
      <c r="L99" s="50">
        <v>-1.791925863405348E-2</v>
      </c>
      <c r="M99" s="51">
        <f>IFERROR(M94/M8,0)+SUMIFS(Aut_Ajustes_Manuais!$G:$G,Aut_Ajustes_Manuais!$I:$I,DRE!K$4,Aut_Ajustes_Manuais!$F:$F,"% sobre Receita Bruta")</f>
        <v>-1.6721903836348244E-2</v>
      </c>
      <c r="N99" s="245">
        <v>-1.6054622969538988E-2</v>
      </c>
      <c r="O99" s="50">
        <v>-1.7919258634053491E-2</v>
      </c>
      <c r="P99" s="51">
        <f>IFERROR(P94/P8,0)+SUMIFS(Aut_Ajustes_Manuais!$G:$G,Aut_Ajustes_Manuais!$I:$I,DRE!N$4,Aut_Ajustes_Manuais!$F:$F,"% sobre Receita Bruta")</f>
        <v>-2.2928341293916653E-2</v>
      </c>
      <c r="Q99" s="245">
        <v>-1.306718241651343E-2</v>
      </c>
      <c r="R99" s="50">
        <v>-1.791925863405348E-2</v>
      </c>
      <c r="S99" s="51">
        <f>IFERROR(S94/S8,0)+SUMIFS(Aut_Ajustes_Manuais!$G:$G,Aut_Ajustes_Manuais!$I:$I,DRE!Q$4,Aut_Ajustes_Manuais!$F:$F,"% sobre Receita Bruta")</f>
        <v>-1.9099982785250179E-2</v>
      </c>
      <c r="T99" s="245">
        <v>-1.2548677674374431E-2</v>
      </c>
      <c r="U99" s="50">
        <v>-1.791925863405348E-2</v>
      </c>
      <c r="V99" s="51">
        <f>IFERROR(V94/V8,0)+SUMIFS(Aut_Ajustes_Manuais!$G:$G,Aut_Ajustes_Manuais!$I:$I,DRE!T$4,Aut_Ajustes_Manuais!$F:$F,"% sobre Receita Bruta")</f>
        <v>-1.5842020129017639E-2</v>
      </c>
      <c r="W99" s="245">
        <v>-1.5985077456836749E-2</v>
      </c>
      <c r="X99" s="50">
        <v>-1.7919258634053491E-2</v>
      </c>
      <c r="Y99" s="51">
        <f>IFERROR(Y94/Y8,0)+SUMIFS(Aut_Ajustes_Manuais!$G:$G,Aut_Ajustes_Manuais!$I:$I,DRE!W$4,Aut_Ajustes_Manuais!$F:$F,"% sobre Receita Bruta")</f>
        <v>-1.2700796451398748E-3</v>
      </c>
      <c r="Z99" s="245">
        <v>-1.4939225502924199E-2</v>
      </c>
      <c r="AA99" s="50">
        <v>-1.791925863405348E-2</v>
      </c>
      <c r="AB99" s="51">
        <f>IFERROR(AB94/AB8,0)+SUMIFS(Aut_Ajustes_Manuais!$G:$G,Aut_Ajustes_Manuais!$I:$I,DRE!Z$4,Aut_Ajustes_Manuais!$F:$F,"% sobre Receita Bruta")</f>
        <v>0</v>
      </c>
      <c r="AC99" s="245">
        <v>-1.1924625261234509E-2</v>
      </c>
      <c r="AD99" s="50">
        <v>-1.7919258634053491E-2</v>
      </c>
      <c r="AE99" s="51">
        <f>IFERROR(AE94/AE8,0)+SUMIFS(Aut_Ajustes_Manuais!$G:$G,Aut_Ajustes_Manuais!$I:$I,DRE!AC$4,Aut_Ajustes_Manuais!$F:$F,"% sobre Receita Bruta")</f>
        <v>0</v>
      </c>
      <c r="AF99" s="245">
        <v>-1.383961415100377E-2</v>
      </c>
      <c r="AG99" s="50">
        <v>-1.791925863405348E-2</v>
      </c>
      <c r="AH99" s="51">
        <f>IFERROR(AH94/AH8,0)+SUMIFS(Aut_Ajustes_Manuais!$G:$G,Aut_Ajustes_Manuais!$I:$I,DRE!AF$4,Aut_Ajustes_Manuais!$F:$F,"% sobre Receita Bruta")</f>
        <v>0</v>
      </c>
      <c r="AI99" s="245">
        <v>-1.352300205702329E-2</v>
      </c>
      <c r="AJ99" s="50">
        <v>-1.791925863405348E-2</v>
      </c>
      <c r="AK99" s="51">
        <f>IFERROR(AK94/AK8,0)+SUMIFS(Aut_Ajustes_Manuais!$G:$G,Aut_Ajustes_Manuais!$I:$I,DRE!AI$4,Aut_Ajustes_Manuais!$F:$F,"% sobre Receita Bruta")</f>
        <v>0</v>
      </c>
      <c r="AL99" s="245">
        <v>-1.570266639555078E-2</v>
      </c>
      <c r="AM99" s="50">
        <v>-1.7919258634053491E-2</v>
      </c>
      <c r="AN99" s="51">
        <f>IFERROR(AN94/AN8,0)+SUMIFS(Aut_Ajustes_Manuais!$G:$G,Aut_Ajustes_Manuais!$I:$I,DRE!AL$4,Aut_Ajustes_Manuais!$F:$F,"% sobre Receita Bruta")</f>
        <v>0</v>
      </c>
      <c r="AO99" s="245">
        <v>-1.2824659849220569E-2</v>
      </c>
      <c r="AP99" s="50">
        <v>-1.791925863405348E-2</v>
      </c>
      <c r="AQ99" s="51">
        <f>IFERROR(AQ94/AQ8,0)+SUMIFS(Aut_Ajustes_Manuais!$G:$G,Aut_Ajustes_Manuais!$I:$I,DRE!AO$4,Aut_Ajustes_Manuais!$F:$F,"% sobre Receita Bruta")</f>
        <v>0</v>
      </c>
      <c r="AR99" s="245">
        <f t="shared" ref="AR99:BI99" ca="1" si="124">IFERROR(AR94/AR8,0)</f>
        <v>-1.4179987404618703E-2</v>
      </c>
      <c r="AS99" s="50">
        <f t="shared" ca="1" si="124"/>
        <v>-1.7919258634053494E-2</v>
      </c>
      <c r="AT99" s="51">
        <f t="shared" ca="1" si="124"/>
        <v>-1.4879147244788378E-2</v>
      </c>
      <c r="AU99" s="245">
        <f t="shared" si="124"/>
        <v>-1.3950512999290014E-2</v>
      </c>
      <c r="AV99" s="50">
        <f t="shared" si="124"/>
        <v>-1.7919258634053491E-2</v>
      </c>
      <c r="AW99" s="51">
        <f t="shared" si="124"/>
        <v>-1.4353014052766924E-2</v>
      </c>
      <c r="AX99" s="245">
        <f t="shared" si="124"/>
        <v>-1.4679266986753559E-2</v>
      </c>
      <c r="AY99" s="50">
        <f t="shared" si="124"/>
        <v>-1.7919258634053484E-2</v>
      </c>
      <c r="AZ99" s="51">
        <f t="shared" si="124"/>
        <v>-1.7736443338935641E-2</v>
      </c>
      <c r="BA99" s="245">
        <f t="shared" si="124"/>
        <v>-1.3743596625397585E-2</v>
      </c>
      <c r="BB99" s="50">
        <f t="shared" si="124"/>
        <v>-1.7919258634053491E-2</v>
      </c>
      <c r="BC99" s="51">
        <f t="shared" si="124"/>
        <v>-1.2180136392717669E-2</v>
      </c>
      <c r="BD99" s="245">
        <f t="shared" si="124"/>
        <v>-1.3480164903136678E-2</v>
      </c>
      <c r="BE99" s="50">
        <f t="shared" si="124"/>
        <v>-1.7919258634053484E-2</v>
      </c>
      <c r="BF99" s="51">
        <f t="shared" si="124"/>
        <v>0</v>
      </c>
      <c r="BG99" s="245">
        <f t="shared" si="124"/>
        <v>-1.3995133728950303E-2</v>
      </c>
      <c r="BH99" s="50">
        <f t="shared" si="124"/>
        <v>-1.7919258634053487E-2</v>
      </c>
      <c r="BI99" s="51">
        <f t="shared" si="124"/>
        <v>0</v>
      </c>
      <c r="BK99" s="448">
        <f t="shared" si="87"/>
        <v>-0.21503110360864178</v>
      </c>
      <c r="BL99" s="448">
        <f t="shared" si="88"/>
        <v>-0.19711184497458828</v>
      </c>
      <c r="BM99" s="448">
        <f t="shared" si="89"/>
        <v>-8.8627495591322603E-2</v>
      </c>
      <c r="BN99" s="448">
        <f t="shared" ca="1" si="90"/>
        <v>-7.3748348346534223E-2</v>
      </c>
    </row>
    <row r="100" spans="1:66" x14ac:dyDescent="0.3">
      <c r="A100" s="18"/>
      <c r="E100" s="16"/>
      <c r="F100" s="17"/>
      <c r="H100" s="247"/>
      <c r="I100" s="17"/>
      <c r="J100" s="57"/>
      <c r="K100" s="247"/>
      <c r="L100" s="17"/>
      <c r="M100" s="57"/>
      <c r="N100" s="247"/>
      <c r="O100" s="17"/>
      <c r="P100" s="57"/>
      <c r="Q100" s="247"/>
      <c r="R100" s="17"/>
      <c r="S100" s="57"/>
      <c r="T100" s="247"/>
      <c r="U100" s="17"/>
      <c r="V100" s="57"/>
      <c r="W100" s="247"/>
      <c r="X100" s="17"/>
      <c r="Y100" s="57"/>
      <c r="Z100" s="247"/>
      <c r="AA100" s="17"/>
      <c r="AB100" s="57"/>
      <c r="AC100" s="247"/>
      <c r="AD100" s="17"/>
      <c r="AE100" s="57"/>
      <c r="AF100" s="247"/>
      <c r="AG100" s="17"/>
      <c r="AH100" s="57"/>
      <c r="AI100" s="247"/>
      <c r="AJ100" s="17"/>
      <c r="AK100" s="57"/>
      <c r="AL100" s="247"/>
      <c r="AM100" s="17"/>
      <c r="AN100" s="57"/>
      <c r="AO100" s="247"/>
      <c r="AP100" s="17"/>
      <c r="AQ100" s="57"/>
      <c r="AR100" s="247"/>
      <c r="AS100" s="17"/>
      <c r="AT100" s="57"/>
      <c r="AU100" s="247"/>
      <c r="AV100" s="17"/>
      <c r="AW100" s="57"/>
      <c r="AX100" s="247"/>
      <c r="AY100" s="17"/>
      <c r="AZ100" s="57"/>
      <c r="BA100" s="247"/>
      <c r="BB100" s="17"/>
      <c r="BC100" s="57"/>
      <c r="BD100" s="247"/>
      <c r="BE100" s="17"/>
      <c r="BF100" s="57"/>
      <c r="BG100" s="247"/>
      <c r="BH100" s="17"/>
      <c r="BI100" s="57"/>
      <c r="BK100" s="448">
        <f t="shared" si="87"/>
        <v>0</v>
      </c>
      <c r="BL100" s="448">
        <f t="shared" si="88"/>
        <v>0</v>
      </c>
      <c r="BM100" s="448">
        <f t="shared" si="89"/>
        <v>0</v>
      </c>
      <c r="BN100" s="448">
        <f t="shared" si="90"/>
        <v>0</v>
      </c>
    </row>
    <row r="101" spans="1:66" x14ac:dyDescent="0.3">
      <c r="A101" s="18"/>
      <c r="E101" s="16"/>
      <c r="F101" s="17"/>
      <c r="H101" s="247"/>
      <c r="I101" s="17"/>
      <c r="J101" s="57"/>
      <c r="K101" s="247"/>
      <c r="L101" s="17"/>
      <c r="M101" s="57"/>
      <c r="N101" s="247"/>
      <c r="O101" s="17"/>
      <c r="P101" s="57"/>
      <c r="Q101" s="247"/>
      <c r="R101" s="17"/>
      <c r="S101" s="57"/>
      <c r="T101" s="247"/>
      <c r="U101" s="17"/>
      <c r="V101" s="57"/>
      <c r="W101" s="247"/>
      <c r="X101" s="17"/>
      <c r="Y101" s="57"/>
      <c r="Z101" s="247"/>
      <c r="AA101" s="17"/>
      <c r="AB101" s="57"/>
      <c r="AC101" s="247"/>
      <c r="AD101" s="17"/>
      <c r="AE101" s="57"/>
      <c r="AF101" s="247"/>
      <c r="AG101" s="17"/>
      <c r="AH101" s="57"/>
      <c r="AI101" s="247"/>
      <c r="AJ101" s="17"/>
      <c r="AK101" s="57"/>
      <c r="AL101" s="247"/>
      <c r="AM101" s="17"/>
      <c r="AN101" s="57"/>
      <c r="AO101" s="247"/>
      <c r="AP101" s="17"/>
      <c r="AQ101" s="57"/>
      <c r="AR101" s="247"/>
      <c r="AS101" s="17"/>
      <c r="AT101" s="57"/>
      <c r="AU101" s="247"/>
      <c r="AV101" s="17"/>
      <c r="AW101" s="57"/>
      <c r="AX101" s="247"/>
      <c r="AY101" s="17"/>
      <c r="AZ101" s="57"/>
      <c r="BA101" s="247"/>
      <c r="BB101" s="17"/>
      <c r="BC101" s="57"/>
      <c r="BD101" s="247"/>
      <c r="BE101" s="17"/>
      <c r="BF101" s="57"/>
      <c r="BG101" s="247"/>
      <c r="BH101" s="17"/>
      <c r="BI101" s="57"/>
      <c r="BK101" s="448">
        <f t="shared" si="87"/>
        <v>0</v>
      </c>
      <c r="BL101" s="448">
        <f t="shared" si="88"/>
        <v>0</v>
      </c>
      <c r="BM101" s="448">
        <f t="shared" si="89"/>
        <v>0</v>
      </c>
      <c r="BN101" s="448">
        <f t="shared" si="90"/>
        <v>0</v>
      </c>
    </row>
    <row r="102" spans="1:66" x14ac:dyDescent="0.3">
      <c r="A102" s="58" t="s">
        <v>127</v>
      </c>
      <c r="B102" s="59"/>
      <c r="C102" s="60"/>
      <c r="D102" s="61"/>
      <c r="E102" s="62"/>
      <c r="F102" s="63"/>
      <c r="G102" s="59"/>
      <c r="H102" s="248">
        <v>191941.90062096389</v>
      </c>
      <c r="I102" s="64">
        <f>SUM(I94,I88,I56,I42,I34,I32)</f>
        <v>227740.40089903341</v>
      </c>
      <c r="J102" s="65">
        <f>SUM(J94,J88,J56,J42,J34,J32)+SUMIFS(Aut_Ajustes_Manuais!$G:$G,Aut_Ajustes_Manuais!$I:$I,DRE!H$4,Aut_Ajustes_Manuais!$F:$F,"MARGEM BRUTA DE CONTRIBUIÇÃO")</f>
        <v>222525.89122499997</v>
      </c>
      <c r="K102" s="248">
        <v>168206.4342401434</v>
      </c>
      <c r="L102" s="64">
        <f>SUM(L94,L88,L56,L42,L34,L32)</f>
        <v>216943.36406166278</v>
      </c>
      <c r="M102" s="65">
        <f>SUM(M94,M88,M56,M42,M34,M32)+SUMIFS(Aut_Ajustes_Manuais!$G:$G,Aut_Ajustes_Manuais!$I:$I,DRE!K$4,Aut_Ajustes_Manuais!$F:$F,"MARGEM BRUTA DE CONTRIBUIÇÃO")</f>
        <v>171335.02812999999</v>
      </c>
      <c r="N102" s="248">
        <v>167375.42343766251</v>
      </c>
      <c r="O102" s="64">
        <f>SUM(O94,O88,O56,O42,O34,O32)</f>
        <v>172263.05679456261</v>
      </c>
      <c r="P102" s="65">
        <f>SUM(P94,P88,P56,P42,P34,P32)+SUMIFS(Aut_Ajustes_Manuais!$G:$G,Aut_Ajustes_Manuais!$I:$I,DRE!N$4,Aut_Ajustes_Manuais!$F:$F,"MARGEM BRUTA DE CONTRIBUIÇÃO")</f>
        <v>189255.79548999987</v>
      </c>
      <c r="Q102" s="248">
        <v>165746.01807028661</v>
      </c>
      <c r="R102" s="64">
        <f>SUM(R94,R88,R56,R42,R34,R32)</f>
        <v>179637.92404696048</v>
      </c>
      <c r="S102" s="65">
        <f>SUM(S94,S88,S56,S42,S34,S32)+SUMIFS(Aut_Ajustes_Manuais!$G:$G,Aut_Ajustes_Manuais!$I:$I,DRE!Q$4,Aut_Ajustes_Manuais!$F:$F,"MARGEM BRUTA DE CONTRIBUIÇÃO")</f>
        <v>203065.44206000003</v>
      </c>
      <c r="T102" s="248">
        <v>247734.7132847787</v>
      </c>
      <c r="U102" s="64">
        <f>SUM(U94,U88,U56,U42,U34,U32)</f>
        <v>297345.06907021225</v>
      </c>
      <c r="V102" s="65">
        <f>SUM(V94,V88,V56,V42,V34,V32)+SUMIFS(Aut_Ajustes_Manuais!$G:$G,Aut_Ajustes_Manuais!$I:$I,DRE!T$4,Aut_Ajustes_Manuais!$F:$F,"MARGEM BRUTA DE CONTRIBUIÇÃO")</f>
        <v>209940.97814499994</v>
      </c>
      <c r="W102" s="248">
        <v>181611.3505948594</v>
      </c>
      <c r="X102" s="64">
        <f>SUM(X94,X88,X56,X42,X34,X32)</f>
        <v>265364.41465958185</v>
      </c>
      <c r="Y102" s="65">
        <f>SUM(Y94,Y88,Y56,Y42,Y34,Y32)+SUMIFS(Aut_Ajustes_Manuais!$G:$G,Aut_Ajustes_Manuais!$I:$I,DRE!W$4,Aut_Ajustes_Manuais!$F:$F,"MARGEM BRUTA DE CONTRIBUIÇÃO")</f>
        <v>137910.67449499996</v>
      </c>
      <c r="Z102" s="248">
        <v>203530.6054622792</v>
      </c>
      <c r="AA102" s="64">
        <f>SUM(AA94,AA88,AA56,AA42,AA34,AA32)</f>
        <v>262762.74756974622</v>
      </c>
      <c r="AB102" s="65">
        <f>SUM(AB94,AB88,AB56,AB42,AB34,AB32)+SUMIFS(Aut_Ajustes_Manuais!$G:$G,Aut_Ajustes_Manuais!$I:$I,DRE!Z$4,Aut_Ajustes_Manuais!$F:$F,"MARGEM BRUTA DE CONTRIBUIÇÃO")</f>
        <v>46434.864436799995</v>
      </c>
      <c r="AC102" s="248">
        <v>246583.1955323029</v>
      </c>
      <c r="AD102" s="64">
        <f>SUM(AD94,AD88,AD56,AD42,AD34,AD32)</f>
        <v>282888.9859586762</v>
      </c>
      <c r="AE102" s="65">
        <f>SUM(AE94,AE88,AE56,AE42,AE34,AE32)+SUMIFS(Aut_Ajustes_Manuais!$G:$G,Aut_Ajustes_Manuais!$I:$I,DRE!AC$4,Aut_Ajustes_Manuais!$F:$F,"MARGEM BRUTA DE CONTRIBUIÇÃO")</f>
        <v>-15600</v>
      </c>
      <c r="AF102" s="248">
        <v>198642.67709702579</v>
      </c>
      <c r="AG102" s="64">
        <f>SUM(AG94,AG88,AG56,AG42,AG34,AG32)</f>
        <v>246559.26149921035</v>
      </c>
      <c r="AH102" s="65">
        <f>SUM(AH94,AH88,AH56,AH42,AH34,AH32)+SUMIFS(Aut_Ajustes_Manuais!$G:$G,Aut_Ajustes_Manuais!$I:$I,DRE!AF$4,Aut_Ajustes_Manuais!$F:$F,"MARGEM BRUTA DE CONTRIBUIÇÃO")</f>
        <v>-15600</v>
      </c>
      <c r="AI102" s="248">
        <v>226829.57918017931</v>
      </c>
      <c r="AJ102" s="64">
        <f>SUM(AJ94,AJ88,AJ56,AJ42,AJ34,AJ32)</f>
        <v>246771.31842807884</v>
      </c>
      <c r="AK102" s="65">
        <f>SUM(AK94,AK88,AK56,AK42,AK34,AK32)+SUMIFS(Aut_Ajustes_Manuais!$G:$G,Aut_Ajustes_Manuais!$I:$I,DRE!AI$4,Aut_Ajustes_Manuais!$F:$F,"MARGEM BRUTA DE CONTRIBUIÇÃO")</f>
        <v>-15600</v>
      </c>
      <c r="AL102" s="248">
        <v>235863.92429842401</v>
      </c>
      <c r="AM102" s="64">
        <f>SUM(AM94,AM88,AM56,AM42,AM34,AM32)</f>
        <v>289445.47434152698</v>
      </c>
      <c r="AN102" s="65">
        <f>SUM(AN94,AN88,AN56,AN42,AN34,AN32)+SUMIFS(Aut_Ajustes_Manuais!$G:$G,Aut_Ajustes_Manuais!$I:$I,DRE!AL$4,Aut_Ajustes_Manuais!$F:$F,"MARGEM BRUTA DE CONTRIBUIÇÃO")</f>
        <v>-15600</v>
      </c>
      <c r="AO102" s="248">
        <v>261805.85608437969</v>
      </c>
      <c r="AP102" s="64">
        <f>SUM(AP94,AP88,AP56,AP42,AP34,AP32)</f>
        <v>261127.00645436271</v>
      </c>
      <c r="AQ102" s="65">
        <f>SUM(AQ94,AQ88,AQ56,AQ42,AQ34,AQ32)+SUMIFS(Aut_Ajustes_Manuais!$G:$G,Aut_Ajustes_Manuais!$I:$I,DRE!AO$4,Aut_Ajustes_Manuais!$F:$F,"MARGEM BRUTA DE CONTRIBUIÇÃO")</f>
        <v>-15600</v>
      </c>
      <c r="AR102" s="248">
        <f t="shared" ref="AR102:BI102" ca="1" si="125">SUM(AR94,AR88,AR56,AR42,AR34,AR32)</f>
        <v>1122615.8402486942</v>
      </c>
      <c r="AS102" s="64">
        <f t="shared" ca="1" si="125"/>
        <v>1359294.2295320123</v>
      </c>
      <c r="AT102" s="65">
        <f t="shared" ca="1" si="125"/>
        <v>1134033.8095450001</v>
      </c>
      <c r="AU102" s="248">
        <f t="shared" si="125"/>
        <v>2495871.6779032853</v>
      </c>
      <c r="AV102" s="64">
        <f t="shared" si="125"/>
        <v>2948849.0237836149</v>
      </c>
      <c r="AW102" s="65">
        <f t="shared" si="125"/>
        <v>1102468.6739817997</v>
      </c>
      <c r="AX102" s="248">
        <f t="shared" si="125"/>
        <v>527523.75829876983</v>
      </c>
      <c r="AY102" s="64">
        <f t="shared" si="125"/>
        <v>616946.82175525883</v>
      </c>
      <c r="AZ102" s="65">
        <f t="shared" si="125"/>
        <v>583116.71484499995</v>
      </c>
      <c r="BA102" s="248">
        <f t="shared" si="125"/>
        <v>595092.08194992458</v>
      </c>
      <c r="BB102" s="64">
        <f t="shared" si="125"/>
        <v>742347.40777675435</v>
      </c>
      <c r="BC102" s="65">
        <f t="shared" si="125"/>
        <v>550917.09470000013</v>
      </c>
      <c r="BD102" s="248">
        <f t="shared" si="125"/>
        <v>648756.47809160792</v>
      </c>
      <c r="BE102" s="64">
        <f t="shared" si="125"/>
        <v>792210.99502763315</v>
      </c>
      <c r="BF102" s="65">
        <f t="shared" si="125"/>
        <v>15234.864436799995</v>
      </c>
      <c r="BG102" s="248">
        <f t="shared" si="125"/>
        <v>724499.35956298327</v>
      </c>
      <c r="BH102" s="64">
        <f t="shared" si="125"/>
        <v>797343.79922396853</v>
      </c>
      <c r="BI102" s="65">
        <f t="shared" si="125"/>
        <v>-46800</v>
      </c>
      <c r="BK102" s="448">
        <f t="shared" si="87"/>
        <v>2948849.0237836144</v>
      </c>
      <c r="BL102" s="448">
        <f t="shared" si="88"/>
        <v>0</v>
      </c>
      <c r="BM102" s="448">
        <f t="shared" si="89"/>
        <v>996123.13504999981</v>
      </c>
      <c r="BN102" s="448">
        <f t="shared" ca="1" si="90"/>
        <v>-137910.67449500028</v>
      </c>
    </row>
    <row r="103" spans="1:66" x14ac:dyDescent="0.3">
      <c r="A103" s="71" t="s">
        <v>128</v>
      </c>
      <c r="B103" s="59"/>
      <c r="C103" s="60"/>
      <c r="D103" s="61"/>
      <c r="E103" s="62"/>
      <c r="F103" s="63"/>
      <c r="G103" s="59"/>
      <c r="H103" s="245">
        <v>0.56378419052158113</v>
      </c>
      <c r="I103" s="50">
        <v>0.60812169608018307</v>
      </c>
      <c r="J103" s="51">
        <f>IFERROR(J102/J8,0)+SUMIFS(Aut_Ajustes_Manuais!$G:$G,Aut_Ajustes_Manuais!$I:$I,DRE!H$4,Aut_Ajustes_Manuais!$F:$F,"% sobre Receita")</f>
        <v>0.57592273756636891</v>
      </c>
      <c r="K103" s="245">
        <v>0.54440781615482781</v>
      </c>
      <c r="L103" s="50">
        <v>0.61056271144557395</v>
      </c>
      <c r="M103" s="51">
        <f>IFERROR(M102/M8,0)+SUMIFS(Aut_Ajustes_Manuais!$G:$G,Aut_Ajustes_Manuais!$I:$I,DRE!K$4,Aut_Ajustes_Manuais!$F:$F,"% sobre Receita")</f>
        <v>0.54047411222957997</v>
      </c>
      <c r="N103" s="245">
        <v>0.54019892321210761</v>
      </c>
      <c r="O103" s="50">
        <v>0.60431913738016441</v>
      </c>
      <c r="P103" s="51">
        <f>IFERROR(P102/P8,0)+SUMIFS(Aut_Ajustes_Manuais!$G:$G,Aut_Ajustes_Manuais!$I:$I,DRE!N$4,Aut_Ajustes_Manuais!$F:$F,"% sobre Receita")</f>
        <v>0.56094168536933686</v>
      </c>
      <c r="Q103" s="245">
        <v>0.50285190799729895</v>
      </c>
      <c r="R103" s="50">
        <v>0.60555349757001142</v>
      </c>
      <c r="S103" s="51">
        <f>IFERROR(S102/S8,0)+SUMIFS(Aut_Ajustes_Manuais!$G:$G,Aut_Ajustes_Manuais!$I:$I,DRE!Q$4,Aut_Ajustes_Manuais!$F:$F,"% sobre Receita")</f>
        <v>0.54955522444924243</v>
      </c>
      <c r="T103" s="245">
        <v>0.56820132069093654</v>
      </c>
      <c r="U103" s="50">
        <v>0.61440272829563447</v>
      </c>
      <c r="V103" s="51">
        <f>IFERROR(V102/V8,0)+SUMIFS(Aut_Ajustes_Manuais!$G:$G,Aut_Ajustes_Manuais!$I:$I,DRE!T$4,Aut_Ajustes_Manuais!$F:$F,"% sobre Receita")</f>
        <v>0.56312972422973295</v>
      </c>
      <c r="W103" s="245">
        <v>0.54719491878974735</v>
      </c>
      <c r="X103" s="50">
        <v>0.61503297205278096</v>
      </c>
      <c r="Y103" s="51">
        <f>IFERROR(Y102/Y8,0)+SUMIFS(Aut_Ajustes_Manuais!$G:$G,Aut_Ajustes_Manuais!$I:$I,DRE!W$4,Aut_Ajustes_Manuais!$F:$F,"% sobre Receita")</f>
        <v>0.38362106161679049</v>
      </c>
      <c r="Z103" s="245">
        <v>0.57148461552514429</v>
      </c>
      <c r="AA103" s="50">
        <v>0.61483328034849838</v>
      </c>
      <c r="AB103" s="51">
        <f>IFERROR(AB102/AB8,0)+SUMIFS(Aut_Ajustes_Manuais!$G:$G,Aut_Ajustes_Manuais!$I:$I,DRE!Z$4,Aut_Ajustes_Manuais!$F:$F,"% sobre Receita")</f>
        <v>0.5912228134979739</v>
      </c>
      <c r="AC103" s="245">
        <v>0.59343642390455242</v>
      </c>
      <c r="AD103" s="50">
        <v>0.61334352184650365</v>
      </c>
      <c r="AE103" s="51">
        <f>IFERROR(AE102/AE8,0)+SUMIFS(Aut_Ajustes_Manuais!$G:$G,Aut_Ajustes_Manuais!$I:$I,DRE!AC$4,Aut_Ajustes_Manuais!$F:$F,"% sobre Receita")</f>
        <v>0</v>
      </c>
      <c r="AF103" s="245">
        <v>0.56346803518480792</v>
      </c>
      <c r="AG103" s="50">
        <v>0.61349806007433405</v>
      </c>
      <c r="AH103" s="51">
        <f>IFERROR(AH102/AH8,0)+SUMIFS(Aut_Ajustes_Manuais!$G:$G,Aut_Ajustes_Manuais!$I:$I,DRE!AF$4,Aut_Ajustes_Manuais!$F:$F,"% sobre Receita")</f>
        <v>0</v>
      </c>
      <c r="AI103" s="245">
        <v>0.6250250864152016</v>
      </c>
      <c r="AJ103" s="50">
        <v>0.61017673926437599</v>
      </c>
      <c r="AK103" s="51">
        <f>IFERROR(AK102/AK8,0)+SUMIFS(Aut_Ajustes_Manuais!$G:$G,Aut_Ajustes_Manuais!$I:$I,DRE!AI$4,Aut_Ajustes_Manuais!$F:$F,"% sobre Receita")</f>
        <v>0</v>
      </c>
      <c r="AL103" s="245">
        <v>0.54911658398646601</v>
      </c>
      <c r="AM103" s="50">
        <v>0.61671606779493027</v>
      </c>
      <c r="AN103" s="51">
        <f>IFERROR(AN102/AN8,0)+SUMIFS(Aut_Ajustes_Manuais!$G:$G,Aut_Ajustes_Manuais!$I:$I,DRE!AL$4,Aut_Ajustes_Manuais!$F:$F,"% sobre Receita")</f>
        <v>0</v>
      </c>
      <c r="AO103" s="245">
        <v>0.54516466641599581</v>
      </c>
      <c r="AP103" s="50">
        <v>0.61470575907335867</v>
      </c>
      <c r="AQ103" s="51">
        <f>IFERROR(AQ102/AQ8,0)+SUMIFS(Aut_Ajustes_Manuais!$G:$G,Aut_Ajustes_Manuais!$I:$I,DRE!AO$4,Aut_Ajustes_Manuais!$F:$F,"% sobre Receita")</f>
        <v>0</v>
      </c>
      <c r="AR103" s="245">
        <f t="shared" ref="AR103:BI103" ca="1" si="126">IFERROR(AR102/AR8,0)</f>
        <v>0.54581501283738421</v>
      </c>
      <c r="AS103" s="50">
        <f t="shared" ca="1" si="126"/>
        <v>0.61038635685426568</v>
      </c>
      <c r="AT103" s="51">
        <f t="shared" ca="1" si="126"/>
        <v>0.52928013613510017</v>
      </c>
      <c r="AU103" s="245">
        <f t="shared" si="126"/>
        <v>0.56041093874374326</v>
      </c>
      <c r="AV103" s="50">
        <f t="shared" si="126"/>
        <v>0.61230409972721334</v>
      </c>
      <c r="AW103" s="51">
        <f t="shared" si="126"/>
        <v>0.49635330636333191</v>
      </c>
      <c r="AX103" s="245">
        <f t="shared" si="126"/>
        <v>0.54992522635859586</v>
      </c>
      <c r="AY103" s="50">
        <f t="shared" si="126"/>
        <v>0.6079082725603322</v>
      </c>
      <c r="AZ103" s="51">
        <f t="shared" si="126"/>
        <v>0.56026911405717383</v>
      </c>
      <c r="BA103" s="245">
        <f t="shared" si="126"/>
        <v>0.54222251808000355</v>
      </c>
      <c r="BB103" s="50">
        <f t="shared" si="126"/>
        <v>0.61246125688895392</v>
      </c>
      <c r="BC103" s="51">
        <f t="shared" si="126"/>
        <v>0.50000785039699303</v>
      </c>
      <c r="BD103" s="245">
        <f t="shared" si="126"/>
        <v>0.57708437087762543</v>
      </c>
      <c r="BE103" s="50">
        <f t="shared" si="126"/>
        <v>0.61388501415136909</v>
      </c>
      <c r="BF103" s="51">
        <f t="shared" si="126"/>
        <v>0.19397492648749595</v>
      </c>
      <c r="BG103" s="245">
        <f t="shared" si="126"/>
        <v>0.56927117789891923</v>
      </c>
      <c r="BH103" s="50">
        <f t="shared" si="126"/>
        <v>0.61402181030376279</v>
      </c>
      <c r="BI103" s="51">
        <f t="shared" si="126"/>
        <v>0</v>
      </c>
      <c r="BK103" s="448">
        <f t="shared" si="87"/>
        <v>7.3412661712263478</v>
      </c>
      <c r="BL103" s="448">
        <f t="shared" si="88"/>
        <v>6.7289620714991347</v>
      </c>
      <c r="BM103" s="448">
        <f t="shared" si="89"/>
        <v>2.7900234838442612</v>
      </c>
      <c r="BN103" s="448">
        <f t="shared" ca="1" si="90"/>
        <v>2.2607433477091612</v>
      </c>
    </row>
    <row r="104" spans="1:66" x14ac:dyDescent="0.3">
      <c r="A104" s="18"/>
      <c r="E104" s="16"/>
      <c r="F104" s="17"/>
      <c r="H104" s="247"/>
      <c r="I104" s="17"/>
      <c r="J104" s="57"/>
      <c r="K104" s="247"/>
      <c r="L104" s="17"/>
      <c r="M104" s="57"/>
      <c r="N104" s="247"/>
      <c r="O104" s="17"/>
      <c r="P104" s="57"/>
      <c r="Q104" s="247"/>
      <c r="R104" s="17"/>
      <c r="S104" s="57"/>
      <c r="T104" s="247"/>
      <c r="U104" s="17"/>
      <c r="V104" s="57"/>
      <c r="W104" s="247"/>
      <c r="X104" s="17"/>
      <c r="Y104" s="57"/>
      <c r="Z104" s="247"/>
      <c r="AA104" s="17"/>
      <c r="AB104" s="57"/>
      <c r="AC104" s="247"/>
      <c r="AD104" s="17"/>
      <c r="AE104" s="57"/>
      <c r="AF104" s="247"/>
      <c r="AG104" s="17"/>
      <c r="AH104" s="57"/>
      <c r="AI104" s="247"/>
      <c r="AJ104" s="17"/>
      <c r="AK104" s="57"/>
      <c r="AL104" s="247"/>
      <c r="AM104" s="17"/>
      <c r="AN104" s="57"/>
      <c r="AO104" s="247"/>
      <c r="AP104" s="17"/>
      <c r="AQ104" s="57"/>
      <c r="AR104" s="247"/>
      <c r="AS104" s="17"/>
      <c r="AT104" s="57"/>
      <c r="AU104" s="247"/>
      <c r="AV104" s="17"/>
      <c r="AW104" s="57"/>
      <c r="AX104" s="247"/>
      <c r="AY104" s="17"/>
      <c r="AZ104" s="57"/>
      <c r="BA104" s="247"/>
      <c r="BB104" s="17"/>
      <c r="BC104" s="57"/>
      <c r="BD104" s="247"/>
      <c r="BE104" s="17"/>
      <c r="BF104" s="57"/>
      <c r="BG104" s="247"/>
      <c r="BH104" s="17"/>
      <c r="BI104" s="57"/>
      <c r="BK104" s="448">
        <f t="shared" si="87"/>
        <v>0</v>
      </c>
      <c r="BL104" s="448">
        <f t="shared" si="88"/>
        <v>0</v>
      </c>
      <c r="BM104" s="448">
        <f t="shared" si="89"/>
        <v>0</v>
      </c>
      <c r="BN104" s="448">
        <f t="shared" si="90"/>
        <v>0</v>
      </c>
    </row>
    <row r="105" spans="1:66" s="14" customFormat="1" x14ac:dyDescent="0.3">
      <c r="A105" s="90"/>
      <c r="B105" s="5"/>
      <c r="C105" s="91"/>
      <c r="D105" s="5"/>
      <c r="E105" s="92"/>
      <c r="F105" s="92"/>
      <c r="G105" s="5"/>
      <c r="H105" s="257"/>
      <c r="I105" s="92"/>
      <c r="J105" s="93"/>
      <c r="K105" s="257"/>
      <c r="L105" s="92"/>
      <c r="M105" s="93"/>
      <c r="N105" s="257"/>
      <c r="O105" s="92"/>
      <c r="P105" s="93"/>
      <c r="Q105" s="257"/>
      <c r="R105" s="92"/>
      <c r="S105" s="93"/>
      <c r="T105" s="257"/>
      <c r="U105" s="92"/>
      <c r="V105" s="93"/>
      <c r="W105" s="257"/>
      <c r="X105" s="92"/>
      <c r="Y105" s="93"/>
      <c r="Z105" s="257"/>
      <c r="AA105" s="92"/>
      <c r="AB105" s="93"/>
      <c r="AC105" s="257"/>
      <c r="AD105" s="92"/>
      <c r="AE105" s="93"/>
      <c r="AF105" s="257"/>
      <c r="AG105" s="92"/>
      <c r="AH105" s="93"/>
      <c r="AI105" s="257"/>
      <c r="AJ105" s="92"/>
      <c r="AK105" s="93"/>
      <c r="AL105" s="257"/>
      <c r="AM105" s="92"/>
      <c r="AN105" s="93"/>
      <c r="AO105" s="257"/>
      <c r="AP105" s="92"/>
      <c r="AQ105" s="93"/>
      <c r="AR105" s="257"/>
      <c r="AS105" s="92"/>
      <c r="AT105" s="93"/>
      <c r="AU105" s="257"/>
      <c r="AV105" s="92"/>
      <c r="AW105" s="93"/>
      <c r="AX105" s="257"/>
      <c r="AY105" s="92"/>
      <c r="AZ105" s="93"/>
      <c r="BA105" s="257"/>
      <c r="BB105" s="92"/>
      <c r="BC105" s="93"/>
      <c r="BD105" s="257"/>
      <c r="BE105" s="92"/>
      <c r="BF105" s="93"/>
      <c r="BG105" s="257"/>
      <c r="BH105" s="92"/>
      <c r="BI105" s="93"/>
      <c r="BK105" s="448">
        <f t="shared" si="87"/>
        <v>0</v>
      </c>
      <c r="BL105" s="448">
        <f t="shared" si="88"/>
        <v>0</v>
      </c>
      <c r="BM105" s="448">
        <f t="shared" si="89"/>
        <v>0</v>
      </c>
      <c r="BN105" s="448">
        <f t="shared" si="90"/>
        <v>0</v>
      </c>
    </row>
    <row r="106" spans="1:66" x14ac:dyDescent="0.3">
      <c r="A106" s="39" t="s">
        <v>129</v>
      </c>
      <c r="C106" s="40" t="s">
        <v>37</v>
      </c>
      <c r="D106" s="40" t="s">
        <v>38</v>
      </c>
      <c r="E106" s="40" t="s">
        <v>39</v>
      </c>
      <c r="F106" s="41"/>
      <c r="G106" s="88"/>
      <c r="H106" s="244">
        <v>-70412.824924303655</v>
      </c>
      <c r="I106" s="42">
        <v>-63106.864437269243</v>
      </c>
      <c r="J106" s="43">
        <f>SUM(J107,J120,J179,J182,J199,J205)+SUMIFS(Aut_Ajustes_Manuais!$G:$G,Aut_Ajustes_Manuais!$I:$I,DRE!H$4,Aut_Ajustes_Manuais!$F:$F,"PESSOAL")</f>
        <v>-61248.402337936757</v>
      </c>
      <c r="K106" s="244">
        <v>-74140.204848848487</v>
      </c>
      <c r="L106" s="42">
        <v>-67001.392608605252</v>
      </c>
      <c r="M106" s="43">
        <f>SUM(M107,M120,M179,M182,M199,M205)+SUMIFS(Aut_Ajustes_Manuais!$G:$G,Aut_Ajustes_Manuais!$I:$I,DRE!K$4,Aut_Ajustes_Manuais!$F:$F,"PESSOAL")</f>
        <v>-62041.655494769897</v>
      </c>
      <c r="N106" s="244">
        <v>-74861.636583515152</v>
      </c>
      <c r="O106" s="42">
        <v>-65059.647392958374</v>
      </c>
      <c r="P106" s="43">
        <f>SUM(P107,P120,P179,P182,P199,P205)+SUMIFS(Aut_Ajustes_Manuais!$G:$G,Aut_Ajustes_Manuais!$I:$I,DRE!N$4,Aut_Ajustes_Manuais!$F:$F,"PESSOAL")</f>
        <v>-73153.144428933359</v>
      </c>
      <c r="Q106" s="244">
        <v>-69321.986328484854</v>
      </c>
      <c r="R106" s="42">
        <v>-69957.882214916768</v>
      </c>
      <c r="S106" s="43">
        <f>SUM(S107,S120,S179,S182,S199,S205)+SUMIFS(Aut_Ajustes_Manuais!$G:$G,Aut_Ajustes_Manuais!$I:$I,DRE!Q$4,Aut_Ajustes_Manuais!$F:$F,"PESSOAL")</f>
        <v>-76687.576588442374</v>
      </c>
      <c r="T106" s="244">
        <v>-69894.718875752238</v>
      </c>
      <c r="U106" s="42">
        <v>-75134.116290830483</v>
      </c>
      <c r="V106" s="43">
        <f>SUM(V107,V120,V179,V182,V199,V205)+SUMIFS(Aut_Ajustes_Manuais!$G:$G,Aut_Ajustes_Manuais!$I:$I,DRE!T$4,Aut_Ajustes_Manuais!$F:$F,"PESSOAL")</f>
        <v>-68593.233815426313</v>
      </c>
      <c r="W106" s="244">
        <v>-67134.47593111993</v>
      </c>
      <c r="X106" s="42">
        <v>-74819.180949641843</v>
      </c>
      <c r="Y106" s="43">
        <f>SUM(Y107,Y120,Y179,Y182,Y199,Y205)+SUMIFS(Aut_Ajustes_Manuais!$G:$G,Aut_Ajustes_Manuais!$I:$I,DRE!W$4,Aut_Ajustes_Manuais!$F:$F,"PESSOAL")</f>
        <v>-67030.561836475856</v>
      </c>
      <c r="Z106" s="244">
        <v>-63261.321100325309</v>
      </c>
      <c r="AA106" s="42">
        <v>-74706.11604625624</v>
      </c>
      <c r="AB106" s="43">
        <f>SUM(AB107,AB120,AB179,AB182,AB199,AB205)+SUMIFS(Aut_Ajustes_Manuais!$G:$G,Aut_Ajustes_Manuais!$I:$I,DRE!Z$4,Aut_Ajustes_Manuais!$F:$F,"PESSOAL")</f>
        <v>-82630.611251053342</v>
      </c>
      <c r="AC106" s="244">
        <v>-70579.160382545466</v>
      </c>
      <c r="AD106" s="42">
        <v>-75641.617007624009</v>
      </c>
      <c r="AE106" s="43">
        <f>SUM(AE107,AE120,AE179,AE182,AE199,AE205)+SUMIFS(Aut_Ajustes_Manuais!$G:$G,Aut_Ajustes_Manuais!$I:$I,DRE!AC$4,Aut_Ajustes_Manuais!$F:$F,"PESSOAL")</f>
        <v>-82233.021251053331</v>
      </c>
      <c r="AF106" s="244">
        <v>-66814.737414666655</v>
      </c>
      <c r="AG106" s="42">
        <v>-74001.934641097643</v>
      </c>
      <c r="AH106" s="43">
        <f>SUM(AH107,AH120,AH179,AH182,AH199,AH205)+SUMIFS(Aut_Ajustes_Manuais!$G:$G,Aut_Ajustes_Manuais!$I:$I,DRE!AF$4,Aut_Ajustes_Manuais!$F:$F,"PESSOAL")</f>
        <v>-66233.021251053331</v>
      </c>
      <c r="AI106" s="244">
        <v>-73986.572759272734</v>
      </c>
      <c r="AJ106" s="42">
        <v>-74071.992436588363</v>
      </c>
      <c r="AK106" s="43">
        <f>SUM(AK107,AK120,AK179,AK182,AK199,AK205)+SUMIFS(Aut_Ajustes_Manuais!$G:$G,Aut_Ajustes_Manuais!$I:$I,DRE!AI$4,Aut_Ajustes_Manuais!$F:$F,"PESSOAL")</f>
        <v>-62233.021251053331</v>
      </c>
      <c r="AL106" s="244">
        <v>-70716.662899999996</v>
      </c>
      <c r="AM106" s="42">
        <v>-75865.710959957039</v>
      </c>
      <c r="AN106" s="43">
        <f>SUM(AN107,AN120,AN179,AN182,AN199,AN205)+SUMIFS(Aut_Ajustes_Manuais!$G:$G,Aut_Ajustes_Manuais!$I:$I,DRE!AL$4,Aut_Ajustes_Manuais!$F:$F,"PESSOAL")</f>
        <v>-62233.021251053331</v>
      </c>
      <c r="AO106" s="244">
        <v>-75985.752500000002</v>
      </c>
      <c r="AP106" s="42">
        <v>-74635.028968321756</v>
      </c>
      <c r="AQ106" s="43">
        <f>SUM(AQ107,AQ120,AQ179,AQ182,AQ199,AQ205)+SUMIFS(Aut_Ajustes_Manuais!$G:$G,Aut_Ajustes_Manuais!$I:$I,DRE!AO$4,Aut_Ajustes_Manuais!$F:$F,"PESSOAL")</f>
        <v>-62233.021251053331</v>
      </c>
      <c r="AR106" s="244">
        <f t="shared" ref="AR106:BI106" ca="1" si="127">SUM(AR107,AR120,AR179,AR182,AR199,AR205)</f>
        <v>-425765.84749202436</v>
      </c>
      <c r="AS106" s="42">
        <f t="shared" ca="1" si="127"/>
        <v>-415079.08389422199</v>
      </c>
      <c r="AT106" s="43">
        <f t="shared" ca="1" si="127"/>
        <v>-408754.57450198452</v>
      </c>
      <c r="AU106" s="244">
        <f t="shared" si="127"/>
        <v>-847110.05454883445</v>
      </c>
      <c r="AV106" s="42">
        <f t="shared" si="127"/>
        <v>-864001.48395406699</v>
      </c>
      <c r="AW106" s="43">
        <f t="shared" si="127"/>
        <v>-832175.29200830439</v>
      </c>
      <c r="AX106" s="244">
        <f t="shared" si="127"/>
        <v>-219414.66635666729</v>
      </c>
      <c r="AY106" s="42">
        <f t="shared" si="127"/>
        <v>-195167.90443883286</v>
      </c>
      <c r="AZ106" s="43">
        <f t="shared" si="127"/>
        <v>-199818.20226164002</v>
      </c>
      <c r="BA106" s="244">
        <f t="shared" si="127"/>
        <v>-206351.18113535704</v>
      </c>
      <c r="BB106" s="42">
        <f t="shared" si="127"/>
        <v>-219911.17945538909</v>
      </c>
      <c r="BC106" s="43">
        <f t="shared" si="127"/>
        <v>-214561.37224034456</v>
      </c>
      <c r="BD106" s="244">
        <f t="shared" si="127"/>
        <v>-200655.21889753742</v>
      </c>
      <c r="BE106" s="42">
        <f t="shared" si="127"/>
        <v>-224349.66769497789</v>
      </c>
      <c r="BF106" s="43">
        <f t="shared" si="127"/>
        <v>-231096.65375315998</v>
      </c>
      <c r="BG106" s="244">
        <f t="shared" si="127"/>
        <v>-220688.9881592727</v>
      </c>
      <c r="BH106" s="42">
        <f t="shared" si="127"/>
        <v>-224572.73236486714</v>
      </c>
      <c r="BI106" s="43">
        <f t="shared" si="127"/>
        <v>-186699.06375316001</v>
      </c>
      <c r="BK106" s="448">
        <f t="shared" si="87"/>
        <v>-864001.48395406699</v>
      </c>
      <c r="BL106" s="448">
        <f t="shared" si="88"/>
        <v>0</v>
      </c>
      <c r="BM106" s="448">
        <f t="shared" si="89"/>
        <v>-341724.01266550872</v>
      </c>
      <c r="BN106" s="448">
        <f t="shared" ca="1" si="90"/>
        <v>67030.561836475797</v>
      </c>
    </row>
    <row r="107" spans="1:66" x14ac:dyDescent="0.3">
      <c r="A107" s="73" t="s">
        <v>130</v>
      </c>
      <c r="C107" s="24"/>
      <c r="D107" s="55"/>
      <c r="E107" s="87"/>
      <c r="F107" s="41"/>
      <c r="G107" s="47"/>
      <c r="H107" s="252">
        <v>-16825</v>
      </c>
      <c r="I107" s="74">
        <v>-13950</v>
      </c>
      <c r="J107" s="76">
        <f>SUM(J108:J119)+SUMIFS(Aut_Ajustes_Manuais!$G:$G,Aut_Ajustes_Manuais!$I:$I,DRE!H$4,Aut_Ajustes_Manuais!$F:$F,"MDO PJ Fixo")</f>
        <v>-13950</v>
      </c>
      <c r="K107" s="252">
        <v>-16700</v>
      </c>
      <c r="L107" s="74">
        <v>-13950</v>
      </c>
      <c r="M107" s="76">
        <f>SUM(M108:M119)+SUMIFS(Aut_Ajustes_Manuais!$G:$G,Aut_Ajustes_Manuais!$I:$I,DRE!K$4,Aut_Ajustes_Manuais!$F:$F,"MDO PJ Fixo")</f>
        <v>-13950</v>
      </c>
      <c r="N107" s="252">
        <v>-16700</v>
      </c>
      <c r="O107" s="74">
        <v>-13950</v>
      </c>
      <c r="P107" s="76">
        <f>SUM(P108:P119)+SUMIFS(Aut_Ajustes_Manuais!$G:$G,Aut_Ajustes_Manuais!$I:$I,DRE!N$4,Aut_Ajustes_Manuais!$F:$F,"MDO PJ Fixo")</f>
        <v>-14450</v>
      </c>
      <c r="Q107" s="252">
        <v>-16875</v>
      </c>
      <c r="R107" s="74">
        <v>-13950</v>
      </c>
      <c r="S107" s="76">
        <f>SUM(S108:S119)+SUMIFS(Aut_Ajustes_Manuais!$G:$G,Aut_Ajustes_Manuais!$I:$I,DRE!Q$4,Aut_Ajustes_Manuais!$F:$F,"MDO PJ Fixo")</f>
        <v>-14450</v>
      </c>
      <c r="T107" s="252">
        <v>-15950</v>
      </c>
      <c r="U107" s="74">
        <v>-13950</v>
      </c>
      <c r="V107" s="76">
        <f>SUM(V108:V119)+SUMIFS(Aut_Ajustes_Manuais!$G:$G,Aut_Ajustes_Manuais!$I:$I,DRE!T$4,Aut_Ajustes_Manuais!$F:$F,"MDO PJ Fixo")</f>
        <v>-14450</v>
      </c>
      <c r="W107" s="252">
        <v>-14983.33</v>
      </c>
      <c r="X107" s="74">
        <v>-13950</v>
      </c>
      <c r="Y107" s="76">
        <f>SUM(Y108:Y119)+SUMIFS(Aut_Ajustes_Manuais!$G:$G,Aut_Ajustes_Manuais!$I:$I,DRE!W$4,Aut_Ajustes_Manuais!$F:$F,"MDO PJ Fixo")</f>
        <v>-15075</v>
      </c>
      <c r="Z107" s="252">
        <v>-15075</v>
      </c>
      <c r="AA107" s="74">
        <v>-13950</v>
      </c>
      <c r="AB107" s="76">
        <f>SUM(AB108:AB119)+SUMIFS(Aut_Ajustes_Manuais!$G:$G,Aut_Ajustes_Manuais!$I:$I,DRE!Z$4,Aut_Ajustes_Manuais!$F:$F,"MDO PJ Fixo")</f>
        <v>-15075</v>
      </c>
      <c r="AC107" s="252">
        <v>-15075</v>
      </c>
      <c r="AD107" s="74">
        <v>-13950</v>
      </c>
      <c r="AE107" s="76">
        <f>SUM(AE108:AE119)+SUMIFS(Aut_Ajustes_Manuais!$G:$G,Aut_Ajustes_Manuais!$I:$I,DRE!AC$4,Aut_Ajustes_Manuais!$F:$F,"MDO PJ Fixo")</f>
        <v>-15075</v>
      </c>
      <c r="AF107" s="252">
        <v>-15950</v>
      </c>
      <c r="AG107" s="74">
        <v>-13950</v>
      </c>
      <c r="AH107" s="76">
        <f>SUM(AH108:AH119)+SUMIFS(Aut_Ajustes_Manuais!$G:$G,Aut_Ajustes_Manuais!$I:$I,DRE!AF$4,Aut_Ajustes_Manuais!$F:$F,"MDO PJ Fixo")</f>
        <v>-15075</v>
      </c>
      <c r="AI107" s="252">
        <v>-17700</v>
      </c>
      <c r="AJ107" s="74">
        <v>-13950</v>
      </c>
      <c r="AK107" s="76">
        <f>SUM(AK108:AK119)+SUMIFS(Aut_Ajustes_Manuais!$G:$G,Aut_Ajustes_Manuais!$I:$I,DRE!AI$4,Aut_Ajustes_Manuais!$F:$F,"MDO PJ Fixo")</f>
        <v>-15075</v>
      </c>
      <c r="AL107" s="252">
        <v>-15075</v>
      </c>
      <c r="AM107" s="74">
        <v>-13950</v>
      </c>
      <c r="AN107" s="76">
        <f>SUM(AN108:AN119)+SUMIFS(Aut_Ajustes_Manuais!$G:$G,Aut_Ajustes_Manuais!$I:$I,DRE!AL$4,Aut_Ajustes_Manuais!$F:$F,"MDO PJ Fixo")</f>
        <v>-15075</v>
      </c>
      <c r="AO107" s="252">
        <v>-17349.939999999999</v>
      </c>
      <c r="AP107" s="74">
        <v>-13950</v>
      </c>
      <c r="AQ107" s="76">
        <f>SUM(AQ108:AQ119)+SUMIFS(Aut_Ajustes_Manuais!$G:$G,Aut_Ajustes_Manuais!$I:$I,DRE!AO$4,Aut_Ajustes_Manuais!$F:$F,"MDO PJ Fixo")</f>
        <v>-15075</v>
      </c>
      <c r="AR107" s="252">
        <f t="shared" ref="AR107:AR138" ca="1" si="128">SUMIFS($H107:$AO107,$H$5:$AO$5,"&lt;"&amp;MONTH(TODAY()),$H$6:$AO$6,"REAL 25")</f>
        <v>-98033.33</v>
      </c>
      <c r="AS107" s="74">
        <f t="shared" ref="AS107:AS138" ca="1" si="129">SUMIFS($I107:$AP107,$I$5:$AP$5,"&lt;"&amp;MONTH(TODAY()),$I$6:$AP$6,"ORÇADO ")</f>
        <v>-83700</v>
      </c>
      <c r="AT107" s="76">
        <f t="shared" ref="AT107:AT138" ca="1" si="130">SUMIFS($J107:$AQ107,$J$5:$AQ$5,"&lt;"&amp;MONTH(TODAY()),$J$6:$AQ$6,"REAL 26")</f>
        <v>-86325</v>
      </c>
      <c r="AU107" s="252">
        <f t="shared" ref="AU107:BI107" si="131">SUM(AU108:AU119)</f>
        <v>-194258.27000000002</v>
      </c>
      <c r="AV107" s="74">
        <f t="shared" si="131"/>
        <v>-167400</v>
      </c>
      <c r="AW107" s="76">
        <f t="shared" si="131"/>
        <v>-182400</v>
      </c>
      <c r="AX107" s="252">
        <f t="shared" si="131"/>
        <v>-50225</v>
      </c>
      <c r="AY107" s="74">
        <f t="shared" si="131"/>
        <v>-41850</v>
      </c>
      <c r="AZ107" s="76">
        <f t="shared" si="131"/>
        <v>-45725</v>
      </c>
      <c r="BA107" s="252">
        <f t="shared" si="131"/>
        <v>-47808.33</v>
      </c>
      <c r="BB107" s="74">
        <f t="shared" si="131"/>
        <v>-41850</v>
      </c>
      <c r="BC107" s="76">
        <f t="shared" si="131"/>
        <v>-46225</v>
      </c>
      <c r="BD107" s="252">
        <f t="shared" si="131"/>
        <v>-46100</v>
      </c>
      <c r="BE107" s="74">
        <f t="shared" si="131"/>
        <v>-41850</v>
      </c>
      <c r="BF107" s="76">
        <f t="shared" si="131"/>
        <v>-45225</v>
      </c>
      <c r="BG107" s="252">
        <f t="shared" si="131"/>
        <v>-50124.94</v>
      </c>
      <c r="BH107" s="74">
        <f t="shared" si="131"/>
        <v>-41850</v>
      </c>
      <c r="BI107" s="76">
        <f t="shared" si="131"/>
        <v>-45225</v>
      </c>
      <c r="BK107" s="448">
        <f t="shared" si="87"/>
        <v>-167400</v>
      </c>
      <c r="BL107" s="448">
        <f t="shared" si="88"/>
        <v>0</v>
      </c>
      <c r="BM107" s="448">
        <f t="shared" si="89"/>
        <v>-71250</v>
      </c>
      <c r="BN107" s="448">
        <f t="shared" ca="1" si="90"/>
        <v>15075</v>
      </c>
    </row>
    <row r="108" spans="1:66" hidden="1" outlineLevel="1" x14ac:dyDescent="0.3">
      <c r="A108" s="22" t="s">
        <v>131</v>
      </c>
      <c r="C108" s="24"/>
      <c r="D108" s="55"/>
      <c r="E108" s="87"/>
      <c r="F108" s="41"/>
      <c r="G108" s="47"/>
      <c r="H108" s="241">
        <v>-5875</v>
      </c>
      <c r="I108" s="27">
        <v>-1500</v>
      </c>
      <c r="J108" s="27">
        <f>SUMIFS(Aut_BlueMe_Sem_Pedido!$J:$J,Aut_BlueMe_Sem_Pedido!$Q:$Q,DRE!H$4,Aut_BlueMe_Sem_Pedido!$N:$N,DRE!$A108,Aut_BlueMe_Sem_Pedido!$H:$H,"MDO PJ Fixo")+SUMIFS(Aut_Ajustes_Manuais!$G:$G,Aut_Ajustes_Manuais!$I:$I,DRE!H$4,Aut_Ajustes_Manuais!$F:$F,"  - Squad")</f>
        <v>-2625</v>
      </c>
      <c r="K108" s="241">
        <v>-5750</v>
      </c>
      <c r="L108" s="27">
        <v>-1500</v>
      </c>
      <c r="M108" s="27">
        <f>SUMIFS(Aut_BlueMe_Sem_Pedido!$J:$J,Aut_BlueMe_Sem_Pedido!$Q:$Q,DRE!K$4,Aut_BlueMe_Sem_Pedido!$N:$N,DRE!$A108,Aut_BlueMe_Sem_Pedido!$H:$H,"MDO PJ Fixo")+SUMIFS(Aut_Ajustes_Manuais!$G:$G,Aut_Ajustes_Manuais!$I:$I,DRE!K$4,Aut_Ajustes_Manuais!$F:$F,"  - Squad")</f>
        <v>-2625</v>
      </c>
      <c r="N108" s="241">
        <v>-5750</v>
      </c>
      <c r="O108" s="27">
        <v>-1500</v>
      </c>
      <c r="P108" s="27">
        <f>SUMIFS(Aut_BlueMe_Sem_Pedido!$J:$J,Aut_BlueMe_Sem_Pedido!$Q:$Q,DRE!N$4,Aut_BlueMe_Sem_Pedido!$N:$N,DRE!$A108,Aut_BlueMe_Sem_Pedido!$H:$H,"MDO PJ Fixo")+SUMIFS(Aut_Ajustes_Manuais!$G:$G,Aut_Ajustes_Manuais!$I:$I,DRE!N$4,Aut_Ajustes_Manuais!$F:$F,"  - Squad")</f>
        <v>-3125</v>
      </c>
      <c r="Q108" s="241">
        <v>-5750</v>
      </c>
      <c r="R108" s="27">
        <v>-1500</v>
      </c>
      <c r="S108" s="27">
        <f>SUMIFS(Aut_BlueMe_Sem_Pedido!$J:$J,Aut_BlueMe_Sem_Pedido!$Q:$Q,DRE!Q$4,Aut_BlueMe_Sem_Pedido!$N:$N,DRE!$A108,Aut_BlueMe_Sem_Pedido!$H:$H,"MDO PJ Fixo")+SUMIFS(Aut_Ajustes_Manuais!$G:$G,Aut_Ajustes_Manuais!$I:$I,DRE!Q$4,Aut_Ajustes_Manuais!$F:$F,"  - Squad")</f>
        <v>-3125</v>
      </c>
      <c r="T108" s="241">
        <v>-3250</v>
      </c>
      <c r="U108" s="27">
        <v>-1500</v>
      </c>
      <c r="V108" s="28">
        <f>SUMIFS(Aut_BlueMe_Sem_Pedido!$J:$J,Aut_BlueMe_Sem_Pedido!$Q:$Q,DRE!T$4,Aut_BlueMe_Sem_Pedido!$N:$N,DRE!$A108,Aut_BlueMe_Sem_Pedido!$H:$H,"MDO PJ Fixo")+SUMIFS(Aut_Ajustes_Manuais!$G:$G,Aut_Ajustes_Manuais!$I:$I,DRE!T$4,Aut_Ajustes_Manuais!$F:$F,"  - Squad")</f>
        <v>-3125</v>
      </c>
      <c r="W108" s="241">
        <v>-2533.33</v>
      </c>
      <c r="X108" s="27">
        <v>-1500</v>
      </c>
      <c r="Y108" s="28">
        <f>SUMIFS(Aut_BlueMe_Sem_Pedido!$J:$J,Aut_BlueMe_Sem_Pedido!$Q:$Q,DRE!W$4,Aut_BlueMe_Sem_Pedido!$N:$N,DRE!$A108,Aut_BlueMe_Sem_Pedido!$H:$H,"MDO PJ Fixo")+SUMIFS(Aut_Ajustes_Manuais!$G:$G,Aut_Ajustes_Manuais!$I:$I,DRE!W$4,Aut_Ajustes_Manuais!$F:$F,"  - Squad")</f>
        <v>-2625</v>
      </c>
      <c r="Z108" s="241">
        <v>-2625</v>
      </c>
      <c r="AA108" s="27">
        <v>-1500</v>
      </c>
      <c r="AB108" s="28">
        <f>SUMIFS(Aut_BlueMe_Sem_Pedido!$J:$J,Aut_BlueMe_Sem_Pedido!$Q:$Q,DRE!Z$4,Aut_BlueMe_Sem_Pedido!$N:$N,DRE!$A108,Aut_BlueMe_Sem_Pedido!$H:$H,"MDO PJ Fixo")+SUMIFS(Aut_Ajustes_Manuais!$G:$G,Aut_Ajustes_Manuais!$I:$I,DRE!Z$4,Aut_Ajustes_Manuais!$F:$F,"  - Squad")</f>
        <v>-2625</v>
      </c>
      <c r="AC108" s="241">
        <v>-2625</v>
      </c>
      <c r="AD108" s="27">
        <v>-1500</v>
      </c>
      <c r="AE108" s="28">
        <f>SUMIFS(Aut_BlueMe_Sem_Pedido!$J:$J,Aut_BlueMe_Sem_Pedido!$Q:$Q,DRE!AC$4,Aut_BlueMe_Sem_Pedido!$N:$N,DRE!$A108,Aut_BlueMe_Sem_Pedido!$H:$H,"MDO PJ Fixo")+SUMIFS(Aut_Ajustes_Manuais!$G:$G,Aut_Ajustes_Manuais!$I:$I,DRE!AC$4,Aut_Ajustes_Manuais!$F:$F,"  - Squad")</f>
        <v>-2625</v>
      </c>
      <c r="AF108" s="241">
        <v>-2625</v>
      </c>
      <c r="AG108" s="27">
        <v>-1500</v>
      </c>
      <c r="AH108" s="28">
        <f>SUMIFS(Aut_BlueMe_Sem_Pedido!$J:$J,Aut_BlueMe_Sem_Pedido!$Q:$Q,DRE!AF$4,Aut_BlueMe_Sem_Pedido!$N:$N,DRE!$A108,Aut_BlueMe_Sem_Pedido!$H:$H,"MDO PJ Fixo")+SUMIFS(Aut_Ajustes_Manuais!$G:$G,Aut_Ajustes_Manuais!$I:$I,DRE!AF$4,Aut_Ajustes_Manuais!$F:$F,"  - Squad")</f>
        <v>-2625</v>
      </c>
      <c r="AI108" s="241">
        <v>-2625</v>
      </c>
      <c r="AJ108" s="27">
        <v>-1500</v>
      </c>
      <c r="AK108" s="28">
        <f>SUMIFS(Aut_BlueMe_Sem_Pedido!$J:$J,Aut_BlueMe_Sem_Pedido!$Q:$Q,DRE!AI$4,Aut_BlueMe_Sem_Pedido!$N:$N,DRE!$A108,Aut_BlueMe_Sem_Pedido!$H:$H,"MDO PJ Fixo")+SUMIFS(Aut_Ajustes_Manuais!$G:$G,Aut_Ajustes_Manuais!$I:$I,DRE!AI$4,Aut_Ajustes_Manuais!$F:$F,"  - Squad")</f>
        <v>-2625</v>
      </c>
      <c r="AL108" s="241">
        <v>-2625</v>
      </c>
      <c r="AM108" s="27">
        <v>-1500</v>
      </c>
      <c r="AN108" s="28">
        <f>SUMIFS(Aut_BlueMe_Sem_Pedido!$J:$J,Aut_BlueMe_Sem_Pedido!$Q:$Q,DRE!AL$4,Aut_BlueMe_Sem_Pedido!$N:$N,DRE!$A108,Aut_BlueMe_Sem_Pedido!$H:$H,"MDO PJ Fixo")+SUMIFS(Aut_Ajustes_Manuais!$G:$G,Aut_Ajustes_Manuais!$I:$I,DRE!AL$4,Aut_Ajustes_Manuais!$F:$F,"  - Squad")</f>
        <v>-2625</v>
      </c>
      <c r="AO108" s="241">
        <v>-2625</v>
      </c>
      <c r="AP108" s="27">
        <v>-1500</v>
      </c>
      <c r="AQ108" s="28">
        <f>SUMIFS(Aut_BlueMe_Sem_Pedido!$J:$J,Aut_BlueMe_Sem_Pedido!$Q:$Q,DRE!AO$4,Aut_BlueMe_Sem_Pedido!$N:$N,DRE!$A108,Aut_BlueMe_Sem_Pedido!$H:$H,"MDO PJ Fixo")+SUMIFS(Aut_Ajustes_Manuais!$G:$G,Aut_Ajustes_Manuais!$I:$I,DRE!AO$4,Aut_Ajustes_Manuais!$F:$F,"  - Squad")</f>
        <v>-2625</v>
      </c>
      <c r="AR108" s="241">
        <f t="shared" ca="1" si="128"/>
        <v>-28908.33</v>
      </c>
      <c r="AS108" s="27">
        <f t="shared" ca="1" si="129"/>
        <v>-9000</v>
      </c>
      <c r="AT108" s="28">
        <f t="shared" ca="1" si="130"/>
        <v>-17250</v>
      </c>
      <c r="AU108" s="241">
        <f t="shared" ref="AU108:AU120" si="132">SUM(H108,K108,N108,Q108,T108,W108,Z108,AC108,AF108,AI108,AL108,AO108)</f>
        <v>-44658.33</v>
      </c>
      <c r="AV108" s="27">
        <f t="shared" ref="AV108:AV120" si="133">SUM(I108,L108,O108,R108,U108,X108,AA108,AD108,AG108,AJ108,AM108,AP108)</f>
        <v>-18000</v>
      </c>
      <c r="AW108" s="28">
        <f t="shared" ref="AW108:AW120" si="134">SUM(J108,M108,P108,S108,V108,Y108,AB108,AE108,AH108,AK108,AN108,AQ108)</f>
        <v>-33000</v>
      </c>
      <c r="AX108" s="241">
        <f t="shared" ref="AX108:AX120" si="135">SUM(H108,K108,N108)</f>
        <v>-17375</v>
      </c>
      <c r="AY108" s="27">
        <f t="shared" ref="AY108:AY120" si="136">SUM(I108,L108,O108)</f>
        <v>-4500</v>
      </c>
      <c r="AZ108" s="28">
        <f t="shared" ref="AZ108:AZ120" si="137">SUM(J108,M108,P108)</f>
        <v>-8375</v>
      </c>
      <c r="BA108" s="241">
        <f t="shared" ref="BA108:BA120" si="138">SUM(Q108,T108,W108)</f>
        <v>-11533.33</v>
      </c>
      <c r="BB108" s="27">
        <f t="shared" ref="BB108:BB120" si="139">SUM(R108,U108,X108)</f>
        <v>-4500</v>
      </c>
      <c r="BC108" s="28">
        <f t="shared" ref="BC108:BC120" si="140">SUM(S108,V108,Y108)</f>
        <v>-8875</v>
      </c>
      <c r="BD108" s="241">
        <f t="shared" ref="BD108:BD120" si="141">SUM(Z108,AC108,AF108)</f>
        <v>-7875</v>
      </c>
      <c r="BE108" s="27">
        <f t="shared" ref="BE108:BE120" si="142">SUM(AA108,AD108,AG108)</f>
        <v>-4500</v>
      </c>
      <c r="BF108" s="28">
        <f t="shared" ref="BF108:BF120" si="143">SUM(AB108,AE108,AH108)</f>
        <v>-7875</v>
      </c>
      <c r="BG108" s="241">
        <f t="shared" ref="BG108:BG120" si="144">SUM(AI108,AL108,AO108)</f>
        <v>-7875</v>
      </c>
      <c r="BH108" s="27">
        <f t="shared" ref="BH108:BH120" si="145">SUM(AJ108,AM108,AP108)</f>
        <v>-4500</v>
      </c>
      <c r="BI108" s="28">
        <f t="shared" ref="BI108:BI120" si="146">SUM(AK108,AN108,AQ108)</f>
        <v>-7875</v>
      </c>
      <c r="BK108" s="448">
        <f t="shared" si="87"/>
        <v>-18000</v>
      </c>
      <c r="BL108" s="448">
        <f t="shared" si="88"/>
        <v>0</v>
      </c>
      <c r="BM108" s="448">
        <f t="shared" si="89"/>
        <v>-14625</v>
      </c>
      <c r="BN108" s="448">
        <f t="shared" ca="1" si="90"/>
        <v>2625</v>
      </c>
    </row>
    <row r="109" spans="1:66" s="94" customFormat="1" hidden="1" outlineLevel="1" x14ac:dyDescent="0.3">
      <c r="A109" s="22" t="s">
        <v>132</v>
      </c>
      <c r="B109" s="2"/>
      <c r="C109" s="24"/>
      <c r="D109" s="55"/>
      <c r="E109" s="87"/>
      <c r="F109" s="41"/>
      <c r="G109" s="33"/>
      <c r="H109" s="241">
        <v>-8000</v>
      </c>
      <c r="I109" s="27">
        <v>-8000</v>
      </c>
      <c r="J109" s="28">
        <f>SUMIFS(Aut_BlueMe_Sem_Pedido!$J:$J,Aut_BlueMe_Sem_Pedido!$Q:$Q,DRE!H$4,Aut_BlueMe_Sem_Pedido!$N:$N,DRE!$A109,Aut_BlueMe_Sem_Pedido!$H:$H,"MDO PJ Fixo")+SUMIFS(Aut_Ajustes_Manuais!$G:$G,Aut_Ajustes_Manuais!$I:$I,DRE!H$4,Aut_Ajustes_Manuais!$F:$F,"  - Gerente")</f>
        <v>-8000</v>
      </c>
      <c r="K109" s="241">
        <v>-8000</v>
      </c>
      <c r="L109" s="27">
        <v>-8000</v>
      </c>
      <c r="M109" s="28">
        <f>SUMIFS(Aut_BlueMe_Sem_Pedido!$J:$J,Aut_BlueMe_Sem_Pedido!$Q:$Q,DRE!K$4,Aut_BlueMe_Sem_Pedido!$N:$N,DRE!$A109,Aut_BlueMe_Sem_Pedido!$H:$H,"MDO PJ Fixo")+SUMIFS(Aut_Ajustes_Manuais!$G:$G,Aut_Ajustes_Manuais!$I:$I,DRE!K$4,Aut_Ajustes_Manuais!$F:$F,"  - Gerente")</f>
        <v>-8000</v>
      </c>
      <c r="N109" s="241">
        <v>-8000</v>
      </c>
      <c r="O109" s="27">
        <v>-8000</v>
      </c>
      <c r="P109" s="28">
        <f>SUMIFS(Aut_BlueMe_Sem_Pedido!$J:$J,Aut_BlueMe_Sem_Pedido!$Q:$Q,DRE!N$4,Aut_BlueMe_Sem_Pedido!$N:$N,DRE!$A109,Aut_BlueMe_Sem_Pedido!$H:$H,"MDO PJ Fixo")+SUMIFS(Aut_Ajustes_Manuais!$G:$G,Aut_Ajustes_Manuais!$I:$I,DRE!N$4,Aut_Ajustes_Manuais!$F:$F,"  - Gerente")</f>
        <v>-8000</v>
      </c>
      <c r="Q109" s="241">
        <v>-8000</v>
      </c>
      <c r="R109" s="27">
        <v>-8000</v>
      </c>
      <c r="S109" s="28">
        <f>SUMIFS(Aut_BlueMe_Sem_Pedido!$J:$J,Aut_BlueMe_Sem_Pedido!$Q:$Q,DRE!Q$4,Aut_BlueMe_Sem_Pedido!$N:$N,DRE!$A109,Aut_BlueMe_Sem_Pedido!$H:$H,"MDO PJ Fixo")+SUMIFS(Aut_Ajustes_Manuais!$G:$G,Aut_Ajustes_Manuais!$I:$I,DRE!Q$4,Aut_Ajustes_Manuais!$F:$F,"  - Gerente")</f>
        <v>-8000</v>
      </c>
      <c r="T109" s="241">
        <v>-8000</v>
      </c>
      <c r="U109" s="27">
        <v>-8000</v>
      </c>
      <c r="V109" s="28">
        <f>SUMIFS(Aut_BlueMe_Sem_Pedido!$J:$J,Aut_BlueMe_Sem_Pedido!$Q:$Q,DRE!T$4,Aut_BlueMe_Sem_Pedido!$N:$N,DRE!$A109,Aut_BlueMe_Sem_Pedido!$H:$H,"MDO PJ Fixo")+SUMIFS(Aut_Ajustes_Manuais!$G:$G,Aut_Ajustes_Manuais!$I:$I,DRE!T$4,Aut_Ajustes_Manuais!$F:$F,"  - Gerente")</f>
        <v>-8000</v>
      </c>
      <c r="W109" s="241">
        <v>-8000</v>
      </c>
      <c r="X109" s="27">
        <v>-8000</v>
      </c>
      <c r="Y109" s="28">
        <f>SUMIFS(Aut_BlueMe_Sem_Pedido!$J:$J,Aut_BlueMe_Sem_Pedido!$Q:$Q,DRE!W$4,Aut_BlueMe_Sem_Pedido!$N:$N,DRE!$A109,Aut_BlueMe_Sem_Pedido!$H:$H,"MDO PJ Fixo")+SUMIFS(Aut_Ajustes_Manuais!$G:$G,Aut_Ajustes_Manuais!$I:$I,DRE!W$4,Aut_Ajustes_Manuais!$F:$F,"  - Gerente")</f>
        <v>-8000</v>
      </c>
      <c r="Z109" s="241">
        <v>-8000</v>
      </c>
      <c r="AA109" s="27">
        <v>-8000</v>
      </c>
      <c r="AB109" s="28">
        <f>SUMIFS(Aut_BlueMe_Sem_Pedido!$J:$J,Aut_BlueMe_Sem_Pedido!$Q:$Q,DRE!Z$4,Aut_BlueMe_Sem_Pedido!$N:$N,DRE!$A109,Aut_BlueMe_Sem_Pedido!$H:$H,"MDO PJ Fixo")+SUMIFS(Aut_Ajustes_Manuais!$G:$G,Aut_Ajustes_Manuais!$I:$I,DRE!Z$4,Aut_Ajustes_Manuais!$F:$F,"  - Gerente")</f>
        <v>-8000</v>
      </c>
      <c r="AC109" s="241">
        <v>-8000</v>
      </c>
      <c r="AD109" s="27">
        <v>-8000</v>
      </c>
      <c r="AE109" s="28">
        <f>SUMIFS(Aut_BlueMe_Sem_Pedido!$J:$J,Aut_BlueMe_Sem_Pedido!$Q:$Q,DRE!AC$4,Aut_BlueMe_Sem_Pedido!$N:$N,DRE!$A109,Aut_BlueMe_Sem_Pedido!$H:$H,"MDO PJ Fixo")+SUMIFS(Aut_Ajustes_Manuais!$G:$G,Aut_Ajustes_Manuais!$I:$I,DRE!AC$4,Aut_Ajustes_Manuais!$F:$F,"  - Gerente")</f>
        <v>-8000</v>
      </c>
      <c r="AF109" s="241">
        <v>-8000</v>
      </c>
      <c r="AG109" s="27">
        <v>-8000</v>
      </c>
      <c r="AH109" s="28">
        <f>SUMIFS(Aut_BlueMe_Sem_Pedido!$J:$J,Aut_BlueMe_Sem_Pedido!$Q:$Q,DRE!AF$4,Aut_BlueMe_Sem_Pedido!$N:$N,DRE!$A109,Aut_BlueMe_Sem_Pedido!$H:$H,"MDO PJ Fixo")+SUMIFS(Aut_Ajustes_Manuais!$G:$G,Aut_Ajustes_Manuais!$I:$I,DRE!AF$4,Aut_Ajustes_Manuais!$F:$F,"  - Gerente")</f>
        <v>-8000</v>
      </c>
      <c r="AI109" s="241">
        <v>-8000</v>
      </c>
      <c r="AJ109" s="27">
        <v>-8000</v>
      </c>
      <c r="AK109" s="28">
        <f>SUMIFS(Aut_BlueMe_Sem_Pedido!$J:$J,Aut_BlueMe_Sem_Pedido!$Q:$Q,DRE!AI$4,Aut_BlueMe_Sem_Pedido!$N:$N,DRE!$A109,Aut_BlueMe_Sem_Pedido!$H:$H,"MDO PJ Fixo")+SUMIFS(Aut_Ajustes_Manuais!$G:$G,Aut_Ajustes_Manuais!$I:$I,DRE!AI$4,Aut_Ajustes_Manuais!$F:$F,"  - Gerente")</f>
        <v>-8000</v>
      </c>
      <c r="AL109" s="241">
        <v>-8000</v>
      </c>
      <c r="AM109" s="27">
        <v>-8000</v>
      </c>
      <c r="AN109" s="28">
        <f>SUMIFS(Aut_BlueMe_Sem_Pedido!$J:$J,Aut_BlueMe_Sem_Pedido!$Q:$Q,DRE!AL$4,Aut_BlueMe_Sem_Pedido!$N:$N,DRE!$A109,Aut_BlueMe_Sem_Pedido!$H:$H,"MDO PJ Fixo")+SUMIFS(Aut_Ajustes_Manuais!$G:$G,Aut_Ajustes_Manuais!$I:$I,DRE!AL$4,Aut_Ajustes_Manuais!$F:$F,"  - Gerente")</f>
        <v>-8000</v>
      </c>
      <c r="AO109" s="241">
        <v>-8000</v>
      </c>
      <c r="AP109" s="27">
        <v>-8000</v>
      </c>
      <c r="AQ109" s="28">
        <f>SUMIFS(Aut_BlueMe_Sem_Pedido!$J:$J,Aut_BlueMe_Sem_Pedido!$Q:$Q,DRE!AO$4,Aut_BlueMe_Sem_Pedido!$N:$N,DRE!$A109,Aut_BlueMe_Sem_Pedido!$H:$H,"MDO PJ Fixo")+SUMIFS(Aut_Ajustes_Manuais!$G:$G,Aut_Ajustes_Manuais!$I:$I,DRE!AO$4,Aut_Ajustes_Manuais!$F:$F,"  - Gerente")</f>
        <v>-8000</v>
      </c>
      <c r="AR109" s="241">
        <f t="shared" ca="1" si="128"/>
        <v>-48000</v>
      </c>
      <c r="AS109" s="27">
        <f t="shared" ca="1" si="129"/>
        <v>-48000</v>
      </c>
      <c r="AT109" s="28">
        <f t="shared" ca="1" si="130"/>
        <v>-48000</v>
      </c>
      <c r="AU109" s="241">
        <f t="shared" si="132"/>
        <v>-96000</v>
      </c>
      <c r="AV109" s="27">
        <f t="shared" si="133"/>
        <v>-96000</v>
      </c>
      <c r="AW109" s="28">
        <f t="shared" si="134"/>
        <v>-96000</v>
      </c>
      <c r="AX109" s="241">
        <f t="shared" si="135"/>
        <v>-24000</v>
      </c>
      <c r="AY109" s="27">
        <f t="shared" si="136"/>
        <v>-24000</v>
      </c>
      <c r="AZ109" s="28">
        <f t="shared" si="137"/>
        <v>-24000</v>
      </c>
      <c r="BA109" s="241">
        <f t="shared" si="138"/>
        <v>-24000</v>
      </c>
      <c r="BB109" s="27">
        <f t="shared" si="139"/>
        <v>-24000</v>
      </c>
      <c r="BC109" s="28">
        <f t="shared" si="140"/>
        <v>-24000</v>
      </c>
      <c r="BD109" s="241">
        <f t="shared" si="141"/>
        <v>-24000</v>
      </c>
      <c r="BE109" s="27">
        <f t="shared" si="142"/>
        <v>-24000</v>
      </c>
      <c r="BF109" s="28">
        <f t="shared" si="143"/>
        <v>-24000</v>
      </c>
      <c r="BG109" s="241">
        <f t="shared" si="144"/>
        <v>-24000</v>
      </c>
      <c r="BH109" s="27">
        <f t="shared" si="145"/>
        <v>-24000</v>
      </c>
      <c r="BI109" s="28">
        <f t="shared" si="146"/>
        <v>-24000</v>
      </c>
      <c r="BK109" s="448">
        <f t="shared" si="87"/>
        <v>-96000</v>
      </c>
      <c r="BL109" s="448">
        <f t="shared" si="88"/>
        <v>0</v>
      </c>
      <c r="BM109" s="448">
        <f t="shared" si="89"/>
        <v>-40000</v>
      </c>
      <c r="BN109" s="448">
        <f t="shared" ca="1" si="90"/>
        <v>8000</v>
      </c>
    </row>
    <row r="110" spans="1:66" s="94" customFormat="1" hidden="1" outlineLevel="1" x14ac:dyDescent="0.3">
      <c r="A110" s="22" t="s">
        <v>133</v>
      </c>
      <c r="B110" s="2"/>
      <c r="C110" s="24"/>
      <c r="D110" s="55"/>
      <c r="E110" s="87"/>
      <c r="F110" s="41"/>
      <c r="G110" s="33"/>
      <c r="H110" s="241">
        <v>0</v>
      </c>
      <c r="I110" s="27">
        <v>0</v>
      </c>
      <c r="J110" s="28">
        <f>SUMIFS(Aut_BlueMe_Sem_Pedido!$J:$J,Aut_BlueMe_Sem_Pedido!$Q:$Q,DRE!H$4,Aut_BlueMe_Sem_Pedido!$N:$N,DRE!$A110,Aut_BlueMe_Sem_Pedido!$H:$H,"MDO PJ Fixo")+SUMIFS(Aut_Ajustes_Manuais!$G:$G,Aut_Ajustes_Manuais!$I:$I,DRE!H$4,Aut_Ajustes_Manuais!$F:$F,"  - Subgerente")</f>
        <v>0</v>
      </c>
      <c r="K110" s="241">
        <v>0</v>
      </c>
      <c r="L110" s="27">
        <v>0</v>
      </c>
      <c r="M110" s="28">
        <f>SUMIFS(Aut_BlueMe_Sem_Pedido!$J:$J,Aut_BlueMe_Sem_Pedido!$Q:$Q,DRE!K$4,Aut_BlueMe_Sem_Pedido!$N:$N,DRE!$A110,Aut_BlueMe_Sem_Pedido!$H:$H,"MDO PJ Fixo")+SUMIFS(Aut_Ajustes_Manuais!$G:$G,Aut_Ajustes_Manuais!$I:$I,DRE!K$4,Aut_Ajustes_Manuais!$F:$F,"  - Subgerente")</f>
        <v>0</v>
      </c>
      <c r="N110" s="241">
        <v>0</v>
      </c>
      <c r="O110" s="27">
        <v>0</v>
      </c>
      <c r="P110" s="28">
        <f>SUMIFS(Aut_BlueMe_Sem_Pedido!$J:$J,Aut_BlueMe_Sem_Pedido!$Q:$Q,DRE!N$4,Aut_BlueMe_Sem_Pedido!$N:$N,DRE!$A110,Aut_BlueMe_Sem_Pedido!$H:$H,"MDO PJ Fixo")+SUMIFS(Aut_Ajustes_Manuais!$G:$G,Aut_Ajustes_Manuais!$I:$I,DRE!N$4,Aut_Ajustes_Manuais!$F:$F,"  - Subgerente")</f>
        <v>0</v>
      </c>
      <c r="Q110" s="241">
        <v>0</v>
      </c>
      <c r="R110" s="27">
        <v>0</v>
      </c>
      <c r="S110" s="28">
        <f>SUMIFS(Aut_BlueMe_Sem_Pedido!$J:$J,Aut_BlueMe_Sem_Pedido!$Q:$Q,DRE!Q$4,Aut_BlueMe_Sem_Pedido!$N:$N,DRE!$A110,Aut_BlueMe_Sem_Pedido!$H:$H,"MDO PJ Fixo")+SUMIFS(Aut_Ajustes_Manuais!$G:$G,Aut_Ajustes_Manuais!$I:$I,DRE!Q$4,Aut_Ajustes_Manuais!$F:$F,"  - Subgerente")</f>
        <v>0</v>
      </c>
      <c r="T110" s="241">
        <v>0</v>
      </c>
      <c r="U110" s="27">
        <v>0</v>
      </c>
      <c r="V110" s="28">
        <f>SUMIFS(Aut_BlueMe_Sem_Pedido!$J:$J,Aut_BlueMe_Sem_Pedido!$Q:$Q,DRE!T$4,Aut_BlueMe_Sem_Pedido!$N:$N,DRE!$A110,Aut_BlueMe_Sem_Pedido!$H:$H,"MDO PJ Fixo")+SUMIFS(Aut_Ajustes_Manuais!$G:$G,Aut_Ajustes_Manuais!$I:$I,DRE!T$4,Aut_Ajustes_Manuais!$F:$F,"  - Subgerente")</f>
        <v>0</v>
      </c>
      <c r="W110" s="241">
        <v>0</v>
      </c>
      <c r="X110" s="27">
        <v>0</v>
      </c>
      <c r="Y110" s="28">
        <f>SUMIFS(Aut_BlueMe_Sem_Pedido!$J:$J,Aut_BlueMe_Sem_Pedido!$Q:$Q,DRE!W$4,Aut_BlueMe_Sem_Pedido!$N:$N,DRE!$A110,Aut_BlueMe_Sem_Pedido!$H:$H,"MDO PJ Fixo")+SUMIFS(Aut_Ajustes_Manuais!$G:$G,Aut_Ajustes_Manuais!$I:$I,DRE!W$4,Aut_Ajustes_Manuais!$F:$F,"  - Subgerente")</f>
        <v>0</v>
      </c>
      <c r="Z110" s="241">
        <v>0</v>
      </c>
      <c r="AA110" s="27">
        <v>0</v>
      </c>
      <c r="AB110" s="28">
        <f>SUMIFS(Aut_BlueMe_Sem_Pedido!$J:$J,Aut_BlueMe_Sem_Pedido!$Q:$Q,DRE!Z$4,Aut_BlueMe_Sem_Pedido!$N:$N,DRE!$A110,Aut_BlueMe_Sem_Pedido!$H:$H,"MDO PJ Fixo")+SUMIFS(Aut_Ajustes_Manuais!$G:$G,Aut_Ajustes_Manuais!$I:$I,DRE!Z$4,Aut_Ajustes_Manuais!$F:$F,"  - Subgerente")</f>
        <v>0</v>
      </c>
      <c r="AC110" s="241">
        <v>0</v>
      </c>
      <c r="AD110" s="27">
        <v>0</v>
      </c>
      <c r="AE110" s="28">
        <f>SUMIFS(Aut_BlueMe_Sem_Pedido!$J:$J,Aut_BlueMe_Sem_Pedido!$Q:$Q,DRE!AC$4,Aut_BlueMe_Sem_Pedido!$N:$N,DRE!$A110,Aut_BlueMe_Sem_Pedido!$H:$H,"MDO PJ Fixo")+SUMIFS(Aut_Ajustes_Manuais!$G:$G,Aut_Ajustes_Manuais!$I:$I,DRE!AC$4,Aut_Ajustes_Manuais!$F:$F,"  - Subgerente")</f>
        <v>0</v>
      </c>
      <c r="AF110" s="241">
        <v>0</v>
      </c>
      <c r="AG110" s="27">
        <v>0</v>
      </c>
      <c r="AH110" s="28">
        <f>SUMIFS(Aut_BlueMe_Sem_Pedido!$J:$J,Aut_BlueMe_Sem_Pedido!$Q:$Q,DRE!AF$4,Aut_BlueMe_Sem_Pedido!$N:$N,DRE!$A110,Aut_BlueMe_Sem_Pedido!$H:$H,"MDO PJ Fixo")+SUMIFS(Aut_Ajustes_Manuais!$G:$G,Aut_Ajustes_Manuais!$I:$I,DRE!AF$4,Aut_Ajustes_Manuais!$F:$F,"  - Subgerente")</f>
        <v>0</v>
      </c>
      <c r="AI110" s="241">
        <v>0</v>
      </c>
      <c r="AJ110" s="27">
        <v>0</v>
      </c>
      <c r="AK110" s="28">
        <f>SUMIFS(Aut_BlueMe_Sem_Pedido!$J:$J,Aut_BlueMe_Sem_Pedido!$Q:$Q,DRE!AI$4,Aut_BlueMe_Sem_Pedido!$N:$N,DRE!$A110,Aut_BlueMe_Sem_Pedido!$H:$H,"MDO PJ Fixo")+SUMIFS(Aut_Ajustes_Manuais!$G:$G,Aut_Ajustes_Manuais!$I:$I,DRE!AI$4,Aut_Ajustes_Manuais!$F:$F,"  - Subgerente")</f>
        <v>0</v>
      </c>
      <c r="AL110" s="241">
        <v>0</v>
      </c>
      <c r="AM110" s="27">
        <v>0</v>
      </c>
      <c r="AN110" s="28">
        <f>SUMIFS(Aut_BlueMe_Sem_Pedido!$J:$J,Aut_BlueMe_Sem_Pedido!$Q:$Q,DRE!AL$4,Aut_BlueMe_Sem_Pedido!$N:$N,DRE!$A110,Aut_BlueMe_Sem_Pedido!$H:$H,"MDO PJ Fixo")+SUMIFS(Aut_Ajustes_Manuais!$G:$G,Aut_Ajustes_Manuais!$I:$I,DRE!AL$4,Aut_Ajustes_Manuais!$F:$F,"  - Subgerente")</f>
        <v>0</v>
      </c>
      <c r="AO110" s="241">
        <v>0</v>
      </c>
      <c r="AP110" s="27">
        <v>0</v>
      </c>
      <c r="AQ110" s="28">
        <f>SUMIFS(Aut_BlueMe_Sem_Pedido!$J:$J,Aut_BlueMe_Sem_Pedido!$Q:$Q,DRE!AO$4,Aut_BlueMe_Sem_Pedido!$N:$N,DRE!$A110,Aut_BlueMe_Sem_Pedido!$H:$H,"MDO PJ Fixo")+SUMIFS(Aut_Ajustes_Manuais!$G:$G,Aut_Ajustes_Manuais!$I:$I,DRE!AO$4,Aut_Ajustes_Manuais!$F:$F,"  - Subgerente")</f>
        <v>0</v>
      </c>
      <c r="AR110" s="241">
        <f t="shared" ca="1" si="128"/>
        <v>0</v>
      </c>
      <c r="AS110" s="27">
        <f t="shared" ca="1" si="129"/>
        <v>0</v>
      </c>
      <c r="AT110" s="28">
        <f t="shared" ca="1" si="130"/>
        <v>0</v>
      </c>
      <c r="AU110" s="241">
        <f t="shared" si="132"/>
        <v>0</v>
      </c>
      <c r="AV110" s="27">
        <f t="shared" si="133"/>
        <v>0</v>
      </c>
      <c r="AW110" s="28">
        <f t="shared" si="134"/>
        <v>0</v>
      </c>
      <c r="AX110" s="241">
        <f t="shared" si="135"/>
        <v>0</v>
      </c>
      <c r="AY110" s="27">
        <f t="shared" si="136"/>
        <v>0</v>
      </c>
      <c r="AZ110" s="28">
        <f t="shared" si="137"/>
        <v>0</v>
      </c>
      <c r="BA110" s="241">
        <f t="shared" si="138"/>
        <v>0</v>
      </c>
      <c r="BB110" s="27">
        <f t="shared" si="139"/>
        <v>0</v>
      </c>
      <c r="BC110" s="28">
        <f t="shared" si="140"/>
        <v>0</v>
      </c>
      <c r="BD110" s="241">
        <f t="shared" si="141"/>
        <v>0</v>
      </c>
      <c r="BE110" s="27">
        <f t="shared" si="142"/>
        <v>0</v>
      </c>
      <c r="BF110" s="28">
        <f t="shared" si="143"/>
        <v>0</v>
      </c>
      <c r="BG110" s="241">
        <f t="shared" si="144"/>
        <v>0</v>
      </c>
      <c r="BH110" s="27">
        <f t="shared" si="145"/>
        <v>0</v>
      </c>
      <c r="BI110" s="28">
        <f t="shared" si="146"/>
        <v>0</v>
      </c>
      <c r="BK110" s="448">
        <f t="shared" si="87"/>
        <v>0</v>
      </c>
      <c r="BL110" s="448">
        <f t="shared" si="88"/>
        <v>0</v>
      </c>
      <c r="BM110" s="448">
        <f t="shared" si="89"/>
        <v>0</v>
      </c>
      <c r="BN110" s="448">
        <f t="shared" ca="1" si="90"/>
        <v>0</v>
      </c>
    </row>
    <row r="111" spans="1:66" s="94" customFormat="1" hidden="1" outlineLevel="1" x14ac:dyDescent="0.3">
      <c r="A111" s="22" t="s">
        <v>134</v>
      </c>
      <c r="B111" s="2"/>
      <c r="C111" s="24"/>
      <c r="D111" s="55"/>
      <c r="E111" s="87"/>
      <c r="F111" s="41"/>
      <c r="G111" s="33"/>
      <c r="H111" s="241">
        <v>-2700</v>
      </c>
      <c r="I111" s="27">
        <v>-2700</v>
      </c>
      <c r="J111" s="28">
        <f>SUMIFS(Aut_BlueMe_Sem_Pedido!$J:$J,Aut_BlueMe_Sem_Pedido!$Q:$Q,DRE!H$4,Aut_BlueMe_Sem_Pedido!$N:$N,DRE!$A111,Aut_BlueMe_Sem_Pedido!$H:$H,"MDO PJ Fixo")+SUMIFS(Aut_Ajustes_Manuais!$G:$G,Aut_Ajustes_Manuais!$I:$I,DRE!H$4,Aut_Ajustes_Manuais!$F:$F,"  - Coordenador")</f>
        <v>-2700</v>
      </c>
      <c r="K111" s="241">
        <v>-2700</v>
      </c>
      <c r="L111" s="27">
        <v>-2700</v>
      </c>
      <c r="M111" s="28">
        <f>SUMIFS(Aut_BlueMe_Sem_Pedido!$J:$J,Aut_BlueMe_Sem_Pedido!$Q:$Q,DRE!K$4,Aut_BlueMe_Sem_Pedido!$N:$N,DRE!$A111,Aut_BlueMe_Sem_Pedido!$H:$H,"MDO PJ Fixo")+SUMIFS(Aut_Ajustes_Manuais!$G:$G,Aut_Ajustes_Manuais!$I:$I,DRE!K$4,Aut_Ajustes_Manuais!$F:$F,"  - Coordenador")</f>
        <v>-2700</v>
      </c>
      <c r="N111" s="241">
        <v>-2700</v>
      </c>
      <c r="O111" s="27">
        <v>-2700</v>
      </c>
      <c r="P111" s="28">
        <f>SUMIFS(Aut_BlueMe_Sem_Pedido!$J:$J,Aut_BlueMe_Sem_Pedido!$Q:$Q,DRE!N$4,Aut_BlueMe_Sem_Pedido!$N:$N,DRE!$A111,Aut_BlueMe_Sem_Pedido!$H:$H,"MDO PJ Fixo")+SUMIFS(Aut_Ajustes_Manuais!$G:$G,Aut_Ajustes_Manuais!$I:$I,DRE!N$4,Aut_Ajustes_Manuais!$F:$F,"  - Coordenador")</f>
        <v>-2700</v>
      </c>
      <c r="Q111" s="241">
        <v>-2700</v>
      </c>
      <c r="R111" s="27">
        <v>-2700</v>
      </c>
      <c r="S111" s="28">
        <f>SUMIFS(Aut_BlueMe_Sem_Pedido!$J:$J,Aut_BlueMe_Sem_Pedido!$Q:$Q,DRE!Q$4,Aut_BlueMe_Sem_Pedido!$N:$N,DRE!$A111,Aut_BlueMe_Sem_Pedido!$H:$H,"MDO PJ Fixo")+SUMIFS(Aut_Ajustes_Manuais!$G:$G,Aut_Ajustes_Manuais!$I:$I,DRE!Q$4,Aut_Ajustes_Manuais!$F:$F,"  - Coordenador")</f>
        <v>-2700</v>
      </c>
      <c r="T111" s="241">
        <v>-2700</v>
      </c>
      <c r="U111" s="27">
        <v>-2700</v>
      </c>
      <c r="V111" s="28">
        <f>SUMIFS(Aut_BlueMe_Sem_Pedido!$J:$J,Aut_BlueMe_Sem_Pedido!$Q:$Q,DRE!T$4,Aut_BlueMe_Sem_Pedido!$N:$N,DRE!$A111,Aut_BlueMe_Sem_Pedido!$H:$H,"MDO PJ Fixo")+SUMIFS(Aut_Ajustes_Manuais!$G:$G,Aut_Ajustes_Manuais!$I:$I,DRE!T$4,Aut_Ajustes_Manuais!$F:$F,"  - Coordenador")</f>
        <v>-2700</v>
      </c>
      <c r="W111" s="241">
        <v>-2700</v>
      </c>
      <c r="X111" s="27">
        <v>-2700</v>
      </c>
      <c r="Y111" s="28">
        <f>SUMIFS(Aut_BlueMe_Sem_Pedido!$J:$J,Aut_BlueMe_Sem_Pedido!$Q:$Q,DRE!W$4,Aut_BlueMe_Sem_Pedido!$N:$N,DRE!$A111,Aut_BlueMe_Sem_Pedido!$H:$H,"MDO PJ Fixo")+SUMIFS(Aut_Ajustes_Manuais!$G:$G,Aut_Ajustes_Manuais!$I:$I,DRE!W$4,Aut_Ajustes_Manuais!$F:$F,"  - Coordenador")</f>
        <v>-2700</v>
      </c>
      <c r="Z111" s="241">
        <v>-2700</v>
      </c>
      <c r="AA111" s="27">
        <v>-2700</v>
      </c>
      <c r="AB111" s="28">
        <f>SUMIFS(Aut_BlueMe_Sem_Pedido!$J:$J,Aut_BlueMe_Sem_Pedido!$Q:$Q,DRE!Z$4,Aut_BlueMe_Sem_Pedido!$N:$N,DRE!$A111,Aut_BlueMe_Sem_Pedido!$H:$H,"MDO PJ Fixo")+SUMIFS(Aut_Ajustes_Manuais!$G:$G,Aut_Ajustes_Manuais!$I:$I,DRE!Z$4,Aut_Ajustes_Manuais!$F:$F,"  - Coordenador")</f>
        <v>-2700</v>
      </c>
      <c r="AC111" s="241">
        <v>-2700</v>
      </c>
      <c r="AD111" s="27">
        <v>-2700</v>
      </c>
      <c r="AE111" s="28">
        <f>SUMIFS(Aut_BlueMe_Sem_Pedido!$J:$J,Aut_BlueMe_Sem_Pedido!$Q:$Q,DRE!AC$4,Aut_BlueMe_Sem_Pedido!$N:$N,DRE!$A111,Aut_BlueMe_Sem_Pedido!$H:$H,"MDO PJ Fixo")+SUMIFS(Aut_Ajustes_Manuais!$G:$G,Aut_Ajustes_Manuais!$I:$I,DRE!AC$4,Aut_Ajustes_Manuais!$F:$F,"  - Coordenador")</f>
        <v>-2700</v>
      </c>
      <c r="AF111" s="241">
        <v>-2700</v>
      </c>
      <c r="AG111" s="27">
        <v>-2700</v>
      </c>
      <c r="AH111" s="28">
        <f>SUMIFS(Aut_BlueMe_Sem_Pedido!$J:$J,Aut_BlueMe_Sem_Pedido!$Q:$Q,DRE!AF$4,Aut_BlueMe_Sem_Pedido!$N:$N,DRE!$A111,Aut_BlueMe_Sem_Pedido!$H:$H,"MDO PJ Fixo")+SUMIFS(Aut_Ajustes_Manuais!$G:$G,Aut_Ajustes_Manuais!$I:$I,DRE!AF$4,Aut_Ajustes_Manuais!$F:$F,"  - Coordenador")</f>
        <v>-2700</v>
      </c>
      <c r="AI111" s="241">
        <v>-2700</v>
      </c>
      <c r="AJ111" s="27">
        <v>-2700</v>
      </c>
      <c r="AK111" s="28">
        <f>SUMIFS(Aut_BlueMe_Sem_Pedido!$J:$J,Aut_BlueMe_Sem_Pedido!$Q:$Q,DRE!AI$4,Aut_BlueMe_Sem_Pedido!$N:$N,DRE!$A111,Aut_BlueMe_Sem_Pedido!$H:$H,"MDO PJ Fixo")+SUMIFS(Aut_Ajustes_Manuais!$G:$G,Aut_Ajustes_Manuais!$I:$I,DRE!AI$4,Aut_Ajustes_Manuais!$F:$F,"  - Coordenador")</f>
        <v>-2700</v>
      </c>
      <c r="AL111" s="241">
        <v>-2700</v>
      </c>
      <c r="AM111" s="27">
        <v>-2700</v>
      </c>
      <c r="AN111" s="28">
        <f>SUMIFS(Aut_BlueMe_Sem_Pedido!$J:$J,Aut_BlueMe_Sem_Pedido!$Q:$Q,DRE!AL$4,Aut_BlueMe_Sem_Pedido!$N:$N,DRE!$A111,Aut_BlueMe_Sem_Pedido!$H:$H,"MDO PJ Fixo")+SUMIFS(Aut_Ajustes_Manuais!$G:$G,Aut_Ajustes_Manuais!$I:$I,DRE!AL$4,Aut_Ajustes_Manuais!$F:$F,"  - Coordenador")</f>
        <v>-2700</v>
      </c>
      <c r="AO111" s="241">
        <v>-2700</v>
      </c>
      <c r="AP111" s="27">
        <v>-2700</v>
      </c>
      <c r="AQ111" s="28">
        <f>SUMIFS(Aut_BlueMe_Sem_Pedido!$J:$J,Aut_BlueMe_Sem_Pedido!$Q:$Q,DRE!AO$4,Aut_BlueMe_Sem_Pedido!$N:$N,DRE!$A111,Aut_BlueMe_Sem_Pedido!$H:$H,"MDO PJ Fixo")+SUMIFS(Aut_Ajustes_Manuais!$G:$G,Aut_Ajustes_Manuais!$I:$I,DRE!AO$4,Aut_Ajustes_Manuais!$F:$F,"  - Coordenador")</f>
        <v>-2700</v>
      </c>
      <c r="AR111" s="241">
        <f t="shared" ca="1" si="128"/>
        <v>-16200</v>
      </c>
      <c r="AS111" s="27">
        <f t="shared" ca="1" si="129"/>
        <v>-16200</v>
      </c>
      <c r="AT111" s="28">
        <f t="shared" ca="1" si="130"/>
        <v>-16200</v>
      </c>
      <c r="AU111" s="241">
        <f t="shared" si="132"/>
        <v>-32400</v>
      </c>
      <c r="AV111" s="27">
        <f t="shared" si="133"/>
        <v>-32400</v>
      </c>
      <c r="AW111" s="28">
        <f t="shared" si="134"/>
        <v>-32400</v>
      </c>
      <c r="AX111" s="241">
        <f t="shared" si="135"/>
        <v>-8100</v>
      </c>
      <c r="AY111" s="27">
        <f t="shared" si="136"/>
        <v>-8100</v>
      </c>
      <c r="AZ111" s="28">
        <f t="shared" si="137"/>
        <v>-8100</v>
      </c>
      <c r="BA111" s="241">
        <f t="shared" si="138"/>
        <v>-8100</v>
      </c>
      <c r="BB111" s="27">
        <f t="shared" si="139"/>
        <v>-8100</v>
      </c>
      <c r="BC111" s="28">
        <f t="shared" si="140"/>
        <v>-8100</v>
      </c>
      <c r="BD111" s="241">
        <f t="shared" si="141"/>
        <v>-8100</v>
      </c>
      <c r="BE111" s="27">
        <f t="shared" si="142"/>
        <v>-8100</v>
      </c>
      <c r="BF111" s="28">
        <f t="shared" si="143"/>
        <v>-8100</v>
      </c>
      <c r="BG111" s="241">
        <f t="shared" si="144"/>
        <v>-8100</v>
      </c>
      <c r="BH111" s="27">
        <f t="shared" si="145"/>
        <v>-8100</v>
      </c>
      <c r="BI111" s="28">
        <f t="shared" si="146"/>
        <v>-8100</v>
      </c>
      <c r="BK111" s="448">
        <f t="shared" si="87"/>
        <v>-32400</v>
      </c>
      <c r="BL111" s="448">
        <f t="shared" si="88"/>
        <v>0</v>
      </c>
      <c r="BM111" s="448">
        <f t="shared" si="89"/>
        <v>-13500</v>
      </c>
      <c r="BN111" s="448">
        <f t="shared" ca="1" si="90"/>
        <v>2700</v>
      </c>
    </row>
    <row r="112" spans="1:66" s="94" customFormat="1" hidden="1" outlineLevel="1" x14ac:dyDescent="0.3">
      <c r="A112" s="22" t="s">
        <v>135</v>
      </c>
      <c r="B112" s="2"/>
      <c r="C112" s="24"/>
      <c r="D112" s="55"/>
      <c r="E112" s="87"/>
      <c r="F112" s="41"/>
      <c r="G112" s="33"/>
      <c r="H112" s="241">
        <v>-250</v>
      </c>
      <c r="I112" s="27">
        <v>-1750</v>
      </c>
      <c r="J112" s="28">
        <f>SUMIFS(Aut_BlueMe_Sem_Pedido!$J:$J,Aut_BlueMe_Sem_Pedido!$Q:$Q,DRE!H$4,Aut_BlueMe_Sem_Pedido!$N:$N,DRE!$A112,Aut_BlueMe_Sem_Pedido!$H:$H,"MDO PJ Fixo")+SUMIFS(Aut_Ajustes_Manuais!$G:$G,Aut_Ajustes_Manuais!$I:$I,DRE!H$4,Aut_Ajustes_Manuais!$F:$F,"  - Administrativa")</f>
        <v>-1750</v>
      </c>
      <c r="K112" s="241">
        <v>-250</v>
      </c>
      <c r="L112" s="27">
        <v>-1750</v>
      </c>
      <c r="M112" s="28">
        <f>SUMIFS(Aut_BlueMe_Sem_Pedido!$J:$J,Aut_BlueMe_Sem_Pedido!$Q:$Q,DRE!K$4,Aut_BlueMe_Sem_Pedido!$N:$N,DRE!$A112,Aut_BlueMe_Sem_Pedido!$H:$H,"MDO PJ Fixo")+SUMIFS(Aut_Ajustes_Manuais!$G:$G,Aut_Ajustes_Manuais!$I:$I,DRE!K$4,Aut_Ajustes_Manuais!$F:$F,"  - Administrativa")</f>
        <v>-1750</v>
      </c>
      <c r="N112" s="241">
        <v>-250</v>
      </c>
      <c r="O112" s="27">
        <v>-1750</v>
      </c>
      <c r="P112" s="28">
        <f>SUMIFS(Aut_BlueMe_Sem_Pedido!$J:$J,Aut_BlueMe_Sem_Pedido!$Q:$Q,DRE!N$4,Aut_BlueMe_Sem_Pedido!$N:$N,DRE!$A112,Aut_BlueMe_Sem_Pedido!$H:$H,"MDO PJ Fixo")+SUMIFS(Aut_Ajustes_Manuais!$G:$G,Aut_Ajustes_Manuais!$I:$I,DRE!N$4,Aut_Ajustes_Manuais!$F:$F,"  - Administrativa")</f>
        <v>-1750</v>
      </c>
      <c r="Q112" s="241">
        <v>-425</v>
      </c>
      <c r="R112" s="27">
        <v>-1750</v>
      </c>
      <c r="S112" s="28">
        <f>SUMIFS(Aut_BlueMe_Sem_Pedido!$J:$J,Aut_BlueMe_Sem_Pedido!$Q:$Q,DRE!Q$4,Aut_BlueMe_Sem_Pedido!$N:$N,DRE!$A112,Aut_BlueMe_Sem_Pedido!$H:$H,"MDO PJ Fixo")+SUMIFS(Aut_Ajustes_Manuais!$G:$G,Aut_Ajustes_Manuais!$I:$I,DRE!Q$4,Aut_Ajustes_Manuais!$F:$F,"  - Administrativa")</f>
        <v>-1750</v>
      </c>
      <c r="T112" s="241">
        <v>-2000</v>
      </c>
      <c r="U112" s="27">
        <v>-1750</v>
      </c>
      <c r="V112" s="28">
        <f>SUMIFS(Aut_BlueMe_Sem_Pedido!$J:$J,Aut_BlueMe_Sem_Pedido!$Q:$Q,DRE!T$4,Aut_BlueMe_Sem_Pedido!$N:$N,DRE!$A112,Aut_BlueMe_Sem_Pedido!$H:$H,"MDO PJ Fixo")+SUMIFS(Aut_Ajustes_Manuais!$G:$G,Aut_Ajustes_Manuais!$I:$I,DRE!T$4,Aut_Ajustes_Manuais!$F:$F,"  - Administrativa")</f>
        <v>-1750</v>
      </c>
      <c r="W112" s="241">
        <v>-1750</v>
      </c>
      <c r="X112" s="27">
        <v>-1750</v>
      </c>
      <c r="Y112" s="28">
        <f>SUMIFS(Aut_BlueMe_Sem_Pedido!$J:$J,Aut_BlueMe_Sem_Pedido!$Q:$Q,DRE!W$4,Aut_BlueMe_Sem_Pedido!$N:$N,DRE!$A112,Aut_BlueMe_Sem_Pedido!$H:$H,"MDO PJ Fixo")+SUMIFS(Aut_Ajustes_Manuais!$G:$G,Aut_Ajustes_Manuais!$I:$I,DRE!W$4,Aut_Ajustes_Manuais!$F:$F,"  - Administrativa")</f>
        <v>-1750</v>
      </c>
      <c r="Z112" s="241">
        <v>-1750</v>
      </c>
      <c r="AA112" s="27">
        <v>-1750</v>
      </c>
      <c r="AB112" s="28">
        <f>SUMIFS(Aut_BlueMe_Sem_Pedido!$J:$J,Aut_BlueMe_Sem_Pedido!$Q:$Q,DRE!Z$4,Aut_BlueMe_Sem_Pedido!$N:$N,DRE!$A112,Aut_BlueMe_Sem_Pedido!$H:$H,"MDO PJ Fixo")+SUMIFS(Aut_Ajustes_Manuais!$G:$G,Aut_Ajustes_Manuais!$I:$I,DRE!Z$4,Aut_Ajustes_Manuais!$F:$F,"  - Administrativa")</f>
        <v>-1750</v>
      </c>
      <c r="AC112" s="241">
        <v>-1750</v>
      </c>
      <c r="AD112" s="27">
        <v>-1750</v>
      </c>
      <c r="AE112" s="28">
        <f>SUMIFS(Aut_BlueMe_Sem_Pedido!$J:$J,Aut_BlueMe_Sem_Pedido!$Q:$Q,DRE!AC$4,Aut_BlueMe_Sem_Pedido!$N:$N,DRE!$A112,Aut_BlueMe_Sem_Pedido!$H:$H,"MDO PJ Fixo")+SUMIFS(Aut_Ajustes_Manuais!$G:$G,Aut_Ajustes_Manuais!$I:$I,DRE!AC$4,Aut_Ajustes_Manuais!$F:$F,"  - Administrativa")</f>
        <v>-1750</v>
      </c>
      <c r="AF112" s="241">
        <v>-2625</v>
      </c>
      <c r="AG112" s="27">
        <v>-1750</v>
      </c>
      <c r="AH112" s="28">
        <f>SUMIFS(Aut_BlueMe_Sem_Pedido!$J:$J,Aut_BlueMe_Sem_Pedido!$Q:$Q,DRE!AF$4,Aut_BlueMe_Sem_Pedido!$N:$N,DRE!$A112,Aut_BlueMe_Sem_Pedido!$H:$H,"MDO PJ Fixo")+SUMIFS(Aut_Ajustes_Manuais!$G:$G,Aut_Ajustes_Manuais!$I:$I,DRE!AF$4,Aut_Ajustes_Manuais!$F:$F,"  - Administrativa")</f>
        <v>-1750</v>
      </c>
      <c r="AI112" s="241">
        <v>-4375</v>
      </c>
      <c r="AJ112" s="27">
        <v>-1750</v>
      </c>
      <c r="AK112" s="28">
        <f>SUMIFS(Aut_BlueMe_Sem_Pedido!$J:$J,Aut_BlueMe_Sem_Pedido!$Q:$Q,DRE!AI$4,Aut_BlueMe_Sem_Pedido!$N:$N,DRE!$A112,Aut_BlueMe_Sem_Pedido!$H:$H,"MDO PJ Fixo")+SUMIFS(Aut_Ajustes_Manuais!$G:$G,Aut_Ajustes_Manuais!$I:$I,DRE!AI$4,Aut_Ajustes_Manuais!$F:$F,"  - Administrativa")</f>
        <v>-1750</v>
      </c>
      <c r="AL112" s="241">
        <v>-1750</v>
      </c>
      <c r="AM112" s="27">
        <v>-1750</v>
      </c>
      <c r="AN112" s="28">
        <f>SUMIFS(Aut_BlueMe_Sem_Pedido!$J:$J,Aut_BlueMe_Sem_Pedido!$Q:$Q,DRE!AL$4,Aut_BlueMe_Sem_Pedido!$N:$N,DRE!$A112,Aut_BlueMe_Sem_Pedido!$H:$H,"MDO PJ Fixo")+SUMIFS(Aut_Ajustes_Manuais!$G:$G,Aut_Ajustes_Manuais!$I:$I,DRE!AL$4,Aut_Ajustes_Manuais!$F:$F,"  - Administrativa")</f>
        <v>-1750</v>
      </c>
      <c r="AO112" s="241">
        <v>-4024.94</v>
      </c>
      <c r="AP112" s="27">
        <v>-1750</v>
      </c>
      <c r="AQ112" s="28">
        <f>SUMIFS(Aut_BlueMe_Sem_Pedido!$J:$J,Aut_BlueMe_Sem_Pedido!$Q:$Q,DRE!AO$4,Aut_BlueMe_Sem_Pedido!$N:$N,DRE!$A112,Aut_BlueMe_Sem_Pedido!$H:$H,"MDO PJ Fixo")+SUMIFS(Aut_Ajustes_Manuais!$G:$G,Aut_Ajustes_Manuais!$I:$I,DRE!AO$4,Aut_Ajustes_Manuais!$F:$F,"  - Administrativa")</f>
        <v>-1750</v>
      </c>
      <c r="AR112" s="241">
        <f t="shared" ca="1" si="128"/>
        <v>-4925</v>
      </c>
      <c r="AS112" s="27">
        <f t="shared" ca="1" si="129"/>
        <v>-10500</v>
      </c>
      <c r="AT112" s="28">
        <f t="shared" ca="1" si="130"/>
        <v>-10500</v>
      </c>
      <c r="AU112" s="241">
        <f t="shared" si="132"/>
        <v>-21199.94</v>
      </c>
      <c r="AV112" s="27">
        <f t="shared" si="133"/>
        <v>-21000</v>
      </c>
      <c r="AW112" s="28">
        <f t="shared" si="134"/>
        <v>-21000</v>
      </c>
      <c r="AX112" s="241">
        <f t="shared" si="135"/>
        <v>-750</v>
      </c>
      <c r="AY112" s="27">
        <f t="shared" si="136"/>
        <v>-5250</v>
      </c>
      <c r="AZ112" s="28">
        <f t="shared" si="137"/>
        <v>-5250</v>
      </c>
      <c r="BA112" s="241">
        <f t="shared" si="138"/>
        <v>-4175</v>
      </c>
      <c r="BB112" s="27">
        <f t="shared" si="139"/>
        <v>-5250</v>
      </c>
      <c r="BC112" s="28">
        <f t="shared" si="140"/>
        <v>-5250</v>
      </c>
      <c r="BD112" s="241">
        <f t="shared" si="141"/>
        <v>-6125</v>
      </c>
      <c r="BE112" s="27">
        <f t="shared" si="142"/>
        <v>-5250</v>
      </c>
      <c r="BF112" s="28">
        <f t="shared" si="143"/>
        <v>-5250</v>
      </c>
      <c r="BG112" s="241">
        <f t="shared" si="144"/>
        <v>-10149.94</v>
      </c>
      <c r="BH112" s="27">
        <f t="shared" si="145"/>
        <v>-5250</v>
      </c>
      <c r="BI112" s="28">
        <f t="shared" si="146"/>
        <v>-5250</v>
      </c>
      <c r="BK112" s="448">
        <f t="shared" si="87"/>
        <v>-21000</v>
      </c>
      <c r="BL112" s="448">
        <f t="shared" si="88"/>
        <v>0</v>
      </c>
      <c r="BM112" s="448">
        <f t="shared" si="89"/>
        <v>-8750</v>
      </c>
      <c r="BN112" s="448">
        <f t="shared" ca="1" si="90"/>
        <v>1750</v>
      </c>
    </row>
    <row r="113" spans="1:66" s="94" customFormat="1" hidden="1" outlineLevel="1" x14ac:dyDescent="0.3">
      <c r="A113" s="22" t="s">
        <v>136</v>
      </c>
      <c r="B113" s="2"/>
      <c r="C113" s="24"/>
      <c r="D113" s="55"/>
      <c r="E113" s="87"/>
      <c r="F113" s="41"/>
      <c r="G113" s="33"/>
      <c r="H113" s="241">
        <v>0</v>
      </c>
      <c r="I113" s="27">
        <v>0</v>
      </c>
      <c r="J113" s="28">
        <f>SUMIFS(Aut_BlueMe_Sem_Pedido!$J:$J,Aut_BlueMe_Sem_Pedido!$Q:$Q,DRE!H$4,Aut_BlueMe_Sem_Pedido!$N:$N,DRE!$A113,Aut_BlueMe_Sem_Pedido!$H:$H,"MDO PJ Fixo")+SUMIFS(Aut_Ajustes_Manuais!$G:$G,Aut_Ajustes_Manuais!$I:$I,DRE!H$4,Aut_Ajustes_Manuais!$F:$F,"  - Chefe de Cozinha")</f>
        <v>0</v>
      </c>
      <c r="K113" s="241">
        <v>0</v>
      </c>
      <c r="L113" s="27">
        <v>0</v>
      </c>
      <c r="M113" s="28">
        <f>SUMIFS(Aut_BlueMe_Sem_Pedido!$J:$J,Aut_BlueMe_Sem_Pedido!$Q:$Q,DRE!K$4,Aut_BlueMe_Sem_Pedido!$N:$N,DRE!$A113,Aut_BlueMe_Sem_Pedido!$H:$H,"MDO PJ Fixo")+SUMIFS(Aut_Ajustes_Manuais!$G:$G,Aut_Ajustes_Manuais!$I:$I,DRE!K$4,Aut_Ajustes_Manuais!$F:$F,"  - Chefe de Cozinha")</f>
        <v>0</v>
      </c>
      <c r="N113" s="241">
        <v>0</v>
      </c>
      <c r="O113" s="27">
        <v>0</v>
      </c>
      <c r="P113" s="28">
        <f>SUMIFS(Aut_BlueMe_Sem_Pedido!$J:$J,Aut_BlueMe_Sem_Pedido!$Q:$Q,DRE!N$4,Aut_BlueMe_Sem_Pedido!$N:$N,DRE!$A113,Aut_BlueMe_Sem_Pedido!$H:$H,"MDO PJ Fixo")+SUMIFS(Aut_Ajustes_Manuais!$G:$G,Aut_Ajustes_Manuais!$I:$I,DRE!N$4,Aut_Ajustes_Manuais!$F:$F,"  - Chefe de Cozinha")</f>
        <v>0</v>
      </c>
      <c r="Q113" s="241">
        <v>0</v>
      </c>
      <c r="R113" s="27">
        <v>0</v>
      </c>
      <c r="S113" s="28">
        <f>SUMIFS(Aut_BlueMe_Sem_Pedido!$J:$J,Aut_BlueMe_Sem_Pedido!$Q:$Q,DRE!Q$4,Aut_BlueMe_Sem_Pedido!$N:$N,DRE!$A113,Aut_BlueMe_Sem_Pedido!$H:$H,"MDO PJ Fixo")+SUMIFS(Aut_Ajustes_Manuais!$G:$G,Aut_Ajustes_Manuais!$I:$I,DRE!Q$4,Aut_Ajustes_Manuais!$F:$F,"  - Chefe de Cozinha")</f>
        <v>0</v>
      </c>
      <c r="T113" s="241">
        <v>0</v>
      </c>
      <c r="U113" s="27">
        <v>0</v>
      </c>
      <c r="V113" s="28">
        <f>SUMIFS(Aut_BlueMe_Sem_Pedido!$J:$J,Aut_BlueMe_Sem_Pedido!$Q:$Q,DRE!T$4,Aut_BlueMe_Sem_Pedido!$N:$N,DRE!$A113,Aut_BlueMe_Sem_Pedido!$H:$H,"MDO PJ Fixo")+SUMIFS(Aut_Ajustes_Manuais!$G:$G,Aut_Ajustes_Manuais!$I:$I,DRE!T$4,Aut_Ajustes_Manuais!$F:$F,"  - Chefe de Cozinha")</f>
        <v>0</v>
      </c>
      <c r="W113" s="241">
        <v>0</v>
      </c>
      <c r="X113" s="27">
        <v>0</v>
      </c>
      <c r="Y113" s="28">
        <f>SUMIFS(Aut_BlueMe_Sem_Pedido!$J:$J,Aut_BlueMe_Sem_Pedido!$Q:$Q,DRE!W$4,Aut_BlueMe_Sem_Pedido!$N:$N,DRE!$A113,Aut_BlueMe_Sem_Pedido!$H:$H,"MDO PJ Fixo")+SUMIFS(Aut_Ajustes_Manuais!$G:$G,Aut_Ajustes_Manuais!$I:$I,DRE!W$4,Aut_Ajustes_Manuais!$F:$F,"  - Chefe de Cozinha")</f>
        <v>0</v>
      </c>
      <c r="Z113" s="241">
        <v>0</v>
      </c>
      <c r="AA113" s="27">
        <v>0</v>
      </c>
      <c r="AB113" s="28">
        <f>SUMIFS(Aut_BlueMe_Sem_Pedido!$J:$J,Aut_BlueMe_Sem_Pedido!$Q:$Q,DRE!Z$4,Aut_BlueMe_Sem_Pedido!$N:$N,DRE!$A113,Aut_BlueMe_Sem_Pedido!$H:$H,"MDO PJ Fixo")+SUMIFS(Aut_Ajustes_Manuais!$G:$G,Aut_Ajustes_Manuais!$I:$I,DRE!Z$4,Aut_Ajustes_Manuais!$F:$F,"  - Chefe de Cozinha")</f>
        <v>0</v>
      </c>
      <c r="AC113" s="241">
        <v>0</v>
      </c>
      <c r="AD113" s="27">
        <v>0</v>
      </c>
      <c r="AE113" s="28">
        <f>SUMIFS(Aut_BlueMe_Sem_Pedido!$J:$J,Aut_BlueMe_Sem_Pedido!$Q:$Q,DRE!AC$4,Aut_BlueMe_Sem_Pedido!$N:$N,DRE!$A113,Aut_BlueMe_Sem_Pedido!$H:$H,"MDO PJ Fixo")+SUMIFS(Aut_Ajustes_Manuais!$G:$G,Aut_Ajustes_Manuais!$I:$I,DRE!AC$4,Aut_Ajustes_Manuais!$F:$F,"  - Chefe de Cozinha")</f>
        <v>0</v>
      </c>
      <c r="AF113" s="241">
        <v>0</v>
      </c>
      <c r="AG113" s="27">
        <v>0</v>
      </c>
      <c r="AH113" s="28">
        <f>SUMIFS(Aut_BlueMe_Sem_Pedido!$J:$J,Aut_BlueMe_Sem_Pedido!$Q:$Q,DRE!AF$4,Aut_BlueMe_Sem_Pedido!$N:$N,DRE!$A113,Aut_BlueMe_Sem_Pedido!$H:$H,"MDO PJ Fixo")+SUMIFS(Aut_Ajustes_Manuais!$G:$G,Aut_Ajustes_Manuais!$I:$I,DRE!AF$4,Aut_Ajustes_Manuais!$F:$F,"  - Chefe de Cozinha")</f>
        <v>0</v>
      </c>
      <c r="AI113" s="241">
        <v>0</v>
      </c>
      <c r="AJ113" s="27">
        <v>0</v>
      </c>
      <c r="AK113" s="28">
        <f>SUMIFS(Aut_BlueMe_Sem_Pedido!$J:$J,Aut_BlueMe_Sem_Pedido!$Q:$Q,DRE!AI$4,Aut_BlueMe_Sem_Pedido!$N:$N,DRE!$A113,Aut_BlueMe_Sem_Pedido!$H:$H,"MDO PJ Fixo")+SUMIFS(Aut_Ajustes_Manuais!$G:$G,Aut_Ajustes_Manuais!$I:$I,DRE!AI$4,Aut_Ajustes_Manuais!$F:$F,"  - Chefe de Cozinha")</f>
        <v>0</v>
      </c>
      <c r="AL113" s="241">
        <v>0</v>
      </c>
      <c r="AM113" s="27">
        <v>0</v>
      </c>
      <c r="AN113" s="28">
        <f>SUMIFS(Aut_BlueMe_Sem_Pedido!$J:$J,Aut_BlueMe_Sem_Pedido!$Q:$Q,DRE!AL$4,Aut_BlueMe_Sem_Pedido!$N:$N,DRE!$A113,Aut_BlueMe_Sem_Pedido!$H:$H,"MDO PJ Fixo")+SUMIFS(Aut_Ajustes_Manuais!$G:$G,Aut_Ajustes_Manuais!$I:$I,DRE!AL$4,Aut_Ajustes_Manuais!$F:$F,"  - Chefe de Cozinha")</f>
        <v>0</v>
      </c>
      <c r="AO113" s="241">
        <v>0</v>
      </c>
      <c r="AP113" s="27">
        <v>0</v>
      </c>
      <c r="AQ113" s="28">
        <f>SUMIFS(Aut_BlueMe_Sem_Pedido!$J:$J,Aut_BlueMe_Sem_Pedido!$Q:$Q,DRE!AO$4,Aut_BlueMe_Sem_Pedido!$N:$N,DRE!$A113,Aut_BlueMe_Sem_Pedido!$H:$H,"MDO PJ Fixo")+SUMIFS(Aut_Ajustes_Manuais!$G:$G,Aut_Ajustes_Manuais!$I:$I,DRE!AO$4,Aut_Ajustes_Manuais!$F:$F,"  - Chefe de Cozinha")</f>
        <v>0</v>
      </c>
      <c r="AR113" s="241">
        <f t="shared" ca="1" si="128"/>
        <v>0</v>
      </c>
      <c r="AS113" s="27">
        <f t="shared" ca="1" si="129"/>
        <v>0</v>
      </c>
      <c r="AT113" s="28">
        <f t="shared" ca="1" si="130"/>
        <v>0</v>
      </c>
      <c r="AU113" s="241">
        <f t="shared" si="132"/>
        <v>0</v>
      </c>
      <c r="AV113" s="27">
        <f t="shared" si="133"/>
        <v>0</v>
      </c>
      <c r="AW113" s="28">
        <f t="shared" si="134"/>
        <v>0</v>
      </c>
      <c r="AX113" s="241">
        <f t="shared" si="135"/>
        <v>0</v>
      </c>
      <c r="AY113" s="27">
        <f t="shared" si="136"/>
        <v>0</v>
      </c>
      <c r="AZ113" s="28">
        <f t="shared" si="137"/>
        <v>0</v>
      </c>
      <c r="BA113" s="241">
        <f t="shared" si="138"/>
        <v>0</v>
      </c>
      <c r="BB113" s="27">
        <f t="shared" si="139"/>
        <v>0</v>
      </c>
      <c r="BC113" s="28">
        <f t="shared" si="140"/>
        <v>0</v>
      </c>
      <c r="BD113" s="241">
        <f t="shared" si="141"/>
        <v>0</v>
      </c>
      <c r="BE113" s="27">
        <f t="shared" si="142"/>
        <v>0</v>
      </c>
      <c r="BF113" s="28">
        <f t="shared" si="143"/>
        <v>0</v>
      </c>
      <c r="BG113" s="241">
        <f t="shared" si="144"/>
        <v>0</v>
      </c>
      <c r="BH113" s="27">
        <f t="shared" si="145"/>
        <v>0</v>
      </c>
      <c r="BI113" s="28">
        <f t="shared" si="146"/>
        <v>0</v>
      </c>
      <c r="BK113" s="448">
        <f t="shared" si="87"/>
        <v>0</v>
      </c>
      <c r="BL113" s="448">
        <f t="shared" si="88"/>
        <v>0</v>
      </c>
      <c r="BM113" s="448">
        <f t="shared" si="89"/>
        <v>0</v>
      </c>
      <c r="BN113" s="448">
        <f t="shared" ca="1" si="90"/>
        <v>0</v>
      </c>
    </row>
    <row r="114" spans="1:66" s="94" customFormat="1" hidden="1" outlineLevel="1" x14ac:dyDescent="0.3">
      <c r="A114" s="22" t="s">
        <v>137</v>
      </c>
      <c r="B114" s="2"/>
      <c r="C114" s="24"/>
      <c r="D114" s="55"/>
      <c r="E114" s="87"/>
      <c r="F114" s="41"/>
      <c r="G114" s="33"/>
      <c r="H114" s="241">
        <v>0</v>
      </c>
      <c r="I114" s="27">
        <v>0</v>
      </c>
      <c r="J114" s="28">
        <f>SUMIFS(Aut_BlueMe_Sem_Pedido!$J:$J,Aut_BlueMe_Sem_Pedido!$Q:$Q,DRE!H$4,Aut_BlueMe_Sem_Pedido!$N:$N,DRE!$A114,Aut_BlueMe_Sem_Pedido!$H:$H,"MDO PJ Fixo")+SUMIFS(Aut_Ajustes_Manuais!$G:$G,Aut_Ajustes_Manuais!$I:$I,DRE!H$4,Aut_Ajustes_Manuais!$F:$F,"  - Chefe de Bar")</f>
        <v>0</v>
      </c>
      <c r="K114" s="241">
        <v>0</v>
      </c>
      <c r="L114" s="27">
        <v>0</v>
      </c>
      <c r="M114" s="28">
        <f>SUMIFS(Aut_BlueMe_Sem_Pedido!$J:$J,Aut_BlueMe_Sem_Pedido!$Q:$Q,DRE!K$4,Aut_BlueMe_Sem_Pedido!$N:$N,DRE!$A114,Aut_BlueMe_Sem_Pedido!$H:$H,"MDO PJ Fixo")+SUMIFS(Aut_Ajustes_Manuais!$G:$G,Aut_Ajustes_Manuais!$I:$I,DRE!K$4,Aut_Ajustes_Manuais!$F:$F,"  - Chefe de Bar")</f>
        <v>0</v>
      </c>
      <c r="N114" s="241">
        <v>0</v>
      </c>
      <c r="O114" s="27">
        <v>0</v>
      </c>
      <c r="P114" s="28">
        <f>SUMIFS(Aut_BlueMe_Sem_Pedido!$J:$J,Aut_BlueMe_Sem_Pedido!$Q:$Q,DRE!N$4,Aut_BlueMe_Sem_Pedido!$N:$N,DRE!$A114,Aut_BlueMe_Sem_Pedido!$H:$H,"MDO PJ Fixo")+SUMIFS(Aut_Ajustes_Manuais!$G:$G,Aut_Ajustes_Manuais!$I:$I,DRE!N$4,Aut_Ajustes_Manuais!$F:$F,"  - Chefe de Bar")</f>
        <v>0</v>
      </c>
      <c r="Q114" s="241">
        <v>0</v>
      </c>
      <c r="R114" s="27">
        <v>0</v>
      </c>
      <c r="S114" s="28">
        <f>SUMIFS(Aut_BlueMe_Sem_Pedido!$J:$J,Aut_BlueMe_Sem_Pedido!$Q:$Q,DRE!Q$4,Aut_BlueMe_Sem_Pedido!$N:$N,DRE!$A114,Aut_BlueMe_Sem_Pedido!$H:$H,"MDO PJ Fixo")+SUMIFS(Aut_Ajustes_Manuais!$G:$G,Aut_Ajustes_Manuais!$I:$I,DRE!Q$4,Aut_Ajustes_Manuais!$F:$F,"  - Chefe de Bar")</f>
        <v>0</v>
      </c>
      <c r="T114" s="241">
        <v>0</v>
      </c>
      <c r="U114" s="27">
        <v>0</v>
      </c>
      <c r="V114" s="28">
        <f>SUMIFS(Aut_BlueMe_Sem_Pedido!$J:$J,Aut_BlueMe_Sem_Pedido!$Q:$Q,DRE!T$4,Aut_BlueMe_Sem_Pedido!$N:$N,DRE!$A114,Aut_BlueMe_Sem_Pedido!$H:$H,"MDO PJ Fixo")+SUMIFS(Aut_Ajustes_Manuais!$G:$G,Aut_Ajustes_Manuais!$I:$I,DRE!T$4,Aut_Ajustes_Manuais!$F:$F,"  - Chefe de Bar")</f>
        <v>0</v>
      </c>
      <c r="W114" s="241">
        <v>0</v>
      </c>
      <c r="X114" s="27">
        <v>0</v>
      </c>
      <c r="Y114" s="28">
        <f>SUMIFS(Aut_BlueMe_Sem_Pedido!$J:$J,Aut_BlueMe_Sem_Pedido!$Q:$Q,DRE!W$4,Aut_BlueMe_Sem_Pedido!$N:$N,DRE!$A114,Aut_BlueMe_Sem_Pedido!$H:$H,"MDO PJ Fixo")+SUMIFS(Aut_Ajustes_Manuais!$G:$G,Aut_Ajustes_Manuais!$I:$I,DRE!W$4,Aut_Ajustes_Manuais!$F:$F,"  - Chefe de Bar")</f>
        <v>0</v>
      </c>
      <c r="Z114" s="241">
        <v>0</v>
      </c>
      <c r="AA114" s="27">
        <v>0</v>
      </c>
      <c r="AB114" s="28">
        <f>SUMIFS(Aut_BlueMe_Sem_Pedido!$J:$J,Aut_BlueMe_Sem_Pedido!$Q:$Q,DRE!Z$4,Aut_BlueMe_Sem_Pedido!$N:$N,DRE!$A114,Aut_BlueMe_Sem_Pedido!$H:$H,"MDO PJ Fixo")+SUMIFS(Aut_Ajustes_Manuais!$G:$G,Aut_Ajustes_Manuais!$I:$I,DRE!Z$4,Aut_Ajustes_Manuais!$F:$F,"  - Chefe de Bar")</f>
        <v>0</v>
      </c>
      <c r="AC114" s="241">
        <v>0</v>
      </c>
      <c r="AD114" s="27">
        <v>0</v>
      </c>
      <c r="AE114" s="28">
        <f>SUMIFS(Aut_BlueMe_Sem_Pedido!$J:$J,Aut_BlueMe_Sem_Pedido!$Q:$Q,DRE!AC$4,Aut_BlueMe_Sem_Pedido!$N:$N,DRE!$A114,Aut_BlueMe_Sem_Pedido!$H:$H,"MDO PJ Fixo")+SUMIFS(Aut_Ajustes_Manuais!$G:$G,Aut_Ajustes_Manuais!$I:$I,DRE!AC$4,Aut_Ajustes_Manuais!$F:$F,"  - Chefe de Bar")</f>
        <v>0</v>
      </c>
      <c r="AF114" s="241">
        <v>0</v>
      </c>
      <c r="AG114" s="27">
        <v>0</v>
      </c>
      <c r="AH114" s="28">
        <f>SUMIFS(Aut_BlueMe_Sem_Pedido!$J:$J,Aut_BlueMe_Sem_Pedido!$Q:$Q,DRE!AF$4,Aut_BlueMe_Sem_Pedido!$N:$N,DRE!$A114,Aut_BlueMe_Sem_Pedido!$H:$H,"MDO PJ Fixo")+SUMIFS(Aut_Ajustes_Manuais!$G:$G,Aut_Ajustes_Manuais!$I:$I,DRE!AF$4,Aut_Ajustes_Manuais!$F:$F,"  - Chefe de Bar")</f>
        <v>0</v>
      </c>
      <c r="AI114" s="241">
        <v>0</v>
      </c>
      <c r="AJ114" s="27">
        <v>0</v>
      </c>
      <c r="AK114" s="28">
        <f>SUMIFS(Aut_BlueMe_Sem_Pedido!$J:$J,Aut_BlueMe_Sem_Pedido!$Q:$Q,DRE!AI$4,Aut_BlueMe_Sem_Pedido!$N:$N,DRE!$A114,Aut_BlueMe_Sem_Pedido!$H:$H,"MDO PJ Fixo")+SUMIFS(Aut_Ajustes_Manuais!$G:$G,Aut_Ajustes_Manuais!$I:$I,DRE!AI$4,Aut_Ajustes_Manuais!$F:$F,"  - Chefe de Bar")</f>
        <v>0</v>
      </c>
      <c r="AL114" s="241">
        <v>0</v>
      </c>
      <c r="AM114" s="27">
        <v>0</v>
      </c>
      <c r="AN114" s="28">
        <f>SUMIFS(Aut_BlueMe_Sem_Pedido!$J:$J,Aut_BlueMe_Sem_Pedido!$Q:$Q,DRE!AL$4,Aut_BlueMe_Sem_Pedido!$N:$N,DRE!$A114,Aut_BlueMe_Sem_Pedido!$H:$H,"MDO PJ Fixo")+SUMIFS(Aut_Ajustes_Manuais!$G:$G,Aut_Ajustes_Manuais!$I:$I,DRE!AL$4,Aut_Ajustes_Manuais!$F:$F,"  - Chefe de Bar")</f>
        <v>0</v>
      </c>
      <c r="AO114" s="241">
        <v>0</v>
      </c>
      <c r="AP114" s="27">
        <v>0</v>
      </c>
      <c r="AQ114" s="28">
        <f>SUMIFS(Aut_BlueMe_Sem_Pedido!$J:$J,Aut_BlueMe_Sem_Pedido!$Q:$Q,DRE!AO$4,Aut_BlueMe_Sem_Pedido!$N:$N,DRE!$A114,Aut_BlueMe_Sem_Pedido!$H:$H,"MDO PJ Fixo")+SUMIFS(Aut_Ajustes_Manuais!$G:$G,Aut_Ajustes_Manuais!$I:$I,DRE!AO$4,Aut_Ajustes_Manuais!$F:$F,"  - Chefe de Bar")</f>
        <v>0</v>
      </c>
      <c r="AR114" s="241">
        <f t="shared" ca="1" si="128"/>
        <v>0</v>
      </c>
      <c r="AS114" s="27">
        <f t="shared" ca="1" si="129"/>
        <v>0</v>
      </c>
      <c r="AT114" s="28">
        <f t="shared" ca="1" si="130"/>
        <v>0</v>
      </c>
      <c r="AU114" s="241">
        <f t="shared" si="132"/>
        <v>0</v>
      </c>
      <c r="AV114" s="27">
        <f t="shared" si="133"/>
        <v>0</v>
      </c>
      <c r="AW114" s="28">
        <f t="shared" si="134"/>
        <v>0</v>
      </c>
      <c r="AX114" s="241">
        <f t="shared" si="135"/>
        <v>0</v>
      </c>
      <c r="AY114" s="27">
        <f t="shared" si="136"/>
        <v>0</v>
      </c>
      <c r="AZ114" s="28">
        <f t="shared" si="137"/>
        <v>0</v>
      </c>
      <c r="BA114" s="241">
        <f t="shared" si="138"/>
        <v>0</v>
      </c>
      <c r="BB114" s="27">
        <f t="shared" si="139"/>
        <v>0</v>
      </c>
      <c r="BC114" s="28">
        <f t="shared" si="140"/>
        <v>0</v>
      </c>
      <c r="BD114" s="241">
        <f t="shared" si="141"/>
        <v>0</v>
      </c>
      <c r="BE114" s="27">
        <f t="shared" si="142"/>
        <v>0</v>
      </c>
      <c r="BF114" s="28">
        <f t="shared" si="143"/>
        <v>0</v>
      </c>
      <c r="BG114" s="241">
        <f t="shared" si="144"/>
        <v>0</v>
      </c>
      <c r="BH114" s="27">
        <f t="shared" si="145"/>
        <v>0</v>
      </c>
      <c r="BI114" s="28">
        <f t="shared" si="146"/>
        <v>0</v>
      </c>
      <c r="BK114" s="448">
        <f t="shared" si="87"/>
        <v>0</v>
      </c>
      <c r="BL114" s="448">
        <f t="shared" si="88"/>
        <v>0</v>
      </c>
      <c r="BM114" s="448">
        <f t="shared" si="89"/>
        <v>0</v>
      </c>
      <c r="BN114" s="448">
        <f t="shared" ca="1" si="90"/>
        <v>0</v>
      </c>
    </row>
    <row r="115" spans="1:66" s="94" customFormat="1" hidden="1" outlineLevel="1" x14ac:dyDescent="0.3">
      <c r="A115" s="22" t="s">
        <v>138</v>
      </c>
      <c r="B115" s="2"/>
      <c r="C115" s="24"/>
      <c r="D115" s="55"/>
      <c r="E115" s="87"/>
      <c r="F115" s="41"/>
      <c r="G115" s="33"/>
      <c r="H115" s="241">
        <v>0</v>
      </c>
      <c r="I115" s="27">
        <v>0</v>
      </c>
      <c r="J115" s="28">
        <f>SUMIFS(Aut_BlueMe_Sem_Pedido!$J:$J,Aut_BlueMe_Sem_Pedido!$Q:$Q,DRE!H$4,Aut_BlueMe_Sem_Pedido!$N:$N,DRE!$A115,Aut_BlueMe_Sem_Pedido!$H:$H,"MDO PJ Fixo")+SUMIFS(Aut_Ajustes_Manuais!$G:$G,Aut_Ajustes_Manuais!$I:$I,DRE!H$4,Aut_Ajustes_Manuais!$F:$F,"  - Sub Chefe de Cozinha")</f>
        <v>0</v>
      </c>
      <c r="K115" s="241">
        <v>0</v>
      </c>
      <c r="L115" s="27">
        <v>0</v>
      </c>
      <c r="M115" s="28">
        <f>SUMIFS(Aut_BlueMe_Sem_Pedido!$J:$J,Aut_BlueMe_Sem_Pedido!$Q:$Q,DRE!K$4,Aut_BlueMe_Sem_Pedido!$N:$N,DRE!$A115,Aut_BlueMe_Sem_Pedido!$H:$H,"MDO PJ Fixo")+SUMIFS(Aut_Ajustes_Manuais!$G:$G,Aut_Ajustes_Manuais!$I:$I,DRE!K$4,Aut_Ajustes_Manuais!$F:$F,"  - Sub Chefe de Cozinha")</f>
        <v>0</v>
      </c>
      <c r="N115" s="241">
        <v>0</v>
      </c>
      <c r="O115" s="27">
        <v>0</v>
      </c>
      <c r="P115" s="28">
        <f>SUMIFS(Aut_BlueMe_Sem_Pedido!$J:$J,Aut_BlueMe_Sem_Pedido!$Q:$Q,DRE!N$4,Aut_BlueMe_Sem_Pedido!$N:$N,DRE!$A115,Aut_BlueMe_Sem_Pedido!$H:$H,"MDO PJ Fixo")+SUMIFS(Aut_Ajustes_Manuais!$G:$G,Aut_Ajustes_Manuais!$I:$I,DRE!N$4,Aut_Ajustes_Manuais!$F:$F,"  - Sub Chefe de Cozinha")</f>
        <v>0</v>
      </c>
      <c r="Q115" s="241">
        <v>0</v>
      </c>
      <c r="R115" s="27">
        <v>0</v>
      </c>
      <c r="S115" s="28">
        <f>SUMIFS(Aut_BlueMe_Sem_Pedido!$J:$J,Aut_BlueMe_Sem_Pedido!$Q:$Q,DRE!Q$4,Aut_BlueMe_Sem_Pedido!$N:$N,DRE!$A115,Aut_BlueMe_Sem_Pedido!$H:$H,"MDO PJ Fixo")+SUMIFS(Aut_Ajustes_Manuais!$G:$G,Aut_Ajustes_Manuais!$I:$I,DRE!Q$4,Aut_Ajustes_Manuais!$F:$F,"  - Sub Chefe de Cozinha")</f>
        <v>0</v>
      </c>
      <c r="T115" s="241">
        <v>0</v>
      </c>
      <c r="U115" s="27">
        <v>0</v>
      </c>
      <c r="V115" s="28">
        <f>SUMIFS(Aut_BlueMe_Sem_Pedido!$J:$J,Aut_BlueMe_Sem_Pedido!$Q:$Q,DRE!T$4,Aut_BlueMe_Sem_Pedido!$N:$N,DRE!$A115,Aut_BlueMe_Sem_Pedido!$H:$H,"MDO PJ Fixo")+SUMIFS(Aut_Ajustes_Manuais!$G:$G,Aut_Ajustes_Manuais!$I:$I,DRE!T$4,Aut_Ajustes_Manuais!$F:$F,"  - Sub Chefe de Cozinha")</f>
        <v>0</v>
      </c>
      <c r="W115" s="241">
        <v>0</v>
      </c>
      <c r="X115" s="27">
        <v>0</v>
      </c>
      <c r="Y115" s="28">
        <f>SUMIFS(Aut_BlueMe_Sem_Pedido!$J:$J,Aut_BlueMe_Sem_Pedido!$Q:$Q,DRE!W$4,Aut_BlueMe_Sem_Pedido!$N:$N,DRE!$A115,Aut_BlueMe_Sem_Pedido!$H:$H,"MDO PJ Fixo")+SUMIFS(Aut_Ajustes_Manuais!$G:$G,Aut_Ajustes_Manuais!$I:$I,DRE!W$4,Aut_Ajustes_Manuais!$F:$F,"  - Sub Chefe de Cozinha")</f>
        <v>0</v>
      </c>
      <c r="Z115" s="241">
        <v>0</v>
      </c>
      <c r="AA115" s="27">
        <v>0</v>
      </c>
      <c r="AB115" s="28">
        <f>SUMIFS(Aut_BlueMe_Sem_Pedido!$J:$J,Aut_BlueMe_Sem_Pedido!$Q:$Q,DRE!Z$4,Aut_BlueMe_Sem_Pedido!$N:$N,DRE!$A115,Aut_BlueMe_Sem_Pedido!$H:$H,"MDO PJ Fixo")+SUMIFS(Aut_Ajustes_Manuais!$G:$G,Aut_Ajustes_Manuais!$I:$I,DRE!Z$4,Aut_Ajustes_Manuais!$F:$F,"  - Sub Chefe de Cozinha")</f>
        <v>0</v>
      </c>
      <c r="AC115" s="241">
        <v>0</v>
      </c>
      <c r="AD115" s="27">
        <v>0</v>
      </c>
      <c r="AE115" s="28">
        <f>SUMIFS(Aut_BlueMe_Sem_Pedido!$J:$J,Aut_BlueMe_Sem_Pedido!$Q:$Q,DRE!AC$4,Aut_BlueMe_Sem_Pedido!$N:$N,DRE!$A115,Aut_BlueMe_Sem_Pedido!$H:$H,"MDO PJ Fixo")+SUMIFS(Aut_Ajustes_Manuais!$G:$G,Aut_Ajustes_Manuais!$I:$I,DRE!AC$4,Aut_Ajustes_Manuais!$F:$F,"  - Sub Chefe de Cozinha")</f>
        <v>0</v>
      </c>
      <c r="AF115" s="241">
        <v>0</v>
      </c>
      <c r="AG115" s="27">
        <v>0</v>
      </c>
      <c r="AH115" s="28">
        <f>SUMIFS(Aut_BlueMe_Sem_Pedido!$J:$J,Aut_BlueMe_Sem_Pedido!$Q:$Q,DRE!AF$4,Aut_BlueMe_Sem_Pedido!$N:$N,DRE!$A115,Aut_BlueMe_Sem_Pedido!$H:$H,"MDO PJ Fixo")+SUMIFS(Aut_Ajustes_Manuais!$G:$G,Aut_Ajustes_Manuais!$I:$I,DRE!AF$4,Aut_Ajustes_Manuais!$F:$F,"  - Sub Chefe de Cozinha")</f>
        <v>0</v>
      </c>
      <c r="AI115" s="241">
        <v>0</v>
      </c>
      <c r="AJ115" s="27">
        <v>0</v>
      </c>
      <c r="AK115" s="28">
        <f>SUMIFS(Aut_BlueMe_Sem_Pedido!$J:$J,Aut_BlueMe_Sem_Pedido!$Q:$Q,DRE!AI$4,Aut_BlueMe_Sem_Pedido!$N:$N,DRE!$A115,Aut_BlueMe_Sem_Pedido!$H:$H,"MDO PJ Fixo")+SUMIFS(Aut_Ajustes_Manuais!$G:$G,Aut_Ajustes_Manuais!$I:$I,DRE!AI$4,Aut_Ajustes_Manuais!$F:$F,"  - Sub Chefe de Cozinha")</f>
        <v>0</v>
      </c>
      <c r="AL115" s="241">
        <v>0</v>
      </c>
      <c r="AM115" s="27">
        <v>0</v>
      </c>
      <c r="AN115" s="28">
        <f>SUMIFS(Aut_BlueMe_Sem_Pedido!$J:$J,Aut_BlueMe_Sem_Pedido!$Q:$Q,DRE!AL$4,Aut_BlueMe_Sem_Pedido!$N:$N,DRE!$A115,Aut_BlueMe_Sem_Pedido!$H:$H,"MDO PJ Fixo")+SUMIFS(Aut_Ajustes_Manuais!$G:$G,Aut_Ajustes_Manuais!$I:$I,DRE!AL$4,Aut_Ajustes_Manuais!$F:$F,"  - Sub Chefe de Cozinha")</f>
        <v>0</v>
      </c>
      <c r="AO115" s="241">
        <v>0</v>
      </c>
      <c r="AP115" s="27">
        <v>0</v>
      </c>
      <c r="AQ115" s="28">
        <f>SUMIFS(Aut_BlueMe_Sem_Pedido!$J:$J,Aut_BlueMe_Sem_Pedido!$Q:$Q,DRE!AO$4,Aut_BlueMe_Sem_Pedido!$N:$N,DRE!$A115,Aut_BlueMe_Sem_Pedido!$H:$H,"MDO PJ Fixo")+SUMIFS(Aut_Ajustes_Manuais!$G:$G,Aut_Ajustes_Manuais!$I:$I,DRE!AO$4,Aut_Ajustes_Manuais!$F:$F,"  - Sub Chefe de Cozinha")</f>
        <v>0</v>
      </c>
      <c r="AR115" s="241">
        <f t="shared" ca="1" si="128"/>
        <v>0</v>
      </c>
      <c r="AS115" s="27">
        <f t="shared" ca="1" si="129"/>
        <v>0</v>
      </c>
      <c r="AT115" s="28">
        <f t="shared" ca="1" si="130"/>
        <v>0</v>
      </c>
      <c r="AU115" s="241">
        <f t="shared" si="132"/>
        <v>0</v>
      </c>
      <c r="AV115" s="27">
        <f t="shared" si="133"/>
        <v>0</v>
      </c>
      <c r="AW115" s="28">
        <f t="shared" si="134"/>
        <v>0</v>
      </c>
      <c r="AX115" s="241">
        <f t="shared" si="135"/>
        <v>0</v>
      </c>
      <c r="AY115" s="27">
        <f t="shared" si="136"/>
        <v>0</v>
      </c>
      <c r="AZ115" s="28">
        <f t="shared" si="137"/>
        <v>0</v>
      </c>
      <c r="BA115" s="241">
        <f t="shared" si="138"/>
        <v>0</v>
      </c>
      <c r="BB115" s="27">
        <f t="shared" si="139"/>
        <v>0</v>
      </c>
      <c r="BC115" s="28">
        <f t="shared" si="140"/>
        <v>0</v>
      </c>
      <c r="BD115" s="241">
        <f t="shared" si="141"/>
        <v>0</v>
      </c>
      <c r="BE115" s="27">
        <f t="shared" si="142"/>
        <v>0</v>
      </c>
      <c r="BF115" s="28">
        <f t="shared" si="143"/>
        <v>0</v>
      </c>
      <c r="BG115" s="241">
        <f t="shared" si="144"/>
        <v>0</v>
      </c>
      <c r="BH115" s="27">
        <f t="shared" si="145"/>
        <v>0</v>
      </c>
      <c r="BI115" s="28">
        <f t="shared" si="146"/>
        <v>0</v>
      </c>
      <c r="BK115" s="448">
        <f t="shared" si="87"/>
        <v>0</v>
      </c>
      <c r="BL115" s="448">
        <f t="shared" si="88"/>
        <v>0</v>
      </c>
      <c r="BM115" s="448">
        <f t="shared" si="89"/>
        <v>0</v>
      </c>
      <c r="BN115" s="448">
        <f t="shared" ca="1" si="90"/>
        <v>0</v>
      </c>
    </row>
    <row r="116" spans="1:66" s="94" customFormat="1" hidden="1" outlineLevel="1" x14ac:dyDescent="0.3">
      <c r="A116" s="22" t="s">
        <v>139</v>
      </c>
      <c r="B116" s="2"/>
      <c r="C116" s="24"/>
      <c r="D116" s="55"/>
      <c r="E116" s="87"/>
      <c r="F116" s="41"/>
      <c r="G116" s="33"/>
      <c r="H116" s="241">
        <v>0</v>
      </c>
      <c r="I116" s="27">
        <v>0</v>
      </c>
      <c r="J116" s="28">
        <f>SUMIFS(Aut_BlueMe_Sem_Pedido!$J:$J,Aut_BlueMe_Sem_Pedido!$Q:$Q,DRE!H$4,Aut_BlueMe_Sem_Pedido!$N:$N,DRE!$A116,Aut_BlueMe_Sem_Pedido!$H:$H,"MDO PJ Fixo")+SUMIFS(Aut_Ajustes_Manuais!$G:$G,Aut_Ajustes_Manuais!$I:$I,DRE!H$4,Aut_Ajustes_Manuais!$F:$F,"  - Sub Chefe De Bar")</f>
        <v>0</v>
      </c>
      <c r="K116" s="241">
        <v>0</v>
      </c>
      <c r="L116" s="27">
        <v>0</v>
      </c>
      <c r="M116" s="28">
        <f>SUMIFS(Aut_BlueMe_Sem_Pedido!$J:$J,Aut_BlueMe_Sem_Pedido!$Q:$Q,DRE!K$4,Aut_BlueMe_Sem_Pedido!$N:$N,DRE!$A116,Aut_BlueMe_Sem_Pedido!$H:$H,"MDO PJ Fixo")+SUMIFS(Aut_Ajustes_Manuais!$G:$G,Aut_Ajustes_Manuais!$I:$I,DRE!K$4,Aut_Ajustes_Manuais!$F:$F,"  - Sub Chefe De Bar")</f>
        <v>0</v>
      </c>
      <c r="N116" s="241">
        <v>0</v>
      </c>
      <c r="O116" s="27">
        <v>0</v>
      </c>
      <c r="P116" s="28">
        <f>SUMIFS(Aut_BlueMe_Sem_Pedido!$J:$J,Aut_BlueMe_Sem_Pedido!$Q:$Q,DRE!N$4,Aut_BlueMe_Sem_Pedido!$N:$N,DRE!$A116,Aut_BlueMe_Sem_Pedido!$H:$H,"MDO PJ Fixo")+SUMIFS(Aut_Ajustes_Manuais!$G:$G,Aut_Ajustes_Manuais!$I:$I,DRE!N$4,Aut_Ajustes_Manuais!$F:$F,"  - Sub Chefe De Bar")</f>
        <v>0</v>
      </c>
      <c r="Q116" s="241">
        <v>0</v>
      </c>
      <c r="R116" s="27">
        <v>0</v>
      </c>
      <c r="S116" s="28">
        <f>SUMIFS(Aut_BlueMe_Sem_Pedido!$J:$J,Aut_BlueMe_Sem_Pedido!$Q:$Q,DRE!Q$4,Aut_BlueMe_Sem_Pedido!$N:$N,DRE!$A116,Aut_BlueMe_Sem_Pedido!$H:$H,"MDO PJ Fixo")+SUMIFS(Aut_Ajustes_Manuais!$G:$G,Aut_Ajustes_Manuais!$I:$I,DRE!Q$4,Aut_Ajustes_Manuais!$F:$F,"  - Sub Chefe De Bar")</f>
        <v>0</v>
      </c>
      <c r="T116" s="241">
        <v>0</v>
      </c>
      <c r="U116" s="27">
        <v>0</v>
      </c>
      <c r="V116" s="28">
        <f>SUMIFS(Aut_BlueMe_Sem_Pedido!$J:$J,Aut_BlueMe_Sem_Pedido!$Q:$Q,DRE!T$4,Aut_BlueMe_Sem_Pedido!$N:$N,DRE!$A116,Aut_BlueMe_Sem_Pedido!$H:$H,"MDO PJ Fixo")+SUMIFS(Aut_Ajustes_Manuais!$G:$G,Aut_Ajustes_Manuais!$I:$I,DRE!T$4,Aut_Ajustes_Manuais!$F:$F,"  - Sub Chefe De Bar")</f>
        <v>0</v>
      </c>
      <c r="W116" s="241">
        <v>0</v>
      </c>
      <c r="X116" s="27">
        <v>0</v>
      </c>
      <c r="Y116" s="28">
        <f>SUMIFS(Aut_BlueMe_Sem_Pedido!$J:$J,Aut_BlueMe_Sem_Pedido!$Q:$Q,DRE!W$4,Aut_BlueMe_Sem_Pedido!$N:$N,DRE!$A116,Aut_BlueMe_Sem_Pedido!$H:$H,"MDO PJ Fixo")+SUMIFS(Aut_Ajustes_Manuais!$G:$G,Aut_Ajustes_Manuais!$I:$I,DRE!W$4,Aut_Ajustes_Manuais!$F:$F,"  - Sub Chefe De Bar")</f>
        <v>0</v>
      </c>
      <c r="Z116" s="241">
        <v>0</v>
      </c>
      <c r="AA116" s="27">
        <v>0</v>
      </c>
      <c r="AB116" s="28">
        <f>SUMIFS(Aut_BlueMe_Sem_Pedido!$J:$J,Aut_BlueMe_Sem_Pedido!$Q:$Q,DRE!Z$4,Aut_BlueMe_Sem_Pedido!$N:$N,DRE!$A116,Aut_BlueMe_Sem_Pedido!$H:$H,"MDO PJ Fixo")+SUMIFS(Aut_Ajustes_Manuais!$G:$G,Aut_Ajustes_Manuais!$I:$I,DRE!Z$4,Aut_Ajustes_Manuais!$F:$F,"  - Sub Chefe De Bar")</f>
        <v>0</v>
      </c>
      <c r="AC116" s="241">
        <v>0</v>
      </c>
      <c r="AD116" s="27">
        <v>0</v>
      </c>
      <c r="AE116" s="28">
        <f>SUMIFS(Aut_BlueMe_Sem_Pedido!$J:$J,Aut_BlueMe_Sem_Pedido!$Q:$Q,DRE!AC$4,Aut_BlueMe_Sem_Pedido!$N:$N,DRE!$A116,Aut_BlueMe_Sem_Pedido!$H:$H,"MDO PJ Fixo")+SUMIFS(Aut_Ajustes_Manuais!$G:$G,Aut_Ajustes_Manuais!$I:$I,DRE!AC$4,Aut_Ajustes_Manuais!$F:$F,"  - Sub Chefe De Bar")</f>
        <v>0</v>
      </c>
      <c r="AF116" s="241">
        <v>0</v>
      </c>
      <c r="AG116" s="27">
        <v>0</v>
      </c>
      <c r="AH116" s="28">
        <f>SUMIFS(Aut_BlueMe_Sem_Pedido!$J:$J,Aut_BlueMe_Sem_Pedido!$Q:$Q,DRE!AF$4,Aut_BlueMe_Sem_Pedido!$N:$N,DRE!$A116,Aut_BlueMe_Sem_Pedido!$H:$H,"MDO PJ Fixo")+SUMIFS(Aut_Ajustes_Manuais!$G:$G,Aut_Ajustes_Manuais!$I:$I,DRE!AF$4,Aut_Ajustes_Manuais!$F:$F,"  - Sub Chefe De Bar")</f>
        <v>0</v>
      </c>
      <c r="AI116" s="241">
        <v>0</v>
      </c>
      <c r="AJ116" s="27">
        <v>0</v>
      </c>
      <c r="AK116" s="28">
        <f>SUMIFS(Aut_BlueMe_Sem_Pedido!$J:$J,Aut_BlueMe_Sem_Pedido!$Q:$Q,DRE!AI$4,Aut_BlueMe_Sem_Pedido!$N:$N,DRE!$A116,Aut_BlueMe_Sem_Pedido!$H:$H,"MDO PJ Fixo")+SUMIFS(Aut_Ajustes_Manuais!$G:$G,Aut_Ajustes_Manuais!$I:$I,DRE!AI$4,Aut_Ajustes_Manuais!$F:$F,"  - Sub Chefe De Bar")</f>
        <v>0</v>
      </c>
      <c r="AL116" s="241">
        <v>0</v>
      </c>
      <c r="AM116" s="27">
        <v>0</v>
      </c>
      <c r="AN116" s="28">
        <f>SUMIFS(Aut_BlueMe_Sem_Pedido!$J:$J,Aut_BlueMe_Sem_Pedido!$Q:$Q,DRE!AL$4,Aut_BlueMe_Sem_Pedido!$N:$N,DRE!$A116,Aut_BlueMe_Sem_Pedido!$H:$H,"MDO PJ Fixo")+SUMIFS(Aut_Ajustes_Manuais!$G:$G,Aut_Ajustes_Manuais!$I:$I,DRE!AL$4,Aut_Ajustes_Manuais!$F:$F,"  - Sub Chefe De Bar")</f>
        <v>0</v>
      </c>
      <c r="AO116" s="241">
        <v>0</v>
      </c>
      <c r="AP116" s="27">
        <v>0</v>
      </c>
      <c r="AQ116" s="28">
        <f>SUMIFS(Aut_BlueMe_Sem_Pedido!$J:$J,Aut_BlueMe_Sem_Pedido!$Q:$Q,DRE!AO$4,Aut_BlueMe_Sem_Pedido!$N:$N,DRE!$A116,Aut_BlueMe_Sem_Pedido!$H:$H,"MDO PJ Fixo")+SUMIFS(Aut_Ajustes_Manuais!$G:$G,Aut_Ajustes_Manuais!$I:$I,DRE!AO$4,Aut_Ajustes_Manuais!$F:$F,"  - Sub Chefe De Bar")</f>
        <v>0</v>
      </c>
      <c r="AR116" s="241">
        <f t="shared" ca="1" si="128"/>
        <v>0</v>
      </c>
      <c r="AS116" s="27">
        <f t="shared" ca="1" si="129"/>
        <v>0</v>
      </c>
      <c r="AT116" s="28">
        <f t="shared" ca="1" si="130"/>
        <v>0</v>
      </c>
      <c r="AU116" s="241">
        <f t="shared" si="132"/>
        <v>0</v>
      </c>
      <c r="AV116" s="27">
        <f t="shared" si="133"/>
        <v>0</v>
      </c>
      <c r="AW116" s="28">
        <f t="shared" si="134"/>
        <v>0</v>
      </c>
      <c r="AX116" s="241">
        <f t="shared" si="135"/>
        <v>0</v>
      </c>
      <c r="AY116" s="27">
        <f t="shared" si="136"/>
        <v>0</v>
      </c>
      <c r="AZ116" s="28">
        <f t="shared" si="137"/>
        <v>0</v>
      </c>
      <c r="BA116" s="241">
        <f t="shared" si="138"/>
        <v>0</v>
      </c>
      <c r="BB116" s="27">
        <f t="shared" si="139"/>
        <v>0</v>
      </c>
      <c r="BC116" s="28">
        <f t="shared" si="140"/>
        <v>0</v>
      </c>
      <c r="BD116" s="241">
        <f t="shared" si="141"/>
        <v>0</v>
      </c>
      <c r="BE116" s="27">
        <f t="shared" si="142"/>
        <v>0</v>
      </c>
      <c r="BF116" s="28">
        <f t="shared" si="143"/>
        <v>0</v>
      </c>
      <c r="BG116" s="241">
        <f t="shared" si="144"/>
        <v>0</v>
      </c>
      <c r="BH116" s="27">
        <f t="shared" si="145"/>
        <v>0</v>
      </c>
      <c r="BI116" s="28">
        <f t="shared" si="146"/>
        <v>0</v>
      </c>
      <c r="BK116" s="448">
        <f t="shared" si="87"/>
        <v>0</v>
      </c>
      <c r="BL116" s="448">
        <f t="shared" si="88"/>
        <v>0</v>
      </c>
      <c r="BM116" s="448">
        <f t="shared" si="89"/>
        <v>0</v>
      </c>
      <c r="BN116" s="448">
        <f t="shared" ca="1" si="90"/>
        <v>0</v>
      </c>
    </row>
    <row r="117" spans="1:66" s="94" customFormat="1" hidden="1" outlineLevel="1" x14ac:dyDescent="0.3">
      <c r="A117" s="22" t="s">
        <v>140</v>
      </c>
      <c r="B117" s="2"/>
      <c r="C117" s="24"/>
      <c r="D117" s="55"/>
      <c r="E117" s="87"/>
      <c r="F117" s="41"/>
      <c r="G117" s="33"/>
      <c r="H117" s="241">
        <v>0</v>
      </c>
      <c r="I117" s="27">
        <v>0</v>
      </c>
      <c r="J117" s="28">
        <f>SUMIFS(Aut_BlueMe_Sem_Pedido!$J:$J,Aut_BlueMe_Sem_Pedido!$Q:$Q,DRE!H$4,Aut_BlueMe_Sem_Pedido!$N:$N,DRE!$A117,Aut_BlueMe_Sem_Pedido!$H:$H,"MDO PJ Fixo")+SUMIFS(Aut_Ajustes_Manuais!$G:$G,Aut_Ajustes_Manuais!$I:$I,DRE!H$4,Aut_Ajustes_Manuais!$F:$F,"  - Maitre")</f>
        <v>0</v>
      </c>
      <c r="K117" s="241">
        <v>0</v>
      </c>
      <c r="L117" s="27">
        <v>0</v>
      </c>
      <c r="M117" s="28">
        <f>SUMIFS(Aut_BlueMe_Sem_Pedido!$J:$J,Aut_BlueMe_Sem_Pedido!$Q:$Q,DRE!K$4,Aut_BlueMe_Sem_Pedido!$N:$N,DRE!$A117,Aut_BlueMe_Sem_Pedido!$H:$H,"MDO PJ Fixo")+SUMIFS(Aut_Ajustes_Manuais!$G:$G,Aut_Ajustes_Manuais!$I:$I,DRE!K$4,Aut_Ajustes_Manuais!$F:$F,"  - Maitre")</f>
        <v>0</v>
      </c>
      <c r="N117" s="241">
        <v>0</v>
      </c>
      <c r="O117" s="27">
        <v>0</v>
      </c>
      <c r="P117" s="28">
        <f>SUMIFS(Aut_BlueMe_Sem_Pedido!$J:$J,Aut_BlueMe_Sem_Pedido!$Q:$Q,DRE!N$4,Aut_BlueMe_Sem_Pedido!$N:$N,DRE!$A117,Aut_BlueMe_Sem_Pedido!$H:$H,"MDO PJ Fixo")+SUMIFS(Aut_Ajustes_Manuais!$G:$G,Aut_Ajustes_Manuais!$I:$I,DRE!N$4,Aut_Ajustes_Manuais!$F:$F,"  - Maitre")</f>
        <v>0</v>
      </c>
      <c r="Q117" s="241">
        <v>0</v>
      </c>
      <c r="R117" s="27">
        <v>0</v>
      </c>
      <c r="S117" s="28">
        <f>SUMIFS(Aut_BlueMe_Sem_Pedido!$J:$J,Aut_BlueMe_Sem_Pedido!$Q:$Q,DRE!Q$4,Aut_BlueMe_Sem_Pedido!$N:$N,DRE!$A117,Aut_BlueMe_Sem_Pedido!$H:$H,"MDO PJ Fixo")+SUMIFS(Aut_Ajustes_Manuais!$G:$G,Aut_Ajustes_Manuais!$I:$I,DRE!Q$4,Aut_Ajustes_Manuais!$F:$F,"  - Maitre")</f>
        <v>0</v>
      </c>
      <c r="T117" s="241">
        <v>0</v>
      </c>
      <c r="U117" s="27">
        <v>0</v>
      </c>
      <c r="V117" s="28">
        <f>SUMIFS(Aut_BlueMe_Sem_Pedido!$J:$J,Aut_BlueMe_Sem_Pedido!$Q:$Q,DRE!T$4,Aut_BlueMe_Sem_Pedido!$N:$N,DRE!$A117,Aut_BlueMe_Sem_Pedido!$H:$H,"MDO PJ Fixo")+SUMIFS(Aut_Ajustes_Manuais!$G:$G,Aut_Ajustes_Manuais!$I:$I,DRE!T$4,Aut_Ajustes_Manuais!$F:$F,"  - Maitre")</f>
        <v>0</v>
      </c>
      <c r="W117" s="241">
        <v>0</v>
      </c>
      <c r="X117" s="27">
        <v>0</v>
      </c>
      <c r="Y117" s="28">
        <f>SUMIFS(Aut_BlueMe_Sem_Pedido!$J:$J,Aut_BlueMe_Sem_Pedido!$Q:$Q,DRE!W$4,Aut_BlueMe_Sem_Pedido!$N:$N,DRE!$A117,Aut_BlueMe_Sem_Pedido!$H:$H,"MDO PJ Fixo")+SUMIFS(Aut_Ajustes_Manuais!$G:$G,Aut_Ajustes_Manuais!$I:$I,DRE!W$4,Aut_Ajustes_Manuais!$F:$F,"  - Maitre")</f>
        <v>0</v>
      </c>
      <c r="Z117" s="241">
        <v>0</v>
      </c>
      <c r="AA117" s="27">
        <v>0</v>
      </c>
      <c r="AB117" s="28">
        <f>SUMIFS(Aut_BlueMe_Sem_Pedido!$J:$J,Aut_BlueMe_Sem_Pedido!$Q:$Q,DRE!Z$4,Aut_BlueMe_Sem_Pedido!$N:$N,DRE!$A117,Aut_BlueMe_Sem_Pedido!$H:$H,"MDO PJ Fixo")+SUMIFS(Aut_Ajustes_Manuais!$G:$G,Aut_Ajustes_Manuais!$I:$I,DRE!Z$4,Aut_Ajustes_Manuais!$F:$F,"  - Maitre")</f>
        <v>0</v>
      </c>
      <c r="AC117" s="241">
        <v>0</v>
      </c>
      <c r="AD117" s="27">
        <v>0</v>
      </c>
      <c r="AE117" s="28">
        <f>SUMIFS(Aut_BlueMe_Sem_Pedido!$J:$J,Aut_BlueMe_Sem_Pedido!$Q:$Q,DRE!AC$4,Aut_BlueMe_Sem_Pedido!$N:$N,DRE!$A117,Aut_BlueMe_Sem_Pedido!$H:$H,"MDO PJ Fixo")+SUMIFS(Aut_Ajustes_Manuais!$G:$G,Aut_Ajustes_Manuais!$I:$I,DRE!AC$4,Aut_Ajustes_Manuais!$F:$F,"  - Maitre")</f>
        <v>0</v>
      </c>
      <c r="AF117" s="241">
        <v>0</v>
      </c>
      <c r="AG117" s="27">
        <v>0</v>
      </c>
      <c r="AH117" s="28">
        <f>SUMIFS(Aut_BlueMe_Sem_Pedido!$J:$J,Aut_BlueMe_Sem_Pedido!$Q:$Q,DRE!AF$4,Aut_BlueMe_Sem_Pedido!$N:$N,DRE!$A117,Aut_BlueMe_Sem_Pedido!$H:$H,"MDO PJ Fixo")+SUMIFS(Aut_Ajustes_Manuais!$G:$G,Aut_Ajustes_Manuais!$I:$I,DRE!AF$4,Aut_Ajustes_Manuais!$F:$F,"  - Maitre")</f>
        <v>0</v>
      </c>
      <c r="AI117" s="241">
        <v>0</v>
      </c>
      <c r="AJ117" s="27">
        <v>0</v>
      </c>
      <c r="AK117" s="28">
        <f>SUMIFS(Aut_BlueMe_Sem_Pedido!$J:$J,Aut_BlueMe_Sem_Pedido!$Q:$Q,DRE!AI$4,Aut_BlueMe_Sem_Pedido!$N:$N,DRE!$A117,Aut_BlueMe_Sem_Pedido!$H:$H,"MDO PJ Fixo")+SUMIFS(Aut_Ajustes_Manuais!$G:$G,Aut_Ajustes_Manuais!$I:$I,DRE!AI$4,Aut_Ajustes_Manuais!$F:$F,"  - Maitre")</f>
        <v>0</v>
      </c>
      <c r="AL117" s="241">
        <v>0</v>
      </c>
      <c r="AM117" s="27">
        <v>0</v>
      </c>
      <c r="AN117" s="28">
        <f>SUMIFS(Aut_BlueMe_Sem_Pedido!$J:$J,Aut_BlueMe_Sem_Pedido!$Q:$Q,DRE!AL$4,Aut_BlueMe_Sem_Pedido!$N:$N,DRE!$A117,Aut_BlueMe_Sem_Pedido!$H:$H,"MDO PJ Fixo")+SUMIFS(Aut_Ajustes_Manuais!$G:$G,Aut_Ajustes_Manuais!$I:$I,DRE!AL$4,Aut_Ajustes_Manuais!$F:$F,"  - Maitre")</f>
        <v>0</v>
      </c>
      <c r="AO117" s="241">
        <v>0</v>
      </c>
      <c r="AP117" s="27">
        <v>0</v>
      </c>
      <c r="AQ117" s="28">
        <f>SUMIFS(Aut_BlueMe_Sem_Pedido!$J:$J,Aut_BlueMe_Sem_Pedido!$Q:$Q,DRE!AO$4,Aut_BlueMe_Sem_Pedido!$N:$N,DRE!$A117,Aut_BlueMe_Sem_Pedido!$H:$H,"MDO PJ Fixo")+SUMIFS(Aut_Ajustes_Manuais!$G:$G,Aut_Ajustes_Manuais!$I:$I,DRE!AO$4,Aut_Ajustes_Manuais!$F:$F,"  - Maitre")</f>
        <v>0</v>
      </c>
      <c r="AR117" s="241">
        <f t="shared" ca="1" si="128"/>
        <v>0</v>
      </c>
      <c r="AS117" s="27">
        <f t="shared" ca="1" si="129"/>
        <v>0</v>
      </c>
      <c r="AT117" s="28">
        <f t="shared" ca="1" si="130"/>
        <v>0</v>
      </c>
      <c r="AU117" s="241">
        <f t="shared" si="132"/>
        <v>0</v>
      </c>
      <c r="AV117" s="27">
        <f t="shared" si="133"/>
        <v>0</v>
      </c>
      <c r="AW117" s="28">
        <f t="shared" si="134"/>
        <v>0</v>
      </c>
      <c r="AX117" s="241">
        <f t="shared" si="135"/>
        <v>0</v>
      </c>
      <c r="AY117" s="27">
        <f t="shared" si="136"/>
        <v>0</v>
      </c>
      <c r="AZ117" s="28">
        <f t="shared" si="137"/>
        <v>0</v>
      </c>
      <c r="BA117" s="241">
        <f t="shared" si="138"/>
        <v>0</v>
      </c>
      <c r="BB117" s="27">
        <f t="shared" si="139"/>
        <v>0</v>
      </c>
      <c r="BC117" s="28">
        <f t="shared" si="140"/>
        <v>0</v>
      </c>
      <c r="BD117" s="241">
        <f t="shared" si="141"/>
        <v>0</v>
      </c>
      <c r="BE117" s="27">
        <f t="shared" si="142"/>
        <v>0</v>
      </c>
      <c r="BF117" s="28">
        <f t="shared" si="143"/>
        <v>0</v>
      </c>
      <c r="BG117" s="241">
        <f t="shared" si="144"/>
        <v>0</v>
      </c>
      <c r="BH117" s="27">
        <f t="shared" si="145"/>
        <v>0</v>
      </c>
      <c r="BI117" s="28">
        <f t="shared" si="146"/>
        <v>0</v>
      </c>
      <c r="BK117" s="448">
        <f t="shared" si="87"/>
        <v>0</v>
      </c>
      <c r="BL117" s="448">
        <f t="shared" si="88"/>
        <v>0</v>
      </c>
      <c r="BM117" s="448">
        <f t="shared" si="89"/>
        <v>0</v>
      </c>
      <c r="BN117" s="448">
        <f t="shared" ca="1" si="90"/>
        <v>0</v>
      </c>
    </row>
    <row r="118" spans="1:66" s="94" customFormat="1" hidden="1" outlineLevel="1" x14ac:dyDescent="0.3">
      <c r="A118" s="22" t="s">
        <v>141</v>
      </c>
      <c r="B118" s="2"/>
      <c r="C118" s="24"/>
      <c r="D118" s="55"/>
      <c r="E118" s="87"/>
      <c r="F118" s="41"/>
      <c r="G118" s="33"/>
      <c r="H118" s="241">
        <v>0</v>
      </c>
      <c r="I118" s="27">
        <v>0</v>
      </c>
      <c r="J118" s="28">
        <f>SUMIFS(Aut_BlueMe_Sem_Pedido!$J:$J,Aut_BlueMe_Sem_Pedido!$Q:$Q,DRE!H$4,Aut_BlueMe_Sem_Pedido!$N:$N,DRE!$A118,Aut_BlueMe_Sem_Pedido!$H:$H,"MDO PJ Fixo")+SUMIFS(Aut_Ajustes_Manuais!$G:$G,Aut_Ajustes_Manuais!$I:$I,DRE!H$4,Aut_Ajustes_Manuais!$F:$F,"  - Chefe de Fila")</f>
        <v>0</v>
      </c>
      <c r="K118" s="241">
        <v>0</v>
      </c>
      <c r="L118" s="27">
        <v>0</v>
      </c>
      <c r="M118" s="28">
        <f>SUMIFS(Aut_BlueMe_Sem_Pedido!$J:$J,Aut_BlueMe_Sem_Pedido!$Q:$Q,DRE!K$4,Aut_BlueMe_Sem_Pedido!$N:$N,DRE!$A118,Aut_BlueMe_Sem_Pedido!$H:$H,"MDO PJ Fixo")+SUMIFS(Aut_Ajustes_Manuais!$G:$G,Aut_Ajustes_Manuais!$I:$I,DRE!K$4,Aut_Ajustes_Manuais!$F:$F,"  - Chefe de Fila")</f>
        <v>0</v>
      </c>
      <c r="N118" s="241">
        <v>0</v>
      </c>
      <c r="O118" s="27">
        <v>0</v>
      </c>
      <c r="P118" s="28">
        <f>SUMIFS(Aut_BlueMe_Sem_Pedido!$J:$J,Aut_BlueMe_Sem_Pedido!$Q:$Q,DRE!N$4,Aut_BlueMe_Sem_Pedido!$N:$N,DRE!$A118,Aut_BlueMe_Sem_Pedido!$H:$H,"MDO PJ Fixo")+SUMIFS(Aut_Ajustes_Manuais!$G:$G,Aut_Ajustes_Manuais!$I:$I,DRE!N$4,Aut_Ajustes_Manuais!$F:$F,"  - Chefe de Fila")</f>
        <v>0</v>
      </c>
      <c r="Q118" s="241">
        <v>0</v>
      </c>
      <c r="R118" s="27">
        <v>0</v>
      </c>
      <c r="S118" s="28">
        <f>SUMIFS(Aut_BlueMe_Sem_Pedido!$J:$J,Aut_BlueMe_Sem_Pedido!$Q:$Q,DRE!Q$4,Aut_BlueMe_Sem_Pedido!$N:$N,DRE!$A118,Aut_BlueMe_Sem_Pedido!$H:$H,"MDO PJ Fixo")+SUMIFS(Aut_Ajustes_Manuais!$G:$G,Aut_Ajustes_Manuais!$I:$I,DRE!Q$4,Aut_Ajustes_Manuais!$F:$F,"  - Chefe de Fila")</f>
        <v>0</v>
      </c>
      <c r="T118" s="241">
        <v>0</v>
      </c>
      <c r="U118" s="27">
        <v>0</v>
      </c>
      <c r="V118" s="28">
        <f>SUMIFS(Aut_BlueMe_Sem_Pedido!$J:$J,Aut_BlueMe_Sem_Pedido!$Q:$Q,DRE!T$4,Aut_BlueMe_Sem_Pedido!$N:$N,DRE!$A118,Aut_BlueMe_Sem_Pedido!$H:$H,"MDO PJ Fixo")+SUMIFS(Aut_Ajustes_Manuais!$G:$G,Aut_Ajustes_Manuais!$I:$I,DRE!T$4,Aut_Ajustes_Manuais!$F:$F,"  - Chefe de Fila")</f>
        <v>0</v>
      </c>
      <c r="W118" s="241">
        <v>0</v>
      </c>
      <c r="X118" s="27">
        <v>0</v>
      </c>
      <c r="Y118" s="28">
        <f>SUMIFS(Aut_BlueMe_Sem_Pedido!$J:$J,Aut_BlueMe_Sem_Pedido!$Q:$Q,DRE!W$4,Aut_BlueMe_Sem_Pedido!$N:$N,DRE!$A118,Aut_BlueMe_Sem_Pedido!$H:$H,"MDO PJ Fixo")+SUMIFS(Aut_Ajustes_Manuais!$G:$G,Aut_Ajustes_Manuais!$I:$I,DRE!W$4,Aut_Ajustes_Manuais!$F:$F,"  - Chefe de Fila")</f>
        <v>0</v>
      </c>
      <c r="Z118" s="241">
        <v>0</v>
      </c>
      <c r="AA118" s="27">
        <v>0</v>
      </c>
      <c r="AB118" s="28">
        <f>SUMIFS(Aut_BlueMe_Sem_Pedido!$J:$J,Aut_BlueMe_Sem_Pedido!$Q:$Q,DRE!Z$4,Aut_BlueMe_Sem_Pedido!$N:$N,DRE!$A118,Aut_BlueMe_Sem_Pedido!$H:$H,"MDO PJ Fixo")+SUMIFS(Aut_Ajustes_Manuais!$G:$G,Aut_Ajustes_Manuais!$I:$I,DRE!Z$4,Aut_Ajustes_Manuais!$F:$F,"  - Chefe de Fila")</f>
        <v>0</v>
      </c>
      <c r="AC118" s="241">
        <v>0</v>
      </c>
      <c r="AD118" s="27">
        <v>0</v>
      </c>
      <c r="AE118" s="28">
        <f>SUMIFS(Aut_BlueMe_Sem_Pedido!$J:$J,Aut_BlueMe_Sem_Pedido!$Q:$Q,DRE!AC$4,Aut_BlueMe_Sem_Pedido!$N:$N,DRE!$A118,Aut_BlueMe_Sem_Pedido!$H:$H,"MDO PJ Fixo")+SUMIFS(Aut_Ajustes_Manuais!$G:$G,Aut_Ajustes_Manuais!$I:$I,DRE!AC$4,Aut_Ajustes_Manuais!$F:$F,"  - Chefe de Fila")</f>
        <v>0</v>
      </c>
      <c r="AF118" s="241">
        <v>0</v>
      </c>
      <c r="AG118" s="27">
        <v>0</v>
      </c>
      <c r="AH118" s="28">
        <f>SUMIFS(Aut_BlueMe_Sem_Pedido!$J:$J,Aut_BlueMe_Sem_Pedido!$Q:$Q,DRE!AF$4,Aut_BlueMe_Sem_Pedido!$N:$N,DRE!$A118,Aut_BlueMe_Sem_Pedido!$H:$H,"MDO PJ Fixo")+SUMIFS(Aut_Ajustes_Manuais!$G:$G,Aut_Ajustes_Manuais!$I:$I,DRE!AF$4,Aut_Ajustes_Manuais!$F:$F,"  - Chefe de Fila")</f>
        <v>0</v>
      </c>
      <c r="AI118" s="241">
        <v>0</v>
      </c>
      <c r="AJ118" s="27">
        <v>0</v>
      </c>
      <c r="AK118" s="28">
        <f>SUMIFS(Aut_BlueMe_Sem_Pedido!$J:$J,Aut_BlueMe_Sem_Pedido!$Q:$Q,DRE!AI$4,Aut_BlueMe_Sem_Pedido!$N:$N,DRE!$A118,Aut_BlueMe_Sem_Pedido!$H:$H,"MDO PJ Fixo")+SUMIFS(Aut_Ajustes_Manuais!$G:$G,Aut_Ajustes_Manuais!$I:$I,DRE!AI$4,Aut_Ajustes_Manuais!$F:$F,"  - Chefe de Fila")</f>
        <v>0</v>
      </c>
      <c r="AL118" s="241">
        <v>0</v>
      </c>
      <c r="AM118" s="27">
        <v>0</v>
      </c>
      <c r="AN118" s="28">
        <f>SUMIFS(Aut_BlueMe_Sem_Pedido!$J:$J,Aut_BlueMe_Sem_Pedido!$Q:$Q,DRE!AL$4,Aut_BlueMe_Sem_Pedido!$N:$N,DRE!$A118,Aut_BlueMe_Sem_Pedido!$H:$H,"MDO PJ Fixo")+SUMIFS(Aut_Ajustes_Manuais!$G:$G,Aut_Ajustes_Manuais!$I:$I,DRE!AL$4,Aut_Ajustes_Manuais!$F:$F,"  - Chefe de Fila")</f>
        <v>0</v>
      </c>
      <c r="AO118" s="241">
        <v>0</v>
      </c>
      <c r="AP118" s="27">
        <v>0</v>
      </c>
      <c r="AQ118" s="28">
        <f>SUMIFS(Aut_BlueMe_Sem_Pedido!$J:$J,Aut_BlueMe_Sem_Pedido!$Q:$Q,DRE!AO$4,Aut_BlueMe_Sem_Pedido!$N:$N,DRE!$A118,Aut_BlueMe_Sem_Pedido!$H:$H,"MDO PJ Fixo")+SUMIFS(Aut_Ajustes_Manuais!$G:$G,Aut_Ajustes_Manuais!$I:$I,DRE!AO$4,Aut_Ajustes_Manuais!$F:$F,"  - Chefe de Fila")</f>
        <v>0</v>
      </c>
      <c r="AR118" s="241">
        <f t="shared" ca="1" si="128"/>
        <v>0</v>
      </c>
      <c r="AS118" s="27">
        <f t="shared" ca="1" si="129"/>
        <v>0</v>
      </c>
      <c r="AT118" s="28">
        <f t="shared" ca="1" si="130"/>
        <v>0</v>
      </c>
      <c r="AU118" s="241">
        <f t="shared" si="132"/>
        <v>0</v>
      </c>
      <c r="AV118" s="27">
        <f t="shared" si="133"/>
        <v>0</v>
      </c>
      <c r="AW118" s="28">
        <f t="shared" si="134"/>
        <v>0</v>
      </c>
      <c r="AX118" s="241">
        <f t="shared" si="135"/>
        <v>0</v>
      </c>
      <c r="AY118" s="27">
        <f t="shared" si="136"/>
        <v>0</v>
      </c>
      <c r="AZ118" s="28">
        <f t="shared" si="137"/>
        <v>0</v>
      </c>
      <c r="BA118" s="241">
        <f t="shared" si="138"/>
        <v>0</v>
      </c>
      <c r="BB118" s="27">
        <f t="shared" si="139"/>
        <v>0</v>
      </c>
      <c r="BC118" s="28">
        <f t="shared" si="140"/>
        <v>0</v>
      </c>
      <c r="BD118" s="241">
        <f t="shared" si="141"/>
        <v>0</v>
      </c>
      <c r="BE118" s="27">
        <f t="shared" si="142"/>
        <v>0</v>
      </c>
      <c r="BF118" s="28">
        <f t="shared" si="143"/>
        <v>0</v>
      </c>
      <c r="BG118" s="241">
        <f t="shared" si="144"/>
        <v>0</v>
      </c>
      <c r="BH118" s="27">
        <f t="shared" si="145"/>
        <v>0</v>
      </c>
      <c r="BI118" s="28">
        <f t="shared" si="146"/>
        <v>0</v>
      </c>
      <c r="BK118" s="448">
        <f t="shared" si="87"/>
        <v>0</v>
      </c>
      <c r="BL118" s="448">
        <f t="shared" si="88"/>
        <v>0</v>
      </c>
      <c r="BM118" s="448">
        <f t="shared" si="89"/>
        <v>0</v>
      </c>
      <c r="BN118" s="448">
        <f t="shared" ca="1" si="90"/>
        <v>0</v>
      </c>
    </row>
    <row r="119" spans="1:66" s="94" customFormat="1" hidden="1" outlineLevel="1" x14ac:dyDescent="0.3">
      <c r="A119" s="22" t="s">
        <v>142</v>
      </c>
      <c r="B119" s="2"/>
      <c r="C119" s="24"/>
      <c r="D119" s="55"/>
      <c r="E119" s="87"/>
      <c r="F119" s="41"/>
      <c r="G119" s="33"/>
      <c r="H119" s="241">
        <v>0</v>
      </c>
      <c r="I119" s="27">
        <v>0</v>
      </c>
      <c r="J119" s="28">
        <f>SUMIFS(Aut_BlueMe_Sem_Pedido!$J:$J,Aut_BlueMe_Sem_Pedido!$Q:$Q,DRE!H$4,Aut_BlueMe_Sem_Pedido!$N:$N,DRE!$A119,Aut_BlueMe_Sem_Pedido!$H:$H,"MDO PJ Fixo")+SUMIFS(Aut_Ajustes_Manuais!$G:$G,Aut_Ajustes_Manuais!$I:$I,DRE!H$4,Aut_Ajustes_Manuais!$F:$F,"  - Hostess")</f>
        <v>0</v>
      </c>
      <c r="K119" s="241">
        <v>0</v>
      </c>
      <c r="L119" s="27">
        <v>0</v>
      </c>
      <c r="M119" s="28">
        <f>SUMIFS(Aut_BlueMe_Sem_Pedido!$J:$J,Aut_BlueMe_Sem_Pedido!$Q:$Q,DRE!K$4,Aut_BlueMe_Sem_Pedido!$N:$N,DRE!$A119,Aut_BlueMe_Sem_Pedido!$H:$H,"MDO PJ Fixo")+SUMIFS(Aut_Ajustes_Manuais!$G:$G,Aut_Ajustes_Manuais!$I:$I,DRE!K$4,Aut_Ajustes_Manuais!$F:$F,"  - Hostess")</f>
        <v>0</v>
      </c>
      <c r="N119" s="241">
        <v>0</v>
      </c>
      <c r="O119" s="27">
        <v>0</v>
      </c>
      <c r="P119" s="28">
        <f>SUMIFS(Aut_BlueMe_Sem_Pedido!$J:$J,Aut_BlueMe_Sem_Pedido!$Q:$Q,DRE!N$4,Aut_BlueMe_Sem_Pedido!$N:$N,DRE!$A119,Aut_BlueMe_Sem_Pedido!$H:$H,"MDO PJ Fixo")+SUMIFS(Aut_Ajustes_Manuais!$G:$G,Aut_Ajustes_Manuais!$I:$I,DRE!N$4,Aut_Ajustes_Manuais!$F:$F,"  - Hostess")</f>
        <v>0</v>
      </c>
      <c r="Q119" s="241">
        <v>0</v>
      </c>
      <c r="R119" s="27">
        <v>0</v>
      </c>
      <c r="S119" s="28">
        <f>SUMIFS(Aut_BlueMe_Sem_Pedido!$J:$J,Aut_BlueMe_Sem_Pedido!$Q:$Q,DRE!Q$4,Aut_BlueMe_Sem_Pedido!$N:$N,DRE!$A119,Aut_BlueMe_Sem_Pedido!$H:$H,"MDO PJ Fixo")+SUMIFS(Aut_Ajustes_Manuais!$G:$G,Aut_Ajustes_Manuais!$I:$I,DRE!Q$4,Aut_Ajustes_Manuais!$F:$F,"  - Hostess")</f>
        <v>0</v>
      </c>
      <c r="T119" s="241">
        <v>0</v>
      </c>
      <c r="U119" s="27">
        <v>0</v>
      </c>
      <c r="V119" s="28">
        <f>SUMIFS(Aut_BlueMe_Sem_Pedido!$J:$J,Aut_BlueMe_Sem_Pedido!$Q:$Q,DRE!T$4,Aut_BlueMe_Sem_Pedido!$N:$N,DRE!$A119,Aut_BlueMe_Sem_Pedido!$H:$H,"MDO PJ Fixo")+SUMIFS(Aut_Ajustes_Manuais!$G:$G,Aut_Ajustes_Manuais!$I:$I,DRE!T$4,Aut_Ajustes_Manuais!$F:$F,"  - Hostess")</f>
        <v>0</v>
      </c>
      <c r="W119" s="241">
        <v>0</v>
      </c>
      <c r="X119" s="27">
        <v>0</v>
      </c>
      <c r="Y119" s="28">
        <f>SUMIFS(Aut_BlueMe_Sem_Pedido!$J:$J,Aut_BlueMe_Sem_Pedido!$Q:$Q,DRE!W$4,Aut_BlueMe_Sem_Pedido!$N:$N,DRE!$A119,Aut_BlueMe_Sem_Pedido!$H:$H,"MDO PJ Fixo")+SUMIFS(Aut_Ajustes_Manuais!$G:$G,Aut_Ajustes_Manuais!$I:$I,DRE!W$4,Aut_Ajustes_Manuais!$F:$F,"  - Hostess")</f>
        <v>0</v>
      </c>
      <c r="Z119" s="241">
        <v>0</v>
      </c>
      <c r="AA119" s="27">
        <v>0</v>
      </c>
      <c r="AB119" s="28">
        <f>SUMIFS(Aut_BlueMe_Sem_Pedido!$J:$J,Aut_BlueMe_Sem_Pedido!$Q:$Q,DRE!Z$4,Aut_BlueMe_Sem_Pedido!$N:$N,DRE!$A119,Aut_BlueMe_Sem_Pedido!$H:$H,"MDO PJ Fixo")+SUMIFS(Aut_Ajustes_Manuais!$G:$G,Aut_Ajustes_Manuais!$I:$I,DRE!Z$4,Aut_Ajustes_Manuais!$F:$F,"  - Hostess")</f>
        <v>0</v>
      </c>
      <c r="AC119" s="241">
        <v>0</v>
      </c>
      <c r="AD119" s="27">
        <v>0</v>
      </c>
      <c r="AE119" s="28">
        <f>SUMIFS(Aut_BlueMe_Sem_Pedido!$J:$J,Aut_BlueMe_Sem_Pedido!$Q:$Q,DRE!AC$4,Aut_BlueMe_Sem_Pedido!$N:$N,DRE!$A119,Aut_BlueMe_Sem_Pedido!$H:$H,"MDO PJ Fixo")+SUMIFS(Aut_Ajustes_Manuais!$G:$G,Aut_Ajustes_Manuais!$I:$I,DRE!AC$4,Aut_Ajustes_Manuais!$F:$F,"  - Hostess")</f>
        <v>0</v>
      </c>
      <c r="AF119" s="241">
        <v>0</v>
      </c>
      <c r="AG119" s="27">
        <v>0</v>
      </c>
      <c r="AH119" s="28">
        <f>SUMIFS(Aut_BlueMe_Sem_Pedido!$J:$J,Aut_BlueMe_Sem_Pedido!$Q:$Q,DRE!AF$4,Aut_BlueMe_Sem_Pedido!$N:$N,DRE!$A119,Aut_BlueMe_Sem_Pedido!$H:$H,"MDO PJ Fixo")+SUMIFS(Aut_Ajustes_Manuais!$G:$G,Aut_Ajustes_Manuais!$I:$I,DRE!AF$4,Aut_Ajustes_Manuais!$F:$F,"  - Hostess")</f>
        <v>0</v>
      </c>
      <c r="AI119" s="241">
        <v>0</v>
      </c>
      <c r="AJ119" s="27">
        <v>0</v>
      </c>
      <c r="AK119" s="28">
        <f>SUMIFS(Aut_BlueMe_Sem_Pedido!$J:$J,Aut_BlueMe_Sem_Pedido!$Q:$Q,DRE!AI$4,Aut_BlueMe_Sem_Pedido!$N:$N,DRE!$A119,Aut_BlueMe_Sem_Pedido!$H:$H,"MDO PJ Fixo")+SUMIFS(Aut_Ajustes_Manuais!$G:$G,Aut_Ajustes_Manuais!$I:$I,DRE!AI$4,Aut_Ajustes_Manuais!$F:$F,"  - Hostess")</f>
        <v>0</v>
      </c>
      <c r="AL119" s="241">
        <v>0</v>
      </c>
      <c r="AM119" s="27">
        <v>0</v>
      </c>
      <c r="AN119" s="28">
        <f>SUMIFS(Aut_BlueMe_Sem_Pedido!$J:$J,Aut_BlueMe_Sem_Pedido!$Q:$Q,DRE!AL$4,Aut_BlueMe_Sem_Pedido!$N:$N,DRE!$A119,Aut_BlueMe_Sem_Pedido!$H:$H,"MDO PJ Fixo")+SUMIFS(Aut_Ajustes_Manuais!$G:$G,Aut_Ajustes_Manuais!$I:$I,DRE!AL$4,Aut_Ajustes_Manuais!$F:$F,"  - Hostess")</f>
        <v>0</v>
      </c>
      <c r="AO119" s="241">
        <v>0</v>
      </c>
      <c r="AP119" s="27">
        <v>0</v>
      </c>
      <c r="AQ119" s="28">
        <f>SUMIFS(Aut_BlueMe_Sem_Pedido!$J:$J,Aut_BlueMe_Sem_Pedido!$Q:$Q,DRE!AO$4,Aut_BlueMe_Sem_Pedido!$N:$N,DRE!$A119,Aut_BlueMe_Sem_Pedido!$H:$H,"MDO PJ Fixo")+SUMIFS(Aut_Ajustes_Manuais!$G:$G,Aut_Ajustes_Manuais!$I:$I,DRE!AO$4,Aut_Ajustes_Manuais!$F:$F,"  - Hostess")</f>
        <v>0</v>
      </c>
      <c r="AR119" s="241">
        <f t="shared" ca="1" si="128"/>
        <v>0</v>
      </c>
      <c r="AS119" s="27">
        <f t="shared" ca="1" si="129"/>
        <v>0</v>
      </c>
      <c r="AT119" s="28">
        <f t="shared" ca="1" si="130"/>
        <v>0</v>
      </c>
      <c r="AU119" s="241">
        <f t="shared" si="132"/>
        <v>0</v>
      </c>
      <c r="AV119" s="27">
        <f t="shared" si="133"/>
        <v>0</v>
      </c>
      <c r="AW119" s="28">
        <f t="shared" si="134"/>
        <v>0</v>
      </c>
      <c r="AX119" s="241">
        <f t="shared" si="135"/>
        <v>0</v>
      </c>
      <c r="AY119" s="27">
        <f t="shared" si="136"/>
        <v>0</v>
      </c>
      <c r="AZ119" s="28">
        <f t="shared" si="137"/>
        <v>0</v>
      </c>
      <c r="BA119" s="241">
        <f t="shared" si="138"/>
        <v>0</v>
      </c>
      <c r="BB119" s="27">
        <f t="shared" si="139"/>
        <v>0</v>
      </c>
      <c r="BC119" s="28">
        <f t="shared" si="140"/>
        <v>0</v>
      </c>
      <c r="BD119" s="241">
        <f t="shared" si="141"/>
        <v>0</v>
      </c>
      <c r="BE119" s="27">
        <f t="shared" si="142"/>
        <v>0</v>
      </c>
      <c r="BF119" s="28">
        <f t="shared" si="143"/>
        <v>0</v>
      </c>
      <c r="BG119" s="241">
        <f t="shared" si="144"/>
        <v>0</v>
      </c>
      <c r="BH119" s="27">
        <f t="shared" si="145"/>
        <v>0</v>
      </c>
      <c r="BI119" s="28">
        <f t="shared" si="146"/>
        <v>0</v>
      </c>
      <c r="BK119" s="448">
        <f t="shared" si="87"/>
        <v>0</v>
      </c>
      <c r="BL119" s="448">
        <f t="shared" si="88"/>
        <v>0</v>
      </c>
      <c r="BM119" s="448">
        <f t="shared" si="89"/>
        <v>0</v>
      </c>
      <c r="BN119" s="448">
        <f t="shared" ca="1" si="90"/>
        <v>0</v>
      </c>
    </row>
    <row r="120" spans="1:66" collapsed="1" x14ac:dyDescent="0.3">
      <c r="A120" s="73" t="s">
        <v>143</v>
      </c>
      <c r="C120" s="40" t="s">
        <v>37</v>
      </c>
      <c r="D120" s="40" t="s">
        <v>38</v>
      </c>
      <c r="E120" s="40" t="s">
        <v>39</v>
      </c>
      <c r="F120" s="41"/>
      <c r="G120" s="86"/>
      <c r="H120" s="252">
        <v>-15088.9</v>
      </c>
      <c r="I120" s="74">
        <v>-18119.310000000001</v>
      </c>
      <c r="J120" s="76">
        <f>SUMIFS(Aut_BlueMe_Sem_Pedido!$J:$J,Aut_BlueMe_Sem_Pedido!$Q:$Q,DRE!H$4,Aut_BlueMe_Sem_Pedido!$H:$H,"MDO CLT - Salário")+SUMIFS(Aut_Folha!$J:$J,Aut_Folha!$K:$K,DRE!H$4,Aut_Folha!$G:$G,"Gorjeta")+SUMIFS(Aut_BlueMe_Sem_Pedido!$J:$J,Aut_BlueMe_Sem_Pedido!$Q:$Q,DRE!H$4,Aut_BlueMe_Sem_Pedido!$H:$H,"IRRF - MDO CLT - Salário")+SUMIFS(Aut_BlueMe_Sem_Pedido!$J:$J,Aut_BlueMe_Sem_Pedido!$Q:$Q,DRE!H$4,Aut_BlueMe_Sem_Pedido!$H:$H,"  -  INSS Segurados")+SUMIFS(Aut_Ajustes_Manuais!$G:$G,Aut_Ajustes_Manuais!$I:$I,DRE!H$4,Aut_Ajustes_Manuais!$F:$F,"MDO CLT - Salário")</f>
        <v>-18489.050000000003</v>
      </c>
      <c r="K120" s="252">
        <v>-14243.37</v>
      </c>
      <c r="L120" s="74">
        <v>-22045.17</v>
      </c>
      <c r="M120" s="76">
        <f>SUMIFS(Aut_BlueMe_Sem_Pedido!$J:$J,Aut_BlueMe_Sem_Pedido!$Q:$Q,DRE!K$4,Aut_BlueMe_Sem_Pedido!$H:$H,"MDO CLT - Salário")+SUMIFS(Aut_Folha!$J:$J,Aut_Folha!$K:$K,DRE!K$4,Aut_Folha!$G:$G,"Gorjeta")+SUMIFS(Aut_BlueMe_Sem_Pedido!$J:$J,Aut_BlueMe_Sem_Pedido!$Q:$Q,DRE!K$4,Aut_BlueMe_Sem_Pedido!$H:$H,"IRRF - MDO CLT - Salário")+SUMIFS(Aut_BlueMe_Sem_Pedido!$J:$J,Aut_BlueMe_Sem_Pedido!$Q:$Q,DRE!K$4,Aut_BlueMe_Sem_Pedido!$H:$H,"  -  INSS Segurados")+SUMIFS(Aut_Ajustes_Manuais!$G:$G,Aut_Ajustes_Manuais!$I:$I,DRE!K$4,Aut_Ajustes_Manuais!$F:$F,"MDO CLT - Salário")</f>
        <v>-18193.54</v>
      </c>
      <c r="N120" s="252">
        <v>-13868.02</v>
      </c>
      <c r="O120" s="74">
        <v>-22045.17</v>
      </c>
      <c r="P120" s="76">
        <f>SUMIFS(Aut_BlueMe_Sem_Pedido!$J:$J,Aut_BlueMe_Sem_Pedido!$Q:$Q,DRE!N$4,Aut_BlueMe_Sem_Pedido!$H:$H,"MDO CLT - Salário")+SUMIFS(Aut_Folha!$J:$J,Aut_Folha!$K:$K,DRE!N$4,Aut_Folha!$G:$G,"Gorjeta")+SUMIFS(Aut_BlueMe_Sem_Pedido!$J:$J,Aut_BlueMe_Sem_Pedido!$Q:$Q,DRE!N$4,Aut_BlueMe_Sem_Pedido!$H:$H,"IRRF - MDO CLT - Salário")+SUMIFS(Aut_BlueMe_Sem_Pedido!$J:$J,Aut_BlueMe_Sem_Pedido!$Q:$Q,DRE!N$4,Aut_BlueMe_Sem_Pedido!$H:$H,"  -  INSS Segurados")+SUMIFS(Aut_Ajustes_Manuais!$G:$G,Aut_Ajustes_Manuais!$I:$I,DRE!N$4,Aut_Ajustes_Manuais!$F:$F,"MDO CLT - Salário")</f>
        <v>-17131.410000000003</v>
      </c>
      <c r="Q120" s="252">
        <v>-12588.38</v>
      </c>
      <c r="R120" s="74">
        <v>-23983.73</v>
      </c>
      <c r="S120" s="76">
        <f>SUMIFS(Aut_BlueMe_Sem_Pedido!$J:$J,Aut_BlueMe_Sem_Pedido!$Q:$Q,DRE!Q$4,Aut_BlueMe_Sem_Pedido!$H:$H,"MDO CLT - Salário")+SUMIFS(Aut_Folha!$J:$J,Aut_Folha!$K:$K,DRE!Q$4,Aut_Folha!$G:$G,"Gorjeta")+SUMIFS(Aut_BlueMe_Sem_Pedido!$J:$J,Aut_BlueMe_Sem_Pedido!$Q:$Q,DRE!Q$4,Aut_BlueMe_Sem_Pedido!$H:$H,"IRRF - MDO CLT - Salário")+SUMIFS(Aut_BlueMe_Sem_Pedido!$J:$J,Aut_BlueMe_Sem_Pedido!$Q:$Q,DRE!Q$4,Aut_BlueMe_Sem_Pedido!$H:$H,"  -  INSS Segurados")+SUMIFS(Aut_Ajustes_Manuais!$G:$G,Aut_Ajustes_Manuais!$I:$I,DRE!Q$4,Aut_Ajustes_Manuais!$F:$F,"MDO CLT - Salário")</f>
        <v>-17585.63</v>
      </c>
      <c r="T120" s="252">
        <v>-14306.47</v>
      </c>
      <c r="U120" s="74">
        <v>-23983.73</v>
      </c>
      <c r="V120" s="76">
        <f>SUMIFS(Aut_BlueMe_Sem_Pedido!$J:$J,Aut_BlueMe_Sem_Pedido!$Q:$Q,DRE!T$4,Aut_BlueMe_Sem_Pedido!$H:$H,"MDO CLT - Salário")+SUMIFS(Aut_Folha!$J:$J,Aut_Folha!$K:$K,DRE!T$4,Aut_Folha!$G:$G,"Gorjeta")+SUMIFS(Aut_BlueMe_Sem_Pedido!$J:$J,Aut_BlueMe_Sem_Pedido!$Q:$Q,DRE!T$4,Aut_BlueMe_Sem_Pedido!$H:$H,"IRRF - MDO CLT - Salário")+SUMIFS(Aut_BlueMe_Sem_Pedido!$J:$J,Aut_BlueMe_Sem_Pedido!$Q:$Q,DRE!T$4,Aut_BlueMe_Sem_Pedido!$H:$H,"  -  INSS Segurados")+SUMIFS(Aut_Ajustes_Manuais!$G:$G,Aut_Ajustes_Manuais!$I:$I,DRE!T$4,Aut_Ajustes_Manuais!$F:$F,"MDO CLT - Salário")</f>
        <v>-17246.39</v>
      </c>
      <c r="W120" s="252">
        <v>-14594.8</v>
      </c>
      <c r="X120" s="74">
        <v>-24991.04666</v>
      </c>
      <c r="Y120" s="76">
        <f>SUMIFS(Aut_BlueMe_Sem_Pedido!$J:$J,Aut_BlueMe_Sem_Pedido!$Q:$Q,DRE!W$4,Aut_BlueMe_Sem_Pedido!$H:$H,"MDO CLT - Salário")+SUMIFS(Aut_Folha!$J:$J,Aut_Folha!$K:$K,DRE!W$4,Aut_Folha!$G:$G,"Gorjeta")+SUMIFS(Aut_BlueMe_Sem_Pedido!$J:$J,Aut_BlueMe_Sem_Pedido!$Q:$Q,DRE!W$4,Aut_BlueMe_Sem_Pedido!$H:$H,"IRRF - MDO CLT - Salário")+SUMIFS(Aut_BlueMe_Sem_Pedido!$J:$J,Aut_BlueMe_Sem_Pedido!$Q:$Q,DRE!W$4,Aut_BlueMe_Sem_Pedido!$H:$H,"  -  INSS Segurados")+SUMIFS(Aut_Ajustes_Manuais!$G:$G,Aut_Ajustes_Manuais!$I:$I,DRE!W$4,Aut_Ajustes_Manuais!$F:$F,"MDO CLT - Salário")</f>
        <v>-18106.91</v>
      </c>
      <c r="Z120" s="252">
        <v>-15463.07</v>
      </c>
      <c r="AA120" s="74">
        <v>-24991.04666</v>
      </c>
      <c r="AB120" s="76">
        <f>SUMIFS(Aut_BlueMe_Sem_Pedido!$J:$J,Aut_BlueMe_Sem_Pedido!$Q:$Q,DRE!Z$4,Aut_BlueMe_Sem_Pedido!$H:$H,"MDO CLT - Salário")+SUMIFS(Aut_Folha!$J:$J,Aut_Folha!$K:$K,DRE!Z$4,Aut_Folha!$G:$G,"Gorjeta")+SUMIFS(Aut_BlueMe_Sem_Pedido!$J:$J,Aut_BlueMe_Sem_Pedido!$Q:$Q,DRE!Z$4,Aut_BlueMe_Sem_Pedido!$H:$H,"IRRF - MDO CLT - Salário")+SUMIFS(Aut_BlueMe_Sem_Pedido!$J:$J,Aut_BlueMe_Sem_Pedido!$Q:$Q,DRE!Z$4,Aut_BlueMe_Sem_Pedido!$H:$H,"  -  INSS Segurados")+SUMIFS(Aut_Ajustes_Manuais!$G:$G,Aut_Ajustes_Manuais!$I:$I,DRE!Z$4,Aut_Ajustes_Manuais!$F:$F,"MDO CLT - Salário")</f>
        <v>-40112</v>
      </c>
      <c r="AC120" s="252">
        <v>-13995.64</v>
      </c>
      <c r="AD120" s="74">
        <v>-24991.04666</v>
      </c>
      <c r="AE120" s="76">
        <f>SUMIFS(Aut_BlueMe_Sem_Pedido!$J:$J,Aut_BlueMe_Sem_Pedido!$Q:$Q,DRE!AC$4,Aut_BlueMe_Sem_Pedido!$H:$H,"MDO CLT - Salário")+SUMIFS(Aut_Folha!$J:$J,Aut_Folha!$K:$K,DRE!AC$4,Aut_Folha!$G:$G,"Gorjeta")+SUMIFS(Aut_BlueMe_Sem_Pedido!$J:$J,Aut_BlueMe_Sem_Pedido!$Q:$Q,DRE!AC$4,Aut_BlueMe_Sem_Pedido!$H:$H,"IRRF - MDO CLT - Salário")+SUMIFS(Aut_BlueMe_Sem_Pedido!$J:$J,Aut_BlueMe_Sem_Pedido!$Q:$Q,DRE!AC$4,Aut_BlueMe_Sem_Pedido!$H:$H,"  -  INSS Segurados")+SUMIFS(Aut_Ajustes_Manuais!$G:$G,Aut_Ajustes_Manuais!$I:$I,DRE!AC$4,Aut_Ajustes_Manuais!$F:$F,"MDO CLT - Salário")</f>
        <v>-40112</v>
      </c>
      <c r="AF120" s="252">
        <v>-15301.49</v>
      </c>
      <c r="AG120" s="74">
        <v>-24991.04666</v>
      </c>
      <c r="AH120" s="76">
        <f>SUMIFS(Aut_BlueMe_Sem_Pedido!$J:$J,Aut_BlueMe_Sem_Pedido!$Q:$Q,DRE!AF$4,Aut_BlueMe_Sem_Pedido!$H:$H,"MDO CLT - Salário")+SUMIFS(Aut_Folha!$J:$J,Aut_Folha!$K:$K,DRE!AF$4,Aut_Folha!$G:$G,"Gorjeta")+SUMIFS(Aut_BlueMe_Sem_Pedido!$J:$J,Aut_BlueMe_Sem_Pedido!$Q:$Q,DRE!AF$4,Aut_BlueMe_Sem_Pedido!$H:$H,"IRRF - MDO CLT - Salário")+SUMIFS(Aut_BlueMe_Sem_Pedido!$J:$J,Aut_BlueMe_Sem_Pedido!$Q:$Q,DRE!AF$4,Aut_BlueMe_Sem_Pedido!$H:$H,"  -  INSS Segurados")+SUMIFS(Aut_Ajustes_Manuais!$G:$G,Aut_Ajustes_Manuais!$I:$I,DRE!AF$4,Aut_Ajustes_Manuais!$F:$F,"MDO CLT - Salário")</f>
        <v>-40112</v>
      </c>
      <c r="AI120" s="252">
        <v>-15253.91</v>
      </c>
      <c r="AJ120" s="74">
        <v>-24991.04666</v>
      </c>
      <c r="AK120" s="76">
        <f>SUMIFS(Aut_BlueMe_Sem_Pedido!$J:$J,Aut_BlueMe_Sem_Pedido!$Q:$Q,DRE!AI$4,Aut_BlueMe_Sem_Pedido!$H:$H,"MDO CLT - Salário")+SUMIFS(Aut_Folha!$J:$J,Aut_Folha!$K:$K,DRE!AI$4,Aut_Folha!$G:$G,"Gorjeta")+SUMIFS(Aut_BlueMe_Sem_Pedido!$J:$J,Aut_BlueMe_Sem_Pedido!$Q:$Q,DRE!AI$4,Aut_BlueMe_Sem_Pedido!$H:$H,"IRRF - MDO CLT - Salário")+SUMIFS(Aut_BlueMe_Sem_Pedido!$J:$J,Aut_BlueMe_Sem_Pedido!$Q:$Q,DRE!AI$4,Aut_BlueMe_Sem_Pedido!$H:$H,"  -  INSS Segurados")+SUMIFS(Aut_Ajustes_Manuais!$G:$G,Aut_Ajustes_Manuais!$I:$I,DRE!AI$4,Aut_Ajustes_Manuais!$F:$F,"MDO CLT - Salário")</f>
        <v>-40112</v>
      </c>
      <c r="AL120" s="252">
        <v>-15249.89</v>
      </c>
      <c r="AM120" s="74">
        <v>-24991.04666</v>
      </c>
      <c r="AN120" s="76">
        <f>SUMIFS(Aut_BlueMe_Sem_Pedido!$J:$J,Aut_BlueMe_Sem_Pedido!$Q:$Q,DRE!AL$4,Aut_BlueMe_Sem_Pedido!$H:$H,"MDO CLT - Salário")+SUMIFS(Aut_Folha!$J:$J,Aut_Folha!$K:$K,DRE!AL$4,Aut_Folha!$G:$G,"Gorjeta")+SUMIFS(Aut_BlueMe_Sem_Pedido!$J:$J,Aut_BlueMe_Sem_Pedido!$Q:$Q,DRE!AL$4,Aut_BlueMe_Sem_Pedido!$H:$H,"IRRF - MDO CLT - Salário")+SUMIFS(Aut_BlueMe_Sem_Pedido!$J:$J,Aut_BlueMe_Sem_Pedido!$Q:$Q,DRE!AL$4,Aut_BlueMe_Sem_Pedido!$H:$H,"  -  INSS Segurados")+SUMIFS(Aut_Ajustes_Manuais!$G:$G,Aut_Ajustes_Manuais!$I:$I,DRE!AL$4,Aut_Ajustes_Manuais!$F:$F,"MDO CLT - Salário")</f>
        <v>-40112</v>
      </c>
      <c r="AO120" s="252">
        <v>-17233.25</v>
      </c>
      <c r="AP120" s="74">
        <v>-24991.04666</v>
      </c>
      <c r="AQ120" s="76">
        <f>SUMIFS(Aut_BlueMe_Sem_Pedido!$J:$J,Aut_BlueMe_Sem_Pedido!$Q:$Q,DRE!AO$4,Aut_BlueMe_Sem_Pedido!$H:$H,"MDO CLT - Salário")+SUMIFS(Aut_Folha!$J:$J,Aut_Folha!$K:$K,DRE!AO$4,Aut_Folha!$G:$G,"Gorjeta")+SUMIFS(Aut_BlueMe_Sem_Pedido!$J:$J,Aut_BlueMe_Sem_Pedido!$Q:$Q,DRE!AO$4,Aut_BlueMe_Sem_Pedido!$H:$H,"IRRF - MDO CLT - Salário")+SUMIFS(Aut_BlueMe_Sem_Pedido!$J:$J,Aut_BlueMe_Sem_Pedido!$Q:$Q,DRE!AO$4,Aut_BlueMe_Sem_Pedido!$H:$H,"  -  INSS Segurados")+SUMIFS(Aut_Ajustes_Manuais!$G:$G,Aut_Ajustes_Manuais!$I:$I,DRE!AO$4,Aut_Ajustes_Manuais!$F:$F,"MDO CLT - Salário")</f>
        <v>-40112</v>
      </c>
      <c r="AR120" s="252">
        <f t="shared" ca="1" si="128"/>
        <v>-84689.94</v>
      </c>
      <c r="AS120" s="74">
        <f t="shared" ca="1" si="129"/>
        <v>-135168.15665999998</v>
      </c>
      <c r="AT120" s="74">
        <f t="shared" ca="1" si="130"/>
        <v>-106752.93000000001</v>
      </c>
      <c r="AU120" s="252">
        <f t="shared" si="132"/>
        <v>-177187.19</v>
      </c>
      <c r="AV120" s="74">
        <f t="shared" si="133"/>
        <v>-285114.43661999993</v>
      </c>
      <c r="AW120" s="76">
        <f t="shared" si="134"/>
        <v>-347424.93</v>
      </c>
      <c r="AX120" s="252">
        <f t="shared" si="135"/>
        <v>-43200.29</v>
      </c>
      <c r="AY120" s="74">
        <f t="shared" si="136"/>
        <v>-62209.649999999994</v>
      </c>
      <c r="AZ120" s="76">
        <f t="shared" si="137"/>
        <v>-53814.000000000007</v>
      </c>
      <c r="BA120" s="252">
        <f t="shared" si="138"/>
        <v>-41489.649999999994</v>
      </c>
      <c r="BB120" s="74">
        <f t="shared" si="139"/>
        <v>-72958.506659999999</v>
      </c>
      <c r="BC120" s="76">
        <f t="shared" si="140"/>
        <v>-52938.930000000008</v>
      </c>
      <c r="BD120" s="252">
        <f t="shared" si="141"/>
        <v>-44760.2</v>
      </c>
      <c r="BE120" s="74">
        <f t="shared" si="142"/>
        <v>-74973.139980000007</v>
      </c>
      <c r="BF120" s="76">
        <f t="shared" si="143"/>
        <v>-120336</v>
      </c>
      <c r="BG120" s="252">
        <f t="shared" si="144"/>
        <v>-47737.05</v>
      </c>
      <c r="BH120" s="74">
        <f t="shared" si="145"/>
        <v>-74973.139980000007</v>
      </c>
      <c r="BI120" s="76">
        <f t="shared" si="146"/>
        <v>-120336</v>
      </c>
      <c r="BK120" s="448">
        <f t="shared" si="87"/>
        <v>-285114.43661999993</v>
      </c>
      <c r="BL120" s="448">
        <f t="shared" si="88"/>
        <v>0</v>
      </c>
      <c r="BM120" s="448">
        <f t="shared" si="89"/>
        <v>-88646.02</v>
      </c>
      <c r="BN120" s="448">
        <f t="shared" ca="1" si="90"/>
        <v>18106.910000000003</v>
      </c>
    </row>
    <row r="121" spans="1:66" s="29" customFormat="1" hidden="1" outlineLevel="1" x14ac:dyDescent="0.3">
      <c r="A121" s="95" t="s">
        <v>144</v>
      </c>
      <c r="B121" s="2"/>
      <c r="C121" s="24"/>
      <c r="D121" s="55" t="s">
        <v>145</v>
      </c>
      <c r="E121" s="87"/>
      <c r="F121" s="56"/>
      <c r="G121" s="33"/>
      <c r="H121" s="241"/>
      <c r="I121" s="27">
        <v>0</v>
      </c>
      <c r="J121" s="28"/>
      <c r="K121" s="241"/>
      <c r="L121" s="27">
        <v>0</v>
      </c>
      <c r="M121" s="28"/>
      <c r="N121" s="241"/>
      <c r="O121" s="27">
        <v>0</v>
      </c>
      <c r="P121" s="28"/>
      <c r="Q121" s="241"/>
      <c r="R121" s="27">
        <v>0</v>
      </c>
      <c r="S121" s="28"/>
      <c r="T121" s="241"/>
      <c r="U121" s="27">
        <v>0</v>
      </c>
      <c r="V121" s="28"/>
      <c r="W121" s="241"/>
      <c r="X121" s="27">
        <v>0</v>
      </c>
      <c r="Y121" s="28"/>
      <c r="Z121" s="241"/>
      <c r="AA121" s="27">
        <v>0</v>
      </c>
      <c r="AB121" s="28"/>
      <c r="AC121" s="241"/>
      <c r="AD121" s="27">
        <v>0</v>
      </c>
      <c r="AE121" s="28"/>
      <c r="AF121" s="241"/>
      <c r="AG121" s="27">
        <v>0</v>
      </c>
      <c r="AH121" s="28"/>
      <c r="AI121" s="241"/>
      <c r="AJ121" s="27">
        <v>0</v>
      </c>
      <c r="AK121" s="28"/>
      <c r="AL121" s="241"/>
      <c r="AM121" s="27">
        <v>0</v>
      </c>
      <c r="AN121" s="28"/>
      <c r="AO121" s="241"/>
      <c r="AP121" s="27">
        <v>0</v>
      </c>
      <c r="AQ121" s="28"/>
      <c r="AR121" s="241">
        <f t="shared" ca="1" si="128"/>
        <v>0</v>
      </c>
      <c r="AS121" s="27">
        <f t="shared" ca="1" si="129"/>
        <v>0</v>
      </c>
      <c r="AT121" s="28">
        <f t="shared" ca="1" si="130"/>
        <v>0</v>
      </c>
      <c r="AU121" s="241"/>
      <c r="AV121" s="27"/>
      <c r="AW121" s="28"/>
      <c r="AX121" s="241"/>
      <c r="AY121" s="27">
        <v>-8835.119999999999</v>
      </c>
      <c r="AZ121" s="28"/>
      <c r="BA121" s="241"/>
      <c r="BB121" s="27">
        <v>-9082.5033599999988</v>
      </c>
      <c r="BC121" s="28"/>
      <c r="BD121" s="241"/>
      <c r="BE121" s="27">
        <v>-9206.1950399999987</v>
      </c>
      <c r="BF121" s="28"/>
      <c r="BG121" s="241"/>
      <c r="BH121" s="27">
        <v>-9206.1950399999987</v>
      </c>
      <c r="BI121" s="28"/>
      <c r="BK121" s="448">
        <f t="shared" si="87"/>
        <v>0</v>
      </c>
      <c r="BL121" s="448">
        <f t="shared" si="88"/>
        <v>0</v>
      </c>
      <c r="BM121" s="448">
        <f t="shared" si="89"/>
        <v>0</v>
      </c>
      <c r="BN121" s="448">
        <f t="shared" ca="1" si="90"/>
        <v>0</v>
      </c>
    </row>
    <row r="122" spans="1:66" s="29" customFormat="1" hidden="1" outlineLevel="1" x14ac:dyDescent="0.3">
      <c r="A122" s="95" t="s">
        <v>146</v>
      </c>
      <c r="B122" s="2"/>
      <c r="C122" s="24"/>
      <c r="D122" s="55" t="s">
        <v>145</v>
      </c>
      <c r="E122" s="87"/>
      <c r="F122" s="56"/>
      <c r="G122" s="33"/>
      <c r="H122" s="241"/>
      <c r="I122" s="27">
        <v>0</v>
      </c>
      <c r="J122" s="28"/>
      <c r="K122" s="241"/>
      <c r="L122" s="27">
        <v>0</v>
      </c>
      <c r="M122" s="28"/>
      <c r="N122" s="241"/>
      <c r="O122" s="27">
        <v>0</v>
      </c>
      <c r="P122" s="28"/>
      <c r="Q122" s="241"/>
      <c r="R122" s="27">
        <v>0</v>
      </c>
      <c r="S122" s="28"/>
      <c r="T122" s="241"/>
      <c r="U122" s="27">
        <v>0</v>
      </c>
      <c r="V122" s="28"/>
      <c r="W122" s="241"/>
      <c r="X122" s="27">
        <v>0</v>
      </c>
      <c r="Y122" s="28"/>
      <c r="Z122" s="241"/>
      <c r="AA122" s="27">
        <v>0</v>
      </c>
      <c r="AB122" s="28"/>
      <c r="AC122" s="241"/>
      <c r="AD122" s="27">
        <v>0</v>
      </c>
      <c r="AE122" s="28"/>
      <c r="AF122" s="241"/>
      <c r="AG122" s="27">
        <v>0</v>
      </c>
      <c r="AH122" s="28"/>
      <c r="AI122" s="241"/>
      <c r="AJ122" s="27">
        <v>0</v>
      </c>
      <c r="AK122" s="28"/>
      <c r="AL122" s="241"/>
      <c r="AM122" s="27">
        <v>0</v>
      </c>
      <c r="AN122" s="28"/>
      <c r="AO122" s="241"/>
      <c r="AP122" s="27">
        <v>0</v>
      </c>
      <c r="AQ122" s="28"/>
      <c r="AR122" s="241">
        <f t="shared" ca="1" si="128"/>
        <v>0</v>
      </c>
      <c r="AS122" s="27">
        <f t="shared" ca="1" si="129"/>
        <v>0</v>
      </c>
      <c r="AT122" s="28">
        <f t="shared" ca="1" si="130"/>
        <v>0</v>
      </c>
      <c r="AU122" s="241"/>
      <c r="AV122" s="27"/>
      <c r="AW122" s="28"/>
      <c r="AX122" s="241"/>
      <c r="AY122" s="27">
        <v>-19385.599999999999</v>
      </c>
      <c r="AZ122" s="28"/>
      <c r="BA122" s="241"/>
      <c r="BB122" s="27">
        <v>-11794.19904</v>
      </c>
      <c r="BC122" s="28"/>
      <c r="BD122" s="241"/>
      <c r="BE122" s="27">
        <v>-12119.877119999999</v>
      </c>
      <c r="BF122" s="28"/>
      <c r="BG122" s="241"/>
      <c r="BH122" s="27">
        <v>-12119.877119999999</v>
      </c>
      <c r="BI122" s="28"/>
      <c r="BK122" s="448">
        <f t="shared" si="87"/>
        <v>0</v>
      </c>
      <c r="BL122" s="448">
        <f t="shared" si="88"/>
        <v>0</v>
      </c>
      <c r="BM122" s="448">
        <f t="shared" si="89"/>
        <v>0</v>
      </c>
      <c r="BN122" s="448">
        <f t="shared" ca="1" si="90"/>
        <v>0</v>
      </c>
    </row>
    <row r="123" spans="1:66" s="29" customFormat="1" hidden="1" outlineLevel="1" x14ac:dyDescent="0.3">
      <c r="A123" s="95" t="s">
        <v>147</v>
      </c>
      <c r="B123" s="2"/>
      <c r="C123" s="24"/>
      <c r="D123" s="55" t="s">
        <v>145</v>
      </c>
      <c r="E123" s="87"/>
      <c r="F123" s="56"/>
      <c r="G123" s="33"/>
      <c r="H123" s="241"/>
      <c r="I123" s="27">
        <v>-4268.82</v>
      </c>
      <c r="J123" s="28"/>
      <c r="K123" s="241"/>
      <c r="L123" s="27">
        <v>0</v>
      </c>
      <c r="M123" s="28"/>
      <c r="N123" s="241"/>
      <c r="O123" s="27">
        <v>0</v>
      </c>
      <c r="P123" s="28"/>
      <c r="Q123" s="241"/>
      <c r="R123" s="27">
        <v>0</v>
      </c>
      <c r="S123" s="28"/>
      <c r="T123" s="241"/>
      <c r="U123" s="27">
        <v>0</v>
      </c>
      <c r="V123" s="28"/>
      <c r="W123" s="241"/>
      <c r="X123" s="27">
        <v>0</v>
      </c>
      <c r="Y123" s="28"/>
      <c r="Z123" s="241"/>
      <c r="AA123" s="27">
        <v>0</v>
      </c>
      <c r="AB123" s="28"/>
      <c r="AC123" s="241"/>
      <c r="AD123" s="27">
        <v>0</v>
      </c>
      <c r="AE123" s="28"/>
      <c r="AF123" s="241"/>
      <c r="AG123" s="27">
        <v>0</v>
      </c>
      <c r="AH123" s="28"/>
      <c r="AI123" s="241"/>
      <c r="AJ123" s="27">
        <v>0</v>
      </c>
      <c r="AK123" s="28"/>
      <c r="AL123" s="241"/>
      <c r="AM123" s="27">
        <v>0</v>
      </c>
      <c r="AN123" s="28"/>
      <c r="AO123" s="241"/>
      <c r="AP123" s="27">
        <v>0</v>
      </c>
      <c r="AQ123" s="28"/>
      <c r="AR123" s="241">
        <f t="shared" ca="1" si="128"/>
        <v>0</v>
      </c>
      <c r="AS123" s="27">
        <f t="shared" ca="1" si="129"/>
        <v>-4268.82</v>
      </c>
      <c r="AT123" s="28">
        <f t="shared" ca="1" si="130"/>
        <v>0</v>
      </c>
      <c r="AU123" s="241"/>
      <c r="AV123" s="27"/>
      <c r="AW123" s="28"/>
      <c r="AX123" s="241"/>
      <c r="AY123" s="27">
        <v>-8478.2000000000007</v>
      </c>
      <c r="AZ123" s="28"/>
      <c r="BA123" s="241"/>
      <c r="BB123" s="27">
        <v>-12895.342199999999</v>
      </c>
      <c r="BC123" s="28"/>
      <c r="BD123" s="241"/>
      <c r="BE123" s="27">
        <v>-13251.426600000001</v>
      </c>
      <c r="BF123" s="28"/>
      <c r="BG123" s="241"/>
      <c r="BH123" s="27">
        <v>-13251.426600000001</v>
      </c>
      <c r="BI123" s="28"/>
      <c r="BK123" s="448">
        <f t="shared" si="87"/>
        <v>-4268.82</v>
      </c>
      <c r="BL123" s="448">
        <f t="shared" si="88"/>
        <v>-4268.82</v>
      </c>
      <c r="BM123" s="448">
        <f t="shared" si="89"/>
        <v>0</v>
      </c>
      <c r="BN123" s="448">
        <f t="shared" ca="1" si="90"/>
        <v>0</v>
      </c>
    </row>
    <row r="124" spans="1:66" s="29" customFormat="1" hidden="1" outlineLevel="1" x14ac:dyDescent="0.3">
      <c r="A124" s="95" t="s">
        <v>148</v>
      </c>
      <c r="B124" s="2"/>
      <c r="C124" s="24"/>
      <c r="D124" s="55" t="s">
        <v>145</v>
      </c>
      <c r="E124" s="87"/>
      <c r="F124" s="56"/>
      <c r="G124" s="33"/>
      <c r="H124" s="241"/>
      <c r="I124" s="27">
        <v>-1412</v>
      </c>
      <c r="J124" s="28"/>
      <c r="K124" s="241"/>
      <c r="L124" s="27">
        <v>-7477.6</v>
      </c>
      <c r="M124" s="28"/>
      <c r="N124" s="241"/>
      <c r="O124" s="27">
        <v>-7477.6</v>
      </c>
      <c r="P124" s="28"/>
      <c r="Q124" s="241"/>
      <c r="R124" s="27">
        <v>-7477.6</v>
      </c>
      <c r="S124" s="28"/>
      <c r="T124" s="241"/>
      <c r="U124" s="27">
        <v>-7477.6</v>
      </c>
      <c r="V124" s="28"/>
      <c r="W124" s="241"/>
      <c r="X124" s="27">
        <v>-7791.6592000000001</v>
      </c>
      <c r="Y124" s="28"/>
      <c r="Z124" s="241"/>
      <c r="AA124" s="27">
        <v>-7791.6592000000001</v>
      </c>
      <c r="AB124" s="28"/>
      <c r="AC124" s="241"/>
      <c r="AD124" s="27">
        <v>-7791.6592000000001</v>
      </c>
      <c r="AE124" s="28"/>
      <c r="AF124" s="241"/>
      <c r="AG124" s="27">
        <v>-7791.6592000000001</v>
      </c>
      <c r="AH124" s="28"/>
      <c r="AI124" s="241"/>
      <c r="AJ124" s="27">
        <v>-7791.6592000000001</v>
      </c>
      <c r="AK124" s="28"/>
      <c r="AL124" s="241"/>
      <c r="AM124" s="27">
        <v>-7791.6592000000001</v>
      </c>
      <c r="AN124" s="28"/>
      <c r="AO124" s="241"/>
      <c r="AP124" s="27">
        <v>-7791.6592000000001</v>
      </c>
      <c r="AQ124" s="28"/>
      <c r="AR124" s="241">
        <f t="shared" ca="1" si="128"/>
        <v>0</v>
      </c>
      <c r="AS124" s="27">
        <f t="shared" ca="1" si="129"/>
        <v>-39114.059200000003</v>
      </c>
      <c r="AT124" s="28">
        <f t="shared" ca="1" si="130"/>
        <v>0</v>
      </c>
      <c r="AU124" s="241"/>
      <c r="AV124" s="27"/>
      <c r="AW124" s="28"/>
      <c r="AX124" s="241"/>
      <c r="AY124" s="27">
        <v>-12769.4</v>
      </c>
      <c r="AZ124" s="28"/>
      <c r="BA124" s="241"/>
      <c r="BB124" s="27">
        <v>-15537.805920000001</v>
      </c>
      <c r="BC124" s="28"/>
      <c r="BD124" s="241"/>
      <c r="BE124" s="27">
        <v>-15966.857760000001</v>
      </c>
      <c r="BF124" s="28"/>
      <c r="BG124" s="241"/>
      <c r="BH124" s="27">
        <v>-15966.857760000001</v>
      </c>
      <c r="BI124" s="28"/>
      <c r="BK124" s="448">
        <f t="shared" si="87"/>
        <v>-85864.0144</v>
      </c>
      <c r="BL124" s="448">
        <f t="shared" si="88"/>
        <v>-85864.0144</v>
      </c>
      <c r="BM124" s="448">
        <f t="shared" si="89"/>
        <v>0</v>
      </c>
      <c r="BN124" s="448">
        <f t="shared" ca="1" si="90"/>
        <v>0</v>
      </c>
    </row>
    <row r="125" spans="1:66" s="29" customFormat="1" hidden="1" outlineLevel="1" x14ac:dyDescent="0.3">
      <c r="A125" s="95" t="s">
        <v>149</v>
      </c>
      <c r="B125" s="2"/>
      <c r="C125" s="24"/>
      <c r="D125" s="55" t="s">
        <v>145</v>
      </c>
      <c r="E125" s="87"/>
      <c r="F125" s="56"/>
      <c r="G125" s="33"/>
      <c r="H125" s="241"/>
      <c r="I125" s="27">
        <v>0</v>
      </c>
      <c r="J125" s="28"/>
      <c r="K125" s="241"/>
      <c r="L125" s="27">
        <v>0</v>
      </c>
      <c r="M125" s="28"/>
      <c r="N125" s="241"/>
      <c r="O125" s="27">
        <v>0</v>
      </c>
      <c r="P125" s="28"/>
      <c r="Q125" s="241"/>
      <c r="R125" s="27">
        <v>0</v>
      </c>
      <c r="S125" s="28"/>
      <c r="T125" s="241"/>
      <c r="U125" s="27">
        <v>0</v>
      </c>
      <c r="V125" s="28"/>
      <c r="W125" s="241"/>
      <c r="X125" s="27">
        <v>0</v>
      </c>
      <c r="Y125" s="28"/>
      <c r="Z125" s="241"/>
      <c r="AA125" s="27">
        <v>0</v>
      </c>
      <c r="AB125" s="28"/>
      <c r="AC125" s="241"/>
      <c r="AD125" s="27">
        <v>0</v>
      </c>
      <c r="AE125" s="28"/>
      <c r="AF125" s="241"/>
      <c r="AG125" s="27">
        <v>0</v>
      </c>
      <c r="AH125" s="28"/>
      <c r="AI125" s="241"/>
      <c r="AJ125" s="27">
        <v>0</v>
      </c>
      <c r="AK125" s="28"/>
      <c r="AL125" s="241"/>
      <c r="AM125" s="27">
        <v>0</v>
      </c>
      <c r="AN125" s="28"/>
      <c r="AO125" s="241"/>
      <c r="AP125" s="27">
        <v>0</v>
      </c>
      <c r="AQ125" s="28"/>
      <c r="AR125" s="241">
        <f t="shared" ca="1" si="128"/>
        <v>0</v>
      </c>
      <c r="AS125" s="27">
        <f t="shared" ca="1" si="129"/>
        <v>0</v>
      </c>
      <c r="AT125" s="28">
        <f t="shared" ca="1" si="130"/>
        <v>0</v>
      </c>
      <c r="AU125" s="241"/>
      <c r="AV125" s="27"/>
      <c r="AW125" s="28"/>
      <c r="AX125" s="241"/>
      <c r="AY125" s="27">
        <v>0</v>
      </c>
      <c r="AZ125" s="28"/>
      <c r="BA125" s="241"/>
      <c r="BB125" s="27">
        <v>0</v>
      </c>
      <c r="BC125" s="28"/>
      <c r="BD125" s="241"/>
      <c r="BE125" s="27">
        <v>0</v>
      </c>
      <c r="BF125" s="28"/>
      <c r="BG125" s="241"/>
      <c r="BH125" s="27">
        <v>0</v>
      </c>
      <c r="BI125" s="28"/>
      <c r="BK125" s="448">
        <f t="shared" si="87"/>
        <v>0</v>
      </c>
      <c r="BL125" s="448">
        <f t="shared" si="88"/>
        <v>0</v>
      </c>
      <c r="BM125" s="448">
        <f t="shared" si="89"/>
        <v>0</v>
      </c>
      <c r="BN125" s="448">
        <f t="shared" ca="1" si="90"/>
        <v>0</v>
      </c>
    </row>
    <row r="126" spans="1:66" s="29" customFormat="1" hidden="1" outlineLevel="1" x14ac:dyDescent="0.3">
      <c r="A126" s="95" t="s">
        <v>150</v>
      </c>
      <c r="B126" s="2"/>
      <c r="C126" s="24"/>
      <c r="D126" s="55" t="s">
        <v>145</v>
      </c>
      <c r="E126" s="87"/>
      <c r="F126" s="56"/>
      <c r="G126" s="33"/>
      <c r="H126" s="241"/>
      <c r="I126" s="27">
        <v>0</v>
      </c>
      <c r="J126" s="28"/>
      <c r="K126" s="241"/>
      <c r="L126" s="27">
        <v>0</v>
      </c>
      <c r="M126" s="28"/>
      <c r="N126" s="241"/>
      <c r="O126" s="27">
        <v>0</v>
      </c>
      <c r="P126" s="28"/>
      <c r="Q126" s="241"/>
      <c r="R126" s="27">
        <v>0</v>
      </c>
      <c r="S126" s="28"/>
      <c r="T126" s="241"/>
      <c r="U126" s="27">
        <v>0</v>
      </c>
      <c r="V126" s="28"/>
      <c r="W126" s="241"/>
      <c r="X126" s="27">
        <v>0</v>
      </c>
      <c r="Y126" s="28"/>
      <c r="Z126" s="241"/>
      <c r="AA126" s="27">
        <v>0</v>
      </c>
      <c r="AB126" s="28"/>
      <c r="AC126" s="241"/>
      <c r="AD126" s="27">
        <v>0</v>
      </c>
      <c r="AE126" s="28"/>
      <c r="AF126" s="241"/>
      <c r="AG126" s="27">
        <v>0</v>
      </c>
      <c r="AH126" s="28"/>
      <c r="AI126" s="241"/>
      <c r="AJ126" s="27">
        <v>0</v>
      </c>
      <c r="AK126" s="28"/>
      <c r="AL126" s="241"/>
      <c r="AM126" s="27">
        <v>0</v>
      </c>
      <c r="AN126" s="28"/>
      <c r="AO126" s="241"/>
      <c r="AP126" s="27">
        <v>0</v>
      </c>
      <c r="AQ126" s="28"/>
      <c r="AR126" s="241">
        <f t="shared" ca="1" si="128"/>
        <v>0</v>
      </c>
      <c r="AS126" s="27">
        <f t="shared" ca="1" si="129"/>
        <v>0</v>
      </c>
      <c r="AT126" s="28">
        <f t="shared" ca="1" si="130"/>
        <v>0</v>
      </c>
      <c r="AU126" s="241"/>
      <c r="AV126" s="27"/>
      <c r="AW126" s="28"/>
      <c r="AX126" s="241"/>
      <c r="AY126" s="27">
        <v>-1869.4</v>
      </c>
      <c r="AZ126" s="28"/>
      <c r="BA126" s="241"/>
      <c r="BB126" s="27">
        <v>0</v>
      </c>
      <c r="BC126" s="28"/>
      <c r="BD126" s="241"/>
      <c r="BE126" s="27">
        <v>0</v>
      </c>
      <c r="BF126" s="28"/>
      <c r="BG126" s="241"/>
      <c r="BH126" s="27">
        <v>0</v>
      </c>
      <c r="BI126" s="28"/>
      <c r="BK126" s="448">
        <f t="shared" si="87"/>
        <v>0</v>
      </c>
      <c r="BL126" s="448">
        <f t="shared" si="88"/>
        <v>0</v>
      </c>
      <c r="BM126" s="448">
        <f t="shared" si="89"/>
        <v>0</v>
      </c>
      <c r="BN126" s="448">
        <f t="shared" ca="1" si="90"/>
        <v>0</v>
      </c>
    </row>
    <row r="127" spans="1:66" s="29" customFormat="1" hidden="1" outlineLevel="1" x14ac:dyDescent="0.3">
      <c r="A127" s="95" t="s">
        <v>151</v>
      </c>
      <c r="B127" s="2"/>
      <c r="C127" s="24"/>
      <c r="D127" s="55" t="s">
        <v>145</v>
      </c>
      <c r="E127" s="87"/>
      <c r="F127" s="56"/>
      <c r="G127" s="33"/>
      <c r="H127" s="241"/>
      <c r="I127" s="27">
        <v>0</v>
      </c>
      <c r="J127" s="28"/>
      <c r="K127" s="241"/>
      <c r="L127" s="27">
        <v>0</v>
      </c>
      <c r="M127" s="28"/>
      <c r="N127" s="241"/>
      <c r="O127" s="27">
        <v>0</v>
      </c>
      <c r="P127" s="28"/>
      <c r="Q127" s="241"/>
      <c r="R127" s="27">
        <v>0</v>
      </c>
      <c r="S127" s="28"/>
      <c r="T127" s="241"/>
      <c r="U127" s="27">
        <v>0</v>
      </c>
      <c r="V127" s="28"/>
      <c r="W127" s="241"/>
      <c r="X127" s="27">
        <v>0</v>
      </c>
      <c r="Y127" s="28"/>
      <c r="Z127" s="241"/>
      <c r="AA127" s="27">
        <v>0</v>
      </c>
      <c r="AB127" s="28"/>
      <c r="AC127" s="241"/>
      <c r="AD127" s="27">
        <v>0</v>
      </c>
      <c r="AE127" s="28"/>
      <c r="AF127" s="241"/>
      <c r="AG127" s="27">
        <v>0</v>
      </c>
      <c r="AH127" s="28"/>
      <c r="AI127" s="241"/>
      <c r="AJ127" s="27">
        <v>0</v>
      </c>
      <c r="AK127" s="28"/>
      <c r="AL127" s="241"/>
      <c r="AM127" s="27">
        <v>0</v>
      </c>
      <c r="AN127" s="28"/>
      <c r="AO127" s="241"/>
      <c r="AP127" s="27">
        <v>0</v>
      </c>
      <c r="AQ127" s="28"/>
      <c r="AR127" s="241">
        <f t="shared" ca="1" si="128"/>
        <v>0</v>
      </c>
      <c r="AS127" s="27">
        <f t="shared" ca="1" si="129"/>
        <v>0</v>
      </c>
      <c r="AT127" s="28">
        <f t="shared" ca="1" si="130"/>
        <v>0</v>
      </c>
      <c r="AU127" s="241"/>
      <c r="AV127" s="27"/>
      <c r="AW127" s="28"/>
      <c r="AX127" s="241"/>
      <c r="AY127" s="27">
        <v>0</v>
      </c>
      <c r="AZ127" s="28"/>
      <c r="BA127" s="241"/>
      <c r="BB127" s="27">
        <v>0</v>
      </c>
      <c r="BC127" s="28"/>
      <c r="BD127" s="241"/>
      <c r="BE127" s="27">
        <v>0</v>
      </c>
      <c r="BF127" s="28"/>
      <c r="BG127" s="241"/>
      <c r="BH127" s="27">
        <v>0</v>
      </c>
      <c r="BI127" s="28"/>
      <c r="BK127" s="448">
        <f t="shared" si="87"/>
        <v>0</v>
      </c>
      <c r="BL127" s="448">
        <f t="shared" si="88"/>
        <v>0</v>
      </c>
      <c r="BM127" s="448">
        <f t="shared" si="89"/>
        <v>0</v>
      </c>
      <c r="BN127" s="448">
        <f t="shared" ca="1" si="90"/>
        <v>0</v>
      </c>
    </row>
    <row r="128" spans="1:66" s="29" customFormat="1" hidden="1" outlineLevel="1" x14ac:dyDescent="0.3">
      <c r="A128" s="95" t="s">
        <v>152</v>
      </c>
      <c r="B128" s="2"/>
      <c r="C128" s="24"/>
      <c r="D128" s="55" t="s">
        <v>145</v>
      </c>
      <c r="E128" s="87"/>
      <c r="F128" s="56"/>
      <c r="G128" s="33"/>
      <c r="H128" s="241"/>
      <c r="I128" s="27">
        <v>0</v>
      </c>
      <c r="J128" s="28"/>
      <c r="K128" s="241"/>
      <c r="L128" s="27">
        <v>0</v>
      </c>
      <c r="M128" s="28"/>
      <c r="N128" s="241"/>
      <c r="O128" s="27">
        <v>0</v>
      </c>
      <c r="P128" s="28"/>
      <c r="Q128" s="241"/>
      <c r="R128" s="27">
        <v>0</v>
      </c>
      <c r="S128" s="28"/>
      <c r="T128" s="241"/>
      <c r="U128" s="27">
        <v>0</v>
      </c>
      <c r="V128" s="28"/>
      <c r="W128" s="241"/>
      <c r="X128" s="27">
        <v>0</v>
      </c>
      <c r="Y128" s="28"/>
      <c r="Z128" s="241"/>
      <c r="AA128" s="27">
        <v>0</v>
      </c>
      <c r="AB128" s="28"/>
      <c r="AC128" s="241"/>
      <c r="AD128" s="27">
        <v>0</v>
      </c>
      <c r="AE128" s="28"/>
      <c r="AF128" s="241"/>
      <c r="AG128" s="27">
        <v>0</v>
      </c>
      <c r="AH128" s="28"/>
      <c r="AI128" s="241"/>
      <c r="AJ128" s="27">
        <v>0</v>
      </c>
      <c r="AK128" s="28"/>
      <c r="AL128" s="241"/>
      <c r="AM128" s="27">
        <v>0</v>
      </c>
      <c r="AN128" s="28"/>
      <c r="AO128" s="241"/>
      <c r="AP128" s="27">
        <v>0</v>
      </c>
      <c r="AQ128" s="28"/>
      <c r="AR128" s="241">
        <f t="shared" ca="1" si="128"/>
        <v>0</v>
      </c>
      <c r="AS128" s="27">
        <f t="shared" ca="1" si="129"/>
        <v>0</v>
      </c>
      <c r="AT128" s="28">
        <f t="shared" ca="1" si="130"/>
        <v>0</v>
      </c>
      <c r="AU128" s="241"/>
      <c r="AV128" s="27"/>
      <c r="AW128" s="28"/>
      <c r="AX128" s="241"/>
      <c r="AY128" s="27">
        <v>-15508.48</v>
      </c>
      <c r="AZ128" s="28"/>
      <c r="BA128" s="241"/>
      <c r="BB128" s="27">
        <v>-11794.19904</v>
      </c>
      <c r="BC128" s="28"/>
      <c r="BD128" s="241"/>
      <c r="BE128" s="27">
        <v>-12119.877119999999</v>
      </c>
      <c r="BF128" s="28"/>
      <c r="BG128" s="241"/>
      <c r="BH128" s="27">
        <v>-12119.877119999999</v>
      </c>
      <c r="BI128" s="28"/>
      <c r="BK128" s="448">
        <f t="shared" si="87"/>
        <v>0</v>
      </c>
      <c r="BL128" s="448">
        <f t="shared" si="88"/>
        <v>0</v>
      </c>
      <c r="BM128" s="448">
        <f t="shared" si="89"/>
        <v>0</v>
      </c>
      <c r="BN128" s="448">
        <f t="shared" ca="1" si="90"/>
        <v>0</v>
      </c>
    </row>
    <row r="129" spans="1:66" s="29" customFormat="1" hidden="1" outlineLevel="1" x14ac:dyDescent="0.3">
      <c r="A129" s="95" t="s">
        <v>153</v>
      </c>
      <c r="B129" s="2"/>
      <c r="C129" s="24"/>
      <c r="D129" s="55" t="s">
        <v>145</v>
      </c>
      <c r="E129" s="87"/>
      <c r="F129" s="56"/>
      <c r="G129" s="33"/>
      <c r="H129" s="241"/>
      <c r="I129" s="27">
        <v>0</v>
      </c>
      <c r="J129" s="28"/>
      <c r="K129" s="241"/>
      <c r="L129" s="27">
        <v>0</v>
      </c>
      <c r="M129" s="28"/>
      <c r="N129" s="241"/>
      <c r="O129" s="27">
        <v>0</v>
      </c>
      <c r="P129" s="28"/>
      <c r="Q129" s="241"/>
      <c r="R129" s="27">
        <v>0</v>
      </c>
      <c r="S129" s="28"/>
      <c r="T129" s="241"/>
      <c r="U129" s="27">
        <v>0</v>
      </c>
      <c r="V129" s="28"/>
      <c r="W129" s="241"/>
      <c r="X129" s="27">
        <v>0</v>
      </c>
      <c r="Y129" s="28"/>
      <c r="Z129" s="241"/>
      <c r="AA129" s="27">
        <v>0</v>
      </c>
      <c r="AB129" s="28"/>
      <c r="AC129" s="241"/>
      <c r="AD129" s="27">
        <v>0</v>
      </c>
      <c r="AE129" s="28"/>
      <c r="AF129" s="241"/>
      <c r="AG129" s="27">
        <v>0</v>
      </c>
      <c r="AH129" s="28"/>
      <c r="AI129" s="241"/>
      <c r="AJ129" s="27">
        <v>0</v>
      </c>
      <c r="AK129" s="28"/>
      <c r="AL129" s="241"/>
      <c r="AM129" s="27">
        <v>0</v>
      </c>
      <c r="AN129" s="28"/>
      <c r="AO129" s="241"/>
      <c r="AP129" s="27">
        <v>0</v>
      </c>
      <c r="AQ129" s="28"/>
      <c r="AR129" s="241">
        <f t="shared" ca="1" si="128"/>
        <v>0</v>
      </c>
      <c r="AS129" s="27">
        <f t="shared" ca="1" si="129"/>
        <v>0</v>
      </c>
      <c r="AT129" s="28">
        <f t="shared" ca="1" si="130"/>
        <v>0</v>
      </c>
      <c r="AU129" s="241"/>
      <c r="AV129" s="27"/>
      <c r="AW129" s="28"/>
      <c r="AX129" s="241"/>
      <c r="AY129" s="27">
        <v>-7861.28</v>
      </c>
      <c r="AZ129" s="28"/>
      <c r="BA129" s="241"/>
      <c r="BB129" s="27">
        <v>-11957.006880000001</v>
      </c>
      <c r="BC129" s="28"/>
      <c r="BD129" s="241"/>
      <c r="BE129" s="27">
        <v>-12287.18064</v>
      </c>
      <c r="BF129" s="28"/>
      <c r="BG129" s="241"/>
      <c r="BH129" s="27">
        <v>-12287.18064</v>
      </c>
      <c r="BI129" s="28"/>
      <c r="BK129" s="448">
        <f t="shared" si="87"/>
        <v>0</v>
      </c>
      <c r="BL129" s="448">
        <f t="shared" si="88"/>
        <v>0</v>
      </c>
      <c r="BM129" s="448">
        <f t="shared" si="89"/>
        <v>0</v>
      </c>
      <c r="BN129" s="448">
        <f t="shared" ca="1" si="90"/>
        <v>0</v>
      </c>
    </row>
    <row r="130" spans="1:66" s="29" customFormat="1" hidden="1" outlineLevel="1" x14ac:dyDescent="0.3">
      <c r="A130" s="95" t="s">
        <v>154</v>
      </c>
      <c r="B130" s="2"/>
      <c r="C130" s="24"/>
      <c r="D130" s="55" t="s">
        <v>145</v>
      </c>
      <c r="E130" s="87"/>
      <c r="F130" s="56"/>
      <c r="G130" s="33"/>
      <c r="H130" s="241"/>
      <c r="I130" s="27">
        <v>0</v>
      </c>
      <c r="J130" s="28"/>
      <c r="K130" s="241"/>
      <c r="L130" s="27">
        <v>0</v>
      </c>
      <c r="M130" s="28"/>
      <c r="N130" s="241"/>
      <c r="O130" s="27">
        <v>0</v>
      </c>
      <c r="P130" s="28"/>
      <c r="Q130" s="241"/>
      <c r="R130" s="27">
        <v>0</v>
      </c>
      <c r="S130" s="28"/>
      <c r="T130" s="241"/>
      <c r="U130" s="27">
        <v>0</v>
      </c>
      <c r="V130" s="28"/>
      <c r="W130" s="241"/>
      <c r="X130" s="27">
        <v>0</v>
      </c>
      <c r="Y130" s="28"/>
      <c r="Z130" s="241"/>
      <c r="AA130" s="27">
        <v>0</v>
      </c>
      <c r="AB130" s="28"/>
      <c r="AC130" s="241"/>
      <c r="AD130" s="27">
        <v>0</v>
      </c>
      <c r="AE130" s="28"/>
      <c r="AF130" s="241"/>
      <c r="AG130" s="27">
        <v>0</v>
      </c>
      <c r="AH130" s="28"/>
      <c r="AI130" s="241"/>
      <c r="AJ130" s="27">
        <v>0</v>
      </c>
      <c r="AK130" s="28"/>
      <c r="AL130" s="241"/>
      <c r="AM130" s="27">
        <v>0</v>
      </c>
      <c r="AN130" s="28"/>
      <c r="AO130" s="241"/>
      <c r="AP130" s="27">
        <v>0</v>
      </c>
      <c r="AQ130" s="28"/>
      <c r="AR130" s="241">
        <f t="shared" ca="1" si="128"/>
        <v>0</v>
      </c>
      <c r="AS130" s="27">
        <f t="shared" ca="1" si="129"/>
        <v>0</v>
      </c>
      <c r="AT130" s="28">
        <f t="shared" ca="1" si="130"/>
        <v>0</v>
      </c>
      <c r="AU130" s="241"/>
      <c r="AV130" s="27"/>
      <c r="AW130" s="28"/>
      <c r="AX130" s="241"/>
      <c r="AY130" s="27">
        <v>-7691.49</v>
      </c>
      <c r="AZ130" s="28"/>
      <c r="BA130" s="241"/>
      <c r="BB130" s="27">
        <v>-7799.1708600000002</v>
      </c>
      <c r="BC130" s="28"/>
      <c r="BD130" s="241"/>
      <c r="BE130" s="27">
        <v>-8014.5325799999991</v>
      </c>
      <c r="BF130" s="28"/>
      <c r="BG130" s="241"/>
      <c r="BH130" s="27">
        <v>-8014.5325799999991</v>
      </c>
      <c r="BI130" s="28"/>
      <c r="BK130" s="448">
        <f t="shared" si="87"/>
        <v>0</v>
      </c>
      <c r="BL130" s="448">
        <f t="shared" si="88"/>
        <v>0</v>
      </c>
      <c r="BM130" s="448">
        <f t="shared" si="89"/>
        <v>0</v>
      </c>
      <c r="BN130" s="448">
        <f t="shared" ca="1" si="90"/>
        <v>0</v>
      </c>
    </row>
    <row r="131" spans="1:66" s="29" customFormat="1" hidden="1" outlineLevel="1" x14ac:dyDescent="0.3">
      <c r="A131" s="95" t="s">
        <v>155</v>
      </c>
      <c r="B131" s="2"/>
      <c r="C131" s="24"/>
      <c r="D131" s="55" t="s">
        <v>145</v>
      </c>
      <c r="E131" s="87"/>
      <c r="F131" s="56"/>
      <c r="G131" s="33"/>
      <c r="H131" s="241"/>
      <c r="I131" s="27">
        <v>0</v>
      </c>
      <c r="J131" s="28"/>
      <c r="K131" s="241"/>
      <c r="L131" s="27">
        <v>0</v>
      </c>
      <c r="M131" s="28"/>
      <c r="N131" s="241"/>
      <c r="O131" s="27">
        <v>0</v>
      </c>
      <c r="P131" s="28"/>
      <c r="Q131" s="241"/>
      <c r="R131" s="27">
        <v>0</v>
      </c>
      <c r="S131" s="28"/>
      <c r="T131" s="241"/>
      <c r="U131" s="27">
        <v>0</v>
      </c>
      <c r="V131" s="28"/>
      <c r="W131" s="241"/>
      <c r="X131" s="27">
        <v>0</v>
      </c>
      <c r="Y131" s="28"/>
      <c r="Z131" s="241"/>
      <c r="AA131" s="27">
        <v>0</v>
      </c>
      <c r="AB131" s="28"/>
      <c r="AC131" s="241"/>
      <c r="AD131" s="27">
        <v>0</v>
      </c>
      <c r="AE131" s="28"/>
      <c r="AF131" s="241"/>
      <c r="AG131" s="27">
        <v>0</v>
      </c>
      <c r="AH131" s="28"/>
      <c r="AI131" s="241"/>
      <c r="AJ131" s="27">
        <v>0</v>
      </c>
      <c r="AK131" s="28"/>
      <c r="AL131" s="241"/>
      <c r="AM131" s="27">
        <v>0</v>
      </c>
      <c r="AN131" s="28"/>
      <c r="AO131" s="241"/>
      <c r="AP131" s="27">
        <v>0</v>
      </c>
      <c r="AQ131" s="28"/>
      <c r="AR131" s="241">
        <f t="shared" ca="1" si="128"/>
        <v>0</v>
      </c>
      <c r="AS131" s="27">
        <f t="shared" ca="1" si="129"/>
        <v>0</v>
      </c>
      <c r="AT131" s="28">
        <f t="shared" ca="1" si="130"/>
        <v>0</v>
      </c>
      <c r="AU131" s="241"/>
      <c r="AV131" s="27"/>
      <c r="AW131" s="28"/>
      <c r="AX131" s="241"/>
      <c r="AY131" s="27">
        <v>-11216.4</v>
      </c>
      <c r="AZ131" s="28"/>
      <c r="BA131" s="241"/>
      <c r="BB131" s="27">
        <v>-11373.429599999999</v>
      </c>
      <c r="BC131" s="28"/>
      <c r="BD131" s="241"/>
      <c r="BE131" s="27">
        <v>-11687.488799999999</v>
      </c>
      <c r="BF131" s="28"/>
      <c r="BG131" s="241"/>
      <c r="BH131" s="27">
        <v>-11687.488799999999</v>
      </c>
      <c r="BI131" s="28"/>
      <c r="BK131" s="448">
        <f t="shared" si="87"/>
        <v>0</v>
      </c>
      <c r="BL131" s="448">
        <f t="shared" si="88"/>
        <v>0</v>
      </c>
      <c r="BM131" s="448">
        <f t="shared" si="89"/>
        <v>0</v>
      </c>
      <c r="BN131" s="448">
        <f t="shared" ca="1" si="90"/>
        <v>0</v>
      </c>
    </row>
    <row r="132" spans="1:66" s="29" customFormat="1" hidden="1" outlineLevel="1" x14ac:dyDescent="0.3">
      <c r="A132" s="95" t="s">
        <v>156</v>
      </c>
      <c r="B132" s="2"/>
      <c r="C132" s="24"/>
      <c r="D132" s="55" t="s">
        <v>145</v>
      </c>
      <c r="E132" s="87"/>
      <c r="F132" s="56"/>
      <c r="G132" s="33"/>
      <c r="H132" s="241"/>
      <c r="I132" s="27">
        <v>0</v>
      </c>
      <c r="J132" s="28"/>
      <c r="K132" s="241"/>
      <c r="L132" s="27">
        <v>0</v>
      </c>
      <c r="M132" s="28"/>
      <c r="N132" s="241"/>
      <c r="O132" s="27">
        <v>0</v>
      </c>
      <c r="P132" s="28"/>
      <c r="Q132" s="241"/>
      <c r="R132" s="27">
        <v>0</v>
      </c>
      <c r="S132" s="28"/>
      <c r="T132" s="241"/>
      <c r="U132" s="27">
        <v>0</v>
      </c>
      <c r="V132" s="28"/>
      <c r="W132" s="241"/>
      <c r="X132" s="27">
        <v>0</v>
      </c>
      <c r="Y132" s="28"/>
      <c r="Z132" s="241"/>
      <c r="AA132" s="27">
        <v>0</v>
      </c>
      <c r="AB132" s="28"/>
      <c r="AC132" s="241"/>
      <c r="AD132" s="27">
        <v>0</v>
      </c>
      <c r="AE132" s="28"/>
      <c r="AF132" s="241"/>
      <c r="AG132" s="27">
        <v>0</v>
      </c>
      <c r="AH132" s="28"/>
      <c r="AI132" s="241"/>
      <c r="AJ132" s="27">
        <v>0</v>
      </c>
      <c r="AK132" s="28"/>
      <c r="AL132" s="241"/>
      <c r="AM132" s="27">
        <v>0</v>
      </c>
      <c r="AN132" s="28"/>
      <c r="AO132" s="241"/>
      <c r="AP132" s="27">
        <v>0</v>
      </c>
      <c r="AQ132" s="28"/>
      <c r="AR132" s="241">
        <f t="shared" ca="1" si="128"/>
        <v>0</v>
      </c>
      <c r="AS132" s="27">
        <f t="shared" ca="1" si="129"/>
        <v>0</v>
      </c>
      <c r="AT132" s="28">
        <f t="shared" ca="1" si="130"/>
        <v>0</v>
      </c>
      <c r="AU132" s="241"/>
      <c r="AV132" s="27"/>
      <c r="AW132" s="28"/>
      <c r="AX132" s="241"/>
      <c r="AY132" s="27">
        <v>-2330.67</v>
      </c>
      <c r="AZ132" s="28"/>
      <c r="BA132" s="241"/>
      <c r="BB132" s="27">
        <v>0</v>
      </c>
      <c r="BC132" s="28"/>
      <c r="BD132" s="241"/>
      <c r="BE132" s="27">
        <v>0</v>
      </c>
      <c r="BF132" s="28"/>
      <c r="BG132" s="241"/>
      <c r="BH132" s="27">
        <v>0</v>
      </c>
      <c r="BI132" s="28"/>
      <c r="BK132" s="448">
        <f t="shared" si="87"/>
        <v>0</v>
      </c>
      <c r="BL132" s="448">
        <f t="shared" si="88"/>
        <v>0</v>
      </c>
      <c r="BM132" s="448">
        <f t="shared" si="89"/>
        <v>0</v>
      </c>
      <c r="BN132" s="448">
        <f t="shared" ca="1" si="90"/>
        <v>0</v>
      </c>
    </row>
    <row r="133" spans="1:66" s="29" customFormat="1" hidden="1" outlineLevel="1" x14ac:dyDescent="0.3">
      <c r="A133" s="95" t="s">
        <v>157</v>
      </c>
      <c r="B133" s="2"/>
      <c r="C133" s="24"/>
      <c r="D133" s="55" t="s">
        <v>145</v>
      </c>
      <c r="E133" s="87"/>
      <c r="F133" s="56"/>
      <c r="G133" s="33"/>
      <c r="H133" s="241"/>
      <c r="I133" s="27">
        <v>0</v>
      </c>
      <c r="J133" s="28"/>
      <c r="K133" s="241"/>
      <c r="L133" s="27">
        <v>0</v>
      </c>
      <c r="M133" s="28"/>
      <c r="N133" s="241"/>
      <c r="O133" s="27">
        <v>0</v>
      </c>
      <c r="P133" s="28"/>
      <c r="Q133" s="241"/>
      <c r="R133" s="27">
        <v>0</v>
      </c>
      <c r="S133" s="28"/>
      <c r="T133" s="241"/>
      <c r="U133" s="27">
        <v>0</v>
      </c>
      <c r="V133" s="28"/>
      <c r="W133" s="241"/>
      <c r="X133" s="27">
        <v>0</v>
      </c>
      <c r="Y133" s="28"/>
      <c r="Z133" s="241"/>
      <c r="AA133" s="27">
        <v>0</v>
      </c>
      <c r="AB133" s="28"/>
      <c r="AC133" s="241"/>
      <c r="AD133" s="27">
        <v>0</v>
      </c>
      <c r="AE133" s="28"/>
      <c r="AF133" s="241"/>
      <c r="AG133" s="27">
        <v>0</v>
      </c>
      <c r="AH133" s="28"/>
      <c r="AI133" s="241"/>
      <c r="AJ133" s="27">
        <v>0</v>
      </c>
      <c r="AK133" s="28"/>
      <c r="AL133" s="241"/>
      <c r="AM133" s="27">
        <v>0</v>
      </c>
      <c r="AN133" s="28"/>
      <c r="AO133" s="241"/>
      <c r="AP133" s="27">
        <v>0</v>
      </c>
      <c r="AQ133" s="28"/>
      <c r="AR133" s="241">
        <f t="shared" ca="1" si="128"/>
        <v>0</v>
      </c>
      <c r="AS133" s="27">
        <f t="shared" ca="1" si="129"/>
        <v>0</v>
      </c>
      <c r="AT133" s="28">
        <f t="shared" ca="1" si="130"/>
        <v>0</v>
      </c>
      <c r="AU133" s="241"/>
      <c r="AV133" s="27"/>
      <c r="AW133" s="28"/>
      <c r="AX133" s="241"/>
      <c r="AY133" s="27">
        <v>-5107.76</v>
      </c>
      <c r="AZ133" s="28"/>
      <c r="BA133" s="241"/>
      <c r="BB133" s="27">
        <v>-7768.9029600000003</v>
      </c>
      <c r="BC133" s="28"/>
      <c r="BD133" s="241"/>
      <c r="BE133" s="27">
        <v>-7983.4288800000004</v>
      </c>
      <c r="BF133" s="28"/>
      <c r="BG133" s="241"/>
      <c r="BH133" s="27">
        <v>-7983.4288800000004</v>
      </c>
      <c r="BI133" s="28"/>
      <c r="BK133" s="448">
        <f t="shared" si="87"/>
        <v>0</v>
      </c>
      <c r="BL133" s="448">
        <f t="shared" si="88"/>
        <v>0</v>
      </c>
      <c r="BM133" s="448">
        <f t="shared" si="89"/>
        <v>0</v>
      </c>
      <c r="BN133" s="448">
        <f t="shared" ca="1" si="90"/>
        <v>0</v>
      </c>
    </row>
    <row r="134" spans="1:66" s="29" customFormat="1" hidden="1" outlineLevel="1" x14ac:dyDescent="0.3">
      <c r="A134" s="95" t="s">
        <v>158</v>
      </c>
      <c r="B134" s="2"/>
      <c r="C134" s="24"/>
      <c r="D134" s="55" t="s">
        <v>145</v>
      </c>
      <c r="E134" s="87"/>
      <c r="F134" s="56"/>
      <c r="G134" s="33"/>
      <c r="H134" s="241"/>
      <c r="I134" s="27">
        <v>0</v>
      </c>
      <c r="J134" s="28"/>
      <c r="K134" s="241"/>
      <c r="L134" s="27">
        <v>0</v>
      </c>
      <c r="M134" s="28"/>
      <c r="N134" s="241"/>
      <c r="O134" s="27">
        <v>0</v>
      </c>
      <c r="P134" s="28"/>
      <c r="Q134" s="241"/>
      <c r="R134" s="27">
        <v>0</v>
      </c>
      <c r="S134" s="28"/>
      <c r="T134" s="241"/>
      <c r="U134" s="27">
        <v>0</v>
      </c>
      <c r="V134" s="28"/>
      <c r="W134" s="241"/>
      <c r="X134" s="27">
        <v>0</v>
      </c>
      <c r="Y134" s="28"/>
      <c r="Z134" s="241"/>
      <c r="AA134" s="27">
        <v>0</v>
      </c>
      <c r="AB134" s="28"/>
      <c r="AC134" s="241"/>
      <c r="AD134" s="27">
        <v>0</v>
      </c>
      <c r="AE134" s="28"/>
      <c r="AF134" s="241"/>
      <c r="AG134" s="27">
        <v>0</v>
      </c>
      <c r="AH134" s="28"/>
      <c r="AI134" s="241"/>
      <c r="AJ134" s="27">
        <v>0</v>
      </c>
      <c r="AK134" s="28"/>
      <c r="AL134" s="241"/>
      <c r="AM134" s="27">
        <v>0</v>
      </c>
      <c r="AN134" s="28"/>
      <c r="AO134" s="241"/>
      <c r="AP134" s="27">
        <v>0</v>
      </c>
      <c r="AQ134" s="28"/>
      <c r="AR134" s="241">
        <f t="shared" ca="1" si="128"/>
        <v>0</v>
      </c>
      <c r="AS134" s="27">
        <f t="shared" ca="1" si="129"/>
        <v>0</v>
      </c>
      <c r="AT134" s="28">
        <f t="shared" ca="1" si="130"/>
        <v>0</v>
      </c>
      <c r="AU134" s="241"/>
      <c r="AV134" s="27"/>
      <c r="AW134" s="28"/>
      <c r="AX134" s="241"/>
      <c r="AY134" s="27">
        <v>0</v>
      </c>
      <c r="AZ134" s="28"/>
      <c r="BA134" s="241"/>
      <c r="BB134" s="27">
        <v>0</v>
      </c>
      <c r="BC134" s="28"/>
      <c r="BD134" s="241"/>
      <c r="BE134" s="27">
        <v>0</v>
      </c>
      <c r="BF134" s="28"/>
      <c r="BG134" s="241"/>
      <c r="BH134" s="27">
        <v>0</v>
      </c>
      <c r="BI134" s="28"/>
      <c r="BK134" s="448">
        <f t="shared" si="87"/>
        <v>0</v>
      </c>
      <c r="BL134" s="448">
        <f t="shared" si="88"/>
        <v>0</v>
      </c>
      <c r="BM134" s="448">
        <f t="shared" si="89"/>
        <v>0</v>
      </c>
      <c r="BN134" s="448">
        <f t="shared" ca="1" si="90"/>
        <v>0</v>
      </c>
    </row>
    <row r="135" spans="1:66" s="29" customFormat="1" hidden="1" outlineLevel="1" x14ac:dyDescent="0.3">
      <c r="A135" s="95" t="s">
        <v>159</v>
      </c>
      <c r="B135" s="2"/>
      <c r="C135" s="24"/>
      <c r="D135" s="55" t="s">
        <v>145</v>
      </c>
      <c r="E135" s="87"/>
      <c r="F135" s="56"/>
      <c r="G135" s="33"/>
      <c r="H135" s="241"/>
      <c r="I135" s="27">
        <v>0</v>
      </c>
      <c r="J135" s="28"/>
      <c r="K135" s="241"/>
      <c r="L135" s="27">
        <v>0</v>
      </c>
      <c r="M135" s="28"/>
      <c r="N135" s="241"/>
      <c r="O135" s="27">
        <v>0</v>
      </c>
      <c r="P135" s="28"/>
      <c r="Q135" s="241"/>
      <c r="R135" s="27">
        <v>0</v>
      </c>
      <c r="S135" s="28"/>
      <c r="T135" s="241"/>
      <c r="U135" s="27">
        <v>0</v>
      </c>
      <c r="V135" s="28"/>
      <c r="W135" s="241"/>
      <c r="X135" s="27">
        <v>0</v>
      </c>
      <c r="Y135" s="28"/>
      <c r="Z135" s="241"/>
      <c r="AA135" s="27">
        <v>0</v>
      </c>
      <c r="AB135" s="28"/>
      <c r="AC135" s="241"/>
      <c r="AD135" s="27">
        <v>0</v>
      </c>
      <c r="AE135" s="28"/>
      <c r="AF135" s="241"/>
      <c r="AG135" s="27">
        <v>0</v>
      </c>
      <c r="AH135" s="28"/>
      <c r="AI135" s="241"/>
      <c r="AJ135" s="27">
        <v>0</v>
      </c>
      <c r="AK135" s="28"/>
      <c r="AL135" s="241"/>
      <c r="AM135" s="27">
        <v>0</v>
      </c>
      <c r="AN135" s="28"/>
      <c r="AO135" s="241"/>
      <c r="AP135" s="27">
        <v>0</v>
      </c>
      <c r="AQ135" s="28"/>
      <c r="AR135" s="241">
        <f t="shared" ca="1" si="128"/>
        <v>0</v>
      </c>
      <c r="AS135" s="27">
        <f t="shared" ca="1" si="129"/>
        <v>0</v>
      </c>
      <c r="AT135" s="28">
        <f t="shared" ca="1" si="130"/>
        <v>0</v>
      </c>
      <c r="AU135" s="241"/>
      <c r="AV135" s="27"/>
      <c r="AW135" s="28"/>
      <c r="AX135" s="241"/>
      <c r="AY135" s="27">
        <v>0</v>
      </c>
      <c r="AZ135" s="28"/>
      <c r="BA135" s="241"/>
      <c r="BB135" s="27">
        <v>0</v>
      </c>
      <c r="BC135" s="28"/>
      <c r="BD135" s="241"/>
      <c r="BE135" s="27">
        <v>0</v>
      </c>
      <c r="BF135" s="28"/>
      <c r="BG135" s="241"/>
      <c r="BH135" s="27">
        <v>0</v>
      </c>
      <c r="BI135" s="28"/>
      <c r="BK135" s="448">
        <f t="shared" si="87"/>
        <v>0</v>
      </c>
      <c r="BL135" s="448">
        <f t="shared" si="88"/>
        <v>0</v>
      </c>
      <c r="BM135" s="448">
        <f t="shared" si="89"/>
        <v>0</v>
      </c>
      <c r="BN135" s="448">
        <f t="shared" ca="1" si="90"/>
        <v>0</v>
      </c>
    </row>
    <row r="136" spans="1:66" s="29" customFormat="1" hidden="1" outlineLevel="1" x14ac:dyDescent="0.3">
      <c r="A136" s="95" t="s">
        <v>160</v>
      </c>
      <c r="B136" s="2"/>
      <c r="C136" s="24"/>
      <c r="D136" s="55" t="s">
        <v>145</v>
      </c>
      <c r="E136" s="87"/>
      <c r="F136" s="56"/>
      <c r="G136" s="33"/>
      <c r="H136" s="241"/>
      <c r="I136" s="27">
        <v>0</v>
      </c>
      <c r="J136" s="28"/>
      <c r="K136" s="241"/>
      <c r="L136" s="27">
        <v>-2149.81</v>
      </c>
      <c r="M136" s="28"/>
      <c r="N136" s="241"/>
      <c r="O136" s="27">
        <v>-2149.81</v>
      </c>
      <c r="P136" s="28"/>
      <c r="Q136" s="241"/>
      <c r="R136" s="27">
        <v>-2149.81</v>
      </c>
      <c r="S136" s="28"/>
      <c r="T136" s="241"/>
      <c r="U136" s="27">
        <v>-2149.81</v>
      </c>
      <c r="V136" s="28"/>
      <c r="W136" s="241"/>
      <c r="X136" s="27">
        <v>-2240.1020199999998</v>
      </c>
      <c r="Y136" s="28"/>
      <c r="Z136" s="241"/>
      <c r="AA136" s="27">
        <v>-2240.1020199999998</v>
      </c>
      <c r="AB136" s="28"/>
      <c r="AC136" s="241"/>
      <c r="AD136" s="27">
        <v>-2240.1020199999998</v>
      </c>
      <c r="AE136" s="28"/>
      <c r="AF136" s="241"/>
      <c r="AG136" s="27">
        <v>-2240.1020199999998</v>
      </c>
      <c r="AH136" s="28"/>
      <c r="AI136" s="241"/>
      <c r="AJ136" s="27">
        <v>-2240.1020199999998</v>
      </c>
      <c r="AK136" s="28"/>
      <c r="AL136" s="241"/>
      <c r="AM136" s="27">
        <v>-2240.1020199999998</v>
      </c>
      <c r="AN136" s="28"/>
      <c r="AO136" s="241"/>
      <c r="AP136" s="27">
        <v>-2240.1020199999998</v>
      </c>
      <c r="AQ136" s="28"/>
      <c r="AR136" s="241">
        <f t="shared" ca="1" si="128"/>
        <v>0</v>
      </c>
      <c r="AS136" s="27">
        <f t="shared" ca="1" si="129"/>
        <v>-10839.34202</v>
      </c>
      <c r="AT136" s="28">
        <f t="shared" ca="1" si="130"/>
        <v>0</v>
      </c>
      <c r="AU136" s="241"/>
      <c r="AV136" s="27"/>
      <c r="AW136" s="28"/>
      <c r="AX136" s="241"/>
      <c r="AY136" s="27">
        <v>0</v>
      </c>
      <c r="AZ136" s="28"/>
      <c r="BA136" s="241"/>
      <c r="BB136" s="27">
        <v>0</v>
      </c>
      <c r="BC136" s="28"/>
      <c r="BD136" s="241"/>
      <c r="BE136" s="27">
        <v>0</v>
      </c>
      <c r="BF136" s="28"/>
      <c r="BG136" s="241"/>
      <c r="BH136" s="27">
        <v>0</v>
      </c>
      <c r="BI136" s="28"/>
      <c r="BK136" s="448">
        <f t="shared" ref="BK136:BK199" si="147">SUM(I136,L136,O136,R136,U136,X136,AA136,AD136,AG136,AJ136,AM136,AP136)</f>
        <v>-24279.954139999994</v>
      </c>
      <c r="BL136" s="448">
        <f t="shared" ref="BL136:BL199" si="148">BK136-AV136</f>
        <v>-24279.954139999994</v>
      </c>
      <c r="BM136" s="448">
        <f t="shared" ref="BM136:BM199" si="149">SUM(J136,M136,P136,S136,V136)</f>
        <v>0</v>
      </c>
      <c r="BN136" s="448">
        <f t="shared" ref="BN136:BN199" ca="1" si="150">BM136-AT136</f>
        <v>0</v>
      </c>
    </row>
    <row r="137" spans="1:66" s="29" customFormat="1" hidden="1" outlineLevel="1" x14ac:dyDescent="0.3">
      <c r="A137" s="95" t="s">
        <v>161</v>
      </c>
      <c r="B137" s="2"/>
      <c r="C137" s="24"/>
      <c r="D137" s="55" t="s">
        <v>145</v>
      </c>
      <c r="E137" s="87"/>
      <c r="F137" s="56"/>
      <c r="G137" s="33"/>
      <c r="H137" s="241"/>
      <c r="I137" s="27">
        <v>-2200</v>
      </c>
      <c r="J137" s="28"/>
      <c r="K137" s="241"/>
      <c r="L137" s="27">
        <v>0</v>
      </c>
      <c r="M137" s="28"/>
      <c r="N137" s="241"/>
      <c r="O137" s="27">
        <v>0</v>
      </c>
      <c r="P137" s="28"/>
      <c r="Q137" s="241"/>
      <c r="R137" s="27">
        <v>0</v>
      </c>
      <c r="S137" s="28"/>
      <c r="T137" s="241"/>
      <c r="U137" s="27">
        <v>0</v>
      </c>
      <c r="V137" s="28"/>
      <c r="W137" s="241"/>
      <c r="X137" s="27">
        <v>0</v>
      </c>
      <c r="Y137" s="28"/>
      <c r="Z137" s="241"/>
      <c r="AA137" s="27">
        <v>0</v>
      </c>
      <c r="AB137" s="28"/>
      <c r="AC137" s="241"/>
      <c r="AD137" s="27">
        <v>0</v>
      </c>
      <c r="AE137" s="28"/>
      <c r="AF137" s="241"/>
      <c r="AG137" s="27">
        <v>0</v>
      </c>
      <c r="AH137" s="28"/>
      <c r="AI137" s="241"/>
      <c r="AJ137" s="27">
        <v>0</v>
      </c>
      <c r="AK137" s="28"/>
      <c r="AL137" s="241"/>
      <c r="AM137" s="27">
        <v>0</v>
      </c>
      <c r="AN137" s="28"/>
      <c r="AO137" s="241"/>
      <c r="AP137" s="27">
        <v>0</v>
      </c>
      <c r="AQ137" s="28"/>
      <c r="AR137" s="241">
        <f t="shared" ca="1" si="128"/>
        <v>0</v>
      </c>
      <c r="AS137" s="27">
        <f t="shared" ca="1" si="129"/>
        <v>-2200</v>
      </c>
      <c r="AT137" s="28">
        <f t="shared" ca="1" si="130"/>
        <v>0</v>
      </c>
      <c r="AU137" s="241"/>
      <c r="AV137" s="27"/>
      <c r="AW137" s="28"/>
      <c r="AX137" s="241"/>
      <c r="AY137" s="27">
        <v>0</v>
      </c>
      <c r="AZ137" s="28"/>
      <c r="BA137" s="241"/>
      <c r="BB137" s="27">
        <v>0</v>
      </c>
      <c r="BC137" s="28"/>
      <c r="BD137" s="241"/>
      <c r="BE137" s="27">
        <v>0</v>
      </c>
      <c r="BF137" s="28"/>
      <c r="BG137" s="241"/>
      <c r="BH137" s="27">
        <v>0</v>
      </c>
      <c r="BI137" s="28"/>
      <c r="BK137" s="448">
        <f t="shared" si="147"/>
        <v>-2200</v>
      </c>
      <c r="BL137" s="448">
        <f t="shared" si="148"/>
        <v>-2200</v>
      </c>
      <c r="BM137" s="448">
        <f t="shared" si="149"/>
        <v>0</v>
      </c>
      <c r="BN137" s="448">
        <f t="shared" ca="1" si="150"/>
        <v>0</v>
      </c>
    </row>
    <row r="138" spans="1:66" s="29" customFormat="1" hidden="1" outlineLevel="1" x14ac:dyDescent="0.3">
      <c r="A138" s="95" t="s">
        <v>162</v>
      </c>
      <c r="B138" s="2"/>
      <c r="C138" s="24"/>
      <c r="D138" s="55" t="s">
        <v>145</v>
      </c>
      <c r="E138" s="87"/>
      <c r="F138" s="56"/>
      <c r="G138" s="33"/>
      <c r="H138" s="241"/>
      <c r="I138" s="27">
        <v>0</v>
      </c>
      <c r="J138" s="28"/>
      <c r="K138" s="241"/>
      <c r="L138" s="27">
        <v>0</v>
      </c>
      <c r="M138" s="28"/>
      <c r="N138" s="241"/>
      <c r="O138" s="27">
        <v>0</v>
      </c>
      <c r="P138" s="28"/>
      <c r="Q138" s="241"/>
      <c r="R138" s="27">
        <v>0</v>
      </c>
      <c r="S138" s="28"/>
      <c r="T138" s="241"/>
      <c r="U138" s="27">
        <v>0</v>
      </c>
      <c r="V138" s="28"/>
      <c r="W138" s="241"/>
      <c r="X138" s="27">
        <v>0</v>
      </c>
      <c r="Y138" s="28"/>
      <c r="Z138" s="241"/>
      <c r="AA138" s="27">
        <v>0</v>
      </c>
      <c r="AB138" s="28"/>
      <c r="AC138" s="241"/>
      <c r="AD138" s="27">
        <v>0</v>
      </c>
      <c r="AE138" s="28"/>
      <c r="AF138" s="241"/>
      <c r="AG138" s="27">
        <v>0</v>
      </c>
      <c r="AH138" s="28"/>
      <c r="AI138" s="241"/>
      <c r="AJ138" s="27">
        <v>0</v>
      </c>
      <c r="AK138" s="28"/>
      <c r="AL138" s="241"/>
      <c r="AM138" s="27">
        <v>0</v>
      </c>
      <c r="AN138" s="28"/>
      <c r="AO138" s="241"/>
      <c r="AP138" s="27">
        <v>0</v>
      </c>
      <c r="AQ138" s="28"/>
      <c r="AR138" s="241">
        <f t="shared" ca="1" si="128"/>
        <v>0</v>
      </c>
      <c r="AS138" s="27">
        <f t="shared" ca="1" si="129"/>
        <v>0</v>
      </c>
      <c r="AT138" s="28">
        <f t="shared" ca="1" si="130"/>
        <v>0</v>
      </c>
      <c r="AU138" s="241"/>
      <c r="AV138" s="27"/>
      <c r="AW138" s="28"/>
      <c r="AX138" s="241"/>
      <c r="AY138" s="27">
        <v>0</v>
      </c>
      <c r="AZ138" s="28"/>
      <c r="BA138" s="241"/>
      <c r="BB138" s="27">
        <v>0</v>
      </c>
      <c r="BC138" s="28"/>
      <c r="BD138" s="241"/>
      <c r="BE138" s="27">
        <v>0</v>
      </c>
      <c r="BF138" s="28"/>
      <c r="BG138" s="241"/>
      <c r="BH138" s="27">
        <v>0</v>
      </c>
      <c r="BI138" s="28"/>
      <c r="BK138" s="448">
        <f t="shared" si="147"/>
        <v>0</v>
      </c>
      <c r="BL138" s="448">
        <f t="shared" si="148"/>
        <v>0</v>
      </c>
      <c r="BM138" s="448">
        <f t="shared" si="149"/>
        <v>0</v>
      </c>
      <c r="BN138" s="448">
        <f t="shared" ca="1" si="150"/>
        <v>0</v>
      </c>
    </row>
    <row r="139" spans="1:66" s="29" customFormat="1" hidden="1" outlineLevel="1" x14ac:dyDescent="0.3">
      <c r="A139" s="95" t="s">
        <v>163</v>
      </c>
      <c r="B139" s="2"/>
      <c r="C139" s="24"/>
      <c r="D139" s="55" t="s">
        <v>145</v>
      </c>
      <c r="E139" s="87"/>
      <c r="F139" s="56"/>
      <c r="G139" s="33"/>
      <c r="H139" s="241"/>
      <c r="I139" s="27">
        <v>-3067</v>
      </c>
      <c r="J139" s="28"/>
      <c r="K139" s="241"/>
      <c r="L139" s="27">
        <v>-3067</v>
      </c>
      <c r="M139" s="28"/>
      <c r="N139" s="241"/>
      <c r="O139" s="27">
        <v>-3067</v>
      </c>
      <c r="P139" s="28"/>
      <c r="Q139" s="241"/>
      <c r="R139" s="27">
        <v>-3067</v>
      </c>
      <c r="S139" s="28"/>
      <c r="T139" s="241"/>
      <c r="U139" s="27">
        <v>-3067</v>
      </c>
      <c r="V139" s="28"/>
      <c r="W139" s="241"/>
      <c r="X139" s="27">
        <v>-3195.8139999999999</v>
      </c>
      <c r="Y139" s="28"/>
      <c r="Z139" s="241"/>
      <c r="AA139" s="27">
        <v>-3195.8139999999999</v>
      </c>
      <c r="AB139" s="28"/>
      <c r="AC139" s="241"/>
      <c r="AD139" s="27">
        <v>-3195.8139999999999</v>
      </c>
      <c r="AE139" s="28"/>
      <c r="AF139" s="241"/>
      <c r="AG139" s="27">
        <v>-3195.8139999999999</v>
      </c>
      <c r="AH139" s="28"/>
      <c r="AI139" s="241"/>
      <c r="AJ139" s="27">
        <v>-3195.8139999999999</v>
      </c>
      <c r="AK139" s="28"/>
      <c r="AL139" s="241"/>
      <c r="AM139" s="27">
        <v>-3195.8139999999999</v>
      </c>
      <c r="AN139" s="28"/>
      <c r="AO139" s="241"/>
      <c r="AP139" s="27">
        <v>-3195.8139999999999</v>
      </c>
      <c r="AQ139" s="28"/>
      <c r="AR139" s="241">
        <f t="shared" ref="AR139:AR170" ca="1" si="151">SUMIFS($H139:$AO139,$H$5:$AO$5,"&lt;"&amp;MONTH(TODAY()),$H$6:$AO$6,"REAL 25")</f>
        <v>0</v>
      </c>
      <c r="AS139" s="27">
        <f t="shared" ref="AS139:AS170" ca="1" si="152">SUMIFS($I139:$AP139,$I$5:$AP$5,"&lt;"&amp;MONTH(TODAY()),$I$6:$AP$6,"ORÇADO ")</f>
        <v>-18530.813999999998</v>
      </c>
      <c r="AT139" s="28">
        <f t="shared" ref="AT139:AT170" ca="1" si="153">SUMIFS($J139:$AQ139,$J$5:$AQ$5,"&lt;"&amp;MONTH(TODAY()),$J$6:$AQ$6,"REAL 26")</f>
        <v>0</v>
      </c>
      <c r="AU139" s="241"/>
      <c r="AV139" s="27"/>
      <c r="AW139" s="28"/>
      <c r="AX139" s="241"/>
      <c r="AY139" s="27">
        <v>0</v>
      </c>
      <c r="AZ139" s="28"/>
      <c r="BA139" s="241"/>
      <c r="BB139" s="27">
        <v>0</v>
      </c>
      <c r="BC139" s="28"/>
      <c r="BD139" s="241"/>
      <c r="BE139" s="27">
        <v>0</v>
      </c>
      <c r="BF139" s="28"/>
      <c r="BG139" s="241"/>
      <c r="BH139" s="27">
        <v>0</v>
      </c>
      <c r="BI139" s="28"/>
      <c r="BK139" s="448">
        <f t="shared" si="147"/>
        <v>-37705.697999999989</v>
      </c>
      <c r="BL139" s="448">
        <f t="shared" si="148"/>
        <v>-37705.697999999989</v>
      </c>
      <c r="BM139" s="448">
        <f t="shared" si="149"/>
        <v>0</v>
      </c>
      <c r="BN139" s="448">
        <f t="shared" ca="1" si="150"/>
        <v>0</v>
      </c>
    </row>
    <row r="140" spans="1:66" s="29" customFormat="1" hidden="1" outlineLevel="1" x14ac:dyDescent="0.3">
      <c r="A140" s="95" t="s">
        <v>164</v>
      </c>
      <c r="B140" s="2"/>
      <c r="C140" s="24"/>
      <c r="D140" s="55" t="s">
        <v>145</v>
      </c>
      <c r="E140" s="87"/>
      <c r="F140" s="56"/>
      <c r="G140" s="33"/>
      <c r="H140" s="241"/>
      <c r="I140" s="27">
        <v>0</v>
      </c>
      <c r="J140" s="28"/>
      <c r="K140" s="241"/>
      <c r="L140" s="27">
        <v>0</v>
      </c>
      <c r="M140" s="28"/>
      <c r="N140" s="241"/>
      <c r="O140" s="27">
        <v>0</v>
      </c>
      <c r="P140" s="28"/>
      <c r="Q140" s="241"/>
      <c r="R140" s="27">
        <v>0</v>
      </c>
      <c r="S140" s="28"/>
      <c r="T140" s="241"/>
      <c r="U140" s="27">
        <v>0</v>
      </c>
      <c r="V140" s="28"/>
      <c r="W140" s="241"/>
      <c r="X140" s="27">
        <v>0</v>
      </c>
      <c r="Y140" s="28"/>
      <c r="Z140" s="241"/>
      <c r="AA140" s="27">
        <v>0</v>
      </c>
      <c r="AB140" s="28"/>
      <c r="AC140" s="241"/>
      <c r="AD140" s="27">
        <v>0</v>
      </c>
      <c r="AE140" s="28"/>
      <c r="AF140" s="241"/>
      <c r="AG140" s="27">
        <v>0</v>
      </c>
      <c r="AH140" s="28"/>
      <c r="AI140" s="241"/>
      <c r="AJ140" s="27">
        <v>0</v>
      </c>
      <c r="AK140" s="28"/>
      <c r="AL140" s="241"/>
      <c r="AM140" s="27">
        <v>0</v>
      </c>
      <c r="AN140" s="28"/>
      <c r="AO140" s="241"/>
      <c r="AP140" s="27">
        <v>0</v>
      </c>
      <c r="AQ140" s="28"/>
      <c r="AR140" s="241">
        <f t="shared" ca="1" si="151"/>
        <v>0</v>
      </c>
      <c r="AS140" s="27">
        <f t="shared" ca="1" si="152"/>
        <v>0</v>
      </c>
      <c r="AT140" s="28">
        <f t="shared" ca="1" si="153"/>
        <v>0</v>
      </c>
      <c r="AU140" s="241"/>
      <c r="AV140" s="27"/>
      <c r="AW140" s="28"/>
      <c r="AX140" s="241"/>
      <c r="AY140" s="27">
        <v>-23262.720000000001</v>
      </c>
      <c r="AZ140" s="28"/>
      <c r="BA140" s="241"/>
      <c r="BB140" s="27">
        <v>-23588.398079999999</v>
      </c>
      <c r="BC140" s="28"/>
      <c r="BD140" s="241"/>
      <c r="BE140" s="27">
        <v>-24239.754239999998</v>
      </c>
      <c r="BF140" s="28"/>
      <c r="BG140" s="241"/>
      <c r="BH140" s="27">
        <v>-24239.754239999998</v>
      </c>
      <c r="BI140" s="28"/>
      <c r="BK140" s="448">
        <f t="shared" si="147"/>
        <v>0</v>
      </c>
      <c r="BL140" s="448">
        <f t="shared" si="148"/>
        <v>0</v>
      </c>
      <c r="BM140" s="448">
        <f t="shared" si="149"/>
        <v>0</v>
      </c>
      <c r="BN140" s="448">
        <f t="shared" ca="1" si="150"/>
        <v>0</v>
      </c>
    </row>
    <row r="141" spans="1:66" s="29" customFormat="1" hidden="1" outlineLevel="1" x14ac:dyDescent="0.3">
      <c r="A141" s="95" t="s">
        <v>165</v>
      </c>
      <c r="B141" s="2"/>
      <c r="C141" s="24"/>
      <c r="D141" s="55" t="s">
        <v>145</v>
      </c>
      <c r="E141" s="87"/>
      <c r="F141" s="56"/>
      <c r="G141" s="33"/>
      <c r="H141" s="241"/>
      <c r="I141" s="27">
        <v>0</v>
      </c>
      <c r="J141" s="28"/>
      <c r="K141" s="241"/>
      <c r="L141" s="27">
        <v>-1938.56</v>
      </c>
      <c r="M141" s="28"/>
      <c r="N141" s="241"/>
      <c r="O141" s="27">
        <v>-1938.56</v>
      </c>
      <c r="P141" s="28"/>
      <c r="Q141" s="241"/>
      <c r="R141" s="27">
        <v>-3877.12</v>
      </c>
      <c r="S141" s="28"/>
      <c r="T141" s="241"/>
      <c r="U141" s="27">
        <v>-3877.12</v>
      </c>
      <c r="V141" s="28"/>
      <c r="W141" s="241"/>
      <c r="X141" s="27">
        <v>-4039.9590400000002</v>
      </c>
      <c r="Y141" s="28"/>
      <c r="Z141" s="241"/>
      <c r="AA141" s="27">
        <v>-4039.9590400000002</v>
      </c>
      <c r="AB141" s="28"/>
      <c r="AC141" s="241"/>
      <c r="AD141" s="27">
        <v>-4039.9590400000002</v>
      </c>
      <c r="AE141" s="28"/>
      <c r="AF141" s="241"/>
      <c r="AG141" s="27">
        <v>-4039.9590400000002</v>
      </c>
      <c r="AH141" s="28"/>
      <c r="AI141" s="241"/>
      <c r="AJ141" s="27">
        <v>-4039.9590400000002</v>
      </c>
      <c r="AK141" s="28"/>
      <c r="AL141" s="241"/>
      <c r="AM141" s="27">
        <v>-4039.9590400000002</v>
      </c>
      <c r="AN141" s="28"/>
      <c r="AO141" s="241"/>
      <c r="AP141" s="27">
        <v>-4039.9590400000002</v>
      </c>
      <c r="AQ141" s="28"/>
      <c r="AR141" s="241">
        <f t="shared" ca="1" si="151"/>
        <v>0</v>
      </c>
      <c r="AS141" s="27">
        <f t="shared" ca="1" si="152"/>
        <v>-15671.31904</v>
      </c>
      <c r="AT141" s="28">
        <f t="shared" ca="1" si="153"/>
        <v>0</v>
      </c>
      <c r="AU141" s="241"/>
      <c r="AV141" s="27"/>
      <c r="AW141" s="28"/>
      <c r="AX141" s="241"/>
      <c r="AY141" s="27">
        <v>-6688.02</v>
      </c>
      <c r="AZ141" s="28"/>
      <c r="BA141" s="241"/>
      <c r="BB141" s="27">
        <v>-6781.6522800000002</v>
      </c>
      <c r="BC141" s="28"/>
      <c r="BD141" s="241"/>
      <c r="BE141" s="27">
        <v>-6968.9168399999999</v>
      </c>
      <c r="BF141" s="28"/>
      <c r="BG141" s="241"/>
      <c r="BH141" s="27">
        <v>-6968.9168399999999</v>
      </c>
      <c r="BI141" s="28"/>
      <c r="BK141" s="448">
        <f t="shared" si="147"/>
        <v>-39911.073280000004</v>
      </c>
      <c r="BL141" s="448">
        <f t="shared" si="148"/>
        <v>-39911.073280000004</v>
      </c>
      <c r="BM141" s="448">
        <f t="shared" si="149"/>
        <v>0</v>
      </c>
      <c r="BN141" s="448">
        <f t="shared" ca="1" si="150"/>
        <v>0</v>
      </c>
    </row>
    <row r="142" spans="1:66" s="29" customFormat="1" hidden="1" outlineLevel="1" x14ac:dyDescent="0.3">
      <c r="A142" s="95" t="s">
        <v>166</v>
      </c>
      <c r="B142" s="2"/>
      <c r="C142" s="24"/>
      <c r="D142" s="55" t="s">
        <v>145</v>
      </c>
      <c r="E142" s="87"/>
      <c r="F142" s="56"/>
      <c r="G142" s="33"/>
      <c r="H142" s="241"/>
      <c r="I142" s="27">
        <v>-1771.86</v>
      </c>
      <c r="J142" s="28"/>
      <c r="K142" s="241"/>
      <c r="L142" s="27">
        <v>0</v>
      </c>
      <c r="M142" s="28"/>
      <c r="N142" s="241"/>
      <c r="O142" s="27">
        <v>0</v>
      </c>
      <c r="P142" s="28"/>
      <c r="Q142" s="241"/>
      <c r="R142" s="27">
        <v>0</v>
      </c>
      <c r="S142" s="28"/>
      <c r="T142" s="241"/>
      <c r="U142" s="27">
        <v>0</v>
      </c>
      <c r="V142" s="28"/>
      <c r="W142" s="241"/>
      <c r="X142" s="27">
        <v>0</v>
      </c>
      <c r="Y142" s="28"/>
      <c r="Z142" s="241"/>
      <c r="AA142" s="27">
        <v>0</v>
      </c>
      <c r="AB142" s="28"/>
      <c r="AC142" s="241"/>
      <c r="AD142" s="27">
        <v>0</v>
      </c>
      <c r="AE142" s="28"/>
      <c r="AF142" s="241"/>
      <c r="AG142" s="27">
        <v>0</v>
      </c>
      <c r="AH142" s="28"/>
      <c r="AI142" s="241"/>
      <c r="AJ142" s="27">
        <v>0</v>
      </c>
      <c r="AK142" s="28"/>
      <c r="AL142" s="241"/>
      <c r="AM142" s="27">
        <v>0</v>
      </c>
      <c r="AN142" s="28"/>
      <c r="AO142" s="241"/>
      <c r="AP142" s="27">
        <v>0</v>
      </c>
      <c r="AQ142" s="28"/>
      <c r="AR142" s="241">
        <f t="shared" ca="1" si="151"/>
        <v>0</v>
      </c>
      <c r="AS142" s="27">
        <f t="shared" ca="1" si="152"/>
        <v>-1771.86</v>
      </c>
      <c r="AT142" s="28">
        <f t="shared" ca="1" si="153"/>
        <v>0</v>
      </c>
      <c r="AU142" s="241"/>
      <c r="AV142" s="27"/>
      <c r="AW142" s="28"/>
      <c r="AX142" s="241"/>
      <c r="AY142" s="27">
        <v>-7691.25</v>
      </c>
      <c r="AZ142" s="28"/>
      <c r="BA142" s="241"/>
      <c r="BB142" s="27">
        <v>-7798.9274999999998</v>
      </c>
      <c r="BC142" s="28"/>
      <c r="BD142" s="241"/>
      <c r="BE142" s="27">
        <v>-8014.2824999999993</v>
      </c>
      <c r="BF142" s="28"/>
      <c r="BG142" s="241"/>
      <c r="BH142" s="27">
        <v>-8014.2824999999993</v>
      </c>
      <c r="BI142" s="28"/>
      <c r="BK142" s="448">
        <f t="shared" si="147"/>
        <v>-1771.86</v>
      </c>
      <c r="BL142" s="448">
        <f t="shared" si="148"/>
        <v>-1771.86</v>
      </c>
      <c r="BM142" s="448">
        <f t="shared" si="149"/>
        <v>0</v>
      </c>
      <c r="BN142" s="448">
        <f t="shared" ca="1" si="150"/>
        <v>0</v>
      </c>
    </row>
    <row r="143" spans="1:66" s="29" customFormat="1" hidden="1" outlineLevel="1" x14ac:dyDescent="0.3">
      <c r="A143" s="95" t="s">
        <v>167</v>
      </c>
      <c r="B143" s="2"/>
      <c r="C143" s="24"/>
      <c r="D143" s="55" t="s">
        <v>145</v>
      </c>
      <c r="E143" s="87"/>
      <c r="F143" s="56"/>
      <c r="G143" s="33"/>
      <c r="H143" s="241"/>
      <c r="I143" s="27">
        <v>-1194.17</v>
      </c>
      <c r="J143" s="28"/>
      <c r="K143" s="241"/>
      <c r="L143" s="27">
        <v>-1804</v>
      </c>
      <c r="M143" s="28"/>
      <c r="N143" s="241"/>
      <c r="O143" s="27">
        <v>-1804</v>
      </c>
      <c r="P143" s="28"/>
      <c r="Q143" s="241"/>
      <c r="R143" s="27">
        <v>-1804</v>
      </c>
      <c r="S143" s="28"/>
      <c r="T143" s="241"/>
      <c r="U143" s="27">
        <v>-1804</v>
      </c>
      <c r="V143" s="28"/>
      <c r="W143" s="241"/>
      <c r="X143" s="27">
        <v>-1879.768</v>
      </c>
      <c r="Y143" s="28"/>
      <c r="Z143" s="241"/>
      <c r="AA143" s="27">
        <v>-1879.768</v>
      </c>
      <c r="AB143" s="28"/>
      <c r="AC143" s="241"/>
      <c r="AD143" s="27">
        <v>-1879.768</v>
      </c>
      <c r="AE143" s="28"/>
      <c r="AF143" s="241"/>
      <c r="AG143" s="27">
        <v>-1879.768</v>
      </c>
      <c r="AH143" s="28"/>
      <c r="AI143" s="241"/>
      <c r="AJ143" s="27">
        <v>-1879.768</v>
      </c>
      <c r="AK143" s="28"/>
      <c r="AL143" s="241"/>
      <c r="AM143" s="27">
        <v>-1879.768</v>
      </c>
      <c r="AN143" s="28"/>
      <c r="AO143" s="241"/>
      <c r="AP143" s="27">
        <v>-1879.768</v>
      </c>
      <c r="AQ143" s="28"/>
      <c r="AR143" s="241">
        <f t="shared" ca="1" si="151"/>
        <v>0</v>
      </c>
      <c r="AS143" s="27">
        <f t="shared" ca="1" si="152"/>
        <v>-10289.938</v>
      </c>
      <c r="AT143" s="28">
        <f t="shared" ca="1" si="153"/>
        <v>0</v>
      </c>
      <c r="AU143" s="241"/>
      <c r="AV143" s="27"/>
      <c r="AW143" s="28"/>
      <c r="AX143" s="241"/>
      <c r="AY143" s="27">
        <v>0</v>
      </c>
      <c r="AZ143" s="28"/>
      <c r="BA143" s="241"/>
      <c r="BB143" s="27">
        <v>0</v>
      </c>
      <c r="BC143" s="28"/>
      <c r="BD143" s="241"/>
      <c r="BE143" s="27">
        <v>0</v>
      </c>
      <c r="BF143" s="28"/>
      <c r="BG143" s="241"/>
      <c r="BH143" s="27">
        <v>0</v>
      </c>
      <c r="BI143" s="28"/>
      <c r="BK143" s="448">
        <f t="shared" si="147"/>
        <v>-21568.546000000002</v>
      </c>
      <c r="BL143" s="448">
        <f t="shared" si="148"/>
        <v>-21568.546000000002</v>
      </c>
      <c r="BM143" s="448">
        <f t="shared" si="149"/>
        <v>0</v>
      </c>
      <c r="BN143" s="448">
        <f t="shared" ca="1" si="150"/>
        <v>0</v>
      </c>
    </row>
    <row r="144" spans="1:66" s="29" customFormat="1" hidden="1" outlineLevel="1" x14ac:dyDescent="0.3">
      <c r="A144" s="95" t="s">
        <v>168</v>
      </c>
      <c r="B144" s="2"/>
      <c r="C144" s="24"/>
      <c r="D144" s="55" t="s">
        <v>145</v>
      </c>
      <c r="E144" s="87"/>
      <c r="F144" s="56"/>
      <c r="G144" s="33"/>
      <c r="H144" s="241"/>
      <c r="I144" s="27">
        <v>0</v>
      </c>
      <c r="J144" s="28"/>
      <c r="K144" s="241"/>
      <c r="L144" s="27">
        <v>0</v>
      </c>
      <c r="M144" s="28"/>
      <c r="N144" s="241"/>
      <c r="O144" s="27">
        <v>0</v>
      </c>
      <c r="P144" s="28"/>
      <c r="Q144" s="241"/>
      <c r="R144" s="27">
        <v>0</v>
      </c>
      <c r="S144" s="28"/>
      <c r="T144" s="241"/>
      <c r="U144" s="27">
        <v>0</v>
      </c>
      <c r="V144" s="28"/>
      <c r="W144" s="241"/>
      <c r="X144" s="27">
        <v>0</v>
      </c>
      <c r="Y144" s="28"/>
      <c r="Z144" s="241"/>
      <c r="AA144" s="27">
        <v>0</v>
      </c>
      <c r="AB144" s="28"/>
      <c r="AC144" s="241"/>
      <c r="AD144" s="27">
        <v>0</v>
      </c>
      <c r="AE144" s="28"/>
      <c r="AF144" s="241"/>
      <c r="AG144" s="27">
        <v>0</v>
      </c>
      <c r="AH144" s="28"/>
      <c r="AI144" s="241"/>
      <c r="AJ144" s="27">
        <v>0</v>
      </c>
      <c r="AK144" s="28"/>
      <c r="AL144" s="241"/>
      <c r="AM144" s="27">
        <v>0</v>
      </c>
      <c r="AN144" s="28"/>
      <c r="AO144" s="241"/>
      <c r="AP144" s="27">
        <v>0</v>
      </c>
      <c r="AQ144" s="28"/>
      <c r="AR144" s="241">
        <f t="shared" ca="1" si="151"/>
        <v>0</v>
      </c>
      <c r="AS144" s="27">
        <f t="shared" ca="1" si="152"/>
        <v>0</v>
      </c>
      <c r="AT144" s="28">
        <f t="shared" ca="1" si="153"/>
        <v>0</v>
      </c>
      <c r="AU144" s="241"/>
      <c r="AV144" s="27"/>
      <c r="AW144" s="28"/>
      <c r="AX144" s="241"/>
      <c r="AY144" s="27">
        <v>0</v>
      </c>
      <c r="AZ144" s="28"/>
      <c r="BA144" s="241"/>
      <c r="BB144" s="27">
        <v>0</v>
      </c>
      <c r="BC144" s="28"/>
      <c r="BD144" s="241"/>
      <c r="BE144" s="27">
        <v>0</v>
      </c>
      <c r="BF144" s="28"/>
      <c r="BG144" s="241"/>
      <c r="BH144" s="27">
        <v>0</v>
      </c>
      <c r="BI144" s="28"/>
      <c r="BK144" s="448">
        <f t="shared" si="147"/>
        <v>0</v>
      </c>
      <c r="BL144" s="448">
        <f t="shared" si="148"/>
        <v>0</v>
      </c>
      <c r="BM144" s="448">
        <f t="shared" si="149"/>
        <v>0</v>
      </c>
      <c r="BN144" s="448">
        <f t="shared" ca="1" si="150"/>
        <v>0</v>
      </c>
    </row>
    <row r="145" spans="1:66" s="29" customFormat="1" hidden="1" outlineLevel="1" x14ac:dyDescent="0.3">
      <c r="A145" s="95" t="s">
        <v>169</v>
      </c>
      <c r="B145" s="2"/>
      <c r="C145" s="24"/>
      <c r="D145" s="55" t="s">
        <v>145</v>
      </c>
      <c r="E145" s="87"/>
      <c r="F145" s="56"/>
      <c r="G145" s="33"/>
      <c r="H145" s="241"/>
      <c r="I145" s="27">
        <v>0</v>
      </c>
      <c r="J145" s="28"/>
      <c r="K145" s="241"/>
      <c r="L145" s="27">
        <v>0</v>
      </c>
      <c r="M145" s="28"/>
      <c r="N145" s="241"/>
      <c r="O145" s="27">
        <v>0</v>
      </c>
      <c r="P145" s="28"/>
      <c r="Q145" s="241"/>
      <c r="R145" s="27">
        <v>0</v>
      </c>
      <c r="S145" s="28"/>
      <c r="T145" s="241"/>
      <c r="U145" s="27">
        <v>0</v>
      </c>
      <c r="V145" s="28"/>
      <c r="W145" s="241"/>
      <c r="X145" s="27">
        <v>0</v>
      </c>
      <c r="Y145" s="28"/>
      <c r="Z145" s="241"/>
      <c r="AA145" s="27">
        <v>0</v>
      </c>
      <c r="AB145" s="28"/>
      <c r="AC145" s="241"/>
      <c r="AD145" s="27">
        <v>0</v>
      </c>
      <c r="AE145" s="28"/>
      <c r="AF145" s="241"/>
      <c r="AG145" s="27">
        <v>0</v>
      </c>
      <c r="AH145" s="28"/>
      <c r="AI145" s="241"/>
      <c r="AJ145" s="27">
        <v>0</v>
      </c>
      <c r="AK145" s="28"/>
      <c r="AL145" s="241"/>
      <c r="AM145" s="27">
        <v>0</v>
      </c>
      <c r="AN145" s="28"/>
      <c r="AO145" s="241"/>
      <c r="AP145" s="27">
        <v>0</v>
      </c>
      <c r="AQ145" s="28"/>
      <c r="AR145" s="241">
        <f t="shared" ca="1" si="151"/>
        <v>0</v>
      </c>
      <c r="AS145" s="27">
        <f t="shared" ca="1" si="152"/>
        <v>0</v>
      </c>
      <c r="AT145" s="28">
        <f t="shared" ca="1" si="153"/>
        <v>0</v>
      </c>
      <c r="AU145" s="241"/>
      <c r="AV145" s="27"/>
      <c r="AW145" s="28"/>
      <c r="AX145" s="241"/>
      <c r="AY145" s="27">
        <v>0</v>
      </c>
      <c r="AZ145" s="28"/>
      <c r="BA145" s="241"/>
      <c r="BB145" s="27">
        <v>0</v>
      </c>
      <c r="BC145" s="28"/>
      <c r="BD145" s="241"/>
      <c r="BE145" s="27">
        <v>0</v>
      </c>
      <c r="BF145" s="28"/>
      <c r="BG145" s="241"/>
      <c r="BH145" s="27">
        <v>0</v>
      </c>
      <c r="BI145" s="28"/>
      <c r="BK145" s="448">
        <f t="shared" si="147"/>
        <v>0</v>
      </c>
      <c r="BL145" s="448">
        <f t="shared" si="148"/>
        <v>0</v>
      </c>
      <c r="BM145" s="448">
        <f t="shared" si="149"/>
        <v>0</v>
      </c>
      <c r="BN145" s="448">
        <f t="shared" ca="1" si="150"/>
        <v>0</v>
      </c>
    </row>
    <row r="146" spans="1:66" s="29" customFormat="1" hidden="1" outlineLevel="1" x14ac:dyDescent="0.3">
      <c r="A146" s="95" t="s">
        <v>170</v>
      </c>
      <c r="B146" s="2"/>
      <c r="C146" s="24"/>
      <c r="D146" s="55" t="s">
        <v>145</v>
      </c>
      <c r="E146" s="87"/>
      <c r="F146" s="56"/>
      <c r="G146" s="33"/>
      <c r="H146" s="241"/>
      <c r="I146" s="27">
        <v>0</v>
      </c>
      <c r="J146" s="28"/>
      <c r="K146" s="241"/>
      <c r="L146" s="27">
        <v>0</v>
      </c>
      <c r="M146" s="28"/>
      <c r="N146" s="241"/>
      <c r="O146" s="27">
        <v>0</v>
      </c>
      <c r="P146" s="28"/>
      <c r="Q146" s="241"/>
      <c r="R146" s="27">
        <v>0</v>
      </c>
      <c r="S146" s="28"/>
      <c r="T146" s="241"/>
      <c r="U146" s="27">
        <v>0</v>
      </c>
      <c r="V146" s="28"/>
      <c r="W146" s="241"/>
      <c r="X146" s="27">
        <v>0</v>
      </c>
      <c r="Y146" s="28"/>
      <c r="Z146" s="241"/>
      <c r="AA146" s="27">
        <v>0</v>
      </c>
      <c r="AB146" s="28"/>
      <c r="AC146" s="241"/>
      <c r="AD146" s="27">
        <v>0</v>
      </c>
      <c r="AE146" s="28"/>
      <c r="AF146" s="241"/>
      <c r="AG146" s="27">
        <v>0</v>
      </c>
      <c r="AH146" s="28"/>
      <c r="AI146" s="241"/>
      <c r="AJ146" s="27">
        <v>0</v>
      </c>
      <c r="AK146" s="28"/>
      <c r="AL146" s="241"/>
      <c r="AM146" s="27">
        <v>0</v>
      </c>
      <c r="AN146" s="28"/>
      <c r="AO146" s="241"/>
      <c r="AP146" s="27">
        <v>0</v>
      </c>
      <c r="AQ146" s="28"/>
      <c r="AR146" s="241">
        <f t="shared" ca="1" si="151"/>
        <v>0</v>
      </c>
      <c r="AS146" s="27">
        <f t="shared" ca="1" si="152"/>
        <v>0</v>
      </c>
      <c r="AT146" s="28">
        <f t="shared" ca="1" si="153"/>
        <v>0</v>
      </c>
      <c r="AU146" s="241"/>
      <c r="AV146" s="27"/>
      <c r="AW146" s="28"/>
      <c r="AX146" s="241"/>
      <c r="AY146" s="27">
        <v>0</v>
      </c>
      <c r="AZ146" s="28"/>
      <c r="BA146" s="241"/>
      <c r="BB146" s="27">
        <v>0</v>
      </c>
      <c r="BC146" s="28"/>
      <c r="BD146" s="241"/>
      <c r="BE146" s="27">
        <v>0</v>
      </c>
      <c r="BF146" s="28"/>
      <c r="BG146" s="241"/>
      <c r="BH146" s="27">
        <v>0</v>
      </c>
      <c r="BI146" s="28"/>
      <c r="BK146" s="448">
        <f t="shared" si="147"/>
        <v>0</v>
      </c>
      <c r="BL146" s="448">
        <f t="shared" si="148"/>
        <v>0</v>
      </c>
      <c r="BM146" s="448">
        <f t="shared" si="149"/>
        <v>0</v>
      </c>
      <c r="BN146" s="448">
        <f t="shared" ca="1" si="150"/>
        <v>0</v>
      </c>
    </row>
    <row r="147" spans="1:66" s="29" customFormat="1" hidden="1" outlineLevel="1" x14ac:dyDescent="0.3">
      <c r="A147" s="95" t="s">
        <v>171</v>
      </c>
      <c r="B147" s="2"/>
      <c r="C147" s="24"/>
      <c r="D147" s="55" t="s">
        <v>145</v>
      </c>
      <c r="E147" s="87"/>
      <c r="F147" s="56"/>
      <c r="G147" s="33"/>
      <c r="H147" s="241"/>
      <c r="I147" s="27">
        <v>0</v>
      </c>
      <c r="J147" s="28"/>
      <c r="K147" s="241"/>
      <c r="L147" s="27">
        <v>0</v>
      </c>
      <c r="M147" s="28"/>
      <c r="N147" s="241"/>
      <c r="O147" s="27">
        <v>0</v>
      </c>
      <c r="P147" s="28"/>
      <c r="Q147" s="241"/>
      <c r="R147" s="27">
        <v>0</v>
      </c>
      <c r="S147" s="28"/>
      <c r="T147" s="241"/>
      <c r="U147" s="27">
        <v>0</v>
      </c>
      <c r="V147" s="28"/>
      <c r="W147" s="241"/>
      <c r="X147" s="27">
        <v>0</v>
      </c>
      <c r="Y147" s="28"/>
      <c r="Z147" s="241"/>
      <c r="AA147" s="27">
        <v>0</v>
      </c>
      <c r="AB147" s="28"/>
      <c r="AC147" s="241"/>
      <c r="AD147" s="27">
        <v>0</v>
      </c>
      <c r="AE147" s="28"/>
      <c r="AF147" s="241"/>
      <c r="AG147" s="27">
        <v>0</v>
      </c>
      <c r="AH147" s="28"/>
      <c r="AI147" s="241"/>
      <c r="AJ147" s="27">
        <v>0</v>
      </c>
      <c r="AK147" s="28"/>
      <c r="AL147" s="241"/>
      <c r="AM147" s="27">
        <v>0</v>
      </c>
      <c r="AN147" s="28"/>
      <c r="AO147" s="241"/>
      <c r="AP147" s="27">
        <v>0</v>
      </c>
      <c r="AQ147" s="28"/>
      <c r="AR147" s="241">
        <f t="shared" ca="1" si="151"/>
        <v>0</v>
      </c>
      <c r="AS147" s="27">
        <f t="shared" ca="1" si="152"/>
        <v>0</v>
      </c>
      <c r="AT147" s="28">
        <f t="shared" ca="1" si="153"/>
        <v>0</v>
      </c>
      <c r="AU147" s="241"/>
      <c r="AV147" s="27"/>
      <c r="AW147" s="28"/>
      <c r="AX147" s="241"/>
      <c r="AY147" s="27">
        <v>0</v>
      </c>
      <c r="AZ147" s="28"/>
      <c r="BA147" s="241"/>
      <c r="BB147" s="27">
        <v>0</v>
      </c>
      <c r="BC147" s="28"/>
      <c r="BD147" s="241"/>
      <c r="BE147" s="27">
        <v>0</v>
      </c>
      <c r="BF147" s="28"/>
      <c r="BG147" s="241"/>
      <c r="BH147" s="27">
        <v>0</v>
      </c>
      <c r="BI147" s="28"/>
      <c r="BK147" s="448">
        <f t="shared" si="147"/>
        <v>0</v>
      </c>
      <c r="BL147" s="448">
        <f t="shared" si="148"/>
        <v>0</v>
      </c>
      <c r="BM147" s="448">
        <f t="shared" si="149"/>
        <v>0</v>
      </c>
      <c r="BN147" s="448">
        <f t="shared" ca="1" si="150"/>
        <v>0</v>
      </c>
    </row>
    <row r="148" spans="1:66" s="29" customFormat="1" hidden="1" outlineLevel="1" x14ac:dyDescent="0.3">
      <c r="A148" s="95" t="s">
        <v>172</v>
      </c>
      <c r="B148" s="2"/>
      <c r="C148" s="24"/>
      <c r="D148" s="55" t="s">
        <v>145</v>
      </c>
      <c r="E148" s="87"/>
      <c r="F148" s="56"/>
      <c r="G148" s="33"/>
      <c r="H148" s="241"/>
      <c r="I148" s="27">
        <v>0</v>
      </c>
      <c r="J148" s="28"/>
      <c r="K148" s="241"/>
      <c r="L148" s="27">
        <v>0</v>
      </c>
      <c r="M148" s="28"/>
      <c r="N148" s="241"/>
      <c r="O148" s="27">
        <v>0</v>
      </c>
      <c r="P148" s="28"/>
      <c r="Q148" s="241"/>
      <c r="R148" s="27">
        <v>0</v>
      </c>
      <c r="S148" s="28"/>
      <c r="T148" s="241"/>
      <c r="U148" s="27">
        <v>0</v>
      </c>
      <c r="V148" s="28"/>
      <c r="W148" s="241"/>
      <c r="X148" s="27">
        <v>0</v>
      </c>
      <c r="Y148" s="28"/>
      <c r="Z148" s="241"/>
      <c r="AA148" s="27">
        <v>0</v>
      </c>
      <c r="AB148" s="28"/>
      <c r="AC148" s="241"/>
      <c r="AD148" s="27">
        <v>0</v>
      </c>
      <c r="AE148" s="28"/>
      <c r="AF148" s="241"/>
      <c r="AG148" s="27">
        <v>0</v>
      </c>
      <c r="AH148" s="28"/>
      <c r="AI148" s="241"/>
      <c r="AJ148" s="27">
        <v>0</v>
      </c>
      <c r="AK148" s="28"/>
      <c r="AL148" s="241"/>
      <c r="AM148" s="27">
        <v>0</v>
      </c>
      <c r="AN148" s="28"/>
      <c r="AO148" s="241"/>
      <c r="AP148" s="27">
        <v>0</v>
      </c>
      <c r="AQ148" s="28"/>
      <c r="AR148" s="241">
        <f t="shared" ca="1" si="151"/>
        <v>0</v>
      </c>
      <c r="AS148" s="27">
        <f t="shared" ca="1" si="152"/>
        <v>0</v>
      </c>
      <c r="AT148" s="28">
        <f t="shared" ca="1" si="153"/>
        <v>0</v>
      </c>
      <c r="AU148" s="241"/>
      <c r="AV148" s="27"/>
      <c r="AW148" s="28"/>
      <c r="AX148" s="241"/>
      <c r="AY148" s="27">
        <v>0</v>
      </c>
      <c r="AZ148" s="28"/>
      <c r="BA148" s="241"/>
      <c r="BB148" s="27">
        <v>0</v>
      </c>
      <c r="BC148" s="28"/>
      <c r="BD148" s="241"/>
      <c r="BE148" s="27">
        <v>0</v>
      </c>
      <c r="BF148" s="28"/>
      <c r="BG148" s="241"/>
      <c r="BH148" s="27">
        <v>0</v>
      </c>
      <c r="BI148" s="28"/>
      <c r="BK148" s="448">
        <f t="shared" si="147"/>
        <v>0</v>
      </c>
      <c r="BL148" s="448">
        <f t="shared" si="148"/>
        <v>0</v>
      </c>
      <c r="BM148" s="448">
        <f t="shared" si="149"/>
        <v>0</v>
      </c>
      <c r="BN148" s="448">
        <f t="shared" ca="1" si="150"/>
        <v>0</v>
      </c>
    </row>
    <row r="149" spans="1:66" s="29" customFormat="1" hidden="1" outlineLevel="1" x14ac:dyDescent="0.3">
      <c r="A149" s="95" t="s">
        <v>173</v>
      </c>
      <c r="B149" s="2"/>
      <c r="C149" s="24"/>
      <c r="D149" s="55" t="s">
        <v>145</v>
      </c>
      <c r="E149" s="87"/>
      <c r="F149" s="56"/>
      <c r="G149" s="33"/>
      <c r="H149" s="241"/>
      <c r="I149" s="27">
        <v>0</v>
      </c>
      <c r="J149" s="28"/>
      <c r="K149" s="241"/>
      <c r="L149" s="27">
        <v>0</v>
      </c>
      <c r="M149" s="28"/>
      <c r="N149" s="241"/>
      <c r="O149" s="27">
        <v>0</v>
      </c>
      <c r="P149" s="28"/>
      <c r="Q149" s="241"/>
      <c r="R149" s="27">
        <v>0</v>
      </c>
      <c r="S149" s="28"/>
      <c r="T149" s="241"/>
      <c r="U149" s="27">
        <v>0</v>
      </c>
      <c r="V149" s="28"/>
      <c r="W149" s="241"/>
      <c r="X149" s="27">
        <v>0</v>
      </c>
      <c r="Y149" s="28"/>
      <c r="Z149" s="241"/>
      <c r="AA149" s="27">
        <v>0</v>
      </c>
      <c r="AB149" s="28"/>
      <c r="AC149" s="241"/>
      <c r="AD149" s="27">
        <v>0</v>
      </c>
      <c r="AE149" s="28"/>
      <c r="AF149" s="241"/>
      <c r="AG149" s="27">
        <v>0</v>
      </c>
      <c r="AH149" s="28"/>
      <c r="AI149" s="241"/>
      <c r="AJ149" s="27">
        <v>0</v>
      </c>
      <c r="AK149" s="28"/>
      <c r="AL149" s="241"/>
      <c r="AM149" s="27">
        <v>0</v>
      </c>
      <c r="AN149" s="28"/>
      <c r="AO149" s="241"/>
      <c r="AP149" s="27">
        <v>0</v>
      </c>
      <c r="AQ149" s="28"/>
      <c r="AR149" s="241">
        <f t="shared" ca="1" si="151"/>
        <v>0</v>
      </c>
      <c r="AS149" s="27">
        <f t="shared" ca="1" si="152"/>
        <v>0</v>
      </c>
      <c r="AT149" s="28">
        <f t="shared" ca="1" si="153"/>
        <v>0</v>
      </c>
      <c r="AU149" s="241"/>
      <c r="AV149" s="27"/>
      <c r="AW149" s="28"/>
      <c r="AX149" s="241"/>
      <c r="AY149" s="27">
        <v>-6444.84</v>
      </c>
      <c r="AZ149" s="28"/>
      <c r="BA149" s="241"/>
      <c r="BB149" s="27">
        <v>-6535.0677600000008</v>
      </c>
      <c r="BC149" s="28"/>
      <c r="BD149" s="241"/>
      <c r="BE149" s="27">
        <v>-6715.5232800000013</v>
      </c>
      <c r="BF149" s="28"/>
      <c r="BG149" s="241"/>
      <c r="BH149" s="27">
        <v>-6715.5232800000013</v>
      </c>
      <c r="BI149" s="28"/>
      <c r="BK149" s="448">
        <f t="shared" si="147"/>
        <v>0</v>
      </c>
      <c r="BL149" s="448">
        <f t="shared" si="148"/>
        <v>0</v>
      </c>
      <c r="BM149" s="448">
        <f t="shared" si="149"/>
        <v>0</v>
      </c>
      <c r="BN149" s="448">
        <f t="shared" ca="1" si="150"/>
        <v>0</v>
      </c>
    </row>
    <row r="150" spans="1:66" s="29" customFormat="1" hidden="1" outlineLevel="1" x14ac:dyDescent="0.3">
      <c r="A150" s="95" t="s">
        <v>174</v>
      </c>
      <c r="B150" s="2"/>
      <c r="C150" s="24"/>
      <c r="D150" s="55" t="s">
        <v>145</v>
      </c>
      <c r="E150" s="87"/>
      <c r="F150" s="56"/>
      <c r="G150" s="33"/>
      <c r="H150" s="241"/>
      <c r="I150" s="27">
        <v>-2505.46</v>
      </c>
      <c r="J150" s="28"/>
      <c r="K150" s="241"/>
      <c r="L150" s="27">
        <v>-3738.8</v>
      </c>
      <c r="M150" s="28"/>
      <c r="N150" s="241"/>
      <c r="O150" s="27">
        <v>-3738.8</v>
      </c>
      <c r="P150" s="28"/>
      <c r="Q150" s="241"/>
      <c r="R150" s="27">
        <v>-3738.8</v>
      </c>
      <c r="S150" s="28"/>
      <c r="T150" s="241"/>
      <c r="U150" s="27">
        <v>-3738.8</v>
      </c>
      <c r="V150" s="28"/>
      <c r="W150" s="241"/>
      <c r="X150" s="27">
        <v>-3895.8296</v>
      </c>
      <c r="Y150" s="28"/>
      <c r="Z150" s="241"/>
      <c r="AA150" s="27">
        <v>-3895.8296</v>
      </c>
      <c r="AB150" s="28"/>
      <c r="AC150" s="241"/>
      <c r="AD150" s="27">
        <v>-3895.8296</v>
      </c>
      <c r="AE150" s="28"/>
      <c r="AF150" s="241"/>
      <c r="AG150" s="27">
        <v>-3895.8296</v>
      </c>
      <c r="AH150" s="28"/>
      <c r="AI150" s="241"/>
      <c r="AJ150" s="27">
        <v>-3895.8296</v>
      </c>
      <c r="AK150" s="28"/>
      <c r="AL150" s="241"/>
      <c r="AM150" s="27">
        <v>-3895.8296</v>
      </c>
      <c r="AN150" s="28"/>
      <c r="AO150" s="241"/>
      <c r="AP150" s="27">
        <v>-3895.8296</v>
      </c>
      <c r="AQ150" s="28"/>
      <c r="AR150" s="241">
        <f t="shared" ca="1" si="151"/>
        <v>0</v>
      </c>
      <c r="AS150" s="27">
        <f t="shared" ca="1" si="152"/>
        <v>-21356.489600000001</v>
      </c>
      <c r="AT150" s="28">
        <f t="shared" ca="1" si="153"/>
        <v>0</v>
      </c>
      <c r="AU150" s="241"/>
      <c r="AV150" s="27"/>
      <c r="AW150" s="28"/>
      <c r="AX150" s="241"/>
      <c r="AY150" s="27">
        <v>0</v>
      </c>
      <c r="AZ150" s="28"/>
      <c r="BA150" s="241"/>
      <c r="BB150" s="27">
        <v>0</v>
      </c>
      <c r="BC150" s="28"/>
      <c r="BD150" s="241"/>
      <c r="BE150" s="27">
        <v>0</v>
      </c>
      <c r="BF150" s="28"/>
      <c r="BG150" s="241"/>
      <c r="BH150" s="27">
        <v>0</v>
      </c>
      <c r="BI150" s="28"/>
      <c r="BK150" s="448">
        <f t="shared" si="147"/>
        <v>-44731.467199999992</v>
      </c>
      <c r="BL150" s="448">
        <f t="shared" si="148"/>
        <v>-44731.467199999992</v>
      </c>
      <c r="BM150" s="448">
        <f t="shared" si="149"/>
        <v>0</v>
      </c>
      <c r="BN150" s="448">
        <f t="shared" ca="1" si="150"/>
        <v>0</v>
      </c>
    </row>
    <row r="151" spans="1:66" s="29" customFormat="1" hidden="1" outlineLevel="1" x14ac:dyDescent="0.3">
      <c r="A151" s="95" t="s">
        <v>175</v>
      </c>
      <c r="B151" s="2"/>
      <c r="C151" s="24"/>
      <c r="D151" s="55" t="s">
        <v>145</v>
      </c>
      <c r="E151" s="87"/>
      <c r="F151" s="56"/>
      <c r="G151" s="33"/>
      <c r="H151" s="241"/>
      <c r="I151" s="27">
        <v>0</v>
      </c>
      <c r="J151" s="28"/>
      <c r="K151" s="241"/>
      <c r="L151" s="27">
        <v>0</v>
      </c>
      <c r="M151" s="28"/>
      <c r="N151" s="241"/>
      <c r="O151" s="27">
        <v>0</v>
      </c>
      <c r="P151" s="28"/>
      <c r="Q151" s="241"/>
      <c r="R151" s="27">
        <v>0</v>
      </c>
      <c r="S151" s="28"/>
      <c r="T151" s="241"/>
      <c r="U151" s="27">
        <v>0</v>
      </c>
      <c r="V151" s="28"/>
      <c r="W151" s="241"/>
      <c r="X151" s="27">
        <v>0</v>
      </c>
      <c r="Y151" s="28"/>
      <c r="Z151" s="241"/>
      <c r="AA151" s="27">
        <v>0</v>
      </c>
      <c r="AB151" s="28"/>
      <c r="AC151" s="241"/>
      <c r="AD151" s="27">
        <v>0</v>
      </c>
      <c r="AE151" s="28"/>
      <c r="AF151" s="241"/>
      <c r="AG151" s="27">
        <v>0</v>
      </c>
      <c r="AH151" s="28"/>
      <c r="AI151" s="241"/>
      <c r="AJ151" s="27">
        <v>0</v>
      </c>
      <c r="AK151" s="28"/>
      <c r="AL151" s="241"/>
      <c r="AM151" s="27">
        <v>0</v>
      </c>
      <c r="AN151" s="28"/>
      <c r="AO151" s="241"/>
      <c r="AP151" s="27">
        <v>0</v>
      </c>
      <c r="AQ151" s="28"/>
      <c r="AR151" s="241">
        <f t="shared" ca="1" si="151"/>
        <v>0</v>
      </c>
      <c r="AS151" s="27">
        <f t="shared" ca="1" si="152"/>
        <v>0</v>
      </c>
      <c r="AT151" s="28">
        <f t="shared" ca="1" si="153"/>
        <v>0</v>
      </c>
      <c r="AU151" s="241"/>
      <c r="AV151" s="27"/>
      <c r="AW151" s="28"/>
      <c r="AX151" s="241"/>
      <c r="AY151" s="27">
        <v>0</v>
      </c>
      <c r="AZ151" s="28"/>
      <c r="BA151" s="241"/>
      <c r="BB151" s="27">
        <v>0</v>
      </c>
      <c r="BC151" s="28"/>
      <c r="BD151" s="241"/>
      <c r="BE151" s="27">
        <v>0</v>
      </c>
      <c r="BF151" s="28"/>
      <c r="BG151" s="241"/>
      <c r="BH151" s="27">
        <v>0</v>
      </c>
      <c r="BI151" s="28"/>
      <c r="BK151" s="448">
        <f t="shared" si="147"/>
        <v>0</v>
      </c>
      <c r="BL151" s="448">
        <f t="shared" si="148"/>
        <v>0</v>
      </c>
      <c r="BM151" s="448">
        <f t="shared" si="149"/>
        <v>0</v>
      </c>
      <c r="BN151" s="448">
        <f t="shared" ca="1" si="150"/>
        <v>0</v>
      </c>
    </row>
    <row r="152" spans="1:66" s="29" customFormat="1" hidden="1" outlineLevel="1" x14ac:dyDescent="0.3">
      <c r="A152" s="95" t="s">
        <v>176</v>
      </c>
      <c r="B152" s="2"/>
      <c r="C152" s="24"/>
      <c r="D152" s="55" t="s">
        <v>145</v>
      </c>
      <c r="E152" s="87"/>
      <c r="F152" s="56"/>
      <c r="G152" s="33"/>
      <c r="H152" s="241"/>
      <c r="I152" s="27">
        <v>0</v>
      </c>
      <c r="J152" s="28"/>
      <c r="K152" s="241"/>
      <c r="L152" s="27">
        <v>0</v>
      </c>
      <c r="M152" s="28"/>
      <c r="N152" s="241"/>
      <c r="O152" s="27">
        <v>0</v>
      </c>
      <c r="P152" s="28"/>
      <c r="Q152" s="241"/>
      <c r="R152" s="27">
        <v>0</v>
      </c>
      <c r="S152" s="28"/>
      <c r="T152" s="241"/>
      <c r="U152" s="27">
        <v>0</v>
      </c>
      <c r="V152" s="28"/>
      <c r="W152" s="241"/>
      <c r="X152" s="27">
        <v>0</v>
      </c>
      <c r="Y152" s="28"/>
      <c r="Z152" s="241"/>
      <c r="AA152" s="27">
        <v>0</v>
      </c>
      <c r="AB152" s="28"/>
      <c r="AC152" s="241"/>
      <c r="AD152" s="27">
        <v>0</v>
      </c>
      <c r="AE152" s="28"/>
      <c r="AF152" s="241"/>
      <c r="AG152" s="27">
        <v>0</v>
      </c>
      <c r="AH152" s="28"/>
      <c r="AI152" s="241"/>
      <c r="AJ152" s="27">
        <v>0</v>
      </c>
      <c r="AK152" s="28"/>
      <c r="AL152" s="241"/>
      <c r="AM152" s="27">
        <v>0</v>
      </c>
      <c r="AN152" s="28"/>
      <c r="AO152" s="241"/>
      <c r="AP152" s="27">
        <v>0</v>
      </c>
      <c r="AQ152" s="28"/>
      <c r="AR152" s="241">
        <f t="shared" ca="1" si="151"/>
        <v>0</v>
      </c>
      <c r="AS152" s="27">
        <f t="shared" ca="1" si="152"/>
        <v>0</v>
      </c>
      <c r="AT152" s="28">
        <f t="shared" ca="1" si="153"/>
        <v>0</v>
      </c>
      <c r="AU152" s="241"/>
      <c r="AV152" s="27"/>
      <c r="AW152" s="28"/>
      <c r="AX152" s="241"/>
      <c r="AY152" s="27">
        <v>0</v>
      </c>
      <c r="AZ152" s="28"/>
      <c r="BA152" s="241"/>
      <c r="BB152" s="27">
        <v>0</v>
      </c>
      <c r="BC152" s="28"/>
      <c r="BD152" s="241"/>
      <c r="BE152" s="27">
        <v>0</v>
      </c>
      <c r="BF152" s="28"/>
      <c r="BG152" s="241"/>
      <c r="BH152" s="27">
        <v>0</v>
      </c>
      <c r="BI152" s="28"/>
      <c r="BK152" s="448">
        <f t="shared" si="147"/>
        <v>0</v>
      </c>
      <c r="BL152" s="448">
        <f t="shared" si="148"/>
        <v>0</v>
      </c>
      <c r="BM152" s="448">
        <f t="shared" si="149"/>
        <v>0</v>
      </c>
      <c r="BN152" s="448">
        <f t="shared" ca="1" si="150"/>
        <v>0</v>
      </c>
    </row>
    <row r="153" spans="1:66" s="29" customFormat="1" hidden="1" outlineLevel="1" x14ac:dyDescent="0.3">
      <c r="A153" s="95" t="s">
        <v>177</v>
      </c>
      <c r="B153" s="2"/>
      <c r="C153" s="24"/>
      <c r="D153" s="55" t="s">
        <v>145</v>
      </c>
      <c r="E153" s="87"/>
      <c r="F153" s="56"/>
      <c r="G153" s="33"/>
      <c r="H153" s="241"/>
      <c r="I153" s="27">
        <v>0</v>
      </c>
      <c r="J153" s="28"/>
      <c r="K153" s="241"/>
      <c r="L153" s="27">
        <v>0</v>
      </c>
      <c r="M153" s="28"/>
      <c r="N153" s="241"/>
      <c r="O153" s="27">
        <v>0</v>
      </c>
      <c r="P153" s="28"/>
      <c r="Q153" s="241"/>
      <c r="R153" s="27">
        <v>0</v>
      </c>
      <c r="S153" s="28"/>
      <c r="T153" s="241"/>
      <c r="U153" s="27">
        <v>0</v>
      </c>
      <c r="V153" s="28"/>
      <c r="W153" s="241"/>
      <c r="X153" s="27">
        <v>0</v>
      </c>
      <c r="Y153" s="28"/>
      <c r="Z153" s="241"/>
      <c r="AA153" s="27">
        <v>0</v>
      </c>
      <c r="AB153" s="28"/>
      <c r="AC153" s="241"/>
      <c r="AD153" s="27">
        <v>0</v>
      </c>
      <c r="AE153" s="28"/>
      <c r="AF153" s="241"/>
      <c r="AG153" s="27">
        <v>0</v>
      </c>
      <c r="AH153" s="28"/>
      <c r="AI153" s="241"/>
      <c r="AJ153" s="27">
        <v>0</v>
      </c>
      <c r="AK153" s="28"/>
      <c r="AL153" s="241"/>
      <c r="AM153" s="27">
        <v>0</v>
      </c>
      <c r="AN153" s="28"/>
      <c r="AO153" s="241"/>
      <c r="AP153" s="27">
        <v>0</v>
      </c>
      <c r="AQ153" s="28"/>
      <c r="AR153" s="241">
        <f t="shared" ca="1" si="151"/>
        <v>0</v>
      </c>
      <c r="AS153" s="27">
        <f t="shared" ca="1" si="152"/>
        <v>0</v>
      </c>
      <c r="AT153" s="28">
        <f t="shared" ca="1" si="153"/>
        <v>0</v>
      </c>
      <c r="AU153" s="241"/>
      <c r="AV153" s="27"/>
      <c r="AW153" s="28"/>
      <c r="AX153" s="241"/>
      <c r="AY153" s="27">
        <v>0</v>
      </c>
      <c r="AZ153" s="28"/>
      <c r="BA153" s="241"/>
      <c r="BB153" s="27">
        <v>0</v>
      </c>
      <c r="BC153" s="28"/>
      <c r="BD153" s="241"/>
      <c r="BE153" s="27">
        <v>0</v>
      </c>
      <c r="BF153" s="28"/>
      <c r="BG153" s="241"/>
      <c r="BH153" s="27">
        <v>0</v>
      </c>
      <c r="BI153" s="28"/>
      <c r="BK153" s="448">
        <f t="shared" si="147"/>
        <v>0</v>
      </c>
      <c r="BL153" s="448">
        <f t="shared" si="148"/>
        <v>0</v>
      </c>
      <c r="BM153" s="448">
        <f t="shared" si="149"/>
        <v>0</v>
      </c>
      <c r="BN153" s="448">
        <f t="shared" ca="1" si="150"/>
        <v>0</v>
      </c>
    </row>
    <row r="154" spans="1:66" s="29" customFormat="1" hidden="1" outlineLevel="1" x14ac:dyDescent="0.3">
      <c r="A154" s="95" t="s">
        <v>178</v>
      </c>
      <c r="B154" s="2"/>
      <c r="C154" s="24"/>
      <c r="D154" s="55" t="s">
        <v>145</v>
      </c>
      <c r="E154" s="87"/>
      <c r="F154" s="56"/>
      <c r="G154" s="33"/>
      <c r="H154" s="241"/>
      <c r="I154" s="27">
        <v>0</v>
      </c>
      <c r="J154" s="28"/>
      <c r="K154" s="241"/>
      <c r="L154" s="27">
        <v>0</v>
      </c>
      <c r="M154" s="28"/>
      <c r="N154" s="241"/>
      <c r="O154" s="27">
        <v>0</v>
      </c>
      <c r="P154" s="28"/>
      <c r="Q154" s="241"/>
      <c r="R154" s="27">
        <v>0</v>
      </c>
      <c r="S154" s="28"/>
      <c r="T154" s="241"/>
      <c r="U154" s="27">
        <v>0</v>
      </c>
      <c r="V154" s="28"/>
      <c r="W154" s="241"/>
      <c r="X154" s="27">
        <v>0</v>
      </c>
      <c r="Y154" s="28"/>
      <c r="Z154" s="241"/>
      <c r="AA154" s="27">
        <v>0</v>
      </c>
      <c r="AB154" s="28"/>
      <c r="AC154" s="241"/>
      <c r="AD154" s="27">
        <v>0</v>
      </c>
      <c r="AE154" s="28"/>
      <c r="AF154" s="241"/>
      <c r="AG154" s="27">
        <v>0</v>
      </c>
      <c r="AH154" s="28"/>
      <c r="AI154" s="241"/>
      <c r="AJ154" s="27">
        <v>0</v>
      </c>
      <c r="AK154" s="28"/>
      <c r="AL154" s="241"/>
      <c r="AM154" s="27">
        <v>0</v>
      </c>
      <c r="AN154" s="28"/>
      <c r="AO154" s="241"/>
      <c r="AP154" s="27">
        <v>0</v>
      </c>
      <c r="AQ154" s="28"/>
      <c r="AR154" s="241">
        <f t="shared" ca="1" si="151"/>
        <v>0</v>
      </c>
      <c r="AS154" s="27">
        <f t="shared" ca="1" si="152"/>
        <v>0</v>
      </c>
      <c r="AT154" s="28">
        <f t="shared" ca="1" si="153"/>
        <v>0</v>
      </c>
      <c r="AU154" s="241"/>
      <c r="AV154" s="27"/>
      <c r="AW154" s="28"/>
      <c r="AX154" s="241"/>
      <c r="AY154" s="27">
        <v>0</v>
      </c>
      <c r="AZ154" s="28"/>
      <c r="BA154" s="241"/>
      <c r="BB154" s="27">
        <v>0</v>
      </c>
      <c r="BC154" s="28"/>
      <c r="BD154" s="241"/>
      <c r="BE154" s="27">
        <v>0</v>
      </c>
      <c r="BF154" s="28"/>
      <c r="BG154" s="241"/>
      <c r="BH154" s="27">
        <v>0</v>
      </c>
      <c r="BI154" s="28"/>
      <c r="BK154" s="448">
        <f t="shared" si="147"/>
        <v>0</v>
      </c>
      <c r="BL154" s="448">
        <f t="shared" si="148"/>
        <v>0</v>
      </c>
      <c r="BM154" s="448">
        <f t="shared" si="149"/>
        <v>0</v>
      </c>
      <c r="BN154" s="448">
        <f t="shared" ca="1" si="150"/>
        <v>0</v>
      </c>
    </row>
    <row r="155" spans="1:66" s="29" customFormat="1" hidden="1" outlineLevel="1" x14ac:dyDescent="0.3">
      <c r="A155" s="95" t="s">
        <v>179</v>
      </c>
      <c r="B155" s="2"/>
      <c r="C155" s="24"/>
      <c r="D155" s="55" t="s">
        <v>145</v>
      </c>
      <c r="E155" s="87"/>
      <c r="F155" s="56"/>
      <c r="G155" s="33"/>
      <c r="H155" s="241"/>
      <c r="I155" s="27">
        <v>0</v>
      </c>
      <c r="J155" s="28"/>
      <c r="K155" s="241"/>
      <c r="L155" s="27">
        <v>0</v>
      </c>
      <c r="M155" s="28"/>
      <c r="N155" s="241"/>
      <c r="O155" s="27">
        <v>0</v>
      </c>
      <c r="P155" s="28"/>
      <c r="Q155" s="241"/>
      <c r="R155" s="27">
        <v>0</v>
      </c>
      <c r="S155" s="28"/>
      <c r="T155" s="241"/>
      <c r="U155" s="27">
        <v>0</v>
      </c>
      <c r="V155" s="28"/>
      <c r="W155" s="241"/>
      <c r="X155" s="27">
        <v>0</v>
      </c>
      <c r="Y155" s="28"/>
      <c r="Z155" s="241"/>
      <c r="AA155" s="27">
        <v>0</v>
      </c>
      <c r="AB155" s="28"/>
      <c r="AC155" s="241"/>
      <c r="AD155" s="27">
        <v>0</v>
      </c>
      <c r="AE155" s="28"/>
      <c r="AF155" s="241"/>
      <c r="AG155" s="27">
        <v>0</v>
      </c>
      <c r="AH155" s="28"/>
      <c r="AI155" s="241"/>
      <c r="AJ155" s="27">
        <v>0</v>
      </c>
      <c r="AK155" s="28"/>
      <c r="AL155" s="241"/>
      <c r="AM155" s="27">
        <v>0</v>
      </c>
      <c r="AN155" s="28"/>
      <c r="AO155" s="241"/>
      <c r="AP155" s="27">
        <v>0</v>
      </c>
      <c r="AQ155" s="28"/>
      <c r="AR155" s="241">
        <f t="shared" ca="1" si="151"/>
        <v>0</v>
      </c>
      <c r="AS155" s="27">
        <f t="shared" ca="1" si="152"/>
        <v>0</v>
      </c>
      <c r="AT155" s="28">
        <f t="shared" ca="1" si="153"/>
        <v>0</v>
      </c>
      <c r="AU155" s="241"/>
      <c r="AV155" s="27"/>
      <c r="AW155" s="28"/>
      <c r="AX155" s="241"/>
      <c r="AY155" s="27">
        <v>0</v>
      </c>
      <c r="AZ155" s="28"/>
      <c r="BA155" s="241"/>
      <c r="BB155" s="27">
        <v>0</v>
      </c>
      <c r="BC155" s="28"/>
      <c r="BD155" s="241"/>
      <c r="BE155" s="27">
        <v>0</v>
      </c>
      <c r="BF155" s="28"/>
      <c r="BG155" s="241"/>
      <c r="BH155" s="27">
        <v>0</v>
      </c>
      <c r="BI155" s="28"/>
      <c r="BK155" s="448">
        <f t="shared" si="147"/>
        <v>0</v>
      </c>
      <c r="BL155" s="448">
        <f t="shared" si="148"/>
        <v>0</v>
      </c>
      <c r="BM155" s="448">
        <f t="shared" si="149"/>
        <v>0</v>
      </c>
      <c r="BN155" s="448">
        <f t="shared" ca="1" si="150"/>
        <v>0</v>
      </c>
    </row>
    <row r="156" spans="1:66" s="29" customFormat="1" hidden="1" outlineLevel="1" x14ac:dyDescent="0.3">
      <c r="A156" s="95" t="s">
        <v>180</v>
      </c>
      <c r="B156" s="2"/>
      <c r="C156" s="24"/>
      <c r="D156" s="55" t="s">
        <v>145</v>
      </c>
      <c r="E156" s="87"/>
      <c r="F156" s="56"/>
      <c r="G156" s="33"/>
      <c r="H156" s="241"/>
      <c r="I156" s="27">
        <v>0</v>
      </c>
      <c r="J156" s="28"/>
      <c r="K156" s="241"/>
      <c r="L156" s="27">
        <v>0</v>
      </c>
      <c r="M156" s="28"/>
      <c r="N156" s="241"/>
      <c r="O156" s="27">
        <v>0</v>
      </c>
      <c r="P156" s="28"/>
      <c r="Q156" s="241"/>
      <c r="R156" s="27">
        <v>0</v>
      </c>
      <c r="S156" s="28"/>
      <c r="T156" s="241"/>
      <c r="U156" s="27">
        <v>0</v>
      </c>
      <c r="V156" s="28"/>
      <c r="W156" s="241"/>
      <c r="X156" s="27">
        <v>0</v>
      </c>
      <c r="Y156" s="28"/>
      <c r="Z156" s="241"/>
      <c r="AA156" s="27">
        <v>0</v>
      </c>
      <c r="AB156" s="28"/>
      <c r="AC156" s="241"/>
      <c r="AD156" s="27">
        <v>0</v>
      </c>
      <c r="AE156" s="28"/>
      <c r="AF156" s="241"/>
      <c r="AG156" s="27">
        <v>0</v>
      </c>
      <c r="AH156" s="28"/>
      <c r="AI156" s="241"/>
      <c r="AJ156" s="27">
        <v>0</v>
      </c>
      <c r="AK156" s="28"/>
      <c r="AL156" s="241"/>
      <c r="AM156" s="27">
        <v>0</v>
      </c>
      <c r="AN156" s="28"/>
      <c r="AO156" s="241"/>
      <c r="AP156" s="27">
        <v>0</v>
      </c>
      <c r="AQ156" s="28"/>
      <c r="AR156" s="241">
        <f t="shared" ca="1" si="151"/>
        <v>0</v>
      </c>
      <c r="AS156" s="27">
        <f t="shared" ca="1" si="152"/>
        <v>0</v>
      </c>
      <c r="AT156" s="28">
        <f t="shared" ca="1" si="153"/>
        <v>0</v>
      </c>
      <c r="AU156" s="241"/>
      <c r="AV156" s="27"/>
      <c r="AW156" s="28"/>
      <c r="AX156" s="241"/>
      <c r="AY156" s="27">
        <v>0</v>
      </c>
      <c r="AZ156" s="28"/>
      <c r="BA156" s="241"/>
      <c r="BB156" s="27">
        <v>0</v>
      </c>
      <c r="BC156" s="28"/>
      <c r="BD156" s="241"/>
      <c r="BE156" s="27">
        <v>0</v>
      </c>
      <c r="BF156" s="28"/>
      <c r="BG156" s="241"/>
      <c r="BH156" s="27">
        <v>0</v>
      </c>
      <c r="BI156" s="28"/>
      <c r="BK156" s="448">
        <f t="shared" si="147"/>
        <v>0</v>
      </c>
      <c r="BL156" s="448">
        <f t="shared" si="148"/>
        <v>0</v>
      </c>
      <c r="BM156" s="448">
        <f t="shared" si="149"/>
        <v>0</v>
      </c>
      <c r="BN156" s="448">
        <f t="shared" ca="1" si="150"/>
        <v>0</v>
      </c>
    </row>
    <row r="157" spans="1:66" s="29" customFormat="1" hidden="1" outlineLevel="1" x14ac:dyDescent="0.3">
      <c r="A157" s="95" t="s">
        <v>181</v>
      </c>
      <c r="B157" s="2"/>
      <c r="C157" s="24"/>
      <c r="D157" s="55" t="s">
        <v>145</v>
      </c>
      <c r="E157" s="87"/>
      <c r="F157" s="56"/>
      <c r="G157" s="33"/>
      <c r="H157" s="241"/>
      <c r="I157" s="27">
        <v>0</v>
      </c>
      <c r="J157" s="28"/>
      <c r="K157" s="241"/>
      <c r="L157" s="27">
        <v>0</v>
      </c>
      <c r="M157" s="28"/>
      <c r="N157" s="241"/>
      <c r="O157" s="27">
        <v>0</v>
      </c>
      <c r="P157" s="28"/>
      <c r="Q157" s="241"/>
      <c r="R157" s="27">
        <v>0</v>
      </c>
      <c r="S157" s="28"/>
      <c r="T157" s="241"/>
      <c r="U157" s="27">
        <v>0</v>
      </c>
      <c r="V157" s="28"/>
      <c r="W157" s="241"/>
      <c r="X157" s="27">
        <v>0</v>
      </c>
      <c r="Y157" s="28"/>
      <c r="Z157" s="241"/>
      <c r="AA157" s="27">
        <v>0</v>
      </c>
      <c r="AB157" s="28"/>
      <c r="AC157" s="241"/>
      <c r="AD157" s="27">
        <v>0</v>
      </c>
      <c r="AE157" s="28"/>
      <c r="AF157" s="241"/>
      <c r="AG157" s="27">
        <v>0</v>
      </c>
      <c r="AH157" s="28"/>
      <c r="AI157" s="241"/>
      <c r="AJ157" s="27">
        <v>0</v>
      </c>
      <c r="AK157" s="28"/>
      <c r="AL157" s="241"/>
      <c r="AM157" s="27">
        <v>0</v>
      </c>
      <c r="AN157" s="28"/>
      <c r="AO157" s="241"/>
      <c r="AP157" s="27">
        <v>0</v>
      </c>
      <c r="AQ157" s="28"/>
      <c r="AR157" s="241">
        <f t="shared" ca="1" si="151"/>
        <v>0</v>
      </c>
      <c r="AS157" s="27">
        <f t="shared" ca="1" si="152"/>
        <v>0</v>
      </c>
      <c r="AT157" s="28">
        <f t="shared" ca="1" si="153"/>
        <v>0</v>
      </c>
      <c r="AU157" s="241"/>
      <c r="AV157" s="27"/>
      <c r="AW157" s="28"/>
      <c r="AX157" s="241"/>
      <c r="AY157" s="27">
        <v>-11216.4</v>
      </c>
      <c r="AZ157" s="28"/>
      <c r="BA157" s="241"/>
      <c r="BB157" s="27">
        <v>-11373.429599999999</v>
      </c>
      <c r="BC157" s="28"/>
      <c r="BD157" s="241"/>
      <c r="BE157" s="27">
        <v>-11687.488799999999</v>
      </c>
      <c r="BF157" s="28"/>
      <c r="BG157" s="241"/>
      <c r="BH157" s="27">
        <v>-11687.488799999999</v>
      </c>
      <c r="BI157" s="28"/>
      <c r="BK157" s="448">
        <f t="shared" si="147"/>
        <v>0</v>
      </c>
      <c r="BL157" s="448">
        <f t="shared" si="148"/>
        <v>0</v>
      </c>
      <c r="BM157" s="448">
        <f t="shared" si="149"/>
        <v>0</v>
      </c>
      <c r="BN157" s="448">
        <f t="shared" ca="1" si="150"/>
        <v>0</v>
      </c>
    </row>
    <row r="158" spans="1:66" s="29" customFormat="1" hidden="1" outlineLevel="1" x14ac:dyDescent="0.3">
      <c r="A158" s="95" t="s">
        <v>182</v>
      </c>
      <c r="B158" s="2"/>
      <c r="C158" s="24"/>
      <c r="D158" s="55" t="s">
        <v>145</v>
      </c>
      <c r="E158" s="87"/>
      <c r="F158" s="56"/>
      <c r="G158" s="33"/>
      <c r="H158" s="241"/>
      <c r="I158" s="27">
        <v>0</v>
      </c>
      <c r="J158" s="28"/>
      <c r="K158" s="241"/>
      <c r="L158" s="27">
        <v>0</v>
      </c>
      <c r="M158" s="28"/>
      <c r="N158" s="241"/>
      <c r="O158" s="27">
        <v>0</v>
      </c>
      <c r="P158" s="28"/>
      <c r="Q158" s="241"/>
      <c r="R158" s="27">
        <v>0</v>
      </c>
      <c r="S158" s="28"/>
      <c r="T158" s="241"/>
      <c r="U158" s="27">
        <v>0</v>
      </c>
      <c r="V158" s="28"/>
      <c r="W158" s="241"/>
      <c r="X158" s="27">
        <v>0</v>
      </c>
      <c r="Y158" s="28"/>
      <c r="Z158" s="241"/>
      <c r="AA158" s="27">
        <v>0</v>
      </c>
      <c r="AB158" s="28"/>
      <c r="AC158" s="241"/>
      <c r="AD158" s="27">
        <v>0</v>
      </c>
      <c r="AE158" s="28"/>
      <c r="AF158" s="241"/>
      <c r="AG158" s="27">
        <v>0</v>
      </c>
      <c r="AH158" s="28"/>
      <c r="AI158" s="241"/>
      <c r="AJ158" s="27">
        <v>0</v>
      </c>
      <c r="AK158" s="28"/>
      <c r="AL158" s="241"/>
      <c r="AM158" s="27">
        <v>0</v>
      </c>
      <c r="AN158" s="28"/>
      <c r="AO158" s="241"/>
      <c r="AP158" s="27">
        <v>0</v>
      </c>
      <c r="AQ158" s="28"/>
      <c r="AR158" s="241">
        <f t="shared" ca="1" si="151"/>
        <v>0</v>
      </c>
      <c r="AS158" s="27">
        <f t="shared" ca="1" si="152"/>
        <v>0</v>
      </c>
      <c r="AT158" s="28">
        <f t="shared" ca="1" si="153"/>
        <v>0</v>
      </c>
      <c r="AU158" s="241"/>
      <c r="AV158" s="27"/>
      <c r="AW158" s="28"/>
      <c r="AX158" s="241"/>
      <c r="AY158" s="27">
        <v>0</v>
      </c>
      <c r="AZ158" s="28"/>
      <c r="BA158" s="241"/>
      <c r="BB158" s="27">
        <v>0</v>
      </c>
      <c r="BC158" s="28"/>
      <c r="BD158" s="241"/>
      <c r="BE158" s="27">
        <v>0</v>
      </c>
      <c r="BF158" s="28"/>
      <c r="BG158" s="241"/>
      <c r="BH158" s="27">
        <v>0</v>
      </c>
      <c r="BI158" s="28"/>
      <c r="BK158" s="448">
        <f t="shared" si="147"/>
        <v>0</v>
      </c>
      <c r="BL158" s="448">
        <f t="shared" si="148"/>
        <v>0</v>
      </c>
      <c r="BM158" s="448">
        <f t="shared" si="149"/>
        <v>0</v>
      </c>
      <c r="BN158" s="448">
        <f t="shared" ca="1" si="150"/>
        <v>0</v>
      </c>
    </row>
    <row r="159" spans="1:66" s="29" customFormat="1" hidden="1" outlineLevel="1" x14ac:dyDescent="0.3">
      <c r="A159" s="95" t="s">
        <v>183</v>
      </c>
      <c r="B159" s="2"/>
      <c r="C159" s="24"/>
      <c r="D159" s="55" t="s">
        <v>145</v>
      </c>
      <c r="E159" s="87"/>
      <c r="F159" s="56"/>
      <c r="G159" s="33"/>
      <c r="H159" s="241"/>
      <c r="I159" s="27">
        <v>0</v>
      </c>
      <c r="J159" s="28"/>
      <c r="K159" s="241"/>
      <c r="L159" s="27">
        <v>0</v>
      </c>
      <c r="M159" s="28"/>
      <c r="N159" s="241"/>
      <c r="O159" s="27">
        <v>0</v>
      </c>
      <c r="P159" s="28"/>
      <c r="Q159" s="241"/>
      <c r="R159" s="27">
        <v>0</v>
      </c>
      <c r="S159" s="28"/>
      <c r="T159" s="241"/>
      <c r="U159" s="27">
        <v>0</v>
      </c>
      <c r="V159" s="28"/>
      <c r="W159" s="241"/>
      <c r="X159" s="27">
        <v>0</v>
      </c>
      <c r="Y159" s="28"/>
      <c r="Z159" s="241"/>
      <c r="AA159" s="27">
        <v>0</v>
      </c>
      <c r="AB159" s="28"/>
      <c r="AC159" s="241"/>
      <c r="AD159" s="27">
        <v>0</v>
      </c>
      <c r="AE159" s="28"/>
      <c r="AF159" s="241"/>
      <c r="AG159" s="27">
        <v>0</v>
      </c>
      <c r="AH159" s="28"/>
      <c r="AI159" s="241"/>
      <c r="AJ159" s="27">
        <v>0</v>
      </c>
      <c r="AK159" s="28"/>
      <c r="AL159" s="241"/>
      <c r="AM159" s="27">
        <v>0</v>
      </c>
      <c r="AN159" s="28"/>
      <c r="AO159" s="241"/>
      <c r="AP159" s="27">
        <v>0</v>
      </c>
      <c r="AQ159" s="28"/>
      <c r="AR159" s="241">
        <f t="shared" ca="1" si="151"/>
        <v>0</v>
      </c>
      <c r="AS159" s="27">
        <f t="shared" ca="1" si="152"/>
        <v>0</v>
      </c>
      <c r="AT159" s="28">
        <f t="shared" ca="1" si="153"/>
        <v>0</v>
      </c>
      <c r="AU159" s="241"/>
      <c r="AV159" s="27"/>
      <c r="AW159" s="28"/>
      <c r="AX159" s="241"/>
      <c r="AY159" s="27">
        <v>-5819.5499999999993</v>
      </c>
      <c r="AZ159" s="28"/>
      <c r="BA159" s="241"/>
      <c r="BB159" s="27">
        <v>-5901.0236999999997</v>
      </c>
      <c r="BC159" s="28"/>
      <c r="BD159" s="241"/>
      <c r="BE159" s="27">
        <v>-6063.9710999999998</v>
      </c>
      <c r="BF159" s="28"/>
      <c r="BG159" s="241"/>
      <c r="BH159" s="27">
        <v>-6063.9710999999998</v>
      </c>
      <c r="BI159" s="28"/>
      <c r="BK159" s="448">
        <f t="shared" si="147"/>
        <v>0</v>
      </c>
      <c r="BL159" s="448">
        <f t="shared" si="148"/>
        <v>0</v>
      </c>
      <c r="BM159" s="448">
        <f t="shared" si="149"/>
        <v>0</v>
      </c>
      <c r="BN159" s="448">
        <f t="shared" ca="1" si="150"/>
        <v>0</v>
      </c>
    </row>
    <row r="160" spans="1:66" s="29" customFormat="1" hidden="1" outlineLevel="1" x14ac:dyDescent="0.3">
      <c r="A160" s="95" t="s">
        <v>184</v>
      </c>
      <c r="B160" s="2"/>
      <c r="C160" s="24"/>
      <c r="D160" s="55" t="s">
        <v>145</v>
      </c>
      <c r="E160" s="87"/>
      <c r="F160" s="56"/>
      <c r="G160" s="33"/>
      <c r="H160" s="241"/>
      <c r="I160" s="27">
        <v>0</v>
      </c>
      <c r="J160" s="28"/>
      <c r="K160" s="241"/>
      <c r="L160" s="27">
        <v>0</v>
      </c>
      <c r="M160" s="28"/>
      <c r="N160" s="241"/>
      <c r="O160" s="27">
        <v>0</v>
      </c>
      <c r="P160" s="28"/>
      <c r="Q160" s="241"/>
      <c r="R160" s="27">
        <v>0</v>
      </c>
      <c r="S160" s="28"/>
      <c r="T160" s="241"/>
      <c r="U160" s="27">
        <v>0</v>
      </c>
      <c r="V160" s="28"/>
      <c r="W160" s="241"/>
      <c r="X160" s="27">
        <v>0</v>
      </c>
      <c r="Y160" s="28"/>
      <c r="Z160" s="241"/>
      <c r="AA160" s="27">
        <v>0</v>
      </c>
      <c r="AB160" s="28"/>
      <c r="AC160" s="241"/>
      <c r="AD160" s="27">
        <v>0</v>
      </c>
      <c r="AE160" s="28"/>
      <c r="AF160" s="241"/>
      <c r="AG160" s="27">
        <v>0</v>
      </c>
      <c r="AH160" s="28"/>
      <c r="AI160" s="241"/>
      <c r="AJ160" s="27">
        <v>0</v>
      </c>
      <c r="AK160" s="28"/>
      <c r="AL160" s="241"/>
      <c r="AM160" s="27">
        <v>0</v>
      </c>
      <c r="AN160" s="28"/>
      <c r="AO160" s="241"/>
      <c r="AP160" s="27">
        <v>0</v>
      </c>
      <c r="AQ160" s="28"/>
      <c r="AR160" s="241">
        <f t="shared" ca="1" si="151"/>
        <v>0</v>
      </c>
      <c r="AS160" s="27">
        <f t="shared" ca="1" si="152"/>
        <v>0</v>
      </c>
      <c r="AT160" s="28">
        <f t="shared" ca="1" si="153"/>
        <v>0</v>
      </c>
      <c r="AU160" s="241"/>
      <c r="AV160" s="27"/>
      <c r="AW160" s="28"/>
      <c r="AX160" s="241"/>
      <c r="AY160" s="27">
        <v>0</v>
      </c>
      <c r="AZ160" s="28"/>
      <c r="BA160" s="241"/>
      <c r="BB160" s="27">
        <v>0</v>
      </c>
      <c r="BC160" s="28"/>
      <c r="BD160" s="241"/>
      <c r="BE160" s="27">
        <v>0</v>
      </c>
      <c r="BF160" s="28"/>
      <c r="BG160" s="241"/>
      <c r="BH160" s="27">
        <v>0</v>
      </c>
      <c r="BI160" s="28"/>
      <c r="BK160" s="448">
        <f t="shared" si="147"/>
        <v>0</v>
      </c>
      <c r="BL160" s="448">
        <f t="shared" si="148"/>
        <v>0</v>
      </c>
      <c r="BM160" s="448">
        <f t="shared" si="149"/>
        <v>0</v>
      </c>
      <c r="BN160" s="448">
        <f t="shared" ca="1" si="150"/>
        <v>0</v>
      </c>
    </row>
    <row r="161" spans="1:66" s="29" customFormat="1" hidden="1" outlineLevel="1" x14ac:dyDescent="0.3">
      <c r="A161" s="95" t="s">
        <v>185</v>
      </c>
      <c r="B161" s="2"/>
      <c r="C161" s="24"/>
      <c r="D161" s="55" t="s">
        <v>145</v>
      </c>
      <c r="E161" s="87"/>
      <c r="F161" s="56"/>
      <c r="G161" s="33"/>
      <c r="H161" s="241"/>
      <c r="I161" s="27">
        <v>0</v>
      </c>
      <c r="J161" s="28"/>
      <c r="K161" s="241"/>
      <c r="L161" s="27">
        <v>0</v>
      </c>
      <c r="M161" s="28"/>
      <c r="N161" s="241"/>
      <c r="O161" s="27">
        <v>0</v>
      </c>
      <c r="P161" s="28"/>
      <c r="Q161" s="241"/>
      <c r="R161" s="27">
        <v>0</v>
      </c>
      <c r="S161" s="28"/>
      <c r="T161" s="241"/>
      <c r="U161" s="27">
        <v>0</v>
      </c>
      <c r="V161" s="28"/>
      <c r="W161" s="241"/>
      <c r="X161" s="27">
        <v>0</v>
      </c>
      <c r="Y161" s="28"/>
      <c r="Z161" s="241"/>
      <c r="AA161" s="27">
        <v>0</v>
      </c>
      <c r="AB161" s="28"/>
      <c r="AC161" s="241"/>
      <c r="AD161" s="27">
        <v>0</v>
      </c>
      <c r="AE161" s="28"/>
      <c r="AF161" s="241"/>
      <c r="AG161" s="27">
        <v>0</v>
      </c>
      <c r="AH161" s="28"/>
      <c r="AI161" s="241"/>
      <c r="AJ161" s="27">
        <v>0</v>
      </c>
      <c r="AK161" s="28"/>
      <c r="AL161" s="241"/>
      <c r="AM161" s="27">
        <v>0</v>
      </c>
      <c r="AN161" s="28"/>
      <c r="AO161" s="241"/>
      <c r="AP161" s="27">
        <v>0</v>
      </c>
      <c r="AQ161" s="28"/>
      <c r="AR161" s="241">
        <f t="shared" ca="1" si="151"/>
        <v>0</v>
      </c>
      <c r="AS161" s="27">
        <f t="shared" ca="1" si="152"/>
        <v>0</v>
      </c>
      <c r="AT161" s="28">
        <f t="shared" ca="1" si="153"/>
        <v>0</v>
      </c>
      <c r="AU161" s="241"/>
      <c r="AV161" s="27"/>
      <c r="AW161" s="28"/>
      <c r="AX161" s="241"/>
      <c r="AY161" s="27">
        <v>0</v>
      </c>
      <c r="AZ161" s="28"/>
      <c r="BA161" s="241"/>
      <c r="BB161" s="27">
        <v>0</v>
      </c>
      <c r="BC161" s="28"/>
      <c r="BD161" s="241"/>
      <c r="BE161" s="27">
        <v>0</v>
      </c>
      <c r="BF161" s="28"/>
      <c r="BG161" s="241"/>
      <c r="BH161" s="27">
        <v>0</v>
      </c>
      <c r="BI161" s="28"/>
      <c r="BK161" s="448">
        <f t="shared" si="147"/>
        <v>0</v>
      </c>
      <c r="BL161" s="448">
        <f t="shared" si="148"/>
        <v>0</v>
      </c>
      <c r="BM161" s="448">
        <f t="shared" si="149"/>
        <v>0</v>
      </c>
      <c r="BN161" s="448">
        <f t="shared" ca="1" si="150"/>
        <v>0</v>
      </c>
    </row>
    <row r="162" spans="1:66" s="29" customFormat="1" hidden="1" outlineLevel="1" x14ac:dyDescent="0.3">
      <c r="A162" s="95" t="s">
        <v>186</v>
      </c>
      <c r="B162" s="2"/>
      <c r="C162" s="24"/>
      <c r="D162" s="55" t="s">
        <v>145</v>
      </c>
      <c r="E162" s="87"/>
      <c r="F162" s="56"/>
      <c r="G162" s="33"/>
      <c r="H162" s="241"/>
      <c r="I162" s="27">
        <v>0</v>
      </c>
      <c r="J162" s="28"/>
      <c r="K162" s="241"/>
      <c r="L162" s="27">
        <v>0</v>
      </c>
      <c r="M162" s="28"/>
      <c r="N162" s="241"/>
      <c r="O162" s="27">
        <v>0</v>
      </c>
      <c r="P162" s="28"/>
      <c r="Q162" s="241"/>
      <c r="R162" s="27">
        <v>0</v>
      </c>
      <c r="S162" s="28"/>
      <c r="T162" s="241"/>
      <c r="U162" s="27">
        <v>0</v>
      </c>
      <c r="V162" s="28"/>
      <c r="W162" s="241"/>
      <c r="X162" s="27">
        <v>0</v>
      </c>
      <c r="Y162" s="28"/>
      <c r="Z162" s="241"/>
      <c r="AA162" s="27">
        <v>0</v>
      </c>
      <c r="AB162" s="28"/>
      <c r="AC162" s="241"/>
      <c r="AD162" s="27">
        <v>0</v>
      </c>
      <c r="AE162" s="28"/>
      <c r="AF162" s="241"/>
      <c r="AG162" s="27">
        <v>0</v>
      </c>
      <c r="AH162" s="28"/>
      <c r="AI162" s="241"/>
      <c r="AJ162" s="27">
        <v>0</v>
      </c>
      <c r="AK162" s="28"/>
      <c r="AL162" s="241"/>
      <c r="AM162" s="27">
        <v>0</v>
      </c>
      <c r="AN162" s="28"/>
      <c r="AO162" s="241"/>
      <c r="AP162" s="27">
        <v>0</v>
      </c>
      <c r="AQ162" s="28"/>
      <c r="AR162" s="241">
        <f t="shared" ca="1" si="151"/>
        <v>0</v>
      </c>
      <c r="AS162" s="27">
        <f t="shared" ca="1" si="152"/>
        <v>0</v>
      </c>
      <c r="AT162" s="28">
        <f t="shared" ca="1" si="153"/>
        <v>0</v>
      </c>
      <c r="AU162" s="241"/>
      <c r="AV162" s="27"/>
      <c r="AW162" s="28"/>
      <c r="AX162" s="241"/>
      <c r="AY162" s="27">
        <v>0</v>
      </c>
      <c r="AZ162" s="28"/>
      <c r="BA162" s="241"/>
      <c r="BB162" s="27">
        <v>0</v>
      </c>
      <c r="BC162" s="28"/>
      <c r="BD162" s="241"/>
      <c r="BE162" s="27">
        <v>0</v>
      </c>
      <c r="BF162" s="28"/>
      <c r="BG162" s="241"/>
      <c r="BH162" s="27">
        <v>0</v>
      </c>
      <c r="BI162" s="28"/>
      <c r="BK162" s="448">
        <f t="shared" si="147"/>
        <v>0</v>
      </c>
      <c r="BL162" s="448">
        <f t="shared" si="148"/>
        <v>0</v>
      </c>
      <c r="BM162" s="448">
        <f t="shared" si="149"/>
        <v>0</v>
      </c>
      <c r="BN162" s="448">
        <f t="shared" ca="1" si="150"/>
        <v>0</v>
      </c>
    </row>
    <row r="163" spans="1:66" s="29" customFormat="1" hidden="1" outlineLevel="1" x14ac:dyDescent="0.3">
      <c r="A163" s="95" t="s">
        <v>187</v>
      </c>
      <c r="B163" s="2"/>
      <c r="C163" s="24"/>
      <c r="D163" s="55" t="s">
        <v>145</v>
      </c>
      <c r="E163" s="87"/>
      <c r="F163" s="56"/>
      <c r="G163" s="33"/>
      <c r="H163" s="241"/>
      <c r="I163" s="27">
        <v>0</v>
      </c>
      <c r="J163" s="28"/>
      <c r="K163" s="241"/>
      <c r="L163" s="27">
        <v>0</v>
      </c>
      <c r="M163" s="28"/>
      <c r="N163" s="241"/>
      <c r="O163" s="27">
        <v>0</v>
      </c>
      <c r="P163" s="28"/>
      <c r="Q163" s="241"/>
      <c r="R163" s="27">
        <v>0</v>
      </c>
      <c r="S163" s="28"/>
      <c r="T163" s="241"/>
      <c r="U163" s="27">
        <v>0</v>
      </c>
      <c r="V163" s="28"/>
      <c r="W163" s="241"/>
      <c r="X163" s="27">
        <v>0</v>
      </c>
      <c r="Y163" s="28"/>
      <c r="Z163" s="241"/>
      <c r="AA163" s="27">
        <v>0</v>
      </c>
      <c r="AB163" s="28"/>
      <c r="AC163" s="241"/>
      <c r="AD163" s="27">
        <v>0</v>
      </c>
      <c r="AE163" s="28"/>
      <c r="AF163" s="241"/>
      <c r="AG163" s="27">
        <v>0</v>
      </c>
      <c r="AH163" s="28"/>
      <c r="AI163" s="241"/>
      <c r="AJ163" s="27">
        <v>0</v>
      </c>
      <c r="AK163" s="28"/>
      <c r="AL163" s="241"/>
      <c r="AM163" s="27">
        <v>0</v>
      </c>
      <c r="AN163" s="28"/>
      <c r="AO163" s="241"/>
      <c r="AP163" s="27">
        <v>0</v>
      </c>
      <c r="AQ163" s="28"/>
      <c r="AR163" s="241">
        <f t="shared" ca="1" si="151"/>
        <v>0</v>
      </c>
      <c r="AS163" s="27">
        <f t="shared" ca="1" si="152"/>
        <v>0</v>
      </c>
      <c r="AT163" s="28">
        <f t="shared" ca="1" si="153"/>
        <v>0</v>
      </c>
      <c r="AU163" s="241"/>
      <c r="AV163" s="27"/>
      <c r="AW163" s="28"/>
      <c r="AX163" s="241"/>
      <c r="AY163" s="27">
        <v>0</v>
      </c>
      <c r="AZ163" s="28"/>
      <c r="BA163" s="241"/>
      <c r="BB163" s="27">
        <v>0</v>
      </c>
      <c r="BC163" s="28"/>
      <c r="BD163" s="241"/>
      <c r="BE163" s="27">
        <v>0</v>
      </c>
      <c r="BF163" s="28"/>
      <c r="BG163" s="241"/>
      <c r="BH163" s="27">
        <v>0</v>
      </c>
      <c r="BI163" s="28"/>
      <c r="BK163" s="448">
        <f t="shared" si="147"/>
        <v>0</v>
      </c>
      <c r="BL163" s="448">
        <f t="shared" si="148"/>
        <v>0</v>
      </c>
      <c r="BM163" s="448">
        <f t="shared" si="149"/>
        <v>0</v>
      </c>
      <c r="BN163" s="448">
        <f t="shared" ca="1" si="150"/>
        <v>0</v>
      </c>
    </row>
    <row r="164" spans="1:66" s="29" customFormat="1" hidden="1" outlineLevel="1" x14ac:dyDescent="0.3">
      <c r="A164" s="95" t="s">
        <v>188</v>
      </c>
      <c r="B164" s="2"/>
      <c r="C164" s="24"/>
      <c r="D164" s="55" t="s">
        <v>145</v>
      </c>
      <c r="E164" s="87"/>
      <c r="F164" s="56"/>
      <c r="G164" s="33"/>
      <c r="H164" s="241"/>
      <c r="I164" s="27">
        <v>0</v>
      </c>
      <c r="J164" s="28"/>
      <c r="K164" s="241"/>
      <c r="L164" s="27">
        <v>0</v>
      </c>
      <c r="M164" s="28"/>
      <c r="N164" s="241"/>
      <c r="O164" s="27">
        <v>0</v>
      </c>
      <c r="P164" s="28"/>
      <c r="Q164" s="241"/>
      <c r="R164" s="27">
        <v>0</v>
      </c>
      <c r="S164" s="28"/>
      <c r="T164" s="241"/>
      <c r="U164" s="27">
        <v>0</v>
      </c>
      <c r="V164" s="28"/>
      <c r="W164" s="241"/>
      <c r="X164" s="27">
        <v>0</v>
      </c>
      <c r="Y164" s="28"/>
      <c r="Z164" s="241"/>
      <c r="AA164" s="27">
        <v>0</v>
      </c>
      <c r="AB164" s="28"/>
      <c r="AC164" s="241"/>
      <c r="AD164" s="27">
        <v>0</v>
      </c>
      <c r="AE164" s="28"/>
      <c r="AF164" s="241"/>
      <c r="AG164" s="27">
        <v>0</v>
      </c>
      <c r="AH164" s="28"/>
      <c r="AI164" s="241"/>
      <c r="AJ164" s="27">
        <v>0</v>
      </c>
      <c r="AK164" s="28"/>
      <c r="AL164" s="241"/>
      <c r="AM164" s="27">
        <v>0</v>
      </c>
      <c r="AN164" s="28"/>
      <c r="AO164" s="241"/>
      <c r="AP164" s="27">
        <v>0</v>
      </c>
      <c r="AQ164" s="28"/>
      <c r="AR164" s="241">
        <f t="shared" ca="1" si="151"/>
        <v>0</v>
      </c>
      <c r="AS164" s="27">
        <f t="shared" ca="1" si="152"/>
        <v>0</v>
      </c>
      <c r="AT164" s="28">
        <f t="shared" ca="1" si="153"/>
        <v>0</v>
      </c>
      <c r="AU164" s="241"/>
      <c r="AV164" s="27"/>
      <c r="AW164" s="28"/>
      <c r="AX164" s="241"/>
      <c r="AY164" s="27">
        <v>0</v>
      </c>
      <c r="AZ164" s="28"/>
      <c r="BA164" s="241"/>
      <c r="BB164" s="27">
        <v>0</v>
      </c>
      <c r="BC164" s="28"/>
      <c r="BD164" s="241"/>
      <c r="BE164" s="27">
        <v>0</v>
      </c>
      <c r="BF164" s="28"/>
      <c r="BG164" s="241"/>
      <c r="BH164" s="27">
        <v>0</v>
      </c>
      <c r="BI164" s="28"/>
      <c r="BK164" s="448">
        <f t="shared" si="147"/>
        <v>0</v>
      </c>
      <c r="BL164" s="448">
        <f t="shared" si="148"/>
        <v>0</v>
      </c>
      <c r="BM164" s="448">
        <f t="shared" si="149"/>
        <v>0</v>
      </c>
      <c r="BN164" s="448">
        <f t="shared" ca="1" si="150"/>
        <v>0</v>
      </c>
    </row>
    <row r="165" spans="1:66" s="29" customFormat="1" hidden="1" outlineLevel="1" x14ac:dyDescent="0.3">
      <c r="A165" s="95" t="s">
        <v>189</v>
      </c>
      <c r="B165" s="2"/>
      <c r="C165" s="24"/>
      <c r="D165" s="55" t="s">
        <v>145</v>
      </c>
      <c r="E165" s="87"/>
      <c r="F165" s="56"/>
      <c r="G165" s="33"/>
      <c r="H165" s="241"/>
      <c r="I165" s="27">
        <v>0</v>
      </c>
      <c r="J165" s="28"/>
      <c r="K165" s="241"/>
      <c r="L165" s="27">
        <v>0</v>
      </c>
      <c r="M165" s="28"/>
      <c r="N165" s="241"/>
      <c r="O165" s="27">
        <v>0</v>
      </c>
      <c r="P165" s="28"/>
      <c r="Q165" s="241"/>
      <c r="R165" s="27">
        <v>0</v>
      </c>
      <c r="S165" s="28"/>
      <c r="T165" s="241"/>
      <c r="U165" s="27">
        <v>0</v>
      </c>
      <c r="V165" s="28"/>
      <c r="W165" s="241"/>
      <c r="X165" s="27">
        <v>0</v>
      </c>
      <c r="Y165" s="28"/>
      <c r="Z165" s="241"/>
      <c r="AA165" s="27">
        <v>0</v>
      </c>
      <c r="AB165" s="28"/>
      <c r="AC165" s="241"/>
      <c r="AD165" s="27">
        <v>0</v>
      </c>
      <c r="AE165" s="28"/>
      <c r="AF165" s="241"/>
      <c r="AG165" s="27">
        <v>0</v>
      </c>
      <c r="AH165" s="28"/>
      <c r="AI165" s="241"/>
      <c r="AJ165" s="27">
        <v>0</v>
      </c>
      <c r="AK165" s="28"/>
      <c r="AL165" s="241"/>
      <c r="AM165" s="27">
        <v>0</v>
      </c>
      <c r="AN165" s="28"/>
      <c r="AO165" s="241"/>
      <c r="AP165" s="27">
        <v>0</v>
      </c>
      <c r="AQ165" s="28"/>
      <c r="AR165" s="241">
        <f t="shared" ca="1" si="151"/>
        <v>0</v>
      </c>
      <c r="AS165" s="27">
        <f t="shared" ca="1" si="152"/>
        <v>0</v>
      </c>
      <c r="AT165" s="28">
        <f t="shared" ca="1" si="153"/>
        <v>0</v>
      </c>
      <c r="AU165" s="241"/>
      <c r="AV165" s="27"/>
      <c r="AW165" s="28"/>
      <c r="AX165" s="241"/>
      <c r="AY165" s="27">
        <v>0</v>
      </c>
      <c r="AZ165" s="28"/>
      <c r="BA165" s="241"/>
      <c r="BB165" s="27">
        <v>0</v>
      </c>
      <c r="BC165" s="28"/>
      <c r="BD165" s="241"/>
      <c r="BE165" s="27">
        <v>0</v>
      </c>
      <c r="BF165" s="28"/>
      <c r="BG165" s="241"/>
      <c r="BH165" s="27">
        <v>0</v>
      </c>
      <c r="BI165" s="28"/>
      <c r="BK165" s="448">
        <f t="shared" si="147"/>
        <v>0</v>
      </c>
      <c r="BL165" s="448">
        <f t="shared" si="148"/>
        <v>0</v>
      </c>
      <c r="BM165" s="448">
        <f t="shared" si="149"/>
        <v>0</v>
      </c>
      <c r="BN165" s="448">
        <f t="shared" ca="1" si="150"/>
        <v>0</v>
      </c>
    </row>
    <row r="166" spans="1:66" s="29" customFormat="1" hidden="1" outlineLevel="1" x14ac:dyDescent="0.3">
      <c r="A166" s="95" t="s">
        <v>190</v>
      </c>
      <c r="B166" s="2"/>
      <c r="C166" s="24"/>
      <c r="D166" s="55" t="s">
        <v>145</v>
      </c>
      <c r="E166" s="87"/>
      <c r="F166" s="56"/>
      <c r="G166" s="33"/>
      <c r="H166" s="241"/>
      <c r="I166" s="27">
        <v>0</v>
      </c>
      <c r="J166" s="28"/>
      <c r="K166" s="241"/>
      <c r="L166" s="27">
        <v>0</v>
      </c>
      <c r="M166" s="28"/>
      <c r="N166" s="241"/>
      <c r="O166" s="27">
        <v>0</v>
      </c>
      <c r="P166" s="28"/>
      <c r="Q166" s="241"/>
      <c r="R166" s="27">
        <v>0</v>
      </c>
      <c r="S166" s="28"/>
      <c r="T166" s="241"/>
      <c r="U166" s="27">
        <v>0</v>
      </c>
      <c r="V166" s="28"/>
      <c r="W166" s="241"/>
      <c r="X166" s="27">
        <v>0</v>
      </c>
      <c r="Y166" s="28"/>
      <c r="Z166" s="241"/>
      <c r="AA166" s="27">
        <v>0</v>
      </c>
      <c r="AB166" s="28"/>
      <c r="AC166" s="241"/>
      <c r="AD166" s="27">
        <v>0</v>
      </c>
      <c r="AE166" s="28"/>
      <c r="AF166" s="241"/>
      <c r="AG166" s="27">
        <v>0</v>
      </c>
      <c r="AH166" s="28"/>
      <c r="AI166" s="241"/>
      <c r="AJ166" s="27">
        <v>0</v>
      </c>
      <c r="AK166" s="28"/>
      <c r="AL166" s="241"/>
      <c r="AM166" s="27">
        <v>0</v>
      </c>
      <c r="AN166" s="28"/>
      <c r="AO166" s="241"/>
      <c r="AP166" s="27">
        <v>0</v>
      </c>
      <c r="AQ166" s="28"/>
      <c r="AR166" s="241">
        <f t="shared" ca="1" si="151"/>
        <v>0</v>
      </c>
      <c r="AS166" s="27">
        <f t="shared" ca="1" si="152"/>
        <v>0</v>
      </c>
      <c r="AT166" s="28">
        <f t="shared" ca="1" si="153"/>
        <v>0</v>
      </c>
      <c r="AU166" s="241"/>
      <c r="AV166" s="27"/>
      <c r="AW166" s="28"/>
      <c r="AX166" s="241"/>
      <c r="AY166" s="27">
        <v>0</v>
      </c>
      <c r="AZ166" s="28"/>
      <c r="BA166" s="241"/>
      <c r="BB166" s="27">
        <v>0</v>
      </c>
      <c r="BC166" s="28"/>
      <c r="BD166" s="241"/>
      <c r="BE166" s="27">
        <v>0</v>
      </c>
      <c r="BF166" s="28"/>
      <c r="BG166" s="241"/>
      <c r="BH166" s="27">
        <v>0</v>
      </c>
      <c r="BI166" s="28"/>
      <c r="BK166" s="448">
        <f t="shared" si="147"/>
        <v>0</v>
      </c>
      <c r="BL166" s="448">
        <f t="shared" si="148"/>
        <v>0</v>
      </c>
      <c r="BM166" s="448">
        <f t="shared" si="149"/>
        <v>0</v>
      </c>
      <c r="BN166" s="448">
        <f t="shared" ca="1" si="150"/>
        <v>0</v>
      </c>
    </row>
    <row r="167" spans="1:66" s="29" customFormat="1" hidden="1" outlineLevel="1" x14ac:dyDescent="0.3">
      <c r="A167" s="95" t="s">
        <v>191</v>
      </c>
      <c r="B167" s="2"/>
      <c r="C167" s="24"/>
      <c r="D167" s="55" t="s">
        <v>145</v>
      </c>
      <c r="E167" s="87"/>
      <c r="F167" s="56"/>
      <c r="G167" s="33"/>
      <c r="H167" s="241"/>
      <c r="I167" s="27">
        <v>0</v>
      </c>
      <c r="J167" s="28"/>
      <c r="K167" s="241"/>
      <c r="L167" s="27">
        <v>0</v>
      </c>
      <c r="M167" s="28"/>
      <c r="N167" s="241"/>
      <c r="O167" s="27">
        <v>0</v>
      </c>
      <c r="P167" s="28"/>
      <c r="Q167" s="241"/>
      <c r="R167" s="27">
        <v>0</v>
      </c>
      <c r="S167" s="28"/>
      <c r="T167" s="241"/>
      <c r="U167" s="27">
        <v>0</v>
      </c>
      <c r="V167" s="28"/>
      <c r="W167" s="241"/>
      <c r="X167" s="27">
        <v>0</v>
      </c>
      <c r="Y167" s="28"/>
      <c r="Z167" s="241"/>
      <c r="AA167" s="27">
        <v>0</v>
      </c>
      <c r="AB167" s="28"/>
      <c r="AC167" s="241"/>
      <c r="AD167" s="27">
        <v>0</v>
      </c>
      <c r="AE167" s="28"/>
      <c r="AF167" s="241"/>
      <c r="AG167" s="27">
        <v>0</v>
      </c>
      <c r="AH167" s="28"/>
      <c r="AI167" s="241"/>
      <c r="AJ167" s="27">
        <v>0</v>
      </c>
      <c r="AK167" s="28"/>
      <c r="AL167" s="241"/>
      <c r="AM167" s="27">
        <v>0</v>
      </c>
      <c r="AN167" s="28"/>
      <c r="AO167" s="241"/>
      <c r="AP167" s="27">
        <v>0</v>
      </c>
      <c r="AQ167" s="28"/>
      <c r="AR167" s="241">
        <f t="shared" ca="1" si="151"/>
        <v>0</v>
      </c>
      <c r="AS167" s="27">
        <f t="shared" ca="1" si="152"/>
        <v>0</v>
      </c>
      <c r="AT167" s="28">
        <f t="shared" ca="1" si="153"/>
        <v>0</v>
      </c>
      <c r="AU167" s="241"/>
      <c r="AV167" s="27"/>
      <c r="AW167" s="28"/>
      <c r="AX167" s="241"/>
      <c r="AY167" s="27">
        <v>0</v>
      </c>
      <c r="AZ167" s="28"/>
      <c r="BA167" s="241"/>
      <c r="BB167" s="27">
        <v>0</v>
      </c>
      <c r="BC167" s="28"/>
      <c r="BD167" s="241"/>
      <c r="BE167" s="27">
        <v>0</v>
      </c>
      <c r="BF167" s="28"/>
      <c r="BG167" s="241"/>
      <c r="BH167" s="27">
        <v>0</v>
      </c>
      <c r="BI167" s="28"/>
      <c r="BK167" s="448">
        <f t="shared" si="147"/>
        <v>0</v>
      </c>
      <c r="BL167" s="448">
        <f t="shared" si="148"/>
        <v>0</v>
      </c>
      <c r="BM167" s="448">
        <f t="shared" si="149"/>
        <v>0</v>
      </c>
      <c r="BN167" s="448">
        <f t="shared" ca="1" si="150"/>
        <v>0</v>
      </c>
    </row>
    <row r="168" spans="1:66" s="29" customFormat="1" hidden="1" outlineLevel="1" x14ac:dyDescent="0.3">
      <c r="A168" s="95" t="s">
        <v>192</v>
      </c>
      <c r="B168" s="2"/>
      <c r="C168" s="24"/>
      <c r="D168" s="55" t="s">
        <v>145</v>
      </c>
      <c r="E168" s="87"/>
      <c r="F168" s="56"/>
      <c r="G168" s="33"/>
      <c r="H168" s="241"/>
      <c r="I168" s="27">
        <v>0</v>
      </c>
      <c r="J168" s="28"/>
      <c r="K168" s="241"/>
      <c r="L168" s="27">
        <v>0</v>
      </c>
      <c r="M168" s="28"/>
      <c r="N168" s="241"/>
      <c r="O168" s="27">
        <v>0</v>
      </c>
      <c r="P168" s="28"/>
      <c r="Q168" s="241"/>
      <c r="R168" s="27">
        <v>0</v>
      </c>
      <c r="S168" s="28"/>
      <c r="T168" s="241"/>
      <c r="U168" s="27">
        <v>0</v>
      </c>
      <c r="V168" s="28"/>
      <c r="W168" s="241"/>
      <c r="X168" s="27">
        <v>0</v>
      </c>
      <c r="Y168" s="28"/>
      <c r="Z168" s="241"/>
      <c r="AA168" s="27">
        <v>0</v>
      </c>
      <c r="AB168" s="28"/>
      <c r="AC168" s="241"/>
      <c r="AD168" s="27">
        <v>0</v>
      </c>
      <c r="AE168" s="28"/>
      <c r="AF168" s="241"/>
      <c r="AG168" s="27">
        <v>0</v>
      </c>
      <c r="AH168" s="28"/>
      <c r="AI168" s="241"/>
      <c r="AJ168" s="27">
        <v>0</v>
      </c>
      <c r="AK168" s="28"/>
      <c r="AL168" s="241"/>
      <c r="AM168" s="27">
        <v>0</v>
      </c>
      <c r="AN168" s="28"/>
      <c r="AO168" s="241"/>
      <c r="AP168" s="27">
        <v>0</v>
      </c>
      <c r="AQ168" s="28"/>
      <c r="AR168" s="241">
        <f t="shared" ca="1" si="151"/>
        <v>0</v>
      </c>
      <c r="AS168" s="27">
        <f t="shared" ca="1" si="152"/>
        <v>0</v>
      </c>
      <c r="AT168" s="28">
        <f t="shared" ca="1" si="153"/>
        <v>0</v>
      </c>
      <c r="AU168" s="241"/>
      <c r="AV168" s="27"/>
      <c r="AW168" s="28"/>
      <c r="AX168" s="241"/>
      <c r="AY168" s="27">
        <v>0</v>
      </c>
      <c r="AZ168" s="28"/>
      <c r="BA168" s="241"/>
      <c r="BB168" s="27">
        <v>0</v>
      </c>
      <c r="BC168" s="28"/>
      <c r="BD168" s="241"/>
      <c r="BE168" s="27">
        <v>0</v>
      </c>
      <c r="BF168" s="28"/>
      <c r="BG168" s="241"/>
      <c r="BH168" s="27">
        <v>0</v>
      </c>
      <c r="BI168" s="28"/>
      <c r="BK168" s="448">
        <f t="shared" si="147"/>
        <v>0</v>
      </c>
      <c r="BL168" s="448">
        <f t="shared" si="148"/>
        <v>0</v>
      </c>
      <c r="BM168" s="448">
        <f t="shared" si="149"/>
        <v>0</v>
      </c>
      <c r="BN168" s="448">
        <f t="shared" ca="1" si="150"/>
        <v>0</v>
      </c>
    </row>
    <row r="169" spans="1:66" s="29" customFormat="1" hidden="1" outlineLevel="1" x14ac:dyDescent="0.3">
      <c r="A169" s="95" t="s">
        <v>193</v>
      </c>
      <c r="B169" s="2"/>
      <c r="C169" s="24"/>
      <c r="D169" s="55" t="s">
        <v>145</v>
      </c>
      <c r="E169" s="87"/>
      <c r="F169" s="56"/>
      <c r="G169" s="33"/>
      <c r="H169" s="241"/>
      <c r="I169" s="27">
        <v>0</v>
      </c>
      <c r="J169" s="28"/>
      <c r="K169" s="241"/>
      <c r="L169" s="27">
        <v>0</v>
      </c>
      <c r="M169" s="28"/>
      <c r="N169" s="241"/>
      <c r="O169" s="27">
        <v>0</v>
      </c>
      <c r="P169" s="28"/>
      <c r="Q169" s="241"/>
      <c r="R169" s="27">
        <v>0</v>
      </c>
      <c r="S169" s="28"/>
      <c r="T169" s="241"/>
      <c r="U169" s="27">
        <v>0</v>
      </c>
      <c r="V169" s="28"/>
      <c r="W169" s="241"/>
      <c r="X169" s="27">
        <v>0</v>
      </c>
      <c r="Y169" s="28"/>
      <c r="Z169" s="241"/>
      <c r="AA169" s="27">
        <v>0</v>
      </c>
      <c r="AB169" s="28"/>
      <c r="AC169" s="241"/>
      <c r="AD169" s="27">
        <v>0</v>
      </c>
      <c r="AE169" s="28"/>
      <c r="AF169" s="241"/>
      <c r="AG169" s="27">
        <v>0</v>
      </c>
      <c r="AH169" s="28"/>
      <c r="AI169" s="241"/>
      <c r="AJ169" s="27">
        <v>0</v>
      </c>
      <c r="AK169" s="28"/>
      <c r="AL169" s="241"/>
      <c r="AM169" s="27">
        <v>0</v>
      </c>
      <c r="AN169" s="28"/>
      <c r="AO169" s="241"/>
      <c r="AP169" s="27">
        <v>0</v>
      </c>
      <c r="AQ169" s="28"/>
      <c r="AR169" s="241">
        <f t="shared" ca="1" si="151"/>
        <v>0</v>
      </c>
      <c r="AS169" s="27">
        <f t="shared" ca="1" si="152"/>
        <v>0</v>
      </c>
      <c r="AT169" s="28">
        <f t="shared" ca="1" si="153"/>
        <v>0</v>
      </c>
      <c r="AU169" s="241"/>
      <c r="AV169" s="27"/>
      <c r="AW169" s="28"/>
      <c r="AX169" s="241"/>
      <c r="AY169" s="27">
        <v>0</v>
      </c>
      <c r="AZ169" s="28"/>
      <c r="BA169" s="241"/>
      <c r="BB169" s="27">
        <v>0</v>
      </c>
      <c r="BC169" s="28"/>
      <c r="BD169" s="241"/>
      <c r="BE169" s="27">
        <v>0</v>
      </c>
      <c r="BF169" s="28"/>
      <c r="BG169" s="241"/>
      <c r="BH169" s="27">
        <v>0</v>
      </c>
      <c r="BI169" s="28"/>
      <c r="BK169" s="448">
        <f t="shared" si="147"/>
        <v>0</v>
      </c>
      <c r="BL169" s="448">
        <f t="shared" si="148"/>
        <v>0</v>
      </c>
      <c r="BM169" s="448">
        <f t="shared" si="149"/>
        <v>0</v>
      </c>
      <c r="BN169" s="448">
        <f t="shared" ca="1" si="150"/>
        <v>0</v>
      </c>
    </row>
    <row r="170" spans="1:66" s="29" customFormat="1" hidden="1" outlineLevel="1" x14ac:dyDescent="0.3">
      <c r="A170" s="95" t="s">
        <v>194</v>
      </c>
      <c r="B170" s="2"/>
      <c r="C170" s="24"/>
      <c r="D170" s="55" t="s">
        <v>145</v>
      </c>
      <c r="E170" s="87"/>
      <c r="F170" s="56"/>
      <c r="G170" s="33"/>
      <c r="H170" s="241"/>
      <c r="I170" s="27">
        <v>0</v>
      </c>
      <c r="J170" s="28"/>
      <c r="K170" s="241"/>
      <c r="L170" s="27">
        <v>0</v>
      </c>
      <c r="M170" s="28"/>
      <c r="N170" s="241"/>
      <c r="O170" s="27">
        <v>0</v>
      </c>
      <c r="P170" s="28"/>
      <c r="Q170" s="241"/>
      <c r="R170" s="27">
        <v>0</v>
      </c>
      <c r="S170" s="28"/>
      <c r="T170" s="241"/>
      <c r="U170" s="27">
        <v>0</v>
      </c>
      <c r="V170" s="28"/>
      <c r="W170" s="241"/>
      <c r="X170" s="27">
        <v>0</v>
      </c>
      <c r="Y170" s="28"/>
      <c r="Z170" s="241"/>
      <c r="AA170" s="27">
        <v>0</v>
      </c>
      <c r="AB170" s="28"/>
      <c r="AC170" s="241"/>
      <c r="AD170" s="27">
        <v>0</v>
      </c>
      <c r="AE170" s="28"/>
      <c r="AF170" s="241"/>
      <c r="AG170" s="27">
        <v>0</v>
      </c>
      <c r="AH170" s="28"/>
      <c r="AI170" s="241"/>
      <c r="AJ170" s="27">
        <v>0</v>
      </c>
      <c r="AK170" s="28"/>
      <c r="AL170" s="241"/>
      <c r="AM170" s="27">
        <v>0</v>
      </c>
      <c r="AN170" s="28"/>
      <c r="AO170" s="241"/>
      <c r="AP170" s="27">
        <v>0</v>
      </c>
      <c r="AQ170" s="28"/>
      <c r="AR170" s="241">
        <f t="shared" ca="1" si="151"/>
        <v>0</v>
      </c>
      <c r="AS170" s="27">
        <f t="shared" ca="1" si="152"/>
        <v>0</v>
      </c>
      <c r="AT170" s="28">
        <f t="shared" ca="1" si="153"/>
        <v>0</v>
      </c>
      <c r="AU170" s="241"/>
      <c r="AV170" s="27"/>
      <c r="AW170" s="28"/>
      <c r="AX170" s="241"/>
      <c r="AY170" s="27">
        <v>0</v>
      </c>
      <c r="AZ170" s="28"/>
      <c r="BA170" s="241"/>
      <c r="BB170" s="27">
        <v>0</v>
      </c>
      <c r="BC170" s="28"/>
      <c r="BD170" s="241"/>
      <c r="BE170" s="27">
        <v>0</v>
      </c>
      <c r="BF170" s="28"/>
      <c r="BG170" s="241"/>
      <c r="BH170" s="27">
        <v>0</v>
      </c>
      <c r="BI170" s="28"/>
      <c r="BK170" s="448">
        <f t="shared" si="147"/>
        <v>0</v>
      </c>
      <c r="BL170" s="448">
        <f t="shared" si="148"/>
        <v>0</v>
      </c>
      <c r="BM170" s="448">
        <f t="shared" si="149"/>
        <v>0</v>
      </c>
      <c r="BN170" s="448">
        <f t="shared" ca="1" si="150"/>
        <v>0</v>
      </c>
    </row>
    <row r="171" spans="1:66" s="29" customFormat="1" hidden="1" outlineLevel="1" x14ac:dyDescent="0.3">
      <c r="A171" s="95" t="s">
        <v>195</v>
      </c>
      <c r="B171" s="2"/>
      <c r="C171" s="24"/>
      <c r="D171" s="55" t="s">
        <v>145</v>
      </c>
      <c r="E171" s="87"/>
      <c r="F171" s="56"/>
      <c r="G171" s="33"/>
      <c r="H171" s="241"/>
      <c r="I171" s="27">
        <v>0</v>
      </c>
      <c r="J171" s="28"/>
      <c r="K171" s="241"/>
      <c r="L171" s="27">
        <v>0</v>
      </c>
      <c r="M171" s="28"/>
      <c r="N171" s="241"/>
      <c r="O171" s="27">
        <v>0</v>
      </c>
      <c r="P171" s="28"/>
      <c r="Q171" s="241"/>
      <c r="R171" s="27">
        <v>0</v>
      </c>
      <c r="S171" s="28"/>
      <c r="T171" s="241"/>
      <c r="U171" s="27">
        <v>0</v>
      </c>
      <c r="V171" s="28"/>
      <c r="W171" s="241"/>
      <c r="X171" s="27">
        <v>0</v>
      </c>
      <c r="Y171" s="28"/>
      <c r="Z171" s="241"/>
      <c r="AA171" s="27">
        <v>0</v>
      </c>
      <c r="AB171" s="28"/>
      <c r="AC171" s="241"/>
      <c r="AD171" s="27">
        <v>0</v>
      </c>
      <c r="AE171" s="28"/>
      <c r="AF171" s="241"/>
      <c r="AG171" s="27">
        <v>0</v>
      </c>
      <c r="AH171" s="28"/>
      <c r="AI171" s="241"/>
      <c r="AJ171" s="27">
        <v>0</v>
      </c>
      <c r="AK171" s="28"/>
      <c r="AL171" s="241"/>
      <c r="AM171" s="27">
        <v>0</v>
      </c>
      <c r="AN171" s="28"/>
      <c r="AO171" s="241"/>
      <c r="AP171" s="27">
        <v>0</v>
      </c>
      <c r="AQ171" s="28"/>
      <c r="AR171" s="241">
        <f t="shared" ref="AR171:AR202" ca="1" si="154">SUMIFS($H171:$AO171,$H$5:$AO$5,"&lt;"&amp;MONTH(TODAY()),$H$6:$AO$6,"REAL 25")</f>
        <v>0</v>
      </c>
      <c r="AS171" s="27">
        <f t="shared" ref="AS171:AS202" ca="1" si="155">SUMIFS($I171:$AP171,$I$5:$AP$5,"&lt;"&amp;MONTH(TODAY()),$I$6:$AP$6,"ORÇADO ")</f>
        <v>0</v>
      </c>
      <c r="AT171" s="28">
        <f t="shared" ref="AT171:AT202" ca="1" si="156">SUMIFS($J171:$AQ171,$J$5:$AQ$5,"&lt;"&amp;MONTH(TODAY()),$J$6:$AQ$6,"REAL 26")</f>
        <v>0</v>
      </c>
      <c r="AU171" s="241"/>
      <c r="AV171" s="27"/>
      <c r="AW171" s="28"/>
      <c r="AX171" s="241"/>
      <c r="AY171" s="27">
        <v>0</v>
      </c>
      <c r="AZ171" s="28"/>
      <c r="BA171" s="241"/>
      <c r="BB171" s="27">
        <v>0</v>
      </c>
      <c r="BC171" s="28"/>
      <c r="BD171" s="241"/>
      <c r="BE171" s="27">
        <v>0</v>
      </c>
      <c r="BF171" s="28"/>
      <c r="BG171" s="241"/>
      <c r="BH171" s="27">
        <v>0</v>
      </c>
      <c r="BI171" s="28"/>
      <c r="BK171" s="448">
        <f t="shared" si="147"/>
        <v>0</v>
      </c>
      <c r="BL171" s="448">
        <f t="shared" si="148"/>
        <v>0</v>
      </c>
      <c r="BM171" s="448">
        <f t="shared" si="149"/>
        <v>0</v>
      </c>
      <c r="BN171" s="448">
        <f t="shared" ca="1" si="150"/>
        <v>0</v>
      </c>
    </row>
    <row r="172" spans="1:66" s="29" customFormat="1" hidden="1" outlineLevel="1" x14ac:dyDescent="0.3">
      <c r="A172" s="95" t="s">
        <v>196</v>
      </c>
      <c r="B172" s="2"/>
      <c r="C172" s="24"/>
      <c r="D172" s="55" t="s">
        <v>145</v>
      </c>
      <c r="E172" s="87"/>
      <c r="F172" s="56"/>
      <c r="G172" s="33"/>
      <c r="H172" s="241"/>
      <c r="I172" s="27">
        <v>0</v>
      </c>
      <c r="J172" s="28"/>
      <c r="K172" s="241"/>
      <c r="L172" s="27">
        <v>0</v>
      </c>
      <c r="M172" s="28"/>
      <c r="N172" s="241"/>
      <c r="O172" s="27">
        <v>0</v>
      </c>
      <c r="P172" s="28"/>
      <c r="Q172" s="241"/>
      <c r="R172" s="27">
        <v>0</v>
      </c>
      <c r="S172" s="28"/>
      <c r="T172" s="241"/>
      <c r="U172" s="27">
        <v>0</v>
      </c>
      <c r="V172" s="28"/>
      <c r="W172" s="241"/>
      <c r="X172" s="27">
        <v>0</v>
      </c>
      <c r="Y172" s="28"/>
      <c r="Z172" s="241"/>
      <c r="AA172" s="27">
        <v>0</v>
      </c>
      <c r="AB172" s="28"/>
      <c r="AC172" s="241"/>
      <c r="AD172" s="27">
        <v>0</v>
      </c>
      <c r="AE172" s="28"/>
      <c r="AF172" s="241"/>
      <c r="AG172" s="27">
        <v>0</v>
      </c>
      <c r="AH172" s="28"/>
      <c r="AI172" s="241"/>
      <c r="AJ172" s="27">
        <v>0</v>
      </c>
      <c r="AK172" s="28"/>
      <c r="AL172" s="241"/>
      <c r="AM172" s="27">
        <v>0</v>
      </c>
      <c r="AN172" s="28"/>
      <c r="AO172" s="241"/>
      <c r="AP172" s="27">
        <v>0</v>
      </c>
      <c r="AQ172" s="28"/>
      <c r="AR172" s="241">
        <f t="shared" ca="1" si="154"/>
        <v>0</v>
      </c>
      <c r="AS172" s="27">
        <f t="shared" ca="1" si="155"/>
        <v>0</v>
      </c>
      <c r="AT172" s="28">
        <f t="shared" ca="1" si="156"/>
        <v>0</v>
      </c>
      <c r="AU172" s="241"/>
      <c r="AV172" s="27"/>
      <c r="AW172" s="28"/>
      <c r="AX172" s="241"/>
      <c r="AY172" s="27">
        <v>0</v>
      </c>
      <c r="AZ172" s="28"/>
      <c r="BA172" s="241"/>
      <c r="BB172" s="27">
        <v>0</v>
      </c>
      <c r="BC172" s="28"/>
      <c r="BD172" s="241"/>
      <c r="BE172" s="27">
        <v>0</v>
      </c>
      <c r="BF172" s="28"/>
      <c r="BG172" s="241"/>
      <c r="BH172" s="27">
        <v>0</v>
      </c>
      <c r="BI172" s="28"/>
      <c r="BK172" s="448">
        <f t="shared" si="147"/>
        <v>0</v>
      </c>
      <c r="BL172" s="448">
        <f t="shared" si="148"/>
        <v>0</v>
      </c>
      <c r="BM172" s="448">
        <f t="shared" si="149"/>
        <v>0</v>
      </c>
      <c r="BN172" s="448">
        <f t="shared" ca="1" si="150"/>
        <v>0</v>
      </c>
    </row>
    <row r="173" spans="1:66" s="29" customFormat="1" hidden="1" outlineLevel="1" x14ac:dyDescent="0.3">
      <c r="A173" s="95" t="s">
        <v>197</v>
      </c>
      <c r="B173" s="2"/>
      <c r="C173" s="24"/>
      <c r="D173" s="55" t="s">
        <v>145</v>
      </c>
      <c r="E173" s="87"/>
      <c r="F173" s="56"/>
      <c r="G173" s="33"/>
      <c r="H173" s="241"/>
      <c r="I173" s="27">
        <v>0</v>
      </c>
      <c r="J173" s="28"/>
      <c r="K173" s="241"/>
      <c r="L173" s="27">
        <v>0</v>
      </c>
      <c r="M173" s="28"/>
      <c r="N173" s="241"/>
      <c r="O173" s="27">
        <v>0</v>
      </c>
      <c r="P173" s="28"/>
      <c r="Q173" s="241"/>
      <c r="R173" s="27">
        <v>0</v>
      </c>
      <c r="S173" s="28"/>
      <c r="T173" s="241"/>
      <c r="U173" s="27">
        <v>0</v>
      </c>
      <c r="V173" s="28"/>
      <c r="W173" s="241"/>
      <c r="X173" s="27">
        <v>0</v>
      </c>
      <c r="Y173" s="28"/>
      <c r="Z173" s="241"/>
      <c r="AA173" s="27">
        <v>0</v>
      </c>
      <c r="AB173" s="28"/>
      <c r="AC173" s="241"/>
      <c r="AD173" s="27">
        <v>0</v>
      </c>
      <c r="AE173" s="28"/>
      <c r="AF173" s="241"/>
      <c r="AG173" s="27">
        <v>0</v>
      </c>
      <c r="AH173" s="28"/>
      <c r="AI173" s="241"/>
      <c r="AJ173" s="27">
        <v>0</v>
      </c>
      <c r="AK173" s="28"/>
      <c r="AL173" s="241"/>
      <c r="AM173" s="27">
        <v>0</v>
      </c>
      <c r="AN173" s="28"/>
      <c r="AO173" s="241"/>
      <c r="AP173" s="27">
        <v>0</v>
      </c>
      <c r="AQ173" s="28"/>
      <c r="AR173" s="241">
        <f t="shared" ca="1" si="154"/>
        <v>0</v>
      </c>
      <c r="AS173" s="27">
        <f t="shared" ca="1" si="155"/>
        <v>0</v>
      </c>
      <c r="AT173" s="28">
        <f t="shared" ca="1" si="156"/>
        <v>0</v>
      </c>
      <c r="AU173" s="241"/>
      <c r="AV173" s="27"/>
      <c r="AW173" s="28"/>
      <c r="AX173" s="241"/>
      <c r="AY173" s="27">
        <v>0</v>
      </c>
      <c r="AZ173" s="28"/>
      <c r="BA173" s="241"/>
      <c r="BB173" s="27">
        <v>0</v>
      </c>
      <c r="BC173" s="28"/>
      <c r="BD173" s="241"/>
      <c r="BE173" s="27">
        <v>0</v>
      </c>
      <c r="BF173" s="28"/>
      <c r="BG173" s="241"/>
      <c r="BH173" s="27">
        <v>0</v>
      </c>
      <c r="BI173" s="28"/>
      <c r="BK173" s="448">
        <f t="shared" si="147"/>
        <v>0</v>
      </c>
      <c r="BL173" s="448">
        <f t="shared" si="148"/>
        <v>0</v>
      </c>
      <c r="BM173" s="448">
        <f t="shared" si="149"/>
        <v>0</v>
      </c>
      <c r="BN173" s="448">
        <f t="shared" ca="1" si="150"/>
        <v>0</v>
      </c>
    </row>
    <row r="174" spans="1:66" s="29" customFormat="1" hidden="1" outlineLevel="1" x14ac:dyDescent="0.3">
      <c r="A174" s="95" t="s">
        <v>198</v>
      </c>
      <c r="B174" s="2"/>
      <c r="C174" s="24"/>
      <c r="D174" s="55" t="s">
        <v>145</v>
      </c>
      <c r="E174" s="87"/>
      <c r="F174" s="56"/>
      <c r="G174" s="33"/>
      <c r="H174" s="241"/>
      <c r="I174" s="27">
        <v>0</v>
      </c>
      <c r="J174" s="28"/>
      <c r="K174" s="241"/>
      <c r="L174" s="27">
        <v>0</v>
      </c>
      <c r="M174" s="28"/>
      <c r="N174" s="241"/>
      <c r="O174" s="27">
        <v>0</v>
      </c>
      <c r="P174" s="28"/>
      <c r="Q174" s="241"/>
      <c r="R174" s="27">
        <v>0</v>
      </c>
      <c r="S174" s="28"/>
      <c r="T174" s="241"/>
      <c r="U174" s="27">
        <v>0</v>
      </c>
      <c r="V174" s="28"/>
      <c r="W174" s="241"/>
      <c r="X174" s="27">
        <v>0</v>
      </c>
      <c r="Y174" s="28"/>
      <c r="Z174" s="241"/>
      <c r="AA174" s="27">
        <v>0</v>
      </c>
      <c r="AB174" s="28"/>
      <c r="AC174" s="241"/>
      <c r="AD174" s="27">
        <v>0</v>
      </c>
      <c r="AE174" s="28"/>
      <c r="AF174" s="241"/>
      <c r="AG174" s="27">
        <v>0</v>
      </c>
      <c r="AH174" s="28"/>
      <c r="AI174" s="241"/>
      <c r="AJ174" s="27">
        <v>0</v>
      </c>
      <c r="AK174" s="28"/>
      <c r="AL174" s="241"/>
      <c r="AM174" s="27">
        <v>0</v>
      </c>
      <c r="AN174" s="28"/>
      <c r="AO174" s="241"/>
      <c r="AP174" s="27">
        <v>0</v>
      </c>
      <c r="AQ174" s="28"/>
      <c r="AR174" s="241">
        <f t="shared" ca="1" si="154"/>
        <v>0</v>
      </c>
      <c r="AS174" s="27">
        <f t="shared" ca="1" si="155"/>
        <v>0</v>
      </c>
      <c r="AT174" s="28">
        <f t="shared" ca="1" si="156"/>
        <v>0</v>
      </c>
      <c r="AU174" s="241"/>
      <c r="AV174" s="27"/>
      <c r="AW174" s="28"/>
      <c r="AX174" s="241"/>
      <c r="AY174" s="27">
        <v>0</v>
      </c>
      <c r="AZ174" s="28"/>
      <c r="BA174" s="241"/>
      <c r="BB174" s="27">
        <v>0</v>
      </c>
      <c r="BC174" s="28"/>
      <c r="BD174" s="241"/>
      <c r="BE174" s="27">
        <v>0</v>
      </c>
      <c r="BF174" s="28"/>
      <c r="BG174" s="241"/>
      <c r="BH174" s="27">
        <v>0</v>
      </c>
      <c r="BI174" s="28"/>
      <c r="BK174" s="448">
        <f t="shared" si="147"/>
        <v>0</v>
      </c>
      <c r="BL174" s="448">
        <f t="shared" si="148"/>
        <v>0</v>
      </c>
      <c r="BM174" s="448">
        <f t="shared" si="149"/>
        <v>0</v>
      </c>
      <c r="BN174" s="448">
        <f t="shared" ca="1" si="150"/>
        <v>0</v>
      </c>
    </row>
    <row r="175" spans="1:66" s="29" customFormat="1" hidden="1" outlineLevel="1" x14ac:dyDescent="0.3">
      <c r="A175" s="95" t="s">
        <v>199</v>
      </c>
      <c r="B175" s="2"/>
      <c r="C175" s="24"/>
      <c r="D175" s="55" t="s">
        <v>145</v>
      </c>
      <c r="E175" s="87"/>
      <c r="F175" s="56"/>
      <c r="G175" s="33"/>
      <c r="H175" s="241"/>
      <c r="I175" s="27">
        <v>0</v>
      </c>
      <c r="J175" s="28"/>
      <c r="K175" s="241"/>
      <c r="L175" s="27">
        <v>0</v>
      </c>
      <c r="M175" s="28"/>
      <c r="N175" s="241"/>
      <c r="O175" s="27">
        <v>0</v>
      </c>
      <c r="P175" s="28"/>
      <c r="Q175" s="241"/>
      <c r="R175" s="27">
        <v>0</v>
      </c>
      <c r="S175" s="28"/>
      <c r="T175" s="241"/>
      <c r="U175" s="27">
        <v>0</v>
      </c>
      <c r="V175" s="28"/>
      <c r="W175" s="241"/>
      <c r="X175" s="27">
        <v>0</v>
      </c>
      <c r="Y175" s="28"/>
      <c r="Z175" s="241"/>
      <c r="AA175" s="27">
        <v>0</v>
      </c>
      <c r="AB175" s="28"/>
      <c r="AC175" s="241"/>
      <c r="AD175" s="27">
        <v>0</v>
      </c>
      <c r="AE175" s="28"/>
      <c r="AF175" s="241"/>
      <c r="AG175" s="27">
        <v>0</v>
      </c>
      <c r="AH175" s="28"/>
      <c r="AI175" s="241"/>
      <c r="AJ175" s="27">
        <v>0</v>
      </c>
      <c r="AK175" s="28"/>
      <c r="AL175" s="241"/>
      <c r="AM175" s="27">
        <v>0</v>
      </c>
      <c r="AN175" s="28"/>
      <c r="AO175" s="241"/>
      <c r="AP175" s="27">
        <v>0</v>
      </c>
      <c r="AQ175" s="28"/>
      <c r="AR175" s="241">
        <f t="shared" ca="1" si="154"/>
        <v>0</v>
      </c>
      <c r="AS175" s="27">
        <f t="shared" ca="1" si="155"/>
        <v>0</v>
      </c>
      <c r="AT175" s="28">
        <f t="shared" ca="1" si="156"/>
        <v>0</v>
      </c>
      <c r="AU175" s="241"/>
      <c r="AV175" s="27"/>
      <c r="AW175" s="28"/>
      <c r="AX175" s="241"/>
      <c r="AY175" s="27">
        <v>0</v>
      </c>
      <c r="AZ175" s="28"/>
      <c r="BA175" s="241"/>
      <c r="BB175" s="27">
        <v>0</v>
      </c>
      <c r="BC175" s="28"/>
      <c r="BD175" s="241"/>
      <c r="BE175" s="27">
        <v>0</v>
      </c>
      <c r="BF175" s="28"/>
      <c r="BG175" s="241"/>
      <c r="BH175" s="27">
        <v>0</v>
      </c>
      <c r="BI175" s="28"/>
      <c r="BK175" s="448">
        <f t="shared" si="147"/>
        <v>0</v>
      </c>
      <c r="BL175" s="448">
        <f t="shared" si="148"/>
        <v>0</v>
      </c>
      <c r="BM175" s="448">
        <f t="shared" si="149"/>
        <v>0</v>
      </c>
      <c r="BN175" s="448">
        <f t="shared" ca="1" si="150"/>
        <v>0</v>
      </c>
    </row>
    <row r="176" spans="1:66" s="29" customFormat="1" hidden="1" outlineLevel="1" x14ac:dyDescent="0.3">
      <c r="A176" s="95" t="s">
        <v>200</v>
      </c>
      <c r="B176" s="2"/>
      <c r="C176" s="24"/>
      <c r="D176" s="55" t="s">
        <v>145</v>
      </c>
      <c r="E176" s="87"/>
      <c r="F176" s="56"/>
      <c r="G176" s="33"/>
      <c r="H176" s="241"/>
      <c r="I176" s="27">
        <v>-1700</v>
      </c>
      <c r="J176" s="28"/>
      <c r="K176" s="241"/>
      <c r="L176" s="27">
        <v>-1869.4</v>
      </c>
      <c r="M176" s="28"/>
      <c r="N176" s="241"/>
      <c r="O176" s="27">
        <v>-1869.4</v>
      </c>
      <c r="P176" s="28"/>
      <c r="Q176" s="241"/>
      <c r="R176" s="27">
        <v>-1869.4</v>
      </c>
      <c r="S176" s="28"/>
      <c r="T176" s="241"/>
      <c r="U176" s="27">
        <v>-1869.4</v>
      </c>
      <c r="V176" s="28"/>
      <c r="W176" s="241"/>
      <c r="X176" s="27">
        <v>-1947.9148</v>
      </c>
      <c r="Y176" s="28"/>
      <c r="Z176" s="241"/>
      <c r="AA176" s="27">
        <v>-1947.9148</v>
      </c>
      <c r="AB176" s="28"/>
      <c r="AC176" s="241"/>
      <c r="AD176" s="27">
        <v>-1947.9148</v>
      </c>
      <c r="AE176" s="28"/>
      <c r="AF176" s="241"/>
      <c r="AG176" s="27">
        <v>-1947.9148</v>
      </c>
      <c r="AH176" s="28"/>
      <c r="AI176" s="241"/>
      <c r="AJ176" s="27">
        <v>-1947.9148</v>
      </c>
      <c r="AK176" s="28"/>
      <c r="AL176" s="241"/>
      <c r="AM176" s="27">
        <v>-1947.9148</v>
      </c>
      <c r="AN176" s="28"/>
      <c r="AO176" s="241"/>
      <c r="AP176" s="27">
        <v>-1947.9148</v>
      </c>
      <c r="AQ176" s="28"/>
      <c r="AR176" s="241">
        <f t="shared" ca="1" si="154"/>
        <v>0</v>
      </c>
      <c r="AS176" s="27">
        <f t="shared" ca="1" si="155"/>
        <v>-11125.514800000001</v>
      </c>
      <c r="AT176" s="28">
        <f t="shared" ca="1" si="156"/>
        <v>0</v>
      </c>
      <c r="AU176" s="241"/>
      <c r="AV176" s="27"/>
      <c r="AW176" s="28"/>
      <c r="AX176" s="241"/>
      <c r="AY176" s="27">
        <v>0</v>
      </c>
      <c r="AZ176" s="28"/>
      <c r="BA176" s="241"/>
      <c r="BB176" s="27">
        <v>0</v>
      </c>
      <c r="BC176" s="28"/>
      <c r="BD176" s="241"/>
      <c r="BE176" s="27">
        <v>0</v>
      </c>
      <c r="BF176" s="28"/>
      <c r="BG176" s="241"/>
      <c r="BH176" s="27">
        <v>0</v>
      </c>
      <c r="BI176" s="28"/>
      <c r="BK176" s="448">
        <f t="shared" si="147"/>
        <v>-22813.003599999996</v>
      </c>
      <c r="BL176" s="448">
        <f t="shared" si="148"/>
        <v>-22813.003599999996</v>
      </c>
      <c r="BM176" s="448">
        <f t="shared" si="149"/>
        <v>0</v>
      </c>
      <c r="BN176" s="448">
        <f t="shared" ca="1" si="150"/>
        <v>0</v>
      </c>
    </row>
    <row r="177" spans="1:66" s="29" customFormat="1" hidden="1" outlineLevel="1" x14ac:dyDescent="0.3">
      <c r="A177" s="95" t="s">
        <v>201</v>
      </c>
      <c r="B177" s="2"/>
      <c r="C177" s="24"/>
      <c r="D177" s="55" t="s">
        <v>145</v>
      </c>
      <c r="E177" s="87"/>
      <c r="F177" s="56"/>
      <c r="G177" s="33"/>
      <c r="H177" s="241"/>
      <c r="I177" s="27">
        <v>0</v>
      </c>
      <c r="J177" s="28"/>
      <c r="K177" s="241"/>
      <c r="L177" s="27">
        <v>0</v>
      </c>
      <c r="M177" s="28"/>
      <c r="N177" s="241"/>
      <c r="O177" s="27">
        <v>0</v>
      </c>
      <c r="P177" s="28"/>
      <c r="Q177" s="241"/>
      <c r="R177" s="27">
        <v>0</v>
      </c>
      <c r="S177" s="28"/>
      <c r="T177" s="241"/>
      <c r="U177" s="27">
        <v>0</v>
      </c>
      <c r="V177" s="28"/>
      <c r="W177" s="241"/>
      <c r="X177" s="27">
        <v>0</v>
      </c>
      <c r="Y177" s="28"/>
      <c r="Z177" s="241"/>
      <c r="AA177" s="27">
        <v>0</v>
      </c>
      <c r="AB177" s="28"/>
      <c r="AC177" s="241"/>
      <c r="AD177" s="27">
        <v>0</v>
      </c>
      <c r="AE177" s="28"/>
      <c r="AF177" s="241"/>
      <c r="AG177" s="27">
        <v>0</v>
      </c>
      <c r="AH177" s="28"/>
      <c r="AI177" s="241"/>
      <c r="AJ177" s="27">
        <v>0</v>
      </c>
      <c r="AK177" s="28"/>
      <c r="AL177" s="241"/>
      <c r="AM177" s="27">
        <v>0</v>
      </c>
      <c r="AN177" s="28"/>
      <c r="AO177" s="241"/>
      <c r="AP177" s="27">
        <v>0</v>
      </c>
      <c r="AQ177" s="28"/>
      <c r="AR177" s="241">
        <f t="shared" ca="1" si="154"/>
        <v>0</v>
      </c>
      <c r="AS177" s="27">
        <f t="shared" ca="1" si="155"/>
        <v>0</v>
      </c>
      <c r="AT177" s="28">
        <f t="shared" ca="1" si="156"/>
        <v>0</v>
      </c>
      <c r="AU177" s="241"/>
      <c r="AV177" s="27"/>
      <c r="AW177" s="28"/>
      <c r="AX177" s="241"/>
      <c r="AY177" s="27">
        <v>0</v>
      </c>
      <c r="AZ177" s="28"/>
      <c r="BA177" s="241"/>
      <c r="BB177" s="27">
        <v>0</v>
      </c>
      <c r="BC177" s="28"/>
      <c r="BD177" s="241"/>
      <c r="BE177" s="27">
        <v>0</v>
      </c>
      <c r="BF177" s="28"/>
      <c r="BG177" s="241"/>
      <c r="BH177" s="27">
        <v>0</v>
      </c>
      <c r="BI177" s="28"/>
      <c r="BK177" s="448">
        <f t="shared" si="147"/>
        <v>0</v>
      </c>
      <c r="BL177" s="448">
        <f t="shared" si="148"/>
        <v>0</v>
      </c>
      <c r="BM177" s="448">
        <f t="shared" si="149"/>
        <v>0</v>
      </c>
      <c r="BN177" s="448">
        <f t="shared" ca="1" si="150"/>
        <v>0</v>
      </c>
    </row>
    <row r="178" spans="1:66" s="29" customFormat="1" hidden="1" outlineLevel="1" x14ac:dyDescent="0.3">
      <c r="A178" s="95"/>
      <c r="B178" s="2"/>
      <c r="C178" s="24"/>
      <c r="D178" s="55" t="s">
        <v>145</v>
      </c>
      <c r="E178" s="87"/>
      <c r="F178" s="56"/>
      <c r="G178" s="33"/>
      <c r="H178" s="241"/>
      <c r="I178" s="27"/>
      <c r="J178" s="28"/>
      <c r="K178" s="241"/>
      <c r="L178" s="27"/>
      <c r="M178" s="28"/>
      <c r="N178" s="241"/>
      <c r="O178" s="27"/>
      <c r="P178" s="28"/>
      <c r="Q178" s="241"/>
      <c r="R178" s="27"/>
      <c r="S178" s="28"/>
      <c r="T178" s="241"/>
      <c r="U178" s="27"/>
      <c r="V178" s="28"/>
      <c r="W178" s="241"/>
      <c r="X178" s="27"/>
      <c r="Y178" s="28"/>
      <c r="Z178" s="241"/>
      <c r="AA178" s="27"/>
      <c r="AB178" s="28"/>
      <c r="AC178" s="241"/>
      <c r="AD178" s="27"/>
      <c r="AE178" s="28"/>
      <c r="AF178" s="241"/>
      <c r="AG178" s="27"/>
      <c r="AH178" s="28"/>
      <c r="AI178" s="241"/>
      <c r="AJ178" s="27"/>
      <c r="AK178" s="28"/>
      <c r="AL178" s="241"/>
      <c r="AM178" s="27"/>
      <c r="AN178" s="28"/>
      <c r="AO178" s="241"/>
      <c r="AP178" s="27"/>
      <c r="AQ178" s="28"/>
      <c r="AR178" s="241">
        <f t="shared" ca="1" si="154"/>
        <v>0</v>
      </c>
      <c r="AS178" s="27">
        <f t="shared" ca="1" si="155"/>
        <v>0</v>
      </c>
      <c r="AT178" s="28">
        <f t="shared" ca="1" si="156"/>
        <v>0</v>
      </c>
      <c r="AU178" s="241"/>
      <c r="AV178" s="27"/>
      <c r="AW178" s="28"/>
      <c r="AX178" s="241"/>
      <c r="AY178" s="27">
        <v>0</v>
      </c>
      <c r="AZ178" s="28"/>
      <c r="BA178" s="241"/>
      <c r="BB178" s="27">
        <v>0</v>
      </c>
      <c r="BC178" s="28"/>
      <c r="BD178" s="241"/>
      <c r="BE178" s="27">
        <v>0</v>
      </c>
      <c r="BF178" s="28"/>
      <c r="BG178" s="241"/>
      <c r="BH178" s="27">
        <v>0</v>
      </c>
      <c r="BI178" s="28"/>
      <c r="BK178" s="448">
        <f t="shared" si="147"/>
        <v>0</v>
      </c>
      <c r="BL178" s="448">
        <f t="shared" si="148"/>
        <v>0</v>
      </c>
      <c r="BM178" s="448">
        <f t="shared" si="149"/>
        <v>0</v>
      </c>
      <c r="BN178" s="448">
        <f t="shared" ca="1" si="150"/>
        <v>0</v>
      </c>
    </row>
    <row r="179" spans="1:66" collapsed="1" x14ac:dyDescent="0.3">
      <c r="A179" s="73" t="s">
        <v>202</v>
      </c>
      <c r="C179" s="40" t="s">
        <v>37</v>
      </c>
      <c r="D179" s="40" t="s">
        <v>38</v>
      </c>
      <c r="E179" s="40" t="s">
        <v>203</v>
      </c>
      <c r="F179" s="41"/>
      <c r="G179" s="6"/>
      <c r="H179" s="252">
        <v>-9935</v>
      </c>
      <c r="I179" s="74">
        <f>SUM(I180)</f>
        <v>-11234.942069999999</v>
      </c>
      <c r="J179" s="76">
        <f>SUM(J180)+SUMIFS(Aut_Ajustes_Manuais!$G:$G,Aut_Ajustes_Manuais!$I:$I,DRE!H$4,Aut_Ajustes_Manuais!$F:$F,"E-Staff")</f>
        <v>-13479.5</v>
      </c>
      <c r="K179" s="252">
        <v>-10901.62</v>
      </c>
      <c r="L179" s="74">
        <f>SUM(L180)</f>
        <v>-10659.51261</v>
      </c>
      <c r="M179" s="76">
        <f>SUM(M180)+SUMIFS(Aut_Ajustes_Manuais!$G:$G,Aut_Ajustes_Manuais!$I:$I,DRE!K$4,Aut_Ajustes_Manuais!$F:$F,"E-Staff")</f>
        <v>-14741.58</v>
      </c>
      <c r="N179" s="252">
        <v>-11649</v>
      </c>
      <c r="O179" s="74">
        <f>SUM(O180)</f>
        <v>-8551.593659999995</v>
      </c>
      <c r="P179" s="76">
        <f>SUM(P180)+SUMIFS(Aut_Ajustes_Manuais!$G:$G,Aut_Ajustes_Manuais!$I:$I,DRE!N$4,Aut_Ajustes_Manuais!$F:$F,"E-Staff")</f>
        <v>-19759.21</v>
      </c>
      <c r="Q179" s="252">
        <v>-14096.5</v>
      </c>
      <c r="R179" s="74">
        <f>SUM(R180)</f>
        <v>-8899.5237299999972</v>
      </c>
      <c r="S179" s="76">
        <f>SUM(S180)+SUMIFS(Aut_Ajustes_Manuais!$G:$G,Aut_Ajustes_Manuais!$I:$I,DRE!Q$4,Aut_Ajustes_Manuais!$F:$F,"E-Staff")</f>
        <v>-18462.640000000003</v>
      </c>
      <c r="T179" s="252">
        <v>-10669.54</v>
      </c>
      <c r="U179" s="74">
        <f>SUM(U180)</f>
        <v>-14518.737729</v>
      </c>
      <c r="V179" s="76">
        <f>SUM(V180)+SUMIFS(Aut_Ajustes_Manuais!$G:$G,Aut_Ajustes_Manuais!$I:$I,DRE!T$4,Aut_Ajustes_Manuais!$F:$F,"E-Staff")</f>
        <v>-16084.65</v>
      </c>
      <c r="W179" s="252">
        <v>-15698.2</v>
      </c>
      <c r="X179" s="74">
        <f>SUM(X180)</f>
        <v>-12943.911630000001</v>
      </c>
      <c r="Y179" s="76">
        <f>SUM(Y180)+SUMIFS(Aut_Ajustes_Manuais!$G:$G,Aut_Ajustes_Manuais!$I:$I,DRE!W$4,Aut_Ajustes_Manuais!$F:$F,"E-Staff")</f>
        <v>-24026.44</v>
      </c>
      <c r="Z179" s="252">
        <v>-12909.88</v>
      </c>
      <c r="AA179" s="74">
        <f>SUM(AA180)</f>
        <v>-12821.170679999999</v>
      </c>
      <c r="AB179" s="76">
        <f>SUM(AB180)+SUMIFS(Aut_Ajustes_Manuais!$G:$G,Aut_Ajustes_Manuais!$I:$I,DRE!Z$4,Aut_Ajustes_Manuais!$F:$F,"E-Staff")</f>
        <v>-16000</v>
      </c>
      <c r="AC179" s="252">
        <v>-14194.88</v>
      </c>
      <c r="AD179" s="74">
        <f>SUM(AD180)</f>
        <v>-13836.731417999999</v>
      </c>
      <c r="AE179" s="76">
        <f>SUM(AE180)+SUMIFS(Aut_Ajustes_Manuais!$G:$G,Aut_Ajustes_Manuais!$I:$I,DRE!AC$4,Aut_Ajustes_Manuais!$F:$F,"E-Staff")</f>
        <v>-20000</v>
      </c>
      <c r="AF179" s="252">
        <v>-13380.88</v>
      </c>
      <c r="AG179" s="74">
        <f>SUM(AG180)</f>
        <v>-12056.725727999999</v>
      </c>
      <c r="AH179" s="76">
        <f>SUM(AH180)+SUMIFS(Aut_Ajustes_Manuais!$G:$G,Aut_Ajustes_Manuais!$I:$I,DRE!AF$4,Aut_Ajustes_Manuais!$F:$F,"E-Staff")</f>
        <v>-4000</v>
      </c>
      <c r="AI179" s="252">
        <v>-14942.88</v>
      </c>
      <c r="AJ179" s="74">
        <f>SUM(AJ180)</f>
        <v>-12132.779039999999</v>
      </c>
      <c r="AK179" s="76">
        <f>SUM(AK180)+SUMIFS(Aut_Ajustes_Manuais!$G:$G,Aut_Ajustes_Manuais!$I:$I,DRE!AI$4,Aut_Ajustes_Manuais!$F:$F,"E-Staff")</f>
        <v>0</v>
      </c>
      <c r="AL179" s="252">
        <v>-17330.5</v>
      </c>
      <c r="AM179" s="74">
        <f>SUM(AM180)</f>
        <v>-14080.003236</v>
      </c>
      <c r="AN179" s="76">
        <f>SUM(AN180)+SUMIFS(Aut_Ajustes_Manuais!$G:$G,Aut_Ajustes_Manuais!$I:$I,DRE!AL$4,Aut_Ajustes_Manuais!$F:$F,"E-Staff")</f>
        <v>0</v>
      </c>
      <c r="AO179" s="252">
        <v>-17818.87</v>
      </c>
      <c r="AP179" s="74">
        <f>SUM(AP180)</f>
        <v>-12744</v>
      </c>
      <c r="AQ179" s="76">
        <f>SUM(AQ180)+SUMIFS(Aut_Ajustes_Manuais!$G:$G,Aut_Ajustes_Manuais!$I:$I,DRE!AO$4,Aut_Ajustes_Manuais!$F:$F,"E-Staff")</f>
        <v>0</v>
      </c>
      <c r="AR179" s="252">
        <f t="shared" ca="1" si="154"/>
        <v>-72949.86</v>
      </c>
      <c r="AS179" s="74">
        <f t="shared" ca="1" si="155"/>
        <v>-66808.221428999997</v>
      </c>
      <c r="AT179" s="74">
        <f t="shared" ca="1" si="156"/>
        <v>-106554.02</v>
      </c>
      <c r="AU179" s="252">
        <f t="shared" ref="AU179:BI179" si="157">SUM(AU180)</f>
        <v>-163527.75</v>
      </c>
      <c r="AV179" s="74">
        <f t="shared" si="157"/>
        <v>-144479.63153099999</v>
      </c>
      <c r="AW179" s="76">
        <f t="shared" si="157"/>
        <v>-146554.02000000002</v>
      </c>
      <c r="AX179" s="252">
        <f t="shared" si="157"/>
        <v>-32485.620000000003</v>
      </c>
      <c r="AY179" s="74">
        <f t="shared" si="157"/>
        <v>-30446.048339999994</v>
      </c>
      <c r="AZ179" s="76">
        <f t="shared" si="157"/>
        <v>-47980.29</v>
      </c>
      <c r="BA179" s="252">
        <f t="shared" si="157"/>
        <v>-40464.240000000005</v>
      </c>
      <c r="BB179" s="74">
        <f t="shared" si="157"/>
        <v>-36362.173088999996</v>
      </c>
      <c r="BC179" s="76">
        <f t="shared" si="157"/>
        <v>-58573.729999999996</v>
      </c>
      <c r="BD179" s="252">
        <f t="shared" si="157"/>
        <v>-40485.64</v>
      </c>
      <c r="BE179" s="74">
        <f t="shared" si="157"/>
        <v>-38714.627825999996</v>
      </c>
      <c r="BF179" s="76">
        <f t="shared" si="157"/>
        <v>-40000</v>
      </c>
      <c r="BG179" s="252">
        <f t="shared" si="157"/>
        <v>-50092.25</v>
      </c>
      <c r="BH179" s="74">
        <f t="shared" si="157"/>
        <v>-38956.782275999998</v>
      </c>
      <c r="BI179" s="76">
        <f t="shared" si="157"/>
        <v>0</v>
      </c>
      <c r="BK179" s="448">
        <f t="shared" si="147"/>
        <v>-144479.63153099999</v>
      </c>
      <c r="BL179" s="448">
        <f t="shared" si="148"/>
        <v>0</v>
      </c>
      <c r="BM179" s="448">
        <f t="shared" si="149"/>
        <v>-82527.58</v>
      </c>
      <c r="BN179" s="448">
        <f t="shared" ca="1" si="150"/>
        <v>24026.440000000002</v>
      </c>
    </row>
    <row r="180" spans="1:66" s="29" customFormat="1" hidden="1" outlineLevel="1" x14ac:dyDescent="0.3">
      <c r="A180" s="22" t="s">
        <v>204</v>
      </c>
      <c r="B180" s="2"/>
      <c r="C180" s="24"/>
      <c r="D180" s="55"/>
      <c r="E180" s="96"/>
      <c r="F180" s="41"/>
      <c r="G180" s="33"/>
      <c r="H180" s="241">
        <v>-9935</v>
      </c>
      <c r="I180" s="27">
        <v>-11234.942069999999</v>
      </c>
      <c r="J180" s="28">
        <f>SUMIFS(Aut_BlueMe_Sem_Pedido!$J:$J,Aut_BlueMe_Sem_Pedido!$Q:$Q,DRE!H$4,Aut_BlueMe_Sem_Pedido!$H:$H,DRE!$A180)+SUMIFS(Aut_Ajustes_Manuais!$G:$G,Aut_Ajustes_Manuais!$I:$I,DRE!H$4,Aut_Ajustes_Manuais!$F:$F,"Mão de Obra Extra")</f>
        <v>-13479.5</v>
      </c>
      <c r="K180" s="241">
        <v>-10901.62</v>
      </c>
      <c r="L180" s="27">
        <v>-10659.51261</v>
      </c>
      <c r="M180" s="28">
        <f>SUMIFS(Aut_BlueMe_Sem_Pedido!$J:$J,Aut_BlueMe_Sem_Pedido!$Q:$Q,DRE!K$4,Aut_BlueMe_Sem_Pedido!$H:$H,DRE!$A180)+SUMIFS(Aut_Ajustes_Manuais!$G:$G,Aut_Ajustes_Manuais!$I:$I,DRE!K$4,Aut_Ajustes_Manuais!$F:$F,"Mão de Obra Extra")</f>
        <v>-14741.58</v>
      </c>
      <c r="N180" s="241">
        <v>-11649</v>
      </c>
      <c r="O180" s="27">
        <v>-8551.593659999995</v>
      </c>
      <c r="P180" s="28">
        <f>SUMIFS(Aut_BlueMe_Sem_Pedido!$J:$J,Aut_BlueMe_Sem_Pedido!$Q:$Q,DRE!N$4,Aut_BlueMe_Sem_Pedido!$H:$H,DRE!$A180)+SUMIFS(Aut_Ajustes_Manuais!$G:$G,Aut_Ajustes_Manuais!$I:$I,DRE!N$4,Aut_Ajustes_Manuais!$F:$F,"Mão de Obra Extra")</f>
        <v>-19759.21</v>
      </c>
      <c r="Q180" s="241">
        <v>-14096.5</v>
      </c>
      <c r="R180" s="27">
        <v>-8899.5237299999972</v>
      </c>
      <c r="S180" s="28">
        <f>SUMIFS(Aut_BlueMe_Sem_Pedido!$J:$J,Aut_BlueMe_Sem_Pedido!$Q:$Q,DRE!Q$4,Aut_BlueMe_Sem_Pedido!$H:$H,DRE!$A180)+SUMIFS(Aut_Ajustes_Manuais!$G:$G,Aut_Ajustes_Manuais!$I:$I,DRE!Q$4,Aut_Ajustes_Manuais!$F:$F,"Mão de Obra Extra")</f>
        <v>-18462.640000000003</v>
      </c>
      <c r="T180" s="241">
        <v>-10669.54</v>
      </c>
      <c r="U180" s="27">
        <v>-14518.737729</v>
      </c>
      <c r="V180" s="28">
        <f>SUMIFS(Aut_BlueMe_Sem_Pedido!$J:$J,Aut_BlueMe_Sem_Pedido!$Q:$Q,DRE!T$4,Aut_BlueMe_Sem_Pedido!$H:$H,DRE!$A180)+SUMIFS(Aut_Ajustes_Manuais!$G:$G,Aut_Ajustes_Manuais!$I:$I,DRE!T$4,Aut_Ajustes_Manuais!$F:$F,"Mão de Obra Extra")</f>
        <v>-16084.65</v>
      </c>
      <c r="W180" s="241">
        <v>-15698.2</v>
      </c>
      <c r="X180" s="27">
        <v>-12943.911630000001</v>
      </c>
      <c r="Y180" s="28">
        <f>SUMIFS(Aut_BlueMe_Sem_Pedido!$J:$J,Aut_BlueMe_Sem_Pedido!$Q:$Q,DRE!W$4,Aut_BlueMe_Sem_Pedido!$H:$H,DRE!$A180)+SUMIFS(Aut_Ajustes_Manuais!$G:$G,Aut_Ajustes_Manuais!$I:$I,DRE!W$4,Aut_Ajustes_Manuais!$F:$F,"Mão de Obra Extra")</f>
        <v>-24026.44</v>
      </c>
      <c r="Z180" s="241">
        <v>-12909.88</v>
      </c>
      <c r="AA180" s="27">
        <v>-12821.170679999999</v>
      </c>
      <c r="AB180" s="28">
        <f>SUMIFS(Aut_BlueMe_Sem_Pedido!$J:$J,Aut_BlueMe_Sem_Pedido!$Q:$Q,DRE!Z$4,Aut_BlueMe_Sem_Pedido!$H:$H,DRE!$A180)+SUMIFS(Aut_Ajustes_Manuais!$G:$G,Aut_Ajustes_Manuais!$I:$I,DRE!Z$4,Aut_Ajustes_Manuais!$F:$F,"Mão de Obra Extra")</f>
        <v>-16000</v>
      </c>
      <c r="AC180" s="241">
        <v>-14194.88</v>
      </c>
      <c r="AD180" s="27">
        <v>-13836.731417999999</v>
      </c>
      <c r="AE180" s="28">
        <f>SUMIFS(Aut_BlueMe_Sem_Pedido!$J:$J,Aut_BlueMe_Sem_Pedido!$Q:$Q,DRE!AC$4,Aut_BlueMe_Sem_Pedido!$H:$H,DRE!$A180)+SUMIFS(Aut_Ajustes_Manuais!$G:$G,Aut_Ajustes_Manuais!$I:$I,DRE!AC$4,Aut_Ajustes_Manuais!$F:$F,"Mão de Obra Extra")</f>
        <v>-20000</v>
      </c>
      <c r="AF180" s="241">
        <v>-13380.88</v>
      </c>
      <c r="AG180" s="27">
        <v>-12056.725727999999</v>
      </c>
      <c r="AH180" s="28">
        <f>SUMIFS(Aut_BlueMe_Sem_Pedido!$J:$J,Aut_BlueMe_Sem_Pedido!$Q:$Q,DRE!AF$4,Aut_BlueMe_Sem_Pedido!$H:$H,DRE!$A180)+SUMIFS(Aut_Ajustes_Manuais!$G:$G,Aut_Ajustes_Manuais!$I:$I,DRE!AF$4,Aut_Ajustes_Manuais!$F:$F,"Mão de Obra Extra")</f>
        <v>-4000</v>
      </c>
      <c r="AI180" s="241">
        <v>-14942.88</v>
      </c>
      <c r="AJ180" s="27">
        <v>-12132.779039999999</v>
      </c>
      <c r="AK180" s="28">
        <f>SUMIFS(Aut_BlueMe_Sem_Pedido!$J:$J,Aut_BlueMe_Sem_Pedido!$Q:$Q,DRE!AI$4,Aut_BlueMe_Sem_Pedido!$H:$H,DRE!$A180)+SUMIFS(Aut_Ajustes_Manuais!$G:$G,Aut_Ajustes_Manuais!$I:$I,DRE!AI$4,Aut_Ajustes_Manuais!$F:$F,"Mão de Obra Extra")</f>
        <v>0</v>
      </c>
      <c r="AL180" s="241">
        <v>-17330.5</v>
      </c>
      <c r="AM180" s="27">
        <v>-14080.003236</v>
      </c>
      <c r="AN180" s="28">
        <f>SUMIFS(Aut_BlueMe_Sem_Pedido!$J:$J,Aut_BlueMe_Sem_Pedido!$Q:$Q,DRE!AL$4,Aut_BlueMe_Sem_Pedido!$H:$H,DRE!$A180)+SUMIFS(Aut_Ajustes_Manuais!$G:$G,Aut_Ajustes_Manuais!$I:$I,DRE!AL$4,Aut_Ajustes_Manuais!$F:$F,"Mão de Obra Extra")</f>
        <v>0</v>
      </c>
      <c r="AO180" s="241">
        <v>-17818.87</v>
      </c>
      <c r="AP180" s="27">
        <v>-12744</v>
      </c>
      <c r="AQ180" s="28">
        <f>SUMIFS(Aut_BlueMe_Sem_Pedido!$J:$J,Aut_BlueMe_Sem_Pedido!$Q:$Q,DRE!AO$4,Aut_BlueMe_Sem_Pedido!$H:$H,DRE!$A180)+SUMIFS(Aut_Ajustes_Manuais!$G:$G,Aut_Ajustes_Manuais!$I:$I,DRE!AO$4,Aut_Ajustes_Manuais!$F:$F,"Mão de Obra Extra")</f>
        <v>0</v>
      </c>
      <c r="AR180" s="241">
        <f t="shared" ca="1" si="154"/>
        <v>-72949.86</v>
      </c>
      <c r="AS180" s="27">
        <f t="shared" ca="1" si="155"/>
        <v>-66808.221428999997</v>
      </c>
      <c r="AT180" s="28">
        <f t="shared" ca="1" si="156"/>
        <v>-106554.02</v>
      </c>
      <c r="AU180" s="241">
        <f t="shared" ref="AU180:AW181" si="158">SUM(H180,K180,N180,Q180,T180,W180,Z180,AC180,AF180,AI180,AL180,AO180)</f>
        <v>-163527.75</v>
      </c>
      <c r="AV180" s="27">
        <f t="shared" si="158"/>
        <v>-144479.63153099999</v>
      </c>
      <c r="AW180" s="28">
        <f t="shared" si="158"/>
        <v>-146554.02000000002</v>
      </c>
      <c r="AX180" s="241">
        <f t="shared" ref="AX180:AZ181" si="159">SUM(H180,K180,N180)</f>
        <v>-32485.620000000003</v>
      </c>
      <c r="AY180" s="27">
        <f t="shared" si="159"/>
        <v>-30446.048339999994</v>
      </c>
      <c r="AZ180" s="28">
        <f t="shared" si="159"/>
        <v>-47980.29</v>
      </c>
      <c r="BA180" s="241">
        <f t="shared" ref="BA180:BC181" si="160">SUM(Q180,T180,W180)</f>
        <v>-40464.240000000005</v>
      </c>
      <c r="BB180" s="27">
        <f t="shared" si="160"/>
        <v>-36362.173088999996</v>
      </c>
      <c r="BC180" s="28">
        <f t="shared" si="160"/>
        <v>-58573.729999999996</v>
      </c>
      <c r="BD180" s="241">
        <f t="shared" ref="BD180:BF181" si="161">SUM(Z180,AC180,AF180)</f>
        <v>-40485.64</v>
      </c>
      <c r="BE180" s="27">
        <f t="shared" si="161"/>
        <v>-38714.627825999996</v>
      </c>
      <c r="BF180" s="28">
        <f t="shared" si="161"/>
        <v>-40000</v>
      </c>
      <c r="BG180" s="241">
        <f t="shared" ref="BG180:BI181" si="162">SUM(AI180,AL180,AO180)</f>
        <v>-50092.25</v>
      </c>
      <c r="BH180" s="27">
        <f t="shared" si="162"/>
        <v>-38956.782275999998</v>
      </c>
      <c r="BI180" s="28">
        <f t="shared" si="162"/>
        <v>0</v>
      </c>
      <c r="BK180" s="448">
        <f t="shared" si="147"/>
        <v>-144479.63153099999</v>
      </c>
      <c r="BL180" s="448">
        <f t="shared" si="148"/>
        <v>0</v>
      </c>
      <c r="BM180" s="448">
        <f t="shared" si="149"/>
        <v>-82527.58</v>
      </c>
      <c r="BN180" s="448">
        <f t="shared" ca="1" si="150"/>
        <v>24026.440000000002</v>
      </c>
    </row>
    <row r="181" spans="1:66" s="29" customFormat="1" hidden="1" outlineLevel="1" x14ac:dyDescent="0.3">
      <c r="A181" s="22" t="s">
        <v>205</v>
      </c>
      <c r="B181" s="2"/>
      <c r="C181" s="24"/>
      <c r="D181" s="55"/>
      <c r="E181" s="96"/>
      <c r="F181" s="41"/>
      <c r="G181" s="33"/>
      <c r="H181" s="241">
        <v>4967.5</v>
      </c>
      <c r="I181" s="27">
        <v>5617.4710349999987</v>
      </c>
      <c r="J181" s="28">
        <f>-J180/2+SUMIFS(Aut_Ajustes_Manuais!$G:$G,Aut_Ajustes_Manuais!$I:$I,DRE!H$4,Aut_Ajustes_Manuais!$F:$F,"  -  Gorjeta (Retenção Estaff) (+)")</f>
        <v>6739.75</v>
      </c>
      <c r="K181" s="241">
        <v>5450.8099999999986</v>
      </c>
      <c r="L181" s="27">
        <v>5329.756304999999</v>
      </c>
      <c r="M181" s="28">
        <f>-M180/2+SUMIFS(Aut_Ajustes_Manuais!$G:$G,Aut_Ajustes_Manuais!$I:$I,DRE!K$4,Aut_Ajustes_Manuais!$F:$F,"  -  Gorjeta (Retenção Estaff) (+)")</f>
        <v>7370.79</v>
      </c>
      <c r="N181" s="241">
        <v>5824.5</v>
      </c>
      <c r="O181" s="27">
        <v>4275.7968299999966</v>
      </c>
      <c r="P181" s="28">
        <f>-P180/2+SUMIFS(Aut_Ajustes_Manuais!$G:$G,Aut_Ajustes_Manuais!$I:$I,DRE!N$4,Aut_Ajustes_Manuais!$F:$F,"  -  Gorjeta (Retenção Estaff) (+)")</f>
        <v>9879.6049999999996</v>
      </c>
      <c r="Q181" s="241">
        <v>7048.25</v>
      </c>
      <c r="R181" s="27">
        <v>4449.7618649999986</v>
      </c>
      <c r="S181" s="28">
        <f>-S180/2+SUMIFS(Aut_Ajustes_Manuais!$G:$G,Aut_Ajustes_Manuais!$I:$I,DRE!Q$4,Aut_Ajustes_Manuais!$F:$F,"  -  Gorjeta (Retenção Estaff) (+)")</f>
        <v>9231.3200000000015</v>
      </c>
      <c r="T181" s="241">
        <v>5334.77</v>
      </c>
      <c r="U181" s="27">
        <v>7259.3688645000011</v>
      </c>
      <c r="V181" s="28">
        <f>-V180/2+SUMIFS(Aut_Ajustes_Manuais!$G:$G,Aut_Ajustes_Manuais!$I:$I,DRE!T$4,Aut_Ajustes_Manuais!$F:$F,"  -  Gorjeta (Retenção Estaff) (+)")</f>
        <v>8042.3249999999998</v>
      </c>
      <c r="W181" s="241">
        <v>7849.1</v>
      </c>
      <c r="X181" s="27">
        <v>6471.9558149999993</v>
      </c>
      <c r="Y181" s="28">
        <f>-Y180/2+SUMIFS(Aut_Ajustes_Manuais!$G:$G,Aut_Ajustes_Manuais!$I:$I,DRE!W$4,Aut_Ajustes_Manuais!$F:$F,"  -  Gorjeta (Retenção Estaff) (+)")</f>
        <v>12013.22</v>
      </c>
      <c r="Z181" s="241">
        <v>6454.9400000000014</v>
      </c>
      <c r="AA181" s="27">
        <v>6410.5853399999987</v>
      </c>
      <c r="AB181" s="28">
        <f>-AB180/2+SUMIFS(Aut_Ajustes_Manuais!$G:$G,Aut_Ajustes_Manuais!$I:$I,DRE!Z$4,Aut_Ajustes_Manuais!$F:$F,"  -  Gorjeta (Retenção Estaff) (+)")</f>
        <v>8000</v>
      </c>
      <c r="AC181" s="241">
        <v>7097.4400000000014</v>
      </c>
      <c r="AD181" s="27">
        <v>6918.3657089999997</v>
      </c>
      <c r="AE181" s="28">
        <f>-AE180/2+SUMIFS(Aut_Ajustes_Manuais!$G:$G,Aut_Ajustes_Manuais!$I:$I,DRE!AC$4,Aut_Ajustes_Manuais!$F:$F,"  -  Gorjeta (Retenção Estaff) (+)")</f>
        <v>10000</v>
      </c>
      <c r="AF181" s="241">
        <v>6690.4400000000014</v>
      </c>
      <c r="AG181" s="27">
        <v>6028.3628639999979</v>
      </c>
      <c r="AH181" s="28">
        <f>-AH180/2+SUMIFS(Aut_Ajustes_Manuais!$G:$G,Aut_Ajustes_Manuais!$I:$I,DRE!AF$4,Aut_Ajustes_Manuais!$F:$F,"  -  Gorjeta (Retenção Estaff) (+)")</f>
        <v>2000</v>
      </c>
      <c r="AI181" s="241">
        <v>7471.4400000000014</v>
      </c>
      <c r="AJ181" s="27">
        <v>6066.3895199999988</v>
      </c>
      <c r="AK181" s="28">
        <f>-AK180/2+SUMIFS(Aut_Ajustes_Manuais!$G:$G,Aut_Ajustes_Manuais!$I:$I,DRE!AI$4,Aut_Ajustes_Manuais!$F:$F,"  -  Gorjeta (Retenção Estaff) (+)")</f>
        <v>0</v>
      </c>
      <c r="AL181" s="241">
        <v>8665.25</v>
      </c>
      <c r="AM181" s="27">
        <v>7040.0016179999993</v>
      </c>
      <c r="AN181" s="28">
        <f>-AN180/2+SUMIFS(Aut_Ajustes_Manuais!$G:$G,Aut_Ajustes_Manuais!$I:$I,DRE!AL$4,Aut_Ajustes_Manuais!$F:$F,"  -  Gorjeta (Retenção Estaff) (+)")</f>
        <v>0</v>
      </c>
      <c r="AO181" s="241">
        <v>8909.4349999999995</v>
      </c>
      <c r="AP181" s="27">
        <v>6371.9999999999991</v>
      </c>
      <c r="AQ181" s="28">
        <f>-AQ180/2+SUMIFS(Aut_Ajustes_Manuais!$G:$G,Aut_Ajustes_Manuais!$I:$I,DRE!AO$4,Aut_Ajustes_Manuais!$F:$F,"  -  Gorjeta (Retenção Estaff) (+)")</f>
        <v>0</v>
      </c>
      <c r="AR181" s="241">
        <f t="shared" ca="1" si="154"/>
        <v>36474.93</v>
      </c>
      <c r="AS181" s="27">
        <f t="shared" ca="1" si="155"/>
        <v>33404.110714499991</v>
      </c>
      <c r="AT181" s="28">
        <f t="shared" ca="1" si="156"/>
        <v>53277.01</v>
      </c>
      <c r="AU181" s="241">
        <f t="shared" si="158"/>
        <v>81763.875</v>
      </c>
      <c r="AV181" s="27">
        <f t="shared" si="158"/>
        <v>72239.815765499981</v>
      </c>
      <c r="AW181" s="28">
        <f t="shared" si="158"/>
        <v>73277.010000000009</v>
      </c>
      <c r="AX181" s="241">
        <f t="shared" si="159"/>
        <v>16242.809999999998</v>
      </c>
      <c r="AY181" s="27">
        <f t="shared" si="159"/>
        <v>15223.024169999993</v>
      </c>
      <c r="AZ181" s="28">
        <f t="shared" si="159"/>
        <v>23990.145</v>
      </c>
      <c r="BA181" s="241">
        <f t="shared" si="160"/>
        <v>20232.120000000003</v>
      </c>
      <c r="BB181" s="27">
        <f t="shared" si="160"/>
        <v>18181.086544500002</v>
      </c>
      <c r="BC181" s="28">
        <f t="shared" si="160"/>
        <v>29286.864999999998</v>
      </c>
      <c r="BD181" s="241">
        <f t="shared" si="161"/>
        <v>20242.820000000003</v>
      </c>
      <c r="BE181" s="27">
        <f t="shared" si="161"/>
        <v>19357.313912999998</v>
      </c>
      <c r="BF181" s="28">
        <f t="shared" si="161"/>
        <v>20000</v>
      </c>
      <c r="BG181" s="241">
        <f t="shared" si="162"/>
        <v>25046.125</v>
      </c>
      <c r="BH181" s="27">
        <f t="shared" si="162"/>
        <v>19478.391137999999</v>
      </c>
      <c r="BI181" s="28">
        <f t="shared" si="162"/>
        <v>0</v>
      </c>
      <c r="BK181" s="448">
        <f t="shared" si="147"/>
        <v>72239.815765499981</v>
      </c>
      <c r="BL181" s="448">
        <f t="shared" si="148"/>
        <v>0</v>
      </c>
      <c r="BM181" s="448">
        <f t="shared" si="149"/>
        <v>41263.79</v>
      </c>
      <c r="BN181" s="448">
        <f t="shared" ca="1" si="150"/>
        <v>-12013.220000000001</v>
      </c>
    </row>
    <row r="182" spans="1:66" collapsed="1" x14ac:dyDescent="0.3">
      <c r="A182" s="73" t="s">
        <v>206</v>
      </c>
      <c r="C182" s="40" t="s">
        <v>37</v>
      </c>
      <c r="D182" s="40" t="s">
        <v>38</v>
      </c>
      <c r="E182" s="40" t="s">
        <v>203</v>
      </c>
      <c r="F182" s="41"/>
      <c r="G182" s="47"/>
      <c r="H182" s="258">
        <v>-16413.38681406061</v>
      </c>
      <c r="I182" s="75">
        <v>-7012.6344134359006</v>
      </c>
      <c r="J182" s="76">
        <f>SUM(J183:J198)+SUMIFS(Aut_Ajustes_Manuais!$G:$G,Aut_Ajustes_Manuais!$I:$I,DRE!H$4,Aut_Ajustes_Manuais!$F:$F,"Encargos e Provisões")</f>
        <v>-2421.88233793675</v>
      </c>
      <c r="K182" s="258">
        <v>-22232.84484884849</v>
      </c>
      <c r="L182" s="75">
        <v>-7451.236643771922</v>
      </c>
      <c r="M182" s="76">
        <f>SUM(M183:M198)+SUMIFS(Aut_Ajustes_Manuais!$G:$G,Aut_Ajustes_Manuais!$I:$I,DRE!K$4,Aut_Ajustes_Manuais!$F:$F,"Encargos e Provisões")</f>
        <v>-2174.6554947699001</v>
      </c>
      <c r="N182" s="258">
        <v>-20896.006583515151</v>
      </c>
      <c r="O182" s="75">
        <v>-7230.9585706250364</v>
      </c>
      <c r="P182" s="76">
        <f>SUM(P183:P198)+SUMIFS(Aut_Ajustes_Manuais!$G:$G,Aut_Ajustes_Manuais!$I:$I,DRE!N$4,Aut_Ajustes_Manuais!$F:$F,"Encargos e Provisões")</f>
        <v>-7046.1844289333503</v>
      </c>
      <c r="Q182" s="258">
        <v>-15344.46632848485</v>
      </c>
      <c r="R182" s="75">
        <v>-9024.4905020834358</v>
      </c>
      <c r="S182" s="76">
        <f>SUM(S183:S198)+SUMIFS(Aut_Ajustes_Manuais!$G:$G,Aut_Ajustes_Manuais!$I:$I,DRE!Q$4,Aut_Ajustes_Manuais!$F:$F,"Encargos e Provisões")</f>
        <v>-11661.596588442382</v>
      </c>
      <c r="T182" s="258">
        <v>-16133.05162169697</v>
      </c>
      <c r="U182" s="75">
        <v>-9611.6998121471497</v>
      </c>
      <c r="V182" s="76">
        <f>SUM(V183:V198)+SUMIFS(Aut_Ajustes_Manuais!$G:$G,Aut_Ajustes_Manuais!$I:$I,DRE!T$4,Aut_Ajustes_Manuais!$F:$F,"Encargos e Provisões")</f>
        <v>-4494.7138154263157</v>
      </c>
      <c r="W182" s="258">
        <v>-9612.2899856363638</v>
      </c>
      <c r="X182" s="75">
        <v>-9575.5557918085196</v>
      </c>
      <c r="Y182" s="76">
        <f>SUM(Y183:Y198)+SUMIFS(Aut_Ajustes_Manuais!$G:$G,Aut_Ajustes_Manuais!$I:$I,DRE!W$4,Aut_Ajustes_Manuais!$F:$F,"Encargos e Provisões")</f>
        <v>-4438.1018364758502</v>
      </c>
      <c r="Z182" s="258">
        <v>-8131.1633126060606</v>
      </c>
      <c r="AA182" s="75">
        <v>-9562.7293309229062</v>
      </c>
      <c r="AB182" s="76">
        <f>SUM(AB183:AB198)+SUMIFS(Aut_Ajustes_Manuais!$G:$G,Aut_Ajustes_Manuais!$I:$I,DRE!Z$4,Aut_Ajustes_Manuais!$F:$F,"Encargos e Provisões")</f>
        <v>-7766.8112510533338</v>
      </c>
      <c r="AC182" s="258">
        <v>-12746.18538254546</v>
      </c>
      <c r="AD182" s="75">
        <v>-9668.8556895906659</v>
      </c>
      <c r="AE182" s="76">
        <f>SUM(AE183:AE198)+SUMIFS(Aut_Ajustes_Manuais!$G:$G,Aut_Ajustes_Manuais!$I:$I,DRE!AC$4,Aut_Ajustes_Manuais!$F:$F,"Encargos e Provisões")</f>
        <v>-2491.5212510533333</v>
      </c>
      <c r="AF182" s="258">
        <v>-8614.5844146666659</v>
      </c>
      <c r="AG182" s="75">
        <v>-9482.8446365643176</v>
      </c>
      <c r="AH182" s="76">
        <f>SUM(AH183:AH198)+SUMIFS(Aut_Ajustes_Manuais!$G:$G,Aut_Ajustes_Manuais!$I:$I,DRE!AF$4,Aut_Ajustes_Manuais!$F:$F,"Encargos e Provisões")</f>
        <v>-2491.5212510533333</v>
      </c>
      <c r="AI182" s="258">
        <v>-8144.9527592727281</v>
      </c>
      <c r="AJ182" s="75">
        <v>-9490.7922272550313</v>
      </c>
      <c r="AK182" s="76">
        <f>SUM(AK183:AK198)+SUMIFS(Aut_Ajustes_Manuais!$G:$G,Aut_Ajustes_Manuais!$I:$I,DRE!AI$4,Aut_Ajustes_Manuais!$F:$F,"Encargos e Provisões")</f>
        <v>-2491.5212510533333</v>
      </c>
      <c r="AL182" s="258">
        <v>-9981.8328999999994</v>
      </c>
      <c r="AM182" s="75">
        <v>-9694.2776572237108</v>
      </c>
      <c r="AN182" s="76">
        <f>SUM(AN183:AN198)+SUMIFS(Aut_Ajustes_Manuais!$G:$G,Aut_Ajustes_Manuais!$I:$I,DRE!AL$4,Aut_Ajustes_Manuais!$F:$F,"Encargos e Provisões")</f>
        <v>-2491.5212510533333</v>
      </c>
      <c r="AO182" s="258">
        <v>-10872.852500000001</v>
      </c>
      <c r="AP182" s="75">
        <v>-9554.6649749884255</v>
      </c>
      <c r="AQ182" s="76">
        <f>SUM(AQ183:AQ198)+SUMIFS(Aut_Ajustes_Manuais!$G:$G,Aut_Ajustes_Manuais!$I:$I,DRE!AO$4,Aut_Ajustes_Manuais!$F:$F,"Encargos e Provisões")</f>
        <v>-2491.5212510533333</v>
      </c>
      <c r="AR182" s="258">
        <f t="shared" ca="1" si="154"/>
        <v>-100632.04618224244</v>
      </c>
      <c r="AS182" s="75">
        <f t="shared" ca="1" si="155"/>
        <v>-49906.575733871963</v>
      </c>
      <c r="AT182" s="75">
        <f t="shared" ca="1" si="156"/>
        <v>-32237.134501984547</v>
      </c>
      <c r="AU182" s="258">
        <f t="shared" ref="AU182:BI182" si="163">SUM(AU183:AU198)</f>
        <v>-159123.6174513333</v>
      </c>
      <c r="AV182" s="75">
        <f t="shared" si="163"/>
        <v>-107360.74025041702</v>
      </c>
      <c r="AW182" s="76">
        <f t="shared" si="163"/>
        <v>-52461.552008304549</v>
      </c>
      <c r="AX182" s="258">
        <f t="shared" si="163"/>
        <v>-59542.23824642424</v>
      </c>
      <c r="AY182" s="75">
        <f t="shared" si="163"/>
        <v>-21694.82962783286</v>
      </c>
      <c r="AZ182" s="76">
        <f t="shared" si="163"/>
        <v>-11642.722261639999</v>
      </c>
      <c r="BA182" s="258">
        <f t="shared" si="163"/>
        <v>-41089.807935818179</v>
      </c>
      <c r="BB182" s="75">
        <f t="shared" si="163"/>
        <v>-28211.746106039103</v>
      </c>
      <c r="BC182" s="76">
        <f t="shared" si="163"/>
        <v>-20594.412240344551</v>
      </c>
      <c r="BD182" s="258">
        <f t="shared" si="163"/>
        <v>-29491.933109818183</v>
      </c>
      <c r="BE182" s="75">
        <f t="shared" si="163"/>
        <v>-28714.429657077886</v>
      </c>
      <c r="BF182" s="76">
        <f t="shared" si="163"/>
        <v>-12749.85375316</v>
      </c>
      <c r="BG182" s="258">
        <f t="shared" si="163"/>
        <v>-28999.63815927273</v>
      </c>
      <c r="BH182" s="75">
        <f t="shared" si="163"/>
        <v>-28739.734859467168</v>
      </c>
      <c r="BI182" s="76">
        <f t="shared" si="163"/>
        <v>-7474.5637531600005</v>
      </c>
      <c r="BK182" s="448">
        <f t="shared" si="147"/>
        <v>-107360.74025041702</v>
      </c>
      <c r="BL182" s="448">
        <f t="shared" si="148"/>
        <v>0</v>
      </c>
      <c r="BM182" s="448">
        <f t="shared" si="149"/>
        <v>-27799.032665508697</v>
      </c>
      <c r="BN182" s="448">
        <f t="shared" ca="1" si="150"/>
        <v>4438.1018364758493</v>
      </c>
    </row>
    <row r="183" spans="1:66" s="29" customFormat="1" ht="14.7" hidden="1" customHeight="1" outlineLevel="1" x14ac:dyDescent="0.3">
      <c r="A183" s="22" t="s">
        <v>207</v>
      </c>
      <c r="B183" s="2"/>
      <c r="C183" s="456" t="s">
        <v>208</v>
      </c>
      <c r="D183" s="97" t="s">
        <v>209</v>
      </c>
      <c r="E183" s="98">
        <v>0.08</v>
      </c>
      <c r="F183" s="41"/>
      <c r="G183" s="33"/>
      <c r="H183" s="241">
        <v>-1492.77</v>
      </c>
      <c r="I183" s="27">
        <v>-3536.732918740287</v>
      </c>
      <c r="J183" s="28">
        <f>SUMIFS(Aut_BlueMe_Sem_Pedido!$J:$J,Aut_BlueMe_Sem_Pedido!$Q:$Q,DRE!H$4,Aut_BlueMe_Sem_Pedido!$H:$H,DRE!$A183)+SUMIFS(Aut_Ajustes_Manuais!$G:$G,Aut_Ajustes_Manuais!$I:$I,DRE!H$4,Aut_Ajustes_Manuais!$F:$F,"  -  FGTS")</f>
        <v>-2094.39</v>
      </c>
      <c r="K183" s="241">
        <v>-1518</v>
      </c>
      <c r="L183" s="27">
        <v>-3536.732918740287</v>
      </c>
      <c r="M183" s="28">
        <f>SUMIFS(Aut_BlueMe_Sem_Pedido!$J:$J,Aut_BlueMe_Sem_Pedido!$Q:$Q,DRE!K$4,Aut_BlueMe_Sem_Pedido!$H:$H,DRE!$A183)+SUMIFS(Aut_Ajustes_Manuais!$G:$G,Aut_Ajustes_Manuais!$I:$I,DRE!K$4,Aut_Ajustes_Manuais!$F:$F,"  -  FGTS")</f>
        <v>-1870.93</v>
      </c>
      <c r="N183" s="241">
        <v>-1530.73</v>
      </c>
      <c r="O183" s="27">
        <v>-3536.732918740287</v>
      </c>
      <c r="P183" s="28">
        <f>SUMIFS(Aut_BlueMe_Sem_Pedido!$J:$J,Aut_BlueMe_Sem_Pedido!$Q:$Q,DRE!N$4,Aut_BlueMe_Sem_Pedido!$H:$H,DRE!$A183)+SUMIFS(Aut_Ajustes_Manuais!$G:$G,Aut_Ajustes_Manuais!$I:$I,DRE!N$4,Aut_Ajustes_Manuais!$F:$F,"  -  FGTS")</f>
        <v>-1863.2</v>
      </c>
      <c r="Q183" s="241">
        <v>-1961.55</v>
      </c>
      <c r="R183" s="27">
        <v>-3536.732918740287</v>
      </c>
      <c r="S183" s="28">
        <f>SUMIFS(Aut_BlueMe_Sem_Pedido!$J:$J,Aut_BlueMe_Sem_Pedido!$Q:$Q,DRE!Q$4,Aut_BlueMe_Sem_Pedido!$H:$H,DRE!$A183)+SUMIFS(Aut_Ajustes_Manuais!$G:$G,Aut_Ajustes_Manuais!$I:$I,DRE!Q$4,Aut_Ajustes_Manuais!$F:$F,"  -  FGTS")</f>
        <v>-2225.4699999999998</v>
      </c>
      <c r="T183" s="241">
        <v>-1631.36</v>
      </c>
      <c r="U183" s="27">
        <v>-3536.732918740287</v>
      </c>
      <c r="V183" s="28">
        <f>SUMIFS(Aut_BlueMe_Sem_Pedido!$J:$J,Aut_BlueMe_Sem_Pedido!$Q:$Q,DRE!T$4,Aut_BlueMe_Sem_Pedido!$H:$H,DRE!$A183)+SUMIFS(Aut_Ajustes_Manuais!$G:$G,Aut_Ajustes_Manuais!$I:$I,DRE!T$4,Aut_Ajustes_Manuais!$F:$F,"  -  FGTS")</f>
        <v>-2207.41</v>
      </c>
      <c r="W183" s="241">
        <v>-1736.89</v>
      </c>
      <c r="X183" s="27">
        <v>-3536.732918740287</v>
      </c>
      <c r="Y183" s="28">
        <f>SUMIFS(Aut_BlueMe_Sem_Pedido!$J:$J,Aut_BlueMe_Sem_Pedido!$Q:$Q,DRE!W$4,Aut_BlueMe_Sem_Pedido!$H:$H,DRE!$A183)+SUMIFS(Aut_Ajustes_Manuais!$G:$G,Aut_Ajustes_Manuais!$I:$I,DRE!W$4,Aut_Ajustes_Manuais!$F:$F,"  -  FGTS")</f>
        <v>-2100</v>
      </c>
      <c r="Z183" s="241">
        <v>-1623.01</v>
      </c>
      <c r="AA183" s="27">
        <v>-3536.732918740287</v>
      </c>
      <c r="AB183" s="28">
        <f>SUMIFS(Aut_BlueMe_Sem_Pedido!$J:$J,Aut_BlueMe_Sem_Pedido!$Q:$Q,DRE!Z$4,Aut_BlueMe_Sem_Pedido!$H:$H,DRE!$A183)+SUMIFS(Aut_Ajustes_Manuais!$G:$G,Aut_Ajustes_Manuais!$I:$I,DRE!Z$4,Aut_Ajustes_Manuais!$F:$F,"  -  FGTS")</f>
        <v>-2100</v>
      </c>
      <c r="AC183" s="241">
        <v>-2149.02</v>
      </c>
      <c r="AD183" s="27">
        <v>-3536.732918740287</v>
      </c>
      <c r="AE183" s="28">
        <f>SUMIFS(Aut_BlueMe_Sem_Pedido!$J:$J,Aut_BlueMe_Sem_Pedido!$Q:$Q,DRE!AC$4,Aut_BlueMe_Sem_Pedido!$H:$H,DRE!$A183)+SUMIFS(Aut_Ajustes_Manuais!$G:$G,Aut_Ajustes_Manuais!$I:$I,DRE!AC$4,Aut_Ajustes_Manuais!$F:$F,"  -  FGTS")</f>
        <v>-2100</v>
      </c>
      <c r="AF183" s="241">
        <v>-2146.64</v>
      </c>
      <c r="AG183" s="27">
        <v>-3536.732918740287</v>
      </c>
      <c r="AH183" s="28">
        <f>SUMIFS(Aut_BlueMe_Sem_Pedido!$J:$J,Aut_BlueMe_Sem_Pedido!$Q:$Q,DRE!AF$4,Aut_BlueMe_Sem_Pedido!$H:$H,DRE!$A183)+SUMIFS(Aut_Ajustes_Manuais!$G:$G,Aut_Ajustes_Manuais!$I:$I,DRE!AF$4,Aut_Ajustes_Manuais!$F:$F,"  -  FGTS")</f>
        <v>-2100</v>
      </c>
      <c r="AI183" s="241">
        <v>-1910.93</v>
      </c>
      <c r="AJ183" s="27">
        <v>-3536.732918740287</v>
      </c>
      <c r="AK183" s="28">
        <f>SUMIFS(Aut_BlueMe_Sem_Pedido!$J:$J,Aut_BlueMe_Sem_Pedido!$Q:$Q,DRE!AI$4,Aut_BlueMe_Sem_Pedido!$H:$H,DRE!$A183)+SUMIFS(Aut_Ajustes_Manuais!$G:$G,Aut_Ajustes_Manuais!$I:$I,DRE!AI$4,Aut_Ajustes_Manuais!$F:$F,"  -  FGTS")</f>
        <v>-2100</v>
      </c>
      <c r="AL183" s="241">
        <v>-2824.22</v>
      </c>
      <c r="AM183" s="27">
        <v>-3536.732918740287</v>
      </c>
      <c r="AN183" s="28">
        <f>SUMIFS(Aut_BlueMe_Sem_Pedido!$J:$J,Aut_BlueMe_Sem_Pedido!$Q:$Q,DRE!AL$4,Aut_BlueMe_Sem_Pedido!$H:$H,DRE!$A183)+SUMIFS(Aut_Ajustes_Manuais!$G:$G,Aut_Ajustes_Manuais!$I:$I,DRE!AL$4,Aut_Ajustes_Manuais!$F:$F,"  -  FGTS")</f>
        <v>-2100</v>
      </c>
      <c r="AO183" s="241">
        <v>-2524.3200000000002</v>
      </c>
      <c r="AP183" s="27">
        <v>-3536.732918740287</v>
      </c>
      <c r="AQ183" s="28">
        <f>SUMIFS(Aut_BlueMe_Sem_Pedido!$J:$J,Aut_BlueMe_Sem_Pedido!$Q:$Q,DRE!AO$4,Aut_BlueMe_Sem_Pedido!$H:$H,DRE!$A183)+SUMIFS(Aut_Ajustes_Manuais!$G:$G,Aut_Ajustes_Manuais!$I:$I,DRE!AO$4,Aut_Ajustes_Manuais!$F:$F,"  -  FGTS")</f>
        <v>-2100</v>
      </c>
      <c r="AR183" s="241">
        <f t="shared" ca="1" si="154"/>
        <v>-9871.2999999999993</v>
      </c>
      <c r="AS183" s="27">
        <f t="shared" ca="1" si="155"/>
        <v>-21220.397512441723</v>
      </c>
      <c r="AT183" s="28">
        <f t="shared" ca="1" si="156"/>
        <v>-12361.4</v>
      </c>
      <c r="AU183" s="241">
        <f t="shared" ref="AU183:AU198" si="164">SUM(H183,K183,N183,Q183,T183,W183,Z183,AC183,AF183,AI183,AL183,AO183)</f>
        <v>-23049.439999999999</v>
      </c>
      <c r="AV183" s="27">
        <f t="shared" ref="AV183:AV198" si="165">SUM(I183,L183,O183,R183,U183,X183,AA183,AD183,AG183,AJ183,AM183,AP183)</f>
        <v>-42440.795024883446</v>
      </c>
      <c r="AW183" s="28">
        <f t="shared" ref="AW183:AW198" si="166">SUM(J183,M183,P183,S183,V183,Y183,AB183,AE183,AH183,AK183,AN183,AQ183)</f>
        <v>-24961.4</v>
      </c>
      <c r="AX183" s="241">
        <f t="shared" ref="AX183:AX198" si="167">SUM(H183,K183,N183)</f>
        <v>-4541.5</v>
      </c>
      <c r="AY183" s="27">
        <f t="shared" ref="AY183:AY198" si="168">SUM(I183,L183,O183)</f>
        <v>-10610.198756220861</v>
      </c>
      <c r="AZ183" s="28">
        <f t="shared" ref="AZ183:AZ198" si="169">SUM(J183,M183,P183)</f>
        <v>-5828.5199999999995</v>
      </c>
      <c r="BA183" s="241">
        <f t="shared" ref="BA183:BA198" si="170">SUM(Q183,T183,W183)</f>
        <v>-5329.8</v>
      </c>
      <c r="BB183" s="27">
        <f t="shared" ref="BB183:BB198" si="171">SUM(R183,U183,X183)</f>
        <v>-10610.198756220861</v>
      </c>
      <c r="BC183" s="28">
        <f t="shared" ref="BC183:BC198" si="172">SUM(S183,V183,Y183)</f>
        <v>-6532.8799999999992</v>
      </c>
      <c r="BD183" s="241">
        <f t="shared" ref="BD183:BD198" si="173">SUM(Z183,AC183,AF183)</f>
        <v>-5918.67</v>
      </c>
      <c r="BE183" s="27">
        <f t="shared" ref="BE183:BE198" si="174">SUM(AA183,AD183,AG183)</f>
        <v>-10610.198756220861</v>
      </c>
      <c r="BF183" s="28">
        <f t="shared" ref="BF183:BF198" si="175">SUM(AB183,AE183,AH183)</f>
        <v>-6300</v>
      </c>
      <c r="BG183" s="241">
        <f t="shared" ref="BG183:BG198" si="176">SUM(AI183,AL183,AO183)</f>
        <v>-7259.4699999999993</v>
      </c>
      <c r="BH183" s="27">
        <f t="shared" ref="BH183:BH198" si="177">SUM(AJ183,AM183,AP183)</f>
        <v>-10610.198756220861</v>
      </c>
      <c r="BI183" s="28">
        <f t="shared" ref="BI183:BI198" si="178">SUM(AK183,AN183,AQ183)</f>
        <v>-6300</v>
      </c>
      <c r="BK183" s="448">
        <f t="shared" si="147"/>
        <v>-42440.795024883446</v>
      </c>
      <c r="BL183" s="448">
        <f t="shared" si="148"/>
        <v>0</v>
      </c>
      <c r="BM183" s="448">
        <f t="shared" si="149"/>
        <v>-10261.4</v>
      </c>
      <c r="BN183" s="448">
        <f t="shared" ca="1" si="150"/>
        <v>2100</v>
      </c>
    </row>
    <row r="184" spans="1:66" s="29" customFormat="1" hidden="1" outlineLevel="1" x14ac:dyDescent="0.3">
      <c r="A184" s="22" t="s">
        <v>210</v>
      </c>
      <c r="B184" s="2"/>
      <c r="C184" s="457"/>
      <c r="D184" s="97" t="s">
        <v>211</v>
      </c>
      <c r="E184" s="98">
        <v>0.2</v>
      </c>
      <c r="F184" s="41"/>
      <c r="G184" s="33"/>
      <c r="H184" s="241">
        <v>0</v>
      </c>
      <c r="I184" s="27">
        <v>0</v>
      </c>
      <c r="J184" s="28">
        <f>SUMIFS(Aut_BlueMe_Sem_Pedido!$J:$J,Aut_BlueMe_Sem_Pedido!$Q:$Q,DRE!H$4,Aut_BlueMe_Sem_Pedido!$H:$H,DRE!$A184)+SUMIFS(Aut_Ajustes_Manuais!$G:$G,Aut_Ajustes_Manuais!$I:$I,DRE!H$4,Aut_Ajustes_Manuais!$F:$F,"  -  INSS Patronal")</f>
        <v>0</v>
      </c>
      <c r="K184" s="241">
        <v>0</v>
      </c>
      <c r="L184" s="27">
        <v>0</v>
      </c>
      <c r="M184" s="28">
        <f>SUMIFS(Aut_BlueMe_Sem_Pedido!$J:$J,Aut_BlueMe_Sem_Pedido!$Q:$Q,DRE!K$4,Aut_BlueMe_Sem_Pedido!$H:$H,DRE!$A184)+SUMIFS(Aut_Ajustes_Manuais!$G:$G,Aut_Ajustes_Manuais!$I:$I,DRE!K$4,Aut_Ajustes_Manuais!$F:$F,"  -  INSS Patronal")</f>
        <v>0</v>
      </c>
      <c r="N184" s="241">
        <v>0</v>
      </c>
      <c r="O184" s="27">
        <v>0</v>
      </c>
      <c r="P184" s="28">
        <f>SUMIFS(Aut_BlueMe_Sem_Pedido!$J:$J,Aut_BlueMe_Sem_Pedido!$Q:$Q,DRE!N$4,Aut_BlueMe_Sem_Pedido!$H:$H,DRE!$A184)+SUMIFS(Aut_Ajustes_Manuais!$G:$G,Aut_Ajustes_Manuais!$I:$I,DRE!N$4,Aut_Ajustes_Manuais!$F:$F,"  -  INSS Patronal")</f>
        <v>0</v>
      </c>
      <c r="Q184" s="241">
        <v>0</v>
      </c>
      <c r="R184" s="27">
        <v>0</v>
      </c>
      <c r="S184" s="28">
        <f>SUMIFS(Aut_BlueMe_Sem_Pedido!$J:$J,Aut_BlueMe_Sem_Pedido!$Q:$Q,DRE!Q$4,Aut_BlueMe_Sem_Pedido!$H:$H,DRE!$A184)+SUMIFS(Aut_Ajustes_Manuais!$G:$G,Aut_Ajustes_Manuais!$I:$I,DRE!Q$4,Aut_Ajustes_Manuais!$F:$F,"  -  INSS Patronal")</f>
        <v>0</v>
      </c>
      <c r="T184" s="241">
        <v>0</v>
      </c>
      <c r="U184" s="27">
        <v>0</v>
      </c>
      <c r="V184" s="28">
        <f>SUMIFS(Aut_BlueMe_Sem_Pedido!$J:$J,Aut_BlueMe_Sem_Pedido!$Q:$Q,DRE!T$4,Aut_BlueMe_Sem_Pedido!$H:$H,DRE!$A184)+SUMIFS(Aut_Ajustes_Manuais!$G:$G,Aut_Ajustes_Manuais!$I:$I,DRE!T$4,Aut_Ajustes_Manuais!$F:$F,"  -  INSS Patronal")</f>
        <v>0</v>
      </c>
      <c r="W184" s="241">
        <v>0</v>
      </c>
      <c r="X184" s="27">
        <v>0</v>
      </c>
      <c r="Y184" s="28">
        <f>SUMIFS(Aut_BlueMe_Sem_Pedido!$J:$J,Aut_BlueMe_Sem_Pedido!$Q:$Q,DRE!W$4,Aut_BlueMe_Sem_Pedido!$H:$H,DRE!$A184)+SUMIFS(Aut_Ajustes_Manuais!$G:$G,Aut_Ajustes_Manuais!$I:$I,DRE!W$4,Aut_Ajustes_Manuais!$F:$F,"  -  INSS Patronal")</f>
        <v>0</v>
      </c>
      <c r="Z184" s="241">
        <v>0</v>
      </c>
      <c r="AA184" s="27">
        <v>0</v>
      </c>
      <c r="AB184" s="28">
        <f>SUMIFS(Aut_BlueMe_Sem_Pedido!$J:$J,Aut_BlueMe_Sem_Pedido!$Q:$Q,DRE!Z$4,Aut_BlueMe_Sem_Pedido!$H:$H,DRE!$A184)+SUMIFS(Aut_Ajustes_Manuais!$G:$G,Aut_Ajustes_Manuais!$I:$I,DRE!Z$4,Aut_Ajustes_Manuais!$F:$F,"  -  INSS Patronal")</f>
        <v>0</v>
      </c>
      <c r="AC184" s="241">
        <v>0</v>
      </c>
      <c r="AD184" s="27">
        <v>0</v>
      </c>
      <c r="AE184" s="28">
        <f>SUMIFS(Aut_BlueMe_Sem_Pedido!$J:$J,Aut_BlueMe_Sem_Pedido!$Q:$Q,DRE!AC$4,Aut_BlueMe_Sem_Pedido!$H:$H,DRE!$A184)+SUMIFS(Aut_Ajustes_Manuais!$G:$G,Aut_Ajustes_Manuais!$I:$I,DRE!AC$4,Aut_Ajustes_Manuais!$F:$F,"  -  INSS Patronal")</f>
        <v>0</v>
      </c>
      <c r="AF184" s="241">
        <v>0</v>
      </c>
      <c r="AG184" s="27">
        <v>0</v>
      </c>
      <c r="AH184" s="28">
        <f>SUMIFS(Aut_BlueMe_Sem_Pedido!$J:$J,Aut_BlueMe_Sem_Pedido!$Q:$Q,DRE!AF$4,Aut_BlueMe_Sem_Pedido!$H:$H,DRE!$A184)+SUMIFS(Aut_Ajustes_Manuais!$G:$G,Aut_Ajustes_Manuais!$I:$I,DRE!AF$4,Aut_Ajustes_Manuais!$F:$F,"  -  INSS Patronal")</f>
        <v>0</v>
      </c>
      <c r="AI184" s="241">
        <v>0</v>
      </c>
      <c r="AJ184" s="27">
        <v>0</v>
      </c>
      <c r="AK184" s="28">
        <f>SUMIFS(Aut_BlueMe_Sem_Pedido!$J:$J,Aut_BlueMe_Sem_Pedido!$Q:$Q,DRE!AI$4,Aut_BlueMe_Sem_Pedido!$H:$H,DRE!$A184)+SUMIFS(Aut_Ajustes_Manuais!$G:$G,Aut_Ajustes_Manuais!$I:$I,DRE!AI$4,Aut_Ajustes_Manuais!$F:$F,"  -  INSS Patronal")</f>
        <v>0</v>
      </c>
      <c r="AL184" s="241">
        <v>0</v>
      </c>
      <c r="AM184" s="27">
        <v>0</v>
      </c>
      <c r="AN184" s="28">
        <f>SUMIFS(Aut_BlueMe_Sem_Pedido!$J:$J,Aut_BlueMe_Sem_Pedido!$Q:$Q,DRE!AL$4,Aut_BlueMe_Sem_Pedido!$H:$H,DRE!$A184)+SUMIFS(Aut_Ajustes_Manuais!$G:$G,Aut_Ajustes_Manuais!$I:$I,DRE!AL$4,Aut_Ajustes_Manuais!$F:$F,"  -  INSS Patronal")</f>
        <v>0</v>
      </c>
      <c r="AO184" s="241">
        <v>0</v>
      </c>
      <c r="AP184" s="27">
        <v>0</v>
      </c>
      <c r="AQ184" s="28">
        <f>SUMIFS(Aut_BlueMe_Sem_Pedido!$J:$J,Aut_BlueMe_Sem_Pedido!$Q:$Q,DRE!AO$4,Aut_BlueMe_Sem_Pedido!$H:$H,DRE!$A184)+SUMIFS(Aut_Ajustes_Manuais!$G:$G,Aut_Ajustes_Manuais!$I:$I,DRE!AO$4,Aut_Ajustes_Manuais!$F:$F,"  -  INSS Patronal")</f>
        <v>0</v>
      </c>
      <c r="AR184" s="241">
        <f t="shared" ca="1" si="154"/>
        <v>0</v>
      </c>
      <c r="AS184" s="27">
        <f t="shared" ca="1" si="155"/>
        <v>0</v>
      </c>
      <c r="AT184" s="28">
        <f t="shared" ca="1" si="156"/>
        <v>0</v>
      </c>
      <c r="AU184" s="241">
        <f t="shared" si="164"/>
        <v>0</v>
      </c>
      <c r="AV184" s="27">
        <f t="shared" si="165"/>
        <v>0</v>
      </c>
      <c r="AW184" s="28">
        <f t="shared" si="166"/>
        <v>0</v>
      </c>
      <c r="AX184" s="241">
        <f t="shared" si="167"/>
        <v>0</v>
      </c>
      <c r="AY184" s="27">
        <f t="shared" si="168"/>
        <v>0</v>
      </c>
      <c r="AZ184" s="28">
        <f t="shared" si="169"/>
        <v>0</v>
      </c>
      <c r="BA184" s="241">
        <f t="shared" si="170"/>
        <v>0</v>
      </c>
      <c r="BB184" s="27">
        <f t="shared" si="171"/>
        <v>0</v>
      </c>
      <c r="BC184" s="28">
        <f t="shared" si="172"/>
        <v>0</v>
      </c>
      <c r="BD184" s="241">
        <f t="shared" si="173"/>
        <v>0</v>
      </c>
      <c r="BE184" s="27">
        <f t="shared" si="174"/>
        <v>0</v>
      </c>
      <c r="BF184" s="28">
        <f t="shared" si="175"/>
        <v>0</v>
      </c>
      <c r="BG184" s="241">
        <f t="shared" si="176"/>
        <v>0</v>
      </c>
      <c r="BH184" s="27">
        <f t="shared" si="177"/>
        <v>0</v>
      </c>
      <c r="BI184" s="28">
        <f t="shared" si="178"/>
        <v>0</v>
      </c>
      <c r="BK184" s="448">
        <f t="shared" si="147"/>
        <v>0</v>
      </c>
      <c r="BL184" s="448">
        <f t="shared" si="148"/>
        <v>0</v>
      </c>
      <c r="BM184" s="448">
        <f t="shared" si="149"/>
        <v>0</v>
      </c>
      <c r="BN184" s="448">
        <f t="shared" ca="1" si="150"/>
        <v>0</v>
      </c>
    </row>
    <row r="185" spans="1:66" s="29" customFormat="1" hidden="1" outlineLevel="1" x14ac:dyDescent="0.3">
      <c r="A185" s="22" t="s">
        <v>212</v>
      </c>
      <c r="B185" s="2"/>
      <c r="C185" s="457"/>
      <c r="D185" s="99" t="s">
        <v>213</v>
      </c>
      <c r="E185" s="98">
        <v>0</v>
      </c>
      <c r="F185" s="41"/>
      <c r="G185" s="33"/>
      <c r="H185" s="241">
        <v>-4162.2790000000005</v>
      </c>
      <c r="I185" s="27">
        <v>0</v>
      </c>
      <c r="J185" s="28">
        <f>SUMIFS(Aut_BlueMe_Sem_Pedido!$J:$J,Aut_BlueMe_Sem_Pedido!$Q:$Q,DRE!H$4,Aut_BlueMe_Sem_Pedido!$H:$H,DRE!$A185)-SUMIFS(Aut_BlueMe_Sem_Pedido!$J:$J,Aut_BlueMe_Sem_Pedido!$Q:$Q,DRE!H$4,Aut_BlueMe_Sem_Pedido!$H:$H,"  -  INSS Segurados")+SUMIFS(Aut_Ajustes_Manuais!$G:$G,Aut_Ajustes_Manuais!$I:$I,DRE!H$4,Aut_Ajustes_Manuais!$F:$F,"  -  INSS Segurados")</f>
        <v>0</v>
      </c>
      <c r="K185" s="241">
        <v>-3855.8706999999999</v>
      </c>
      <c r="L185" s="27">
        <v>0</v>
      </c>
      <c r="M185" s="28">
        <f>SUMIFS(Aut_BlueMe_Sem_Pedido!$J:$J,Aut_BlueMe_Sem_Pedido!$Q:$Q,DRE!K$4,Aut_BlueMe_Sem_Pedido!$H:$H,DRE!$A185)-SUMIFS(Aut_BlueMe_Sem_Pedido!$J:$J,Aut_BlueMe_Sem_Pedido!$Q:$Q,DRE!K$4,Aut_BlueMe_Sem_Pedido!$H:$H,"  -  INSS Segurados")+SUMIFS(Aut_Ajustes_Manuais!$G:$G,Aut_Ajustes_Manuais!$I:$I,DRE!K$4,Aut_Ajustes_Manuais!$F:$F,"  -  INSS Segurados")</f>
        <v>0</v>
      </c>
      <c r="N185" s="241">
        <v>-3539.5821999999998</v>
      </c>
      <c r="O185" s="27">
        <v>0</v>
      </c>
      <c r="P185" s="28">
        <f>SUMIFS(Aut_BlueMe_Sem_Pedido!$J:$J,Aut_BlueMe_Sem_Pedido!$Q:$Q,DRE!N$4,Aut_BlueMe_Sem_Pedido!$H:$H,DRE!$A185)-SUMIFS(Aut_BlueMe_Sem_Pedido!$J:$J,Aut_BlueMe_Sem_Pedido!$Q:$Q,DRE!N$4,Aut_BlueMe_Sem_Pedido!$H:$H,"  -  INSS Segurados")+SUMIFS(Aut_Ajustes_Manuais!$G:$G,Aut_Ajustes_Manuais!$I:$I,DRE!N$4,Aut_Ajustes_Manuais!$F:$F,"  -  INSS Segurados")</f>
        <v>0</v>
      </c>
      <c r="Q185" s="241">
        <v>-4208.4218000000001</v>
      </c>
      <c r="R185" s="27">
        <v>0</v>
      </c>
      <c r="S185" s="28">
        <f>SUMIFS(Aut_BlueMe_Sem_Pedido!$J:$J,Aut_BlueMe_Sem_Pedido!$Q:$Q,DRE!Q$4,Aut_BlueMe_Sem_Pedido!$H:$H,DRE!$A185)-SUMIFS(Aut_BlueMe_Sem_Pedido!$J:$J,Aut_BlueMe_Sem_Pedido!$Q:$Q,DRE!Q$4,Aut_BlueMe_Sem_Pedido!$H:$H,"  -  INSS Segurados")+SUMIFS(Aut_Ajustes_Manuais!$G:$G,Aut_Ajustes_Manuais!$I:$I,DRE!Q$4,Aut_Ajustes_Manuais!$F:$F,"  -  INSS Segurados")</f>
        <v>0</v>
      </c>
      <c r="T185" s="241">
        <v>-4320.4117000000006</v>
      </c>
      <c r="U185" s="27">
        <v>0</v>
      </c>
      <c r="V185" s="28">
        <f>SUMIFS(Aut_BlueMe_Sem_Pedido!$J:$J,Aut_BlueMe_Sem_Pedido!$Q:$Q,DRE!T$4,Aut_BlueMe_Sem_Pedido!$H:$H,DRE!$A185)-SUMIFS(Aut_BlueMe_Sem_Pedido!$J:$J,Aut_BlueMe_Sem_Pedido!$Q:$Q,DRE!T$4,Aut_BlueMe_Sem_Pedido!$H:$H,"  -  INSS Segurados")+SUMIFS(Aut_Ajustes_Manuais!$G:$G,Aut_Ajustes_Manuais!$I:$I,DRE!T$4,Aut_Ajustes_Manuais!$F:$F,"  -  INSS Segurados")</f>
        <v>0</v>
      </c>
      <c r="W185" s="241">
        <v>-4816.0474999999997</v>
      </c>
      <c r="X185" s="27">
        <v>0</v>
      </c>
      <c r="Y185" s="28">
        <f>SUMIFS(Aut_BlueMe_Sem_Pedido!$J:$J,Aut_BlueMe_Sem_Pedido!$Q:$Q,DRE!W$4,Aut_BlueMe_Sem_Pedido!$H:$H,DRE!$A185)-SUMIFS(Aut_BlueMe_Sem_Pedido!$J:$J,Aut_BlueMe_Sem_Pedido!$Q:$Q,DRE!W$4,Aut_BlueMe_Sem_Pedido!$H:$H,"  -  INSS Segurados")+SUMIFS(Aut_Ajustes_Manuais!$G:$G,Aut_Ajustes_Manuais!$I:$I,DRE!W$4,Aut_Ajustes_Manuais!$F:$F,"  -  INSS Segurados")</f>
        <v>0</v>
      </c>
      <c r="Z185" s="241">
        <v>-4210.0377000000008</v>
      </c>
      <c r="AA185" s="27">
        <v>0</v>
      </c>
      <c r="AB185" s="28">
        <f>SUMIFS(Aut_BlueMe_Sem_Pedido!$J:$J,Aut_BlueMe_Sem_Pedido!$Q:$Q,DRE!Z$4,Aut_BlueMe_Sem_Pedido!$H:$H,DRE!$A185)-SUMIFS(Aut_BlueMe_Sem_Pedido!$J:$J,Aut_BlueMe_Sem_Pedido!$Q:$Q,DRE!Z$4,Aut_BlueMe_Sem_Pedido!$H:$H,"  -  INSS Segurados")+SUMIFS(Aut_Ajustes_Manuais!$G:$G,Aut_Ajustes_Manuais!$I:$I,DRE!Z$4,Aut_Ajustes_Manuais!$F:$F,"  -  INSS Segurados")</f>
        <v>0</v>
      </c>
      <c r="AC185" s="241">
        <v>-4281.8204000000014</v>
      </c>
      <c r="AD185" s="27">
        <v>0</v>
      </c>
      <c r="AE185" s="28">
        <f>SUMIFS(Aut_BlueMe_Sem_Pedido!$J:$J,Aut_BlueMe_Sem_Pedido!$Q:$Q,DRE!AC$4,Aut_BlueMe_Sem_Pedido!$H:$H,DRE!$A185)-SUMIFS(Aut_BlueMe_Sem_Pedido!$J:$J,Aut_BlueMe_Sem_Pedido!$Q:$Q,DRE!AC$4,Aut_BlueMe_Sem_Pedido!$H:$H,"  -  INSS Segurados")+SUMIFS(Aut_Ajustes_Manuais!$G:$G,Aut_Ajustes_Manuais!$I:$I,DRE!AC$4,Aut_Ajustes_Manuais!$F:$F,"  -  INSS Segurados")</f>
        <v>0</v>
      </c>
      <c r="AF185" s="241">
        <v>-4787.3638999999994</v>
      </c>
      <c r="AG185" s="27">
        <v>0</v>
      </c>
      <c r="AH185" s="28">
        <f>SUMIFS(Aut_BlueMe_Sem_Pedido!$J:$J,Aut_BlueMe_Sem_Pedido!$Q:$Q,DRE!AF$4,Aut_BlueMe_Sem_Pedido!$H:$H,DRE!$A185)-SUMIFS(Aut_BlueMe_Sem_Pedido!$J:$J,Aut_BlueMe_Sem_Pedido!$Q:$Q,DRE!AF$4,Aut_BlueMe_Sem_Pedido!$H:$H,"  -  INSS Segurados")+SUMIFS(Aut_Ajustes_Manuais!$G:$G,Aut_Ajustes_Manuais!$I:$I,DRE!AF$4,Aut_Ajustes_Manuais!$F:$F,"  -  INSS Segurados")</f>
        <v>0</v>
      </c>
      <c r="AI185" s="241">
        <v>-4324.5301000000009</v>
      </c>
      <c r="AJ185" s="27">
        <v>0</v>
      </c>
      <c r="AK185" s="28">
        <f>SUMIFS(Aut_BlueMe_Sem_Pedido!$J:$J,Aut_BlueMe_Sem_Pedido!$Q:$Q,DRE!AI$4,Aut_BlueMe_Sem_Pedido!$H:$H,DRE!$A185)-SUMIFS(Aut_BlueMe_Sem_Pedido!$J:$J,Aut_BlueMe_Sem_Pedido!$Q:$Q,DRE!AI$4,Aut_BlueMe_Sem_Pedido!$H:$H,"  -  INSS Segurados")+SUMIFS(Aut_Ajustes_Manuais!$G:$G,Aut_Ajustes_Manuais!$I:$I,DRE!AI$4,Aut_Ajustes_Manuais!$F:$F,"  -  INSS Segurados")</f>
        <v>0</v>
      </c>
      <c r="AL185" s="241">
        <v>-4566.0879000000004</v>
      </c>
      <c r="AM185" s="27">
        <v>0</v>
      </c>
      <c r="AN185" s="28">
        <f>SUMIFS(Aut_BlueMe_Sem_Pedido!$J:$J,Aut_BlueMe_Sem_Pedido!$Q:$Q,DRE!AL$4,Aut_BlueMe_Sem_Pedido!$H:$H,DRE!$A185)-SUMIFS(Aut_BlueMe_Sem_Pedido!$J:$J,Aut_BlueMe_Sem_Pedido!$Q:$Q,DRE!AL$4,Aut_BlueMe_Sem_Pedido!$H:$H,"  -  INSS Segurados")+SUMIFS(Aut_Ajustes_Manuais!$G:$G,Aut_Ajustes_Manuais!$I:$I,DRE!AL$4,Aut_Ajustes_Manuais!$F:$F,"  -  INSS Segurados")</f>
        <v>0</v>
      </c>
      <c r="AO185" s="241">
        <v>-5592.7574999999997</v>
      </c>
      <c r="AP185" s="27">
        <v>0</v>
      </c>
      <c r="AQ185" s="28">
        <f>SUMIFS(Aut_BlueMe_Sem_Pedido!$J:$J,Aut_BlueMe_Sem_Pedido!$Q:$Q,DRE!AO$4,Aut_BlueMe_Sem_Pedido!$H:$H,DRE!$A185)-SUMIFS(Aut_BlueMe_Sem_Pedido!$J:$J,Aut_BlueMe_Sem_Pedido!$Q:$Q,DRE!AO$4,Aut_BlueMe_Sem_Pedido!$H:$H,"  -  INSS Segurados")+SUMIFS(Aut_Ajustes_Manuais!$G:$G,Aut_Ajustes_Manuais!$I:$I,DRE!AO$4,Aut_Ajustes_Manuais!$F:$F,"  -  INSS Segurados")</f>
        <v>0</v>
      </c>
      <c r="AR185" s="241">
        <f t="shared" ca="1" si="154"/>
        <v>-24902.6129</v>
      </c>
      <c r="AS185" s="27">
        <f t="shared" ca="1" si="155"/>
        <v>0</v>
      </c>
      <c r="AT185" s="28">
        <f t="shared" ca="1" si="156"/>
        <v>0</v>
      </c>
      <c r="AU185" s="241">
        <f t="shared" si="164"/>
        <v>-52665.210400000004</v>
      </c>
      <c r="AV185" s="27">
        <f t="shared" si="165"/>
        <v>0</v>
      </c>
      <c r="AW185" s="28">
        <f t="shared" si="166"/>
        <v>0</v>
      </c>
      <c r="AX185" s="241">
        <f t="shared" si="167"/>
        <v>-11557.731899999999</v>
      </c>
      <c r="AY185" s="27">
        <f t="shared" si="168"/>
        <v>0</v>
      </c>
      <c r="AZ185" s="28">
        <f t="shared" si="169"/>
        <v>0</v>
      </c>
      <c r="BA185" s="241">
        <f t="shared" si="170"/>
        <v>-13344.881000000001</v>
      </c>
      <c r="BB185" s="27">
        <f t="shared" si="171"/>
        <v>0</v>
      </c>
      <c r="BC185" s="28">
        <f t="shared" si="172"/>
        <v>0</v>
      </c>
      <c r="BD185" s="241">
        <f t="shared" si="173"/>
        <v>-13279.222000000002</v>
      </c>
      <c r="BE185" s="27">
        <f t="shared" si="174"/>
        <v>0</v>
      </c>
      <c r="BF185" s="28">
        <f t="shared" si="175"/>
        <v>0</v>
      </c>
      <c r="BG185" s="241">
        <f t="shared" si="176"/>
        <v>-14483.375500000002</v>
      </c>
      <c r="BH185" s="27">
        <f t="shared" si="177"/>
        <v>0</v>
      </c>
      <c r="BI185" s="28">
        <f t="shared" si="178"/>
        <v>0</v>
      </c>
      <c r="BK185" s="448">
        <f t="shared" si="147"/>
        <v>0</v>
      </c>
      <c r="BL185" s="448">
        <f t="shared" si="148"/>
        <v>0</v>
      </c>
      <c r="BM185" s="448">
        <f t="shared" si="149"/>
        <v>0</v>
      </c>
      <c r="BN185" s="448">
        <f t="shared" ca="1" si="150"/>
        <v>0</v>
      </c>
    </row>
    <row r="186" spans="1:66" s="29" customFormat="1" hidden="1" outlineLevel="1" x14ac:dyDescent="0.3">
      <c r="A186" s="22" t="s">
        <v>214</v>
      </c>
      <c r="B186" s="2"/>
      <c r="C186" s="457"/>
      <c r="D186" s="97" t="s">
        <v>215</v>
      </c>
      <c r="E186" s="98">
        <v>8.3299999999999999E-2</v>
      </c>
      <c r="F186" s="41"/>
      <c r="G186" s="33"/>
      <c r="H186" s="241">
        <v>-1358.778666666667</v>
      </c>
      <c r="I186" s="27">
        <v>-1690.445575386527</v>
      </c>
      <c r="J186" s="28">
        <f>((J120+J89)/12)*$E$186+SUMIFS(Aut_Ajustes_Manuais!$G:$G,Aut_Ajustes_Manuais!$I:$I,DRE!H$4,Aut_Ajustes_Manuais!$F:$F,"  -  13º Salário")</f>
        <v>-320.00423875000001</v>
      </c>
      <c r="K186" s="241">
        <v>-1278.202933333333</v>
      </c>
      <c r="L186" s="27">
        <v>-2008.1938014407731</v>
      </c>
      <c r="M186" s="28">
        <f>((M120+M89)/12)*$E$186+SUMIFS(Aut_Ajustes_Manuais!$G:$G,Aut_Ajustes_Manuais!$I:$I,DRE!K$4,Aut_Ajustes_Manuais!$F:$F,"  -  13º Salário")</f>
        <v>-296.7808235</v>
      </c>
      <c r="N186" s="241">
        <v>-1231.508266666666</v>
      </c>
      <c r="O186" s="27">
        <v>-1974.214188076892</v>
      </c>
      <c r="P186" s="28">
        <f>((P120+P89)/12)*$E$186+SUMIFS(Aut_Ajustes_Manuais!$G:$G,Aut_Ajustes_Manuais!$I:$I,DRE!N$4,Aut_Ajustes_Manuais!$F:$F,"  -  13º Salário")</f>
        <v>-263.02953775000003</v>
      </c>
      <c r="Q186" s="241">
        <v>-1178.203733333333</v>
      </c>
      <c r="R186" s="27">
        <v>-2141.3048621847729</v>
      </c>
      <c r="S186" s="28">
        <f>((S120+S89)/12)*$E$186+SUMIFS(Aut_Ajustes_Manuais!$G:$G,Aut_Ajustes_Manuais!$I:$I,DRE!Q$4,Aut_Ajustes_Manuais!$F:$F,"  -  13º Salário")</f>
        <v>-297.21183158333338</v>
      </c>
      <c r="T186" s="241">
        <v>-1310.9842666666659</v>
      </c>
      <c r="U186" s="27">
        <v>-2231.886484924551</v>
      </c>
      <c r="V186" s="28">
        <f>((V120+V89)/12)*$E$186+SUMIFS(Aut_Ajustes_Manuais!$G:$G,Aut_Ajustes_Manuais!$I:$I,DRE!T$4,Aut_Ajustes_Manuais!$F:$F,"  -  13º Salário")</f>
        <v>-280.00177391666665</v>
      </c>
      <c r="W186" s="241">
        <v>-1362.1669999999999</v>
      </c>
      <c r="X186" s="27">
        <v>-2290.4097959529381</v>
      </c>
      <c r="Y186" s="28">
        <f>((Y120+Y89)/12)*$E$186+SUMIFS(Aut_Ajustes_Manuais!$G:$G,Aut_Ajustes_Manuais!$I:$I,DRE!W$4,Aut_Ajustes_Manuais!$F:$F,"  -  13º Salário")</f>
        <v>-329.63830025000004</v>
      </c>
      <c r="Z186" s="241">
        <v>-1389.112266666667</v>
      </c>
      <c r="AA186" s="27">
        <v>-2288.431214174489</v>
      </c>
      <c r="AB186" s="28">
        <f>((AB120+AB89)/12)*$E$186+SUMIFS(Aut_Ajustes_Manuais!$G:$G,Aut_Ajustes_Manuais!$I:$I,DRE!Z$4,Aut_Ajustes_Manuais!$F:$F,"  -  13º Salário")</f>
        <v>-382.56913333333335</v>
      </c>
      <c r="AC186" s="241">
        <v>-1285.851200000001</v>
      </c>
      <c r="AD186" s="27">
        <v>-2304.802033946653</v>
      </c>
      <c r="AE186" s="28">
        <f>((AE120+AE89)/12)*$E$186+SUMIFS(Aut_Ajustes_Manuais!$G:$G,Aut_Ajustes_Manuais!$I:$I,DRE!AC$4,Aut_Ajustes_Manuais!$F:$F,"  -  13º Salário")</f>
        <v>-382.56913333333335</v>
      </c>
      <c r="AF186" s="241">
        <v>-1412.2525333333331</v>
      </c>
      <c r="AG186" s="27">
        <v>-2276.1083760943388</v>
      </c>
      <c r="AH186" s="28">
        <f>((AH120+AH89)/12)*$E$186+SUMIFS(Aut_Ajustes_Manuais!$G:$G,Aut_Ajustes_Manuais!$I:$I,DRE!AF$4,Aut_Ajustes_Manuais!$F:$F,"  -  13º Salário")</f>
        <v>-382.56913333333335</v>
      </c>
      <c r="AI186" s="241">
        <v>-1380.7128</v>
      </c>
      <c r="AJ186" s="27">
        <v>-2277.3343540366141</v>
      </c>
      <c r="AK186" s="28">
        <f>((AK120+AK89)/12)*$E$186+SUMIFS(Aut_Ajustes_Manuais!$G:$G,Aut_Ajustes_Manuais!$I:$I,DRE!AI$4,Aut_Ajustes_Manuais!$F:$F,"  -  13º Salário")</f>
        <v>-382.56913333333335</v>
      </c>
      <c r="AL186" s="241">
        <v>-2302.5</v>
      </c>
      <c r="AM186" s="27">
        <v>-2308.7235710237628</v>
      </c>
      <c r="AN186" s="28">
        <f>((AN120+AN89)/12)*$E$186+SUMIFS(Aut_Ajustes_Manuais!$G:$G,Aut_Ajustes_Manuais!$I:$I,DRE!AL$4,Aut_Ajustes_Manuais!$F:$F,"  -  13º Salário")</f>
        <v>-382.56913333333335</v>
      </c>
      <c r="AO186" s="241">
        <v>-2302.5</v>
      </c>
      <c r="AP186" s="27">
        <v>-2287.187224281317</v>
      </c>
      <c r="AQ186" s="28">
        <f>((AQ120+AQ89)/12)*$E$186+SUMIFS(Aut_Ajustes_Manuais!$G:$G,Aut_Ajustes_Manuais!$I:$I,DRE!AO$4,Aut_Ajustes_Manuais!$F:$F,"  -  13º Salário")</f>
        <v>-382.56913333333335</v>
      </c>
      <c r="AR186" s="241">
        <f t="shared" ca="1" si="154"/>
        <v>-7719.8448666666645</v>
      </c>
      <c r="AS186" s="27">
        <f t="shared" ca="1" si="155"/>
        <v>-12336.454707966455</v>
      </c>
      <c r="AT186" s="28">
        <f t="shared" ca="1" si="156"/>
        <v>-1786.6665057499999</v>
      </c>
      <c r="AU186" s="241">
        <f t="shared" si="164"/>
        <v>-17792.773666666664</v>
      </c>
      <c r="AV186" s="27">
        <f t="shared" si="165"/>
        <v>-26079.041481523629</v>
      </c>
      <c r="AW186" s="28">
        <f t="shared" si="166"/>
        <v>-4082.0813057500004</v>
      </c>
      <c r="AX186" s="241">
        <f t="shared" si="167"/>
        <v>-3868.4898666666659</v>
      </c>
      <c r="AY186" s="27">
        <f t="shared" si="168"/>
        <v>-5672.8535649041924</v>
      </c>
      <c r="AZ186" s="28">
        <f t="shared" si="169"/>
        <v>-879.81460000000004</v>
      </c>
      <c r="BA186" s="241">
        <f t="shared" si="170"/>
        <v>-3851.3549999999991</v>
      </c>
      <c r="BB186" s="27">
        <f t="shared" si="171"/>
        <v>-6663.6011430622621</v>
      </c>
      <c r="BC186" s="28">
        <f t="shared" si="172"/>
        <v>-906.85190575000013</v>
      </c>
      <c r="BD186" s="241">
        <f t="shared" si="173"/>
        <v>-4087.2160000000013</v>
      </c>
      <c r="BE186" s="27">
        <f t="shared" si="174"/>
        <v>-6869.3416242154799</v>
      </c>
      <c r="BF186" s="28">
        <f t="shared" si="175"/>
        <v>-1147.7074</v>
      </c>
      <c r="BG186" s="241">
        <f t="shared" si="176"/>
        <v>-5985.7128000000002</v>
      </c>
      <c r="BH186" s="27">
        <f t="shared" si="177"/>
        <v>-6873.2451493416938</v>
      </c>
      <c r="BI186" s="28">
        <f t="shared" si="178"/>
        <v>-1147.7074</v>
      </c>
      <c r="BK186" s="448">
        <f t="shared" si="147"/>
        <v>-26079.041481523629</v>
      </c>
      <c r="BL186" s="448">
        <f t="shared" si="148"/>
        <v>0</v>
      </c>
      <c r="BM186" s="448">
        <f t="shared" si="149"/>
        <v>-1457.0282055</v>
      </c>
      <c r="BN186" s="448">
        <f t="shared" ca="1" si="150"/>
        <v>329.63830024999993</v>
      </c>
    </row>
    <row r="187" spans="1:66" s="29" customFormat="1" hidden="1" outlineLevel="1" x14ac:dyDescent="0.3">
      <c r="A187" s="22" t="s">
        <v>216</v>
      </c>
      <c r="B187" s="2"/>
      <c r="C187" s="457"/>
      <c r="D187" s="99" t="s">
        <v>217</v>
      </c>
      <c r="E187" s="97"/>
      <c r="F187" s="41"/>
      <c r="G187" s="33"/>
      <c r="H187" s="241">
        <v>0</v>
      </c>
      <c r="I187" s="27">
        <v>-1226.804231188037</v>
      </c>
      <c r="J187" s="28">
        <f>SUMIFS(Aut_BlueMe_Sem_Pedido!$J:$J,Aut_BlueMe_Sem_Pedido!$Q:$Q,DRE!H$4,Aut_BlueMe_Sem_Pedido!$H:$H,DRE!$A187)+SUMIFS(Aut_Ajustes_Manuais!$G:$G,Aut_Ajustes_Manuais!$I:$I,DRE!H$4,Aut_Ajustes_Manuais!$F:$F,"  -  Férias")</f>
        <v>0</v>
      </c>
      <c r="K187" s="241">
        <v>-4060.66</v>
      </c>
      <c r="L187" s="27">
        <v>-1298.665469502128</v>
      </c>
      <c r="M187" s="28">
        <f>SUMIFS(Aut_BlueMe_Sem_Pedido!$J:$J,Aut_BlueMe_Sem_Pedido!$Q:$Q,DRE!K$4,Aut_BlueMe_Sem_Pedido!$H:$H,DRE!$A187)+SUMIFS(Aut_Ajustes_Manuais!$G:$G,Aut_Ajustes_Manuais!$I:$I,DRE!K$4,Aut_Ajustes_Manuais!$F:$F,"  -  Férias")</f>
        <v>0</v>
      </c>
      <c r="N187" s="241">
        <v>-4143.92</v>
      </c>
      <c r="O187" s="27">
        <v>-1162.8285997521591</v>
      </c>
      <c r="P187" s="28">
        <f>SUMIFS(Aut_BlueMe_Sem_Pedido!$J:$J,Aut_BlueMe_Sem_Pedido!$Q:$Q,DRE!N$4,Aut_BlueMe_Sem_Pedido!$H:$H,DRE!$A187)+SUMIFS(Aut_Ajustes_Manuais!$G:$G,Aut_Ajustes_Manuais!$I:$I,DRE!N$4,Aut_Ajustes_Manuais!$F:$F,"  -  Férias")</f>
        <v>-4913.8</v>
      </c>
      <c r="Q187" s="241">
        <v>-5851.8</v>
      </c>
      <c r="R187" s="27">
        <v>-1239.0446780945911</v>
      </c>
      <c r="S187" s="28">
        <f>SUMIFS(Aut_BlueMe_Sem_Pedido!$J:$J,Aut_BlueMe_Sem_Pedido!$Q:$Q,DRE!Q$4,Aut_BlueMe_Sem_Pedido!$H:$H,DRE!$A187)+SUMIFS(Aut_Ajustes_Manuais!$G:$G,Aut_Ajustes_Manuais!$I:$I,DRE!Q$4,Aut_Ajustes_Manuais!$F:$F,"  -  Férias")</f>
        <v>-7131.21</v>
      </c>
      <c r="T187" s="241">
        <v>0</v>
      </c>
      <c r="U187" s="27">
        <v>-1601.1536861659711</v>
      </c>
      <c r="V187" s="28">
        <f>SUMIFS(Aut_BlueMe_Sem_Pedido!$J:$J,Aut_BlueMe_Sem_Pedido!$Q:$Q,DRE!T$4,Aut_BlueMe_Sem_Pedido!$H:$H,DRE!$A187)+SUMIFS(Aut_Ajustes_Manuais!$G:$G,Aut_Ajustes_Manuais!$I:$I,DRE!T$4,Aut_Ajustes_Manuais!$F:$F,"  -  Férias")</f>
        <v>0</v>
      </c>
      <c r="W187" s="241">
        <v>0</v>
      </c>
      <c r="X187" s="27">
        <v>-1527.62300766319</v>
      </c>
      <c r="Y187" s="28">
        <f>SUMIFS(Aut_BlueMe_Sem_Pedido!$J:$J,Aut_BlueMe_Sem_Pedido!$Q:$Q,DRE!W$4,Aut_BlueMe_Sem_Pedido!$H:$H,DRE!$A187)+SUMIFS(Aut_Ajustes_Manuais!$G:$G,Aut_Ajustes_Manuais!$I:$I,DRE!W$4,Aut_Ajustes_Manuais!$F:$F,"  -  Férias")</f>
        <v>0</v>
      </c>
      <c r="Z187" s="241">
        <v>0</v>
      </c>
      <c r="AA187" s="27">
        <v>-1519.713431045865</v>
      </c>
      <c r="AB187" s="28">
        <f>SUMIFS(Aut_BlueMe_Sem_Pedido!$J:$J,Aut_BlueMe_Sem_Pedido!$Q:$Q,DRE!Z$4,Aut_BlueMe_Sem_Pedido!$H:$H,DRE!$A187)+SUMIFS(Aut_Ajustes_Manuais!$G:$G,Aut_Ajustes_Manuais!$I:$I,DRE!Z$4,Aut_Ajustes_Manuais!$F:$F,"  -  Férias")</f>
        <v>-5275.29</v>
      </c>
      <c r="AC187" s="241">
        <v>-3995.02</v>
      </c>
      <c r="AD187" s="27">
        <v>-1585.1574044447891</v>
      </c>
      <c r="AE187" s="28">
        <f>SUMIFS(Aut_BlueMe_Sem_Pedido!$J:$J,Aut_BlueMe_Sem_Pedido!$Q:$Q,DRE!AC$4,Aut_BlueMe_Sem_Pedido!$H:$H,DRE!$A187)+SUMIFS(Aut_Ajustes_Manuais!$G:$G,Aut_Ajustes_Manuais!$I:$I,DRE!AC$4,Aut_Ajustes_Manuais!$F:$F,"  -  Férias")</f>
        <v>0</v>
      </c>
      <c r="AF187" s="241">
        <v>0</v>
      </c>
      <c r="AG187" s="27">
        <v>-1470.451665371314</v>
      </c>
      <c r="AH187" s="28">
        <f>SUMIFS(Aut_BlueMe_Sem_Pedido!$J:$J,Aut_BlueMe_Sem_Pedido!$Q:$Q,DRE!AF$4,Aut_BlueMe_Sem_Pedido!$H:$H,DRE!$A187)+SUMIFS(Aut_Ajustes_Manuais!$G:$G,Aut_Ajustes_Manuais!$I:$I,DRE!AF$4,Aut_Ajustes_Manuais!$F:$F,"  -  Férias")</f>
        <v>0</v>
      </c>
      <c r="AI187" s="241">
        <v>0</v>
      </c>
      <c r="AJ187" s="27">
        <v>-1475.35263361594</v>
      </c>
      <c r="AK187" s="28">
        <f>SUMIFS(Aut_BlueMe_Sem_Pedido!$J:$J,Aut_BlueMe_Sem_Pedido!$Q:$Q,DRE!AI$4,Aut_BlueMe_Sem_Pedido!$H:$H,DRE!$A187)+SUMIFS(Aut_Ajustes_Manuais!$G:$G,Aut_Ajustes_Manuais!$I:$I,DRE!AI$4,Aut_Ajustes_Manuais!$F:$F,"  -  Férias")</f>
        <v>0</v>
      </c>
      <c r="AL187" s="241">
        <v>0</v>
      </c>
      <c r="AM187" s="27">
        <v>-1600.8341372980631</v>
      </c>
      <c r="AN187" s="28">
        <f>SUMIFS(Aut_BlueMe_Sem_Pedido!$J:$J,Aut_BlueMe_Sem_Pedido!$Q:$Q,DRE!AL$4,Aut_BlueMe_Sem_Pedido!$H:$H,DRE!$A187)+SUMIFS(Aut_Ajustes_Manuais!$G:$G,Aut_Ajustes_Manuais!$I:$I,DRE!AL$4,Aut_Ajustes_Manuais!$F:$F,"  -  Férias")</f>
        <v>0</v>
      </c>
      <c r="AO187" s="241">
        <v>0</v>
      </c>
      <c r="AP187" s="27">
        <v>-1514.740458243625</v>
      </c>
      <c r="AQ187" s="28">
        <f>SUMIFS(Aut_BlueMe_Sem_Pedido!$J:$J,Aut_BlueMe_Sem_Pedido!$Q:$Q,DRE!AO$4,Aut_BlueMe_Sem_Pedido!$H:$H,DRE!$A187)+SUMIFS(Aut_Ajustes_Manuais!$G:$G,Aut_Ajustes_Manuais!$I:$I,DRE!AO$4,Aut_Ajustes_Manuais!$F:$F,"  -  Férias")</f>
        <v>0</v>
      </c>
      <c r="AR187" s="241">
        <f t="shared" ca="1" si="154"/>
        <v>-14056.380000000001</v>
      </c>
      <c r="AS187" s="27">
        <f t="shared" ca="1" si="155"/>
        <v>-8056.1196723660769</v>
      </c>
      <c r="AT187" s="28">
        <f t="shared" ca="1" si="156"/>
        <v>-12045.01</v>
      </c>
      <c r="AU187" s="241">
        <f t="shared" si="164"/>
        <v>-18051.400000000001</v>
      </c>
      <c r="AV187" s="27">
        <f t="shared" si="165"/>
        <v>-17222.369402385673</v>
      </c>
      <c r="AW187" s="28">
        <f t="shared" si="166"/>
        <v>-17320.3</v>
      </c>
      <c r="AX187" s="241">
        <f t="shared" si="167"/>
        <v>-8204.58</v>
      </c>
      <c r="AY187" s="27">
        <f t="shared" si="168"/>
        <v>-3688.298300442324</v>
      </c>
      <c r="AZ187" s="28">
        <f t="shared" si="169"/>
        <v>-4913.8</v>
      </c>
      <c r="BA187" s="241">
        <f t="shared" si="170"/>
        <v>-5851.8</v>
      </c>
      <c r="BB187" s="27">
        <f t="shared" si="171"/>
        <v>-4367.8213719237519</v>
      </c>
      <c r="BC187" s="28">
        <f t="shared" si="172"/>
        <v>-7131.21</v>
      </c>
      <c r="BD187" s="241">
        <f t="shared" si="173"/>
        <v>-3995.02</v>
      </c>
      <c r="BE187" s="27">
        <f t="shared" si="174"/>
        <v>-4575.3225008619684</v>
      </c>
      <c r="BF187" s="28">
        <f t="shared" si="175"/>
        <v>-5275.29</v>
      </c>
      <c r="BG187" s="241">
        <f t="shared" si="176"/>
        <v>0</v>
      </c>
      <c r="BH187" s="27">
        <f t="shared" si="177"/>
        <v>-4590.9272291576281</v>
      </c>
      <c r="BI187" s="28">
        <f t="shared" si="178"/>
        <v>0</v>
      </c>
      <c r="BK187" s="448">
        <f t="shared" si="147"/>
        <v>-17222.369402385673</v>
      </c>
      <c r="BL187" s="448">
        <f t="shared" si="148"/>
        <v>0</v>
      </c>
      <c r="BM187" s="448">
        <f t="shared" si="149"/>
        <v>-12045.01</v>
      </c>
      <c r="BN187" s="448">
        <f t="shared" ca="1" si="150"/>
        <v>0</v>
      </c>
    </row>
    <row r="188" spans="1:66" s="29" customFormat="1" hidden="1" outlineLevel="1" x14ac:dyDescent="0.3">
      <c r="A188" s="22" t="s">
        <v>218</v>
      </c>
      <c r="B188" s="2"/>
      <c r="C188" s="457"/>
      <c r="D188" s="97" t="s">
        <v>219</v>
      </c>
      <c r="E188" s="98">
        <v>6.7000000000000002E-3</v>
      </c>
      <c r="F188" s="41"/>
      <c r="G188" s="33"/>
      <c r="H188" s="241">
        <v>-108.7022933333333</v>
      </c>
      <c r="I188" s="27">
        <v>-15.04496562094009</v>
      </c>
      <c r="J188" s="28">
        <f>J186*$E$188+SUMIFS(Aut_Ajustes_Manuais!$G:$G,Aut_Ajustes_Manuais!$I:$I,DRE!H$4,Aut_Ajustes_Manuais!$F:$F,"  -  FGTS sobre 13º Salários")</f>
        <v>-2.1440283996250002</v>
      </c>
      <c r="K188" s="241">
        <v>-102.2562346666667</v>
      </c>
      <c r="L188" s="27">
        <v>-17.872924832822871</v>
      </c>
      <c r="M188" s="28">
        <f>M186*$E$188+SUMIFS(Aut_Ajustes_Manuais!$G:$G,Aut_Ajustes_Manuais!$I:$I,DRE!K$4,Aut_Ajustes_Manuais!$F:$F,"  -  FGTS sobre 13º Salários")</f>
        <v>-1.98843151745</v>
      </c>
      <c r="N188" s="241">
        <v>-98.520661333333322</v>
      </c>
      <c r="O188" s="27">
        <v>-17.57050627388433</v>
      </c>
      <c r="P188" s="28">
        <f>P186*$E$188+SUMIFS(Aut_Ajustes_Manuais!$G:$G,Aut_Ajustes_Manuais!$I:$I,DRE!N$4,Aut_Ajustes_Manuais!$F:$F,"  -  FGTS sobre 13º Salários")</f>
        <v>-1.7622979029250003</v>
      </c>
      <c r="Q188" s="241">
        <v>-94.256298666666666</v>
      </c>
      <c r="R188" s="27">
        <v>-19.057613273444481</v>
      </c>
      <c r="S188" s="28">
        <f>S186*$E$188+SUMIFS(Aut_Ajustes_Manuais!$G:$G,Aut_Ajustes_Manuais!$I:$I,DRE!Q$4,Aut_Ajustes_Manuais!$F:$F,"  -  FGTS sobre 13º Salários")</f>
        <v>-1.9913192716083337</v>
      </c>
      <c r="T188" s="241">
        <v>-104.87874133333329</v>
      </c>
      <c r="U188" s="27">
        <v>-19.863789715828499</v>
      </c>
      <c r="V188" s="28">
        <f>V186*$E$188+SUMIFS(Aut_Ajustes_Manuais!$G:$G,Aut_Ajustes_Manuais!$I:$I,DRE!T$4,Aut_Ajustes_Manuais!$F:$F,"  -  FGTS sobre 13º Salários")</f>
        <v>-1.8760118852416665</v>
      </c>
      <c r="W188" s="241">
        <v>-108.97336</v>
      </c>
      <c r="X188" s="27">
        <v>-20.384647183981141</v>
      </c>
      <c r="Y188" s="28">
        <f>Y186*$E$188+SUMIFS(Aut_Ajustes_Manuais!$G:$G,Aut_Ajustes_Manuais!$I:$I,DRE!W$4,Aut_Ajustes_Manuais!$F:$F,"  -  FGTS sobre 13º Salários")</f>
        <v>-2.2085766116750003</v>
      </c>
      <c r="Z188" s="241">
        <v>-111.1289813333333</v>
      </c>
      <c r="AA188" s="27">
        <v>-20.367037806152961</v>
      </c>
      <c r="AB188" s="28">
        <f>AB186*$E$188+SUMIFS(Aut_Ajustes_Manuais!$G:$G,Aut_Ajustes_Manuais!$I:$I,DRE!Z$4,Aut_Ajustes_Manuais!$F:$F,"  -  FGTS sobre 13º Salários")</f>
        <v>-2.5632131933333335</v>
      </c>
      <c r="AC188" s="241">
        <v>-102.86809599999999</v>
      </c>
      <c r="AD188" s="27">
        <v>-20.512738102125208</v>
      </c>
      <c r="AE188" s="28">
        <f>AE186*$E$188+SUMIFS(Aut_Ajustes_Manuais!$G:$G,Aut_Ajustes_Manuais!$I:$I,DRE!AC$4,Aut_Ajustes_Manuais!$F:$F,"  -  FGTS sobre 13º Salários")</f>
        <v>-2.5632131933333335</v>
      </c>
      <c r="AF188" s="241">
        <v>-112.9802026666666</v>
      </c>
      <c r="AG188" s="27">
        <v>-20.257364547239611</v>
      </c>
      <c r="AH188" s="28">
        <f>AH186*$E$188+SUMIFS(Aut_Ajustes_Manuais!$G:$G,Aut_Ajustes_Manuais!$I:$I,DRE!AF$4,Aut_Ajustes_Manuais!$F:$F,"  -  FGTS sobre 13º Salários")</f>
        <v>-2.5632131933333335</v>
      </c>
      <c r="AI188" s="241">
        <v>-110.457024</v>
      </c>
      <c r="AJ188" s="27">
        <v>-20.268275750925859</v>
      </c>
      <c r="AK188" s="28">
        <f>AK186*$E$188+SUMIFS(Aut_Ajustes_Manuais!$G:$G,Aut_Ajustes_Manuais!$I:$I,DRE!AI$4,Aut_Ajustes_Manuais!$F:$F,"  -  FGTS sobre 13º Salários")</f>
        <v>-2.5632131933333335</v>
      </c>
      <c r="AL188" s="241">
        <v>164.25</v>
      </c>
      <c r="AM188" s="27">
        <v>-20.547639782111489</v>
      </c>
      <c r="AN188" s="28">
        <f>AN186*$E$188+SUMIFS(Aut_Ajustes_Manuais!$G:$G,Aut_Ajustes_Manuais!$I:$I,DRE!AL$4,Aut_Ajustes_Manuais!$F:$F,"  -  FGTS sobre 13º Salários")</f>
        <v>-2.5632131933333335</v>
      </c>
      <c r="AO188" s="241">
        <v>0</v>
      </c>
      <c r="AP188" s="27">
        <v>-20.35596629610372</v>
      </c>
      <c r="AQ188" s="28">
        <f>AQ186*$E$188+SUMIFS(Aut_Ajustes_Manuais!$G:$G,Aut_Ajustes_Manuais!$I:$I,DRE!AO$4,Aut_Ajustes_Manuais!$F:$F,"  -  FGTS sobre 13º Salários")</f>
        <v>-2.5632131933333335</v>
      </c>
      <c r="AR188" s="241">
        <f t="shared" ca="1" si="154"/>
        <v>-617.58758933333331</v>
      </c>
      <c r="AS188" s="27">
        <f t="shared" ca="1" si="155"/>
        <v>-109.79444690090143</v>
      </c>
      <c r="AT188" s="28">
        <f t="shared" ca="1" si="156"/>
        <v>-11.970665588525002</v>
      </c>
      <c r="AU188" s="241">
        <f t="shared" si="164"/>
        <v>-890.77189333333331</v>
      </c>
      <c r="AV188" s="27">
        <f t="shared" si="165"/>
        <v>-232.10346918556027</v>
      </c>
      <c r="AW188" s="28">
        <f t="shared" si="166"/>
        <v>-27.349944748524997</v>
      </c>
      <c r="AX188" s="241">
        <f t="shared" si="167"/>
        <v>-309.47918933333335</v>
      </c>
      <c r="AY188" s="27">
        <f t="shared" si="168"/>
        <v>-50.488396727647299</v>
      </c>
      <c r="AZ188" s="28">
        <f t="shared" si="169"/>
        <v>-5.8947578200000006</v>
      </c>
      <c r="BA188" s="241">
        <f t="shared" si="170"/>
        <v>-308.10839999999996</v>
      </c>
      <c r="BB188" s="27">
        <f t="shared" si="171"/>
        <v>-59.306050173254121</v>
      </c>
      <c r="BC188" s="28">
        <f t="shared" si="172"/>
        <v>-6.0759077685250009</v>
      </c>
      <c r="BD188" s="241">
        <f t="shared" si="173"/>
        <v>-326.97727999999989</v>
      </c>
      <c r="BE188" s="27">
        <f t="shared" si="174"/>
        <v>-61.13714045551778</v>
      </c>
      <c r="BF188" s="28">
        <f t="shared" si="175"/>
        <v>-7.6896395800000006</v>
      </c>
      <c r="BG188" s="241">
        <f t="shared" si="176"/>
        <v>53.792975999999996</v>
      </c>
      <c r="BH188" s="27">
        <f t="shared" si="177"/>
        <v>-61.171881829141071</v>
      </c>
      <c r="BI188" s="28">
        <f t="shared" si="178"/>
        <v>-7.6896395800000006</v>
      </c>
      <c r="BK188" s="448">
        <f t="shared" si="147"/>
        <v>-232.10346918556027</v>
      </c>
      <c r="BL188" s="448">
        <f t="shared" si="148"/>
        <v>0</v>
      </c>
      <c r="BM188" s="448">
        <f t="shared" si="149"/>
        <v>-9.7620889768500003</v>
      </c>
      <c r="BN188" s="448">
        <f t="shared" ca="1" si="150"/>
        <v>2.2085766116750012</v>
      </c>
    </row>
    <row r="189" spans="1:66" s="29" customFormat="1" hidden="1" outlineLevel="1" x14ac:dyDescent="0.3">
      <c r="A189" s="22" t="s">
        <v>220</v>
      </c>
      <c r="B189" s="2"/>
      <c r="C189" s="457"/>
      <c r="D189" s="97" t="s">
        <v>221</v>
      </c>
      <c r="E189" s="98">
        <v>8.8999999999999999E-3</v>
      </c>
      <c r="F189" s="41"/>
      <c r="G189" s="33"/>
      <c r="H189" s="241">
        <v>0</v>
      </c>
      <c r="I189" s="27">
        <v>-10.91855765757353</v>
      </c>
      <c r="J189" s="28">
        <f>SUMIFS(Aut_BlueMe_Sem_Pedido!$J:$J,Aut_BlueMe_Sem_Pedido!$Q:$Q,DRE!H$4,Aut_BlueMe_Sem_Pedido!$H:$H,DRE!$A189)+SUMIFS(Aut_Ajustes_Manuais!$G:$G,Aut_Ajustes_Manuais!$I:$I,DRE!H$4,Aut_Ajustes_Manuais!$F:$F,"  -  FGTS sobre Férias")</f>
        <v>0</v>
      </c>
      <c r="K189" s="241">
        <v>-324.8528</v>
      </c>
      <c r="L189" s="27">
        <v>-11.558122678568941</v>
      </c>
      <c r="M189" s="28">
        <f>SUMIFS(Aut_BlueMe_Sem_Pedido!$J:$J,Aut_BlueMe_Sem_Pedido!$Q:$Q,DRE!K$4,Aut_BlueMe_Sem_Pedido!$H:$H,DRE!$A189)+SUMIFS(Aut_Ajustes_Manuais!$G:$G,Aut_Ajustes_Manuais!$I:$I,DRE!K$4,Aut_Ajustes_Manuais!$F:$F,"  -  FGTS sobre Férias")</f>
        <v>0</v>
      </c>
      <c r="N189" s="241">
        <v>-331.5136</v>
      </c>
      <c r="O189" s="27">
        <v>-10.349174537794219</v>
      </c>
      <c r="P189" s="28">
        <f>SUMIFS(Aut_BlueMe_Sem_Pedido!$J:$J,Aut_BlueMe_Sem_Pedido!$Q:$Q,DRE!N$4,Aut_BlueMe_Sem_Pedido!$H:$H,DRE!$A189)+SUMIFS(Aut_Ajustes_Manuais!$G:$G,Aut_Ajustes_Manuais!$I:$I,DRE!N$4,Aut_Ajustes_Manuais!$F:$F,"  -  FGTS sobre Férias")</f>
        <v>0</v>
      </c>
      <c r="Q189" s="241">
        <v>-468.14400000000001</v>
      </c>
      <c r="R189" s="27">
        <v>-11.027497635041859</v>
      </c>
      <c r="S189" s="28">
        <f>SUMIFS(Aut_BlueMe_Sem_Pedido!$J:$J,Aut_BlueMe_Sem_Pedido!$Q:$Q,DRE!Q$4,Aut_BlueMe_Sem_Pedido!$H:$H,DRE!$A189)+SUMIFS(Aut_Ajustes_Manuais!$G:$G,Aut_Ajustes_Manuais!$I:$I,DRE!Q$4,Aut_Ajustes_Manuais!$F:$F,"  -  FGTS sobre Férias")</f>
        <v>0</v>
      </c>
      <c r="T189" s="241">
        <v>0</v>
      </c>
      <c r="U189" s="27">
        <v>-14.25026780687714</v>
      </c>
      <c r="V189" s="28">
        <f>SUMIFS(Aut_BlueMe_Sem_Pedido!$J:$J,Aut_BlueMe_Sem_Pedido!$Q:$Q,DRE!T$4,Aut_BlueMe_Sem_Pedido!$H:$H,DRE!$A189)+SUMIFS(Aut_Ajustes_Manuais!$G:$G,Aut_Ajustes_Manuais!$I:$I,DRE!T$4,Aut_Ajustes_Manuais!$F:$F,"  -  FGTS sobre Férias")</f>
        <v>0</v>
      </c>
      <c r="W189" s="241">
        <v>0</v>
      </c>
      <c r="X189" s="27">
        <v>-13.59584476820239</v>
      </c>
      <c r="Y189" s="28">
        <f>SUMIFS(Aut_BlueMe_Sem_Pedido!$J:$J,Aut_BlueMe_Sem_Pedido!$Q:$Q,DRE!W$4,Aut_BlueMe_Sem_Pedido!$H:$H,DRE!$A189)+SUMIFS(Aut_Ajustes_Manuais!$G:$G,Aut_Ajustes_Manuais!$I:$I,DRE!W$4,Aut_Ajustes_Manuais!$F:$F,"  -  FGTS sobre Férias")</f>
        <v>0</v>
      </c>
      <c r="Z189" s="241">
        <v>0</v>
      </c>
      <c r="AA189" s="27">
        <v>-13.5254495363082</v>
      </c>
      <c r="AB189" s="28">
        <f>SUMIFS(Aut_BlueMe_Sem_Pedido!$J:$J,Aut_BlueMe_Sem_Pedido!$Q:$Q,DRE!Z$4,Aut_BlueMe_Sem_Pedido!$H:$H,DRE!$A189)+SUMIFS(Aut_Ajustes_Manuais!$G:$G,Aut_Ajustes_Manuais!$I:$I,DRE!Z$4,Aut_Ajustes_Manuais!$F:$F,"  -  FGTS sobre Férias")</f>
        <v>0</v>
      </c>
      <c r="AC189" s="241">
        <v>-319.60160000000002</v>
      </c>
      <c r="AD189" s="27">
        <v>-14.10790089955862</v>
      </c>
      <c r="AE189" s="28">
        <f>SUMIFS(Aut_BlueMe_Sem_Pedido!$J:$J,Aut_BlueMe_Sem_Pedido!$Q:$Q,DRE!AC$4,Aut_BlueMe_Sem_Pedido!$H:$H,DRE!$A189)+SUMIFS(Aut_Ajustes_Manuais!$G:$G,Aut_Ajustes_Manuais!$I:$I,DRE!AC$4,Aut_Ajustes_Manuais!$F:$F,"  -  FGTS sobre Férias")</f>
        <v>0</v>
      </c>
      <c r="AF189" s="241">
        <v>0</v>
      </c>
      <c r="AG189" s="27">
        <v>-13.08701982180469</v>
      </c>
      <c r="AH189" s="28">
        <f>SUMIFS(Aut_BlueMe_Sem_Pedido!$J:$J,Aut_BlueMe_Sem_Pedido!$Q:$Q,DRE!AF$4,Aut_BlueMe_Sem_Pedido!$H:$H,DRE!$A189)+SUMIFS(Aut_Ajustes_Manuais!$G:$G,Aut_Ajustes_Manuais!$I:$I,DRE!AF$4,Aut_Ajustes_Manuais!$F:$F,"  -  FGTS sobre Férias")</f>
        <v>0</v>
      </c>
      <c r="AI189" s="241">
        <v>0</v>
      </c>
      <c r="AJ189" s="27">
        <v>-13.130638439181871</v>
      </c>
      <c r="AK189" s="28">
        <f>SUMIFS(Aut_BlueMe_Sem_Pedido!$J:$J,Aut_BlueMe_Sem_Pedido!$Q:$Q,DRE!AI$4,Aut_BlueMe_Sem_Pedido!$H:$H,DRE!$A189)+SUMIFS(Aut_Ajustes_Manuais!$G:$G,Aut_Ajustes_Manuais!$I:$I,DRE!AI$4,Aut_Ajustes_Manuais!$F:$F,"  -  FGTS sobre Férias")</f>
        <v>0</v>
      </c>
      <c r="AL189" s="241">
        <v>0</v>
      </c>
      <c r="AM189" s="27">
        <v>-14.24742382195276</v>
      </c>
      <c r="AN189" s="28">
        <f>SUMIFS(Aut_BlueMe_Sem_Pedido!$J:$J,Aut_BlueMe_Sem_Pedido!$Q:$Q,DRE!AL$4,Aut_BlueMe_Sem_Pedido!$H:$H,DRE!$A189)+SUMIFS(Aut_Ajustes_Manuais!$G:$G,Aut_Ajustes_Manuais!$I:$I,DRE!AL$4,Aut_Ajustes_Manuais!$F:$F,"  -  FGTS sobre Férias")</f>
        <v>0</v>
      </c>
      <c r="AO189" s="241">
        <v>0</v>
      </c>
      <c r="AP189" s="27">
        <v>-13.481190078368259</v>
      </c>
      <c r="AQ189" s="28">
        <f>SUMIFS(Aut_BlueMe_Sem_Pedido!$J:$J,Aut_BlueMe_Sem_Pedido!$Q:$Q,DRE!AO$4,Aut_BlueMe_Sem_Pedido!$H:$H,DRE!$A189)+SUMIFS(Aut_Ajustes_Manuais!$G:$G,Aut_Ajustes_Manuais!$I:$I,DRE!AO$4,Aut_Ajustes_Manuais!$F:$F,"  -  FGTS sobre Férias")</f>
        <v>0</v>
      </c>
      <c r="AR189" s="241">
        <f t="shared" ca="1" si="154"/>
        <v>-1124.5104000000001</v>
      </c>
      <c r="AS189" s="27">
        <f t="shared" ca="1" si="155"/>
        <v>-71.69946508405809</v>
      </c>
      <c r="AT189" s="28">
        <f t="shared" ca="1" si="156"/>
        <v>0</v>
      </c>
      <c r="AU189" s="241">
        <f t="shared" si="164"/>
        <v>-1444.1120000000001</v>
      </c>
      <c r="AV189" s="27">
        <f t="shared" si="165"/>
        <v>-153.27908768123248</v>
      </c>
      <c r="AW189" s="28">
        <f t="shared" si="166"/>
        <v>0</v>
      </c>
      <c r="AX189" s="241">
        <f t="shared" si="167"/>
        <v>-656.3664</v>
      </c>
      <c r="AY189" s="27">
        <f t="shared" si="168"/>
        <v>-32.825854873936692</v>
      </c>
      <c r="AZ189" s="28">
        <f t="shared" si="169"/>
        <v>0</v>
      </c>
      <c r="BA189" s="241">
        <f t="shared" si="170"/>
        <v>-468.14400000000001</v>
      </c>
      <c r="BB189" s="27">
        <f t="shared" si="171"/>
        <v>-38.873610210121392</v>
      </c>
      <c r="BC189" s="28">
        <f t="shared" si="172"/>
        <v>0</v>
      </c>
      <c r="BD189" s="241">
        <f t="shared" si="173"/>
        <v>-319.60160000000002</v>
      </c>
      <c r="BE189" s="27">
        <f t="shared" si="174"/>
        <v>-40.720370257671512</v>
      </c>
      <c r="BF189" s="28">
        <f t="shared" si="175"/>
        <v>0</v>
      </c>
      <c r="BG189" s="241">
        <f t="shared" si="176"/>
        <v>0</v>
      </c>
      <c r="BH189" s="27">
        <f t="shared" si="177"/>
        <v>-40.859252339502888</v>
      </c>
      <c r="BI189" s="28">
        <f t="shared" si="178"/>
        <v>0</v>
      </c>
      <c r="BK189" s="448">
        <f t="shared" si="147"/>
        <v>-153.27908768123248</v>
      </c>
      <c r="BL189" s="448">
        <f t="shared" si="148"/>
        <v>0</v>
      </c>
      <c r="BM189" s="448">
        <f t="shared" si="149"/>
        <v>0</v>
      </c>
      <c r="BN189" s="448">
        <f t="shared" ca="1" si="150"/>
        <v>0</v>
      </c>
    </row>
    <row r="190" spans="1:66" s="29" customFormat="1" hidden="1" outlineLevel="1" x14ac:dyDescent="0.3">
      <c r="A190" s="22" t="s">
        <v>222</v>
      </c>
      <c r="B190" s="2"/>
      <c r="C190" s="457"/>
      <c r="D190" s="97" t="s">
        <v>223</v>
      </c>
      <c r="E190" s="98">
        <v>1.67E-2</v>
      </c>
      <c r="F190" s="41"/>
      <c r="G190" s="33"/>
      <c r="H190" s="241">
        <v>-149.46565333333339</v>
      </c>
      <c r="I190" s="27">
        <v>0</v>
      </c>
      <c r="J190" s="28">
        <f>J186*$E$190+SUMIFS(Aut_Ajustes_Manuais!$G:$G,Aut_Ajustes_Manuais!$I:$I,DRE!H$4,Aut_Ajustes_Manuais!$F:$F,"  -  INSS sobre 13º Salários")</f>
        <v>-5.3440707871250002</v>
      </c>
      <c r="K190" s="241">
        <v>-140.60232266666671</v>
      </c>
      <c r="L190" s="27">
        <v>0</v>
      </c>
      <c r="M190" s="28">
        <f>M186*$E$190+SUMIFS(Aut_Ajustes_Manuais!$G:$G,Aut_Ajustes_Manuais!$I:$I,DRE!K$4,Aut_Ajustes_Manuais!$F:$F,"  -  INSS sobre 13º Salários")</f>
        <v>-4.9562397524500001</v>
      </c>
      <c r="N190" s="241">
        <v>-135.46590933333329</v>
      </c>
      <c r="O190" s="27">
        <v>0</v>
      </c>
      <c r="P190" s="28">
        <f>P186*$E$190+SUMIFS(Aut_Ajustes_Manuais!$G:$G,Aut_Ajustes_Manuais!$I:$I,DRE!N$4,Aut_Ajustes_Manuais!$F:$F,"  -  INSS sobre 13º Salários")</f>
        <v>-4.3925932804250003</v>
      </c>
      <c r="Q190" s="241">
        <v>-129.60241066666671</v>
      </c>
      <c r="R190" s="27">
        <v>0</v>
      </c>
      <c r="S190" s="28">
        <f>S186*$E$190+SUMIFS(Aut_Ajustes_Manuais!$G:$G,Aut_Ajustes_Manuais!$I:$I,DRE!Q$4,Aut_Ajustes_Manuais!$F:$F,"  -  INSS sobre 13º Salários")</f>
        <v>-4.9634375874416676</v>
      </c>
      <c r="T190" s="241">
        <v>-144.20826933333331</v>
      </c>
      <c r="U190" s="27">
        <v>0</v>
      </c>
      <c r="V190" s="28">
        <f>V186*$E$190+SUMIFS(Aut_Ajustes_Manuais!$G:$G,Aut_Ajustes_Manuais!$I:$I,DRE!T$4,Aut_Ajustes_Manuais!$F:$F,"  -  INSS sobre 13º Salários")</f>
        <v>-4.6760296244083328</v>
      </c>
      <c r="W190" s="241">
        <v>-149.83837</v>
      </c>
      <c r="X190" s="27">
        <v>0</v>
      </c>
      <c r="Y190" s="28">
        <f>Y186*$E$190+SUMIFS(Aut_Ajustes_Manuais!$G:$G,Aut_Ajustes_Manuais!$I:$I,DRE!W$4,Aut_Ajustes_Manuais!$F:$F,"  -  INSS sobre 13º Salários")</f>
        <v>-5.504959614175001</v>
      </c>
      <c r="Z190" s="241">
        <v>-152.80234933333341</v>
      </c>
      <c r="AA190" s="27">
        <v>0</v>
      </c>
      <c r="AB190" s="28">
        <f>AB186*$E$190+SUMIFS(Aut_Ajustes_Manuais!$G:$G,Aut_Ajustes_Manuais!$I:$I,DRE!Z$4,Aut_Ajustes_Manuais!$F:$F,"  -  INSS sobre 13º Salários")</f>
        <v>-6.3889045266666669</v>
      </c>
      <c r="AC190" s="241">
        <v>-141.44363200000009</v>
      </c>
      <c r="AD190" s="27">
        <v>0</v>
      </c>
      <c r="AE190" s="28">
        <f>AE186*$E$190+SUMIFS(Aut_Ajustes_Manuais!$G:$G,Aut_Ajustes_Manuais!$I:$I,DRE!AC$4,Aut_Ajustes_Manuais!$F:$F,"  -  INSS sobre 13º Salários")</f>
        <v>-6.3889045266666669</v>
      </c>
      <c r="AF190" s="241">
        <v>-155.34777866666661</v>
      </c>
      <c r="AG190" s="27">
        <v>0</v>
      </c>
      <c r="AH190" s="28">
        <f>AH186*$E$190+SUMIFS(Aut_Ajustes_Manuais!$G:$G,Aut_Ajustes_Manuais!$I:$I,DRE!AF$4,Aut_Ajustes_Manuais!$F:$F,"  -  INSS sobre 13º Salários")</f>
        <v>-6.3889045266666669</v>
      </c>
      <c r="AI190" s="241">
        <v>-151.87840800000001</v>
      </c>
      <c r="AJ190" s="27">
        <v>0</v>
      </c>
      <c r="AK190" s="28">
        <f>AK186*$E$190+SUMIFS(Aut_Ajustes_Manuais!$G:$G,Aut_Ajustes_Manuais!$I:$I,DRE!AI$4,Aut_Ajustes_Manuais!$F:$F,"  -  INSS sobre 13º Salários")</f>
        <v>-6.3889045266666669</v>
      </c>
      <c r="AL190" s="241">
        <v>-253.27500000000001</v>
      </c>
      <c r="AM190" s="27">
        <v>0</v>
      </c>
      <c r="AN190" s="28">
        <f>AN186*$E$190+SUMIFS(Aut_Ajustes_Manuais!$G:$G,Aut_Ajustes_Manuais!$I:$I,DRE!AL$4,Aut_Ajustes_Manuais!$F:$F,"  -  INSS sobre 13º Salários")</f>
        <v>-6.3889045266666669</v>
      </c>
      <c r="AO190" s="241">
        <v>-253.27500000000001</v>
      </c>
      <c r="AP190" s="27">
        <v>0</v>
      </c>
      <c r="AQ190" s="28">
        <f>AQ186*$E$190+SUMIFS(Aut_Ajustes_Manuais!$G:$G,Aut_Ajustes_Manuais!$I:$I,DRE!AO$4,Aut_Ajustes_Manuais!$F:$F,"  -  INSS sobre 13º Salários")</f>
        <v>-6.3889045266666669</v>
      </c>
      <c r="AR190" s="241">
        <f t="shared" ca="1" si="154"/>
        <v>-849.18293533333349</v>
      </c>
      <c r="AS190" s="27">
        <f t="shared" ca="1" si="155"/>
        <v>0</v>
      </c>
      <c r="AT190" s="28">
        <f t="shared" ca="1" si="156"/>
        <v>-29.837330646025002</v>
      </c>
      <c r="AU190" s="241">
        <f t="shared" si="164"/>
        <v>-1957.2051033333337</v>
      </c>
      <c r="AV190" s="27">
        <f t="shared" si="165"/>
        <v>0</v>
      </c>
      <c r="AW190" s="28">
        <f t="shared" si="166"/>
        <v>-68.170757806024994</v>
      </c>
      <c r="AX190" s="241">
        <f t="shared" si="167"/>
        <v>-425.53388533333339</v>
      </c>
      <c r="AY190" s="27">
        <f t="shared" si="168"/>
        <v>0</v>
      </c>
      <c r="AZ190" s="28">
        <f t="shared" si="169"/>
        <v>-14.692903820000002</v>
      </c>
      <c r="BA190" s="241">
        <f t="shared" si="170"/>
        <v>-423.64905000000005</v>
      </c>
      <c r="BB190" s="27">
        <f t="shared" si="171"/>
        <v>0</v>
      </c>
      <c r="BC190" s="28">
        <f t="shared" si="172"/>
        <v>-15.144426826025001</v>
      </c>
      <c r="BD190" s="241">
        <f t="shared" si="173"/>
        <v>-449.59376000000009</v>
      </c>
      <c r="BE190" s="27">
        <f t="shared" si="174"/>
        <v>0</v>
      </c>
      <c r="BF190" s="28">
        <f t="shared" si="175"/>
        <v>-19.16671358</v>
      </c>
      <c r="BG190" s="241">
        <f t="shared" si="176"/>
        <v>-658.42840799999999</v>
      </c>
      <c r="BH190" s="27">
        <f t="shared" si="177"/>
        <v>0</v>
      </c>
      <c r="BI190" s="28">
        <f t="shared" si="178"/>
        <v>-19.16671358</v>
      </c>
      <c r="BK190" s="448">
        <f t="shared" si="147"/>
        <v>0</v>
      </c>
      <c r="BL190" s="448">
        <f t="shared" si="148"/>
        <v>0</v>
      </c>
      <c r="BM190" s="448">
        <f t="shared" si="149"/>
        <v>-24.332371031850002</v>
      </c>
      <c r="BN190" s="448">
        <f t="shared" ca="1" si="150"/>
        <v>5.5049596141750001</v>
      </c>
    </row>
    <row r="191" spans="1:66" s="29" customFormat="1" hidden="1" outlineLevel="1" x14ac:dyDescent="0.3">
      <c r="A191" s="22" t="s">
        <v>224</v>
      </c>
      <c r="B191" s="2"/>
      <c r="C191" s="457"/>
      <c r="D191" s="97" t="s">
        <v>225</v>
      </c>
      <c r="E191" s="98">
        <v>2.2200000000000001E-2</v>
      </c>
      <c r="F191" s="41"/>
      <c r="G191" s="33"/>
      <c r="H191" s="241">
        <v>0</v>
      </c>
      <c r="I191" s="27">
        <v>0</v>
      </c>
      <c r="J191" s="28">
        <f>SUMIFS(Aut_BlueMe_Sem_Pedido!$J:$J,Aut_BlueMe_Sem_Pedido!$Q:$Q,DRE!H$4,Aut_BlueMe_Sem_Pedido!$H:$H,DRE!$A191)+SUMIFS(Aut_Ajustes_Manuais!$G:$G,Aut_Ajustes_Manuais!$I:$I,DRE!H$4,Aut_Ajustes_Manuais!$F:$F,"  -  INSS sobre Férias")</f>
        <v>0</v>
      </c>
      <c r="K191" s="241">
        <v>-446.67259999999999</v>
      </c>
      <c r="L191" s="27">
        <v>0</v>
      </c>
      <c r="M191" s="28">
        <f>SUMIFS(Aut_BlueMe_Sem_Pedido!$J:$J,Aut_BlueMe_Sem_Pedido!$Q:$Q,DRE!K$4,Aut_BlueMe_Sem_Pedido!$H:$H,DRE!$A191)+SUMIFS(Aut_Ajustes_Manuais!$G:$G,Aut_Ajustes_Manuais!$I:$I,DRE!K$4,Aut_Ajustes_Manuais!$F:$F,"  -  INSS sobre Férias")</f>
        <v>0</v>
      </c>
      <c r="N191" s="241">
        <v>-455.83120000000002</v>
      </c>
      <c r="O191" s="27">
        <v>0</v>
      </c>
      <c r="P191" s="28">
        <f>SUMIFS(Aut_BlueMe_Sem_Pedido!$J:$J,Aut_BlueMe_Sem_Pedido!$Q:$Q,DRE!N$4,Aut_BlueMe_Sem_Pedido!$H:$H,DRE!$A191)+SUMIFS(Aut_Ajustes_Manuais!$G:$G,Aut_Ajustes_Manuais!$I:$I,DRE!N$4,Aut_Ajustes_Manuais!$F:$F,"  -  INSS sobre Férias")</f>
        <v>0</v>
      </c>
      <c r="Q191" s="241">
        <v>-643.69799999999998</v>
      </c>
      <c r="R191" s="27">
        <v>0</v>
      </c>
      <c r="S191" s="28">
        <f>SUMIFS(Aut_BlueMe_Sem_Pedido!$J:$J,Aut_BlueMe_Sem_Pedido!$Q:$Q,DRE!Q$4,Aut_BlueMe_Sem_Pedido!$H:$H,DRE!$A191)+SUMIFS(Aut_Ajustes_Manuais!$G:$G,Aut_Ajustes_Manuais!$I:$I,DRE!Q$4,Aut_Ajustes_Manuais!$F:$F,"  -  INSS sobre Férias")</f>
        <v>0</v>
      </c>
      <c r="T191" s="241">
        <v>0</v>
      </c>
      <c r="U191" s="27">
        <v>0</v>
      </c>
      <c r="V191" s="28">
        <f>SUMIFS(Aut_BlueMe_Sem_Pedido!$J:$J,Aut_BlueMe_Sem_Pedido!$Q:$Q,DRE!T$4,Aut_BlueMe_Sem_Pedido!$H:$H,DRE!$A191)+SUMIFS(Aut_Ajustes_Manuais!$G:$G,Aut_Ajustes_Manuais!$I:$I,DRE!T$4,Aut_Ajustes_Manuais!$F:$F,"  -  INSS sobre Férias")</f>
        <v>0</v>
      </c>
      <c r="W191" s="241">
        <v>0</v>
      </c>
      <c r="X191" s="27">
        <v>0</v>
      </c>
      <c r="Y191" s="28">
        <f>SUMIFS(Aut_BlueMe_Sem_Pedido!$J:$J,Aut_BlueMe_Sem_Pedido!$Q:$Q,DRE!W$4,Aut_BlueMe_Sem_Pedido!$H:$H,DRE!$A191)+SUMIFS(Aut_Ajustes_Manuais!$G:$G,Aut_Ajustes_Manuais!$I:$I,DRE!W$4,Aut_Ajustes_Manuais!$F:$F,"  -  INSS sobre Férias")</f>
        <v>0</v>
      </c>
      <c r="Z191" s="241">
        <v>0</v>
      </c>
      <c r="AA191" s="27">
        <v>0</v>
      </c>
      <c r="AB191" s="28">
        <f>SUMIFS(Aut_BlueMe_Sem_Pedido!$J:$J,Aut_BlueMe_Sem_Pedido!$Q:$Q,DRE!Z$4,Aut_BlueMe_Sem_Pedido!$H:$H,DRE!$A191)+SUMIFS(Aut_Ajustes_Manuais!$G:$G,Aut_Ajustes_Manuais!$I:$I,DRE!Z$4,Aut_Ajustes_Manuais!$F:$F,"  -  INSS sobre Férias")</f>
        <v>0</v>
      </c>
      <c r="AC191" s="241">
        <v>-439.4522</v>
      </c>
      <c r="AD191" s="27">
        <v>0</v>
      </c>
      <c r="AE191" s="28">
        <f>SUMIFS(Aut_BlueMe_Sem_Pedido!$J:$J,Aut_BlueMe_Sem_Pedido!$Q:$Q,DRE!AC$4,Aut_BlueMe_Sem_Pedido!$H:$H,DRE!$A191)+SUMIFS(Aut_Ajustes_Manuais!$G:$G,Aut_Ajustes_Manuais!$I:$I,DRE!AC$4,Aut_Ajustes_Manuais!$F:$F,"  -  INSS sobre Férias")</f>
        <v>0</v>
      </c>
      <c r="AF191" s="241">
        <v>0</v>
      </c>
      <c r="AG191" s="27">
        <v>0</v>
      </c>
      <c r="AH191" s="28">
        <f>SUMIFS(Aut_BlueMe_Sem_Pedido!$J:$J,Aut_BlueMe_Sem_Pedido!$Q:$Q,DRE!AF$4,Aut_BlueMe_Sem_Pedido!$H:$H,DRE!$A191)+SUMIFS(Aut_Ajustes_Manuais!$G:$G,Aut_Ajustes_Manuais!$I:$I,DRE!AF$4,Aut_Ajustes_Manuais!$F:$F,"  -  INSS sobre Férias")</f>
        <v>0</v>
      </c>
      <c r="AI191" s="241">
        <v>0</v>
      </c>
      <c r="AJ191" s="27">
        <v>0</v>
      </c>
      <c r="AK191" s="28">
        <f>SUMIFS(Aut_BlueMe_Sem_Pedido!$J:$J,Aut_BlueMe_Sem_Pedido!$Q:$Q,DRE!AI$4,Aut_BlueMe_Sem_Pedido!$H:$H,DRE!$A191)+SUMIFS(Aut_Ajustes_Manuais!$G:$G,Aut_Ajustes_Manuais!$I:$I,DRE!AI$4,Aut_Ajustes_Manuais!$F:$F,"  -  INSS sobre Férias")</f>
        <v>0</v>
      </c>
      <c r="AL191" s="241">
        <v>0</v>
      </c>
      <c r="AM191" s="27">
        <v>0</v>
      </c>
      <c r="AN191" s="28">
        <f>SUMIFS(Aut_BlueMe_Sem_Pedido!$J:$J,Aut_BlueMe_Sem_Pedido!$Q:$Q,DRE!AL$4,Aut_BlueMe_Sem_Pedido!$H:$H,DRE!$A191)+SUMIFS(Aut_Ajustes_Manuais!$G:$G,Aut_Ajustes_Manuais!$I:$I,DRE!AL$4,Aut_Ajustes_Manuais!$F:$F,"  -  INSS sobre Férias")</f>
        <v>0</v>
      </c>
      <c r="AO191" s="241">
        <v>0</v>
      </c>
      <c r="AP191" s="27">
        <v>0</v>
      </c>
      <c r="AQ191" s="28">
        <f>SUMIFS(Aut_BlueMe_Sem_Pedido!$J:$J,Aut_BlueMe_Sem_Pedido!$Q:$Q,DRE!AO$4,Aut_BlueMe_Sem_Pedido!$H:$H,DRE!$A191)+SUMIFS(Aut_Ajustes_Manuais!$G:$G,Aut_Ajustes_Manuais!$I:$I,DRE!AO$4,Aut_Ajustes_Manuais!$F:$F,"  -  INSS sobre Férias")</f>
        <v>0</v>
      </c>
      <c r="AR191" s="241">
        <f t="shared" ca="1" si="154"/>
        <v>-1546.2017999999998</v>
      </c>
      <c r="AS191" s="27">
        <f t="shared" ca="1" si="155"/>
        <v>0</v>
      </c>
      <c r="AT191" s="28">
        <f t="shared" ca="1" si="156"/>
        <v>0</v>
      </c>
      <c r="AU191" s="241">
        <f t="shared" si="164"/>
        <v>-1985.6539999999998</v>
      </c>
      <c r="AV191" s="27">
        <f t="shared" si="165"/>
        <v>0</v>
      </c>
      <c r="AW191" s="28">
        <f t="shared" si="166"/>
        <v>0</v>
      </c>
      <c r="AX191" s="241">
        <f t="shared" si="167"/>
        <v>-902.50379999999996</v>
      </c>
      <c r="AY191" s="27">
        <f t="shared" si="168"/>
        <v>0</v>
      </c>
      <c r="AZ191" s="28">
        <f t="shared" si="169"/>
        <v>0</v>
      </c>
      <c r="BA191" s="241">
        <f t="shared" si="170"/>
        <v>-643.69799999999998</v>
      </c>
      <c r="BB191" s="27">
        <f t="shared" si="171"/>
        <v>0</v>
      </c>
      <c r="BC191" s="28">
        <f t="shared" si="172"/>
        <v>0</v>
      </c>
      <c r="BD191" s="241">
        <f t="shared" si="173"/>
        <v>-439.4522</v>
      </c>
      <c r="BE191" s="27">
        <f t="shared" si="174"/>
        <v>0</v>
      </c>
      <c r="BF191" s="28">
        <f t="shared" si="175"/>
        <v>0</v>
      </c>
      <c r="BG191" s="241">
        <f t="shared" si="176"/>
        <v>0</v>
      </c>
      <c r="BH191" s="27">
        <f t="shared" si="177"/>
        <v>0</v>
      </c>
      <c r="BI191" s="28">
        <f t="shared" si="178"/>
        <v>0</v>
      </c>
      <c r="BK191" s="448">
        <f t="shared" si="147"/>
        <v>0</v>
      </c>
      <c r="BL191" s="448">
        <f t="shared" si="148"/>
        <v>0</v>
      </c>
      <c r="BM191" s="448">
        <f t="shared" si="149"/>
        <v>0</v>
      </c>
      <c r="BN191" s="448">
        <f t="shared" ca="1" si="150"/>
        <v>0</v>
      </c>
    </row>
    <row r="192" spans="1:66" s="29" customFormat="1" hidden="1" outlineLevel="1" x14ac:dyDescent="0.3">
      <c r="A192" s="22" t="s">
        <v>226</v>
      </c>
      <c r="B192" s="2"/>
      <c r="C192" s="457"/>
      <c r="D192" s="97" t="s">
        <v>227</v>
      </c>
      <c r="E192" s="98">
        <v>0.04</v>
      </c>
      <c r="F192" s="41"/>
      <c r="G192" s="33"/>
      <c r="H192" s="241">
        <v>0</v>
      </c>
      <c r="I192" s="27">
        <v>-442.09161484253582</v>
      </c>
      <c r="J192" s="28">
        <f>SUMIFS(Aut_BlueMe_Sem_Pedido!$J:$J,Aut_BlueMe_Sem_Pedido!$Q:$Q,DRE!H$4,Aut_BlueMe_Sem_Pedido!$H:$H,DRE!$A192)+SUMIFS(Aut_Ajustes_Manuais!$G:$G,Aut_Ajustes_Manuais!$I:$I,DRE!H$4,Aut_Ajustes_Manuais!$F:$F,"  -  Rescisão")</f>
        <v>0</v>
      </c>
      <c r="K192" s="241">
        <v>0</v>
      </c>
      <c r="L192" s="27">
        <v>-467.98755657734341</v>
      </c>
      <c r="M192" s="28">
        <f>SUMIFS(Aut_BlueMe_Sem_Pedido!$J:$J,Aut_BlueMe_Sem_Pedido!$Q:$Q,DRE!K$4,Aut_BlueMe_Sem_Pedido!$H:$H,DRE!$A192)+SUMIFS(Aut_Ajustes_Manuais!$G:$G,Aut_Ajustes_Manuais!$I:$I,DRE!K$4,Aut_Ajustes_Manuais!$F:$F,"  -  Rescisão")</f>
        <v>0</v>
      </c>
      <c r="N192" s="241">
        <v>0</v>
      </c>
      <c r="O192" s="27">
        <v>-419.03733324402128</v>
      </c>
      <c r="P192" s="28">
        <f>SUMIFS(Aut_BlueMe_Sem_Pedido!$J:$J,Aut_BlueMe_Sem_Pedido!$Q:$Q,DRE!N$4,Aut_BlueMe_Sem_Pedido!$H:$H,DRE!$A192)+SUMIFS(Aut_Ajustes_Manuais!$G:$G,Aut_Ajustes_Manuais!$I:$I,DRE!N$4,Aut_Ajustes_Manuais!$F:$F,"  -  Rescisão")</f>
        <v>0</v>
      </c>
      <c r="Q192" s="241">
        <v>0</v>
      </c>
      <c r="R192" s="27">
        <v>-446.50258670075328</v>
      </c>
      <c r="S192" s="28">
        <f>SUMIFS(Aut_BlueMe_Sem_Pedido!$J:$J,Aut_BlueMe_Sem_Pedido!$Q:$Q,DRE!Q$4,Aut_BlueMe_Sem_Pedido!$H:$H,DRE!$A192)+SUMIFS(Aut_Ajustes_Manuais!$G:$G,Aut_Ajustes_Manuais!$I:$I,DRE!Q$4,Aut_Ajustes_Manuais!$F:$F,"  -  Rescisão")</f>
        <v>0</v>
      </c>
      <c r="T192" s="241">
        <v>0</v>
      </c>
      <c r="U192" s="27">
        <v>-576.99231933908868</v>
      </c>
      <c r="V192" s="28">
        <f>SUMIFS(Aut_BlueMe_Sem_Pedido!$J:$J,Aut_BlueMe_Sem_Pedido!$Q:$Q,DRE!T$4,Aut_BlueMe_Sem_Pedido!$H:$H,DRE!$A192)+SUMIFS(Aut_Ajustes_Manuais!$G:$G,Aut_Ajustes_Manuais!$I:$I,DRE!T$4,Aut_Ajustes_Manuais!$F:$F,"  -  Rescisão")</f>
        <v>0</v>
      </c>
      <c r="W192" s="241">
        <v>0</v>
      </c>
      <c r="X192" s="27">
        <v>-550.49477753628469</v>
      </c>
      <c r="Y192" s="28">
        <f>SUMIFS(Aut_BlueMe_Sem_Pedido!$J:$J,Aut_BlueMe_Sem_Pedido!$Q:$Q,DRE!W$4,Aut_BlueMe_Sem_Pedido!$H:$H,DRE!$A192)+SUMIFS(Aut_Ajustes_Manuais!$G:$G,Aut_Ajustes_Manuais!$I:$I,DRE!W$4,Aut_Ajustes_Manuais!$F:$F,"  -  Rescisão")</f>
        <v>0</v>
      </c>
      <c r="Z192" s="241">
        <v>0</v>
      </c>
      <c r="AA192" s="27">
        <v>-547.6444796561675</v>
      </c>
      <c r="AB192" s="28">
        <f>SUMIFS(Aut_BlueMe_Sem_Pedido!$J:$J,Aut_BlueMe_Sem_Pedido!$Q:$Q,DRE!Z$4,Aut_BlueMe_Sem_Pedido!$H:$H,DRE!$A192)+SUMIFS(Aut_Ajustes_Manuais!$G:$G,Aut_Ajustes_Manuais!$I:$I,DRE!Z$4,Aut_Ajustes_Manuais!$F:$F,"  -  Rescisão")</f>
        <v>0</v>
      </c>
      <c r="AC192" s="241">
        <v>0</v>
      </c>
      <c r="AD192" s="27">
        <v>-571.22789349361756</v>
      </c>
      <c r="AE192" s="28">
        <f>SUMIFS(Aut_BlueMe_Sem_Pedido!$J:$J,Aut_BlueMe_Sem_Pedido!$Q:$Q,DRE!AC$4,Aut_BlueMe_Sem_Pedido!$H:$H,DRE!$A192)+SUMIFS(Aut_Ajustes_Manuais!$G:$G,Aut_Ajustes_Manuais!$I:$I,DRE!AC$4,Aut_Ajustes_Manuais!$F:$F,"  -  Rescisão")</f>
        <v>0</v>
      </c>
      <c r="AF192" s="241">
        <v>0</v>
      </c>
      <c r="AG192" s="27">
        <v>-529.89249202569863</v>
      </c>
      <c r="AH192" s="28">
        <f>SUMIFS(Aut_BlueMe_Sem_Pedido!$J:$J,Aut_BlueMe_Sem_Pedido!$Q:$Q,DRE!AF$4,Aut_BlueMe_Sem_Pedido!$H:$H,DRE!$A192)+SUMIFS(Aut_Ajustes_Manuais!$G:$G,Aut_Ajustes_Manuais!$I:$I,DRE!AF$4,Aut_Ajustes_Manuais!$F:$F,"  -  Rescisão")</f>
        <v>0</v>
      </c>
      <c r="AI192" s="241">
        <v>0</v>
      </c>
      <c r="AJ192" s="27">
        <v>-531.658606708447</v>
      </c>
      <c r="AK192" s="28">
        <f>SUMIFS(Aut_BlueMe_Sem_Pedido!$J:$J,Aut_BlueMe_Sem_Pedido!$Q:$Q,DRE!AI$4,Aut_BlueMe_Sem_Pedido!$H:$H,DRE!$A192)+SUMIFS(Aut_Ajustes_Manuais!$G:$G,Aut_Ajustes_Manuais!$I:$I,DRE!AI$4,Aut_Ajustes_Manuais!$F:$F,"  -  Rescisão")</f>
        <v>0</v>
      </c>
      <c r="AL192" s="241">
        <v>0</v>
      </c>
      <c r="AM192" s="27">
        <v>-576.8771665938965</v>
      </c>
      <c r="AN192" s="28">
        <f>SUMIFS(Aut_BlueMe_Sem_Pedido!$J:$J,Aut_BlueMe_Sem_Pedido!$Q:$Q,DRE!AL$4,Aut_BlueMe_Sem_Pedido!$H:$H,DRE!$A192)+SUMIFS(Aut_Ajustes_Manuais!$G:$G,Aut_Ajustes_Manuais!$I:$I,DRE!AL$4,Aut_Ajustes_Manuais!$F:$F,"  -  Rescisão")</f>
        <v>0</v>
      </c>
      <c r="AO192" s="241">
        <v>0</v>
      </c>
      <c r="AP192" s="27">
        <v>-545.85241738508989</v>
      </c>
      <c r="AQ192" s="28">
        <f>SUMIFS(Aut_BlueMe_Sem_Pedido!$J:$J,Aut_BlueMe_Sem_Pedido!$Q:$Q,DRE!AO$4,Aut_BlueMe_Sem_Pedido!$H:$H,DRE!$A192)+SUMIFS(Aut_Ajustes_Manuais!$G:$G,Aut_Ajustes_Manuais!$I:$I,DRE!AO$4,Aut_Ajustes_Manuais!$F:$F,"  -  Rescisão")</f>
        <v>0</v>
      </c>
      <c r="AR192" s="241">
        <f t="shared" ca="1" si="154"/>
        <v>0</v>
      </c>
      <c r="AS192" s="27">
        <f t="shared" ca="1" si="155"/>
        <v>-2903.1061882400272</v>
      </c>
      <c r="AT192" s="28">
        <f t="shared" ca="1" si="156"/>
        <v>0</v>
      </c>
      <c r="AU192" s="241">
        <f t="shared" si="164"/>
        <v>0</v>
      </c>
      <c r="AV192" s="27">
        <f t="shared" si="165"/>
        <v>-6206.2592441029446</v>
      </c>
      <c r="AW192" s="28">
        <f t="shared" si="166"/>
        <v>0</v>
      </c>
      <c r="AX192" s="241">
        <f t="shared" si="167"/>
        <v>0</v>
      </c>
      <c r="AY192" s="27">
        <f t="shared" si="168"/>
        <v>-1329.1165046639005</v>
      </c>
      <c r="AZ192" s="28">
        <f t="shared" si="169"/>
        <v>0</v>
      </c>
      <c r="BA192" s="241">
        <f t="shared" si="170"/>
        <v>0</v>
      </c>
      <c r="BB192" s="27">
        <f t="shared" si="171"/>
        <v>-1573.9896835761265</v>
      </c>
      <c r="BC192" s="28">
        <f t="shared" si="172"/>
        <v>0</v>
      </c>
      <c r="BD192" s="241">
        <f t="shared" si="173"/>
        <v>0</v>
      </c>
      <c r="BE192" s="27">
        <f t="shared" si="174"/>
        <v>-1648.7648651754837</v>
      </c>
      <c r="BF192" s="28">
        <f t="shared" si="175"/>
        <v>0</v>
      </c>
      <c r="BG192" s="241">
        <f t="shared" si="176"/>
        <v>0</v>
      </c>
      <c r="BH192" s="27">
        <f t="shared" si="177"/>
        <v>-1654.3881906874333</v>
      </c>
      <c r="BI192" s="28">
        <f t="shared" si="178"/>
        <v>0</v>
      </c>
      <c r="BK192" s="448">
        <f t="shared" si="147"/>
        <v>-6206.2592441029446</v>
      </c>
      <c r="BL192" s="448">
        <f t="shared" si="148"/>
        <v>0</v>
      </c>
      <c r="BM192" s="448">
        <f t="shared" si="149"/>
        <v>0</v>
      </c>
      <c r="BN192" s="448">
        <f t="shared" ca="1" si="150"/>
        <v>0</v>
      </c>
    </row>
    <row r="193" spans="1:66" s="29" customFormat="1" hidden="1" outlineLevel="1" x14ac:dyDescent="0.3">
      <c r="A193" s="22" t="s">
        <v>228</v>
      </c>
      <c r="B193" s="2"/>
      <c r="C193" s="457"/>
      <c r="D193" s="97" t="s">
        <v>229</v>
      </c>
      <c r="E193" s="98">
        <v>0</v>
      </c>
      <c r="F193" s="41"/>
      <c r="G193" s="33"/>
      <c r="H193" s="241">
        <v>0</v>
      </c>
      <c r="I193" s="27"/>
      <c r="J193" s="28">
        <f>SUMIFS(Aut_BlueMe_Sem_Pedido!$J:$J,Aut_BlueMe_Sem_Pedido!$Q:$Q,DRE!H$4,Aut_BlueMe_Sem_Pedido!$H:$H,DRE!$A193)+SUMIFS(Aut_Ajustes_Manuais!$G:$G,Aut_Ajustes_Manuais!$I:$I,DRE!H$4,Aut_Ajustes_Manuais!$F:$F,"  -  Multa Rescisória")</f>
        <v>0</v>
      </c>
      <c r="K193" s="241">
        <v>0</v>
      </c>
      <c r="L193" s="27"/>
      <c r="M193" s="28">
        <f>SUMIFS(Aut_BlueMe_Sem_Pedido!$J:$J,Aut_BlueMe_Sem_Pedido!$Q:$Q,DRE!K$4,Aut_BlueMe_Sem_Pedido!$H:$H,DRE!$A193)+SUMIFS(Aut_Ajustes_Manuais!$G:$G,Aut_Ajustes_Manuais!$I:$I,DRE!K$4,Aut_Ajustes_Manuais!$F:$F,"  -  Multa Rescisória")</f>
        <v>0</v>
      </c>
      <c r="N193" s="241">
        <v>0</v>
      </c>
      <c r="O193" s="27"/>
      <c r="P193" s="28">
        <f>SUMIFS(Aut_BlueMe_Sem_Pedido!$J:$J,Aut_BlueMe_Sem_Pedido!$Q:$Q,DRE!N$4,Aut_BlueMe_Sem_Pedido!$H:$H,DRE!$A193)+SUMIFS(Aut_Ajustes_Manuais!$G:$G,Aut_Ajustes_Manuais!$I:$I,DRE!N$4,Aut_Ajustes_Manuais!$F:$F,"  -  Multa Rescisória")</f>
        <v>0</v>
      </c>
      <c r="Q193" s="241">
        <v>0</v>
      </c>
      <c r="R193" s="27"/>
      <c r="S193" s="28">
        <f>SUMIFS(Aut_BlueMe_Sem_Pedido!$J:$J,Aut_BlueMe_Sem_Pedido!$Q:$Q,DRE!Q$4,Aut_BlueMe_Sem_Pedido!$H:$H,DRE!$A193)+SUMIFS(Aut_Ajustes_Manuais!$G:$G,Aut_Ajustes_Manuais!$I:$I,DRE!Q$4,Aut_Ajustes_Manuais!$F:$F,"  -  Multa Rescisória")</f>
        <v>0</v>
      </c>
      <c r="T193" s="241">
        <v>0</v>
      </c>
      <c r="U193" s="27"/>
      <c r="V193" s="28">
        <f>SUMIFS(Aut_BlueMe_Sem_Pedido!$J:$J,Aut_BlueMe_Sem_Pedido!$Q:$Q,DRE!T$4,Aut_BlueMe_Sem_Pedido!$H:$H,DRE!$A193)+SUMIFS(Aut_Ajustes_Manuais!$G:$G,Aut_Ajustes_Manuais!$I:$I,DRE!T$4,Aut_Ajustes_Manuais!$F:$F,"  -  Multa Rescisória")</f>
        <v>0</v>
      </c>
      <c r="W193" s="241">
        <v>0</v>
      </c>
      <c r="X193" s="27"/>
      <c r="Y193" s="28">
        <f>SUMIFS(Aut_BlueMe_Sem_Pedido!$J:$J,Aut_BlueMe_Sem_Pedido!$Q:$Q,DRE!W$4,Aut_BlueMe_Sem_Pedido!$H:$H,DRE!$A193)+SUMIFS(Aut_Ajustes_Manuais!$G:$G,Aut_Ajustes_Manuais!$I:$I,DRE!W$4,Aut_Ajustes_Manuais!$F:$F,"  -  Multa Rescisória")</f>
        <v>0</v>
      </c>
      <c r="Z193" s="241">
        <v>0</v>
      </c>
      <c r="AA193" s="27"/>
      <c r="AB193" s="28">
        <f>SUMIFS(Aut_BlueMe_Sem_Pedido!$J:$J,Aut_BlueMe_Sem_Pedido!$Q:$Q,DRE!Z$4,Aut_BlueMe_Sem_Pedido!$H:$H,DRE!$A193)+SUMIFS(Aut_Ajustes_Manuais!$G:$G,Aut_Ajustes_Manuais!$I:$I,DRE!Z$4,Aut_Ajustes_Manuais!$F:$F,"  -  Multa Rescisória")</f>
        <v>0</v>
      </c>
      <c r="AC193" s="241">
        <v>0</v>
      </c>
      <c r="AD193" s="27"/>
      <c r="AE193" s="28">
        <f>SUMIFS(Aut_BlueMe_Sem_Pedido!$J:$J,Aut_BlueMe_Sem_Pedido!$Q:$Q,DRE!AC$4,Aut_BlueMe_Sem_Pedido!$H:$H,DRE!$A193)+SUMIFS(Aut_Ajustes_Manuais!$G:$G,Aut_Ajustes_Manuais!$I:$I,DRE!AC$4,Aut_Ajustes_Manuais!$F:$F,"  -  Multa Rescisória")</f>
        <v>0</v>
      </c>
      <c r="AF193" s="241">
        <v>0</v>
      </c>
      <c r="AG193" s="27"/>
      <c r="AH193" s="28">
        <f>SUMIFS(Aut_BlueMe_Sem_Pedido!$J:$J,Aut_BlueMe_Sem_Pedido!$Q:$Q,DRE!AF$4,Aut_BlueMe_Sem_Pedido!$H:$H,DRE!$A193)+SUMIFS(Aut_Ajustes_Manuais!$G:$G,Aut_Ajustes_Manuais!$I:$I,DRE!AF$4,Aut_Ajustes_Manuais!$F:$F,"  -  Multa Rescisória")</f>
        <v>0</v>
      </c>
      <c r="AI193" s="241">
        <v>0</v>
      </c>
      <c r="AJ193" s="27"/>
      <c r="AK193" s="28">
        <f>SUMIFS(Aut_BlueMe_Sem_Pedido!$J:$J,Aut_BlueMe_Sem_Pedido!$Q:$Q,DRE!AI$4,Aut_BlueMe_Sem_Pedido!$H:$H,DRE!$A193)+SUMIFS(Aut_Ajustes_Manuais!$G:$G,Aut_Ajustes_Manuais!$I:$I,DRE!AI$4,Aut_Ajustes_Manuais!$F:$F,"  -  Multa Rescisória")</f>
        <v>0</v>
      </c>
      <c r="AL193" s="241">
        <v>0</v>
      </c>
      <c r="AM193" s="27"/>
      <c r="AN193" s="28">
        <f>SUMIFS(Aut_BlueMe_Sem_Pedido!$J:$J,Aut_BlueMe_Sem_Pedido!$Q:$Q,DRE!AL$4,Aut_BlueMe_Sem_Pedido!$H:$H,DRE!$A193)+SUMIFS(Aut_Ajustes_Manuais!$G:$G,Aut_Ajustes_Manuais!$I:$I,DRE!AL$4,Aut_Ajustes_Manuais!$F:$F,"  -  Multa Rescisória")</f>
        <v>0</v>
      </c>
      <c r="AO193" s="241">
        <v>0</v>
      </c>
      <c r="AP193" s="27"/>
      <c r="AQ193" s="28">
        <f>SUMIFS(Aut_BlueMe_Sem_Pedido!$J:$J,Aut_BlueMe_Sem_Pedido!$Q:$Q,DRE!AO$4,Aut_BlueMe_Sem_Pedido!$H:$H,DRE!$A193)+SUMIFS(Aut_Ajustes_Manuais!$G:$G,Aut_Ajustes_Manuais!$I:$I,DRE!AO$4,Aut_Ajustes_Manuais!$F:$F,"  -  Multa Rescisória")</f>
        <v>0</v>
      </c>
      <c r="AR193" s="241">
        <f t="shared" ca="1" si="154"/>
        <v>0</v>
      </c>
      <c r="AS193" s="27">
        <f t="shared" ca="1" si="155"/>
        <v>0</v>
      </c>
      <c r="AT193" s="28">
        <f t="shared" ca="1" si="156"/>
        <v>0</v>
      </c>
      <c r="AU193" s="241">
        <f t="shared" si="164"/>
        <v>0</v>
      </c>
      <c r="AV193" s="27">
        <f t="shared" si="165"/>
        <v>0</v>
      </c>
      <c r="AW193" s="28">
        <f t="shared" si="166"/>
        <v>0</v>
      </c>
      <c r="AX193" s="241">
        <f t="shared" si="167"/>
        <v>0</v>
      </c>
      <c r="AY193" s="27">
        <f t="shared" si="168"/>
        <v>0</v>
      </c>
      <c r="AZ193" s="28">
        <f t="shared" si="169"/>
        <v>0</v>
      </c>
      <c r="BA193" s="241">
        <f t="shared" si="170"/>
        <v>0</v>
      </c>
      <c r="BB193" s="27">
        <f t="shared" si="171"/>
        <v>0</v>
      </c>
      <c r="BC193" s="28">
        <f t="shared" si="172"/>
        <v>0</v>
      </c>
      <c r="BD193" s="241">
        <f t="shared" si="173"/>
        <v>0</v>
      </c>
      <c r="BE193" s="27">
        <f t="shared" si="174"/>
        <v>0</v>
      </c>
      <c r="BF193" s="28">
        <f t="shared" si="175"/>
        <v>0</v>
      </c>
      <c r="BG193" s="241">
        <f t="shared" si="176"/>
        <v>0</v>
      </c>
      <c r="BH193" s="27">
        <f t="shared" si="177"/>
        <v>0</v>
      </c>
      <c r="BI193" s="28">
        <f t="shared" si="178"/>
        <v>0</v>
      </c>
      <c r="BK193" s="448">
        <f t="shared" si="147"/>
        <v>0</v>
      </c>
      <c r="BL193" s="448">
        <f t="shared" si="148"/>
        <v>0</v>
      </c>
      <c r="BM193" s="448">
        <f t="shared" si="149"/>
        <v>0</v>
      </c>
      <c r="BN193" s="448">
        <f t="shared" ca="1" si="150"/>
        <v>0</v>
      </c>
    </row>
    <row r="194" spans="1:66" s="29" customFormat="1" hidden="1" outlineLevel="1" x14ac:dyDescent="0.3">
      <c r="A194" s="22" t="s">
        <v>230</v>
      </c>
      <c r="B194" s="2"/>
      <c r="C194" s="457"/>
      <c r="D194" s="97" t="s">
        <v>231</v>
      </c>
      <c r="E194" s="98"/>
      <c r="F194" s="41"/>
      <c r="G194" s="33"/>
      <c r="H194" s="241">
        <v>-8800</v>
      </c>
      <c r="I194" s="27">
        <v>0</v>
      </c>
      <c r="J194" s="28">
        <f>SUMIFS(Aut_Endividamentos!$N:$N,Aut_Endividamentos!$S:$S,DRE!H$4,Aut_Endividamentos!$G:$G,DRE!$A194)-SUMIFS(Aut_Endividamentos!$N:$N,Aut_Endividamentos!$S:$S,DRE!H$4,Aut_Endividamentos!$G:$G,"Processo Judicial")+SUMIFS(Aut_Ajustes_Manuais!$G:$G,Aut_Ajustes_Manuais!$I:$I,DRE!H$4,Aut_Ajustes_Manuais!$F:$F,"  -  Ações trabalhistas")</f>
        <v>0</v>
      </c>
      <c r="K194" s="241">
        <v>-8800</v>
      </c>
      <c r="L194" s="27">
        <v>0</v>
      </c>
      <c r="M194" s="28">
        <f>SUMIFS(Aut_Endividamentos!$N:$N,Aut_Endividamentos!$S:$S,DRE!K$4,Aut_Endividamentos!$G:$G,DRE!$A194)-SUMIFS(Aut_Endividamentos!$N:$N,Aut_Endividamentos!$S:$S,DRE!K$4,Aut_Endividamentos!$G:$G,"Processo Judicial")+SUMIFS(Aut_Ajustes_Manuais!$G:$G,Aut_Ajustes_Manuais!$I:$I,DRE!K$4,Aut_Ajustes_Manuais!$F:$F,"  -  Ações trabalhistas")</f>
        <v>0</v>
      </c>
      <c r="N194" s="241">
        <v>-9300</v>
      </c>
      <c r="O194" s="27">
        <v>0</v>
      </c>
      <c r="P194" s="28">
        <f>SUMIFS(Aut_Endividamentos!$N:$N,Aut_Endividamentos!$S:$S,DRE!N$4,Aut_Endividamentos!$G:$G,DRE!$A194)-SUMIFS(Aut_Endividamentos!$N:$N,Aut_Endividamentos!$S:$S,DRE!N$4,Aut_Endividamentos!$G:$G,"Processo Judicial")+SUMIFS(Aut_Ajustes_Manuais!$G:$G,Aut_Ajustes_Manuais!$I:$I,DRE!N$4,Aut_Ajustes_Manuais!$F:$F,"  -  Ações trabalhistas")</f>
        <v>0</v>
      </c>
      <c r="Q194" s="241">
        <v>0</v>
      </c>
      <c r="R194" s="27">
        <v>-1500</v>
      </c>
      <c r="S194" s="28">
        <f>SUMIFS(Aut_Endividamentos!$N:$N,Aut_Endividamentos!$S:$S,DRE!Q$4,Aut_Endividamentos!$G:$G,DRE!$A194)-SUMIFS(Aut_Endividamentos!$N:$N,Aut_Endividamentos!$S:$S,DRE!Q$4,Aut_Endividamentos!$G:$G,"Processo Judicial")+SUMIFS(Aut_Ajustes_Manuais!$G:$G,Aut_Ajustes_Manuais!$I:$I,DRE!Q$4,Aut_Ajustes_Manuais!$F:$F,"  -  Ações trabalhistas")</f>
        <v>-2000.75</v>
      </c>
      <c r="T194" s="241">
        <v>-8244.07</v>
      </c>
      <c r="U194" s="27">
        <v>-1500</v>
      </c>
      <c r="V194" s="28">
        <f>SUMIFS(Aut_Endividamentos!$N:$N,Aut_Endividamentos!$S:$S,DRE!T$4,Aut_Endividamentos!$G:$G,DRE!$A194)-SUMIFS(Aut_Endividamentos!$N:$N,Aut_Endividamentos!$S:$S,DRE!T$4,Aut_Endividamentos!$G:$G,"Processo Judicial")+SUMIFS(Aut_Ajustes_Manuais!$G:$G,Aut_Ajustes_Manuais!$I:$I,DRE!T$4,Aut_Ajustes_Manuais!$F:$F,"  -  Ações trabalhistas")</f>
        <v>-2000.75</v>
      </c>
      <c r="W194" s="241">
        <v>0</v>
      </c>
      <c r="X194" s="27">
        <v>-1500</v>
      </c>
      <c r="Y194" s="28">
        <f>SUMIFS(Aut_Endividamentos!$N:$N,Aut_Endividamentos!$S:$S,DRE!W$4,Aut_Endividamentos!$G:$G,DRE!$A194)-SUMIFS(Aut_Endividamentos!$N:$N,Aut_Endividamentos!$S:$S,DRE!W$4,Aut_Endividamentos!$G:$G,"Processo Judicial")+SUMIFS(Aut_Ajustes_Manuais!$G:$G,Aut_Ajustes_Manuais!$I:$I,DRE!W$4,Aut_Ajustes_Manuais!$F:$F,"  -  Ações trabalhistas")</f>
        <v>-2000.75</v>
      </c>
      <c r="Z194" s="241">
        <v>0</v>
      </c>
      <c r="AA194" s="27">
        <v>-1500</v>
      </c>
      <c r="AB194" s="28">
        <f>SUMIFS(Aut_Endividamentos!$N:$N,Aut_Endividamentos!$S:$S,DRE!Z$4,Aut_Endividamentos!$G:$G,DRE!$A194)-SUMIFS(Aut_Endividamentos!$N:$N,Aut_Endividamentos!$S:$S,DRE!Z$4,Aut_Endividamentos!$G:$G,"Processo Judicial")+SUMIFS(Aut_Ajustes_Manuais!$G:$G,Aut_Ajustes_Manuais!$I:$I,DRE!Z$4,Aut_Ajustes_Manuais!$F:$F,"  -  Ações trabalhistas")</f>
        <v>0</v>
      </c>
      <c r="AC194" s="241">
        <v>0</v>
      </c>
      <c r="AD194" s="27">
        <v>-1500</v>
      </c>
      <c r="AE194" s="28">
        <f>SUMIFS(Aut_Endividamentos!$N:$N,Aut_Endividamentos!$S:$S,DRE!AC$4,Aut_Endividamentos!$G:$G,DRE!$A194)-SUMIFS(Aut_Endividamentos!$N:$N,Aut_Endividamentos!$S:$S,DRE!AC$4,Aut_Endividamentos!$G:$G,"Processo Judicial")+SUMIFS(Aut_Ajustes_Manuais!$G:$G,Aut_Ajustes_Manuais!$I:$I,DRE!AC$4,Aut_Ajustes_Manuais!$F:$F,"  -  Ações trabalhistas")</f>
        <v>0</v>
      </c>
      <c r="AF194" s="241">
        <v>0</v>
      </c>
      <c r="AG194" s="27">
        <v>-1500</v>
      </c>
      <c r="AH194" s="28">
        <f>SUMIFS(Aut_Endividamentos!$N:$N,Aut_Endividamentos!$S:$S,DRE!AF$4,Aut_Endividamentos!$G:$G,DRE!$A194)-SUMIFS(Aut_Endividamentos!$N:$N,Aut_Endividamentos!$S:$S,DRE!AF$4,Aut_Endividamentos!$G:$G,"Processo Judicial")+SUMIFS(Aut_Ajustes_Manuais!$G:$G,Aut_Ajustes_Manuais!$I:$I,DRE!AF$4,Aut_Ajustes_Manuais!$F:$F,"  -  Ações trabalhistas")</f>
        <v>0</v>
      </c>
      <c r="AI194" s="241">
        <v>0</v>
      </c>
      <c r="AJ194" s="27">
        <v>-1500</v>
      </c>
      <c r="AK194" s="28">
        <f>SUMIFS(Aut_Endividamentos!$N:$N,Aut_Endividamentos!$S:$S,DRE!AI$4,Aut_Endividamentos!$G:$G,DRE!$A194)-SUMIFS(Aut_Endividamentos!$N:$N,Aut_Endividamentos!$S:$S,DRE!AI$4,Aut_Endividamentos!$G:$G,"Processo Judicial")+SUMIFS(Aut_Ajustes_Manuais!$G:$G,Aut_Ajustes_Manuais!$I:$I,DRE!AI$4,Aut_Ajustes_Manuais!$F:$F,"  -  Ações trabalhistas")</f>
        <v>0</v>
      </c>
      <c r="AL194" s="241">
        <v>0</v>
      </c>
      <c r="AM194" s="27">
        <v>-1500</v>
      </c>
      <c r="AN194" s="28">
        <f>SUMIFS(Aut_Endividamentos!$N:$N,Aut_Endividamentos!$S:$S,DRE!AL$4,Aut_Endividamentos!$G:$G,DRE!$A194)-SUMIFS(Aut_Endividamentos!$N:$N,Aut_Endividamentos!$S:$S,DRE!AL$4,Aut_Endividamentos!$G:$G,"Processo Judicial")+SUMIFS(Aut_Ajustes_Manuais!$G:$G,Aut_Ajustes_Manuais!$I:$I,DRE!AL$4,Aut_Ajustes_Manuais!$F:$F,"  -  Ações trabalhistas")</f>
        <v>0</v>
      </c>
      <c r="AO194" s="241">
        <v>0</v>
      </c>
      <c r="AP194" s="27">
        <v>-1500</v>
      </c>
      <c r="AQ194" s="28">
        <f>SUMIFS(Aut_Endividamentos!$N:$N,Aut_Endividamentos!$S:$S,DRE!AO$4,Aut_Endividamentos!$G:$G,DRE!$A194)-SUMIFS(Aut_Endividamentos!$N:$N,Aut_Endividamentos!$S:$S,DRE!AO$4,Aut_Endividamentos!$G:$G,"Processo Judicial")+SUMIFS(Aut_Ajustes_Manuais!$G:$G,Aut_Ajustes_Manuais!$I:$I,DRE!AO$4,Aut_Ajustes_Manuais!$F:$F,"  -  Ações trabalhistas")</f>
        <v>0</v>
      </c>
      <c r="AR194" s="241">
        <f t="shared" ca="1" si="154"/>
        <v>-35144.07</v>
      </c>
      <c r="AS194" s="27">
        <f t="shared" ca="1" si="155"/>
        <v>-4500</v>
      </c>
      <c r="AT194" s="28">
        <f t="shared" ca="1" si="156"/>
        <v>-6002.25</v>
      </c>
      <c r="AU194" s="241">
        <f t="shared" si="164"/>
        <v>-35144.07</v>
      </c>
      <c r="AV194" s="27">
        <f t="shared" si="165"/>
        <v>-13500</v>
      </c>
      <c r="AW194" s="28">
        <f t="shared" si="166"/>
        <v>-6002.25</v>
      </c>
      <c r="AX194" s="241">
        <f t="shared" si="167"/>
        <v>-26900</v>
      </c>
      <c r="AY194" s="27">
        <f t="shared" si="168"/>
        <v>0</v>
      </c>
      <c r="AZ194" s="28">
        <f t="shared" si="169"/>
        <v>0</v>
      </c>
      <c r="BA194" s="241">
        <f t="shared" si="170"/>
        <v>-8244.07</v>
      </c>
      <c r="BB194" s="27">
        <f t="shared" si="171"/>
        <v>-4500</v>
      </c>
      <c r="BC194" s="28">
        <f t="shared" si="172"/>
        <v>-6002.25</v>
      </c>
      <c r="BD194" s="241">
        <f t="shared" si="173"/>
        <v>0</v>
      </c>
      <c r="BE194" s="27">
        <f t="shared" si="174"/>
        <v>-4500</v>
      </c>
      <c r="BF194" s="28">
        <f t="shared" si="175"/>
        <v>0</v>
      </c>
      <c r="BG194" s="241">
        <f t="shared" si="176"/>
        <v>0</v>
      </c>
      <c r="BH194" s="27">
        <f t="shared" si="177"/>
        <v>-4500</v>
      </c>
      <c r="BI194" s="28">
        <f t="shared" si="178"/>
        <v>0</v>
      </c>
      <c r="BK194" s="448">
        <f t="shared" si="147"/>
        <v>-13500</v>
      </c>
      <c r="BL194" s="448">
        <f t="shared" si="148"/>
        <v>0</v>
      </c>
      <c r="BM194" s="448">
        <f t="shared" si="149"/>
        <v>-4001.5</v>
      </c>
      <c r="BN194" s="448">
        <f t="shared" ca="1" si="150"/>
        <v>2000.75</v>
      </c>
    </row>
    <row r="195" spans="1:66" s="29" customFormat="1" hidden="1" outlineLevel="1" x14ac:dyDescent="0.3">
      <c r="A195" s="22" t="s">
        <v>232</v>
      </c>
      <c r="B195" s="2"/>
      <c r="C195" s="457"/>
      <c r="D195" s="97" t="s">
        <v>233</v>
      </c>
      <c r="E195" s="100" t="s">
        <v>234</v>
      </c>
      <c r="F195" s="41"/>
      <c r="G195" s="33"/>
      <c r="H195" s="241">
        <v>0</v>
      </c>
      <c r="I195" s="27">
        <v>0</v>
      </c>
      <c r="J195" s="28">
        <f>SUMIFS(Aut_BlueMe_Sem_Pedido!$J:$J,Aut_BlueMe_Sem_Pedido!$Q:$Q,DRE!H$4,Aut_BlueMe_Sem_Pedido!$H:$H,DRE!$A195)+SUMIFS(Aut_Ajustes_Manuais!$G:$G,Aut_Ajustes_Manuais!$I:$I,DRE!H$4,Aut_Ajustes_Manuais!$F:$F,"  -  Adicional Noturno")</f>
        <v>0</v>
      </c>
      <c r="K195" s="241">
        <v>0</v>
      </c>
      <c r="L195" s="27">
        <v>0</v>
      </c>
      <c r="M195" s="28">
        <f>SUMIFS(Aut_BlueMe_Sem_Pedido!$J:$J,Aut_BlueMe_Sem_Pedido!$Q:$Q,DRE!K$4,Aut_BlueMe_Sem_Pedido!$H:$H,DRE!$A195)+SUMIFS(Aut_Ajustes_Manuais!$G:$G,Aut_Ajustes_Manuais!$I:$I,DRE!K$4,Aut_Ajustes_Manuais!$F:$F,"  -  Adicional Noturno")</f>
        <v>0</v>
      </c>
      <c r="N195" s="241">
        <v>0</v>
      </c>
      <c r="O195" s="27">
        <v>0</v>
      </c>
      <c r="P195" s="28">
        <f>SUMIFS(Aut_BlueMe_Sem_Pedido!$J:$J,Aut_BlueMe_Sem_Pedido!$Q:$Q,DRE!N$4,Aut_BlueMe_Sem_Pedido!$H:$H,DRE!$A195)+SUMIFS(Aut_Ajustes_Manuais!$G:$G,Aut_Ajustes_Manuais!$I:$I,DRE!N$4,Aut_Ajustes_Manuais!$F:$F,"  -  Adicional Noturno")</f>
        <v>0</v>
      </c>
      <c r="Q195" s="241">
        <v>0</v>
      </c>
      <c r="R195" s="27">
        <v>0</v>
      </c>
      <c r="S195" s="28">
        <f>SUMIFS(Aut_BlueMe_Sem_Pedido!$J:$J,Aut_BlueMe_Sem_Pedido!$Q:$Q,DRE!Q$4,Aut_BlueMe_Sem_Pedido!$H:$H,DRE!$A195)+SUMIFS(Aut_Ajustes_Manuais!$G:$G,Aut_Ajustes_Manuais!$I:$I,DRE!Q$4,Aut_Ajustes_Manuais!$F:$F,"  -  Adicional Noturno")</f>
        <v>0</v>
      </c>
      <c r="T195" s="241">
        <v>0</v>
      </c>
      <c r="U195" s="27">
        <v>0</v>
      </c>
      <c r="V195" s="28">
        <f>SUMIFS(Aut_BlueMe_Sem_Pedido!$J:$J,Aut_BlueMe_Sem_Pedido!$Q:$Q,DRE!T$4,Aut_BlueMe_Sem_Pedido!$H:$H,DRE!$A195)+SUMIFS(Aut_Ajustes_Manuais!$G:$G,Aut_Ajustes_Manuais!$I:$I,DRE!T$4,Aut_Ajustes_Manuais!$F:$F,"  -  Adicional Noturno")</f>
        <v>0</v>
      </c>
      <c r="W195" s="241">
        <v>0</v>
      </c>
      <c r="X195" s="27">
        <v>0</v>
      </c>
      <c r="Y195" s="28">
        <f>SUMIFS(Aut_BlueMe_Sem_Pedido!$J:$J,Aut_BlueMe_Sem_Pedido!$Q:$Q,DRE!W$4,Aut_BlueMe_Sem_Pedido!$H:$H,DRE!$A195)+SUMIFS(Aut_Ajustes_Manuais!$G:$G,Aut_Ajustes_Manuais!$I:$I,DRE!W$4,Aut_Ajustes_Manuais!$F:$F,"  -  Adicional Noturno")</f>
        <v>0</v>
      </c>
      <c r="Z195" s="241">
        <v>0</v>
      </c>
      <c r="AA195" s="27">
        <v>0</v>
      </c>
      <c r="AB195" s="28">
        <f>SUMIFS(Aut_BlueMe_Sem_Pedido!$J:$J,Aut_BlueMe_Sem_Pedido!$Q:$Q,DRE!Z$4,Aut_BlueMe_Sem_Pedido!$H:$H,DRE!$A195)+SUMIFS(Aut_Ajustes_Manuais!$G:$G,Aut_Ajustes_Manuais!$I:$I,DRE!Z$4,Aut_Ajustes_Manuais!$F:$F,"  -  Adicional Noturno")</f>
        <v>0</v>
      </c>
      <c r="AC195" s="241">
        <v>0</v>
      </c>
      <c r="AD195" s="27">
        <v>0</v>
      </c>
      <c r="AE195" s="28">
        <f>SUMIFS(Aut_BlueMe_Sem_Pedido!$J:$J,Aut_BlueMe_Sem_Pedido!$Q:$Q,DRE!AC$4,Aut_BlueMe_Sem_Pedido!$H:$H,DRE!$A195)+SUMIFS(Aut_Ajustes_Manuais!$G:$G,Aut_Ajustes_Manuais!$I:$I,DRE!AC$4,Aut_Ajustes_Manuais!$F:$F,"  -  Adicional Noturno")</f>
        <v>0</v>
      </c>
      <c r="AF195" s="241">
        <v>0</v>
      </c>
      <c r="AG195" s="27">
        <v>0</v>
      </c>
      <c r="AH195" s="28">
        <f>SUMIFS(Aut_BlueMe_Sem_Pedido!$J:$J,Aut_BlueMe_Sem_Pedido!$Q:$Q,DRE!AF$4,Aut_BlueMe_Sem_Pedido!$H:$H,DRE!$A195)+SUMIFS(Aut_Ajustes_Manuais!$G:$G,Aut_Ajustes_Manuais!$I:$I,DRE!AF$4,Aut_Ajustes_Manuais!$F:$F,"  -  Adicional Noturno")</f>
        <v>0</v>
      </c>
      <c r="AI195" s="241">
        <v>0</v>
      </c>
      <c r="AJ195" s="27">
        <v>0</v>
      </c>
      <c r="AK195" s="28">
        <f>SUMIFS(Aut_BlueMe_Sem_Pedido!$J:$J,Aut_BlueMe_Sem_Pedido!$Q:$Q,DRE!AI$4,Aut_BlueMe_Sem_Pedido!$H:$H,DRE!$A195)+SUMIFS(Aut_Ajustes_Manuais!$G:$G,Aut_Ajustes_Manuais!$I:$I,DRE!AI$4,Aut_Ajustes_Manuais!$F:$F,"  -  Adicional Noturno")</f>
        <v>0</v>
      </c>
      <c r="AL195" s="241">
        <v>0</v>
      </c>
      <c r="AM195" s="27">
        <v>0</v>
      </c>
      <c r="AN195" s="28">
        <f>SUMIFS(Aut_BlueMe_Sem_Pedido!$J:$J,Aut_BlueMe_Sem_Pedido!$Q:$Q,DRE!AL$4,Aut_BlueMe_Sem_Pedido!$H:$H,DRE!$A195)+SUMIFS(Aut_Ajustes_Manuais!$G:$G,Aut_Ajustes_Manuais!$I:$I,DRE!AL$4,Aut_Ajustes_Manuais!$F:$F,"  -  Adicional Noturno")</f>
        <v>0</v>
      </c>
      <c r="AO195" s="241">
        <v>0</v>
      </c>
      <c r="AP195" s="27">
        <v>0</v>
      </c>
      <c r="AQ195" s="28">
        <f>SUMIFS(Aut_BlueMe_Sem_Pedido!$J:$J,Aut_BlueMe_Sem_Pedido!$Q:$Q,DRE!AO$4,Aut_BlueMe_Sem_Pedido!$H:$H,DRE!$A195)+SUMIFS(Aut_Ajustes_Manuais!$G:$G,Aut_Ajustes_Manuais!$I:$I,DRE!AO$4,Aut_Ajustes_Manuais!$F:$F,"  -  Adicional Noturno")</f>
        <v>0</v>
      </c>
      <c r="AR195" s="241">
        <f t="shared" ca="1" si="154"/>
        <v>0</v>
      </c>
      <c r="AS195" s="27">
        <f t="shared" ca="1" si="155"/>
        <v>0</v>
      </c>
      <c r="AT195" s="28">
        <f t="shared" ca="1" si="156"/>
        <v>0</v>
      </c>
      <c r="AU195" s="241">
        <f t="shared" si="164"/>
        <v>0</v>
      </c>
      <c r="AV195" s="27">
        <f t="shared" si="165"/>
        <v>0</v>
      </c>
      <c r="AW195" s="28">
        <f t="shared" si="166"/>
        <v>0</v>
      </c>
      <c r="AX195" s="241">
        <f t="shared" si="167"/>
        <v>0</v>
      </c>
      <c r="AY195" s="27">
        <f t="shared" si="168"/>
        <v>0</v>
      </c>
      <c r="AZ195" s="28">
        <f t="shared" si="169"/>
        <v>0</v>
      </c>
      <c r="BA195" s="241">
        <f t="shared" si="170"/>
        <v>0</v>
      </c>
      <c r="BB195" s="27">
        <f t="shared" si="171"/>
        <v>0</v>
      </c>
      <c r="BC195" s="28">
        <f t="shared" si="172"/>
        <v>0</v>
      </c>
      <c r="BD195" s="241">
        <f t="shared" si="173"/>
        <v>0</v>
      </c>
      <c r="BE195" s="27">
        <f t="shared" si="174"/>
        <v>0</v>
      </c>
      <c r="BF195" s="28">
        <f t="shared" si="175"/>
        <v>0</v>
      </c>
      <c r="BG195" s="241">
        <f t="shared" si="176"/>
        <v>0</v>
      </c>
      <c r="BH195" s="27">
        <f t="shared" si="177"/>
        <v>0</v>
      </c>
      <c r="BI195" s="28">
        <f t="shared" si="178"/>
        <v>0</v>
      </c>
      <c r="BK195" s="448">
        <f t="shared" si="147"/>
        <v>0</v>
      </c>
      <c r="BL195" s="448">
        <f t="shared" si="148"/>
        <v>0</v>
      </c>
      <c r="BM195" s="448">
        <f t="shared" si="149"/>
        <v>0</v>
      </c>
      <c r="BN195" s="448">
        <f t="shared" ca="1" si="150"/>
        <v>0</v>
      </c>
    </row>
    <row r="196" spans="1:66" s="29" customFormat="1" hidden="1" outlineLevel="1" x14ac:dyDescent="0.3">
      <c r="A196" s="22" t="s">
        <v>235</v>
      </c>
      <c r="B196" s="2"/>
      <c r="C196" s="457"/>
      <c r="D196" s="97" t="s">
        <v>236</v>
      </c>
      <c r="E196" s="100"/>
      <c r="F196" s="41"/>
      <c r="G196" s="33"/>
      <c r="H196" s="241">
        <v>-341.39120072727269</v>
      </c>
      <c r="I196" s="27">
        <v>-90.596550000000008</v>
      </c>
      <c r="J196" s="28">
        <f>SUMIFS(Aut_BlueMe_Sem_Pedido!$J:$J,Aut_BlueMe_Sem_Pedido!$Q:$Q,DRE!H$4,Aut_BlueMe_Sem_Pedido!$H:$H,DRE!$A196)+SUMIFS(Aut_Ajustes_Manuais!$G:$G,Aut_Ajustes_Manuais!$I:$I,DRE!H$4,Aut_Ajustes_Manuais!$F:$F,"  -  Hora Extra")</f>
        <v>0</v>
      </c>
      <c r="K196" s="241">
        <v>-1705.7272581818179</v>
      </c>
      <c r="L196" s="27">
        <v>-110.22584999999999</v>
      </c>
      <c r="M196" s="28">
        <f>SUMIFS(Aut_BlueMe_Sem_Pedido!$J:$J,Aut_BlueMe_Sem_Pedido!$Q:$Q,DRE!K$4,Aut_BlueMe_Sem_Pedido!$H:$H,DRE!$A196)+SUMIFS(Aut_Ajustes_Manuais!$G:$G,Aut_Ajustes_Manuais!$I:$I,DRE!K$4,Aut_Ajustes_Manuais!$F:$F,"  -  Hora Extra")</f>
        <v>0</v>
      </c>
      <c r="N196" s="241">
        <v>-128.93474618181821</v>
      </c>
      <c r="O196" s="27">
        <v>-110.22584999999999</v>
      </c>
      <c r="P196" s="28">
        <f>SUMIFS(Aut_BlueMe_Sem_Pedido!$J:$J,Aut_BlueMe_Sem_Pedido!$Q:$Q,DRE!N$4,Aut_BlueMe_Sem_Pedido!$H:$H,DRE!$A196)+SUMIFS(Aut_Ajustes_Manuais!$G:$G,Aut_Ajustes_Manuais!$I:$I,DRE!N$4,Aut_Ajustes_Manuais!$F:$F,"  -  Hora Extra")</f>
        <v>0</v>
      </c>
      <c r="Q196" s="241">
        <v>-808.79008581818198</v>
      </c>
      <c r="R196" s="27">
        <v>-130.8203454545455</v>
      </c>
      <c r="S196" s="28">
        <f>SUMIFS(Aut_BlueMe_Sem_Pedido!$J:$J,Aut_BlueMe_Sem_Pedido!$Q:$Q,DRE!Q$4,Aut_BlueMe_Sem_Pedido!$H:$H,DRE!$A196)+SUMIFS(Aut_Ajustes_Manuais!$G:$G,Aut_Ajustes_Manuais!$I:$I,DRE!Q$4,Aut_Ajustes_Manuais!$F:$F,"  -  Hora Extra")</f>
        <v>0</v>
      </c>
      <c r="T196" s="241">
        <v>-377.13864436363639</v>
      </c>
      <c r="U196" s="27">
        <v>-130.8203454545455</v>
      </c>
      <c r="V196" s="28">
        <f>SUMIFS(Aut_BlueMe_Sem_Pedido!$J:$J,Aut_BlueMe_Sem_Pedido!$Q:$Q,DRE!T$4,Aut_BlueMe_Sem_Pedido!$H:$H,DRE!$A196)+SUMIFS(Aut_Ajustes_Manuais!$G:$G,Aut_Ajustes_Manuais!$I:$I,DRE!T$4,Aut_Ajustes_Manuais!$F:$F,"  -  Hora Extra")</f>
        <v>0</v>
      </c>
      <c r="W196" s="241">
        <v>-1438.373755636364</v>
      </c>
      <c r="X196" s="27">
        <v>-136.3147999636364</v>
      </c>
      <c r="Y196" s="28">
        <f>SUMIFS(Aut_BlueMe_Sem_Pedido!$J:$J,Aut_BlueMe_Sem_Pedido!$Q:$Q,DRE!W$4,Aut_BlueMe_Sem_Pedido!$H:$H,DRE!$A196)+SUMIFS(Aut_Ajustes_Manuais!$G:$G,Aut_Ajustes_Manuais!$I:$I,DRE!W$4,Aut_Ajustes_Manuais!$F:$F,"  -  Hora Extra")</f>
        <v>0</v>
      </c>
      <c r="Z196" s="241">
        <v>-645.07201527272719</v>
      </c>
      <c r="AA196" s="27">
        <v>-136.3147999636364</v>
      </c>
      <c r="AB196" s="28">
        <f>SUMIFS(Aut_BlueMe_Sem_Pedido!$J:$J,Aut_BlueMe_Sem_Pedido!$Q:$Q,DRE!Z$4,Aut_BlueMe_Sem_Pedido!$H:$H,DRE!$A196)+SUMIFS(Aut_Ajustes_Manuais!$G:$G,Aut_Ajustes_Manuais!$I:$I,DRE!Z$4,Aut_Ajustes_Manuais!$F:$F,"  -  Hora Extra")</f>
        <v>0</v>
      </c>
      <c r="AC196" s="241">
        <v>-31.10825454545455</v>
      </c>
      <c r="AD196" s="27">
        <v>-136.3147999636364</v>
      </c>
      <c r="AE196" s="28">
        <f>SUMIFS(Aut_BlueMe_Sem_Pedido!$J:$J,Aut_BlueMe_Sem_Pedido!$Q:$Q,DRE!AC$4,Aut_BlueMe_Sem_Pedido!$H:$H,DRE!$A196)+SUMIFS(Aut_Ajustes_Manuais!$G:$G,Aut_Ajustes_Manuais!$I:$I,DRE!AC$4,Aut_Ajustes_Manuais!$F:$F,"  -  Hora Extra")</f>
        <v>0</v>
      </c>
      <c r="AF196" s="241">
        <v>0</v>
      </c>
      <c r="AG196" s="27">
        <v>-136.3147999636364</v>
      </c>
      <c r="AH196" s="28">
        <f>SUMIFS(Aut_BlueMe_Sem_Pedido!$J:$J,Aut_BlueMe_Sem_Pedido!$Q:$Q,DRE!AF$4,Aut_BlueMe_Sem_Pedido!$H:$H,DRE!$A196)+SUMIFS(Aut_Ajustes_Manuais!$G:$G,Aut_Ajustes_Manuais!$I:$I,DRE!AF$4,Aut_Ajustes_Manuais!$F:$F,"  -  Hora Extra")</f>
        <v>0</v>
      </c>
      <c r="AI196" s="241">
        <v>-266.44442727272718</v>
      </c>
      <c r="AJ196" s="27">
        <v>-136.3147999636364</v>
      </c>
      <c r="AK196" s="28">
        <f>SUMIFS(Aut_BlueMe_Sem_Pedido!$J:$J,Aut_BlueMe_Sem_Pedido!$Q:$Q,DRE!AI$4,Aut_BlueMe_Sem_Pedido!$H:$H,DRE!$A196)+SUMIFS(Aut_Ajustes_Manuais!$G:$G,Aut_Ajustes_Manuais!$I:$I,DRE!AI$4,Aut_Ajustes_Manuais!$F:$F,"  -  Hora Extra")</f>
        <v>0</v>
      </c>
      <c r="AL196" s="241">
        <v>-200</v>
      </c>
      <c r="AM196" s="27">
        <v>-136.3147999636364</v>
      </c>
      <c r="AN196" s="28">
        <f>SUMIFS(Aut_BlueMe_Sem_Pedido!$J:$J,Aut_BlueMe_Sem_Pedido!$Q:$Q,DRE!AL$4,Aut_BlueMe_Sem_Pedido!$H:$H,DRE!$A196)+SUMIFS(Aut_Ajustes_Manuais!$G:$G,Aut_Ajustes_Manuais!$I:$I,DRE!AL$4,Aut_Ajustes_Manuais!$F:$F,"  -  Hora Extra")</f>
        <v>0</v>
      </c>
      <c r="AO196" s="241">
        <v>-200</v>
      </c>
      <c r="AP196" s="27">
        <v>-136.3147999636364</v>
      </c>
      <c r="AQ196" s="28">
        <f>SUMIFS(Aut_BlueMe_Sem_Pedido!$J:$J,Aut_BlueMe_Sem_Pedido!$Q:$Q,DRE!AO$4,Aut_BlueMe_Sem_Pedido!$H:$H,DRE!$A196)+SUMIFS(Aut_Ajustes_Manuais!$G:$G,Aut_Ajustes_Manuais!$I:$I,DRE!AO$4,Aut_Ajustes_Manuais!$F:$F,"  -  Hora Extra")</f>
        <v>0</v>
      </c>
      <c r="AR196" s="241">
        <f t="shared" ca="1" si="154"/>
        <v>-4800.3556909090912</v>
      </c>
      <c r="AS196" s="27">
        <f t="shared" ca="1" si="155"/>
        <v>-709.00374087272735</v>
      </c>
      <c r="AT196" s="28">
        <f t="shared" ca="1" si="156"/>
        <v>0</v>
      </c>
      <c r="AU196" s="241">
        <f t="shared" si="164"/>
        <v>-6142.9803879999999</v>
      </c>
      <c r="AV196" s="27">
        <f t="shared" si="165"/>
        <v>-1526.8925406545461</v>
      </c>
      <c r="AW196" s="28">
        <f t="shared" si="166"/>
        <v>0</v>
      </c>
      <c r="AX196" s="241">
        <f t="shared" si="167"/>
        <v>-2176.0532050909087</v>
      </c>
      <c r="AY196" s="27">
        <f t="shared" si="168"/>
        <v>-311.04825</v>
      </c>
      <c r="AZ196" s="28">
        <f t="shared" si="169"/>
        <v>0</v>
      </c>
      <c r="BA196" s="241">
        <f t="shared" si="170"/>
        <v>-2624.3024858181825</v>
      </c>
      <c r="BB196" s="27">
        <f t="shared" si="171"/>
        <v>-397.95549087272741</v>
      </c>
      <c r="BC196" s="28">
        <f t="shared" si="172"/>
        <v>0</v>
      </c>
      <c r="BD196" s="241">
        <f t="shared" si="173"/>
        <v>-676.18026981818173</v>
      </c>
      <c r="BE196" s="27">
        <f t="shared" si="174"/>
        <v>-408.94439989090921</v>
      </c>
      <c r="BF196" s="28">
        <f t="shared" si="175"/>
        <v>0</v>
      </c>
      <c r="BG196" s="241">
        <f t="shared" si="176"/>
        <v>-666.44442727272713</v>
      </c>
      <c r="BH196" s="27">
        <f t="shared" si="177"/>
        <v>-408.94439989090921</v>
      </c>
      <c r="BI196" s="28">
        <f t="shared" si="178"/>
        <v>0</v>
      </c>
      <c r="BK196" s="448">
        <f t="shared" si="147"/>
        <v>-1526.8925406545461</v>
      </c>
      <c r="BL196" s="448">
        <f t="shared" si="148"/>
        <v>0</v>
      </c>
      <c r="BM196" s="448">
        <f t="shared" si="149"/>
        <v>0</v>
      </c>
      <c r="BN196" s="448">
        <f t="shared" ca="1" si="150"/>
        <v>0</v>
      </c>
    </row>
    <row r="197" spans="1:66" s="29" customFormat="1" hidden="1" outlineLevel="1" x14ac:dyDescent="0.3">
      <c r="A197" s="22" t="s">
        <v>237</v>
      </c>
      <c r="B197" s="2"/>
      <c r="C197" s="457"/>
      <c r="D197" s="97"/>
      <c r="E197" s="100"/>
      <c r="F197" s="41"/>
      <c r="G197" s="33"/>
      <c r="H197" s="241">
        <v>0</v>
      </c>
      <c r="I197" s="27"/>
      <c r="J197" s="28">
        <f>SUMIFS(Aut_BlueMe_Sem_Pedido!$J:$J,Aut_BlueMe_Sem_Pedido!$Q:$Q,DRE!H$4,Aut_BlueMe_Sem_Pedido!$H:$H,DRE!$A197)+SUMIFS(Aut_Ajustes_Manuais!$G:$G,Aut_Ajustes_Manuais!$I:$I,DRE!H$4,Aut_Ajustes_Manuais!$F:$F,"  -  Remuneração Variável")</f>
        <v>0</v>
      </c>
      <c r="K197" s="241">
        <v>0</v>
      </c>
      <c r="L197" s="27"/>
      <c r="M197" s="28">
        <f>SUMIFS(Aut_BlueMe_Sem_Pedido!$J:$J,Aut_BlueMe_Sem_Pedido!$Q:$Q,DRE!K$4,Aut_BlueMe_Sem_Pedido!$H:$H,DRE!$A197)+SUMIFS(Aut_Ajustes_Manuais!$G:$G,Aut_Ajustes_Manuais!$I:$I,DRE!K$4,Aut_Ajustes_Manuais!$F:$F,"  -  Remuneração Variável")</f>
        <v>0</v>
      </c>
      <c r="N197" s="241">
        <v>0</v>
      </c>
      <c r="O197" s="27"/>
      <c r="P197" s="28">
        <f>SUMIFS(Aut_BlueMe_Sem_Pedido!$J:$J,Aut_BlueMe_Sem_Pedido!$Q:$Q,DRE!N$4,Aut_BlueMe_Sem_Pedido!$H:$H,DRE!$A197)+SUMIFS(Aut_Ajustes_Manuais!$G:$G,Aut_Ajustes_Manuais!$I:$I,DRE!N$4,Aut_Ajustes_Manuais!$F:$F,"  -  Remuneração Variável")</f>
        <v>0</v>
      </c>
      <c r="Q197" s="241">
        <v>0</v>
      </c>
      <c r="R197" s="27"/>
      <c r="S197" s="28">
        <f>SUMIFS(Aut_BlueMe_Sem_Pedido!$J:$J,Aut_BlueMe_Sem_Pedido!$Q:$Q,DRE!Q$4,Aut_BlueMe_Sem_Pedido!$H:$H,DRE!$A197)+SUMIFS(Aut_Ajustes_Manuais!$G:$G,Aut_Ajustes_Manuais!$I:$I,DRE!Q$4,Aut_Ajustes_Manuais!$F:$F,"  -  Remuneração Variável")</f>
        <v>0</v>
      </c>
      <c r="T197" s="241">
        <v>0</v>
      </c>
      <c r="U197" s="27"/>
      <c r="V197" s="28">
        <f>SUMIFS(Aut_BlueMe_Sem_Pedido!$J:$J,Aut_BlueMe_Sem_Pedido!$Q:$Q,DRE!T$4,Aut_BlueMe_Sem_Pedido!$H:$H,DRE!$A197)+SUMIFS(Aut_Ajustes_Manuais!$G:$G,Aut_Ajustes_Manuais!$I:$I,DRE!T$4,Aut_Ajustes_Manuais!$F:$F,"  -  Remuneração Variável")</f>
        <v>0</v>
      </c>
      <c r="W197" s="241">
        <v>0</v>
      </c>
      <c r="X197" s="27"/>
      <c r="Y197" s="28">
        <f>SUMIFS(Aut_BlueMe_Sem_Pedido!$J:$J,Aut_BlueMe_Sem_Pedido!$Q:$Q,DRE!W$4,Aut_BlueMe_Sem_Pedido!$H:$H,DRE!$A197)+SUMIFS(Aut_Ajustes_Manuais!$G:$G,Aut_Ajustes_Manuais!$I:$I,DRE!W$4,Aut_Ajustes_Manuais!$F:$F,"  -  Remuneração Variável")</f>
        <v>0</v>
      </c>
      <c r="Z197" s="241">
        <v>0</v>
      </c>
      <c r="AA197" s="27"/>
      <c r="AB197" s="28">
        <f>SUMIFS(Aut_BlueMe_Sem_Pedido!$J:$J,Aut_BlueMe_Sem_Pedido!$Q:$Q,DRE!Z$4,Aut_BlueMe_Sem_Pedido!$H:$H,DRE!$A197)+SUMIFS(Aut_Ajustes_Manuais!$G:$G,Aut_Ajustes_Manuais!$I:$I,DRE!Z$4,Aut_Ajustes_Manuais!$F:$F,"  -  Remuneração Variável")</f>
        <v>0</v>
      </c>
      <c r="AC197" s="241">
        <v>0</v>
      </c>
      <c r="AD197" s="27"/>
      <c r="AE197" s="28">
        <f>SUMIFS(Aut_BlueMe_Sem_Pedido!$J:$J,Aut_BlueMe_Sem_Pedido!$Q:$Q,DRE!AC$4,Aut_BlueMe_Sem_Pedido!$H:$H,DRE!$A197)+SUMIFS(Aut_Ajustes_Manuais!$G:$G,Aut_Ajustes_Manuais!$I:$I,DRE!AC$4,Aut_Ajustes_Manuais!$F:$F,"  -  Remuneração Variável")</f>
        <v>0</v>
      </c>
      <c r="AF197" s="241">
        <v>0</v>
      </c>
      <c r="AG197" s="27"/>
      <c r="AH197" s="28">
        <f>SUMIFS(Aut_BlueMe_Sem_Pedido!$J:$J,Aut_BlueMe_Sem_Pedido!$Q:$Q,DRE!AF$4,Aut_BlueMe_Sem_Pedido!$H:$H,DRE!$A197)+SUMIFS(Aut_Ajustes_Manuais!$G:$G,Aut_Ajustes_Manuais!$I:$I,DRE!AF$4,Aut_Ajustes_Manuais!$F:$F,"  -  Remuneração Variável")</f>
        <v>0</v>
      </c>
      <c r="AI197" s="241">
        <v>0</v>
      </c>
      <c r="AJ197" s="27"/>
      <c r="AK197" s="28">
        <f>SUMIFS(Aut_BlueMe_Sem_Pedido!$J:$J,Aut_BlueMe_Sem_Pedido!$Q:$Q,DRE!AI$4,Aut_BlueMe_Sem_Pedido!$H:$H,DRE!$A197)+SUMIFS(Aut_Ajustes_Manuais!$G:$G,Aut_Ajustes_Manuais!$I:$I,DRE!AI$4,Aut_Ajustes_Manuais!$F:$F,"  -  Remuneração Variável")</f>
        <v>0</v>
      </c>
      <c r="AL197" s="241">
        <v>0</v>
      </c>
      <c r="AM197" s="27"/>
      <c r="AN197" s="28">
        <f>SUMIFS(Aut_BlueMe_Sem_Pedido!$J:$J,Aut_BlueMe_Sem_Pedido!$Q:$Q,DRE!AL$4,Aut_BlueMe_Sem_Pedido!$H:$H,DRE!$A197)+SUMIFS(Aut_Ajustes_Manuais!$G:$G,Aut_Ajustes_Manuais!$I:$I,DRE!AL$4,Aut_Ajustes_Manuais!$F:$F,"  -  Remuneração Variável")</f>
        <v>0</v>
      </c>
      <c r="AO197" s="241">
        <v>0</v>
      </c>
      <c r="AP197" s="27"/>
      <c r="AQ197" s="28">
        <f>SUMIFS(Aut_BlueMe_Sem_Pedido!$J:$J,Aut_BlueMe_Sem_Pedido!$Q:$Q,DRE!AO$4,Aut_BlueMe_Sem_Pedido!$H:$H,DRE!$A197)+SUMIFS(Aut_Ajustes_Manuais!$G:$G,Aut_Ajustes_Manuais!$I:$I,DRE!AO$4,Aut_Ajustes_Manuais!$F:$F,"  -  Remuneração Variável")</f>
        <v>0</v>
      </c>
      <c r="AR197" s="241">
        <f t="shared" ca="1" si="154"/>
        <v>0</v>
      </c>
      <c r="AS197" s="27">
        <f t="shared" ca="1" si="155"/>
        <v>0</v>
      </c>
      <c r="AT197" s="28">
        <f t="shared" ca="1" si="156"/>
        <v>0</v>
      </c>
      <c r="AU197" s="241">
        <f t="shared" si="164"/>
        <v>0</v>
      </c>
      <c r="AV197" s="27">
        <f t="shared" si="165"/>
        <v>0</v>
      </c>
      <c r="AW197" s="28">
        <f t="shared" si="166"/>
        <v>0</v>
      </c>
      <c r="AX197" s="241">
        <f t="shared" si="167"/>
        <v>0</v>
      </c>
      <c r="AY197" s="27">
        <f t="shared" si="168"/>
        <v>0</v>
      </c>
      <c r="AZ197" s="28">
        <f t="shared" si="169"/>
        <v>0</v>
      </c>
      <c r="BA197" s="241">
        <f t="shared" si="170"/>
        <v>0</v>
      </c>
      <c r="BB197" s="27">
        <f t="shared" si="171"/>
        <v>0</v>
      </c>
      <c r="BC197" s="28">
        <f t="shared" si="172"/>
        <v>0</v>
      </c>
      <c r="BD197" s="241">
        <f t="shared" si="173"/>
        <v>0</v>
      </c>
      <c r="BE197" s="27">
        <f t="shared" si="174"/>
        <v>0</v>
      </c>
      <c r="BF197" s="28">
        <f t="shared" si="175"/>
        <v>0</v>
      </c>
      <c r="BG197" s="241">
        <f t="shared" si="176"/>
        <v>0</v>
      </c>
      <c r="BH197" s="27">
        <f t="shared" si="177"/>
        <v>0</v>
      </c>
      <c r="BI197" s="28">
        <f t="shared" si="178"/>
        <v>0</v>
      </c>
      <c r="BK197" s="448">
        <f t="shared" si="147"/>
        <v>0</v>
      </c>
      <c r="BL197" s="448">
        <f t="shared" si="148"/>
        <v>0</v>
      </c>
      <c r="BM197" s="448">
        <f t="shared" si="149"/>
        <v>0</v>
      </c>
      <c r="BN197" s="448">
        <f t="shared" ca="1" si="150"/>
        <v>0</v>
      </c>
    </row>
    <row r="198" spans="1:66" s="29" customFormat="1" hidden="1" outlineLevel="1" x14ac:dyDescent="0.3">
      <c r="A198" s="22" t="s">
        <v>238</v>
      </c>
      <c r="B198" s="2"/>
      <c r="C198" s="458"/>
      <c r="D198" s="97"/>
      <c r="E198" s="100"/>
      <c r="F198" s="41"/>
      <c r="G198" s="33"/>
      <c r="H198" s="241">
        <v>0</v>
      </c>
      <c r="I198" s="27"/>
      <c r="J198" s="28">
        <f>SUMIFS(Aut_BlueMe_Sem_Pedido!$J:$J,Aut_BlueMe_Sem_Pedido!$Q:$Q,DRE!H$4,Aut_BlueMe_Sem_Pedido!$H:$H,DRE!$A198)+SUMIFS(Aut_Ajustes_Manuais!$G:$G,Aut_Ajustes_Manuais!$I:$I,DRE!H$4,Aut_Ajustes_Manuais!$F:$F,"  -  Premiação")</f>
        <v>0</v>
      </c>
      <c r="K198" s="241">
        <v>0</v>
      </c>
      <c r="L198" s="27"/>
      <c r="M198" s="28">
        <f>SUMIFS(Aut_BlueMe_Sem_Pedido!$J:$J,Aut_BlueMe_Sem_Pedido!$Q:$Q,DRE!K$4,Aut_BlueMe_Sem_Pedido!$H:$H,DRE!$A198)+SUMIFS(Aut_Ajustes_Manuais!$G:$G,Aut_Ajustes_Manuais!$I:$I,DRE!K$4,Aut_Ajustes_Manuais!$F:$F,"  -  Premiação")</f>
        <v>0</v>
      </c>
      <c r="N198" s="241">
        <v>0</v>
      </c>
      <c r="O198" s="27"/>
      <c r="P198" s="28">
        <f>SUMIFS(Aut_BlueMe_Sem_Pedido!$J:$J,Aut_BlueMe_Sem_Pedido!$Q:$Q,DRE!N$4,Aut_BlueMe_Sem_Pedido!$H:$H,DRE!$A198)+SUMIFS(Aut_Ajustes_Manuais!$G:$G,Aut_Ajustes_Manuais!$I:$I,DRE!N$4,Aut_Ajustes_Manuais!$F:$F,"  -  Premiação")</f>
        <v>0</v>
      </c>
      <c r="Q198" s="241">
        <v>0</v>
      </c>
      <c r="R198" s="27"/>
      <c r="S198" s="28">
        <f>SUMIFS(Aut_BlueMe_Sem_Pedido!$J:$J,Aut_BlueMe_Sem_Pedido!$Q:$Q,DRE!Q$4,Aut_BlueMe_Sem_Pedido!$H:$H,DRE!$A198)+SUMIFS(Aut_Ajustes_Manuais!$G:$G,Aut_Ajustes_Manuais!$I:$I,DRE!Q$4,Aut_Ajustes_Manuais!$F:$F,"  -  Premiação")</f>
        <v>0</v>
      </c>
      <c r="T198" s="241">
        <v>0</v>
      </c>
      <c r="U198" s="27"/>
      <c r="V198" s="28">
        <f>SUMIFS(Aut_BlueMe_Sem_Pedido!$J:$J,Aut_BlueMe_Sem_Pedido!$Q:$Q,DRE!T$4,Aut_BlueMe_Sem_Pedido!$H:$H,DRE!$A198)+SUMIFS(Aut_Ajustes_Manuais!$G:$G,Aut_Ajustes_Manuais!$I:$I,DRE!T$4,Aut_Ajustes_Manuais!$F:$F,"  -  Premiação")</f>
        <v>0</v>
      </c>
      <c r="W198" s="241">
        <v>0</v>
      </c>
      <c r="X198" s="27"/>
      <c r="Y198" s="28">
        <f>SUMIFS(Aut_BlueMe_Sem_Pedido!$J:$J,Aut_BlueMe_Sem_Pedido!$Q:$Q,DRE!W$4,Aut_BlueMe_Sem_Pedido!$H:$H,DRE!$A198)+SUMIFS(Aut_Ajustes_Manuais!$G:$G,Aut_Ajustes_Manuais!$I:$I,DRE!W$4,Aut_Ajustes_Manuais!$F:$F,"  -  Premiação")</f>
        <v>0</v>
      </c>
      <c r="Z198" s="241">
        <v>0</v>
      </c>
      <c r="AA198" s="27"/>
      <c r="AB198" s="28">
        <f>SUMIFS(Aut_BlueMe_Sem_Pedido!$J:$J,Aut_BlueMe_Sem_Pedido!$Q:$Q,DRE!Z$4,Aut_BlueMe_Sem_Pedido!$H:$H,DRE!$A198)+SUMIFS(Aut_Ajustes_Manuais!$G:$G,Aut_Ajustes_Manuais!$I:$I,DRE!Z$4,Aut_Ajustes_Manuais!$F:$F,"  -  Premiação")</f>
        <v>0</v>
      </c>
      <c r="AC198" s="241">
        <v>0</v>
      </c>
      <c r="AD198" s="27"/>
      <c r="AE198" s="28">
        <f>SUMIFS(Aut_BlueMe_Sem_Pedido!$J:$J,Aut_BlueMe_Sem_Pedido!$Q:$Q,DRE!AC$4,Aut_BlueMe_Sem_Pedido!$H:$H,DRE!$A198)+SUMIFS(Aut_Ajustes_Manuais!$G:$G,Aut_Ajustes_Manuais!$I:$I,DRE!AC$4,Aut_Ajustes_Manuais!$F:$F,"  -  Premiação")</f>
        <v>0</v>
      </c>
      <c r="AF198" s="241">
        <v>0</v>
      </c>
      <c r="AG198" s="27"/>
      <c r="AH198" s="28">
        <f>SUMIFS(Aut_BlueMe_Sem_Pedido!$J:$J,Aut_BlueMe_Sem_Pedido!$Q:$Q,DRE!AF$4,Aut_BlueMe_Sem_Pedido!$H:$H,DRE!$A198)+SUMIFS(Aut_Ajustes_Manuais!$G:$G,Aut_Ajustes_Manuais!$I:$I,DRE!AF$4,Aut_Ajustes_Manuais!$F:$F,"  -  Premiação")</f>
        <v>0</v>
      </c>
      <c r="AI198" s="241">
        <v>0</v>
      </c>
      <c r="AJ198" s="27"/>
      <c r="AK198" s="28">
        <f>SUMIFS(Aut_BlueMe_Sem_Pedido!$J:$J,Aut_BlueMe_Sem_Pedido!$Q:$Q,DRE!AI$4,Aut_BlueMe_Sem_Pedido!$H:$H,DRE!$A198)+SUMIFS(Aut_Ajustes_Manuais!$G:$G,Aut_Ajustes_Manuais!$I:$I,DRE!AI$4,Aut_Ajustes_Manuais!$F:$F,"  -  Premiação")</f>
        <v>0</v>
      </c>
      <c r="AL198" s="241">
        <v>0</v>
      </c>
      <c r="AM198" s="27"/>
      <c r="AN198" s="28">
        <f>SUMIFS(Aut_BlueMe_Sem_Pedido!$J:$J,Aut_BlueMe_Sem_Pedido!$Q:$Q,DRE!AL$4,Aut_BlueMe_Sem_Pedido!$H:$H,DRE!$A198)+SUMIFS(Aut_Ajustes_Manuais!$G:$G,Aut_Ajustes_Manuais!$I:$I,DRE!AL$4,Aut_Ajustes_Manuais!$F:$F,"  -  Premiação")</f>
        <v>0</v>
      </c>
      <c r="AO198" s="241">
        <v>0</v>
      </c>
      <c r="AP198" s="27"/>
      <c r="AQ198" s="28">
        <f>SUMIFS(Aut_BlueMe_Sem_Pedido!$J:$J,Aut_BlueMe_Sem_Pedido!$Q:$Q,DRE!AO$4,Aut_BlueMe_Sem_Pedido!$H:$H,DRE!$A198)+SUMIFS(Aut_Ajustes_Manuais!$G:$G,Aut_Ajustes_Manuais!$I:$I,DRE!AO$4,Aut_Ajustes_Manuais!$F:$F,"  -  Premiação")</f>
        <v>0</v>
      </c>
      <c r="AR198" s="241">
        <f t="shared" ca="1" si="154"/>
        <v>0</v>
      </c>
      <c r="AS198" s="27">
        <f t="shared" ca="1" si="155"/>
        <v>0</v>
      </c>
      <c r="AT198" s="28">
        <f t="shared" ca="1" si="156"/>
        <v>0</v>
      </c>
      <c r="AU198" s="241">
        <f t="shared" si="164"/>
        <v>0</v>
      </c>
      <c r="AV198" s="27">
        <f t="shared" si="165"/>
        <v>0</v>
      </c>
      <c r="AW198" s="28">
        <f t="shared" si="166"/>
        <v>0</v>
      </c>
      <c r="AX198" s="241">
        <f t="shared" si="167"/>
        <v>0</v>
      </c>
      <c r="AY198" s="27">
        <f t="shared" si="168"/>
        <v>0</v>
      </c>
      <c r="AZ198" s="28">
        <f t="shared" si="169"/>
        <v>0</v>
      </c>
      <c r="BA198" s="241">
        <f t="shared" si="170"/>
        <v>0</v>
      </c>
      <c r="BB198" s="27">
        <f t="shared" si="171"/>
        <v>0</v>
      </c>
      <c r="BC198" s="28">
        <f t="shared" si="172"/>
        <v>0</v>
      </c>
      <c r="BD198" s="241">
        <f t="shared" si="173"/>
        <v>0</v>
      </c>
      <c r="BE198" s="27">
        <f t="shared" si="174"/>
        <v>0</v>
      </c>
      <c r="BF198" s="28">
        <f t="shared" si="175"/>
        <v>0</v>
      </c>
      <c r="BG198" s="241">
        <f t="shared" si="176"/>
        <v>0</v>
      </c>
      <c r="BH198" s="27">
        <f t="shared" si="177"/>
        <v>0</v>
      </c>
      <c r="BI198" s="28">
        <f t="shared" si="178"/>
        <v>0</v>
      </c>
      <c r="BK198" s="448">
        <f t="shared" si="147"/>
        <v>0</v>
      </c>
      <c r="BL198" s="448">
        <f t="shared" si="148"/>
        <v>0</v>
      </c>
      <c r="BM198" s="448">
        <f t="shared" si="149"/>
        <v>0</v>
      </c>
      <c r="BN198" s="448">
        <f t="shared" ca="1" si="150"/>
        <v>0</v>
      </c>
    </row>
    <row r="199" spans="1:66" collapsed="1" x14ac:dyDescent="0.3">
      <c r="A199" s="73" t="s">
        <v>239</v>
      </c>
      <c r="C199" s="40" t="s">
        <v>37</v>
      </c>
      <c r="D199" s="40" t="s">
        <v>38</v>
      </c>
      <c r="E199" s="40" t="s">
        <v>203</v>
      </c>
      <c r="F199" s="41"/>
      <c r="G199" s="47"/>
      <c r="H199" s="252">
        <v>-3786.69</v>
      </c>
      <c r="I199" s="74">
        <v>-3410</v>
      </c>
      <c r="J199" s="76">
        <f>SUM(J200:J204)+SUMIFS(Aut_Ajustes_Manuais!$G:$G,Aut_Ajustes_Manuais!$I:$I,DRE!H$4,Aut_Ajustes_Manuais!$F:$F,"Benefícios")</f>
        <v>-3332.68</v>
      </c>
      <c r="K199" s="252">
        <v>-2393.48</v>
      </c>
      <c r="L199" s="74">
        <v>-3410</v>
      </c>
      <c r="M199" s="76">
        <f>SUM(M200:M204)+SUMIFS(Aut_Ajustes_Manuais!$G:$G,Aut_Ajustes_Manuais!$I:$I,DRE!K$4,Aut_Ajustes_Manuais!$F:$F,"Benefícios")</f>
        <v>-3199.52</v>
      </c>
      <c r="N199" s="252">
        <v>-2900.84</v>
      </c>
      <c r="O199" s="74">
        <v>-3410</v>
      </c>
      <c r="P199" s="76">
        <f>SUM(P200:P204)+SUMIFS(Aut_Ajustes_Manuais!$G:$G,Aut_Ajustes_Manuais!$I:$I,DRE!N$4,Aut_Ajustes_Manuais!$F:$F,"Benefícios")</f>
        <v>-3371.9599999999996</v>
      </c>
      <c r="Q199" s="252">
        <v>-2576.12</v>
      </c>
      <c r="R199" s="74">
        <v>-3720</v>
      </c>
      <c r="S199" s="76">
        <f>SUM(S200:S204)+SUMIFS(Aut_Ajustes_Manuais!$G:$G,Aut_Ajustes_Manuais!$I:$I,DRE!Q$4,Aut_Ajustes_Manuais!$F:$F,"Benefícios")</f>
        <v>-3142.2</v>
      </c>
      <c r="T199" s="252">
        <v>-3788.22</v>
      </c>
      <c r="U199" s="74">
        <v>-3720</v>
      </c>
      <c r="V199" s="76">
        <f>SUM(V200:V204)+SUMIFS(Aut_Ajustes_Manuais!$G:$G,Aut_Ajustes_Manuais!$I:$I,DRE!T$4,Aut_Ajustes_Manuais!$F:$F,"Benefícios")</f>
        <v>-3489.7400000000002</v>
      </c>
      <c r="W199" s="252">
        <v>-4824.54</v>
      </c>
      <c r="X199" s="74">
        <v>-3720</v>
      </c>
      <c r="Y199" s="76">
        <f>SUM(Y200:Y204)+SUMIFS(Aut_Ajustes_Manuais!$G:$G,Aut_Ajustes_Manuais!$I:$I,DRE!W$4,Aut_Ajustes_Manuais!$F:$F,"Benefícios")</f>
        <v>-3279.5699999999997</v>
      </c>
      <c r="Z199" s="252">
        <v>-2994.36</v>
      </c>
      <c r="AA199" s="74">
        <v>-3720</v>
      </c>
      <c r="AB199" s="76">
        <f>SUM(AB200:AB204)+SUMIFS(Aut_Ajustes_Manuais!$G:$G,Aut_Ajustes_Manuais!$I:$I,DRE!Z$4,Aut_Ajustes_Manuais!$F:$F,"Benefícios")</f>
        <v>-3622.3</v>
      </c>
      <c r="AC199" s="252">
        <v>-3381.09</v>
      </c>
      <c r="AD199" s="74">
        <v>-3720</v>
      </c>
      <c r="AE199" s="76">
        <f>SUM(AE200:AE204)+SUMIFS(Aut_Ajustes_Manuais!$G:$G,Aut_Ajustes_Manuais!$I:$I,DRE!AC$4,Aut_Ajustes_Manuais!$F:$F,"Benefícios")</f>
        <v>-4500</v>
      </c>
      <c r="AF199" s="252">
        <v>-3177.47</v>
      </c>
      <c r="AG199" s="74">
        <v>-3720</v>
      </c>
      <c r="AH199" s="76">
        <f>SUM(AH200:AH204)+SUMIFS(Aut_Ajustes_Manuais!$G:$G,Aut_Ajustes_Manuais!$I:$I,DRE!AF$4,Aut_Ajustes_Manuais!$F:$F,"Benefícios")</f>
        <v>-4500</v>
      </c>
      <c r="AI199" s="252">
        <v>-2610.67</v>
      </c>
      <c r="AJ199" s="74">
        <v>-3720</v>
      </c>
      <c r="AK199" s="76">
        <f>SUM(AK200:AK204)+SUMIFS(Aut_Ajustes_Manuais!$G:$G,Aut_Ajustes_Manuais!$I:$I,DRE!AI$4,Aut_Ajustes_Manuais!$F:$F,"Benefícios")</f>
        <v>-4500</v>
      </c>
      <c r="AL199" s="252">
        <v>-1641.42</v>
      </c>
      <c r="AM199" s="74">
        <v>-3720</v>
      </c>
      <c r="AN199" s="76">
        <f>SUM(AN200:AN204)+SUMIFS(Aut_Ajustes_Manuais!$G:$G,Aut_Ajustes_Manuais!$I:$I,DRE!AL$4,Aut_Ajustes_Manuais!$F:$F,"Benefícios")</f>
        <v>-4500</v>
      </c>
      <c r="AO199" s="252">
        <v>-3166.869999999999</v>
      </c>
      <c r="AP199" s="74">
        <v>-3720</v>
      </c>
      <c r="AQ199" s="76">
        <f>SUM(AQ200:AQ204)+SUMIFS(Aut_Ajustes_Manuais!$G:$G,Aut_Ajustes_Manuais!$I:$I,DRE!AO$4,Aut_Ajustes_Manuais!$F:$F,"Benefícios")</f>
        <v>-4500</v>
      </c>
      <c r="AR199" s="252">
        <f t="shared" ca="1" si="154"/>
        <v>-20269.89</v>
      </c>
      <c r="AS199" s="75">
        <f t="shared" ca="1" si="155"/>
        <v>-21390</v>
      </c>
      <c r="AT199" s="75">
        <f t="shared" ca="1" si="156"/>
        <v>-19815.670000000002</v>
      </c>
      <c r="AU199" s="252">
        <f t="shared" ref="AU199:BI199" si="179">SUM(AU200:AU204)</f>
        <v>-37241.769999999997</v>
      </c>
      <c r="AV199" s="74">
        <f t="shared" si="179"/>
        <v>-43710</v>
      </c>
      <c r="AW199" s="76">
        <f t="shared" si="179"/>
        <v>-45937.969999999994</v>
      </c>
      <c r="AX199" s="252">
        <f t="shared" si="179"/>
        <v>-9081.01</v>
      </c>
      <c r="AY199" s="74">
        <f t="shared" si="179"/>
        <v>-10230</v>
      </c>
      <c r="AZ199" s="76">
        <f t="shared" si="179"/>
        <v>-9904.16</v>
      </c>
      <c r="BA199" s="252">
        <f t="shared" si="179"/>
        <v>-11188.88</v>
      </c>
      <c r="BB199" s="74">
        <f t="shared" si="179"/>
        <v>-11160</v>
      </c>
      <c r="BC199" s="76">
        <f t="shared" si="179"/>
        <v>-9911.51</v>
      </c>
      <c r="BD199" s="252">
        <f t="shared" si="179"/>
        <v>-9552.92</v>
      </c>
      <c r="BE199" s="74">
        <f t="shared" si="179"/>
        <v>-11160</v>
      </c>
      <c r="BF199" s="76">
        <f t="shared" si="179"/>
        <v>-12622.3</v>
      </c>
      <c r="BG199" s="252">
        <f t="shared" si="179"/>
        <v>-7418.9599999999991</v>
      </c>
      <c r="BH199" s="74">
        <f t="shared" si="179"/>
        <v>-11160</v>
      </c>
      <c r="BI199" s="76">
        <f t="shared" si="179"/>
        <v>-13500</v>
      </c>
      <c r="BK199" s="448">
        <f t="shared" si="147"/>
        <v>-43710</v>
      </c>
      <c r="BL199" s="448">
        <f t="shared" si="148"/>
        <v>0</v>
      </c>
      <c r="BM199" s="448">
        <f t="shared" si="149"/>
        <v>-16536.100000000002</v>
      </c>
      <c r="BN199" s="448">
        <f t="shared" ca="1" si="150"/>
        <v>3279.5699999999997</v>
      </c>
    </row>
    <row r="200" spans="1:66" s="29" customFormat="1" ht="14.7" hidden="1" customHeight="1" outlineLevel="1" x14ac:dyDescent="0.3">
      <c r="A200" s="22" t="s">
        <v>240</v>
      </c>
      <c r="B200" s="2"/>
      <c r="C200" s="24"/>
      <c r="D200" s="55"/>
      <c r="E200" s="101">
        <v>-280</v>
      </c>
      <c r="F200" s="41"/>
      <c r="G200" s="33"/>
      <c r="H200" s="241">
        <v>-3670.69</v>
      </c>
      <c r="I200" s="27">
        <v>-3300</v>
      </c>
      <c r="J200" s="28">
        <f>SUMIFS(Aut_BlueMe_Sem_Pedido!$J:$J,Aut_BlueMe_Sem_Pedido!$Q:$Q,DRE!H$4,Aut_BlueMe_Sem_Pedido!$H:$H,DRE!$A200)+SUMIFS(Aut_Ajustes_Manuais!$G:$G,Aut_Ajustes_Manuais!$I:$I,DRE!H$4,Aut_Ajustes_Manuais!$F:$F,"  -  Vale-transporte")</f>
        <v>-3263.46</v>
      </c>
      <c r="K200" s="241">
        <v>-2277.48</v>
      </c>
      <c r="L200" s="27">
        <v>-3300</v>
      </c>
      <c r="M200" s="28">
        <f>SUMIFS(Aut_BlueMe_Sem_Pedido!$J:$J,Aut_BlueMe_Sem_Pedido!$Q:$Q,DRE!K$4,Aut_BlueMe_Sem_Pedido!$H:$H,DRE!$A200)+SUMIFS(Aut_Ajustes_Manuais!$G:$G,Aut_Ajustes_Manuais!$I:$I,DRE!K$4,Aut_Ajustes_Manuais!$F:$F,"  -  Vale-transporte")</f>
        <v>-3130.3</v>
      </c>
      <c r="N200" s="241">
        <v>-2737.64</v>
      </c>
      <c r="O200" s="27">
        <v>-3300</v>
      </c>
      <c r="P200" s="28">
        <f>SUMIFS(Aut_BlueMe_Sem_Pedido!$J:$J,Aut_BlueMe_Sem_Pedido!$Q:$Q,DRE!N$4,Aut_BlueMe_Sem_Pedido!$H:$H,DRE!$A200)+SUMIFS(Aut_Ajustes_Manuais!$G:$G,Aut_Ajustes_Manuais!$I:$I,DRE!N$4,Aut_Ajustes_Manuais!$F:$F,"  -  Vale-transporte")</f>
        <v>-3302.74</v>
      </c>
      <c r="Q200" s="241">
        <v>-2460.12</v>
      </c>
      <c r="R200" s="27">
        <v>-3600</v>
      </c>
      <c r="S200" s="28">
        <f>SUMIFS(Aut_BlueMe_Sem_Pedido!$J:$J,Aut_BlueMe_Sem_Pedido!$Q:$Q,DRE!Q$4,Aut_BlueMe_Sem_Pedido!$H:$H,DRE!$A200)+SUMIFS(Aut_Ajustes_Manuais!$G:$G,Aut_Ajustes_Manuais!$I:$I,DRE!Q$4,Aut_Ajustes_Manuais!$F:$F,"  -  Vale-transporte")</f>
        <v>-3072.98</v>
      </c>
      <c r="T200" s="241">
        <v>-3613.22</v>
      </c>
      <c r="U200" s="27">
        <v>-3600</v>
      </c>
      <c r="V200" s="28">
        <f>SUMIFS(Aut_BlueMe_Sem_Pedido!$J:$J,Aut_BlueMe_Sem_Pedido!$Q:$Q,DRE!T$4,Aut_BlueMe_Sem_Pedido!$H:$H,DRE!$A200)+SUMIFS(Aut_Ajustes_Manuais!$G:$G,Aut_Ajustes_Manuais!$I:$I,DRE!T$4,Aut_Ajustes_Manuais!$F:$F,"  -  Vale-transporte")</f>
        <v>-3420.5200000000004</v>
      </c>
      <c r="W200" s="241">
        <v>-4614.1400000000003</v>
      </c>
      <c r="X200" s="27">
        <v>-3600</v>
      </c>
      <c r="Y200" s="28">
        <f>SUMIFS(Aut_BlueMe_Sem_Pedido!$J:$J,Aut_BlueMe_Sem_Pedido!$Q:$Q,DRE!W$4,Aut_BlueMe_Sem_Pedido!$H:$H,DRE!$A200)+SUMIFS(Aut_Ajustes_Manuais!$G:$G,Aut_Ajustes_Manuais!$I:$I,DRE!W$4,Aut_Ajustes_Manuais!$F:$F,"  -  Vale-transporte")</f>
        <v>-3210.35</v>
      </c>
      <c r="Z200" s="241">
        <v>-2795.3</v>
      </c>
      <c r="AA200" s="27">
        <v>-3600</v>
      </c>
      <c r="AB200" s="28">
        <f>SUMIFS(Aut_BlueMe_Sem_Pedido!$J:$J,Aut_BlueMe_Sem_Pedido!$Q:$Q,DRE!Z$4,Aut_BlueMe_Sem_Pedido!$H:$H,DRE!$A200)+SUMIFS(Aut_Ajustes_Manuais!$G:$G,Aut_Ajustes_Manuais!$I:$I,DRE!Z$4,Aut_Ajustes_Manuais!$F:$F,"  -  Vale-transporte")</f>
        <v>-3322.3</v>
      </c>
      <c r="AC200" s="241">
        <v>-3209.72</v>
      </c>
      <c r="AD200" s="27">
        <v>-3600</v>
      </c>
      <c r="AE200" s="28">
        <f>SUMIFS(Aut_BlueMe_Sem_Pedido!$J:$J,Aut_BlueMe_Sem_Pedido!$Q:$Q,DRE!AC$4,Aut_BlueMe_Sem_Pedido!$H:$H,DRE!$A200)+SUMIFS(Aut_Ajustes_Manuais!$G:$G,Aut_Ajustes_Manuais!$I:$I,DRE!AC$4,Aut_Ajustes_Manuais!$F:$F,"  -  Vale-transporte")</f>
        <v>-4200</v>
      </c>
      <c r="AF200" s="241">
        <v>-3006.1</v>
      </c>
      <c r="AG200" s="27">
        <v>-3600</v>
      </c>
      <c r="AH200" s="28">
        <f>SUMIFS(Aut_BlueMe_Sem_Pedido!$J:$J,Aut_BlueMe_Sem_Pedido!$Q:$Q,DRE!AF$4,Aut_BlueMe_Sem_Pedido!$H:$H,DRE!$A200)+SUMIFS(Aut_Ajustes_Manuais!$G:$G,Aut_Ajustes_Manuais!$I:$I,DRE!AF$4,Aut_Ajustes_Manuais!$F:$F,"  -  Vale-transporte")</f>
        <v>-4200</v>
      </c>
      <c r="AI200" s="241">
        <v>-2425.4499999999998</v>
      </c>
      <c r="AJ200" s="27">
        <v>-3600</v>
      </c>
      <c r="AK200" s="28">
        <f>SUMIFS(Aut_BlueMe_Sem_Pedido!$J:$J,Aut_BlueMe_Sem_Pedido!$Q:$Q,DRE!AI$4,Aut_BlueMe_Sem_Pedido!$H:$H,DRE!$A200)+SUMIFS(Aut_Ajustes_Manuais!$G:$G,Aut_Ajustes_Manuais!$I:$I,DRE!AI$4,Aut_Ajustes_Manuais!$F:$F,"  -  Vale-transporte")</f>
        <v>-4200</v>
      </c>
      <c r="AL200" s="241">
        <v>-1456.2</v>
      </c>
      <c r="AM200" s="27">
        <v>-3600</v>
      </c>
      <c r="AN200" s="28">
        <f>SUMIFS(Aut_BlueMe_Sem_Pedido!$J:$J,Aut_BlueMe_Sem_Pedido!$Q:$Q,DRE!AL$4,Aut_BlueMe_Sem_Pedido!$H:$H,DRE!$A200)+SUMIFS(Aut_Ajustes_Manuais!$G:$G,Aut_Ajustes_Manuais!$I:$I,DRE!AL$4,Aut_Ajustes_Manuais!$F:$F,"  -  Vale-transporte")</f>
        <v>-4200</v>
      </c>
      <c r="AO200" s="241">
        <v>-2981.65</v>
      </c>
      <c r="AP200" s="27">
        <v>-3600</v>
      </c>
      <c r="AQ200" s="28">
        <f>SUMIFS(Aut_BlueMe_Sem_Pedido!$J:$J,Aut_BlueMe_Sem_Pedido!$Q:$Q,DRE!AO$4,Aut_BlueMe_Sem_Pedido!$H:$H,DRE!$A200)+SUMIFS(Aut_Ajustes_Manuais!$G:$G,Aut_Ajustes_Manuais!$I:$I,DRE!AO$4,Aut_Ajustes_Manuais!$F:$F,"  -  Vale-transporte")</f>
        <v>-4200</v>
      </c>
      <c r="AR200" s="241">
        <f t="shared" ca="1" si="154"/>
        <v>-19373.29</v>
      </c>
      <c r="AS200" s="27">
        <f t="shared" ca="1" si="155"/>
        <v>-20700</v>
      </c>
      <c r="AT200" s="28">
        <f t="shared" ca="1" si="156"/>
        <v>-19400.349999999999</v>
      </c>
      <c r="AU200" s="241">
        <f t="shared" ref="AU200:AW204" si="180">SUM(H200,K200,N200,Q200,T200,W200,Z200,AC200,AF200,AI200,AL200,AO200)</f>
        <v>-35247.71</v>
      </c>
      <c r="AV200" s="27">
        <f t="shared" si="180"/>
        <v>-42300</v>
      </c>
      <c r="AW200" s="28">
        <f t="shared" si="180"/>
        <v>-43722.649999999994</v>
      </c>
      <c r="AX200" s="241">
        <f t="shared" ref="AX200:AZ204" si="181">SUM(H200,K200,N200)</f>
        <v>-8685.81</v>
      </c>
      <c r="AY200" s="27">
        <f t="shared" si="181"/>
        <v>-9900</v>
      </c>
      <c r="AZ200" s="28">
        <f t="shared" si="181"/>
        <v>-9696.5</v>
      </c>
      <c r="BA200" s="241">
        <f t="shared" ref="BA200:BC204" si="182">SUM(Q200,T200,W200)</f>
        <v>-10687.48</v>
      </c>
      <c r="BB200" s="27">
        <f t="shared" si="182"/>
        <v>-10800</v>
      </c>
      <c r="BC200" s="28">
        <f t="shared" si="182"/>
        <v>-9703.85</v>
      </c>
      <c r="BD200" s="241">
        <f t="shared" ref="BD200:BF204" si="183">SUM(Z200,AC200,AF200)</f>
        <v>-9011.1200000000008</v>
      </c>
      <c r="BE200" s="27">
        <f t="shared" si="183"/>
        <v>-10800</v>
      </c>
      <c r="BF200" s="28">
        <f t="shared" si="183"/>
        <v>-11722.3</v>
      </c>
      <c r="BG200" s="241">
        <f t="shared" ref="BG200:BI204" si="184">SUM(AI200,AL200,AO200)</f>
        <v>-6863.2999999999993</v>
      </c>
      <c r="BH200" s="27">
        <f t="shared" si="184"/>
        <v>-10800</v>
      </c>
      <c r="BI200" s="28">
        <f t="shared" si="184"/>
        <v>-12600</v>
      </c>
      <c r="BK200" s="448">
        <f t="shared" ref="BK200:BK263" si="185">SUM(I200,L200,O200,R200,U200,X200,AA200,AD200,AG200,AJ200,AM200,AP200)</f>
        <v>-42300</v>
      </c>
      <c r="BL200" s="448">
        <f t="shared" ref="BL200:BL263" si="186">BK200-AV200</f>
        <v>0</v>
      </c>
      <c r="BM200" s="448">
        <f t="shared" ref="BM200:BM263" si="187">SUM(J200,M200,P200,S200,V200)</f>
        <v>-16190</v>
      </c>
      <c r="BN200" s="448">
        <f t="shared" ref="BN200:BN263" ca="1" si="188">BM200-AT200</f>
        <v>3210.3499999999985</v>
      </c>
    </row>
    <row r="201" spans="1:66" s="29" customFormat="1" hidden="1" outlineLevel="1" x14ac:dyDescent="0.3">
      <c r="A201" s="22" t="s">
        <v>241</v>
      </c>
      <c r="B201" s="2"/>
      <c r="C201" s="24"/>
      <c r="D201" s="55"/>
      <c r="E201" s="101">
        <v>-350</v>
      </c>
      <c r="F201" s="41"/>
      <c r="G201" s="102"/>
      <c r="H201" s="241">
        <v>0</v>
      </c>
      <c r="I201" s="27">
        <v>0</v>
      </c>
      <c r="J201" s="28">
        <f>SUMIFS(Aut_BlueMe_Sem_Pedido!$J:$J,Aut_BlueMe_Sem_Pedido!$Q:$Q,DRE!H$4,Aut_BlueMe_Sem_Pedido!$H:$H,DRE!$A201)+SUMIFS(Aut_Ajustes_Manuais!$G:$G,Aut_Ajustes_Manuais!$I:$I,DRE!H$4,Aut_Ajustes_Manuais!$F:$F,"  -  Assist. Médica")</f>
        <v>0</v>
      </c>
      <c r="K201" s="241">
        <v>0</v>
      </c>
      <c r="L201" s="27">
        <v>0</v>
      </c>
      <c r="M201" s="28">
        <f>SUMIFS(Aut_BlueMe_Sem_Pedido!$J:$J,Aut_BlueMe_Sem_Pedido!$Q:$Q,DRE!K$4,Aut_BlueMe_Sem_Pedido!$H:$H,DRE!$A201)+SUMIFS(Aut_Ajustes_Manuais!$G:$G,Aut_Ajustes_Manuais!$I:$I,DRE!K$4,Aut_Ajustes_Manuais!$F:$F,"  -  Assist. Médica")</f>
        <v>0</v>
      </c>
      <c r="N201" s="241">
        <v>0</v>
      </c>
      <c r="O201" s="27">
        <v>0</v>
      </c>
      <c r="P201" s="28">
        <f>SUMIFS(Aut_BlueMe_Sem_Pedido!$J:$J,Aut_BlueMe_Sem_Pedido!$Q:$Q,DRE!N$4,Aut_BlueMe_Sem_Pedido!$H:$H,DRE!$A201)+SUMIFS(Aut_Ajustes_Manuais!$G:$G,Aut_Ajustes_Manuais!$I:$I,DRE!N$4,Aut_Ajustes_Manuais!$F:$F,"  -  Assist. Médica")</f>
        <v>0</v>
      </c>
      <c r="Q201" s="241">
        <v>0</v>
      </c>
      <c r="R201" s="27">
        <v>0</v>
      </c>
      <c r="S201" s="28">
        <f>SUMIFS(Aut_BlueMe_Sem_Pedido!$J:$J,Aut_BlueMe_Sem_Pedido!$Q:$Q,DRE!Q$4,Aut_BlueMe_Sem_Pedido!$H:$H,DRE!$A201)+SUMIFS(Aut_Ajustes_Manuais!$G:$G,Aut_Ajustes_Manuais!$I:$I,DRE!Q$4,Aut_Ajustes_Manuais!$F:$F,"  -  Assist. Médica")</f>
        <v>0</v>
      </c>
      <c r="T201" s="241">
        <v>0</v>
      </c>
      <c r="U201" s="27">
        <v>0</v>
      </c>
      <c r="V201" s="28">
        <f>SUMIFS(Aut_BlueMe_Sem_Pedido!$J:$J,Aut_BlueMe_Sem_Pedido!$Q:$Q,DRE!T$4,Aut_BlueMe_Sem_Pedido!$H:$H,DRE!$A201)+SUMIFS(Aut_Ajustes_Manuais!$G:$G,Aut_Ajustes_Manuais!$I:$I,DRE!T$4,Aut_Ajustes_Manuais!$F:$F,"  -  Assist. Médica")</f>
        <v>0</v>
      </c>
      <c r="W201" s="241">
        <v>0</v>
      </c>
      <c r="X201" s="27">
        <v>0</v>
      </c>
      <c r="Y201" s="28">
        <f>SUMIFS(Aut_BlueMe_Sem_Pedido!$J:$J,Aut_BlueMe_Sem_Pedido!$Q:$Q,DRE!W$4,Aut_BlueMe_Sem_Pedido!$H:$H,DRE!$A201)+SUMIFS(Aut_Ajustes_Manuais!$G:$G,Aut_Ajustes_Manuais!$I:$I,DRE!W$4,Aut_Ajustes_Manuais!$F:$F,"  -  Assist. Médica")</f>
        <v>0</v>
      </c>
      <c r="Z201" s="241">
        <v>0</v>
      </c>
      <c r="AA201" s="27">
        <v>0</v>
      </c>
      <c r="AB201" s="28">
        <f>SUMIFS(Aut_BlueMe_Sem_Pedido!$J:$J,Aut_BlueMe_Sem_Pedido!$Q:$Q,DRE!Z$4,Aut_BlueMe_Sem_Pedido!$H:$H,DRE!$A201)+SUMIFS(Aut_Ajustes_Manuais!$G:$G,Aut_Ajustes_Manuais!$I:$I,DRE!Z$4,Aut_Ajustes_Manuais!$F:$F,"  -  Assist. Médica")</f>
        <v>0</v>
      </c>
      <c r="AC201" s="241">
        <v>0</v>
      </c>
      <c r="AD201" s="27">
        <v>0</v>
      </c>
      <c r="AE201" s="28">
        <f>SUMIFS(Aut_BlueMe_Sem_Pedido!$J:$J,Aut_BlueMe_Sem_Pedido!$Q:$Q,DRE!AC$4,Aut_BlueMe_Sem_Pedido!$H:$H,DRE!$A201)+SUMIFS(Aut_Ajustes_Manuais!$G:$G,Aut_Ajustes_Manuais!$I:$I,DRE!AC$4,Aut_Ajustes_Manuais!$F:$F,"  -  Assist. Médica")</f>
        <v>0</v>
      </c>
      <c r="AF201" s="241">
        <v>0</v>
      </c>
      <c r="AG201" s="27">
        <v>0</v>
      </c>
      <c r="AH201" s="28">
        <f>SUMIFS(Aut_BlueMe_Sem_Pedido!$J:$J,Aut_BlueMe_Sem_Pedido!$Q:$Q,DRE!AF$4,Aut_BlueMe_Sem_Pedido!$H:$H,DRE!$A201)+SUMIFS(Aut_Ajustes_Manuais!$G:$G,Aut_Ajustes_Manuais!$I:$I,DRE!AF$4,Aut_Ajustes_Manuais!$F:$F,"  -  Assist. Médica")</f>
        <v>0</v>
      </c>
      <c r="AI201" s="241">
        <v>0</v>
      </c>
      <c r="AJ201" s="27">
        <v>0</v>
      </c>
      <c r="AK201" s="28">
        <f>SUMIFS(Aut_BlueMe_Sem_Pedido!$J:$J,Aut_BlueMe_Sem_Pedido!$Q:$Q,DRE!AI$4,Aut_BlueMe_Sem_Pedido!$H:$H,DRE!$A201)+SUMIFS(Aut_Ajustes_Manuais!$G:$G,Aut_Ajustes_Manuais!$I:$I,DRE!AI$4,Aut_Ajustes_Manuais!$F:$F,"  -  Assist. Médica")</f>
        <v>0</v>
      </c>
      <c r="AL201" s="241">
        <v>0</v>
      </c>
      <c r="AM201" s="27">
        <v>0</v>
      </c>
      <c r="AN201" s="28">
        <f>SUMIFS(Aut_BlueMe_Sem_Pedido!$J:$J,Aut_BlueMe_Sem_Pedido!$Q:$Q,DRE!AL$4,Aut_BlueMe_Sem_Pedido!$H:$H,DRE!$A201)+SUMIFS(Aut_Ajustes_Manuais!$G:$G,Aut_Ajustes_Manuais!$I:$I,DRE!AL$4,Aut_Ajustes_Manuais!$F:$F,"  -  Assist. Médica")</f>
        <v>0</v>
      </c>
      <c r="AO201" s="241">
        <v>0</v>
      </c>
      <c r="AP201" s="27">
        <v>0</v>
      </c>
      <c r="AQ201" s="28">
        <f>SUMIFS(Aut_BlueMe_Sem_Pedido!$J:$J,Aut_BlueMe_Sem_Pedido!$Q:$Q,DRE!AO$4,Aut_BlueMe_Sem_Pedido!$H:$H,DRE!$A201)+SUMIFS(Aut_Ajustes_Manuais!$G:$G,Aut_Ajustes_Manuais!$I:$I,DRE!AO$4,Aut_Ajustes_Manuais!$F:$F,"  -  Assist. Médica")</f>
        <v>0</v>
      </c>
      <c r="AR201" s="241">
        <f t="shared" ca="1" si="154"/>
        <v>0</v>
      </c>
      <c r="AS201" s="27">
        <f t="shared" ca="1" si="155"/>
        <v>0</v>
      </c>
      <c r="AT201" s="28">
        <f t="shared" ca="1" si="156"/>
        <v>0</v>
      </c>
      <c r="AU201" s="241">
        <f t="shared" si="180"/>
        <v>0</v>
      </c>
      <c r="AV201" s="27">
        <f t="shared" si="180"/>
        <v>0</v>
      </c>
      <c r="AW201" s="28">
        <f t="shared" si="180"/>
        <v>0</v>
      </c>
      <c r="AX201" s="241">
        <f t="shared" si="181"/>
        <v>0</v>
      </c>
      <c r="AY201" s="27">
        <f t="shared" si="181"/>
        <v>0</v>
      </c>
      <c r="AZ201" s="28">
        <f t="shared" si="181"/>
        <v>0</v>
      </c>
      <c r="BA201" s="241">
        <f t="shared" si="182"/>
        <v>0</v>
      </c>
      <c r="BB201" s="27">
        <f t="shared" si="182"/>
        <v>0</v>
      </c>
      <c r="BC201" s="28">
        <f t="shared" si="182"/>
        <v>0</v>
      </c>
      <c r="BD201" s="241">
        <f t="shared" si="183"/>
        <v>0</v>
      </c>
      <c r="BE201" s="27">
        <f t="shared" si="183"/>
        <v>0</v>
      </c>
      <c r="BF201" s="28">
        <f t="shared" si="183"/>
        <v>0</v>
      </c>
      <c r="BG201" s="241">
        <f t="shared" si="184"/>
        <v>0</v>
      </c>
      <c r="BH201" s="27">
        <f t="shared" si="184"/>
        <v>0</v>
      </c>
      <c r="BI201" s="28">
        <f t="shared" si="184"/>
        <v>0</v>
      </c>
      <c r="BK201" s="448">
        <f t="shared" si="185"/>
        <v>0</v>
      </c>
      <c r="BL201" s="448">
        <f t="shared" si="186"/>
        <v>0</v>
      </c>
      <c r="BM201" s="448">
        <f t="shared" si="187"/>
        <v>0</v>
      </c>
      <c r="BN201" s="448">
        <f t="shared" ca="1" si="188"/>
        <v>0</v>
      </c>
    </row>
    <row r="202" spans="1:66" s="29" customFormat="1" hidden="1" outlineLevel="1" x14ac:dyDescent="0.3">
      <c r="A202" s="22" t="s">
        <v>242</v>
      </c>
      <c r="B202" s="2"/>
      <c r="C202" s="24"/>
      <c r="D202" s="55"/>
      <c r="E202" s="87"/>
      <c r="F202" s="41"/>
      <c r="G202" s="103"/>
      <c r="H202" s="241">
        <v>0</v>
      </c>
      <c r="I202" s="27"/>
      <c r="J202" s="28">
        <f>SUMIFS(Aut_BlueMe_Sem_Pedido!$J:$J,Aut_BlueMe_Sem_Pedido!$Q:$Q,DRE!H$4,Aut_BlueMe_Sem_Pedido!$H:$H,DRE!$A202)+SUMIFS(Aut_Ajustes_Manuais!$G:$G,Aut_Ajustes_Manuais!$I:$I,DRE!H$4,Aut_Ajustes_Manuais!$F:$F,"  -  Assist. Odontologica")</f>
        <v>0</v>
      </c>
      <c r="K202" s="241">
        <v>0</v>
      </c>
      <c r="L202" s="27"/>
      <c r="M202" s="28">
        <f>SUMIFS(Aut_BlueMe_Sem_Pedido!$J:$J,Aut_BlueMe_Sem_Pedido!$Q:$Q,DRE!K$4,Aut_BlueMe_Sem_Pedido!$H:$H,DRE!$A202)+SUMIFS(Aut_Ajustes_Manuais!$G:$G,Aut_Ajustes_Manuais!$I:$I,DRE!K$4,Aut_Ajustes_Manuais!$F:$F,"  -  Assist. Odontologica")</f>
        <v>0</v>
      </c>
      <c r="N202" s="241">
        <v>0</v>
      </c>
      <c r="O202" s="27"/>
      <c r="P202" s="28">
        <f>SUMIFS(Aut_BlueMe_Sem_Pedido!$J:$J,Aut_BlueMe_Sem_Pedido!$Q:$Q,DRE!N$4,Aut_BlueMe_Sem_Pedido!$H:$H,DRE!$A202)+SUMIFS(Aut_Ajustes_Manuais!$G:$G,Aut_Ajustes_Manuais!$I:$I,DRE!N$4,Aut_Ajustes_Manuais!$F:$F,"  -  Assist. Odontologica")</f>
        <v>0</v>
      </c>
      <c r="Q202" s="241">
        <v>0</v>
      </c>
      <c r="R202" s="27"/>
      <c r="S202" s="28">
        <f>SUMIFS(Aut_BlueMe_Sem_Pedido!$J:$J,Aut_BlueMe_Sem_Pedido!$Q:$Q,DRE!Q$4,Aut_BlueMe_Sem_Pedido!$H:$H,DRE!$A202)+SUMIFS(Aut_Ajustes_Manuais!$G:$G,Aut_Ajustes_Manuais!$I:$I,DRE!Q$4,Aut_Ajustes_Manuais!$F:$F,"  -  Assist. Odontologica")</f>
        <v>0</v>
      </c>
      <c r="T202" s="241">
        <v>0</v>
      </c>
      <c r="U202" s="27"/>
      <c r="V202" s="28">
        <f>SUMIFS(Aut_BlueMe_Sem_Pedido!$J:$J,Aut_BlueMe_Sem_Pedido!$Q:$Q,DRE!T$4,Aut_BlueMe_Sem_Pedido!$H:$H,DRE!$A202)+SUMIFS(Aut_Ajustes_Manuais!$G:$G,Aut_Ajustes_Manuais!$I:$I,DRE!T$4,Aut_Ajustes_Manuais!$F:$F,"  -  Assist. Odontologica")</f>
        <v>0</v>
      </c>
      <c r="W202" s="241">
        <v>0</v>
      </c>
      <c r="X202" s="27"/>
      <c r="Y202" s="28">
        <f>SUMIFS(Aut_BlueMe_Sem_Pedido!$J:$J,Aut_BlueMe_Sem_Pedido!$Q:$Q,DRE!W$4,Aut_BlueMe_Sem_Pedido!$H:$H,DRE!$A202)+SUMIFS(Aut_Ajustes_Manuais!$G:$G,Aut_Ajustes_Manuais!$I:$I,DRE!W$4,Aut_Ajustes_Manuais!$F:$F,"  -  Assist. Odontologica")</f>
        <v>0</v>
      </c>
      <c r="Z202" s="241">
        <v>0</v>
      </c>
      <c r="AA202" s="27"/>
      <c r="AB202" s="28">
        <f>SUMIFS(Aut_BlueMe_Sem_Pedido!$J:$J,Aut_BlueMe_Sem_Pedido!$Q:$Q,DRE!Z$4,Aut_BlueMe_Sem_Pedido!$H:$H,DRE!$A202)+SUMIFS(Aut_Ajustes_Manuais!$G:$G,Aut_Ajustes_Manuais!$I:$I,DRE!Z$4,Aut_Ajustes_Manuais!$F:$F,"  -  Assist. Odontologica")</f>
        <v>0</v>
      </c>
      <c r="AC202" s="241">
        <v>0</v>
      </c>
      <c r="AD202" s="27"/>
      <c r="AE202" s="28">
        <f>SUMIFS(Aut_BlueMe_Sem_Pedido!$J:$J,Aut_BlueMe_Sem_Pedido!$Q:$Q,DRE!AC$4,Aut_BlueMe_Sem_Pedido!$H:$H,DRE!$A202)+SUMIFS(Aut_Ajustes_Manuais!$G:$G,Aut_Ajustes_Manuais!$I:$I,DRE!AC$4,Aut_Ajustes_Manuais!$F:$F,"  -  Assist. Odontologica")</f>
        <v>0</v>
      </c>
      <c r="AF202" s="241">
        <v>0</v>
      </c>
      <c r="AG202" s="27"/>
      <c r="AH202" s="28">
        <f>SUMIFS(Aut_BlueMe_Sem_Pedido!$J:$J,Aut_BlueMe_Sem_Pedido!$Q:$Q,DRE!AF$4,Aut_BlueMe_Sem_Pedido!$H:$H,DRE!$A202)+SUMIFS(Aut_Ajustes_Manuais!$G:$G,Aut_Ajustes_Manuais!$I:$I,DRE!AF$4,Aut_Ajustes_Manuais!$F:$F,"  -  Assist. Odontologica")</f>
        <v>0</v>
      </c>
      <c r="AI202" s="241">
        <v>0</v>
      </c>
      <c r="AJ202" s="27"/>
      <c r="AK202" s="28">
        <f>SUMIFS(Aut_BlueMe_Sem_Pedido!$J:$J,Aut_BlueMe_Sem_Pedido!$Q:$Q,DRE!AI$4,Aut_BlueMe_Sem_Pedido!$H:$H,DRE!$A202)+SUMIFS(Aut_Ajustes_Manuais!$G:$G,Aut_Ajustes_Manuais!$I:$I,DRE!AI$4,Aut_Ajustes_Manuais!$F:$F,"  -  Assist. Odontologica")</f>
        <v>0</v>
      </c>
      <c r="AL202" s="241">
        <v>0</v>
      </c>
      <c r="AM202" s="27"/>
      <c r="AN202" s="28">
        <f>SUMIFS(Aut_BlueMe_Sem_Pedido!$J:$J,Aut_BlueMe_Sem_Pedido!$Q:$Q,DRE!AL$4,Aut_BlueMe_Sem_Pedido!$H:$H,DRE!$A202)+SUMIFS(Aut_Ajustes_Manuais!$G:$G,Aut_Ajustes_Manuais!$I:$I,DRE!AL$4,Aut_Ajustes_Manuais!$F:$F,"  -  Assist. Odontologica")</f>
        <v>0</v>
      </c>
      <c r="AO202" s="241">
        <v>0</v>
      </c>
      <c r="AP202" s="27"/>
      <c r="AQ202" s="28">
        <f>SUMIFS(Aut_BlueMe_Sem_Pedido!$J:$J,Aut_BlueMe_Sem_Pedido!$Q:$Q,DRE!AO$4,Aut_BlueMe_Sem_Pedido!$H:$H,DRE!$A202)+SUMIFS(Aut_Ajustes_Manuais!$G:$G,Aut_Ajustes_Manuais!$I:$I,DRE!AO$4,Aut_Ajustes_Manuais!$F:$F,"  -  Assist. Odontologica")</f>
        <v>0</v>
      </c>
      <c r="AR202" s="241">
        <f t="shared" ca="1" si="154"/>
        <v>0</v>
      </c>
      <c r="AS202" s="27">
        <f t="shared" ca="1" si="155"/>
        <v>0</v>
      </c>
      <c r="AT202" s="28">
        <f t="shared" ca="1" si="156"/>
        <v>0</v>
      </c>
      <c r="AU202" s="241">
        <f t="shared" si="180"/>
        <v>0</v>
      </c>
      <c r="AV202" s="27">
        <f t="shared" si="180"/>
        <v>0</v>
      </c>
      <c r="AW202" s="28">
        <f t="shared" si="180"/>
        <v>0</v>
      </c>
      <c r="AX202" s="241">
        <f t="shared" si="181"/>
        <v>0</v>
      </c>
      <c r="AY202" s="27">
        <f t="shared" si="181"/>
        <v>0</v>
      </c>
      <c r="AZ202" s="28">
        <f t="shared" si="181"/>
        <v>0</v>
      </c>
      <c r="BA202" s="241">
        <f t="shared" si="182"/>
        <v>0</v>
      </c>
      <c r="BB202" s="27">
        <f t="shared" si="182"/>
        <v>0</v>
      </c>
      <c r="BC202" s="28">
        <f t="shared" si="182"/>
        <v>0</v>
      </c>
      <c r="BD202" s="241">
        <f t="shared" si="183"/>
        <v>0</v>
      </c>
      <c r="BE202" s="27">
        <f t="shared" si="183"/>
        <v>0</v>
      </c>
      <c r="BF202" s="28">
        <f t="shared" si="183"/>
        <v>0</v>
      </c>
      <c r="BG202" s="241">
        <f t="shared" si="184"/>
        <v>0</v>
      </c>
      <c r="BH202" s="27">
        <f t="shared" si="184"/>
        <v>0</v>
      </c>
      <c r="BI202" s="28">
        <f t="shared" si="184"/>
        <v>0</v>
      </c>
      <c r="BK202" s="448">
        <f t="shared" si="185"/>
        <v>0</v>
      </c>
      <c r="BL202" s="448">
        <f t="shared" si="186"/>
        <v>0</v>
      </c>
      <c r="BM202" s="448">
        <f t="shared" si="187"/>
        <v>0</v>
      </c>
      <c r="BN202" s="448">
        <f t="shared" ca="1" si="188"/>
        <v>0</v>
      </c>
    </row>
    <row r="203" spans="1:66" s="29" customFormat="1" hidden="1" outlineLevel="1" x14ac:dyDescent="0.3">
      <c r="A203" s="22" t="s">
        <v>243</v>
      </c>
      <c r="B203" s="2"/>
      <c r="C203" s="24"/>
      <c r="D203" s="55" t="s">
        <v>244</v>
      </c>
      <c r="E203" s="101">
        <v>-5</v>
      </c>
      <c r="F203" s="41"/>
      <c r="G203" s="102"/>
      <c r="H203" s="241">
        <v>-116</v>
      </c>
      <c r="I203" s="27">
        <v>-110</v>
      </c>
      <c r="J203" s="28">
        <f>SUMIFS(Aut_BlueMe_Sem_Pedido!$J:$J,Aut_BlueMe_Sem_Pedido!$Q:$Q,DRE!H$4,Aut_BlueMe_Sem_Pedido!$H:$H,DRE!$A203)+SUMIFS(Aut_Ajustes_Manuais!$G:$G,Aut_Ajustes_Manuais!$I:$I,DRE!H$4,Aut_Ajustes_Manuais!$F:$F,"  -  Seguro de Vida")</f>
        <v>-69.22</v>
      </c>
      <c r="K203" s="241">
        <v>-116</v>
      </c>
      <c r="L203" s="27">
        <v>-110</v>
      </c>
      <c r="M203" s="28">
        <f>SUMIFS(Aut_BlueMe_Sem_Pedido!$J:$J,Aut_BlueMe_Sem_Pedido!$Q:$Q,DRE!K$4,Aut_BlueMe_Sem_Pedido!$H:$H,DRE!$A203)+SUMIFS(Aut_Ajustes_Manuais!$G:$G,Aut_Ajustes_Manuais!$I:$I,DRE!K$4,Aut_Ajustes_Manuais!$F:$F,"  -  Seguro de Vida")</f>
        <v>-69.22</v>
      </c>
      <c r="N203" s="241">
        <v>-163.19999999999999</v>
      </c>
      <c r="O203" s="27">
        <v>-110</v>
      </c>
      <c r="P203" s="28">
        <f>SUMIFS(Aut_BlueMe_Sem_Pedido!$J:$J,Aut_BlueMe_Sem_Pedido!$Q:$Q,DRE!N$4,Aut_BlueMe_Sem_Pedido!$H:$H,DRE!$A203)+SUMIFS(Aut_Ajustes_Manuais!$G:$G,Aut_Ajustes_Manuais!$I:$I,DRE!N$4,Aut_Ajustes_Manuais!$F:$F,"  -  Seguro de Vida")</f>
        <v>-69.22</v>
      </c>
      <c r="Q203" s="241">
        <v>-116</v>
      </c>
      <c r="R203" s="27">
        <v>-120</v>
      </c>
      <c r="S203" s="28">
        <f>SUMIFS(Aut_BlueMe_Sem_Pedido!$J:$J,Aut_BlueMe_Sem_Pedido!$Q:$Q,DRE!Q$4,Aut_BlueMe_Sem_Pedido!$H:$H,DRE!$A203)+SUMIFS(Aut_Ajustes_Manuais!$G:$G,Aut_Ajustes_Manuais!$I:$I,DRE!Q$4,Aut_Ajustes_Manuais!$F:$F,"  -  Seguro de Vida")</f>
        <v>-69.22</v>
      </c>
      <c r="T203" s="241">
        <v>-175</v>
      </c>
      <c r="U203" s="27">
        <v>-120</v>
      </c>
      <c r="V203" s="28">
        <f>SUMIFS(Aut_BlueMe_Sem_Pedido!$J:$J,Aut_BlueMe_Sem_Pedido!$Q:$Q,DRE!T$4,Aut_BlueMe_Sem_Pedido!$H:$H,DRE!$A203)+SUMIFS(Aut_Ajustes_Manuais!$G:$G,Aut_Ajustes_Manuais!$I:$I,DRE!T$4,Aut_Ajustes_Manuais!$F:$F,"  -  Seguro de Vida")</f>
        <v>-69.22</v>
      </c>
      <c r="W203" s="241">
        <v>-210.4</v>
      </c>
      <c r="X203" s="27">
        <v>-120</v>
      </c>
      <c r="Y203" s="28">
        <f>SUMIFS(Aut_BlueMe_Sem_Pedido!$J:$J,Aut_BlueMe_Sem_Pedido!$Q:$Q,DRE!W$4,Aut_BlueMe_Sem_Pedido!$H:$H,DRE!$A203)+SUMIFS(Aut_Ajustes_Manuais!$G:$G,Aut_Ajustes_Manuais!$I:$I,DRE!W$4,Aut_Ajustes_Manuais!$F:$F,"  -  Seguro de Vida")</f>
        <v>-69.22</v>
      </c>
      <c r="Z203" s="241">
        <v>-199.06</v>
      </c>
      <c r="AA203" s="27">
        <v>-120</v>
      </c>
      <c r="AB203" s="28">
        <f>SUMIFS(Aut_BlueMe_Sem_Pedido!$J:$J,Aut_BlueMe_Sem_Pedido!$Q:$Q,DRE!Z$4,Aut_BlueMe_Sem_Pedido!$H:$H,DRE!$A203)+SUMIFS(Aut_Ajustes_Manuais!$G:$G,Aut_Ajustes_Manuais!$I:$I,DRE!Z$4,Aut_Ajustes_Manuais!$F:$F,"  -  Seguro de Vida")</f>
        <v>-300</v>
      </c>
      <c r="AC203" s="241">
        <v>-171.37</v>
      </c>
      <c r="AD203" s="27">
        <v>-120</v>
      </c>
      <c r="AE203" s="28">
        <f>SUMIFS(Aut_BlueMe_Sem_Pedido!$J:$J,Aut_BlueMe_Sem_Pedido!$Q:$Q,DRE!AC$4,Aut_BlueMe_Sem_Pedido!$H:$H,DRE!$A203)+SUMIFS(Aut_Ajustes_Manuais!$G:$G,Aut_Ajustes_Manuais!$I:$I,DRE!AC$4,Aut_Ajustes_Manuais!$F:$F,"  -  Seguro de Vida")</f>
        <v>-300</v>
      </c>
      <c r="AF203" s="241">
        <v>-171.37</v>
      </c>
      <c r="AG203" s="27">
        <v>-120</v>
      </c>
      <c r="AH203" s="28">
        <f>SUMIFS(Aut_BlueMe_Sem_Pedido!$J:$J,Aut_BlueMe_Sem_Pedido!$Q:$Q,DRE!AF$4,Aut_BlueMe_Sem_Pedido!$H:$H,DRE!$A203)+SUMIFS(Aut_Ajustes_Manuais!$G:$G,Aut_Ajustes_Manuais!$I:$I,DRE!AF$4,Aut_Ajustes_Manuais!$F:$F,"  -  Seguro de Vida")</f>
        <v>-300</v>
      </c>
      <c r="AI203" s="241">
        <v>-185.22</v>
      </c>
      <c r="AJ203" s="27">
        <v>-120</v>
      </c>
      <c r="AK203" s="28">
        <f>SUMIFS(Aut_BlueMe_Sem_Pedido!$J:$J,Aut_BlueMe_Sem_Pedido!$Q:$Q,DRE!AI$4,Aut_BlueMe_Sem_Pedido!$H:$H,DRE!$A203)+SUMIFS(Aut_Ajustes_Manuais!$G:$G,Aut_Ajustes_Manuais!$I:$I,DRE!AI$4,Aut_Ajustes_Manuais!$F:$F,"  -  Seguro de Vida")</f>
        <v>-300</v>
      </c>
      <c r="AL203" s="241">
        <v>-185.22</v>
      </c>
      <c r="AM203" s="27">
        <v>-120</v>
      </c>
      <c r="AN203" s="28">
        <f>SUMIFS(Aut_BlueMe_Sem_Pedido!$J:$J,Aut_BlueMe_Sem_Pedido!$Q:$Q,DRE!AL$4,Aut_BlueMe_Sem_Pedido!$H:$H,DRE!$A203)+SUMIFS(Aut_Ajustes_Manuais!$G:$G,Aut_Ajustes_Manuais!$I:$I,DRE!AL$4,Aut_Ajustes_Manuais!$F:$F,"  -  Seguro de Vida")</f>
        <v>-300</v>
      </c>
      <c r="AO203" s="241">
        <v>-185.22</v>
      </c>
      <c r="AP203" s="27">
        <v>-120</v>
      </c>
      <c r="AQ203" s="28">
        <f>SUMIFS(Aut_BlueMe_Sem_Pedido!$J:$J,Aut_BlueMe_Sem_Pedido!$Q:$Q,DRE!AO$4,Aut_BlueMe_Sem_Pedido!$H:$H,DRE!$A203)+SUMIFS(Aut_Ajustes_Manuais!$G:$G,Aut_Ajustes_Manuais!$I:$I,DRE!AO$4,Aut_Ajustes_Manuais!$F:$F,"  -  Seguro de Vida")</f>
        <v>-300</v>
      </c>
      <c r="AR203" s="241">
        <f t="shared" ref="AR203:AR212" ca="1" si="189">SUMIFS($H203:$AO203,$H$5:$AO$5,"&lt;"&amp;MONTH(TODAY()),$H$6:$AO$6,"REAL 25")</f>
        <v>-896.6</v>
      </c>
      <c r="AS203" s="27">
        <f t="shared" ref="AS203:AS212" ca="1" si="190">SUMIFS($I203:$AP203,$I$5:$AP$5,"&lt;"&amp;MONTH(TODAY()),$I$6:$AP$6,"ORÇADO ")</f>
        <v>-690</v>
      </c>
      <c r="AT203" s="28">
        <f t="shared" ref="AT203:AT212" ca="1" si="191">SUMIFS($J203:$AQ203,$J$5:$AQ$5,"&lt;"&amp;MONTH(TODAY()),$J$6:$AQ$6,"REAL 26")</f>
        <v>-415.32000000000005</v>
      </c>
      <c r="AU203" s="241">
        <f t="shared" si="180"/>
        <v>-1994.0600000000002</v>
      </c>
      <c r="AV203" s="27">
        <f t="shared" si="180"/>
        <v>-1410</v>
      </c>
      <c r="AW203" s="28">
        <f t="shared" si="180"/>
        <v>-2215.3200000000002</v>
      </c>
      <c r="AX203" s="241">
        <f t="shared" si="181"/>
        <v>-395.2</v>
      </c>
      <c r="AY203" s="27">
        <f t="shared" si="181"/>
        <v>-330</v>
      </c>
      <c r="AZ203" s="28">
        <f t="shared" si="181"/>
        <v>-207.66</v>
      </c>
      <c r="BA203" s="241">
        <f t="shared" si="182"/>
        <v>-501.4</v>
      </c>
      <c r="BB203" s="27">
        <f t="shared" si="182"/>
        <v>-360</v>
      </c>
      <c r="BC203" s="28">
        <f t="shared" si="182"/>
        <v>-207.66</v>
      </c>
      <c r="BD203" s="241">
        <f t="shared" si="183"/>
        <v>-541.79999999999995</v>
      </c>
      <c r="BE203" s="27">
        <f t="shared" si="183"/>
        <v>-360</v>
      </c>
      <c r="BF203" s="28">
        <f t="shared" si="183"/>
        <v>-900</v>
      </c>
      <c r="BG203" s="241">
        <f t="shared" si="184"/>
        <v>-555.66</v>
      </c>
      <c r="BH203" s="27">
        <f t="shared" si="184"/>
        <v>-360</v>
      </c>
      <c r="BI203" s="28">
        <f t="shared" si="184"/>
        <v>-900</v>
      </c>
      <c r="BK203" s="448">
        <f t="shared" si="185"/>
        <v>-1410</v>
      </c>
      <c r="BL203" s="448">
        <f t="shared" si="186"/>
        <v>0</v>
      </c>
      <c r="BM203" s="448">
        <f t="shared" si="187"/>
        <v>-346.1</v>
      </c>
      <c r="BN203" s="448">
        <f t="shared" ca="1" si="188"/>
        <v>69.220000000000027</v>
      </c>
    </row>
    <row r="204" spans="1:66" s="29" customFormat="1" hidden="1" outlineLevel="1" x14ac:dyDescent="0.3">
      <c r="A204" s="22" t="s">
        <v>245</v>
      </c>
      <c r="B204" s="2"/>
      <c r="C204" s="24"/>
      <c r="D204" s="55"/>
      <c r="E204" s="87"/>
      <c r="F204" s="41"/>
      <c r="G204" s="104"/>
      <c r="H204" s="241">
        <v>0</v>
      </c>
      <c r="I204" s="27"/>
      <c r="J204" s="28">
        <f>SUMIFS(Aut_BlueMe_Sem_Pedido!$J:$J,Aut_BlueMe_Sem_Pedido!$Q:$Q,DRE!H$4,Aut_BlueMe_Sem_Pedido!$H:$H,DRE!$A204)+SUMIFS(Aut_Ajustes_Manuais!$G:$G,Aut_Ajustes_Manuais!$I:$I,DRE!H$4,Aut_Ajustes_Manuais!$F:$F,"  -  Ajuda de Custo")</f>
        <v>0</v>
      </c>
      <c r="K204" s="241">
        <v>0</v>
      </c>
      <c r="L204" s="27"/>
      <c r="M204" s="28">
        <f>SUMIFS(Aut_BlueMe_Sem_Pedido!$J:$J,Aut_BlueMe_Sem_Pedido!$Q:$Q,DRE!K$4,Aut_BlueMe_Sem_Pedido!$H:$H,DRE!$A204)+SUMIFS(Aut_Ajustes_Manuais!$G:$G,Aut_Ajustes_Manuais!$I:$I,DRE!K$4,Aut_Ajustes_Manuais!$F:$F,"  -  Ajuda de Custo")</f>
        <v>0</v>
      </c>
      <c r="N204" s="241">
        <v>0</v>
      </c>
      <c r="O204" s="27"/>
      <c r="P204" s="28">
        <f>SUMIFS(Aut_BlueMe_Sem_Pedido!$J:$J,Aut_BlueMe_Sem_Pedido!$Q:$Q,DRE!N$4,Aut_BlueMe_Sem_Pedido!$H:$H,DRE!$A204)+SUMIFS(Aut_Ajustes_Manuais!$G:$G,Aut_Ajustes_Manuais!$I:$I,DRE!N$4,Aut_Ajustes_Manuais!$F:$F,"  -  Ajuda de Custo")</f>
        <v>0</v>
      </c>
      <c r="Q204" s="241">
        <v>0</v>
      </c>
      <c r="R204" s="27"/>
      <c r="S204" s="28">
        <f>SUMIFS(Aut_BlueMe_Sem_Pedido!$J:$J,Aut_BlueMe_Sem_Pedido!$Q:$Q,DRE!Q$4,Aut_BlueMe_Sem_Pedido!$H:$H,DRE!$A204)+SUMIFS(Aut_Ajustes_Manuais!$G:$G,Aut_Ajustes_Manuais!$I:$I,DRE!Q$4,Aut_Ajustes_Manuais!$F:$F,"  -  Ajuda de Custo")</f>
        <v>0</v>
      </c>
      <c r="T204" s="241">
        <v>0</v>
      </c>
      <c r="U204" s="27"/>
      <c r="V204" s="28">
        <f>SUMIFS(Aut_BlueMe_Sem_Pedido!$J:$J,Aut_BlueMe_Sem_Pedido!$Q:$Q,DRE!T$4,Aut_BlueMe_Sem_Pedido!$H:$H,DRE!$A204)+SUMIFS(Aut_Ajustes_Manuais!$G:$G,Aut_Ajustes_Manuais!$I:$I,DRE!T$4,Aut_Ajustes_Manuais!$F:$F,"  -  Ajuda de Custo")</f>
        <v>0</v>
      </c>
      <c r="W204" s="241">
        <v>0</v>
      </c>
      <c r="X204" s="27"/>
      <c r="Y204" s="28">
        <f>SUMIFS(Aut_BlueMe_Sem_Pedido!$J:$J,Aut_BlueMe_Sem_Pedido!$Q:$Q,DRE!W$4,Aut_BlueMe_Sem_Pedido!$H:$H,DRE!$A204)+SUMIFS(Aut_Ajustes_Manuais!$G:$G,Aut_Ajustes_Manuais!$I:$I,DRE!W$4,Aut_Ajustes_Manuais!$F:$F,"  -  Ajuda de Custo")</f>
        <v>0</v>
      </c>
      <c r="Z204" s="241">
        <v>0</v>
      </c>
      <c r="AA204" s="27"/>
      <c r="AB204" s="28">
        <f>SUMIFS(Aut_BlueMe_Sem_Pedido!$J:$J,Aut_BlueMe_Sem_Pedido!$Q:$Q,DRE!Z$4,Aut_BlueMe_Sem_Pedido!$H:$H,DRE!$A204)+SUMIFS(Aut_Ajustes_Manuais!$G:$G,Aut_Ajustes_Manuais!$I:$I,DRE!Z$4,Aut_Ajustes_Manuais!$F:$F,"  -  Ajuda de Custo")</f>
        <v>0</v>
      </c>
      <c r="AC204" s="241">
        <v>0</v>
      </c>
      <c r="AD204" s="27"/>
      <c r="AE204" s="28">
        <f>SUMIFS(Aut_BlueMe_Sem_Pedido!$J:$J,Aut_BlueMe_Sem_Pedido!$Q:$Q,DRE!AC$4,Aut_BlueMe_Sem_Pedido!$H:$H,DRE!$A204)+SUMIFS(Aut_Ajustes_Manuais!$G:$G,Aut_Ajustes_Manuais!$I:$I,DRE!AC$4,Aut_Ajustes_Manuais!$F:$F,"  -  Ajuda de Custo")</f>
        <v>0</v>
      </c>
      <c r="AF204" s="241">
        <v>0</v>
      </c>
      <c r="AG204" s="27"/>
      <c r="AH204" s="28">
        <f>SUMIFS(Aut_BlueMe_Sem_Pedido!$J:$J,Aut_BlueMe_Sem_Pedido!$Q:$Q,DRE!AF$4,Aut_BlueMe_Sem_Pedido!$H:$H,DRE!$A204)+SUMIFS(Aut_Ajustes_Manuais!$G:$G,Aut_Ajustes_Manuais!$I:$I,DRE!AF$4,Aut_Ajustes_Manuais!$F:$F,"  -  Ajuda de Custo")</f>
        <v>0</v>
      </c>
      <c r="AI204" s="241">
        <v>0</v>
      </c>
      <c r="AJ204" s="27"/>
      <c r="AK204" s="28">
        <f>SUMIFS(Aut_BlueMe_Sem_Pedido!$J:$J,Aut_BlueMe_Sem_Pedido!$Q:$Q,DRE!AI$4,Aut_BlueMe_Sem_Pedido!$H:$H,DRE!$A204)+SUMIFS(Aut_Ajustes_Manuais!$G:$G,Aut_Ajustes_Manuais!$I:$I,DRE!AI$4,Aut_Ajustes_Manuais!$F:$F,"  -  Ajuda de Custo")</f>
        <v>0</v>
      </c>
      <c r="AL204" s="241">
        <v>0</v>
      </c>
      <c r="AM204" s="27"/>
      <c r="AN204" s="28">
        <f>SUMIFS(Aut_BlueMe_Sem_Pedido!$J:$J,Aut_BlueMe_Sem_Pedido!$Q:$Q,DRE!AL$4,Aut_BlueMe_Sem_Pedido!$H:$H,DRE!$A204)+SUMIFS(Aut_Ajustes_Manuais!$G:$G,Aut_Ajustes_Manuais!$I:$I,DRE!AL$4,Aut_Ajustes_Manuais!$F:$F,"  -  Ajuda de Custo")</f>
        <v>0</v>
      </c>
      <c r="AO204" s="241">
        <v>0</v>
      </c>
      <c r="AP204" s="27"/>
      <c r="AQ204" s="28">
        <f>SUMIFS(Aut_BlueMe_Sem_Pedido!$J:$J,Aut_BlueMe_Sem_Pedido!$Q:$Q,DRE!AO$4,Aut_BlueMe_Sem_Pedido!$H:$H,DRE!$A204)+SUMIFS(Aut_Ajustes_Manuais!$G:$G,Aut_Ajustes_Manuais!$I:$I,DRE!AO$4,Aut_Ajustes_Manuais!$F:$F,"  -  Ajuda de Custo")</f>
        <v>0</v>
      </c>
      <c r="AR204" s="241">
        <f t="shared" ca="1" si="189"/>
        <v>0</v>
      </c>
      <c r="AS204" s="27">
        <f t="shared" ca="1" si="190"/>
        <v>0</v>
      </c>
      <c r="AT204" s="28">
        <f t="shared" ca="1" si="191"/>
        <v>0</v>
      </c>
      <c r="AU204" s="241">
        <f t="shared" si="180"/>
        <v>0</v>
      </c>
      <c r="AV204" s="27">
        <f t="shared" si="180"/>
        <v>0</v>
      </c>
      <c r="AW204" s="28">
        <f t="shared" si="180"/>
        <v>0</v>
      </c>
      <c r="AX204" s="241">
        <f t="shared" si="181"/>
        <v>0</v>
      </c>
      <c r="AY204" s="27">
        <f t="shared" si="181"/>
        <v>0</v>
      </c>
      <c r="AZ204" s="28">
        <f t="shared" si="181"/>
        <v>0</v>
      </c>
      <c r="BA204" s="241">
        <f t="shared" si="182"/>
        <v>0</v>
      </c>
      <c r="BB204" s="27">
        <f t="shared" si="182"/>
        <v>0</v>
      </c>
      <c r="BC204" s="28">
        <f t="shared" si="182"/>
        <v>0</v>
      </c>
      <c r="BD204" s="241">
        <f t="shared" si="183"/>
        <v>0</v>
      </c>
      <c r="BE204" s="27">
        <f t="shared" si="183"/>
        <v>0</v>
      </c>
      <c r="BF204" s="28">
        <f t="shared" si="183"/>
        <v>0</v>
      </c>
      <c r="BG204" s="241">
        <f t="shared" si="184"/>
        <v>0</v>
      </c>
      <c r="BH204" s="27">
        <f t="shared" si="184"/>
        <v>0</v>
      </c>
      <c r="BI204" s="28">
        <f t="shared" si="184"/>
        <v>0</v>
      </c>
      <c r="BK204" s="448">
        <f t="shared" si="185"/>
        <v>0</v>
      </c>
      <c r="BL204" s="448">
        <f t="shared" si="186"/>
        <v>0</v>
      </c>
      <c r="BM204" s="448">
        <f t="shared" si="187"/>
        <v>0</v>
      </c>
      <c r="BN204" s="448">
        <f t="shared" ca="1" si="188"/>
        <v>0</v>
      </c>
    </row>
    <row r="205" spans="1:66" collapsed="1" x14ac:dyDescent="0.3">
      <c r="A205" s="73" t="s">
        <v>246</v>
      </c>
      <c r="C205" s="40" t="s">
        <v>37</v>
      </c>
      <c r="D205" s="40" t="s">
        <v>38</v>
      </c>
      <c r="E205" s="40" t="s">
        <v>203</v>
      </c>
      <c r="F205" s="41"/>
      <c r="G205" s="47"/>
      <c r="H205" s="252">
        <v>-8363.848110243036</v>
      </c>
      <c r="I205" s="74">
        <v>-9379.9779538333332</v>
      </c>
      <c r="J205" s="76">
        <f>SUM(J206:J212)+SUMIFS(Aut_Ajustes_Manuais!$G:$G,Aut_Ajustes_Manuais!$I:$I,DRE!H$4,Aut_Ajustes_Manuais!$F:$F,"Outros B")</f>
        <v>-9575.2899999999991</v>
      </c>
      <c r="K205" s="252">
        <v>-7668.89</v>
      </c>
      <c r="L205" s="74">
        <v>-9485.4733548333334</v>
      </c>
      <c r="M205" s="76">
        <f>SUM(M206:M212)+SUMIFS(Aut_Ajustes_Manuais!$G:$G,Aut_Ajustes_Manuais!$I:$I,DRE!K$4,Aut_Ajustes_Manuais!$F:$F,"Outros B")</f>
        <v>-9782.3599999999988</v>
      </c>
      <c r="N205" s="252">
        <v>-8847.77</v>
      </c>
      <c r="O205" s="74">
        <v>-9871.9251623333348</v>
      </c>
      <c r="P205" s="76">
        <f>SUM(P206:P212)+SUMIFS(Aut_Ajustes_Manuais!$G:$G,Aut_Ajustes_Manuais!$I:$I,DRE!N$4,Aut_Ajustes_Manuais!$F:$F,"Outros B")</f>
        <v>-11394.380000000001</v>
      </c>
      <c r="Q205" s="252">
        <v>-7841.52</v>
      </c>
      <c r="R205" s="74">
        <v>-10380.137982833339</v>
      </c>
      <c r="S205" s="76">
        <f>SUM(S206:S212)+SUMIFS(Aut_Ajustes_Manuais!$G:$G,Aut_Ajustes_Manuais!$I:$I,DRE!Q$4,Aut_Ajustes_Manuais!$F:$F,"Outros B")</f>
        <v>-11385.51</v>
      </c>
      <c r="T205" s="252">
        <v>-9047.4372540552722</v>
      </c>
      <c r="U205" s="74">
        <v>-9349.9487496833335</v>
      </c>
      <c r="V205" s="76">
        <f>SUM(V206:V212)+SUMIFS(Aut_Ajustes_Manuais!$G:$G,Aut_Ajustes_Manuais!$I:$I,DRE!T$4,Aut_Ajustes_Manuais!$F:$F,"Outros B")</f>
        <v>-12827.74</v>
      </c>
      <c r="W205" s="252">
        <v>-7421.3159454835622</v>
      </c>
      <c r="X205" s="74">
        <v>-9638.6668678333335</v>
      </c>
      <c r="Y205" s="76">
        <f>SUM(Y206:Y212)+SUMIFS(Aut_Ajustes_Manuais!$G:$G,Aut_Ajustes_Manuais!$I:$I,DRE!W$4,Aut_Ajustes_Manuais!$F:$F,"Outros B")</f>
        <v>-2104.54</v>
      </c>
      <c r="Z205" s="252">
        <v>-8687.8477877192418</v>
      </c>
      <c r="AA205" s="74">
        <v>-9661.1693753333348</v>
      </c>
      <c r="AB205" s="76">
        <f>SUM(AB206:AB212)+SUMIFS(Aut_Ajustes_Manuais!$G:$G,Aut_Ajustes_Manuais!$I:$I,DRE!Z$4,Aut_Ajustes_Manuais!$F:$F,"Outros B")</f>
        <v>-54.5</v>
      </c>
      <c r="AC205" s="252">
        <v>-11186.365</v>
      </c>
      <c r="AD205" s="74">
        <v>-9474.9832400333344</v>
      </c>
      <c r="AE205" s="76">
        <f>SUM(AE206:AE212)+SUMIFS(Aut_Ajustes_Manuais!$G:$G,Aut_Ajustes_Manuais!$I:$I,DRE!AC$4,Aut_Ajustes_Manuais!$F:$F,"Outros B")</f>
        <v>-54.5</v>
      </c>
      <c r="AF205" s="252">
        <v>-10390.313</v>
      </c>
      <c r="AG205" s="74">
        <v>-9801.3176165333352</v>
      </c>
      <c r="AH205" s="76">
        <f>SUM(AH206:AH212)+SUMIFS(Aut_Ajustes_Manuais!$G:$G,Aut_Ajustes_Manuais!$I:$I,DRE!AF$4,Aut_Ajustes_Manuais!$F:$F,"Outros B")</f>
        <v>-54.5</v>
      </c>
      <c r="AI205" s="252">
        <v>-15334.16</v>
      </c>
      <c r="AJ205" s="74">
        <v>-9787.3745093333346</v>
      </c>
      <c r="AK205" s="76">
        <f>SUM(AK206:AK212)+SUMIFS(Aut_Ajustes_Manuais!$G:$G,Aut_Ajustes_Manuais!$I:$I,DRE!AI$4,Aut_Ajustes_Manuais!$F:$F,"Outros B")</f>
        <v>-54.5</v>
      </c>
      <c r="AL205" s="252">
        <v>-11438.02</v>
      </c>
      <c r="AM205" s="74">
        <v>-9430.3834067333337</v>
      </c>
      <c r="AN205" s="76">
        <f>SUM(AN206:AN212)+SUMIFS(Aut_Ajustes_Manuais!$G:$G,Aut_Ajustes_Manuais!$I:$I,DRE!AL$4,Aut_Ajustes_Manuais!$F:$F,"Outros B")</f>
        <v>-54.5</v>
      </c>
      <c r="AO205" s="252">
        <v>-9543.9699999999993</v>
      </c>
      <c r="AP205" s="74">
        <v>-9675.3173333333343</v>
      </c>
      <c r="AQ205" s="76">
        <f>SUM(AQ206:AQ212)+SUMIFS(Aut_Ajustes_Manuais!$G:$G,Aut_Ajustes_Manuais!$I:$I,DRE!AO$4,Aut_Ajustes_Manuais!$F:$F,"Outros B")</f>
        <v>-54.5</v>
      </c>
      <c r="AR205" s="252">
        <f t="shared" ca="1" si="189"/>
        <v>-49190.781309781873</v>
      </c>
      <c r="AS205" s="74">
        <f t="shared" ca="1" si="190"/>
        <v>-58106.13007135001</v>
      </c>
      <c r="AT205" s="74">
        <f t="shared" ca="1" si="191"/>
        <v>-57069.82</v>
      </c>
      <c r="AU205" s="252">
        <f t="shared" ref="AU205:BI205" si="192">SUM(AU206:AU212)</f>
        <v>-115771.45709750112</v>
      </c>
      <c r="AV205" s="74">
        <f t="shared" si="192"/>
        <v>-115936.67555265001</v>
      </c>
      <c r="AW205" s="76">
        <f t="shared" si="192"/>
        <v>-57396.82</v>
      </c>
      <c r="AX205" s="252">
        <f t="shared" si="192"/>
        <v>-24880.508110243038</v>
      </c>
      <c r="AY205" s="74">
        <f t="shared" si="192"/>
        <v>-28737.376471</v>
      </c>
      <c r="AZ205" s="76">
        <f t="shared" si="192"/>
        <v>-30752.03</v>
      </c>
      <c r="BA205" s="252">
        <f t="shared" si="192"/>
        <v>-24310.273199538835</v>
      </c>
      <c r="BB205" s="74">
        <f t="shared" si="192"/>
        <v>-29368.753600350003</v>
      </c>
      <c r="BC205" s="76">
        <f t="shared" si="192"/>
        <v>-26317.79</v>
      </c>
      <c r="BD205" s="252">
        <f t="shared" si="192"/>
        <v>-30264.525787719242</v>
      </c>
      <c r="BE205" s="74">
        <f t="shared" si="192"/>
        <v>-28937.470231900003</v>
      </c>
      <c r="BF205" s="76">
        <f t="shared" si="192"/>
        <v>-163.5</v>
      </c>
      <c r="BG205" s="252">
        <f t="shared" si="192"/>
        <v>-36316.15</v>
      </c>
      <c r="BH205" s="74">
        <f t="shared" si="192"/>
        <v>-28893.075249400001</v>
      </c>
      <c r="BI205" s="76">
        <f t="shared" si="192"/>
        <v>-163.5</v>
      </c>
      <c r="BK205" s="448">
        <f t="shared" si="185"/>
        <v>-115936.67555265003</v>
      </c>
      <c r="BL205" s="448">
        <f t="shared" si="186"/>
        <v>0</v>
      </c>
      <c r="BM205" s="448">
        <f t="shared" si="187"/>
        <v>-54965.279999999999</v>
      </c>
      <c r="BN205" s="448">
        <f t="shared" ca="1" si="188"/>
        <v>2104.5400000000009</v>
      </c>
    </row>
    <row r="206" spans="1:66" s="29" customFormat="1" hidden="1" outlineLevel="2" x14ac:dyDescent="0.3">
      <c r="A206" s="22" t="s">
        <v>247</v>
      </c>
      <c r="B206" s="2"/>
      <c r="C206" s="24"/>
      <c r="D206" s="105"/>
      <c r="E206" s="101"/>
      <c r="F206" s="41"/>
      <c r="G206" s="33"/>
      <c r="H206" s="241">
        <v>0</v>
      </c>
      <c r="I206" s="27"/>
      <c r="J206" s="28">
        <f>SUMIFS(Aut_BlueMe_Sem_Pedido!$J:$J,Aut_BlueMe_Sem_Pedido!$Q:$Q,DRE!H$4,Aut_BlueMe_Sem_Pedido!$H:$H,DRE!$A206)+SUMIFS(Aut_Ajustes_Manuais!$G:$G,Aut_Ajustes_Manuais!$I:$I,DRE!H$4,Aut_Ajustes_Manuais!$F:$F,"  -  Uniformes Manutenção e Reposição")</f>
        <v>0</v>
      </c>
      <c r="K206" s="241">
        <v>0</v>
      </c>
      <c r="L206" s="27"/>
      <c r="M206" s="28">
        <f>SUMIFS(Aut_BlueMe_Sem_Pedido!$J:$J,Aut_BlueMe_Sem_Pedido!$Q:$Q,DRE!K$4,Aut_BlueMe_Sem_Pedido!$H:$H,DRE!$A206)+SUMIFS(Aut_Ajustes_Manuais!$G:$G,Aut_Ajustes_Manuais!$I:$I,DRE!K$4,Aut_Ajustes_Manuais!$F:$F,"  -  Uniformes Manutenção e Reposição")</f>
        <v>0</v>
      </c>
      <c r="N206" s="241">
        <v>0</v>
      </c>
      <c r="O206" s="27"/>
      <c r="P206" s="28">
        <f>SUMIFS(Aut_BlueMe_Sem_Pedido!$J:$J,Aut_BlueMe_Sem_Pedido!$Q:$Q,DRE!N$4,Aut_BlueMe_Sem_Pedido!$H:$H,DRE!$A206)+SUMIFS(Aut_Ajustes_Manuais!$G:$G,Aut_Ajustes_Manuais!$I:$I,DRE!N$4,Aut_Ajustes_Manuais!$F:$F,"  -  Uniformes Manutenção e Reposição")</f>
        <v>0</v>
      </c>
      <c r="Q206" s="241">
        <v>0</v>
      </c>
      <c r="R206" s="27"/>
      <c r="S206" s="28">
        <f>SUMIFS(Aut_BlueMe_Sem_Pedido!$J:$J,Aut_BlueMe_Sem_Pedido!$Q:$Q,DRE!Q$4,Aut_BlueMe_Sem_Pedido!$H:$H,DRE!$A206)+SUMIFS(Aut_Ajustes_Manuais!$G:$G,Aut_Ajustes_Manuais!$I:$I,DRE!Q$4,Aut_Ajustes_Manuais!$F:$F,"  -  Uniformes Manutenção e Reposição")</f>
        <v>0</v>
      </c>
      <c r="T206" s="241">
        <v>0</v>
      </c>
      <c r="U206" s="27"/>
      <c r="V206" s="28">
        <f>SUMIFS(Aut_BlueMe_Sem_Pedido!$J:$J,Aut_BlueMe_Sem_Pedido!$Q:$Q,DRE!T$4,Aut_BlueMe_Sem_Pedido!$H:$H,DRE!$A206)+SUMIFS(Aut_Ajustes_Manuais!$G:$G,Aut_Ajustes_Manuais!$I:$I,DRE!T$4,Aut_Ajustes_Manuais!$F:$F,"  -  Uniformes Manutenção e Reposição")</f>
        <v>0</v>
      </c>
      <c r="W206" s="241">
        <v>0</v>
      </c>
      <c r="X206" s="27"/>
      <c r="Y206" s="28">
        <f>SUMIFS(Aut_BlueMe_Sem_Pedido!$J:$J,Aut_BlueMe_Sem_Pedido!$Q:$Q,DRE!W$4,Aut_BlueMe_Sem_Pedido!$H:$H,DRE!$A206)+SUMIFS(Aut_Ajustes_Manuais!$G:$G,Aut_Ajustes_Manuais!$I:$I,DRE!W$4,Aut_Ajustes_Manuais!$F:$F,"  -  Uniformes Manutenção e Reposição")</f>
        <v>0</v>
      </c>
      <c r="Z206" s="241">
        <v>0</v>
      </c>
      <c r="AA206" s="27"/>
      <c r="AB206" s="28">
        <f>SUMIFS(Aut_BlueMe_Sem_Pedido!$J:$J,Aut_BlueMe_Sem_Pedido!$Q:$Q,DRE!Z$4,Aut_BlueMe_Sem_Pedido!$H:$H,DRE!$A206)+SUMIFS(Aut_Ajustes_Manuais!$G:$G,Aut_Ajustes_Manuais!$I:$I,DRE!Z$4,Aut_Ajustes_Manuais!$F:$F,"  -  Uniformes Manutenção e Reposição")</f>
        <v>0</v>
      </c>
      <c r="AC206" s="241">
        <v>0</v>
      </c>
      <c r="AD206" s="27"/>
      <c r="AE206" s="28">
        <f>SUMIFS(Aut_BlueMe_Sem_Pedido!$J:$J,Aut_BlueMe_Sem_Pedido!$Q:$Q,DRE!AC$4,Aut_BlueMe_Sem_Pedido!$H:$H,DRE!$A206)+SUMIFS(Aut_Ajustes_Manuais!$G:$G,Aut_Ajustes_Manuais!$I:$I,DRE!AC$4,Aut_Ajustes_Manuais!$F:$F,"  -  Uniformes Manutenção e Reposição")</f>
        <v>0</v>
      </c>
      <c r="AF206" s="241">
        <v>0</v>
      </c>
      <c r="AG206" s="27"/>
      <c r="AH206" s="28">
        <f>SUMIFS(Aut_BlueMe_Sem_Pedido!$J:$J,Aut_BlueMe_Sem_Pedido!$Q:$Q,DRE!AF$4,Aut_BlueMe_Sem_Pedido!$H:$H,DRE!$A206)+SUMIFS(Aut_Ajustes_Manuais!$G:$G,Aut_Ajustes_Manuais!$I:$I,DRE!AF$4,Aut_Ajustes_Manuais!$F:$F,"  -  Uniformes Manutenção e Reposição")</f>
        <v>0</v>
      </c>
      <c r="AI206" s="241">
        <v>-3945</v>
      </c>
      <c r="AJ206" s="27"/>
      <c r="AK206" s="28">
        <f>SUMIFS(Aut_BlueMe_Sem_Pedido!$J:$J,Aut_BlueMe_Sem_Pedido!$Q:$Q,DRE!AI$4,Aut_BlueMe_Sem_Pedido!$H:$H,DRE!$A206)+SUMIFS(Aut_Ajustes_Manuais!$G:$G,Aut_Ajustes_Manuais!$I:$I,DRE!AI$4,Aut_Ajustes_Manuais!$F:$F,"  -  Uniformes Manutenção e Reposição")</f>
        <v>0</v>
      </c>
      <c r="AL206" s="241">
        <v>0</v>
      </c>
      <c r="AM206" s="27"/>
      <c r="AN206" s="28">
        <f>SUMIFS(Aut_BlueMe_Sem_Pedido!$J:$J,Aut_BlueMe_Sem_Pedido!$Q:$Q,DRE!AL$4,Aut_BlueMe_Sem_Pedido!$H:$H,DRE!$A206)+SUMIFS(Aut_Ajustes_Manuais!$G:$G,Aut_Ajustes_Manuais!$I:$I,DRE!AL$4,Aut_Ajustes_Manuais!$F:$F,"  -  Uniformes Manutenção e Reposição")</f>
        <v>0</v>
      </c>
      <c r="AO206" s="241">
        <v>0</v>
      </c>
      <c r="AP206" s="27"/>
      <c r="AQ206" s="28">
        <f>SUMIFS(Aut_BlueMe_Sem_Pedido!$J:$J,Aut_BlueMe_Sem_Pedido!$Q:$Q,DRE!AO$4,Aut_BlueMe_Sem_Pedido!$H:$H,DRE!$A206)+SUMIFS(Aut_Ajustes_Manuais!$G:$G,Aut_Ajustes_Manuais!$I:$I,DRE!AO$4,Aut_Ajustes_Manuais!$F:$F,"  -  Uniformes Manutenção e Reposição")</f>
        <v>0</v>
      </c>
      <c r="AR206" s="241">
        <f t="shared" ca="1" si="189"/>
        <v>0</v>
      </c>
      <c r="AS206" s="27">
        <f t="shared" ca="1" si="190"/>
        <v>0</v>
      </c>
      <c r="AT206" s="28">
        <f t="shared" ca="1" si="191"/>
        <v>0</v>
      </c>
      <c r="AU206" s="241">
        <f t="shared" ref="AU206:AW212" si="193">SUM(H206,K206,N206,Q206,T206,W206,Z206,AC206,AF206,AI206,AL206,AO206)</f>
        <v>-3945</v>
      </c>
      <c r="AV206" s="27">
        <f t="shared" si="193"/>
        <v>0</v>
      </c>
      <c r="AW206" s="28">
        <f t="shared" si="193"/>
        <v>0</v>
      </c>
      <c r="AX206" s="241">
        <f t="shared" ref="AX206:AZ212" si="194">SUM(H206,K206,N206)</f>
        <v>0</v>
      </c>
      <c r="AY206" s="27">
        <f t="shared" si="194"/>
        <v>0</v>
      </c>
      <c r="AZ206" s="28">
        <f t="shared" si="194"/>
        <v>0</v>
      </c>
      <c r="BA206" s="241">
        <f t="shared" ref="BA206:BC212" si="195">SUM(Q206,T206,W206)</f>
        <v>0</v>
      </c>
      <c r="BB206" s="27">
        <f t="shared" si="195"/>
        <v>0</v>
      </c>
      <c r="BC206" s="28">
        <f t="shared" si="195"/>
        <v>0</v>
      </c>
      <c r="BD206" s="241">
        <f t="shared" ref="BD206:BF212" si="196">SUM(Z206,AC206,AF206)</f>
        <v>0</v>
      </c>
      <c r="BE206" s="27">
        <f t="shared" si="196"/>
        <v>0</v>
      </c>
      <c r="BF206" s="28">
        <f t="shared" si="196"/>
        <v>0</v>
      </c>
      <c r="BG206" s="241">
        <f t="shared" ref="BG206:BI212" si="197">SUM(AI206,AL206,AO206)</f>
        <v>-3945</v>
      </c>
      <c r="BH206" s="27">
        <f t="shared" si="197"/>
        <v>0</v>
      </c>
      <c r="BI206" s="28">
        <f t="shared" si="197"/>
        <v>0</v>
      </c>
      <c r="BK206" s="448">
        <f t="shared" si="185"/>
        <v>0</v>
      </c>
      <c r="BL206" s="448">
        <f t="shared" si="186"/>
        <v>0</v>
      </c>
      <c r="BM206" s="448">
        <f t="shared" si="187"/>
        <v>0</v>
      </c>
      <c r="BN206" s="448">
        <f t="shared" ca="1" si="188"/>
        <v>0</v>
      </c>
    </row>
    <row r="207" spans="1:66" s="29" customFormat="1" hidden="1" outlineLevel="2" x14ac:dyDescent="0.3">
      <c r="A207" s="22" t="s">
        <v>248</v>
      </c>
      <c r="B207" s="2"/>
      <c r="C207" s="24"/>
      <c r="D207" s="99" t="s">
        <v>249</v>
      </c>
      <c r="E207" s="101">
        <v>-49.44</v>
      </c>
      <c r="F207" s="41"/>
      <c r="G207" s="33"/>
      <c r="H207" s="241">
        <v>-38.56</v>
      </c>
      <c r="I207" s="27">
        <v>-54.383999999999993</v>
      </c>
      <c r="J207" s="28">
        <f>SUMIFS(Aut_BlueMe_Sem_Pedido!$J:$J,Aut_BlueMe_Sem_Pedido!$Q:$Q,DRE!H$4,Aut_BlueMe_Sem_Pedido!$H:$H,DRE!$A207)+SUMIFS(Aut_Ajustes_Manuais!$G:$G,Aut_Ajustes_Manuais!$I:$I,DRE!H$4,Aut_Ajustes_Manuais!$F:$F,"  -  Exames Periódicos")</f>
        <v>-153.38</v>
      </c>
      <c r="K207" s="241">
        <v>-38.56</v>
      </c>
      <c r="L207" s="27">
        <v>-54.383999999999993</v>
      </c>
      <c r="M207" s="28">
        <f>SUMIFS(Aut_BlueMe_Sem_Pedido!$J:$J,Aut_BlueMe_Sem_Pedido!$Q:$Q,DRE!K$4,Aut_BlueMe_Sem_Pedido!$H:$H,DRE!$A207)+SUMIFS(Aut_Ajustes_Manuais!$G:$G,Aut_Ajustes_Manuais!$I:$I,DRE!K$4,Aut_Ajustes_Manuais!$F:$F,"  -  Exames Periódicos")</f>
        <v>-59.15</v>
      </c>
      <c r="N207" s="241">
        <v>-137.44</v>
      </c>
      <c r="O207" s="27">
        <v>-54.383999999999993</v>
      </c>
      <c r="P207" s="28">
        <f>SUMIFS(Aut_BlueMe_Sem_Pedido!$J:$J,Aut_BlueMe_Sem_Pedido!$Q:$Q,DRE!N$4,Aut_BlueMe_Sem_Pedido!$H:$H,DRE!$A207)+SUMIFS(Aut_Ajustes_Manuais!$G:$G,Aut_Ajustes_Manuais!$I:$I,DRE!N$4,Aut_Ajustes_Manuais!$F:$F,"  -  Exames Periódicos")</f>
        <v>-60.37</v>
      </c>
      <c r="Q207" s="241">
        <v>-236.32</v>
      </c>
      <c r="R207" s="27">
        <v>-54.383999999999993</v>
      </c>
      <c r="S207" s="28">
        <f>SUMIFS(Aut_BlueMe_Sem_Pedido!$J:$J,Aut_BlueMe_Sem_Pedido!$Q:$Q,DRE!Q$4,Aut_BlueMe_Sem_Pedido!$H:$H,DRE!$A207)+SUMIFS(Aut_Ajustes_Manuais!$G:$G,Aut_Ajustes_Manuais!$I:$I,DRE!Q$4,Aut_Ajustes_Manuais!$F:$F,"  -  Exames Periódicos")</f>
        <v>-273.75</v>
      </c>
      <c r="T207" s="241">
        <v>-43.6</v>
      </c>
      <c r="U207" s="27">
        <v>-54.383999999999993</v>
      </c>
      <c r="V207" s="28">
        <f>SUMIFS(Aut_BlueMe_Sem_Pedido!$J:$J,Aut_BlueMe_Sem_Pedido!$Q:$Q,DRE!T$4,Aut_BlueMe_Sem_Pedido!$H:$H,DRE!$A207)+SUMIFS(Aut_Ajustes_Manuais!$G:$G,Aut_Ajustes_Manuais!$I:$I,DRE!T$4,Aut_Ajustes_Manuais!$F:$F,"  -  Exames Periódicos")</f>
        <v>-273.75</v>
      </c>
      <c r="W207" s="241">
        <v>-142.47999999999999</v>
      </c>
      <c r="X207" s="27">
        <v>-54.383999999999993</v>
      </c>
      <c r="Y207" s="28">
        <f>SUMIFS(Aut_BlueMe_Sem_Pedido!$J:$J,Aut_BlueMe_Sem_Pedido!$Q:$Q,DRE!W$4,Aut_BlueMe_Sem_Pedido!$H:$H,DRE!$A207)+SUMIFS(Aut_Ajustes_Manuais!$G:$G,Aut_Ajustes_Manuais!$I:$I,DRE!W$4,Aut_Ajustes_Manuais!$F:$F,"  -  Exames Periódicos")</f>
        <v>-59.15</v>
      </c>
      <c r="Z207" s="241">
        <v>-43.6</v>
      </c>
      <c r="AA207" s="27">
        <v>-54.383999999999993</v>
      </c>
      <c r="AB207" s="28">
        <f>SUMIFS(Aut_BlueMe_Sem_Pedido!$J:$J,Aut_BlueMe_Sem_Pedido!$Q:$Q,DRE!Z$4,Aut_BlueMe_Sem_Pedido!$H:$H,DRE!$A207)+SUMIFS(Aut_Ajustes_Manuais!$G:$G,Aut_Ajustes_Manuais!$I:$I,DRE!Z$4,Aut_Ajustes_Manuais!$F:$F,"  -  Exames Periódicos")</f>
        <v>-54.5</v>
      </c>
      <c r="AC207" s="241">
        <v>-43.6</v>
      </c>
      <c r="AD207" s="27">
        <v>-54.383999999999993</v>
      </c>
      <c r="AE207" s="28">
        <f>SUMIFS(Aut_BlueMe_Sem_Pedido!$J:$J,Aut_BlueMe_Sem_Pedido!$Q:$Q,DRE!AC$4,Aut_BlueMe_Sem_Pedido!$H:$H,DRE!$A207)+SUMIFS(Aut_Ajustes_Manuais!$G:$G,Aut_Ajustes_Manuais!$I:$I,DRE!AC$4,Aut_Ajustes_Manuais!$F:$F,"  -  Exames Periódicos")</f>
        <v>-54.5</v>
      </c>
      <c r="AF207" s="241">
        <v>-252.26</v>
      </c>
      <c r="AG207" s="27">
        <v>-54.383999999999993</v>
      </c>
      <c r="AH207" s="28">
        <f>SUMIFS(Aut_BlueMe_Sem_Pedido!$J:$J,Aut_BlueMe_Sem_Pedido!$Q:$Q,DRE!AF$4,Aut_BlueMe_Sem_Pedido!$H:$H,DRE!$A207)+SUMIFS(Aut_Ajustes_Manuais!$G:$G,Aut_Ajustes_Manuais!$I:$I,DRE!AF$4,Aut_Ajustes_Manuais!$F:$F,"  -  Exames Periódicos")</f>
        <v>-54.5</v>
      </c>
      <c r="AI207" s="241">
        <v>-54.5</v>
      </c>
      <c r="AJ207" s="27">
        <v>-54.383999999999993</v>
      </c>
      <c r="AK207" s="28">
        <f>SUMIFS(Aut_BlueMe_Sem_Pedido!$J:$J,Aut_BlueMe_Sem_Pedido!$Q:$Q,DRE!AI$4,Aut_BlueMe_Sem_Pedido!$H:$H,DRE!$A207)+SUMIFS(Aut_Ajustes_Manuais!$G:$G,Aut_Ajustes_Manuais!$I:$I,DRE!AI$4,Aut_Ajustes_Manuais!$F:$F,"  -  Exames Periódicos")</f>
        <v>-54.5</v>
      </c>
      <c r="AL207" s="241">
        <v>-252.26</v>
      </c>
      <c r="AM207" s="27">
        <v>-54.383999999999993</v>
      </c>
      <c r="AN207" s="28">
        <f>SUMIFS(Aut_BlueMe_Sem_Pedido!$J:$J,Aut_BlueMe_Sem_Pedido!$Q:$Q,DRE!AL$4,Aut_BlueMe_Sem_Pedido!$H:$H,DRE!$A207)+SUMIFS(Aut_Ajustes_Manuais!$G:$G,Aut_Ajustes_Manuais!$I:$I,DRE!AL$4,Aut_Ajustes_Manuais!$F:$F,"  -  Exames Periódicos")</f>
        <v>-54.5</v>
      </c>
      <c r="AO207" s="241">
        <v>-54.5</v>
      </c>
      <c r="AP207" s="27">
        <v>-54.383999999999993</v>
      </c>
      <c r="AQ207" s="28">
        <f>SUMIFS(Aut_BlueMe_Sem_Pedido!$J:$J,Aut_BlueMe_Sem_Pedido!$Q:$Q,DRE!AO$4,Aut_BlueMe_Sem_Pedido!$H:$H,DRE!$A207)+SUMIFS(Aut_Ajustes_Manuais!$G:$G,Aut_Ajustes_Manuais!$I:$I,DRE!AO$4,Aut_Ajustes_Manuais!$F:$F,"  -  Exames Periódicos")</f>
        <v>-54.5</v>
      </c>
      <c r="AR207" s="241">
        <f t="shared" ca="1" si="189"/>
        <v>-636.96</v>
      </c>
      <c r="AS207" s="27">
        <f t="shared" ca="1" si="190"/>
        <v>-326.30399999999997</v>
      </c>
      <c r="AT207" s="28">
        <f t="shared" ca="1" si="191"/>
        <v>-879.55</v>
      </c>
      <c r="AU207" s="241">
        <f t="shared" si="193"/>
        <v>-1337.68</v>
      </c>
      <c r="AV207" s="27">
        <f t="shared" si="193"/>
        <v>-652.60800000000006</v>
      </c>
      <c r="AW207" s="28">
        <f t="shared" si="193"/>
        <v>-1206.55</v>
      </c>
      <c r="AX207" s="241">
        <f t="shared" si="194"/>
        <v>-214.56</v>
      </c>
      <c r="AY207" s="27">
        <f t="shared" si="194"/>
        <v>-163.15199999999999</v>
      </c>
      <c r="AZ207" s="28">
        <f t="shared" si="194"/>
        <v>-272.89999999999998</v>
      </c>
      <c r="BA207" s="241">
        <f t="shared" si="195"/>
        <v>-422.4</v>
      </c>
      <c r="BB207" s="27">
        <f t="shared" si="195"/>
        <v>-163.15199999999999</v>
      </c>
      <c r="BC207" s="28">
        <f t="shared" si="195"/>
        <v>-606.65</v>
      </c>
      <c r="BD207" s="241">
        <f t="shared" si="196"/>
        <v>-339.46</v>
      </c>
      <c r="BE207" s="27">
        <f t="shared" si="196"/>
        <v>-163.15199999999999</v>
      </c>
      <c r="BF207" s="28">
        <f t="shared" si="196"/>
        <v>-163.5</v>
      </c>
      <c r="BG207" s="241">
        <f t="shared" si="197"/>
        <v>-361.26</v>
      </c>
      <c r="BH207" s="27">
        <f t="shared" si="197"/>
        <v>-163.15199999999999</v>
      </c>
      <c r="BI207" s="28">
        <f t="shared" si="197"/>
        <v>-163.5</v>
      </c>
      <c r="BK207" s="448">
        <f t="shared" si="185"/>
        <v>-652.60800000000006</v>
      </c>
      <c r="BL207" s="448">
        <f t="shared" si="186"/>
        <v>0</v>
      </c>
      <c r="BM207" s="448">
        <f t="shared" si="187"/>
        <v>-820.4</v>
      </c>
      <c r="BN207" s="448">
        <f t="shared" ca="1" si="188"/>
        <v>59.149999999999977</v>
      </c>
    </row>
    <row r="208" spans="1:66" s="29" customFormat="1" hidden="1" outlineLevel="2" x14ac:dyDescent="0.3">
      <c r="A208" s="22" t="s">
        <v>250</v>
      </c>
      <c r="B208" s="2"/>
      <c r="C208" s="24"/>
      <c r="D208" s="55"/>
      <c r="E208" s="87"/>
      <c r="F208" s="41"/>
      <c r="G208" s="33"/>
      <c r="H208" s="241">
        <v>0</v>
      </c>
      <c r="I208" s="27"/>
      <c r="J208" s="28">
        <f>SUMIFS(Aut_BlueMe_Sem_Pedido!$J:$J,Aut_BlueMe_Sem_Pedido!$Q:$Q,DRE!H$4,Aut_BlueMe_Sem_Pedido!$H:$H,DRE!$A208)+SUMIFS(Aut_Ajustes_Manuais!$G:$G,Aut_Ajustes_Manuais!$I:$I,DRE!H$4,Aut_Ajustes_Manuais!$F:$F,"  -  Diversos - Vale Combustível")</f>
        <v>0</v>
      </c>
      <c r="K208" s="241">
        <v>0</v>
      </c>
      <c r="L208" s="27"/>
      <c r="M208" s="28">
        <f>SUMIFS(Aut_BlueMe_Sem_Pedido!$J:$J,Aut_BlueMe_Sem_Pedido!$Q:$Q,DRE!K$4,Aut_BlueMe_Sem_Pedido!$H:$H,DRE!$A208)+SUMIFS(Aut_Ajustes_Manuais!$G:$G,Aut_Ajustes_Manuais!$I:$I,DRE!K$4,Aut_Ajustes_Manuais!$F:$F,"  -  Diversos - Vale Combustível")</f>
        <v>0</v>
      </c>
      <c r="N208" s="241">
        <v>0</v>
      </c>
      <c r="O208" s="27"/>
      <c r="P208" s="28">
        <f>SUMIFS(Aut_BlueMe_Sem_Pedido!$J:$J,Aut_BlueMe_Sem_Pedido!$Q:$Q,DRE!N$4,Aut_BlueMe_Sem_Pedido!$H:$H,DRE!$A208)+SUMIFS(Aut_Ajustes_Manuais!$G:$G,Aut_Ajustes_Manuais!$I:$I,DRE!N$4,Aut_Ajustes_Manuais!$F:$F,"  -  Diversos - Vale Combustível")</f>
        <v>0</v>
      </c>
      <c r="Q208" s="241">
        <v>0</v>
      </c>
      <c r="R208" s="27"/>
      <c r="S208" s="28">
        <f>SUMIFS(Aut_BlueMe_Sem_Pedido!$J:$J,Aut_BlueMe_Sem_Pedido!$Q:$Q,DRE!Q$4,Aut_BlueMe_Sem_Pedido!$H:$H,DRE!$A208)+SUMIFS(Aut_Ajustes_Manuais!$G:$G,Aut_Ajustes_Manuais!$I:$I,DRE!Q$4,Aut_Ajustes_Manuais!$F:$F,"  -  Diversos - Vale Combustível")</f>
        <v>0</v>
      </c>
      <c r="T208" s="241">
        <v>0</v>
      </c>
      <c r="U208" s="27"/>
      <c r="V208" s="28">
        <f>SUMIFS(Aut_BlueMe_Sem_Pedido!$J:$J,Aut_BlueMe_Sem_Pedido!$Q:$Q,DRE!T$4,Aut_BlueMe_Sem_Pedido!$H:$H,DRE!$A208)+SUMIFS(Aut_Ajustes_Manuais!$G:$G,Aut_Ajustes_Manuais!$I:$I,DRE!T$4,Aut_Ajustes_Manuais!$F:$F,"  -  Diversos - Vale Combustível")</f>
        <v>0</v>
      </c>
      <c r="W208" s="241">
        <v>0</v>
      </c>
      <c r="X208" s="27"/>
      <c r="Y208" s="28">
        <f>SUMIFS(Aut_BlueMe_Sem_Pedido!$J:$J,Aut_BlueMe_Sem_Pedido!$Q:$Q,DRE!W$4,Aut_BlueMe_Sem_Pedido!$H:$H,DRE!$A208)+SUMIFS(Aut_Ajustes_Manuais!$G:$G,Aut_Ajustes_Manuais!$I:$I,DRE!W$4,Aut_Ajustes_Manuais!$F:$F,"  -  Diversos - Vale Combustível")</f>
        <v>0</v>
      </c>
      <c r="Z208" s="241">
        <v>0</v>
      </c>
      <c r="AA208" s="27"/>
      <c r="AB208" s="28">
        <f>SUMIFS(Aut_BlueMe_Sem_Pedido!$J:$J,Aut_BlueMe_Sem_Pedido!$Q:$Q,DRE!Z$4,Aut_BlueMe_Sem_Pedido!$H:$H,DRE!$A208)+SUMIFS(Aut_Ajustes_Manuais!$G:$G,Aut_Ajustes_Manuais!$I:$I,DRE!Z$4,Aut_Ajustes_Manuais!$F:$F,"  -  Diversos - Vale Combustível")</f>
        <v>0</v>
      </c>
      <c r="AC208" s="241">
        <v>0</v>
      </c>
      <c r="AD208" s="27"/>
      <c r="AE208" s="28">
        <f>SUMIFS(Aut_BlueMe_Sem_Pedido!$J:$J,Aut_BlueMe_Sem_Pedido!$Q:$Q,DRE!AC$4,Aut_BlueMe_Sem_Pedido!$H:$H,DRE!$A208)+SUMIFS(Aut_Ajustes_Manuais!$G:$G,Aut_Ajustes_Manuais!$I:$I,DRE!AC$4,Aut_Ajustes_Manuais!$F:$F,"  -  Diversos - Vale Combustível")</f>
        <v>0</v>
      </c>
      <c r="AF208" s="241">
        <v>0</v>
      </c>
      <c r="AG208" s="27"/>
      <c r="AH208" s="28">
        <f>SUMIFS(Aut_BlueMe_Sem_Pedido!$J:$J,Aut_BlueMe_Sem_Pedido!$Q:$Q,DRE!AF$4,Aut_BlueMe_Sem_Pedido!$H:$H,DRE!$A208)+SUMIFS(Aut_Ajustes_Manuais!$G:$G,Aut_Ajustes_Manuais!$I:$I,DRE!AF$4,Aut_Ajustes_Manuais!$F:$F,"  -  Diversos - Vale Combustível")</f>
        <v>0</v>
      </c>
      <c r="AI208" s="241">
        <v>0</v>
      </c>
      <c r="AJ208" s="27"/>
      <c r="AK208" s="28">
        <f>SUMIFS(Aut_BlueMe_Sem_Pedido!$J:$J,Aut_BlueMe_Sem_Pedido!$Q:$Q,DRE!AI$4,Aut_BlueMe_Sem_Pedido!$H:$H,DRE!$A208)+SUMIFS(Aut_Ajustes_Manuais!$G:$G,Aut_Ajustes_Manuais!$I:$I,DRE!AI$4,Aut_Ajustes_Manuais!$F:$F,"  -  Diversos - Vale Combustível")</f>
        <v>0</v>
      </c>
      <c r="AL208" s="241">
        <v>0</v>
      </c>
      <c r="AM208" s="27"/>
      <c r="AN208" s="28">
        <f>SUMIFS(Aut_BlueMe_Sem_Pedido!$J:$J,Aut_BlueMe_Sem_Pedido!$Q:$Q,DRE!AL$4,Aut_BlueMe_Sem_Pedido!$H:$H,DRE!$A208)+SUMIFS(Aut_Ajustes_Manuais!$G:$G,Aut_Ajustes_Manuais!$I:$I,DRE!AL$4,Aut_Ajustes_Manuais!$F:$F,"  -  Diversos - Vale Combustível")</f>
        <v>0</v>
      </c>
      <c r="AO208" s="241">
        <v>0</v>
      </c>
      <c r="AP208" s="27"/>
      <c r="AQ208" s="28">
        <f>SUMIFS(Aut_BlueMe_Sem_Pedido!$J:$J,Aut_BlueMe_Sem_Pedido!$Q:$Q,DRE!AO$4,Aut_BlueMe_Sem_Pedido!$H:$H,DRE!$A208)+SUMIFS(Aut_Ajustes_Manuais!$G:$G,Aut_Ajustes_Manuais!$I:$I,DRE!AO$4,Aut_Ajustes_Manuais!$F:$F,"  -  Diversos - Vale Combustível")</f>
        <v>0</v>
      </c>
      <c r="AR208" s="241">
        <f t="shared" ca="1" si="189"/>
        <v>0</v>
      </c>
      <c r="AS208" s="27">
        <f t="shared" ca="1" si="190"/>
        <v>0</v>
      </c>
      <c r="AT208" s="28">
        <f t="shared" ca="1" si="191"/>
        <v>0</v>
      </c>
      <c r="AU208" s="241">
        <f t="shared" si="193"/>
        <v>0</v>
      </c>
      <c r="AV208" s="27">
        <f t="shared" si="193"/>
        <v>0</v>
      </c>
      <c r="AW208" s="28">
        <f t="shared" si="193"/>
        <v>0</v>
      </c>
      <c r="AX208" s="241">
        <f t="shared" si="194"/>
        <v>0</v>
      </c>
      <c r="AY208" s="27">
        <f t="shared" si="194"/>
        <v>0</v>
      </c>
      <c r="AZ208" s="28">
        <f t="shared" si="194"/>
        <v>0</v>
      </c>
      <c r="BA208" s="241">
        <f t="shared" si="195"/>
        <v>0</v>
      </c>
      <c r="BB208" s="27">
        <f t="shared" si="195"/>
        <v>0</v>
      </c>
      <c r="BC208" s="28">
        <f t="shared" si="195"/>
        <v>0</v>
      </c>
      <c r="BD208" s="241">
        <f t="shared" si="196"/>
        <v>0</v>
      </c>
      <c r="BE208" s="27">
        <f t="shared" si="196"/>
        <v>0</v>
      </c>
      <c r="BF208" s="28">
        <f t="shared" si="196"/>
        <v>0</v>
      </c>
      <c r="BG208" s="241">
        <f t="shared" si="197"/>
        <v>0</v>
      </c>
      <c r="BH208" s="27">
        <f t="shared" si="197"/>
        <v>0</v>
      </c>
      <c r="BI208" s="28">
        <f t="shared" si="197"/>
        <v>0</v>
      </c>
      <c r="BK208" s="448">
        <f t="shared" si="185"/>
        <v>0</v>
      </c>
      <c r="BL208" s="448">
        <f t="shared" si="186"/>
        <v>0</v>
      </c>
      <c r="BM208" s="448">
        <f t="shared" si="187"/>
        <v>0</v>
      </c>
      <c r="BN208" s="448">
        <f t="shared" ca="1" si="188"/>
        <v>0</v>
      </c>
    </row>
    <row r="209" spans="1:66" s="29" customFormat="1" hidden="1" outlineLevel="2" x14ac:dyDescent="0.3">
      <c r="A209" s="22" t="s">
        <v>251</v>
      </c>
      <c r="B209" s="2"/>
      <c r="C209" s="24"/>
      <c r="D209" s="55"/>
      <c r="E209" s="87"/>
      <c r="F209" s="41"/>
      <c r="G209" s="33"/>
      <c r="H209" s="241">
        <v>0</v>
      </c>
      <c r="I209" s="27"/>
      <c r="J209" s="28">
        <f>SUMIFS(Aut_BlueMe_Sem_Pedido!$J:$J,Aut_BlueMe_Sem_Pedido!$Q:$Q,DRE!H$4,Aut_BlueMe_Sem_Pedido!$H:$H,DRE!$A209)+SUMIFS(Aut_Ajustes_Manuais!$G:$G,Aut_Ajustes_Manuais!$I:$I,DRE!H$4,Aut_Ajustes_Manuais!$F:$F,"  -  Gratificações")</f>
        <v>0</v>
      </c>
      <c r="K209" s="241">
        <v>0</v>
      </c>
      <c r="L209" s="27"/>
      <c r="M209" s="28">
        <f>SUMIFS(Aut_BlueMe_Sem_Pedido!$J:$J,Aut_BlueMe_Sem_Pedido!$Q:$Q,DRE!K$4,Aut_BlueMe_Sem_Pedido!$H:$H,DRE!$A209)+SUMIFS(Aut_Ajustes_Manuais!$G:$G,Aut_Ajustes_Manuais!$I:$I,DRE!K$4,Aut_Ajustes_Manuais!$F:$F,"  -  Gratificações")</f>
        <v>0</v>
      </c>
      <c r="N209" s="241">
        <v>0</v>
      </c>
      <c r="O209" s="27"/>
      <c r="P209" s="28">
        <f>SUMIFS(Aut_BlueMe_Sem_Pedido!$J:$J,Aut_BlueMe_Sem_Pedido!$Q:$Q,DRE!N$4,Aut_BlueMe_Sem_Pedido!$H:$H,DRE!$A209)+SUMIFS(Aut_Ajustes_Manuais!$G:$G,Aut_Ajustes_Manuais!$I:$I,DRE!N$4,Aut_Ajustes_Manuais!$F:$F,"  -  Gratificações")</f>
        <v>0</v>
      </c>
      <c r="Q209" s="241">
        <v>0</v>
      </c>
      <c r="R209" s="27"/>
      <c r="S209" s="28">
        <f>SUMIFS(Aut_BlueMe_Sem_Pedido!$J:$J,Aut_BlueMe_Sem_Pedido!$Q:$Q,DRE!Q$4,Aut_BlueMe_Sem_Pedido!$H:$H,DRE!$A209)+SUMIFS(Aut_Ajustes_Manuais!$G:$G,Aut_Ajustes_Manuais!$I:$I,DRE!Q$4,Aut_Ajustes_Manuais!$F:$F,"  -  Gratificações")</f>
        <v>0</v>
      </c>
      <c r="T209" s="241">
        <v>0</v>
      </c>
      <c r="U209" s="27"/>
      <c r="V209" s="28">
        <f>SUMIFS(Aut_BlueMe_Sem_Pedido!$J:$J,Aut_BlueMe_Sem_Pedido!$Q:$Q,DRE!T$4,Aut_BlueMe_Sem_Pedido!$H:$H,DRE!$A209)+SUMIFS(Aut_Ajustes_Manuais!$G:$G,Aut_Ajustes_Manuais!$I:$I,DRE!T$4,Aut_Ajustes_Manuais!$F:$F,"  -  Gratificações")</f>
        <v>0</v>
      </c>
      <c r="W209" s="241">
        <v>0</v>
      </c>
      <c r="X209" s="27"/>
      <c r="Y209" s="28">
        <f>SUMIFS(Aut_BlueMe_Sem_Pedido!$J:$J,Aut_BlueMe_Sem_Pedido!$Q:$Q,DRE!W$4,Aut_BlueMe_Sem_Pedido!$H:$H,DRE!$A209)+SUMIFS(Aut_Ajustes_Manuais!$G:$G,Aut_Ajustes_Manuais!$I:$I,DRE!W$4,Aut_Ajustes_Manuais!$F:$F,"  -  Gratificações")</f>
        <v>0</v>
      </c>
      <c r="Z209" s="241">
        <v>0</v>
      </c>
      <c r="AA209" s="27"/>
      <c r="AB209" s="28">
        <f>SUMIFS(Aut_BlueMe_Sem_Pedido!$J:$J,Aut_BlueMe_Sem_Pedido!$Q:$Q,DRE!Z$4,Aut_BlueMe_Sem_Pedido!$H:$H,DRE!$A209)+SUMIFS(Aut_Ajustes_Manuais!$G:$G,Aut_Ajustes_Manuais!$I:$I,DRE!Z$4,Aut_Ajustes_Manuais!$F:$F,"  -  Gratificações")</f>
        <v>0</v>
      </c>
      <c r="AC209" s="241">
        <v>0</v>
      </c>
      <c r="AD209" s="27"/>
      <c r="AE209" s="28">
        <f>SUMIFS(Aut_BlueMe_Sem_Pedido!$J:$J,Aut_BlueMe_Sem_Pedido!$Q:$Q,DRE!AC$4,Aut_BlueMe_Sem_Pedido!$H:$H,DRE!$A209)+SUMIFS(Aut_Ajustes_Manuais!$G:$G,Aut_Ajustes_Manuais!$I:$I,DRE!AC$4,Aut_Ajustes_Manuais!$F:$F,"  -  Gratificações")</f>
        <v>0</v>
      </c>
      <c r="AF209" s="241">
        <v>0</v>
      </c>
      <c r="AG209" s="27"/>
      <c r="AH209" s="28">
        <f>SUMIFS(Aut_BlueMe_Sem_Pedido!$J:$J,Aut_BlueMe_Sem_Pedido!$Q:$Q,DRE!AF$4,Aut_BlueMe_Sem_Pedido!$H:$H,DRE!$A209)+SUMIFS(Aut_Ajustes_Manuais!$G:$G,Aut_Ajustes_Manuais!$I:$I,DRE!AF$4,Aut_Ajustes_Manuais!$F:$F,"  -  Gratificações")</f>
        <v>0</v>
      </c>
      <c r="AI209" s="241">
        <v>0</v>
      </c>
      <c r="AJ209" s="27"/>
      <c r="AK209" s="28">
        <f>SUMIFS(Aut_BlueMe_Sem_Pedido!$J:$J,Aut_BlueMe_Sem_Pedido!$Q:$Q,DRE!AI$4,Aut_BlueMe_Sem_Pedido!$H:$H,DRE!$A209)+SUMIFS(Aut_Ajustes_Manuais!$G:$G,Aut_Ajustes_Manuais!$I:$I,DRE!AI$4,Aut_Ajustes_Manuais!$F:$F,"  -  Gratificações")</f>
        <v>0</v>
      </c>
      <c r="AL209" s="241">
        <v>0</v>
      </c>
      <c r="AM209" s="27"/>
      <c r="AN209" s="28">
        <f>SUMIFS(Aut_BlueMe_Sem_Pedido!$J:$J,Aut_BlueMe_Sem_Pedido!$Q:$Q,DRE!AL$4,Aut_BlueMe_Sem_Pedido!$H:$H,DRE!$A209)+SUMIFS(Aut_Ajustes_Manuais!$G:$G,Aut_Ajustes_Manuais!$I:$I,DRE!AL$4,Aut_Ajustes_Manuais!$F:$F,"  -  Gratificações")</f>
        <v>0</v>
      </c>
      <c r="AO209" s="241">
        <v>0</v>
      </c>
      <c r="AP209" s="27"/>
      <c r="AQ209" s="28">
        <f>SUMIFS(Aut_BlueMe_Sem_Pedido!$J:$J,Aut_BlueMe_Sem_Pedido!$Q:$Q,DRE!AO$4,Aut_BlueMe_Sem_Pedido!$H:$H,DRE!$A209)+SUMIFS(Aut_Ajustes_Manuais!$G:$G,Aut_Ajustes_Manuais!$I:$I,DRE!AO$4,Aut_Ajustes_Manuais!$F:$F,"  -  Gratificações")</f>
        <v>0</v>
      </c>
      <c r="AR209" s="241">
        <f t="shared" ca="1" si="189"/>
        <v>0</v>
      </c>
      <c r="AS209" s="27">
        <f t="shared" ca="1" si="190"/>
        <v>0</v>
      </c>
      <c r="AT209" s="28">
        <f t="shared" ca="1" si="191"/>
        <v>0</v>
      </c>
      <c r="AU209" s="241">
        <f t="shared" si="193"/>
        <v>0</v>
      </c>
      <c r="AV209" s="27">
        <f t="shared" si="193"/>
        <v>0</v>
      </c>
      <c r="AW209" s="28">
        <f t="shared" si="193"/>
        <v>0</v>
      </c>
      <c r="AX209" s="241">
        <f t="shared" si="194"/>
        <v>0</v>
      </c>
      <c r="AY209" s="27">
        <f t="shared" si="194"/>
        <v>0</v>
      </c>
      <c r="AZ209" s="28">
        <f t="shared" si="194"/>
        <v>0</v>
      </c>
      <c r="BA209" s="241">
        <f t="shared" si="195"/>
        <v>0</v>
      </c>
      <c r="BB209" s="27">
        <f t="shared" si="195"/>
        <v>0</v>
      </c>
      <c r="BC209" s="28">
        <f t="shared" si="195"/>
        <v>0</v>
      </c>
      <c r="BD209" s="241">
        <f t="shared" si="196"/>
        <v>0</v>
      </c>
      <c r="BE209" s="27">
        <f t="shared" si="196"/>
        <v>0</v>
      </c>
      <c r="BF209" s="28">
        <f t="shared" si="196"/>
        <v>0</v>
      </c>
      <c r="BG209" s="241">
        <f t="shared" si="197"/>
        <v>0</v>
      </c>
      <c r="BH209" s="27">
        <f t="shared" si="197"/>
        <v>0</v>
      </c>
      <c r="BI209" s="28">
        <f t="shared" si="197"/>
        <v>0</v>
      </c>
      <c r="BK209" s="448">
        <f t="shared" si="185"/>
        <v>0</v>
      </c>
      <c r="BL209" s="448">
        <f t="shared" si="186"/>
        <v>0</v>
      </c>
      <c r="BM209" s="448">
        <f t="shared" si="187"/>
        <v>0</v>
      </c>
      <c r="BN209" s="448">
        <f t="shared" ca="1" si="188"/>
        <v>0</v>
      </c>
    </row>
    <row r="210" spans="1:66" s="29" customFormat="1" hidden="1" outlineLevel="2" x14ac:dyDescent="0.3">
      <c r="A210" s="22" t="s">
        <v>252</v>
      </c>
      <c r="B210" s="2"/>
      <c r="C210" s="24"/>
      <c r="D210" s="55"/>
      <c r="E210" s="87"/>
      <c r="F210" s="41"/>
      <c r="G210" s="33"/>
      <c r="H210" s="241">
        <v>0</v>
      </c>
      <c r="I210" s="27"/>
      <c r="J210" s="28">
        <f>SUMIFS(Aut_BlueMe_Sem_Pedido!$J:$J,Aut_BlueMe_Sem_Pedido!$Q:$Q,DRE!H$4,Aut_BlueMe_Sem_Pedido!$H:$H,DRE!$A210)+SUMIFS(Aut_Ajustes_Manuais!$G:$G,Aut_Ajustes_Manuais!$I:$I,DRE!H$4,Aut_Ajustes_Manuais!$F:$F,"  -  Cursos e Treinamentos")</f>
        <v>0</v>
      </c>
      <c r="K210" s="241">
        <v>0</v>
      </c>
      <c r="L210" s="27"/>
      <c r="M210" s="28">
        <f>SUMIFS(Aut_BlueMe_Sem_Pedido!$J:$J,Aut_BlueMe_Sem_Pedido!$Q:$Q,DRE!K$4,Aut_BlueMe_Sem_Pedido!$H:$H,DRE!$A210)+SUMIFS(Aut_Ajustes_Manuais!$G:$G,Aut_Ajustes_Manuais!$I:$I,DRE!K$4,Aut_Ajustes_Manuais!$F:$F,"  -  Cursos e Treinamentos")</f>
        <v>0</v>
      </c>
      <c r="N210" s="241">
        <v>0</v>
      </c>
      <c r="O210" s="27"/>
      <c r="P210" s="28">
        <f>SUMIFS(Aut_BlueMe_Sem_Pedido!$J:$J,Aut_BlueMe_Sem_Pedido!$Q:$Q,DRE!N$4,Aut_BlueMe_Sem_Pedido!$H:$H,DRE!$A210)+SUMIFS(Aut_Ajustes_Manuais!$G:$G,Aut_Ajustes_Manuais!$I:$I,DRE!N$4,Aut_Ajustes_Manuais!$F:$F,"  -  Cursos e Treinamentos")</f>
        <v>0</v>
      </c>
      <c r="Q210" s="241">
        <v>0</v>
      </c>
      <c r="R210" s="27"/>
      <c r="S210" s="28">
        <f>SUMIFS(Aut_BlueMe_Sem_Pedido!$J:$J,Aut_BlueMe_Sem_Pedido!$Q:$Q,DRE!Q$4,Aut_BlueMe_Sem_Pedido!$H:$H,DRE!$A210)+SUMIFS(Aut_Ajustes_Manuais!$G:$G,Aut_Ajustes_Manuais!$I:$I,DRE!Q$4,Aut_Ajustes_Manuais!$F:$F,"  -  Cursos e Treinamentos")</f>
        <v>0</v>
      </c>
      <c r="T210" s="241">
        <v>0</v>
      </c>
      <c r="U210" s="27"/>
      <c r="V210" s="28">
        <f>SUMIFS(Aut_BlueMe_Sem_Pedido!$J:$J,Aut_BlueMe_Sem_Pedido!$Q:$Q,DRE!T$4,Aut_BlueMe_Sem_Pedido!$H:$H,DRE!$A210)+SUMIFS(Aut_Ajustes_Manuais!$G:$G,Aut_Ajustes_Manuais!$I:$I,DRE!T$4,Aut_Ajustes_Manuais!$F:$F,"  -  Cursos e Treinamentos")</f>
        <v>0</v>
      </c>
      <c r="W210" s="241">
        <v>0</v>
      </c>
      <c r="X210" s="27"/>
      <c r="Y210" s="28">
        <f>SUMIFS(Aut_BlueMe_Sem_Pedido!$J:$J,Aut_BlueMe_Sem_Pedido!$Q:$Q,DRE!W$4,Aut_BlueMe_Sem_Pedido!$H:$H,DRE!$A210)+SUMIFS(Aut_Ajustes_Manuais!$G:$G,Aut_Ajustes_Manuais!$I:$I,DRE!W$4,Aut_Ajustes_Manuais!$F:$F,"  -  Cursos e Treinamentos")</f>
        <v>0</v>
      </c>
      <c r="Z210" s="241">
        <v>0</v>
      </c>
      <c r="AA210" s="27"/>
      <c r="AB210" s="28">
        <f>SUMIFS(Aut_BlueMe_Sem_Pedido!$J:$J,Aut_BlueMe_Sem_Pedido!$Q:$Q,DRE!Z$4,Aut_BlueMe_Sem_Pedido!$H:$H,DRE!$A210)+SUMIFS(Aut_Ajustes_Manuais!$G:$G,Aut_Ajustes_Manuais!$I:$I,DRE!Z$4,Aut_Ajustes_Manuais!$F:$F,"  -  Cursos e Treinamentos")</f>
        <v>0</v>
      </c>
      <c r="AC210" s="241">
        <v>0</v>
      </c>
      <c r="AD210" s="27"/>
      <c r="AE210" s="28">
        <f>SUMIFS(Aut_BlueMe_Sem_Pedido!$J:$J,Aut_BlueMe_Sem_Pedido!$Q:$Q,DRE!AC$4,Aut_BlueMe_Sem_Pedido!$H:$H,DRE!$A210)+SUMIFS(Aut_Ajustes_Manuais!$G:$G,Aut_Ajustes_Manuais!$I:$I,DRE!AC$4,Aut_Ajustes_Manuais!$F:$F,"  -  Cursos e Treinamentos")</f>
        <v>0</v>
      </c>
      <c r="AF210" s="241">
        <v>0</v>
      </c>
      <c r="AG210" s="27"/>
      <c r="AH210" s="28">
        <f>SUMIFS(Aut_BlueMe_Sem_Pedido!$J:$J,Aut_BlueMe_Sem_Pedido!$Q:$Q,DRE!AF$4,Aut_BlueMe_Sem_Pedido!$H:$H,DRE!$A210)+SUMIFS(Aut_Ajustes_Manuais!$G:$G,Aut_Ajustes_Manuais!$I:$I,DRE!AF$4,Aut_Ajustes_Manuais!$F:$F,"  -  Cursos e Treinamentos")</f>
        <v>0</v>
      </c>
      <c r="AI210" s="241">
        <v>0</v>
      </c>
      <c r="AJ210" s="27"/>
      <c r="AK210" s="28">
        <f>SUMIFS(Aut_BlueMe_Sem_Pedido!$J:$J,Aut_BlueMe_Sem_Pedido!$Q:$Q,DRE!AI$4,Aut_BlueMe_Sem_Pedido!$H:$H,DRE!$A210)+SUMIFS(Aut_Ajustes_Manuais!$G:$G,Aut_Ajustes_Manuais!$I:$I,DRE!AI$4,Aut_Ajustes_Manuais!$F:$F,"  -  Cursos e Treinamentos")</f>
        <v>0</v>
      </c>
      <c r="AL210" s="241">
        <v>0</v>
      </c>
      <c r="AM210" s="27"/>
      <c r="AN210" s="28">
        <f>SUMIFS(Aut_BlueMe_Sem_Pedido!$J:$J,Aut_BlueMe_Sem_Pedido!$Q:$Q,DRE!AL$4,Aut_BlueMe_Sem_Pedido!$H:$H,DRE!$A210)+SUMIFS(Aut_Ajustes_Manuais!$G:$G,Aut_Ajustes_Manuais!$I:$I,DRE!AL$4,Aut_Ajustes_Manuais!$F:$F,"  -  Cursos e Treinamentos")</f>
        <v>0</v>
      </c>
      <c r="AO210" s="241">
        <v>0</v>
      </c>
      <c r="AP210" s="27"/>
      <c r="AQ210" s="28">
        <f>SUMIFS(Aut_BlueMe_Sem_Pedido!$J:$J,Aut_BlueMe_Sem_Pedido!$Q:$Q,DRE!AO$4,Aut_BlueMe_Sem_Pedido!$H:$H,DRE!$A210)+SUMIFS(Aut_Ajustes_Manuais!$G:$G,Aut_Ajustes_Manuais!$I:$I,DRE!AO$4,Aut_Ajustes_Manuais!$F:$F,"  -  Cursos e Treinamentos")</f>
        <v>0</v>
      </c>
      <c r="AR210" s="241">
        <f t="shared" ca="1" si="189"/>
        <v>0</v>
      </c>
      <c r="AS210" s="27">
        <f t="shared" ca="1" si="190"/>
        <v>0</v>
      </c>
      <c r="AT210" s="28">
        <f t="shared" ca="1" si="191"/>
        <v>0</v>
      </c>
      <c r="AU210" s="241">
        <f t="shared" si="193"/>
        <v>0</v>
      </c>
      <c r="AV210" s="27">
        <f t="shared" si="193"/>
        <v>0</v>
      </c>
      <c r="AW210" s="28">
        <f t="shared" si="193"/>
        <v>0</v>
      </c>
      <c r="AX210" s="241">
        <f t="shared" si="194"/>
        <v>0</v>
      </c>
      <c r="AY210" s="27">
        <f t="shared" si="194"/>
        <v>0</v>
      </c>
      <c r="AZ210" s="28">
        <f t="shared" si="194"/>
        <v>0</v>
      </c>
      <c r="BA210" s="241">
        <f t="shared" si="195"/>
        <v>0</v>
      </c>
      <c r="BB210" s="27">
        <f t="shared" si="195"/>
        <v>0</v>
      </c>
      <c r="BC210" s="28">
        <f t="shared" si="195"/>
        <v>0</v>
      </c>
      <c r="BD210" s="241">
        <f t="shared" si="196"/>
        <v>0</v>
      </c>
      <c r="BE210" s="27">
        <f t="shared" si="196"/>
        <v>0</v>
      </c>
      <c r="BF210" s="28">
        <f t="shared" si="196"/>
        <v>0</v>
      </c>
      <c r="BG210" s="241">
        <f t="shared" si="197"/>
        <v>0</v>
      </c>
      <c r="BH210" s="27">
        <f t="shared" si="197"/>
        <v>0</v>
      </c>
      <c r="BI210" s="28">
        <f t="shared" si="197"/>
        <v>0</v>
      </c>
      <c r="BK210" s="448">
        <f t="shared" si="185"/>
        <v>0</v>
      </c>
      <c r="BL210" s="448">
        <f t="shared" si="186"/>
        <v>0</v>
      </c>
      <c r="BM210" s="448">
        <f t="shared" si="187"/>
        <v>0</v>
      </c>
      <c r="BN210" s="448">
        <f t="shared" ca="1" si="188"/>
        <v>0</v>
      </c>
    </row>
    <row r="211" spans="1:66" s="29" customFormat="1" hidden="1" outlineLevel="2" x14ac:dyDescent="0.3">
      <c r="A211" s="22" t="s">
        <v>253</v>
      </c>
      <c r="B211" s="2"/>
      <c r="C211" s="106"/>
      <c r="D211" s="107"/>
      <c r="E211" s="101">
        <v>-22</v>
      </c>
      <c r="F211" s="41"/>
      <c r="G211" s="33"/>
      <c r="H211" s="241">
        <v>-8325.2881102430365</v>
      </c>
      <c r="I211" s="27">
        <v>-9325.5939538333332</v>
      </c>
      <c r="J211" s="28">
        <f>SUMIFS(Aut_BlueMe_Sem_Pedido!$J:$J,Aut_BlueMe_Sem_Pedido!$Q:$Q,DRE!H$4,Aut_BlueMe_Sem_Pedido!$H:$H,DRE!$A211)-SUMIFS(Aut_Descontos!$G:$G,Aut_Descontos!$H:$H,$A211,Aut_Descontos!$L:$L,DRE!H$4)-CMV_Manual!D15-SUMIFS(Aut_Consumo_Cartao_Black!$H:$H,Aut_Consumo_Cartao_Black!$I:$I,DRE!H$4)+SUMIFS(Aut_Ajustes_Manuais!$G:$G,Aut_Ajustes_Manuais!$I:$I,DRE!H$4,Aut_Ajustes_Manuais!$F:$F,"  -  Alimentação Funcionário")</f>
        <v>-9421.91</v>
      </c>
      <c r="K211" s="241">
        <v>-7630.33</v>
      </c>
      <c r="L211" s="27">
        <v>-9431.0893548333333</v>
      </c>
      <c r="M211" s="28">
        <f>SUMIFS(Aut_BlueMe_Sem_Pedido!$J:$J,Aut_BlueMe_Sem_Pedido!$Q:$Q,DRE!K$4,Aut_BlueMe_Sem_Pedido!$H:$H,DRE!$A211)-SUMIFS(Aut_Descontos!$G:$G,Aut_Descontos!$H:$H,$A211,Aut_Descontos!$L:$L,DRE!K$4)-CMV_Manual!E15-SUMIFS(Aut_Consumo_Cartao_Black!$H:$H,Aut_Consumo_Cartao_Black!$I:$I,DRE!K$4)+SUMIFS(Aut_Ajustes_Manuais!$G:$G,Aut_Ajustes_Manuais!$I:$I,DRE!K$4,Aut_Ajustes_Manuais!$F:$F,"  -  Alimentação Funcionário")</f>
        <v>-9723.2099999999991</v>
      </c>
      <c r="N211" s="241">
        <v>-8710.33</v>
      </c>
      <c r="O211" s="27">
        <v>-9817.5411623333348</v>
      </c>
      <c r="P211" s="28">
        <f>SUMIFS(Aut_BlueMe_Sem_Pedido!$J:$J,Aut_BlueMe_Sem_Pedido!$Q:$Q,DRE!N$4,Aut_BlueMe_Sem_Pedido!$H:$H,DRE!$A211)-SUMIFS(Aut_Descontos!$G:$G,Aut_Descontos!$H:$H,$A211,Aut_Descontos!$L:$L,DRE!N$4)-CMV_Manual!F15-SUMIFS(Aut_Consumo_Cartao_Black!$H:$H,Aut_Consumo_Cartao_Black!$I:$I,DRE!N$4)+SUMIFS(Aut_Ajustes_Manuais!$G:$G,Aut_Ajustes_Manuais!$I:$I,DRE!N$4,Aut_Ajustes_Manuais!$F:$F,"  -  Alimentação Funcionário")</f>
        <v>-11334.01</v>
      </c>
      <c r="Q211" s="241">
        <v>-7605.2</v>
      </c>
      <c r="R211" s="27">
        <v>-10325.753982833339</v>
      </c>
      <c r="S211" s="28">
        <f>SUMIFS(Aut_BlueMe_Sem_Pedido!$J:$J,Aut_BlueMe_Sem_Pedido!$Q:$Q,DRE!Q$4,Aut_BlueMe_Sem_Pedido!$H:$H,DRE!$A211)-SUMIFS(Aut_Descontos!$G:$G,Aut_Descontos!$H:$H,$A211,Aut_Descontos!$L:$L,DRE!Q$4)-CMV_Manual!G15-SUMIFS(Aut_Consumo_Cartao_Black!$H:$H,Aut_Consumo_Cartao_Black!$I:$I,DRE!Q$4)+SUMIFS(Aut_Ajustes_Manuais!$G:$G,Aut_Ajustes_Manuais!$I:$I,DRE!Q$4,Aut_Ajustes_Manuais!$F:$F,"  -  Alimentação Funcionário")</f>
        <v>-11111.76</v>
      </c>
      <c r="T211" s="241">
        <v>-9003.8372540552718</v>
      </c>
      <c r="U211" s="27">
        <v>-9295.5647496833335</v>
      </c>
      <c r="V211" s="28">
        <f>SUMIFS(Aut_BlueMe_Sem_Pedido!$J:$J,Aut_BlueMe_Sem_Pedido!$Q:$Q,DRE!T$4,Aut_BlueMe_Sem_Pedido!$H:$H,DRE!$A211)-SUMIFS(Aut_Descontos!$G:$G,Aut_Descontos!$H:$H,$A211,Aut_Descontos!$L:$L,DRE!T$4)-CMV_Manual!H15-SUMIFS(Aut_Consumo_Cartao_Black!$H:$H,Aut_Consumo_Cartao_Black!$I:$I,DRE!T$4)+SUMIFS(Aut_Ajustes_Manuais!$G:$G,Aut_Ajustes_Manuais!$I:$I,DRE!T$4,Aut_Ajustes_Manuais!$F:$F,"  -  Alimentação Funcionário")</f>
        <v>-12553.99</v>
      </c>
      <c r="W211" s="241">
        <v>-7278.8359454835627</v>
      </c>
      <c r="X211" s="27">
        <v>-9584.2828678333335</v>
      </c>
      <c r="Y211" s="28">
        <f>SUMIFS(Aut_BlueMe_Sem_Pedido!$J:$J,Aut_BlueMe_Sem_Pedido!$Q:$Q,DRE!W$4,Aut_BlueMe_Sem_Pedido!$H:$H,DRE!$A211)-SUMIFS(Aut_Descontos!$G:$G,Aut_Descontos!$H:$H,$A211,Aut_Descontos!$L:$L,DRE!W$4)-CMV_Manual!I15-SUMIFS(Aut_Consumo_Cartao_Black!$H:$H,Aut_Consumo_Cartao_Black!$I:$I,DRE!W$4)+SUMIFS(Aut_Ajustes_Manuais!$G:$G,Aut_Ajustes_Manuais!$I:$I,DRE!W$4,Aut_Ajustes_Manuais!$F:$F,"  -  Alimentação Funcionário")</f>
        <v>-2045.39</v>
      </c>
      <c r="Z211" s="241">
        <v>-8644.2477877192414</v>
      </c>
      <c r="AA211" s="27">
        <v>-9606.7853753333347</v>
      </c>
      <c r="AB211" s="28">
        <f>SUMIFS(Aut_BlueMe_Sem_Pedido!$J:$J,Aut_BlueMe_Sem_Pedido!$Q:$Q,DRE!Z$4,Aut_BlueMe_Sem_Pedido!$H:$H,DRE!$A211)-SUMIFS(Aut_Descontos!$G:$G,Aut_Descontos!$H:$H,$A211,Aut_Descontos!$L:$L,DRE!Z$4)-CMV_Manual!J15-SUMIFS(Aut_Consumo_Cartao_Black!$H:$H,Aut_Consumo_Cartao_Black!$I:$I,DRE!Z$4)+SUMIFS(Aut_Ajustes_Manuais!$G:$G,Aut_Ajustes_Manuais!$I:$I,DRE!Z$4,Aut_Ajustes_Manuais!$F:$F,"  -  Alimentação Funcionário")</f>
        <v>0</v>
      </c>
      <c r="AC211" s="241">
        <v>-11142.764999999999</v>
      </c>
      <c r="AD211" s="27">
        <v>-9420.5992400333344</v>
      </c>
      <c r="AE211" s="28">
        <f>SUMIFS(Aut_BlueMe_Sem_Pedido!$J:$J,Aut_BlueMe_Sem_Pedido!$Q:$Q,DRE!AC$4,Aut_BlueMe_Sem_Pedido!$H:$H,DRE!$A211)-SUMIFS(Aut_Descontos!$G:$G,Aut_Descontos!$H:$H,$A211,Aut_Descontos!$L:$L,DRE!AC$4)-CMV_Manual!K15-SUMIFS(Aut_Consumo_Cartao_Black!$H:$H,Aut_Consumo_Cartao_Black!$I:$I,DRE!AC$4)+SUMIFS(Aut_Ajustes_Manuais!$G:$G,Aut_Ajustes_Manuais!$I:$I,DRE!AC$4,Aut_Ajustes_Manuais!$F:$F,"  -  Alimentação Funcionário")</f>
        <v>0</v>
      </c>
      <c r="AF211" s="241">
        <v>-10138.053</v>
      </c>
      <c r="AG211" s="27">
        <v>-9746.9336165333352</v>
      </c>
      <c r="AH211" s="28">
        <f>SUMIFS(Aut_BlueMe_Sem_Pedido!$J:$J,Aut_BlueMe_Sem_Pedido!$Q:$Q,DRE!AF$4,Aut_BlueMe_Sem_Pedido!$H:$H,DRE!$A211)-SUMIFS(Aut_Descontos!$G:$G,Aut_Descontos!$H:$H,$A211,Aut_Descontos!$L:$L,DRE!AF$4)-CMV_Manual!L15-SUMIFS(Aut_Consumo_Cartao_Black!$H:$H,Aut_Consumo_Cartao_Black!$I:$I,DRE!AF$4)+SUMIFS(Aut_Ajustes_Manuais!$G:$G,Aut_Ajustes_Manuais!$I:$I,DRE!AF$4,Aut_Ajustes_Manuais!$F:$F,"  -  Alimentação Funcionário")</f>
        <v>0</v>
      </c>
      <c r="AI211" s="241">
        <v>-11334.66</v>
      </c>
      <c r="AJ211" s="27">
        <v>-9732.9905093333346</v>
      </c>
      <c r="AK211" s="28">
        <f>SUMIFS(Aut_BlueMe_Sem_Pedido!$J:$J,Aut_BlueMe_Sem_Pedido!$Q:$Q,DRE!AI$4,Aut_BlueMe_Sem_Pedido!$H:$H,DRE!$A211)-SUMIFS(Aut_Descontos!$G:$G,Aut_Descontos!$H:$H,$A211,Aut_Descontos!$L:$L,DRE!AI$4)-CMV_Manual!M15-SUMIFS(Aut_Consumo_Cartao_Black!$H:$H,Aut_Consumo_Cartao_Black!$I:$I,DRE!AI$4)+SUMIFS(Aut_Ajustes_Manuais!$G:$G,Aut_Ajustes_Manuais!$I:$I,DRE!AI$4,Aut_Ajustes_Manuais!$F:$F,"  -  Alimentação Funcionário")</f>
        <v>0</v>
      </c>
      <c r="AL211" s="241">
        <v>-11185.76</v>
      </c>
      <c r="AM211" s="27">
        <v>-9375.9994067333337</v>
      </c>
      <c r="AN211" s="28">
        <f>SUMIFS(Aut_BlueMe_Sem_Pedido!$J:$J,Aut_BlueMe_Sem_Pedido!$Q:$Q,DRE!AL$4,Aut_BlueMe_Sem_Pedido!$H:$H,DRE!$A211)-SUMIFS(Aut_Descontos!$G:$G,Aut_Descontos!$H:$H,$A211,Aut_Descontos!$L:$L,DRE!AL$4)-CMV_Manual!N15-SUMIFS(Aut_Consumo_Cartao_Black!$H:$H,Aut_Consumo_Cartao_Black!$I:$I,DRE!AL$4)+SUMIFS(Aut_Ajustes_Manuais!$G:$G,Aut_Ajustes_Manuais!$I:$I,DRE!AL$4,Aut_Ajustes_Manuais!$F:$F,"  -  Alimentação Funcionário")</f>
        <v>0</v>
      </c>
      <c r="AO211" s="241">
        <v>-9489.4699999999993</v>
      </c>
      <c r="AP211" s="27">
        <v>-9620.9333333333343</v>
      </c>
      <c r="AQ211" s="28">
        <f>SUMIFS(Aut_BlueMe_Sem_Pedido!$J:$J,Aut_BlueMe_Sem_Pedido!$Q:$Q,DRE!AO$4,Aut_BlueMe_Sem_Pedido!$H:$H,DRE!$A211)-SUMIFS(Aut_Descontos!$G:$G,Aut_Descontos!$H:$H,$A211,Aut_Descontos!$L:$L,DRE!AO$4)-CMV_Manual!O15-SUMIFS(Aut_Consumo_Cartao_Black!$H:$H,Aut_Consumo_Cartao_Black!$I:$I,DRE!AO$4)+SUMIFS(Aut_Ajustes_Manuais!$G:$G,Aut_Ajustes_Manuais!$I:$I,DRE!AO$4,Aut_Ajustes_Manuais!$F:$F,"  -  Alimentação Funcionário")</f>
        <v>0</v>
      </c>
      <c r="AR211" s="241">
        <f t="shared" ca="1" si="189"/>
        <v>-48553.821309781866</v>
      </c>
      <c r="AS211" s="27">
        <f t="shared" ca="1" si="190"/>
        <v>-57779.826071350006</v>
      </c>
      <c r="AT211" s="28">
        <f t="shared" ca="1" si="191"/>
        <v>-56190.27</v>
      </c>
      <c r="AU211" s="241">
        <f t="shared" si="193"/>
        <v>-110488.77709750111</v>
      </c>
      <c r="AV211" s="27">
        <f t="shared" si="193"/>
        <v>-115284.06755265001</v>
      </c>
      <c r="AW211" s="28">
        <f t="shared" si="193"/>
        <v>-56190.27</v>
      </c>
      <c r="AX211" s="241">
        <f t="shared" si="194"/>
        <v>-24665.948110243036</v>
      </c>
      <c r="AY211" s="27">
        <f t="shared" si="194"/>
        <v>-28574.224471000001</v>
      </c>
      <c r="AZ211" s="28">
        <f t="shared" si="194"/>
        <v>-30479.129999999997</v>
      </c>
      <c r="BA211" s="241">
        <f t="shared" si="195"/>
        <v>-23887.873199538833</v>
      </c>
      <c r="BB211" s="27">
        <f t="shared" si="195"/>
        <v>-29205.601600350004</v>
      </c>
      <c r="BC211" s="28">
        <f t="shared" si="195"/>
        <v>-25711.14</v>
      </c>
      <c r="BD211" s="241">
        <f t="shared" si="196"/>
        <v>-29925.065787719243</v>
      </c>
      <c r="BE211" s="27">
        <f t="shared" si="196"/>
        <v>-28774.318231900004</v>
      </c>
      <c r="BF211" s="28">
        <f t="shared" si="196"/>
        <v>0</v>
      </c>
      <c r="BG211" s="241">
        <f t="shared" si="197"/>
        <v>-32009.89</v>
      </c>
      <c r="BH211" s="27">
        <f t="shared" si="197"/>
        <v>-28729.923249400003</v>
      </c>
      <c r="BI211" s="28">
        <f t="shared" si="197"/>
        <v>0</v>
      </c>
      <c r="BK211" s="448">
        <f t="shared" si="185"/>
        <v>-115284.06755265001</v>
      </c>
      <c r="BL211" s="448">
        <f t="shared" si="186"/>
        <v>0</v>
      </c>
      <c r="BM211" s="448">
        <f t="shared" si="187"/>
        <v>-54144.88</v>
      </c>
      <c r="BN211" s="448">
        <f t="shared" ca="1" si="188"/>
        <v>2045.3899999999994</v>
      </c>
    </row>
    <row r="212" spans="1:66" s="29" customFormat="1" hidden="1" outlineLevel="2" x14ac:dyDescent="0.3">
      <c r="A212" s="22" t="s">
        <v>254</v>
      </c>
      <c r="B212" s="2"/>
      <c r="C212" s="24"/>
      <c r="D212" s="55"/>
      <c r="E212" s="101"/>
      <c r="F212" s="41"/>
      <c r="G212" s="33"/>
      <c r="H212" s="241">
        <v>0</v>
      </c>
      <c r="I212" s="27"/>
      <c r="J212" s="28">
        <f>SUMIFS(Aut_BlueMe_Sem_Pedido!$J:$J,Aut_BlueMe_Sem_Pedido!$Q:$Q,DRE!H$4,Aut_BlueMe_Sem_Pedido!$H:$H,DRE!$A212)+SUMIFS(Aut_Ajustes_Manuais!$G:$G,Aut_Ajustes_Manuais!$I:$I,DRE!H$4,Aut_Ajustes_Manuais!$F:$F,"  -  Pro Labore")</f>
        <v>0</v>
      </c>
      <c r="K212" s="241">
        <v>0</v>
      </c>
      <c r="L212" s="27"/>
      <c r="M212" s="28">
        <f>SUMIFS(Aut_BlueMe_Sem_Pedido!$J:$J,Aut_BlueMe_Sem_Pedido!$Q:$Q,DRE!K$4,Aut_BlueMe_Sem_Pedido!$H:$H,DRE!$A212)+SUMIFS(Aut_Ajustes_Manuais!$G:$G,Aut_Ajustes_Manuais!$I:$I,DRE!K$4,Aut_Ajustes_Manuais!$F:$F,"  -  Pro Labore")</f>
        <v>0</v>
      </c>
      <c r="N212" s="241">
        <v>0</v>
      </c>
      <c r="O212" s="27"/>
      <c r="P212" s="28">
        <f>SUMIFS(Aut_BlueMe_Sem_Pedido!$J:$J,Aut_BlueMe_Sem_Pedido!$Q:$Q,DRE!N$4,Aut_BlueMe_Sem_Pedido!$H:$H,DRE!$A212)+SUMIFS(Aut_Ajustes_Manuais!$G:$G,Aut_Ajustes_Manuais!$I:$I,DRE!N$4,Aut_Ajustes_Manuais!$F:$F,"  -  Pro Labore")</f>
        <v>0</v>
      </c>
      <c r="Q212" s="241">
        <v>0</v>
      </c>
      <c r="R212" s="27"/>
      <c r="S212" s="28">
        <f>SUMIFS(Aut_BlueMe_Sem_Pedido!$J:$J,Aut_BlueMe_Sem_Pedido!$Q:$Q,DRE!Q$4,Aut_BlueMe_Sem_Pedido!$H:$H,DRE!$A212)+SUMIFS(Aut_Ajustes_Manuais!$G:$G,Aut_Ajustes_Manuais!$I:$I,DRE!Q$4,Aut_Ajustes_Manuais!$F:$F,"  -  Pro Labore")</f>
        <v>0</v>
      </c>
      <c r="T212" s="241">
        <v>0</v>
      </c>
      <c r="U212" s="27"/>
      <c r="V212" s="28">
        <f>SUMIFS(Aut_BlueMe_Sem_Pedido!$J:$J,Aut_BlueMe_Sem_Pedido!$Q:$Q,DRE!T$4,Aut_BlueMe_Sem_Pedido!$H:$H,DRE!$A212)+SUMIFS(Aut_Ajustes_Manuais!$G:$G,Aut_Ajustes_Manuais!$I:$I,DRE!T$4,Aut_Ajustes_Manuais!$F:$F,"  -  Pro Labore")</f>
        <v>0</v>
      </c>
      <c r="W212" s="241">
        <v>0</v>
      </c>
      <c r="X212" s="27"/>
      <c r="Y212" s="28">
        <f>SUMIFS(Aut_BlueMe_Sem_Pedido!$J:$J,Aut_BlueMe_Sem_Pedido!$Q:$Q,DRE!W$4,Aut_BlueMe_Sem_Pedido!$H:$H,DRE!$A212)+SUMIFS(Aut_Ajustes_Manuais!$G:$G,Aut_Ajustes_Manuais!$I:$I,DRE!W$4,Aut_Ajustes_Manuais!$F:$F,"  -  Pro Labore")</f>
        <v>0</v>
      </c>
      <c r="Z212" s="241">
        <v>0</v>
      </c>
      <c r="AA212" s="27"/>
      <c r="AB212" s="28">
        <f>SUMIFS(Aut_BlueMe_Sem_Pedido!$J:$J,Aut_BlueMe_Sem_Pedido!$Q:$Q,DRE!Z$4,Aut_BlueMe_Sem_Pedido!$H:$H,DRE!$A212)+SUMIFS(Aut_Ajustes_Manuais!$G:$G,Aut_Ajustes_Manuais!$I:$I,DRE!Z$4,Aut_Ajustes_Manuais!$F:$F,"  -  Pro Labore")</f>
        <v>0</v>
      </c>
      <c r="AC212" s="241">
        <v>0</v>
      </c>
      <c r="AD212" s="27"/>
      <c r="AE212" s="28">
        <f>SUMIFS(Aut_BlueMe_Sem_Pedido!$J:$J,Aut_BlueMe_Sem_Pedido!$Q:$Q,DRE!AC$4,Aut_BlueMe_Sem_Pedido!$H:$H,DRE!$A212)+SUMIFS(Aut_Ajustes_Manuais!$G:$G,Aut_Ajustes_Manuais!$I:$I,DRE!AC$4,Aut_Ajustes_Manuais!$F:$F,"  -  Pro Labore")</f>
        <v>0</v>
      </c>
      <c r="AF212" s="241">
        <v>0</v>
      </c>
      <c r="AG212" s="27"/>
      <c r="AH212" s="28">
        <f>SUMIFS(Aut_BlueMe_Sem_Pedido!$J:$J,Aut_BlueMe_Sem_Pedido!$Q:$Q,DRE!AF$4,Aut_BlueMe_Sem_Pedido!$H:$H,DRE!$A212)+SUMIFS(Aut_Ajustes_Manuais!$G:$G,Aut_Ajustes_Manuais!$I:$I,DRE!AF$4,Aut_Ajustes_Manuais!$F:$F,"  -  Pro Labore")</f>
        <v>0</v>
      </c>
      <c r="AI212" s="241">
        <v>0</v>
      </c>
      <c r="AJ212" s="27"/>
      <c r="AK212" s="28">
        <f>SUMIFS(Aut_BlueMe_Sem_Pedido!$J:$J,Aut_BlueMe_Sem_Pedido!$Q:$Q,DRE!AI$4,Aut_BlueMe_Sem_Pedido!$H:$H,DRE!$A212)+SUMIFS(Aut_Ajustes_Manuais!$G:$G,Aut_Ajustes_Manuais!$I:$I,DRE!AI$4,Aut_Ajustes_Manuais!$F:$F,"  -  Pro Labore")</f>
        <v>0</v>
      </c>
      <c r="AL212" s="241">
        <v>0</v>
      </c>
      <c r="AM212" s="27"/>
      <c r="AN212" s="28">
        <f>SUMIFS(Aut_BlueMe_Sem_Pedido!$J:$J,Aut_BlueMe_Sem_Pedido!$Q:$Q,DRE!AL$4,Aut_BlueMe_Sem_Pedido!$H:$H,DRE!$A212)+SUMIFS(Aut_Ajustes_Manuais!$G:$G,Aut_Ajustes_Manuais!$I:$I,DRE!AL$4,Aut_Ajustes_Manuais!$F:$F,"  -  Pro Labore")</f>
        <v>0</v>
      </c>
      <c r="AO212" s="241">
        <v>0</v>
      </c>
      <c r="AP212" s="27"/>
      <c r="AQ212" s="28">
        <f>SUMIFS(Aut_BlueMe_Sem_Pedido!$J:$J,Aut_BlueMe_Sem_Pedido!$Q:$Q,DRE!AO$4,Aut_BlueMe_Sem_Pedido!$H:$H,DRE!$A212)+SUMIFS(Aut_Ajustes_Manuais!$G:$G,Aut_Ajustes_Manuais!$I:$I,DRE!AO$4,Aut_Ajustes_Manuais!$F:$F,"  -  Pro Labore")</f>
        <v>0</v>
      </c>
      <c r="AR212" s="241">
        <f t="shared" ca="1" si="189"/>
        <v>0</v>
      </c>
      <c r="AS212" s="27">
        <f t="shared" ca="1" si="190"/>
        <v>0</v>
      </c>
      <c r="AT212" s="28">
        <f t="shared" ca="1" si="191"/>
        <v>0</v>
      </c>
      <c r="AU212" s="241">
        <f t="shared" si="193"/>
        <v>0</v>
      </c>
      <c r="AV212" s="27">
        <f t="shared" si="193"/>
        <v>0</v>
      </c>
      <c r="AW212" s="28">
        <f t="shared" si="193"/>
        <v>0</v>
      </c>
      <c r="AX212" s="241">
        <f t="shared" si="194"/>
        <v>0</v>
      </c>
      <c r="AY212" s="27">
        <f t="shared" si="194"/>
        <v>0</v>
      </c>
      <c r="AZ212" s="28">
        <f t="shared" si="194"/>
        <v>0</v>
      </c>
      <c r="BA212" s="241">
        <f t="shared" si="195"/>
        <v>0</v>
      </c>
      <c r="BB212" s="27">
        <f t="shared" si="195"/>
        <v>0</v>
      </c>
      <c r="BC212" s="28">
        <f t="shared" si="195"/>
        <v>0</v>
      </c>
      <c r="BD212" s="241">
        <f t="shared" si="196"/>
        <v>0</v>
      </c>
      <c r="BE212" s="27">
        <f t="shared" si="196"/>
        <v>0</v>
      </c>
      <c r="BF212" s="28">
        <f t="shared" si="196"/>
        <v>0</v>
      </c>
      <c r="BG212" s="241">
        <f t="shared" si="197"/>
        <v>0</v>
      </c>
      <c r="BH212" s="27">
        <f t="shared" si="197"/>
        <v>0</v>
      </c>
      <c r="BI212" s="28">
        <f t="shared" si="197"/>
        <v>0</v>
      </c>
      <c r="BK212" s="448">
        <f t="shared" si="185"/>
        <v>0</v>
      </c>
      <c r="BL212" s="448">
        <f t="shared" si="186"/>
        <v>0</v>
      </c>
      <c r="BM212" s="448">
        <f t="shared" si="187"/>
        <v>0</v>
      </c>
      <c r="BN212" s="448">
        <f t="shared" ca="1" si="188"/>
        <v>0</v>
      </c>
    </row>
    <row r="213" spans="1:66" collapsed="1" x14ac:dyDescent="0.3">
      <c r="A213" s="71" t="s">
        <v>255</v>
      </c>
      <c r="B213" s="59"/>
      <c r="C213" s="24"/>
      <c r="D213" s="55"/>
      <c r="E213" s="87"/>
      <c r="F213" s="63"/>
      <c r="G213" s="59"/>
      <c r="H213" s="245">
        <v>-0.20682111291936731</v>
      </c>
      <c r="I213" s="50">
        <v>-0.1685105202432145</v>
      </c>
      <c r="J213" s="51">
        <f>IFERROR(J106/J8,0)+SUMIFS(Aut_Ajustes_Manuais!$G:$G,Aut_Ajustes_Manuais!$I:$I,DRE!H$4,Aut_Ajustes_Manuais!$F:$F,"% sobre Receita c/ Squad")</f>
        <v>-0.15851794751543943</v>
      </c>
      <c r="K213" s="245">
        <v>-0.23995816327340261</v>
      </c>
      <c r="L213" s="50">
        <v>-0.18856788783874409</v>
      </c>
      <c r="M213" s="51">
        <f>IFERROR(M106/M8,0)+SUMIFS(Aut_Ajustes_Manuais!$G:$G,Aut_Ajustes_Manuais!$I:$I,DRE!K$4,Aut_Ajustes_Manuais!$F:$F,"% sobre Receita c/ Squad")</f>
        <v>-0.19570959330830445</v>
      </c>
      <c r="N213" s="245">
        <v>-0.2416135812637546</v>
      </c>
      <c r="O213" s="50">
        <v>-0.22823692277595331</v>
      </c>
      <c r="P213" s="51">
        <f>IFERROR(P106/P8,0)+SUMIFS(Aut_Ajustes_Manuais!$G:$G,Aut_Ajustes_Manuais!$I:$I,DRE!N$4,Aut_Ajustes_Manuais!$F:$F,"% sobre Receita c/ Squad")</f>
        <v>-0.21682109136890676</v>
      </c>
      <c r="Q213" s="245">
        <v>-0.21031390978369699</v>
      </c>
      <c r="R213" s="50">
        <v>-0.23582570597263899</v>
      </c>
      <c r="S213" s="51">
        <f>IFERROR(S106/S8,0)+SUMIFS(Aut_Ajustes_Manuais!$G:$G,Aut_Ajustes_Manuais!$I:$I,DRE!Q$4,Aut_Ajustes_Manuais!$F:$F,"% sobre Receita c/ Squad")</f>
        <v>-0.20753929342678382</v>
      </c>
      <c r="T213" s="245">
        <v>-0.16030967581386699</v>
      </c>
      <c r="U213" s="50">
        <v>-0.1552492737865693</v>
      </c>
      <c r="V213" s="51">
        <f>IFERROR(V106/V8,0)+SUMIFS(Aut_Ajustes_Manuais!$G:$G,Aut_Ajustes_Manuais!$I:$I,DRE!T$4,Aut_Ajustes_Manuais!$F:$F,"% sobre Receita c/ Squad")</f>
        <v>-0.18398927729024955</v>
      </c>
      <c r="W213" s="245">
        <v>-0.2022761462033929</v>
      </c>
      <c r="X213" s="50">
        <v>-0.17340781462745941</v>
      </c>
      <c r="Y213" s="51">
        <f>IFERROR(Y106/Y8,0)+SUMIFS(Aut_Ajustes_Manuais!$G:$G,Aut_Ajustes_Manuais!$I:$I,DRE!W$4,Aut_Ajustes_Manuais!$F:$F,"% sobre Receita c/ Squad")</f>
        <v>-0.1864564536910526</v>
      </c>
      <c r="Z213" s="245">
        <v>-0.17762867498240889</v>
      </c>
      <c r="AA213" s="50">
        <v>-0.17480334185736679</v>
      </c>
      <c r="AB213" s="51">
        <f>IFERROR(AB106/AB8,0)+SUMIFS(Aut_Ajustes_Manuais!$G:$G,Aut_Ajustes_Manuais!$I:$I,DRE!Z$4,Aut_Ajustes_Manuais!$F:$F,"% sobre Receita c/ Squad")</f>
        <v>-1.0520780680084989</v>
      </c>
      <c r="AC213" s="245">
        <v>-0.1698584708872293</v>
      </c>
      <c r="AD213" s="50">
        <v>-0.16400177481776429</v>
      </c>
      <c r="AE213" s="51">
        <f>IFERROR(AE106/AE8,0)+SUMIFS(Aut_Ajustes_Manuais!$G:$G,Aut_Ajustes_Manuais!$I:$I,DRE!AC$4,Aut_Ajustes_Manuais!$F:$F,"% sobre Receita c/ Squad")</f>
        <v>0</v>
      </c>
      <c r="AF213" s="245">
        <v>-0.18952608453843059</v>
      </c>
      <c r="AG213" s="50">
        <v>-0.18413440674669801</v>
      </c>
      <c r="AH213" s="51">
        <f>IFERROR(AH106/AH8,0)+SUMIFS(Aut_Ajustes_Manuais!$G:$G,Aut_Ajustes_Manuais!$I:$I,DRE!AF$4,Aut_Ajustes_Manuais!$F:$F,"% sobre Receita c/ Squad")</f>
        <v>0</v>
      </c>
      <c r="AI213" s="245">
        <v>-0.20386875556338321</v>
      </c>
      <c r="AJ213" s="50">
        <v>-0.18315340333583219</v>
      </c>
      <c r="AK213" s="51">
        <f>IFERROR(AK106/AK8,0)+SUMIFS(Aut_Ajustes_Manuais!$G:$G,Aut_Ajustes_Manuais!$I:$I,DRE!AI$4,Aut_Ajustes_Manuais!$F:$F,"% sobre Receita c/ Squad")</f>
        <v>0</v>
      </c>
      <c r="AL213" s="245">
        <v>-0.1646359971245078</v>
      </c>
      <c r="AM213" s="50">
        <v>-0.16164565381487039</v>
      </c>
      <c r="AN213" s="51">
        <f>IFERROR(AN106/AN8,0)+SUMIFS(Aut_Ajustes_Manuais!$G:$G,Aut_Ajustes_Manuais!$I:$I,DRE!AL$4,Aut_Ajustes_Manuais!$F:$F,"% sobre Receita c/ Squad")</f>
        <v>0</v>
      </c>
      <c r="AO213" s="245">
        <v>-0.1582269702961869</v>
      </c>
      <c r="AP213" s="50">
        <v>-0.1756945126372923</v>
      </c>
      <c r="AQ213" s="51">
        <f>IFERROR(AQ106/AQ8,0)+SUMIFS(Aut_Ajustes_Manuais!$G:$G,Aut_Ajustes_Manuais!$I:$I,DRE!AO$4,Aut_Ajustes_Manuais!$F:$F,"% sobre Receita c/ Squad")</f>
        <v>0</v>
      </c>
      <c r="AR213" s="245">
        <f t="shared" ref="AR213:BI213" ca="1" si="198">IFERROR(AR106/AR8,0)</f>
        <v>-0.20700704834442529</v>
      </c>
      <c r="AS213" s="50">
        <f t="shared" ca="1" si="198"/>
        <v>-0.18638982224755593</v>
      </c>
      <c r="AT213" s="51">
        <f t="shared" ca="1" si="198"/>
        <v>-0.19077533228489729</v>
      </c>
      <c r="AU213" s="245">
        <f t="shared" si="198"/>
        <v>-0.19020598899050112</v>
      </c>
      <c r="AV213" s="50">
        <f t="shared" si="198"/>
        <v>-0.17940275901839167</v>
      </c>
      <c r="AW213" s="51">
        <f t="shared" si="198"/>
        <v>-0.37466185426418025</v>
      </c>
      <c r="AX213" s="245">
        <f t="shared" si="198"/>
        <v>-0.22873218156412925</v>
      </c>
      <c r="AY213" s="50">
        <f t="shared" si="198"/>
        <v>-0.19230860661390475</v>
      </c>
      <c r="AZ213" s="51">
        <f t="shared" si="198"/>
        <v>-0.19198895230328719</v>
      </c>
      <c r="BA213" s="245">
        <f t="shared" si="198"/>
        <v>-0.18801839318273994</v>
      </c>
      <c r="BB213" s="50">
        <f t="shared" si="198"/>
        <v>-0.18143402396534569</v>
      </c>
      <c r="BC213" s="51">
        <f t="shared" si="198"/>
        <v>-0.19473414701452302</v>
      </c>
      <c r="BD213" s="245">
        <f t="shared" si="198"/>
        <v>-0.17848760616837606</v>
      </c>
      <c r="BE213" s="50">
        <f t="shared" si="198"/>
        <v>-0.17384875972717653</v>
      </c>
      <c r="BF213" s="51">
        <f t="shared" si="198"/>
        <v>-2.9423928653408602</v>
      </c>
      <c r="BG213" s="245">
        <f t="shared" si="198"/>
        <v>-0.17340509495347345</v>
      </c>
      <c r="BH213" s="50">
        <f t="shared" si="198"/>
        <v>-0.1729398984550265</v>
      </c>
      <c r="BI213" s="51">
        <f t="shared" si="198"/>
        <v>0</v>
      </c>
      <c r="BK213" s="448">
        <f t="shared" si="185"/>
        <v>-2.1932312184544034</v>
      </c>
      <c r="BL213" s="448">
        <f t="shared" si="186"/>
        <v>-2.0138284594360116</v>
      </c>
      <c r="BM213" s="448">
        <f t="shared" si="187"/>
        <v>-0.96257720290968396</v>
      </c>
      <c r="BN213" s="448">
        <f t="shared" ca="1" si="188"/>
        <v>-0.77180187062478667</v>
      </c>
    </row>
    <row r="214" spans="1:66" x14ac:dyDescent="0.3">
      <c r="A214" s="71" t="s">
        <v>256</v>
      </c>
      <c r="B214" s="59"/>
      <c r="C214" s="24"/>
      <c r="D214" s="55"/>
      <c r="E214" s="87"/>
      <c r="F214" s="63"/>
      <c r="G214" s="59"/>
      <c r="H214" s="245">
        <v>-0.15740163246805419</v>
      </c>
      <c r="I214" s="50">
        <v>-0.16450515913679989</v>
      </c>
      <c r="J214" s="51">
        <f>IFERROR((J106-J108)/J8,0)+SUMIFS(Aut_Ajustes_Manuais!$G:$G,Aut_Ajustes_Manuais!$I:$I,DRE!H$4,Aut_Ajustes_Manuais!$F:$F,"% sobre Receita s/ Squad")</f>
        <v>-0.15172414398188516</v>
      </c>
      <c r="K214" s="245">
        <v>-0.18590784961651949</v>
      </c>
      <c r="L214" s="50">
        <v>-0.18434630645445221</v>
      </c>
      <c r="M214" s="51">
        <f>IFERROR((M106-M108)/M8,0)+SUMIFS(Aut_Ajustes_Manuais!$G:$G,Aut_Ajustes_Manuais!$I:$I,DRE!K$4,Aut_Ajustes_Manuais!$F:$F,"% sobre Receita s/ Squad")</f>
        <v>-0.18742906503520565</v>
      </c>
      <c r="N214" s="245">
        <v>-0.1877148556781425</v>
      </c>
      <c r="O214" s="50">
        <v>-0.2229747457140932</v>
      </c>
      <c r="P214" s="51">
        <f>IFERROR((P106-P108)/P8,0)+SUMIFS(Aut_Ajustes_Manuais!$G:$G,Aut_Ajustes_Manuais!$I:$I,DRE!N$4,Aut_Ajustes_Manuais!$F:$F,"% sobre Receita s/ Squad")</f>
        <v>-0.2075587976450044</v>
      </c>
      <c r="Q214" s="245">
        <v>-0.15911734985273099</v>
      </c>
      <c r="R214" s="50">
        <v>-0.23076925560908679</v>
      </c>
      <c r="S214" s="51">
        <f>IFERROR((S106-S108)/S8,0)+SUMIFS(Aut_Ajustes_Manuais!$G:$G,Aut_Ajustes_Manuais!$I:$I,DRE!Q$4,Aut_Ajustes_Manuais!$F:$F,"% sobre Receita s/ Squad")</f>
        <v>-0.1990821179518133</v>
      </c>
      <c r="T214" s="245">
        <v>-0.1237269501035526</v>
      </c>
      <c r="U214" s="50">
        <v>-0.15214983078815239</v>
      </c>
      <c r="V214" s="51">
        <f>IFERROR((V106-V108)/V8,0)+SUMIFS(Aut_Ajustes_Manuais!$G:$G,Aut_Ajustes_Manuais!$I:$I,DRE!T$4,Aut_Ajustes_Manuais!$F:$F,"% sobre Receita s/ Squad")</f>
        <v>-0.17560701479072699</v>
      </c>
      <c r="W214" s="245">
        <v>-0.15713137955915399</v>
      </c>
      <c r="X214" s="50">
        <v>-0.16993127667770211</v>
      </c>
      <c r="Y214" s="51">
        <f>IFERROR((Y106-Y108)/Y8,0)+SUMIFS(Aut_Ajustes_Manuais!$G:$G,Aut_Ajustes_Manuais!$I:$I,DRE!W$4,Aut_Ajustes_Manuais!$F:$F,"% sobre Receita s/ Squad")</f>
        <v>-0.17915458753434271</v>
      </c>
      <c r="Z214" s="245">
        <v>-0.135300246982728</v>
      </c>
      <c r="AA214" s="50">
        <v>-0.17129352195689571</v>
      </c>
      <c r="AB214" s="51">
        <f>IFERROR((AB106-AB108)/AB8,0)+SUMIFS(Aut_Ajustes_Manuais!$G:$G,Aut_Ajustes_Manuais!$I:$I,DRE!Z$4,Aut_Ajustes_Manuais!$F:$F,"% sobre Receita s/ Squad")</f>
        <v>-1.0186557698225212</v>
      </c>
      <c r="AC214" s="245">
        <v>-0.13357840698810941</v>
      </c>
      <c r="AD214" s="50">
        <v>-0.16074956165841511</v>
      </c>
      <c r="AE214" s="51">
        <f>IFERROR((AE106-AE108)/AE8,0)+SUMIFS(Aut_Ajustes_Manuais!$G:$G,Aut_Ajustes_Manuais!$I:$I,DRE!AC$4,Aut_Ajustes_Manuais!$F:$F,"% sobre Receita s/ Squad")</f>
        <v>0</v>
      </c>
      <c r="AF214" s="245">
        <v>-0.14428245767768369</v>
      </c>
      <c r="AG214" s="50">
        <v>-0.18040205013386609</v>
      </c>
      <c r="AH214" s="51">
        <f>IFERROR((AH106-AH108)/AH8,0)+SUMIFS(Aut_Ajustes_Manuais!$G:$G,Aut_Ajustes_Manuais!$I:$I,DRE!AF$4,Aut_Ajustes_Manuais!$F:$F,"% sobre Receita s/ Squad")</f>
        <v>0</v>
      </c>
      <c r="AI214" s="245">
        <v>-0.15509670356939981</v>
      </c>
      <c r="AJ214" s="50">
        <v>-0.17944444268867621</v>
      </c>
      <c r="AK214" s="51">
        <f>IFERROR((AK106-AK108)/AK8,0)+SUMIFS(Aut_Ajustes_Manuais!$G:$G,Aut_Ajustes_Manuais!$I:$I,DRE!AI$4,Aut_Ajustes_Manuais!$F:$F,"% sobre Receita s/ Squad")</f>
        <v>0</v>
      </c>
      <c r="AL214" s="245">
        <v>-0.12953977574084921</v>
      </c>
      <c r="AM214" s="50">
        <v>-0.158449631822138</v>
      </c>
      <c r="AN214" s="51">
        <f>IFERROR((AN106-AN108)/AN8,0)+SUMIFS(Aut_Ajustes_Manuais!$G:$G,Aut_Ajustes_Manuais!$I:$I,DRE!AL$4,Aut_Ajustes_Manuais!$F:$F,"% sobre Receita s/ Squad")</f>
        <v>0</v>
      </c>
      <c r="AO214" s="245">
        <v>-0.1220987705916354</v>
      </c>
      <c r="AP214" s="50">
        <v>-0.17216343919096461</v>
      </c>
      <c r="AQ214" s="51">
        <f>IFERROR((AQ106-AQ108)/AQ8,0)+SUMIFS(Aut_Ajustes_Manuais!$G:$G,Aut_Ajustes_Manuais!$I:$I,DRE!AO$4,Aut_Ajustes_Manuais!$F:$F,"% sobre Receita s/ Squad")</f>
        <v>0</v>
      </c>
      <c r="AR214" s="245">
        <f t="shared" ref="AR214:BH214" ca="1" si="199">IFERROR((AR106-AR108)/AR8,0)</f>
        <v>-0.19295183912293246</v>
      </c>
      <c r="AS214" s="50">
        <f t="shared" ca="1" si="199"/>
        <v>-0.18234840347865575</v>
      </c>
      <c r="AT214" s="51">
        <f t="shared" ca="1" si="199"/>
        <v>-0.18272435331805884</v>
      </c>
      <c r="AU214" s="245">
        <f t="shared" si="199"/>
        <v>-0.18017862385807076</v>
      </c>
      <c r="AV214" s="50">
        <f t="shared" si="199"/>
        <v>-0.17566520795823315</v>
      </c>
      <c r="AW214" s="51">
        <f t="shared" si="199"/>
        <v>-0.3598045984558757</v>
      </c>
      <c r="AX214" s="245">
        <f t="shared" si="199"/>
        <v>-0.21061934653505926</v>
      </c>
      <c r="AY214" s="50">
        <f t="shared" si="199"/>
        <v>-0.18787453364350098</v>
      </c>
      <c r="AZ214" s="51">
        <f t="shared" si="199"/>
        <v>-0.18394210042822803</v>
      </c>
      <c r="BA214" s="245">
        <f t="shared" si="199"/>
        <v>-0.17750971490566306</v>
      </c>
      <c r="BB214" s="50">
        <f t="shared" si="199"/>
        <v>-0.17772137456813905</v>
      </c>
      <c r="BC214" s="51">
        <f t="shared" si="199"/>
        <v>-0.18667926958384576</v>
      </c>
      <c r="BD214" s="245">
        <f t="shared" si="199"/>
        <v>-0.17148260571885518</v>
      </c>
      <c r="BE214" s="50">
        <f t="shared" si="199"/>
        <v>-0.17036170567084549</v>
      </c>
      <c r="BF214" s="51">
        <f t="shared" si="199"/>
        <v>-2.8421259707829272</v>
      </c>
      <c r="BG214" s="245">
        <f t="shared" si="199"/>
        <v>-0.16721735928914086</v>
      </c>
      <c r="BH214" s="50">
        <f t="shared" si="199"/>
        <v>-0.16947451984537759</v>
      </c>
      <c r="BI214" s="51"/>
      <c r="BK214" s="448">
        <f t="shared" si="185"/>
        <v>-2.1471792218312422</v>
      </c>
      <c r="BL214" s="448">
        <f t="shared" si="186"/>
        <v>-1.971514013873009</v>
      </c>
      <c r="BM214" s="448">
        <f t="shared" si="187"/>
        <v>-0.92140113940463553</v>
      </c>
      <c r="BN214" s="448">
        <f t="shared" ca="1" si="188"/>
        <v>-0.73867678608657672</v>
      </c>
    </row>
    <row r="215" spans="1:66" x14ac:dyDescent="0.3">
      <c r="A215" s="18"/>
      <c r="E215" s="16"/>
      <c r="F215" s="17"/>
      <c r="H215" s="259"/>
      <c r="I215" s="108"/>
      <c r="J215" s="260"/>
      <c r="K215" s="259"/>
      <c r="L215" s="108"/>
      <c r="M215" s="260"/>
      <c r="N215" s="259"/>
      <c r="O215" s="108"/>
      <c r="P215" s="260"/>
      <c r="Q215" s="259"/>
      <c r="R215" s="108"/>
      <c r="S215" s="260"/>
      <c r="T215" s="259"/>
      <c r="U215" s="108"/>
      <c r="V215" s="260"/>
      <c r="W215" s="259"/>
      <c r="X215" s="108"/>
      <c r="Y215" s="260"/>
      <c r="Z215" s="259"/>
      <c r="AA215" s="108"/>
      <c r="AB215" s="260"/>
      <c r="AC215" s="259"/>
      <c r="AD215" s="108"/>
      <c r="AE215" s="260"/>
      <c r="AF215" s="259"/>
      <c r="AG215" s="108"/>
      <c r="AH215" s="260"/>
      <c r="AI215" s="259"/>
      <c r="AJ215" s="108"/>
      <c r="AK215" s="260"/>
      <c r="AL215" s="259"/>
      <c r="AM215" s="108"/>
      <c r="AN215" s="260"/>
      <c r="AO215" s="259"/>
      <c r="AP215" s="108"/>
      <c r="AQ215" s="260"/>
      <c r="AR215" s="259"/>
      <c r="AS215" s="108"/>
      <c r="AT215" s="260"/>
      <c r="AU215" s="259"/>
      <c r="AV215" s="108"/>
      <c r="AW215" s="260"/>
      <c r="AX215" s="259"/>
      <c r="AY215" s="108"/>
      <c r="AZ215" s="260"/>
      <c r="BA215" s="259"/>
      <c r="BB215" s="108"/>
      <c r="BC215" s="260"/>
      <c r="BD215" s="259"/>
      <c r="BE215" s="108"/>
      <c r="BF215" s="260"/>
      <c r="BG215" s="259"/>
      <c r="BH215" s="108"/>
      <c r="BI215" s="260"/>
      <c r="BK215" s="448">
        <f t="shared" si="185"/>
        <v>0</v>
      </c>
      <c r="BL215" s="448">
        <f t="shared" si="186"/>
        <v>0</v>
      </c>
      <c r="BM215" s="448">
        <f t="shared" si="187"/>
        <v>0</v>
      </c>
      <c r="BN215" s="448">
        <f t="shared" si="188"/>
        <v>0</v>
      </c>
    </row>
    <row r="216" spans="1:66" x14ac:dyDescent="0.3">
      <c r="A216" s="39" t="s">
        <v>257</v>
      </c>
      <c r="C216" s="40" t="s">
        <v>37</v>
      </c>
      <c r="D216" s="40" t="s">
        <v>38</v>
      </c>
      <c r="E216" s="40" t="s">
        <v>203</v>
      </c>
      <c r="F216" s="41"/>
      <c r="H216" s="244">
        <v>-43584</v>
      </c>
      <c r="I216" s="42">
        <v>-57354.91</v>
      </c>
      <c r="J216" s="43">
        <f>SUM(J217:J223)+SUMIFS(Aut_Ajustes_Manuais!$G:$G,Aut_Ajustes_Manuais!$I:$I,DRE!H$4,Aut_Ajustes_Manuais!$F:$F,"Custo de Ocupação")</f>
        <v>-49333.758333333331</v>
      </c>
      <c r="K216" s="244">
        <v>-43584</v>
      </c>
      <c r="L216" s="42">
        <v>-57354.91</v>
      </c>
      <c r="M216" s="43">
        <f>SUM(M217:M223)+SUMIFS(Aut_Ajustes_Manuais!$G:$G,Aut_Ajustes_Manuais!$I:$I,DRE!K$4,Aut_Ajustes_Manuais!$F:$F,"Custo de Ocupação")</f>
        <v>-49151.488333333335</v>
      </c>
      <c r="N216" s="244">
        <v>-43584</v>
      </c>
      <c r="O216" s="42">
        <v>-57354.91</v>
      </c>
      <c r="P216" s="43">
        <f>SUM(P217:P223)+SUMIFS(Aut_Ajustes_Manuais!$G:$G,Aut_Ajustes_Manuais!$I:$I,DRE!N$4,Aut_Ajustes_Manuais!$F:$F,"Custo de Ocupação")</f>
        <v>-49396.129166666666</v>
      </c>
      <c r="Q216" s="244">
        <v>-43584</v>
      </c>
      <c r="R216" s="42">
        <v>-57354.91</v>
      </c>
      <c r="S216" s="43">
        <f>SUM(S217:S223)+SUMIFS(Aut_Ajustes_Manuais!$G:$G,Aut_Ajustes_Manuais!$I:$I,DRE!Q$4,Aut_Ajustes_Manuais!$F:$F,"Custo de Ocupação")</f>
        <v>-49396.129166666666</v>
      </c>
      <c r="T216" s="244">
        <v>-43584</v>
      </c>
      <c r="U216" s="42">
        <v>-57354.91</v>
      </c>
      <c r="V216" s="43">
        <f>SUM(V217:V223)+SUMIFS(Aut_Ajustes_Manuais!$G:$G,Aut_Ajustes_Manuais!$I:$I,DRE!T$4,Aut_Ajustes_Manuais!$F:$F,"Custo de Ocupação")</f>
        <v>-49396.129166666666</v>
      </c>
      <c r="W216" s="244">
        <v>-43810.68</v>
      </c>
      <c r="X216" s="42">
        <v>-57354.91</v>
      </c>
      <c r="Y216" s="43">
        <f>SUM(Y217:Y223)+SUMIFS(Aut_Ajustes_Manuais!$G:$G,Aut_Ajustes_Manuais!$I:$I,DRE!W$4,Aut_Ajustes_Manuais!$F:$F,"Custo de Ocupação")</f>
        <v>-55967.969166666662</v>
      </c>
      <c r="Z216" s="244">
        <v>-43584</v>
      </c>
      <c r="AA216" s="42">
        <v>-57354.91</v>
      </c>
      <c r="AB216" s="43">
        <f>SUM(AB217:AB223)+SUMIFS(Aut_Ajustes_Manuais!$G:$G,Aut_Ajustes_Manuais!$I:$I,DRE!Z$4,Aut_Ajustes_Manuais!$F:$F,"Custo de Ocupação")</f>
        <v>-55731.619166666664</v>
      </c>
      <c r="AC216" s="244">
        <v>-43766.3</v>
      </c>
      <c r="AD216" s="42">
        <v>-57354.91</v>
      </c>
      <c r="AE216" s="43">
        <f>SUM(AE217:AE223)+SUMIFS(Aut_Ajustes_Manuais!$G:$G,Aut_Ajustes_Manuais!$I:$I,DRE!AC$4,Aut_Ajustes_Manuais!$F:$F,"Custo de Ocupação")</f>
        <v>-56728.999166666661</v>
      </c>
      <c r="AF216" s="244">
        <v>-43766.27</v>
      </c>
      <c r="AG216" s="42">
        <v>-57354.91</v>
      </c>
      <c r="AH216" s="43">
        <f>SUM(AH217:AH223)+SUMIFS(Aut_Ajustes_Manuais!$G:$G,Aut_Ajustes_Manuais!$I:$I,DRE!AF$4,Aut_Ajustes_Manuais!$F:$F,"Custo de Ocupação")</f>
        <v>-56728.999166666661</v>
      </c>
      <c r="AI216" s="244">
        <v>-47251.320000000007</v>
      </c>
      <c r="AJ216" s="42">
        <v>-59396.271809999998</v>
      </c>
      <c r="AK216" s="43">
        <f>SUM(AK217:AK223)+SUMIFS(Aut_Ajustes_Manuais!$G:$G,Aut_Ajustes_Manuais!$I:$I,DRE!AI$4,Aut_Ajustes_Manuais!$F:$F,"Custo de Ocupação")</f>
        <v>-56728.999166666661</v>
      </c>
      <c r="AL216" s="244">
        <v>-51424.14</v>
      </c>
      <c r="AM216" s="42">
        <v>-59396.271809999998</v>
      </c>
      <c r="AN216" s="43">
        <f>SUM(AN217:AN223)+SUMIFS(Aut_Ajustes_Manuais!$G:$G,Aut_Ajustes_Manuais!$I:$I,DRE!AL$4,Aut_Ajustes_Manuais!$F:$F,"Custo de Ocupação")</f>
        <v>-55767.95</v>
      </c>
      <c r="AO216" s="244">
        <v>-49754.04</v>
      </c>
      <c r="AP216" s="42">
        <v>-59396.271809999998</v>
      </c>
      <c r="AQ216" s="43">
        <f>SUM(AQ217:AQ223)+SUMIFS(Aut_Ajustes_Manuais!$G:$G,Aut_Ajustes_Manuais!$I:$I,DRE!AO$4,Aut_Ajustes_Manuais!$F:$F,"Custo de Ocupação")</f>
        <v>-55767.95</v>
      </c>
      <c r="AR216" s="244">
        <f t="shared" ref="AR216:BI216" ca="1" si="200">SUM(AR217:AR223)</f>
        <v>-261730.68</v>
      </c>
      <c r="AS216" s="42">
        <f t="shared" ca="1" si="200"/>
        <v>-344129.46</v>
      </c>
      <c r="AT216" s="43">
        <f t="shared" ca="1" si="200"/>
        <v>-302641.60333333333</v>
      </c>
      <c r="AU216" s="244">
        <f t="shared" si="200"/>
        <v>-541276.75000000012</v>
      </c>
      <c r="AV216" s="42">
        <f t="shared" si="200"/>
        <v>-694383.00543000002</v>
      </c>
      <c r="AW216" s="43">
        <f t="shared" si="200"/>
        <v>-640096.12000000011</v>
      </c>
      <c r="AX216" s="244">
        <f t="shared" si="200"/>
        <v>-130752</v>
      </c>
      <c r="AY216" s="42">
        <f t="shared" si="200"/>
        <v>-172064.73</v>
      </c>
      <c r="AZ216" s="43">
        <f t="shared" si="200"/>
        <v>-147881.37583333335</v>
      </c>
      <c r="BA216" s="244">
        <f t="shared" si="200"/>
        <v>-130978.68</v>
      </c>
      <c r="BB216" s="42">
        <f t="shared" si="200"/>
        <v>-172064.73</v>
      </c>
      <c r="BC216" s="43">
        <f t="shared" si="200"/>
        <v>-154760.22750000001</v>
      </c>
      <c r="BD216" s="244">
        <f t="shared" si="200"/>
        <v>-131116.57</v>
      </c>
      <c r="BE216" s="42">
        <f t="shared" si="200"/>
        <v>-172064.73</v>
      </c>
      <c r="BF216" s="43">
        <f t="shared" si="200"/>
        <v>-169189.61749999999</v>
      </c>
      <c r="BG216" s="244">
        <f t="shared" si="200"/>
        <v>-148429.5</v>
      </c>
      <c r="BH216" s="42">
        <f t="shared" si="200"/>
        <v>-178188.81542999999</v>
      </c>
      <c r="BI216" s="43">
        <f t="shared" si="200"/>
        <v>-168264.89916666667</v>
      </c>
      <c r="BK216" s="448">
        <f t="shared" si="185"/>
        <v>-694383.00543000002</v>
      </c>
      <c r="BL216" s="448">
        <f t="shared" si="186"/>
        <v>0</v>
      </c>
      <c r="BM216" s="448">
        <f t="shared" si="187"/>
        <v>-246673.63416666666</v>
      </c>
      <c r="BN216" s="448">
        <f t="shared" ca="1" si="188"/>
        <v>55967.969166666677</v>
      </c>
    </row>
    <row r="217" spans="1:66" s="29" customFormat="1" hidden="1" outlineLevel="1" x14ac:dyDescent="0.3">
      <c r="A217" s="22" t="s">
        <v>258</v>
      </c>
      <c r="B217" s="2"/>
      <c r="C217" s="24" t="s">
        <v>69</v>
      </c>
      <c r="D217" s="109"/>
      <c r="E217" s="25"/>
      <c r="F217" s="41"/>
      <c r="G217" s="33"/>
      <c r="H217" s="241">
        <v>-29700</v>
      </c>
      <c r="I217" s="27">
        <v>-43433.23</v>
      </c>
      <c r="J217" s="27">
        <f>SUMIFS(Aut_BlueMe_Sem_Pedido!$J:$J,Aut_BlueMe_Sem_Pedido!$Q:$Q,DRE!H$4,Aut_BlueMe_Sem_Pedido!$H:$H,DRE!$A217)+SUMIFS(Aut_Ajustes_Manuais!$G:$G,Aut_Ajustes_Manuais!$I:$I,DRE!H$4,Aut_Ajustes_Manuais!$F:$F,"Aluguel de Imoveis")</f>
        <v>-34705.08</v>
      </c>
      <c r="K217" s="241">
        <v>-29700</v>
      </c>
      <c r="L217" s="27">
        <v>-43433.23</v>
      </c>
      <c r="M217" s="27">
        <f>SUMIFS(Aut_BlueMe_Sem_Pedido!$J:$J,Aut_BlueMe_Sem_Pedido!$Q:$Q,DRE!K$4,Aut_BlueMe_Sem_Pedido!$H:$H,DRE!$A217)+SUMIFS(Aut_Ajustes_Manuais!$G:$G,Aut_Ajustes_Manuais!$I:$I,DRE!K$4,Aut_Ajustes_Manuais!$F:$F,"Aluguel de Imoveis")</f>
        <v>-34705.08</v>
      </c>
      <c r="N217" s="241">
        <v>-29700</v>
      </c>
      <c r="O217" s="27">
        <v>-43433.23</v>
      </c>
      <c r="P217" s="27">
        <f>SUMIFS(Aut_BlueMe_Sem_Pedido!$J:$J,Aut_BlueMe_Sem_Pedido!$Q:$Q,DRE!N$4,Aut_BlueMe_Sem_Pedido!$H:$H,DRE!$A217)+SUMIFS(Aut_Ajustes_Manuais!$G:$G,Aut_Ajustes_Manuais!$I:$I,DRE!N$4,Aut_Ajustes_Manuais!$F:$F,"Aluguel de Imoveis")</f>
        <v>-34705.08</v>
      </c>
      <c r="Q217" s="241">
        <v>-29700</v>
      </c>
      <c r="R217" s="27">
        <v>-43433.23</v>
      </c>
      <c r="S217" s="27">
        <f>SUMIFS(Aut_BlueMe_Sem_Pedido!$J:$J,Aut_BlueMe_Sem_Pedido!$Q:$Q,DRE!Q$4,Aut_BlueMe_Sem_Pedido!$H:$H,DRE!$A217)+SUMIFS(Aut_Ajustes_Manuais!$G:$G,Aut_Ajustes_Manuais!$I:$I,DRE!Q$4,Aut_Ajustes_Manuais!$F:$F,"Aluguel de Imoveis")</f>
        <v>-34705.08</v>
      </c>
      <c r="T217" s="241">
        <v>-29700</v>
      </c>
      <c r="U217" s="27">
        <v>-43433.23</v>
      </c>
      <c r="V217" s="27">
        <f>SUMIFS(Aut_BlueMe_Sem_Pedido!$J:$J,Aut_BlueMe_Sem_Pedido!$Q:$Q,DRE!T$4,Aut_BlueMe_Sem_Pedido!$H:$H,DRE!$A217)+SUMIFS(Aut_Ajustes_Manuais!$G:$G,Aut_Ajustes_Manuais!$I:$I,DRE!T$4,Aut_Ajustes_Manuais!$F:$F,"Aluguel de Imoveis")</f>
        <v>-34705.08</v>
      </c>
      <c r="W217" s="241">
        <v>-29700</v>
      </c>
      <c r="X217" s="27">
        <v>-43433.23</v>
      </c>
      <c r="Y217" s="28">
        <f>SUMIFS(Aut_BlueMe_Sem_Pedido!$J:$J,Aut_BlueMe_Sem_Pedido!$Q:$Q,DRE!W$4,Aut_BlueMe_Sem_Pedido!$H:$H,DRE!$A217)+SUMIFS(Aut_Ajustes_Manuais!$G:$G,Aut_Ajustes_Manuais!$I:$I,DRE!W$4,Aut_Ajustes_Manuais!$F:$F,"Aluguel de Imoveis")</f>
        <v>-41040.57</v>
      </c>
      <c r="Z217" s="241">
        <v>-29700</v>
      </c>
      <c r="AA217" s="27">
        <v>-43433.23</v>
      </c>
      <c r="AB217" s="28">
        <f>SUMIFS(Aut_BlueMe_Sem_Pedido!$J:$J,Aut_BlueMe_Sem_Pedido!$Q:$Q,DRE!Z$4,Aut_BlueMe_Sem_Pedido!$H:$H,DRE!$A217)+SUMIFS(Aut_Ajustes_Manuais!$G:$G,Aut_Ajustes_Manuais!$I:$I,DRE!Z$4,Aut_Ajustes_Manuais!$F:$F,"Aluguel de Imoveis")</f>
        <v>-41040.57</v>
      </c>
      <c r="AC217" s="241">
        <v>-29700</v>
      </c>
      <c r="AD217" s="27">
        <v>-43433.23</v>
      </c>
      <c r="AE217" s="28">
        <f>SUMIFS(Aut_BlueMe_Sem_Pedido!$J:$J,Aut_BlueMe_Sem_Pedido!$Q:$Q,DRE!AC$4,Aut_BlueMe_Sem_Pedido!$H:$H,DRE!$A217)+SUMIFS(Aut_Ajustes_Manuais!$G:$G,Aut_Ajustes_Manuais!$I:$I,DRE!AC$4,Aut_Ajustes_Manuais!$F:$F,"Aluguel de Imoveis")</f>
        <v>-42037.95</v>
      </c>
      <c r="AF217" s="241">
        <v>-29700</v>
      </c>
      <c r="AG217" s="27">
        <v>-43433.23</v>
      </c>
      <c r="AH217" s="28">
        <f>SUMIFS(Aut_BlueMe_Sem_Pedido!$J:$J,Aut_BlueMe_Sem_Pedido!$Q:$Q,DRE!AF$4,Aut_BlueMe_Sem_Pedido!$H:$H,DRE!$A217)+SUMIFS(Aut_Ajustes_Manuais!$G:$G,Aut_Ajustes_Manuais!$I:$I,DRE!AF$4,Aut_Ajustes_Manuais!$F:$F,"Aluguel de Imoveis")</f>
        <v>-42037.95</v>
      </c>
      <c r="AI217" s="241">
        <v>-28342.44</v>
      </c>
      <c r="AJ217" s="27">
        <v>-45474.591809999998</v>
      </c>
      <c r="AK217" s="28">
        <f>SUMIFS(Aut_BlueMe_Sem_Pedido!$J:$J,Aut_BlueMe_Sem_Pedido!$Q:$Q,DRE!AI$4,Aut_BlueMe_Sem_Pedido!$H:$H,DRE!$A217)+SUMIFS(Aut_Ajustes_Manuais!$G:$G,Aut_Ajustes_Manuais!$I:$I,DRE!AI$4,Aut_Ajustes_Manuais!$F:$F,"Aluguel de Imoveis")</f>
        <v>-42037.95</v>
      </c>
      <c r="AL217" s="241">
        <v>-33881.760000000002</v>
      </c>
      <c r="AM217" s="27">
        <v>-45474.591809999998</v>
      </c>
      <c r="AN217" s="28">
        <f>SUMIFS(Aut_BlueMe_Sem_Pedido!$J:$J,Aut_BlueMe_Sem_Pedido!$Q:$Q,DRE!AL$4,Aut_BlueMe_Sem_Pedido!$H:$H,DRE!$A217)+SUMIFS(Aut_Ajustes_Manuais!$G:$G,Aut_Ajustes_Manuais!$I:$I,DRE!AL$4,Aut_Ajustes_Manuais!$F:$F,"Aluguel de Imoveis")</f>
        <v>-43767.95</v>
      </c>
      <c r="AO217" s="241">
        <v>-32970</v>
      </c>
      <c r="AP217" s="27">
        <v>-45474.591809999998</v>
      </c>
      <c r="AQ217" s="28">
        <f>SUMIFS(Aut_BlueMe_Sem_Pedido!$J:$J,Aut_BlueMe_Sem_Pedido!$Q:$Q,DRE!AO$4,Aut_BlueMe_Sem_Pedido!$H:$H,DRE!$A217)+SUMIFS(Aut_Ajustes_Manuais!$G:$G,Aut_Ajustes_Manuais!$I:$I,DRE!AO$4,Aut_Ajustes_Manuais!$F:$F,"Aluguel de Imoveis")</f>
        <v>-43767.95</v>
      </c>
      <c r="AR217" s="241">
        <f t="shared" ref="AR217:AR223" ca="1" si="201">SUMIFS($H217:$AO217,$H$5:$AO$5,"&lt;"&amp;MONTH(TODAY()),$H$6:$AO$6,"REAL 25")</f>
        <v>-178200</v>
      </c>
      <c r="AS217" s="27">
        <f t="shared" ref="AS217:AS223" ca="1" si="202">SUMIFS($I217:$AP217,$I$5:$AP$5,"&lt;"&amp;MONTH(TODAY()),$I$6:$AP$6,"ORÇADO ")</f>
        <v>-260599.38000000003</v>
      </c>
      <c r="AT217" s="28">
        <f t="shared" ref="AT217:AT223" ca="1" si="203">SUMIFS($J217:$AQ217,$J$5:$AQ$5,"&lt;"&amp;MONTH(TODAY()),$J$6:$AQ$6,"REAL 26")</f>
        <v>-214565.97000000003</v>
      </c>
      <c r="AU217" s="241">
        <f t="shared" ref="AU217:AW223" si="204">SUM(H217,K217,N217,Q217,T217,W217,Z217,AC217,AF217,AI217,AL217,AO217)</f>
        <v>-362494.2</v>
      </c>
      <c r="AV217" s="27">
        <f t="shared" si="204"/>
        <v>-527322.84542999999</v>
      </c>
      <c r="AW217" s="28">
        <f t="shared" si="204"/>
        <v>-469256.2900000001</v>
      </c>
      <c r="AX217" s="241">
        <f t="shared" ref="AX217:AZ223" si="205">SUM(H217,K217,N217)</f>
        <v>-89100</v>
      </c>
      <c r="AY217" s="27">
        <f t="shared" si="205"/>
        <v>-130299.69</v>
      </c>
      <c r="AZ217" s="28">
        <f t="shared" si="205"/>
        <v>-104115.24</v>
      </c>
      <c r="BA217" s="241">
        <f t="shared" ref="BA217:BC223" si="206">SUM(Q217,T217,W217)</f>
        <v>-89100</v>
      </c>
      <c r="BB217" s="27">
        <f t="shared" si="206"/>
        <v>-130299.69</v>
      </c>
      <c r="BC217" s="28">
        <f t="shared" si="206"/>
        <v>-110450.73000000001</v>
      </c>
      <c r="BD217" s="241">
        <f t="shared" ref="BD217:BF223" si="207">SUM(Z217,AC217,AF217)</f>
        <v>-89100</v>
      </c>
      <c r="BE217" s="27">
        <f t="shared" si="207"/>
        <v>-130299.69</v>
      </c>
      <c r="BF217" s="28">
        <f t="shared" si="207"/>
        <v>-125116.46999999999</v>
      </c>
      <c r="BG217" s="241">
        <f t="shared" ref="BG217:BI223" si="208">SUM(AI217,AL217,AO217)</f>
        <v>-95194.2</v>
      </c>
      <c r="BH217" s="27">
        <f t="shared" si="208"/>
        <v>-136423.77542999998</v>
      </c>
      <c r="BI217" s="28">
        <f t="shared" si="208"/>
        <v>-129573.84999999999</v>
      </c>
      <c r="BK217" s="448">
        <f t="shared" si="185"/>
        <v>-527322.84542999999</v>
      </c>
      <c r="BL217" s="448">
        <f t="shared" si="186"/>
        <v>0</v>
      </c>
      <c r="BM217" s="448">
        <f t="shared" si="187"/>
        <v>-173525.40000000002</v>
      </c>
      <c r="BN217" s="448">
        <f t="shared" ca="1" si="188"/>
        <v>41040.570000000007</v>
      </c>
    </row>
    <row r="218" spans="1:66" s="29" customFormat="1" hidden="1" outlineLevel="1" x14ac:dyDescent="0.3">
      <c r="A218" s="22" t="s">
        <v>259</v>
      </c>
      <c r="B218" s="2"/>
      <c r="C218" s="24" t="s">
        <v>69</v>
      </c>
      <c r="D218" s="109"/>
      <c r="E218" s="25"/>
      <c r="F218" s="41"/>
      <c r="G218" s="33"/>
      <c r="H218" s="241">
        <v>0</v>
      </c>
      <c r="I218" s="27">
        <v>0</v>
      </c>
      <c r="J218" s="28">
        <f>SUMIFS(Aut_BlueMe_Sem_Pedido!$J:$J,Aut_BlueMe_Sem_Pedido!$Q:$Q,DRE!H$4,Aut_BlueMe_Sem_Pedido!$H:$H,DRE!$A218)+SUMIFS(Aut_Ajustes_Manuais!$G:$G,Aut_Ajustes_Manuais!$I:$I,DRE!H$4,Aut_Ajustes_Manuais!$F:$F,"Condominio")</f>
        <v>0</v>
      </c>
      <c r="K218" s="241">
        <v>0</v>
      </c>
      <c r="L218" s="27">
        <v>0</v>
      </c>
      <c r="M218" s="28">
        <f>SUMIFS(Aut_BlueMe_Sem_Pedido!$J:$J,Aut_BlueMe_Sem_Pedido!$Q:$Q,DRE!K$4,Aut_BlueMe_Sem_Pedido!$H:$H,DRE!$A218)+SUMIFS(Aut_Ajustes_Manuais!$G:$G,Aut_Ajustes_Manuais!$I:$I,DRE!K$4,Aut_Ajustes_Manuais!$F:$F,"Condominio")</f>
        <v>0</v>
      </c>
      <c r="N218" s="241">
        <v>0</v>
      </c>
      <c r="O218" s="27">
        <v>0</v>
      </c>
      <c r="P218" s="28">
        <f>SUMIFS(Aut_BlueMe_Sem_Pedido!$J:$J,Aut_BlueMe_Sem_Pedido!$Q:$Q,DRE!N$4,Aut_BlueMe_Sem_Pedido!$H:$H,DRE!$A218)+SUMIFS(Aut_Ajustes_Manuais!$G:$G,Aut_Ajustes_Manuais!$I:$I,DRE!N$4,Aut_Ajustes_Manuais!$F:$F,"Condominio")</f>
        <v>0</v>
      </c>
      <c r="Q218" s="241">
        <v>0</v>
      </c>
      <c r="R218" s="27">
        <v>0</v>
      </c>
      <c r="S218" s="28">
        <f>SUMIFS(Aut_BlueMe_Sem_Pedido!$J:$J,Aut_BlueMe_Sem_Pedido!$Q:$Q,DRE!Q$4,Aut_BlueMe_Sem_Pedido!$H:$H,DRE!$A218)+SUMIFS(Aut_Ajustes_Manuais!$G:$G,Aut_Ajustes_Manuais!$I:$I,DRE!Q$4,Aut_Ajustes_Manuais!$F:$F,"Condominio")</f>
        <v>0</v>
      </c>
      <c r="T218" s="241">
        <v>0</v>
      </c>
      <c r="U218" s="27">
        <v>0</v>
      </c>
      <c r="V218" s="28">
        <f>SUMIFS(Aut_BlueMe_Sem_Pedido!$J:$J,Aut_BlueMe_Sem_Pedido!$Q:$Q,DRE!T$4,Aut_BlueMe_Sem_Pedido!$H:$H,DRE!$A218)+SUMIFS(Aut_Ajustes_Manuais!$G:$G,Aut_Ajustes_Manuais!$I:$I,DRE!T$4,Aut_Ajustes_Manuais!$F:$F,"Condominio")</f>
        <v>0</v>
      </c>
      <c r="W218" s="241">
        <v>0</v>
      </c>
      <c r="X218" s="27">
        <v>0</v>
      </c>
      <c r="Y218" s="28">
        <f>SUMIFS(Aut_BlueMe_Sem_Pedido!$J:$J,Aut_BlueMe_Sem_Pedido!$Q:$Q,DRE!W$4,Aut_BlueMe_Sem_Pedido!$H:$H,DRE!$A218)+SUMIFS(Aut_Ajustes_Manuais!$G:$G,Aut_Ajustes_Manuais!$I:$I,DRE!W$4,Aut_Ajustes_Manuais!$F:$F,"Condominio")</f>
        <v>0</v>
      </c>
      <c r="Z218" s="241">
        <v>0</v>
      </c>
      <c r="AA218" s="27">
        <v>0</v>
      </c>
      <c r="AB218" s="28">
        <f>SUMIFS(Aut_BlueMe_Sem_Pedido!$J:$J,Aut_BlueMe_Sem_Pedido!$Q:$Q,DRE!Z$4,Aut_BlueMe_Sem_Pedido!$H:$H,DRE!$A218)+SUMIFS(Aut_Ajustes_Manuais!$G:$G,Aut_Ajustes_Manuais!$I:$I,DRE!Z$4,Aut_Ajustes_Manuais!$F:$F,"Condominio")</f>
        <v>0</v>
      </c>
      <c r="AC218" s="241">
        <v>0</v>
      </c>
      <c r="AD218" s="27">
        <v>0</v>
      </c>
      <c r="AE218" s="28">
        <f>SUMIFS(Aut_BlueMe_Sem_Pedido!$J:$J,Aut_BlueMe_Sem_Pedido!$Q:$Q,DRE!AC$4,Aut_BlueMe_Sem_Pedido!$H:$H,DRE!$A218)+SUMIFS(Aut_Ajustes_Manuais!$G:$G,Aut_Ajustes_Manuais!$I:$I,DRE!AC$4,Aut_Ajustes_Manuais!$F:$F,"Condominio")</f>
        <v>0</v>
      </c>
      <c r="AF218" s="241">
        <v>0</v>
      </c>
      <c r="AG218" s="27">
        <v>0</v>
      </c>
      <c r="AH218" s="28">
        <f>SUMIFS(Aut_BlueMe_Sem_Pedido!$J:$J,Aut_BlueMe_Sem_Pedido!$Q:$Q,DRE!AF$4,Aut_BlueMe_Sem_Pedido!$H:$H,DRE!$A218)+SUMIFS(Aut_Ajustes_Manuais!$G:$G,Aut_Ajustes_Manuais!$I:$I,DRE!AF$4,Aut_Ajustes_Manuais!$F:$F,"Condominio")</f>
        <v>0</v>
      </c>
      <c r="AI218" s="241">
        <v>0</v>
      </c>
      <c r="AJ218" s="27">
        <v>0</v>
      </c>
      <c r="AK218" s="28">
        <f>SUMIFS(Aut_BlueMe_Sem_Pedido!$J:$J,Aut_BlueMe_Sem_Pedido!$Q:$Q,DRE!AI$4,Aut_BlueMe_Sem_Pedido!$H:$H,DRE!$A218)+SUMIFS(Aut_Ajustes_Manuais!$G:$G,Aut_Ajustes_Manuais!$I:$I,DRE!AI$4,Aut_Ajustes_Manuais!$F:$F,"Condominio")</f>
        <v>0</v>
      </c>
      <c r="AL218" s="241">
        <v>0</v>
      </c>
      <c r="AM218" s="27">
        <v>0</v>
      </c>
      <c r="AN218" s="28">
        <f>SUMIFS(Aut_BlueMe_Sem_Pedido!$J:$J,Aut_BlueMe_Sem_Pedido!$Q:$Q,DRE!AL$4,Aut_BlueMe_Sem_Pedido!$H:$H,DRE!$A218)+SUMIFS(Aut_Ajustes_Manuais!$G:$G,Aut_Ajustes_Manuais!$I:$I,DRE!AL$4,Aut_Ajustes_Manuais!$F:$F,"Condominio")</f>
        <v>0</v>
      </c>
      <c r="AO218" s="241">
        <v>0</v>
      </c>
      <c r="AP218" s="27">
        <v>0</v>
      </c>
      <c r="AQ218" s="28">
        <f>SUMIFS(Aut_BlueMe_Sem_Pedido!$J:$J,Aut_BlueMe_Sem_Pedido!$Q:$Q,DRE!AO$4,Aut_BlueMe_Sem_Pedido!$H:$H,DRE!$A218)+SUMIFS(Aut_Ajustes_Manuais!$G:$G,Aut_Ajustes_Manuais!$I:$I,DRE!AO$4,Aut_Ajustes_Manuais!$F:$F,"Condominio")</f>
        <v>0</v>
      </c>
      <c r="AR218" s="241">
        <f t="shared" ca="1" si="201"/>
        <v>0</v>
      </c>
      <c r="AS218" s="27">
        <f t="shared" ca="1" si="202"/>
        <v>0</v>
      </c>
      <c r="AT218" s="28">
        <f t="shared" ca="1" si="203"/>
        <v>0</v>
      </c>
      <c r="AU218" s="241">
        <f t="shared" si="204"/>
        <v>0</v>
      </c>
      <c r="AV218" s="27">
        <f t="shared" si="204"/>
        <v>0</v>
      </c>
      <c r="AW218" s="28">
        <f t="shared" si="204"/>
        <v>0</v>
      </c>
      <c r="AX218" s="241">
        <f t="shared" si="205"/>
        <v>0</v>
      </c>
      <c r="AY218" s="27">
        <f t="shared" si="205"/>
        <v>0</v>
      </c>
      <c r="AZ218" s="28">
        <f t="shared" si="205"/>
        <v>0</v>
      </c>
      <c r="BA218" s="241">
        <f t="shared" si="206"/>
        <v>0</v>
      </c>
      <c r="BB218" s="27">
        <f t="shared" si="206"/>
        <v>0</v>
      </c>
      <c r="BC218" s="28">
        <f t="shared" si="206"/>
        <v>0</v>
      </c>
      <c r="BD218" s="241">
        <f t="shared" si="207"/>
        <v>0</v>
      </c>
      <c r="BE218" s="27">
        <f t="shared" si="207"/>
        <v>0</v>
      </c>
      <c r="BF218" s="28">
        <f t="shared" si="207"/>
        <v>0</v>
      </c>
      <c r="BG218" s="241">
        <f t="shared" si="208"/>
        <v>0</v>
      </c>
      <c r="BH218" s="27">
        <f t="shared" si="208"/>
        <v>0</v>
      </c>
      <c r="BI218" s="28">
        <f t="shared" si="208"/>
        <v>0</v>
      </c>
      <c r="BK218" s="448">
        <f t="shared" si="185"/>
        <v>0</v>
      </c>
      <c r="BL218" s="448">
        <f t="shared" si="186"/>
        <v>0</v>
      </c>
      <c r="BM218" s="448">
        <f t="shared" si="187"/>
        <v>0</v>
      </c>
      <c r="BN218" s="448">
        <f t="shared" ca="1" si="188"/>
        <v>0</v>
      </c>
    </row>
    <row r="219" spans="1:66" s="29" customFormat="1" hidden="1" outlineLevel="1" x14ac:dyDescent="0.3">
      <c r="A219" s="22" t="s">
        <v>260</v>
      </c>
      <c r="B219" s="2"/>
      <c r="C219" s="24" t="s">
        <v>69</v>
      </c>
      <c r="D219" s="25"/>
      <c r="E219" s="25"/>
      <c r="F219" s="41"/>
      <c r="G219" s="33"/>
      <c r="H219" s="241">
        <v>-1884</v>
      </c>
      <c r="I219" s="27">
        <v>-1921.68</v>
      </c>
      <c r="J219" s="28">
        <f>(SUMIFS(Aut_BlueMe_Sem_Pedido!$J:$J,Aut_BlueMe_Sem_Pedido!$Q:$Q,DRE!H$4,Aut_BlueMe_Sem_Pedido!$H:$H,DRE!$A219)*10)/12+SUMIFS(Aut_Ajustes_Manuais!$G:$G,Aut_Ajustes_Manuais!$I:$I,DRE!H$4,Aut_Ajustes_Manuais!$F:$F,"IPTU")</f>
        <v>-2446.4083333333333</v>
      </c>
      <c r="K219" s="241">
        <v>-1884</v>
      </c>
      <c r="L219" s="27">
        <v>-1921.68</v>
      </c>
      <c r="M219" s="28">
        <f>(SUMIFS(Aut_BlueMe_Sem_Pedido!$J:$J,Aut_BlueMe_Sem_Pedido!$Q:$Q,DRE!K$4,Aut_BlueMe_Sem_Pedido!$H:$H,DRE!$A219)*10)/12+SUMIFS(Aut_Ajustes_Manuais!$G:$G,Aut_Ajustes_Manuais!$I:$I,DRE!K$4,Aut_Ajustes_Manuais!$F:$F,"IPTU")</f>
        <v>-2446.4083333333333</v>
      </c>
      <c r="N219" s="241">
        <v>-1884</v>
      </c>
      <c r="O219" s="27">
        <v>-1921.68</v>
      </c>
      <c r="P219" s="28">
        <f>(SUMIFS(Aut_BlueMe_Sem_Pedido!$J:$J,Aut_BlueMe_Sem_Pedido!$Q:$Q,DRE!N$4,Aut_BlueMe_Sem_Pedido!$H:$H,DRE!$A219)*11)/12+SUMIFS(Aut_Ajustes_Manuais!$G:$G,Aut_Ajustes_Manuais!$I:$I,DRE!N$4,Aut_Ajustes_Manuais!$F:$F,"IPTU")</f>
        <v>-2691.0491666666667</v>
      </c>
      <c r="Q219" s="241">
        <v>-1884</v>
      </c>
      <c r="R219" s="27">
        <v>-1921.68</v>
      </c>
      <c r="S219" s="28">
        <f>(SUMIFS(Aut_BlueMe_Sem_Pedido!$J:$J,Aut_BlueMe_Sem_Pedido!$Q:$Q,DRE!Q$4,Aut_BlueMe_Sem_Pedido!$H:$H,DRE!$A219)*11)/12+SUMIFS(Aut_Ajustes_Manuais!$G:$G,Aut_Ajustes_Manuais!$I:$I,DRE!Q$4,Aut_Ajustes_Manuais!$F:$F,"IPTU")</f>
        <v>-2691.0491666666667</v>
      </c>
      <c r="T219" s="241">
        <v>-1884</v>
      </c>
      <c r="U219" s="27">
        <v>-1921.68</v>
      </c>
      <c r="V219" s="28">
        <f>(SUMIFS(Aut_BlueMe_Sem_Pedido!$J:$J,Aut_BlueMe_Sem_Pedido!$Q:$Q,DRE!T$4,Aut_BlueMe_Sem_Pedido!$H:$H,DRE!$A219)*11)/12+SUMIFS(Aut_Ajustes_Manuais!$G:$G,Aut_Ajustes_Manuais!$I:$I,DRE!T$4,Aut_Ajustes_Manuais!$F:$F,"IPTU")</f>
        <v>-2691.0491666666667</v>
      </c>
      <c r="W219" s="241">
        <v>-1884</v>
      </c>
      <c r="X219" s="27">
        <v>-1921.68</v>
      </c>
      <c r="Y219" s="28">
        <f>(SUMIFS(Aut_BlueMe_Sem_Pedido!$J:$J,Aut_BlueMe_Sem_Pedido!$Q:$Q,DRE!W$4,Aut_BlueMe_Sem_Pedido!$H:$H,DRE!$A219)*11)/12+SUMIFS(Aut_Ajustes_Manuais!$G:$G,Aut_Ajustes_Manuais!$I:$I,DRE!W$4,Aut_Ajustes_Manuais!$F:$F,"IPTU")</f>
        <v>-2691.0491666666667</v>
      </c>
      <c r="Z219" s="241">
        <v>-1884</v>
      </c>
      <c r="AA219" s="27">
        <v>-1921.68</v>
      </c>
      <c r="AB219" s="28">
        <f>(SUMIFS(Aut_BlueMe_Sem_Pedido!$J:$J,Aut_BlueMe_Sem_Pedido!$Q:$Q,DRE!Z$4,Aut_BlueMe_Sem_Pedido!$H:$H,DRE!$A219)*11)/12+SUMIFS(Aut_Ajustes_Manuais!$G:$G,Aut_Ajustes_Manuais!$I:$I,DRE!Z$4,Aut_Ajustes_Manuais!$F:$F,"IPTU")</f>
        <v>-2691.0491666666667</v>
      </c>
      <c r="AC219" s="241">
        <v>-1884</v>
      </c>
      <c r="AD219" s="27">
        <v>-1921.68</v>
      </c>
      <c r="AE219" s="28">
        <f>(SUMIFS(Aut_BlueMe_Sem_Pedido!$J:$J,Aut_BlueMe_Sem_Pedido!$Q:$Q,DRE!AC$4,Aut_BlueMe_Sem_Pedido!$H:$H,DRE!$A219)*11)/12+SUMIFS(Aut_Ajustes_Manuais!$G:$G,Aut_Ajustes_Manuais!$I:$I,DRE!AC$4,Aut_Ajustes_Manuais!$F:$F,"IPTU")</f>
        <v>-2691.0491666666667</v>
      </c>
      <c r="AF219" s="241">
        <v>-1884</v>
      </c>
      <c r="AG219" s="27">
        <v>-1921.68</v>
      </c>
      <c r="AH219" s="28">
        <f>(SUMIFS(Aut_BlueMe_Sem_Pedido!$J:$J,Aut_BlueMe_Sem_Pedido!$Q:$Q,DRE!AF$4,Aut_BlueMe_Sem_Pedido!$H:$H,DRE!$A219)*11)/12+SUMIFS(Aut_Ajustes_Manuais!$G:$G,Aut_Ajustes_Manuais!$I:$I,DRE!AF$4,Aut_Ajustes_Manuais!$F:$F,"IPTU")</f>
        <v>-2691.0491666666667</v>
      </c>
      <c r="AI219" s="241">
        <v>-5968.27</v>
      </c>
      <c r="AJ219" s="27">
        <v>-1921.68</v>
      </c>
      <c r="AK219" s="28">
        <f>(SUMIFS(Aut_BlueMe_Sem_Pedido!$J:$J,Aut_BlueMe_Sem_Pedido!$Q:$Q,DRE!AI$4,Aut_BlueMe_Sem_Pedido!$H:$H,DRE!$A219)*11)/12+SUMIFS(Aut_Ajustes_Manuais!$G:$G,Aut_Ajustes_Manuais!$I:$I,DRE!AI$4,Aut_Ajustes_Manuais!$F:$F,"IPTU")</f>
        <v>-2691.0491666666667</v>
      </c>
      <c r="AL219" s="241">
        <v>-4601.7700000000004</v>
      </c>
      <c r="AM219" s="27">
        <v>-1921.68</v>
      </c>
      <c r="AN219" s="28">
        <f>(SUMIFS(Aut_BlueMe_Sem_Pedido!$J:$J,Aut_BlueMe_Sem_Pedido!$Q:$Q,DRE!AL$4,Aut_BlueMe_Sem_Pedido!$H:$H,DRE!$A219)*11)/12+SUMIFS(Aut_Ajustes_Manuais!$G:$G,Aut_Ajustes_Manuais!$I:$I,DRE!AL$4,Aut_Ajustes_Manuais!$F:$F,"IPTU")</f>
        <v>0</v>
      </c>
      <c r="AO219" s="241">
        <v>-4601.7700000000004</v>
      </c>
      <c r="AP219" s="27">
        <v>-1921.68</v>
      </c>
      <c r="AQ219" s="28">
        <f>(SUMIFS(Aut_BlueMe_Sem_Pedido!$J:$J,Aut_BlueMe_Sem_Pedido!$Q:$Q,DRE!AO$4,Aut_BlueMe_Sem_Pedido!$H:$H,DRE!$A219)*11)/12+SUMIFS(Aut_Ajustes_Manuais!$G:$G,Aut_Ajustes_Manuais!$I:$I,DRE!AO$4,Aut_Ajustes_Manuais!$F:$F,"IPTU")</f>
        <v>0</v>
      </c>
      <c r="AR219" s="241">
        <f t="shared" ca="1" si="201"/>
        <v>-11304</v>
      </c>
      <c r="AS219" s="27">
        <f t="shared" ca="1" si="202"/>
        <v>-11530.08</v>
      </c>
      <c r="AT219" s="28">
        <f t="shared" ca="1" si="203"/>
        <v>-15657.013333333336</v>
      </c>
      <c r="AU219" s="241">
        <f t="shared" si="204"/>
        <v>-32127.81</v>
      </c>
      <c r="AV219" s="27">
        <f t="shared" si="204"/>
        <v>-23060.16</v>
      </c>
      <c r="AW219" s="28">
        <f t="shared" si="204"/>
        <v>-26421.210000000006</v>
      </c>
      <c r="AX219" s="241">
        <f t="shared" si="205"/>
        <v>-5652</v>
      </c>
      <c r="AY219" s="27">
        <f t="shared" si="205"/>
        <v>-5765.04</v>
      </c>
      <c r="AZ219" s="28">
        <f t="shared" si="205"/>
        <v>-7583.8658333333333</v>
      </c>
      <c r="BA219" s="241">
        <f t="shared" si="206"/>
        <v>-5652</v>
      </c>
      <c r="BB219" s="27">
        <f t="shared" si="206"/>
        <v>-5765.04</v>
      </c>
      <c r="BC219" s="28">
        <f t="shared" si="206"/>
        <v>-8073.1475</v>
      </c>
      <c r="BD219" s="241">
        <f t="shared" si="207"/>
        <v>-5652</v>
      </c>
      <c r="BE219" s="27">
        <f t="shared" si="207"/>
        <v>-5765.04</v>
      </c>
      <c r="BF219" s="28">
        <f t="shared" si="207"/>
        <v>-8073.1475</v>
      </c>
      <c r="BG219" s="241">
        <f t="shared" si="208"/>
        <v>-15171.810000000001</v>
      </c>
      <c r="BH219" s="27">
        <f t="shared" si="208"/>
        <v>-5765.04</v>
      </c>
      <c r="BI219" s="28">
        <f t="shared" si="208"/>
        <v>-2691.0491666666667</v>
      </c>
      <c r="BK219" s="448">
        <f t="shared" si="185"/>
        <v>-23060.16</v>
      </c>
      <c r="BL219" s="448">
        <f t="shared" si="186"/>
        <v>0</v>
      </c>
      <c r="BM219" s="448">
        <f t="shared" si="187"/>
        <v>-12965.964166666668</v>
      </c>
      <c r="BN219" s="448">
        <f t="shared" ca="1" si="188"/>
        <v>2691.0491666666676</v>
      </c>
    </row>
    <row r="220" spans="1:66" s="29" customFormat="1" hidden="1" outlineLevel="1" x14ac:dyDescent="0.3">
      <c r="A220" s="22" t="s">
        <v>261</v>
      </c>
      <c r="B220" s="2"/>
      <c r="C220" s="24" t="s">
        <v>69</v>
      </c>
      <c r="D220" s="25"/>
      <c r="E220" s="25"/>
      <c r="F220" s="41"/>
      <c r="G220" s="33"/>
      <c r="H220" s="241">
        <v>0</v>
      </c>
      <c r="I220" s="27">
        <v>0</v>
      </c>
      <c r="J220" s="28">
        <f>SUMIFS(Aut_BlueMe_Sem_Pedido!$J:$J,Aut_BlueMe_Sem_Pedido!$Q:$Q,DRE!H$4,Aut_BlueMe_Sem_Pedido!$H:$H,DRE!$A220)+SUMIFS(Aut_Ajustes_Manuais!$G:$G,Aut_Ajustes_Manuais!$I:$I,DRE!H$4,Aut_Ajustes_Manuais!$F:$F,"Fundo de Promoção")</f>
        <v>0</v>
      </c>
      <c r="K220" s="241">
        <v>0</v>
      </c>
      <c r="L220" s="27">
        <v>0</v>
      </c>
      <c r="M220" s="28">
        <f>SUMIFS(Aut_BlueMe_Sem_Pedido!$J:$J,Aut_BlueMe_Sem_Pedido!$Q:$Q,DRE!K$4,Aut_BlueMe_Sem_Pedido!$H:$H,DRE!$A220)+SUMIFS(Aut_Ajustes_Manuais!$G:$G,Aut_Ajustes_Manuais!$I:$I,DRE!K$4,Aut_Ajustes_Manuais!$F:$F,"Fundo de Promoção")</f>
        <v>0</v>
      </c>
      <c r="N220" s="241">
        <v>0</v>
      </c>
      <c r="O220" s="27">
        <v>0</v>
      </c>
      <c r="P220" s="28">
        <f>SUMIFS(Aut_BlueMe_Sem_Pedido!$J:$J,Aut_BlueMe_Sem_Pedido!$Q:$Q,DRE!N$4,Aut_BlueMe_Sem_Pedido!$H:$H,DRE!$A220)+SUMIFS(Aut_Ajustes_Manuais!$G:$G,Aut_Ajustes_Manuais!$I:$I,DRE!N$4,Aut_Ajustes_Manuais!$F:$F,"Fundo de Promoção")</f>
        <v>0</v>
      </c>
      <c r="Q220" s="241">
        <v>0</v>
      </c>
      <c r="R220" s="27">
        <v>0</v>
      </c>
      <c r="S220" s="28">
        <f>SUMIFS(Aut_BlueMe_Sem_Pedido!$J:$J,Aut_BlueMe_Sem_Pedido!$Q:$Q,DRE!Q$4,Aut_BlueMe_Sem_Pedido!$H:$H,DRE!$A220)+SUMIFS(Aut_Ajustes_Manuais!$G:$G,Aut_Ajustes_Manuais!$I:$I,DRE!Q$4,Aut_Ajustes_Manuais!$F:$F,"Fundo de Promoção")</f>
        <v>0</v>
      </c>
      <c r="T220" s="241">
        <v>0</v>
      </c>
      <c r="U220" s="27">
        <v>0</v>
      </c>
      <c r="V220" s="28">
        <f>SUMIFS(Aut_BlueMe_Sem_Pedido!$J:$J,Aut_BlueMe_Sem_Pedido!$Q:$Q,DRE!T$4,Aut_BlueMe_Sem_Pedido!$H:$H,DRE!$A220)+SUMIFS(Aut_Ajustes_Manuais!$G:$G,Aut_Ajustes_Manuais!$I:$I,DRE!T$4,Aut_Ajustes_Manuais!$F:$F,"Fundo de Promoção")</f>
        <v>0</v>
      </c>
      <c r="W220" s="241">
        <v>0</v>
      </c>
      <c r="X220" s="27">
        <v>0</v>
      </c>
      <c r="Y220" s="28">
        <f>SUMIFS(Aut_BlueMe_Sem_Pedido!$J:$J,Aut_BlueMe_Sem_Pedido!$Q:$Q,DRE!W$4,Aut_BlueMe_Sem_Pedido!$H:$H,DRE!$A220)+SUMIFS(Aut_Ajustes_Manuais!$G:$G,Aut_Ajustes_Manuais!$I:$I,DRE!W$4,Aut_Ajustes_Manuais!$F:$F,"Fundo de Promoção")</f>
        <v>0</v>
      </c>
      <c r="Z220" s="241">
        <v>0</v>
      </c>
      <c r="AA220" s="27">
        <v>0</v>
      </c>
      <c r="AB220" s="28">
        <f>SUMIFS(Aut_BlueMe_Sem_Pedido!$J:$J,Aut_BlueMe_Sem_Pedido!$Q:$Q,DRE!Z$4,Aut_BlueMe_Sem_Pedido!$H:$H,DRE!$A220)+SUMIFS(Aut_Ajustes_Manuais!$G:$G,Aut_Ajustes_Manuais!$I:$I,DRE!Z$4,Aut_Ajustes_Manuais!$F:$F,"Fundo de Promoção")</f>
        <v>0</v>
      </c>
      <c r="AC220" s="241">
        <v>0</v>
      </c>
      <c r="AD220" s="27">
        <v>0</v>
      </c>
      <c r="AE220" s="28">
        <f>SUMIFS(Aut_BlueMe_Sem_Pedido!$J:$J,Aut_BlueMe_Sem_Pedido!$Q:$Q,DRE!AC$4,Aut_BlueMe_Sem_Pedido!$H:$H,DRE!$A220)+SUMIFS(Aut_Ajustes_Manuais!$G:$G,Aut_Ajustes_Manuais!$I:$I,DRE!AC$4,Aut_Ajustes_Manuais!$F:$F,"Fundo de Promoção")</f>
        <v>0</v>
      </c>
      <c r="AF220" s="241">
        <v>0</v>
      </c>
      <c r="AG220" s="27">
        <v>0</v>
      </c>
      <c r="AH220" s="28">
        <f>SUMIFS(Aut_BlueMe_Sem_Pedido!$J:$J,Aut_BlueMe_Sem_Pedido!$Q:$Q,DRE!AF$4,Aut_BlueMe_Sem_Pedido!$H:$H,DRE!$A220)+SUMIFS(Aut_Ajustes_Manuais!$G:$G,Aut_Ajustes_Manuais!$I:$I,DRE!AF$4,Aut_Ajustes_Manuais!$F:$F,"Fundo de Promoção")</f>
        <v>0</v>
      </c>
      <c r="AI220" s="241">
        <v>0</v>
      </c>
      <c r="AJ220" s="27">
        <v>0</v>
      </c>
      <c r="AK220" s="28">
        <f>SUMIFS(Aut_BlueMe_Sem_Pedido!$J:$J,Aut_BlueMe_Sem_Pedido!$Q:$Q,DRE!AI$4,Aut_BlueMe_Sem_Pedido!$H:$H,DRE!$A220)+SUMIFS(Aut_Ajustes_Manuais!$G:$G,Aut_Ajustes_Manuais!$I:$I,DRE!AI$4,Aut_Ajustes_Manuais!$F:$F,"Fundo de Promoção")</f>
        <v>0</v>
      </c>
      <c r="AL220" s="241">
        <v>0</v>
      </c>
      <c r="AM220" s="27">
        <v>0</v>
      </c>
      <c r="AN220" s="28">
        <f>SUMIFS(Aut_BlueMe_Sem_Pedido!$J:$J,Aut_BlueMe_Sem_Pedido!$Q:$Q,DRE!AL$4,Aut_BlueMe_Sem_Pedido!$H:$H,DRE!$A220)+SUMIFS(Aut_Ajustes_Manuais!$G:$G,Aut_Ajustes_Manuais!$I:$I,DRE!AL$4,Aut_Ajustes_Manuais!$F:$F,"Fundo de Promoção")</f>
        <v>0</v>
      </c>
      <c r="AO220" s="241">
        <v>0</v>
      </c>
      <c r="AP220" s="27">
        <v>0</v>
      </c>
      <c r="AQ220" s="28">
        <f>SUMIFS(Aut_BlueMe_Sem_Pedido!$J:$J,Aut_BlueMe_Sem_Pedido!$Q:$Q,DRE!AO$4,Aut_BlueMe_Sem_Pedido!$H:$H,DRE!$A220)+SUMIFS(Aut_Ajustes_Manuais!$G:$G,Aut_Ajustes_Manuais!$I:$I,DRE!AO$4,Aut_Ajustes_Manuais!$F:$F,"Fundo de Promoção")</f>
        <v>0</v>
      </c>
      <c r="AR220" s="241">
        <f t="shared" ca="1" si="201"/>
        <v>0</v>
      </c>
      <c r="AS220" s="27">
        <f t="shared" ca="1" si="202"/>
        <v>0</v>
      </c>
      <c r="AT220" s="28">
        <f t="shared" ca="1" si="203"/>
        <v>0</v>
      </c>
      <c r="AU220" s="241">
        <f t="shared" si="204"/>
        <v>0</v>
      </c>
      <c r="AV220" s="27">
        <f t="shared" si="204"/>
        <v>0</v>
      </c>
      <c r="AW220" s="28">
        <f t="shared" si="204"/>
        <v>0</v>
      </c>
      <c r="AX220" s="241">
        <f t="shared" si="205"/>
        <v>0</v>
      </c>
      <c r="AY220" s="27">
        <f t="shared" si="205"/>
        <v>0</v>
      </c>
      <c r="AZ220" s="28">
        <f t="shared" si="205"/>
        <v>0</v>
      </c>
      <c r="BA220" s="241">
        <f t="shared" si="206"/>
        <v>0</v>
      </c>
      <c r="BB220" s="27">
        <f t="shared" si="206"/>
        <v>0</v>
      </c>
      <c r="BC220" s="28">
        <f t="shared" si="206"/>
        <v>0</v>
      </c>
      <c r="BD220" s="241">
        <f t="shared" si="207"/>
        <v>0</v>
      </c>
      <c r="BE220" s="27">
        <f t="shared" si="207"/>
        <v>0</v>
      </c>
      <c r="BF220" s="28">
        <f t="shared" si="207"/>
        <v>0</v>
      </c>
      <c r="BG220" s="241">
        <f t="shared" si="208"/>
        <v>0</v>
      </c>
      <c r="BH220" s="27">
        <f t="shared" si="208"/>
        <v>0</v>
      </c>
      <c r="BI220" s="28">
        <f t="shared" si="208"/>
        <v>0</v>
      </c>
      <c r="BK220" s="448">
        <f t="shared" si="185"/>
        <v>0</v>
      </c>
      <c r="BL220" s="448">
        <f t="shared" si="186"/>
        <v>0</v>
      </c>
      <c r="BM220" s="448">
        <f t="shared" si="187"/>
        <v>0</v>
      </c>
      <c r="BN220" s="448">
        <f t="shared" ca="1" si="188"/>
        <v>0</v>
      </c>
    </row>
    <row r="221" spans="1:66" s="29" customFormat="1" hidden="1" outlineLevel="1" x14ac:dyDescent="0.3">
      <c r="A221" s="22" t="s">
        <v>262</v>
      </c>
      <c r="B221" s="2"/>
      <c r="C221" s="24" t="s">
        <v>62</v>
      </c>
      <c r="D221" s="25"/>
      <c r="E221" s="25"/>
      <c r="F221" s="41"/>
      <c r="G221" s="33"/>
      <c r="H221" s="241">
        <v>0</v>
      </c>
      <c r="I221" s="27">
        <v>0</v>
      </c>
      <c r="J221" s="28">
        <f>SUMIFS(Aut_BlueMe_Sem_Pedido!$J:$J,Aut_BlueMe_Sem_Pedido!$Q:$Q,DRE!H$4,Aut_BlueMe_Sem_Pedido!$H:$H,DRE!$A221)+SUMIFS(Aut_Ajustes_Manuais!$G:$G,Aut_Ajustes_Manuais!$I:$I,DRE!H$4,Aut_Ajustes_Manuais!$F:$F,"Seguro Patrimonial")</f>
        <v>-182.27</v>
      </c>
      <c r="K221" s="241">
        <v>0</v>
      </c>
      <c r="L221" s="27">
        <v>0</v>
      </c>
      <c r="M221" s="28">
        <f>SUMIFS(Aut_BlueMe_Sem_Pedido!$J:$J,Aut_BlueMe_Sem_Pedido!$Q:$Q,DRE!K$4,Aut_BlueMe_Sem_Pedido!$H:$H,DRE!$A221)+SUMIFS(Aut_Ajustes_Manuais!$G:$G,Aut_Ajustes_Manuais!$I:$I,DRE!K$4,Aut_Ajustes_Manuais!$F:$F,"Seguro Patrimonial")</f>
        <v>0</v>
      </c>
      <c r="N221" s="241">
        <v>0</v>
      </c>
      <c r="O221" s="27">
        <v>0</v>
      </c>
      <c r="P221" s="28">
        <f>SUMIFS(Aut_BlueMe_Sem_Pedido!$J:$J,Aut_BlueMe_Sem_Pedido!$Q:$Q,DRE!N$4,Aut_BlueMe_Sem_Pedido!$H:$H,DRE!$A221)+SUMIFS(Aut_Ajustes_Manuais!$G:$G,Aut_Ajustes_Manuais!$I:$I,DRE!N$4,Aut_Ajustes_Manuais!$F:$F,"Seguro Patrimonial")</f>
        <v>0</v>
      </c>
      <c r="Q221" s="241">
        <v>0</v>
      </c>
      <c r="R221" s="27">
        <v>0</v>
      </c>
      <c r="S221" s="28">
        <f>SUMIFS(Aut_BlueMe_Sem_Pedido!$J:$J,Aut_BlueMe_Sem_Pedido!$Q:$Q,DRE!Q$4,Aut_BlueMe_Sem_Pedido!$H:$H,DRE!$A221)+SUMIFS(Aut_Ajustes_Manuais!$G:$G,Aut_Ajustes_Manuais!$I:$I,DRE!Q$4,Aut_Ajustes_Manuais!$F:$F,"Seguro Patrimonial")</f>
        <v>0</v>
      </c>
      <c r="T221" s="241">
        <v>0</v>
      </c>
      <c r="U221" s="27">
        <v>0</v>
      </c>
      <c r="V221" s="28">
        <f>SUMIFS(Aut_BlueMe_Sem_Pedido!$J:$J,Aut_BlueMe_Sem_Pedido!$Q:$Q,DRE!T$4,Aut_BlueMe_Sem_Pedido!$H:$H,DRE!$A221)+SUMIFS(Aut_Ajustes_Manuais!$G:$G,Aut_Ajustes_Manuais!$I:$I,DRE!T$4,Aut_Ajustes_Manuais!$F:$F,"Seguro Patrimonial")</f>
        <v>0</v>
      </c>
      <c r="W221" s="241">
        <v>0</v>
      </c>
      <c r="X221" s="27">
        <v>0</v>
      </c>
      <c r="Y221" s="28">
        <f>SUMIFS(Aut_BlueMe_Sem_Pedido!$J:$J,Aut_BlueMe_Sem_Pedido!$Q:$Q,DRE!W$4,Aut_BlueMe_Sem_Pedido!$H:$H,DRE!$A221)+SUMIFS(Aut_Ajustes_Manuais!$G:$G,Aut_Ajustes_Manuais!$I:$I,DRE!W$4,Aut_Ajustes_Manuais!$F:$F,"Seguro Patrimonial")</f>
        <v>0</v>
      </c>
      <c r="Z221" s="241">
        <v>0</v>
      </c>
      <c r="AA221" s="27">
        <v>0</v>
      </c>
      <c r="AB221" s="28">
        <f>SUMIFS(Aut_BlueMe_Sem_Pedido!$J:$J,Aut_BlueMe_Sem_Pedido!$Q:$Q,DRE!Z$4,Aut_BlueMe_Sem_Pedido!$H:$H,DRE!$A221)+SUMIFS(Aut_Ajustes_Manuais!$G:$G,Aut_Ajustes_Manuais!$I:$I,DRE!Z$4,Aut_Ajustes_Manuais!$F:$F,"Seguro Patrimonial")</f>
        <v>0</v>
      </c>
      <c r="AC221" s="241">
        <v>-182.3</v>
      </c>
      <c r="AD221" s="27">
        <v>0</v>
      </c>
      <c r="AE221" s="28">
        <f>SUMIFS(Aut_BlueMe_Sem_Pedido!$J:$J,Aut_BlueMe_Sem_Pedido!$Q:$Q,DRE!AC$4,Aut_BlueMe_Sem_Pedido!$H:$H,DRE!$A221)+SUMIFS(Aut_Ajustes_Manuais!$G:$G,Aut_Ajustes_Manuais!$I:$I,DRE!AC$4,Aut_Ajustes_Manuais!$F:$F,"Seguro Patrimonial")</f>
        <v>0</v>
      </c>
      <c r="AF221" s="241">
        <v>-182.27</v>
      </c>
      <c r="AG221" s="27">
        <v>0</v>
      </c>
      <c r="AH221" s="28">
        <f>SUMIFS(Aut_BlueMe_Sem_Pedido!$J:$J,Aut_BlueMe_Sem_Pedido!$Q:$Q,DRE!AF$4,Aut_BlueMe_Sem_Pedido!$H:$H,DRE!$A221)+SUMIFS(Aut_Ajustes_Manuais!$G:$G,Aut_Ajustes_Manuais!$I:$I,DRE!AF$4,Aut_Ajustes_Manuais!$F:$F,"Seguro Patrimonial")</f>
        <v>0</v>
      </c>
      <c r="AI221" s="241">
        <v>-940.61</v>
      </c>
      <c r="AJ221" s="27">
        <v>0</v>
      </c>
      <c r="AK221" s="28">
        <f>SUMIFS(Aut_BlueMe_Sem_Pedido!$J:$J,Aut_BlueMe_Sem_Pedido!$Q:$Q,DRE!AI$4,Aut_BlueMe_Sem_Pedido!$H:$H,DRE!$A221)+SUMIFS(Aut_Ajustes_Manuais!$G:$G,Aut_Ajustes_Manuais!$I:$I,DRE!AI$4,Aut_Ajustes_Manuais!$F:$F,"Seguro Patrimonial")</f>
        <v>0</v>
      </c>
      <c r="AL221" s="241">
        <v>-940.61</v>
      </c>
      <c r="AM221" s="27">
        <v>0</v>
      </c>
      <c r="AN221" s="28">
        <f>SUMIFS(Aut_BlueMe_Sem_Pedido!$J:$J,Aut_BlueMe_Sem_Pedido!$Q:$Q,DRE!AL$4,Aut_BlueMe_Sem_Pedido!$H:$H,DRE!$A221)+SUMIFS(Aut_Ajustes_Manuais!$G:$G,Aut_Ajustes_Manuais!$I:$I,DRE!AL$4,Aut_Ajustes_Manuais!$F:$F,"Seguro Patrimonial")</f>
        <v>0</v>
      </c>
      <c r="AO221" s="241">
        <v>-182.27</v>
      </c>
      <c r="AP221" s="27">
        <v>0</v>
      </c>
      <c r="AQ221" s="28">
        <f>SUMIFS(Aut_BlueMe_Sem_Pedido!$J:$J,Aut_BlueMe_Sem_Pedido!$Q:$Q,DRE!AO$4,Aut_BlueMe_Sem_Pedido!$H:$H,DRE!$A221)+SUMIFS(Aut_Ajustes_Manuais!$G:$G,Aut_Ajustes_Manuais!$I:$I,DRE!AO$4,Aut_Ajustes_Manuais!$F:$F,"Seguro Patrimonial")</f>
        <v>0</v>
      </c>
      <c r="AR221" s="241">
        <f t="shared" ca="1" si="201"/>
        <v>0</v>
      </c>
      <c r="AS221" s="27">
        <f t="shared" ca="1" si="202"/>
        <v>0</v>
      </c>
      <c r="AT221" s="28">
        <f t="shared" ca="1" si="203"/>
        <v>-182.27</v>
      </c>
      <c r="AU221" s="241">
        <f t="shared" si="204"/>
        <v>-2428.06</v>
      </c>
      <c r="AV221" s="27">
        <f t="shared" si="204"/>
        <v>0</v>
      </c>
      <c r="AW221" s="28">
        <f t="shared" si="204"/>
        <v>-182.27</v>
      </c>
      <c r="AX221" s="241">
        <f t="shared" si="205"/>
        <v>0</v>
      </c>
      <c r="AY221" s="27">
        <f t="shared" si="205"/>
        <v>0</v>
      </c>
      <c r="AZ221" s="28">
        <f t="shared" si="205"/>
        <v>-182.27</v>
      </c>
      <c r="BA221" s="241">
        <f t="shared" si="206"/>
        <v>0</v>
      </c>
      <c r="BB221" s="27">
        <f t="shared" si="206"/>
        <v>0</v>
      </c>
      <c r="BC221" s="28">
        <f t="shared" si="206"/>
        <v>0</v>
      </c>
      <c r="BD221" s="241">
        <f t="shared" si="207"/>
        <v>-364.57000000000005</v>
      </c>
      <c r="BE221" s="27">
        <f t="shared" si="207"/>
        <v>0</v>
      </c>
      <c r="BF221" s="28">
        <f t="shared" si="207"/>
        <v>0</v>
      </c>
      <c r="BG221" s="241">
        <f t="shared" si="208"/>
        <v>-2063.4900000000002</v>
      </c>
      <c r="BH221" s="27">
        <f t="shared" si="208"/>
        <v>0</v>
      </c>
      <c r="BI221" s="28">
        <f t="shared" si="208"/>
        <v>0</v>
      </c>
      <c r="BK221" s="448">
        <f t="shared" si="185"/>
        <v>0</v>
      </c>
      <c r="BL221" s="448">
        <f t="shared" si="186"/>
        <v>0</v>
      </c>
      <c r="BM221" s="448">
        <f t="shared" si="187"/>
        <v>-182.27</v>
      </c>
      <c r="BN221" s="448">
        <f t="shared" ca="1" si="188"/>
        <v>0</v>
      </c>
    </row>
    <row r="222" spans="1:66" s="29" customFormat="1" ht="16.2" hidden="1" customHeight="1" outlineLevel="1" x14ac:dyDescent="0.3">
      <c r="A222" s="22" t="s">
        <v>263</v>
      </c>
      <c r="B222" s="2"/>
      <c r="C222" s="24" t="s">
        <v>62</v>
      </c>
      <c r="D222" s="25"/>
      <c r="E222" s="55"/>
      <c r="F222" s="41"/>
      <c r="G222" s="33"/>
      <c r="H222" s="241">
        <v>-12000</v>
      </c>
      <c r="I222" s="27">
        <v>-12000</v>
      </c>
      <c r="J222" s="28">
        <f>SUMIFS(Aut_BlueMe_Sem_Pedido!$J:$J,Aut_BlueMe_Sem_Pedido!$Q:$Q,DRE!H$4,Aut_BlueMe_Sem_Pedido!$H:$H,DRE!$A222)+SUMIFS(Aut_Ajustes_Manuais!$G:$G,Aut_Ajustes_Manuais!$I:$I,DRE!H$4,Aut_Ajustes_Manuais!$F:$F,"Arrendamento")</f>
        <v>-12000</v>
      </c>
      <c r="K222" s="241">
        <v>-12000</v>
      </c>
      <c r="L222" s="27">
        <v>-12000</v>
      </c>
      <c r="M222" s="28">
        <f>SUMIFS(Aut_BlueMe_Sem_Pedido!$J:$J,Aut_BlueMe_Sem_Pedido!$Q:$Q,DRE!K$4,Aut_BlueMe_Sem_Pedido!$H:$H,DRE!$A222)+SUMIFS(Aut_Ajustes_Manuais!$G:$G,Aut_Ajustes_Manuais!$I:$I,DRE!K$4,Aut_Ajustes_Manuais!$F:$F,"Arrendamento")</f>
        <v>-12000</v>
      </c>
      <c r="N222" s="241">
        <v>-12000</v>
      </c>
      <c r="O222" s="27">
        <v>-12000</v>
      </c>
      <c r="P222" s="28">
        <f>SUMIFS(Aut_BlueMe_Sem_Pedido!$J:$J,Aut_BlueMe_Sem_Pedido!$Q:$Q,DRE!N$4,Aut_BlueMe_Sem_Pedido!$H:$H,DRE!$A222)+SUMIFS(Aut_Ajustes_Manuais!$G:$G,Aut_Ajustes_Manuais!$I:$I,DRE!N$4,Aut_Ajustes_Manuais!$F:$F,"Arrendamento")</f>
        <v>-12000</v>
      </c>
      <c r="Q222" s="241">
        <v>-12000</v>
      </c>
      <c r="R222" s="27">
        <v>-12000</v>
      </c>
      <c r="S222" s="28">
        <f>SUMIFS(Aut_BlueMe_Sem_Pedido!$J:$J,Aut_BlueMe_Sem_Pedido!$Q:$Q,DRE!Q$4,Aut_BlueMe_Sem_Pedido!$H:$H,DRE!$A222)+SUMIFS(Aut_Ajustes_Manuais!$G:$G,Aut_Ajustes_Manuais!$I:$I,DRE!Q$4,Aut_Ajustes_Manuais!$F:$F,"Arrendamento")</f>
        <v>-12000</v>
      </c>
      <c r="T222" s="241">
        <v>-12000</v>
      </c>
      <c r="U222" s="27">
        <v>-12000</v>
      </c>
      <c r="V222" s="28">
        <f>SUMIFS(Aut_BlueMe_Sem_Pedido!$J:$J,Aut_BlueMe_Sem_Pedido!$Q:$Q,DRE!T$4,Aut_BlueMe_Sem_Pedido!$H:$H,DRE!$A222)+SUMIFS(Aut_Ajustes_Manuais!$G:$G,Aut_Ajustes_Manuais!$I:$I,DRE!T$4,Aut_Ajustes_Manuais!$F:$F,"Arrendamento")</f>
        <v>-12000</v>
      </c>
      <c r="W222" s="241">
        <v>-12000</v>
      </c>
      <c r="X222" s="27">
        <v>-12000</v>
      </c>
      <c r="Y222" s="28">
        <f>SUMIFS(Aut_BlueMe_Sem_Pedido!$J:$J,Aut_BlueMe_Sem_Pedido!$Q:$Q,DRE!W$4,Aut_BlueMe_Sem_Pedido!$H:$H,DRE!$A222)+SUMIFS(Aut_Ajustes_Manuais!$G:$G,Aut_Ajustes_Manuais!$I:$I,DRE!W$4,Aut_Ajustes_Manuais!$F:$F,"Arrendamento")</f>
        <v>-12000</v>
      </c>
      <c r="Z222" s="241">
        <v>-12000</v>
      </c>
      <c r="AA222" s="27">
        <v>-12000</v>
      </c>
      <c r="AB222" s="28">
        <f>SUMIFS(Aut_BlueMe_Sem_Pedido!$J:$J,Aut_BlueMe_Sem_Pedido!$Q:$Q,DRE!Z$4,Aut_BlueMe_Sem_Pedido!$H:$H,DRE!$A222)+SUMIFS(Aut_Ajustes_Manuais!$G:$G,Aut_Ajustes_Manuais!$I:$I,DRE!Z$4,Aut_Ajustes_Manuais!$F:$F,"Arrendamento")</f>
        <v>-12000</v>
      </c>
      <c r="AC222" s="241">
        <v>-12000</v>
      </c>
      <c r="AD222" s="27">
        <v>-12000</v>
      </c>
      <c r="AE222" s="28">
        <f>SUMIFS(Aut_BlueMe_Sem_Pedido!$J:$J,Aut_BlueMe_Sem_Pedido!$Q:$Q,DRE!AC$4,Aut_BlueMe_Sem_Pedido!$H:$H,DRE!$A222)+SUMIFS(Aut_Ajustes_Manuais!$G:$G,Aut_Ajustes_Manuais!$I:$I,DRE!AC$4,Aut_Ajustes_Manuais!$F:$F,"Arrendamento")</f>
        <v>-12000</v>
      </c>
      <c r="AF222" s="241">
        <v>-12000</v>
      </c>
      <c r="AG222" s="27">
        <v>-12000</v>
      </c>
      <c r="AH222" s="28">
        <f>SUMIFS(Aut_BlueMe_Sem_Pedido!$J:$J,Aut_BlueMe_Sem_Pedido!$Q:$Q,DRE!AF$4,Aut_BlueMe_Sem_Pedido!$H:$H,DRE!$A222)+SUMIFS(Aut_Ajustes_Manuais!$G:$G,Aut_Ajustes_Manuais!$I:$I,DRE!AF$4,Aut_Ajustes_Manuais!$F:$F,"Arrendamento")</f>
        <v>-12000</v>
      </c>
      <c r="AI222" s="241">
        <v>-12000</v>
      </c>
      <c r="AJ222" s="27">
        <v>-12000</v>
      </c>
      <c r="AK222" s="28">
        <f>SUMIFS(Aut_BlueMe_Sem_Pedido!$J:$J,Aut_BlueMe_Sem_Pedido!$Q:$Q,DRE!AI$4,Aut_BlueMe_Sem_Pedido!$H:$H,DRE!$A222)+SUMIFS(Aut_Ajustes_Manuais!$G:$G,Aut_Ajustes_Manuais!$I:$I,DRE!AI$4,Aut_Ajustes_Manuais!$F:$F,"Arrendamento")</f>
        <v>-12000</v>
      </c>
      <c r="AL222" s="241">
        <v>-12000</v>
      </c>
      <c r="AM222" s="27">
        <v>-12000</v>
      </c>
      <c r="AN222" s="28">
        <f>SUMIFS(Aut_BlueMe_Sem_Pedido!$J:$J,Aut_BlueMe_Sem_Pedido!$Q:$Q,DRE!AL$4,Aut_BlueMe_Sem_Pedido!$H:$H,DRE!$A222)+SUMIFS(Aut_Ajustes_Manuais!$G:$G,Aut_Ajustes_Manuais!$I:$I,DRE!AL$4,Aut_Ajustes_Manuais!$F:$F,"Arrendamento")</f>
        <v>-12000</v>
      </c>
      <c r="AO222" s="241">
        <v>-12000</v>
      </c>
      <c r="AP222" s="27">
        <v>-12000</v>
      </c>
      <c r="AQ222" s="28">
        <f>SUMIFS(Aut_BlueMe_Sem_Pedido!$J:$J,Aut_BlueMe_Sem_Pedido!$Q:$Q,DRE!AO$4,Aut_BlueMe_Sem_Pedido!$H:$H,DRE!$A222)+SUMIFS(Aut_Ajustes_Manuais!$G:$G,Aut_Ajustes_Manuais!$I:$I,DRE!AO$4,Aut_Ajustes_Manuais!$F:$F,"Arrendamento")</f>
        <v>-12000</v>
      </c>
      <c r="AR222" s="241">
        <f t="shared" ca="1" si="201"/>
        <v>-72000</v>
      </c>
      <c r="AS222" s="27">
        <f t="shared" ca="1" si="202"/>
        <v>-72000</v>
      </c>
      <c r="AT222" s="28">
        <f t="shared" ca="1" si="203"/>
        <v>-72000</v>
      </c>
      <c r="AU222" s="241">
        <f t="shared" si="204"/>
        <v>-144000</v>
      </c>
      <c r="AV222" s="27">
        <f t="shared" si="204"/>
        <v>-144000</v>
      </c>
      <c r="AW222" s="28">
        <f t="shared" si="204"/>
        <v>-144000</v>
      </c>
      <c r="AX222" s="241">
        <f t="shared" si="205"/>
        <v>-36000</v>
      </c>
      <c r="AY222" s="27">
        <f t="shared" si="205"/>
        <v>-36000</v>
      </c>
      <c r="AZ222" s="28">
        <f t="shared" si="205"/>
        <v>-36000</v>
      </c>
      <c r="BA222" s="241">
        <f t="shared" si="206"/>
        <v>-36000</v>
      </c>
      <c r="BB222" s="27">
        <f t="shared" si="206"/>
        <v>-36000</v>
      </c>
      <c r="BC222" s="28">
        <f t="shared" si="206"/>
        <v>-36000</v>
      </c>
      <c r="BD222" s="241">
        <f t="shared" si="207"/>
        <v>-36000</v>
      </c>
      <c r="BE222" s="27">
        <f t="shared" si="207"/>
        <v>-36000</v>
      </c>
      <c r="BF222" s="28">
        <f t="shared" si="207"/>
        <v>-36000</v>
      </c>
      <c r="BG222" s="241">
        <f t="shared" si="208"/>
        <v>-36000</v>
      </c>
      <c r="BH222" s="27">
        <f t="shared" si="208"/>
        <v>-36000</v>
      </c>
      <c r="BI222" s="28">
        <f t="shared" si="208"/>
        <v>-36000</v>
      </c>
      <c r="BK222" s="448">
        <f t="shared" si="185"/>
        <v>-144000</v>
      </c>
      <c r="BL222" s="448">
        <f t="shared" si="186"/>
        <v>0</v>
      </c>
      <c r="BM222" s="448">
        <f t="shared" si="187"/>
        <v>-60000</v>
      </c>
      <c r="BN222" s="448">
        <f t="shared" ca="1" si="188"/>
        <v>12000</v>
      </c>
    </row>
    <row r="223" spans="1:66" s="29" customFormat="1" hidden="1" outlineLevel="1" x14ac:dyDescent="0.3">
      <c r="A223" s="22" t="s">
        <v>264</v>
      </c>
      <c r="B223" s="2"/>
      <c r="C223" s="24" t="s">
        <v>62</v>
      </c>
      <c r="D223" s="111"/>
      <c r="E223" s="55"/>
      <c r="F223" s="41"/>
      <c r="G223" s="33"/>
      <c r="H223" s="241">
        <v>0</v>
      </c>
      <c r="I223" s="27">
        <v>0</v>
      </c>
      <c r="J223" s="28">
        <f>SUMIFS(Aut_BlueMe_Sem_Pedido!$J:$J,Aut_BlueMe_Sem_Pedido!$Q:$Q,DRE!H$4,Aut_BlueMe_Sem_Pedido!$H:$H,DRE!$A223)+SUMIFS(Aut_Ajustes_Manuais!$G:$G,Aut_Ajustes_Manuais!$I:$I,DRE!H$4,Aut_Ajustes_Manuais!$F:$F,"Taxas publicas administrativas - Ocupação")</f>
        <v>0</v>
      </c>
      <c r="K223" s="241">
        <v>0</v>
      </c>
      <c r="L223" s="27">
        <v>0</v>
      </c>
      <c r="M223" s="28">
        <f>SUMIFS(Aut_BlueMe_Sem_Pedido!$J:$J,Aut_BlueMe_Sem_Pedido!$Q:$Q,DRE!K$4,Aut_BlueMe_Sem_Pedido!$H:$H,DRE!$A223)+SUMIFS(Aut_Ajustes_Manuais!$G:$G,Aut_Ajustes_Manuais!$I:$I,DRE!K$4,Aut_Ajustes_Manuais!$F:$F,"Taxas publicas administrativas - Ocupação")</f>
        <v>0</v>
      </c>
      <c r="N223" s="241">
        <v>0</v>
      </c>
      <c r="O223" s="27">
        <v>0</v>
      </c>
      <c r="P223" s="28">
        <f>SUMIFS(Aut_BlueMe_Sem_Pedido!$J:$J,Aut_BlueMe_Sem_Pedido!$Q:$Q,DRE!N$4,Aut_BlueMe_Sem_Pedido!$H:$H,DRE!$A223)+SUMIFS(Aut_Ajustes_Manuais!$G:$G,Aut_Ajustes_Manuais!$I:$I,DRE!N$4,Aut_Ajustes_Manuais!$F:$F,"Taxas publicas administrativas - Ocupação")</f>
        <v>0</v>
      </c>
      <c r="Q223" s="241">
        <v>0</v>
      </c>
      <c r="R223" s="27">
        <v>0</v>
      </c>
      <c r="S223" s="28">
        <f>SUMIFS(Aut_BlueMe_Sem_Pedido!$J:$J,Aut_BlueMe_Sem_Pedido!$Q:$Q,DRE!Q$4,Aut_BlueMe_Sem_Pedido!$H:$H,DRE!$A223)+SUMIFS(Aut_Ajustes_Manuais!$G:$G,Aut_Ajustes_Manuais!$I:$I,DRE!Q$4,Aut_Ajustes_Manuais!$F:$F,"Taxas publicas administrativas - Ocupação")</f>
        <v>0</v>
      </c>
      <c r="T223" s="241">
        <v>0</v>
      </c>
      <c r="U223" s="27">
        <v>0</v>
      </c>
      <c r="V223" s="28">
        <f>SUMIFS(Aut_BlueMe_Sem_Pedido!$J:$J,Aut_BlueMe_Sem_Pedido!$Q:$Q,DRE!T$4,Aut_BlueMe_Sem_Pedido!$H:$H,DRE!$A223)+SUMIFS(Aut_Ajustes_Manuais!$G:$G,Aut_Ajustes_Manuais!$I:$I,DRE!T$4,Aut_Ajustes_Manuais!$F:$F,"Taxas publicas administrativas - Ocupação")</f>
        <v>0</v>
      </c>
      <c r="W223" s="241">
        <v>-226.68</v>
      </c>
      <c r="X223" s="27">
        <v>0</v>
      </c>
      <c r="Y223" s="28">
        <f>SUMIFS(Aut_BlueMe_Sem_Pedido!$J:$J,Aut_BlueMe_Sem_Pedido!$Q:$Q,DRE!W$4,Aut_BlueMe_Sem_Pedido!$H:$H,DRE!$A223)+SUMIFS(Aut_Ajustes_Manuais!$G:$G,Aut_Ajustes_Manuais!$I:$I,DRE!W$4,Aut_Ajustes_Manuais!$F:$F,"Taxas publicas administrativas - Ocupação")</f>
        <v>-236.35</v>
      </c>
      <c r="Z223" s="241">
        <v>0</v>
      </c>
      <c r="AA223" s="27">
        <v>0</v>
      </c>
      <c r="AB223" s="28">
        <f>SUMIFS(Aut_BlueMe_Sem_Pedido!$J:$J,Aut_BlueMe_Sem_Pedido!$Q:$Q,DRE!Z$4,Aut_BlueMe_Sem_Pedido!$H:$H,DRE!$A223)+SUMIFS(Aut_Ajustes_Manuais!$G:$G,Aut_Ajustes_Manuais!$I:$I,DRE!Z$4,Aut_Ajustes_Manuais!$F:$F,"Taxas publicas administrativas - Ocupação")</f>
        <v>0</v>
      </c>
      <c r="AC223" s="241">
        <v>0</v>
      </c>
      <c r="AD223" s="27">
        <v>0</v>
      </c>
      <c r="AE223" s="28">
        <f>SUMIFS(Aut_BlueMe_Sem_Pedido!$J:$J,Aut_BlueMe_Sem_Pedido!$Q:$Q,DRE!AC$4,Aut_BlueMe_Sem_Pedido!$H:$H,DRE!$A223)+SUMIFS(Aut_Ajustes_Manuais!$G:$G,Aut_Ajustes_Manuais!$I:$I,DRE!AC$4,Aut_Ajustes_Manuais!$F:$F,"Taxas publicas administrativas - Ocupação")</f>
        <v>0</v>
      </c>
      <c r="AF223" s="241">
        <v>0</v>
      </c>
      <c r="AG223" s="27">
        <v>0</v>
      </c>
      <c r="AH223" s="28">
        <f>SUMIFS(Aut_BlueMe_Sem_Pedido!$J:$J,Aut_BlueMe_Sem_Pedido!$Q:$Q,DRE!AF$4,Aut_BlueMe_Sem_Pedido!$H:$H,DRE!$A223)+SUMIFS(Aut_Ajustes_Manuais!$G:$G,Aut_Ajustes_Manuais!$I:$I,DRE!AF$4,Aut_Ajustes_Manuais!$F:$F,"Taxas publicas administrativas - Ocupação")</f>
        <v>0</v>
      </c>
      <c r="AI223" s="241">
        <v>0</v>
      </c>
      <c r="AJ223" s="27">
        <v>0</v>
      </c>
      <c r="AK223" s="28">
        <f>SUMIFS(Aut_BlueMe_Sem_Pedido!$J:$J,Aut_BlueMe_Sem_Pedido!$Q:$Q,DRE!AI$4,Aut_BlueMe_Sem_Pedido!$H:$H,DRE!$A223)+SUMIFS(Aut_Ajustes_Manuais!$G:$G,Aut_Ajustes_Manuais!$I:$I,DRE!AI$4,Aut_Ajustes_Manuais!$F:$F,"Taxas publicas administrativas - Ocupação")</f>
        <v>0</v>
      </c>
      <c r="AL223" s="241">
        <v>0</v>
      </c>
      <c r="AM223" s="27">
        <v>0</v>
      </c>
      <c r="AN223" s="28">
        <f>SUMIFS(Aut_BlueMe_Sem_Pedido!$J:$J,Aut_BlueMe_Sem_Pedido!$Q:$Q,DRE!AL$4,Aut_BlueMe_Sem_Pedido!$H:$H,DRE!$A223)+SUMIFS(Aut_Ajustes_Manuais!$G:$G,Aut_Ajustes_Manuais!$I:$I,DRE!AL$4,Aut_Ajustes_Manuais!$F:$F,"Taxas publicas administrativas - Ocupação")</f>
        <v>0</v>
      </c>
      <c r="AO223" s="241">
        <v>0</v>
      </c>
      <c r="AP223" s="27">
        <v>0</v>
      </c>
      <c r="AQ223" s="28">
        <f>SUMIFS(Aut_BlueMe_Sem_Pedido!$J:$J,Aut_BlueMe_Sem_Pedido!$Q:$Q,DRE!AO$4,Aut_BlueMe_Sem_Pedido!$H:$H,DRE!$A223)+SUMIFS(Aut_Ajustes_Manuais!$G:$G,Aut_Ajustes_Manuais!$I:$I,DRE!AO$4,Aut_Ajustes_Manuais!$F:$F,"Taxas publicas administrativas - Ocupação")</f>
        <v>0</v>
      </c>
      <c r="AR223" s="241">
        <f t="shared" ca="1" si="201"/>
        <v>-226.68</v>
      </c>
      <c r="AS223" s="27">
        <f t="shared" ca="1" si="202"/>
        <v>0</v>
      </c>
      <c r="AT223" s="28">
        <f t="shared" ca="1" si="203"/>
        <v>-236.35</v>
      </c>
      <c r="AU223" s="241">
        <f t="shared" si="204"/>
        <v>-226.68</v>
      </c>
      <c r="AV223" s="27">
        <f t="shared" si="204"/>
        <v>0</v>
      </c>
      <c r="AW223" s="28">
        <f t="shared" si="204"/>
        <v>-236.35</v>
      </c>
      <c r="AX223" s="241">
        <f t="shared" si="205"/>
        <v>0</v>
      </c>
      <c r="AY223" s="27">
        <f t="shared" si="205"/>
        <v>0</v>
      </c>
      <c r="AZ223" s="28">
        <f t="shared" si="205"/>
        <v>0</v>
      </c>
      <c r="BA223" s="241">
        <f t="shared" si="206"/>
        <v>-226.68</v>
      </c>
      <c r="BB223" s="27">
        <f t="shared" si="206"/>
        <v>0</v>
      </c>
      <c r="BC223" s="28">
        <f t="shared" si="206"/>
        <v>-236.35</v>
      </c>
      <c r="BD223" s="241">
        <f t="shared" si="207"/>
        <v>0</v>
      </c>
      <c r="BE223" s="27">
        <f t="shared" si="207"/>
        <v>0</v>
      </c>
      <c r="BF223" s="28">
        <f t="shared" si="207"/>
        <v>0</v>
      </c>
      <c r="BG223" s="241">
        <f t="shared" si="208"/>
        <v>0</v>
      </c>
      <c r="BH223" s="27">
        <f t="shared" si="208"/>
        <v>0</v>
      </c>
      <c r="BI223" s="28">
        <f t="shared" si="208"/>
        <v>0</v>
      </c>
      <c r="BK223" s="448">
        <f t="shared" si="185"/>
        <v>0</v>
      </c>
      <c r="BL223" s="448">
        <f t="shared" si="186"/>
        <v>0</v>
      </c>
      <c r="BM223" s="448">
        <f t="shared" si="187"/>
        <v>0</v>
      </c>
      <c r="BN223" s="448">
        <f t="shared" ca="1" si="188"/>
        <v>236.35</v>
      </c>
    </row>
    <row r="224" spans="1:66" collapsed="1" x14ac:dyDescent="0.3">
      <c r="A224" s="71" t="s">
        <v>46</v>
      </c>
      <c r="B224" s="59"/>
      <c r="C224" s="60"/>
      <c r="D224" s="61"/>
      <c r="E224" s="62"/>
      <c r="F224" s="63"/>
      <c r="G224" s="47"/>
      <c r="H224" s="245">
        <v>-0.12801774953878331</v>
      </c>
      <c r="I224" s="50">
        <v>-0.15315141718394279</v>
      </c>
      <c r="J224" s="51">
        <f>IFERROR(J216/J8,0)+SUMIFS(Aut_Ajustes_Manuais!$G:$G,Aut_Ajustes_Manuais!$I:$I,DRE!H$4,Aut_Ajustes_Manuais!$F:$F,"% sobre Receita Bruta")</f>
        <v>-0.12768147111943334</v>
      </c>
      <c r="K224" s="245">
        <v>-0.1410616090072809</v>
      </c>
      <c r="L224" s="50">
        <v>-0.16141894690248881</v>
      </c>
      <c r="M224" s="51">
        <f>IFERROR(M216/M8,0)+SUMIFS(Aut_Ajustes_Manuais!$G:$G,Aut_Ajustes_Manuais!$I:$I,DRE!K$4,Aut_Ajustes_Manuais!$F:$F,"% sobre Receita Bruta")</f>
        <v>-0.15504772907011571</v>
      </c>
      <c r="N224" s="245">
        <v>-0.1406659913726537</v>
      </c>
      <c r="O224" s="50">
        <v>-0.20120779452469931</v>
      </c>
      <c r="P224" s="51">
        <f>IFERROR(P216/P8,0)+SUMIFS(Aut_Ajustes_Manuais!$G:$G,Aut_Ajustes_Manuais!$I:$I,DRE!N$4,Aut_Ajustes_Manuais!$F:$F,"% sobre Receita Bruta")</f>
        <v>-0.1464068662929561</v>
      </c>
      <c r="Q224" s="245">
        <v>-0.13222819958703569</v>
      </c>
      <c r="R224" s="50">
        <v>-0.19334150368066949</v>
      </c>
      <c r="S224" s="51">
        <f>IFERROR(S216/S8,0)+SUMIFS(Aut_Ajustes_Manuais!$G:$G,Aut_Ajustes_Manuais!$I:$I,DRE!Q$4,Aut_Ajustes_Manuais!$F:$F,"% sobre Receita Bruta")</f>
        <v>-0.13368055428697923</v>
      </c>
      <c r="T224" s="245">
        <v>-9.9963731495820857E-2</v>
      </c>
      <c r="U224" s="50">
        <v>-0.1185121828162201</v>
      </c>
      <c r="V224" s="51">
        <f>IFERROR(V216/V8,0)+SUMIFS(Aut_Ajustes_Manuais!$G:$G,Aut_Ajustes_Manuais!$I:$I,DRE!T$4,Aut_Ajustes_Manuais!$F:$F,"% sobre Receita Bruta")</f>
        <v>-0.13249642276330301</v>
      </c>
      <c r="W224" s="245">
        <v>-0.13200155940805039</v>
      </c>
      <c r="X224" s="50">
        <v>-0.13293101414660999</v>
      </c>
      <c r="Y224" s="51">
        <f>IFERROR(Y216/Y8,0)+SUMIFS(Aut_Ajustes_Manuais!$G:$G,Aut_Ajustes_Manuais!$I:$I,DRE!W$4,Aut_Ajustes_Manuais!$F:$F,"% sobre Receita Bruta")</f>
        <v>-0.15568404568299671</v>
      </c>
      <c r="Z224" s="245">
        <v>-0.1223775924337043</v>
      </c>
      <c r="AA224" s="50">
        <v>-0.13420360300515091</v>
      </c>
      <c r="AB224" s="51">
        <f>IFERROR(AB216/AB8,0)+SUMIFS(Aut_Ajustes_Manuais!$G:$G,Aut_Ajustes_Manuais!$I:$I,DRE!Z$4,Aut_Ajustes_Manuais!$F:$F,"% sobre Receita Bruta")</f>
        <v>-0.70959192159073681</v>
      </c>
      <c r="AC224" s="245">
        <v>-0.1053296292290582</v>
      </c>
      <c r="AD224" s="50">
        <v>-0.1243535953701924</v>
      </c>
      <c r="AE224" s="51">
        <f>IFERROR(AE216/AE8,0)+SUMIFS(Aut_Ajustes_Manuais!$G:$G,Aut_Ajustes_Manuais!$I:$I,DRE!AC$4,Aut_Ajustes_Manuais!$F:$F,"% sobre Receita Bruta")</f>
        <v>0</v>
      </c>
      <c r="AF224" s="245">
        <v>-0.1241470087126461</v>
      </c>
      <c r="AG224" s="50">
        <v>-0.14271265174458159</v>
      </c>
      <c r="AH224" s="51">
        <f>IFERROR(AH216/AH8,0)+SUMIFS(Aut_Ajustes_Manuais!$G:$G,Aut_Ajustes_Manuais!$I:$I,DRE!AF$4,Aut_Ajustes_Manuais!$F:$F,"% sobre Receita Bruta")</f>
        <v>0</v>
      </c>
      <c r="AI224" s="245">
        <v>-0.13020021671323989</v>
      </c>
      <c r="AJ224" s="50">
        <v>-0.1468656231540503</v>
      </c>
      <c r="AK224" s="51">
        <f>IFERROR(AK216/AK8,0)+SUMIFS(Aut_Ajustes_Manuais!$G:$G,Aut_Ajustes_Manuais!$I:$I,DRE!AI$4,Aut_Ajustes_Manuais!$F:$F,"% sobre Receita Bruta")</f>
        <v>0</v>
      </c>
      <c r="AL224" s="245">
        <v>-0.1197209288162025</v>
      </c>
      <c r="AM224" s="50">
        <v>-0.12655452732738279</v>
      </c>
      <c r="AN224" s="51">
        <f>IFERROR(AN216/AN8,0)+SUMIFS(Aut_Ajustes_Manuais!$G:$G,Aut_Ajustes_Manuais!$I:$I,DRE!AL$4,Aut_Ajustes_Manuais!$F:$F,"% sobre Receita Bruta")</f>
        <v>0</v>
      </c>
      <c r="AO224" s="245">
        <v>-0.1036040408916829</v>
      </c>
      <c r="AP224" s="50">
        <v>-0.13982173213276841</v>
      </c>
      <c r="AQ224" s="51">
        <f>IFERROR(AQ216/AQ8,0)+SUMIFS(Aut_Ajustes_Manuais!$G:$G,Aut_Ajustes_Manuais!$I:$I,DRE!AO$4,Aut_Ajustes_Manuais!$F:$F,"% sobre Receita Bruta")</f>
        <v>0</v>
      </c>
      <c r="AR224" s="245">
        <f t="shared" ref="AR224:BI224" ca="1" si="209">IFERROR(AR216/AR8,0)</f>
        <v>-0.12725326807475845</v>
      </c>
      <c r="AS224" s="50">
        <f t="shared" ca="1" si="209"/>
        <v>-0.15453013984172062</v>
      </c>
      <c r="AT224" s="51">
        <f t="shared" ca="1" si="209"/>
        <v>-0.14124992364793812</v>
      </c>
      <c r="AU224" s="245">
        <f t="shared" si="209"/>
        <v>-0.12153565997531095</v>
      </c>
      <c r="AV224" s="50">
        <f t="shared" si="209"/>
        <v>-0.14418288545005276</v>
      </c>
      <c r="AW224" s="51">
        <f t="shared" si="209"/>
        <v>-0.28818399384070403</v>
      </c>
      <c r="AX224" s="245">
        <f t="shared" si="209"/>
        <v>-0.13630442622854433</v>
      </c>
      <c r="AY224" s="50">
        <f t="shared" si="209"/>
        <v>-0.16954390410062661</v>
      </c>
      <c r="AZ224" s="51">
        <f t="shared" si="209"/>
        <v>-0.14208710763113888</v>
      </c>
      <c r="BA224" s="245">
        <f t="shared" si="209"/>
        <v>-0.11934218558527403</v>
      </c>
      <c r="BB224" s="50">
        <f t="shared" si="209"/>
        <v>-0.14195911469222811</v>
      </c>
      <c r="BC224" s="51">
        <f t="shared" si="209"/>
        <v>-0.14045911703168754</v>
      </c>
      <c r="BD224" s="245">
        <f t="shared" si="209"/>
        <v>-0.11663131832249356</v>
      </c>
      <c r="BE224" s="50">
        <f t="shared" si="209"/>
        <v>-0.13333311437733464</v>
      </c>
      <c r="BF224" s="51">
        <f t="shared" si="209"/>
        <v>-2.1541736556405766</v>
      </c>
      <c r="BG224" s="245">
        <f t="shared" si="209"/>
        <v>-0.11662762041765759</v>
      </c>
      <c r="BH224" s="50">
        <f t="shared" si="209"/>
        <v>-0.13722037988217756</v>
      </c>
      <c r="BI224" s="51">
        <f t="shared" si="209"/>
        <v>0</v>
      </c>
      <c r="BK224" s="448">
        <f t="shared" si="185"/>
        <v>-1.7750745919887569</v>
      </c>
      <c r="BL224" s="448">
        <f t="shared" si="186"/>
        <v>-1.6308917065387041</v>
      </c>
      <c r="BM224" s="448">
        <f t="shared" si="187"/>
        <v>-0.69531304353278733</v>
      </c>
      <c r="BN224" s="448">
        <f t="shared" ca="1" si="188"/>
        <v>-0.55406311988484924</v>
      </c>
    </row>
    <row r="225" spans="1:66" x14ac:dyDescent="0.3">
      <c r="A225" s="18"/>
      <c r="E225" s="16"/>
      <c r="F225" s="17"/>
      <c r="H225" s="261"/>
      <c r="I225" s="233"/>
      <c r="J225" s="112"/>
      <c r="K225" s="261"/>
      <c r="L225" s="233"/>
      <c r="M225" s="112"/>
      <c r="N225" s="261"/>
      <c r="O225" s="233"/>
      <c r="P225" s="112"/>
      <c r="Q225" s="261"/>
      <c r="R225" s="233"/>
      <c r="S225" s="112"/>
      <c r="T225" s="261"/>
      <c r="U225" s="233"/>
      <c r="V225" s="112"/>
      <c r="W225" s="261"/>
      <c r="X225" s="233"/>
      <c r="Y225" s="112"/>
      <c r="Z225" s="261"/>
      <c r="AA225" s="233"/>
      <c r="AB225" s="112"/>
      <c r="AC225" s="261"/>
      <c r="AD225" s="233"/>
      <c r="AE225" s="112"/>
      <c r="AF225" s="261"/>
      <c r="AG225" s="233"/>
      <c r="AH225" s="112"/>
      <c r="AI225" s="261"/>
      <c r="AJ225" s="233"/>
      <c r="AK225" s="112"/>
      <c r="AL225" s="261"/>
      <c r="AM225" s="233"/>
      <c r="AN225" s="112"/>
      <c r="AO225" s="261"/>
      <c r="AP225" s="233"/>
      <c r="AQ225" s="112"/>
      <c r="AR225" s="261"/>
      <c r="AS225" s="233"/>
      <c r="AT225" s="112"/>
      <c r="AU225" s="261"/>
      <c r="AV225" s="233"/>
      <c r="AW225" s="112"/>
      <c r="AX225" s="261"/>
      <c r="AY225" s="233"/>
      <c r="AZ225" s="112"/>
      <c r="BA225" s="261"/>
      <c r="BB225" s="233"/>
      <c r="BC225" s="112"/>
      <c r="BD225" s="261"/>
      <c r="BE225" s="233"/>
      <c r="BF225" s="112"/>
      <c r="BG225" s="261"/>
      <c r="BH225" s="233"/>
      <c r="BI225" s="112"/>
      <c r="BK225" s="448">
        <f t="shared" si="185"/>
        <v>0</v>
      </c>
      <c r="BL225" s="448">
        <f t="shared" si="186"/>
        <v>0</v>
      </c>
      <c r="BM225" s="448">
        <f t="shared" si="187"/>
        <v>0</v>
      </c>
      <c r="BN225" s="448">
        <f t="shared" si="188"/>
        <v>0</v>
      </c>
    </row>
    <row r="226" spans="1:66" x14ac:dyDescent="0.3">
      <c r="A226" s="39" t="s">
        <v>265</v>
      </c>
      <c r="C226" s="40" t="s">
        <v>37</v>
      </c>
      <c r="D226" s="40" t="s">
        <v>38</v>
      </c>
      <c r="E226" s="40" t="s">
        <v>203</v>
      </c>
      <c r="F226" s="41"/>
      <c r="H226" s="244">
        <v>-21359.14</v>
      </c>
      <c r="I226" s="42">
        <v>-24297.245172499999</v>
      </c>
      <c r="J226" s="43">
        <f>SUM(J227:J240)+SUMIFS(Aut_Ajustes_Manuais!$G:$G,Aut_Ajustes_Manuais!$I:$I,DRE!H$4,Aut_Ajustes_Manuais!$F:$F,"Utilidades")</f>
        <v>-26041.639999999996</v>
      </c>
      <c r="K226" s="244">
        <v>-18440.419999999998</v>
      </c>
      <c r="L226" s="42">
        <v>-23996.2927175</v>
      </c>
      <c r="M226" s="43">
        <f>SUM(M227:M240)+SUMIFS(Aut_Ajustes_Manuais!$G:$G,Aut_Ajustes_Manuais!$I:$I,DRE!K$4,Aut_Ajustes_Manuais!$F:$F,"Utilidades")</f>
        <v>-32442.67</v>
      </c>
      <c r="N226" s="244">
        <v>-19888.990000000002</v>
      </c>
      <c r="O226" s="42">
        <v>-23820.632805000001</v>
      </c>
      <c r="P226" s="43">
        <f>SUM(P227:P240)+SUMIFS(Aut_Ajustes_Manuais!$G:$G,Aut_Ajustes_Manuais!$I:$I,DRE!N$4,Aut_Ajustes_Manuais!$F:$F,"Utilidades")</f>
        <v>-20647.379999999997</v>
      </c>
      <c r="Q226" s="244">
        <v>-20985.98</v>
      </c>
      <c r="R226" s="42">
        <v>-23849.6269775</v>
      </c>
      <c r="S226" s="43">
        <f>SUM(S227:S240)+SUMIFS(Aut_Ajustes_Manuais!$G:$G,Aut_Ajustes_Manuais!$I:$I,DRE!Q$4,Aut_Ajustes_Manuais!$F:$F,"Utilidades")</f>
        <v>-20489.970000000005</v>
      </c>
      <c r="T226" s="244">
        <v>-22628.11</v>
      </c>
      <c r="U226" s="42">
        <v>-24317.89481075</v>
      </c>
      <c r="V226" s="43">
        <f>SUM(V227:V240)+SUMIFS(Aut_Ajustes_Manuais!$G:$G,Aut_Ajustes_Manuais!$I:$I,DRE!T$4,Aut_Ajustes_Manuais!$F:$F,"Utilidades")</f>
        <v>-23454.69</v>
      </c>
      <c r="W226" s="244">
        <v>-16901.48</v>
      </c>
      <c r="X226" s="42">
        <v>-24186.6593025</v>
      </c>
      <c r="Y226" s="43">
        <f>SUM(Y227:Y240)+SUMIFS(Aut_Ajustes_Manuais!$G:$G,Aut_Ajustes_Manuais!$I:$I,DRE!W$4,Aut_Ajustes_Manuais!$F:$F,"Utilidades")</f>
        <v>-22933.59</v>
      </c>
      <c r="Z226" s="244">
        <v>-18516.47</v>
      </c>
      <c r="AA226" s="42">
        <v>-24429.43089</v>
      </c>
      <c r="AB226" s="43">
        <f>SUM(AB227:AB240)+SUMIFS(Aut_Ajustes_Manuais!$G:$G,Aut_Ajustes_Manuais!$I:$I,DRE!Z$4,Aut_Ajustes_Manuais!$F:$F,"Utilidades")</f>
        <v>-21484.09</v>
      </c>
      <c r="AC226" s="244">
        <v>-17603.21</v>
      </c>
      <c r="AD226" s="42">
        <v>-24261.0609515</v>
      </c>
      <c r="AE226" s="43">
        <f>SUM(AE227:AE240)+SUMIFS(Aut_Ajustes_Manuais!$G:$G,Aut_Ajustes_Manuais!$I:$I,DRE!AC$4,Aut_Ajustes_Manuais!$F:$F,"Utilidades")</f>
        <v>-20800</v>
      </c>
      <c r="AF226" s="244">
        <v>-20700.07</v>
      </c>
      <c r="AG226" s="42">
        <v>-24112.727144</v>
      </c>
      <c r="AH226" s="43">
        <f>SUM(AH227:AH240)+SUMIFS(Aut_Ajustes_Manuais!$G:$G,Aut_Ajustes_Manuais!$I:$I,DRE!AF$4,Aut_Ajustes_Manuais!$F:$F,"Utilidades")</f>
        <v>-20800</v>
      </c>
      <c r="AI226" s="244">
        <v>-28829.759999999998</v>
      </c>
      <c r="AJ226" s="42">
        <v>-24119.064920000001</v>
      </c>
      <c r="AK226" s="43">
        <f>SUM(AK227:AK240)+SUMIFS(Aut_Ajustes_Manuais!$G:$G,Aut_Ajustes_Manuais!$I:$I,DRE!AI$4,Aut_Ajustes_Manuais!$F:$F,"Utilidades")</f>
        <v>-20800</v>
      </c>
      <c r="AL226" s="244">
        <v>-27169.51</v>
      </c>
      <c r="AM226" s="42">
        <v>-24281.333602999999</v>
      </c>
      <c r="AN226" s="43">
        <f>SUM(AN227:AN240)+SUMIFS(Aut_Ajustes_Manuais!$G:$G,Aut_Ajustes_Manuais!$I:$I,DRE!AL$4,Aut_Ajustes_Manuais!$F:$F,"Utilidades")</f>
        <v>-20800</v>
      </c>
      <c r="AO226" s="244">
        <v>-28296.38</v>
      </c>
      <c r="AP226" s="42">
        <v>-24170</v>
      </c>
      <c r="AQ226" s="43">
        <f>SUM(AQ227:AQ240)+SUMIFS(Aut_Ajustes_Manuais!$G:$G,Aut_Ajustes_Manuais!$I:$I,DRE!AO$4,Aut_Ajustes_Manuais!$F:$F,"Utilidades")</f>
        <v>-20800</v>
      </c>
      <c r="AR226" s="244">
        <f t="shared" ref="AR226:BI226" ca="1" si="210">SUM(AR227:AR240)</f>
        <v>-120204.12</v>
      </c>
      <c r="AS226" s="42">
        <f t="shared" ca="1" si="210"/>
        <v>-144468.35178575001</v>
      </c>
      <c r="AT226" s="43">
        <f t="shared" ca="1" si="210"/>
        <v>-146009.93999999997</v>
      </c>
      <c r="AU226" s="244">
        <f t="shared" si="210"/>
        <v>-261319.52</v>
      </c>
      <c r="AV226" s="42">
        <f t="shared" si="210"/>
        <v>-289841.96929425001</v>
      </c>
      <c r="AW226" s="43">
        <f t="shared" si="210"/>
        <v>-271494.03000000003</v>
      </c>
      <c r="AX226" s="244">
        <f t="shared" si="210"/>
        <v>-59688.55</v>
      </c>
      <c r="AY226" s="42">
        <f t="shared" si="210"/>
        <v>-72114.170694999979</v>
      </c>
      <c r="AZ226" s="43">
        <f t="shared" si="210"/>
        <v>-79131.690000000017</v>
      </c>
      <c r="BA226" s="244">
        <f t="shared" si="210"/>
        <v>-60515.570000000014</v>
      </c>
      <c r="BB226" s="42">
        <f t="shared" si="210"/>
        <v>-72354.181090750004</v>
      </c>
      <c r="BC226" s="43">
        <f t="shared" si="210"/>
        <v>-66878.25</v>
      </c>
      <c r="BD226" s="244">
        <f t="shared" si="210"/>
        <v>-56819.750000000007</v>
      </c>
      <c r="BE226" s="42">
        <f t="shared" si="210"/>
        <v>-72803.218985500003</v>
      </c>
      <c r="BF226" s="43">
        <f t="shared" si="210"/>
        <v>-63084.09</v>
      </c>
      <c r="BG226" s="244">
        <f t="shared" si="210"/>
        <v>-84295.650000000009</v>
      </c>
      <c r="BH226" s="42">
        <f t="shared" si="210"/>
        <v>-72570.398522999996</v>
      </c>
      <c r="BI226" s="43">
        <f t="shared" si="210"/>
        <v>-62400</v>
      </c>
      <c r="BK226" s="448">
        <f t="shared" si="185"/>
        <v>-289841.96929425001</v>
      </c>
      <c r="BL226" s="448">
        <f t="shared" si="186"/>
        <v>0</v>
      </c>
      <c r="BM226" s="448">
        <f t="shared" si="187"/>
        <v>-123076.35</v>
      </c>
      <c r="BN226" s="448">
        <f t="shared" ca="1" si="188"/>
        <v>22933.589999999967</v>
      </c>
    </row>
    <row r="227" spans="1:66" s="29" customFormat="1" hidden="1" outlineLevel="1" x14ac:dyDescent="0.3">
      <c r="A227" s="22" t="s">
        <v>266</v>
      </c>
      <c r="B227" s="23"/>
      <c r="C227" s="24" t="s">
        <v>62</v>
      </c>
      <c r="D227" s="113">
        <v>-14800</v>
      </c>
      <c r="E227" s="114">
        <v>-8.0000000000000004E-4</v>
      </c>
      <c r="F227" s="56"/>
      <c r="G227" s="33"/>
      <c r="H227" s="241">
        <v>-4470.03</v>
      </c>
      <c r="I227" s="27">
        <v>-5224.6988413999998</v>
      </c>
      <c r="J227" s="28">
        <f>SUMIFS(Aut_BlueMe_Sem_Pedido!$J:$J,Aut_BlueMe_Sem_Pedido!$Q:$Q,DRE!H$4,Aut_BlueMe_Sem_Pedido!$H:$H,DRE!$A227)+SUMIFS(Aut_Ajustes_Manuais!$G:$G,Aut_Ajustes_Manuais!$I:$I,DRE!H$4,Aut_Ajustes_Manuais!$F:$F,"Agua/Esgoto")</f>
        <v>-5100.6400000000003</v>
      </c>
      <c r="K227" s="241">
        <v>-4333.25</v>
      </c>
      <c r="L227" s="27">
        <v>-5213.1902522</v>
      </c>
      <c r="M227" s="28">
        <f>SUMIFS(Aut_BlueMe_Sem_Pedido!$J:$J,Aut_BlueMe_Sem_Pedido!$Q:$Q,DRE!K$4,Aut_BlueMe_Sem_Pedido!$H:$H,DRE!$A227)+SUMIFS(Aut_Ajustes_Manuais!$G:$G,Aut_Ajustes_Manuais!$I:$I,DRE!K$4,Aut_Ajustes_Manuais!$F:$F,"Agua/Esgoto")</f>
        <v>-5399.84</v>
      </c>
      <c r="N227" s="241">
        <v>-4275.24</v>
      </c>
      <c r="O227" s="27">
        <v>-5171.0318731999996</v>
      </c>
      <c r="P227" s="28">
        <f>SUMIFS(Aut_BlueMe_Sem_Pedido!$J:$J,Aut_BlueMe_Sem_Pedido!$Q:$Q,DRE!N$4,Aut_BlueMe_Sem_Pedido!$H:$H,DRE!$A227)+SUMIFS(Aut_Ajustes_Manuais!$G:$G,Aut_Ajustes_Manuais!$I:$I,DRE!N$4,Aut_Ajustes_Manuais!$F:$F,"Agua/Esgoto")</f>
        <v>-4631.8599999999997</v>
      </c>
      <c r="Q227" s="241">
        <v>-4756.7299999999996</v>
      </c>
      <c r="R227" s="27">
        <v>-5177.9904746000002</v>
      </c>
      <c r="S227" s="28">
        <f>SUMIFS(Aut_BlueMe_Sem_Pedido!$J:$J,Aut_BlueMe_Sem_Pedido!$Q:$Q,DRE!Q$4,Aut_BlueMe_Sem_Pedido!$H:$H,DRE!$A227)+SUMIFS(Aut_Ajustes_Manuais!$G:$G,Aut_Ajustes_Manuais!$I:$I,DRE!Q$4,Aut_Ajustes_Manuais!$F:$F,"Agua/Esgoto")</f>
        <v>-5021.78</v>
      </c>
      <c r="T227" s="241">
        <v>-4289.74</v>
      </c>
      <c r="U227" s="27">
        <v>-5290.3747545799997</v>
      </c>
      <c r="V227" s="28">
        <f>SUMIFS(Aut_BlueMe_Sem_Pedido!$J:$J,Aut_BlueMe_Sem_Pedido!$Q:$Q,DRE!T$4,Aut_BlueMe_Sem_Pedido!$H:$H,DRE!$A227)+SUMIFS(Aut_Ajustes_Manuais!$G:$G,Aut_Ajustes_Manuais!$I:$I,DRE!T$4,Aut_Ajustes_Manuais!$F:$F,"Agua/Esgoto")</f>
        <v>-4940.7299999999996</v>
      </c>
      <c r="W227" s="241">
        <v>-4530.1400000000003</v>
      </c>
      <c r="X227" s="27">
        <v>-5258.8782326</v>
      </c>
      <c r="Y227" s="28">
        <f>SUMIFS(Aut_BlueMe_Sem_Pedido!$J:$J,Aut_BlueMe_Sem_Pedido!$Q:$Q,DRE!W$4,Aut_BlueMe_Sem_Pedido!$H:$H,DRE!$A227)+SUMIFS(Aut_Ajustes_Manuais!$G:$G,Aut_Ajustes_Manuais!$I:$I,DRE!W$4,Aut_Ajustes_Manuais!$F:$F,"Agua/Esgoto")</f>
        <v>-4503.8599999999997</v>
      </c>
      <c r="Z227" s="241">
        <v>-4229.6400000000003</v>
      </c>
      <c r="AA227" s="27">
        <v>-5256.4234135999995</v>
      </c>
      <c r="AB227" s="28">
        <f>SUMIFS(Aut_BlueMe_Sem_Pedido!$J:$J,Aut_BlueMe_Sem_Pedido!$Q:$Q,DRE!Z$4,Aut_BlueMe_Sem_Pedido!$H:$H,DRE!$A227)+SUMIFS(Aut_Ajustes_Manuais!$G:$G,Aut_Ajustes_Manuais!$I:$I,DRE!Z$4,Aut_Ajustes_Manuais!$F:$F,"Agua/Esgoto")</f>
        <v>-9000</v>
      </c>
      <c r="AC227" s="241">
        <v>-4950.83</v>
      </c>
      <c r="AD227" s="27">
        <v>-5276.73462836</v>
      </c>
      <c r="AE227" s="28">
        <f>SUMIFS(Aut_BlueMe_Sem_Pedido!$J:$J,Aut_BlueMe_Sem_Pedido!$Q:$Q,DRE!AC$4,Aut_BlueMe_Sem_Pedido!$H:$H,DRE!$A227)+SUMIFS(Aut_Ajustes_Manuais!$G:$G,Aut_Ajustes_Manuais!$I:$I,DRE!AC$4,Aut_Ajustes_Manuais!$F:$F,"Agua/Esgoto")</f>
        <v>-9000</v>
      </c>
      <c r="AF227" s="241">
        <v>-4950.83</v>
      </c>
      <c r="AG227" s="27">
        <v>-5241.1345145599998</v>
      </c>
      <c r="AH227" s="28">
        <f>SUMIFS(Aut_BlueMe_Sem_Pedido!$J:$J,Aut_BlueMe_Sem_Pedido!$Q:$Q,DRE!AF$4,Aut_BlueMe_Sem_Pedido!$H:$H,DRE!$A227)+SUMIFS(Aut_Ajustes_Manuais!$G:$G,Aut_Ajustes_Manuais!$I:$I,DRE!AF$4,Aut_Ajustes_Manuais!$F:$F,"Agua/Esgoto")</f>
        <v>-9000</v>
      </c>
      <c r="AI227" s="241">
        <v>-4830.63</v>
      </c>
      <c r="AJ227" s="27">
        <v>-5242.6555808000003</v>
      </c>
      <c r="AK227" s="28">
        <f>SUMIFS(Aut_BlueMe_Sem_Pedido!$J:$J,Aut_BlueMe_Sem_Pedido!$Q:$Q,DRE!AI$4,Aut_BlueMe_Sem_Pedido!$H:$H,DRE!$A227)+SUMIFS(Aut_Ajustes_Manuais!$G:$G,Aut_Ajustes_Manuais!$I:$I,DRE!AI$4,Aut_Ajustes_Manuais!$F:$F,"Agua/Esgoto")</f>
        <v>-9000</v>
      </c>
      <c r="AL227" s="241">
        <v>-6333.1</v>
      </c>
      <c r="AM227" s="27">
        <v>-5281.6000647199999</v>
      </c>
      <c r="AN227" s="28">
        <f>SUMIFS(Aut_BlueMe_Sem_Pedido!$J:$J,Aut_BlueMe_Sem_Pedido!$Q:$Q,DRE!AL$4,Aut_BlueMe_Sem_Pedido!$H:$H,DRE!$A227)+SUMIFS(Aut_Ajustes_Manuais!$G:$G,Aut_Ajustes_Manuais!$I:$I,DRE!AL$4,Aut_Ajustes_Manuais!$F:$F,"Agua/Esgoto")</f>
        <v>-9000</v>
      </c>
      <c r="AO227" s="241">
        <v>-6950.6</v>
      </c>
      <c r="AP227" s="27">
        <v>-5254.88</v>
      </c>
      <c r="AQ227" s="28">
        <f>SUMIFS(Aut_BlueMe_Sem_Pedido!$J:$J,Aut_BlueMe_Sem_Pedido!$Q:$Q,DRE!AO$4,Aut_BlueMe_Sem_Pedido!$H:$H,DRE!$A227)+SUMIFS(Aut_Ajustes_Manuais!$G:$G,Aut_Ajustes_Manuais!$I:$I,DRE!AO$4,Aut_Ajustes_Manuais!$F:$F,"Agua/Esgoto")</f>
        <v>-9000</v>
      </c>
      <c r="AR227" s="241">
        <f t="shared" ref="AR227:AR240" ca="1" si="211">SUMIFS($H227:$AO227,$H$5:$AO$5,"&lt;"&amp;MONTH(TODAY()),$H$6:$AO$6,"REAL 25")</f>
        <v>-26655.129999999997</v>
      </c>
      <c r="AS227" s="27">
        <f t="shared" ref="AS227:AS240" ca="1" si="212">SUMIFS($I227:$AP227,$I$5:$AP$5,"&lt;"&amp;MONTH(TODAY()),$I$6:$AP$6,"ORÇADO ")</f>
        <v>-31336.164428579999</v>
      </c>
      <c r="AT227" s="28">
        <f t="shared" ref="AT227:AT240" ca="1" si="213">SUMIFS($J227:$AQ227,$J$5:$AQ$5,"&lt;"&amp;MONTH(TODAY()),$J$6:$AQ$6,"REAL 26")</f>
        <v>-29598.71</v>
      </c>
      <c r="AU227" s="241">
        <f t="shared" ref="AU227:AU240" si="214">SUM(H227,K227,N227,Q227,T227,W227,Z227,AC227,AF227,AI227,AL227,AO227)</f>
        <v>-58900.759999999995</v>
      </c>
      <c r="AV227" s="27">
        <f t="shared" ref="AV227:AV240" si="215">SUM(I227,L227,O227,R227,U227,X227,AA227,AD227,AG227,AJ227,AM227,AP227)</f>
        <v>-62889.592630619991</v>
      </c>
      <c r="AW227" s="28">
        <f t="shared" ref="AW227:AW240" si="216">SUM(J227,M227,P227,S227,V227,Y227,AB227,AE227,AH227,AK227,AN227,AQ227)</f>
        <v>-83598.709999999992</v>
      </c>
      <c r="AX227" s="241">
        <f t="shared" ref="AX227:AX240" si="217">SUM(H227,K227,N227)</f>
        <v>-13078.519999999999</v>
      </c>
      <c r="AY227" s="27">
        <f t="shared" ref="AY227:AY240" si="218">SUM(I227,L227,O227)</f>
        <v>-15608.920966799998</v>
      </c>
      <c r="AZ227" s="28">
        <f t="shared" ref="AZ227:AZ240" si="219">SUM(J227,M227,P227)</f>
        <v>-15132.34</v>
      </c>
      <c r="BA227" s="241">
        <f t="shared" ref="BA227:BA240" si="220">SUM(Q227,T227,W227)</f>
        <v>-13576.61</v>
      </c>
      <c r="BB227" s="27">
        <f t="shared" ref="BB227:BB240" si="221">SUM(R227,U227,X227)</f>
        <v>-15727.243461779999</v>
      </c>
      <c r="BC227" s="28">
        <f t="shared" ref="BC227:BC240" si="222">SUM(S227,V227,Y227)</f>
        <v>-14466.369999999999</v>
      </c>
      <c r="BD227" s="241">
        <f t="shared" ref="BD227:BD240" si="223">SUM(Z227,AC227,AF227)</f>
        <v>-14131.300000000001</v>
      </c>
      <c r="BE227" s="27">
        <f t="shared" ref="BE227:BE240" si="224">SUM(AA227,AD227,AG227)</f>
        <v>-15774.292556519998</v>
      </c>
      <c r="BF227" s="28">
        <f t="shared" ref="BF227:BF240" si="225">SUM(AB227,AE227,AH227)</f>
        <v>-27000</v>
      </c>
      <c r="BG227" s="241">
        <f t="shared" ref="BG227:BG240" si="226">SUM(AI227,AL227,AO227)</f>
        <v>-18114.330000000002</v>
      </c>
      <c r="BH227" s="27">
        <f t="shared" ref="BH227:BH240" si="227">SUM(AJ227,AM227,AP227)</f>
        <v>-15779.13564552</v>
      </c>
      <c r="BI227" s="28">
        <f t="shared" ref="BI227:BI240" si="228">SUM(AK227,AN227,AQ227)</f>
        <v>-27000</v>
      </c>
      <c r="BK227" s="448">
        <f t="shared" si="185"/>
        <v>-62889.592630619991</v>
      </c>
      <c r="BL227" s="448">
        <f t="shared" si="186"/>
        <v>0</v>
      </c>
      <c r="BM227" s="448">
        <f t="shared" si="187"/>
        <v>-25094.85</v>
      </c>
      <c r="BN227" s="448">
        <f t="shared" ca="1" si="188"/>
        <v>4503.8600000000006</v>
      </c>
    </row>
    <row r="228" spans="1:66" s="29" customFormat="1" hidden="1" outlineLevel="1" x14ac:dyDescent="0.3">
      <c r="A228" s="22" t="s">
        <v>267</v>
      </c>
      <c r="B228" s="23"/>
      <c r="C228" s="24" t="s">
        <v>62</v>
      </c>
      <c r="D228" s="113">
        <v>-6600</v>
      </c>
      <c r="E228" s="114"/>
      <c r="F228" s="56"/>
      <c r="G228" s="33"/>
      <c r="H228" s="241">
        <v>-6343.48</v>
      </c>
      <c r="I228" s="27">
        <v>-4887.2490344999997</v>
      </c>
      <c r="J228" s="28">
        <f>SUMIFS(Aut_BlueMe_Sem_Pedido!$J:$J,Aut_BlueMe_Sem_Pedido!$Q:$Q,DRE!H$4,Aut_BlueMe_Sem_Pedido!$H:$H,DRE!$A228)+SUMIFS(Aut_Ajustes_Manuais!$G:$G,Aut_Ajustes_Manuais!$I:$I,DRE!H$4,Aut_Ajustes_Manuais!$F:$F,"Energia Eletrica")</f>
        <v>-4752.66</v>
      </c>
      <c r="K228" s="241">
        <v>-5747.02</v>
      </c>
      <c r="L228" s="27">
        <v>-4877.6585434999997</v>
      </c>
      <c r="M228" s="28">
        <f>SUMIFS(Aut_BlueMe_Sem_Pedido!$J:$J,Aut_BlueMe_Sem_Pedido!$Q:$Q,DRE!K$4,Aut_BlueMe_Sem_Pedido!$H:$H,DRE!$A228)+SUMIFS(Aut_Ajustes_Manuais!$G:$G,Aut_Ajustes_Manuais!$I:$I,DRE!K$4,Aut_Ajustes_Manuais!$F:$F,"Energia Eletrica")</f>
        <v>-4077.23</v>
      </c>
      <c r="N228" s="241">
        <v>-5584.66</v>
      </c>
      <c r="O228" s="27">
        <v>-4842.5265609999997</v>
      </c>
      <c r="P228" s="28">
        <f>SUMIFS(Aut_BlueMe_Sem_Pedido!$J:$J,Aut_BlueMe_Sem_Pedido!$Q:$Q,DRE!N$4,Aut_BlueMe_Sem_Pedido!$H:$H,DRE!$A228)+SUMIFS(Aut_Ajustes_Manuais!$G:$G,Aut_Ajustes_Manuais!$I:$I,DRE!N$4,Aut_Ajustes_Manuais!$F:$F,"Energia Eletrica")</f>
        <v>-2736.2200000000003</v>
      </c>
      <c r="Q228" s="241">
        <v>-6687.15</v>
      </c>
      <c r="R228" s="27">
        <v>-4848.3253955</v>
      </c>
      <c r="S228" s="27">
        <f>SUMIFS(Aut_BlueMe_Sem_Pedido!$J:$J,Aut_BlueMe_Sem_Pedido!$Q:$Q,DRE!Q$4,Aut_BlueMe_Sem_Pedido!$H:$H,DRE!$A228)+SUMIFS(Aut_Ajustes_Manuais!$G:$G,Aut_Ajustes_Manuais!$I:$I,DRE!Q$4,Aut_Ajustes_Manuais!$F:$F,"Energia Eletrica")</f>
        <v>-6106.83</v>
      </c>
      <c r="T228" s="241">
        <v>-2648.48</v>
      </c>
      <c r="U228" s="27">
        <v>-4941.9789621500004</v>
      </c>
      <c r="V228" s="28">
        <f>SUMIFS(Aut_BlueMe_Sem_Pedido!$J:$J,Aut_BlueMe_Sem_Pedido!$Q:$Q,DRE!T$4,Aut_BlueMe_Sem_Pedido!$H:$H,DRE!$A228)+SUMIFS(Aut_Ajustes_Manuais!$G:$G,Aut_Ajustes_Manuais!$I:$I,DRE!T$4,Aut_Ajustes_Manuais!$F:$F,"Energia Eletrica")</f>
        <v>-4345.59</v>
      </c>
      <c r="W228" s="241">
        <v>-2701.4</v>
      </c>
      <c r="X228" s="27">
        <v>-4915.7318605</v>
      </c>
      <c r="Y228" s="28">
        <f>SUMIFS(Aut_BlueMe_Sem_Pedido!$J:$J,Aut_BlueMe_Sem_Pedido!$Q:$Q,DRE!W$4,Aut_BlueMe_Sem_Pedido!$H:$H,DRE!$A228)+SUMIFS(Aut_Ajustes_Manuais!$G:$G,Aut_Ajustes_Manuais!$I:$I,DRE!W$4,Aut_Ajustes_Manuais!$F:$F,"Energia Eletrica")</f>
        <v>-3386.01</v>
      </c>
      <c r="Z228" s="241">
        <v>-2894.66</v>
      </c>
      <c r="AA228" s="27">
        <v>-4913.6861779999999</v>
      </c>
      <c r="AB228" s="28">
        <f>SUMIFS(Aut_BlueMe_Sem_Pedido!$J:$J,Aut_BlueMe_Sem_Pedido!$Q:$Q,DRE!Z$4,Aut_BlueMe_Sem_Pedido!$H:$H,DRE!$A228)+SUMIFS(Aut_Ajustes_Manuais!$G:$G,Aut_Ajustes_Manuais!$I:$I,DRE!Z$4,Aut_Ajustes_Manuais!$F:$F,"Energia Eletrica")</f>
        <v>-5200</v>
      </c>
      <c r="AC228" s="241">
        <v>-2481.48</v>
      </c>
      <c r="AD228" s="27">
        <v>-4930.6121903000003</v>
      </c>
      <c r="AE228" s="28">
        <f>SUMIFS(Aut_BlueMe_Sem_Pedido!$J:$J,Aut_BlueMe_Sem_Pedido!$Q:$Q,DRE!AC$4,Aut_BlueMe_Sem_Pedido!$H:$H,DRE!$A228)+SUMIFS(Aut_Ajustes_Manuais!$G:$G,Aut_Ajustes_Manuais!$I:$I,DRE!AC$4,Aut_Ajustes_Manuais!$F:$F,"Energia Eletrica")</f>
        <v>-5200</v>
      </c>
      <c r="AF228" s="241">
        <v>-2220.11</v>
      </c>
      <c r="AG228" s="27">
        <v>-4900.9454287999997</v>
      </c>
      <c r="AH228" s="28">
        <f>SUMIFS(Aut_BlueMe_Sem_Pedido!$J:$J,Aut_BlueMe_Sem_Pedido!$Q:$Q,DRE!AF$4,Aut_BlueMe_Sem_Pedido!$H:$H,DRE!$A228)+SUMIFS(Aut_Ajustes_Manuais!$G:$G,Aut_Ajustes_Manuais!$I:$I,DRE!AF$4,Aut_Ajustes_Manuais!$F:$F,"Energia Eletrica")</f>
        <v>-5200</v>
      </c>
      <c r="AI228" s="241">
        <v>-5138.6900000000014</v>
      </c>
      <c r="AJ228" s="27">
        <v>-4902.2129839999998</v>
      </c>
      <c r="AK228" s="28">
        <f>SUMIFS(Aut_BlueMe_Sem_Pedido!$J:$J,Aut_BlueMe_Sem_Pedido!$Q:$Q,DRE!AI$4,Aut_BlueMe_Sem_Pedido!$H:$H,DRE!$A228)+SUMIFS(Aut_Ajustes_Manuais!$G:$G,Aut_Ajustes_Manuais!$I:$I,DRE!AI$4,Aut_Ajustes_Manuais!$F:$F,"Energia Eletrica")</f>
        <v>-5200</v>
      </c>
      <c r="AL228" s="241">
        <v>-1921.11</v>
      </c>
      <c r="AM228" s="27">
        <v>-4934.6667206000002</v>
      </c>
      <c r="AN228" s="28">
        <f>SUMIFS(Aut_BlueMe_Sem_Pedido!$J:$J,Aut_BlueMe_Sem_Pedido!$Q:$Q,DRE!AL$4,Aut_BlueMe_Sem_Pedido!$H:$H,DRE!$A228)+SUMIFS(Aut_Ajustes_Manuais!$G:$G,Aut_Ajustes_Manuais!$I:$I,DRE!AL$4,Aut_Ajustes_Manuais!$F:$F,"Energia Eletrica")</f>
        <v>-5200</v>
      </c>
      <c r="AO228" s="241">
        <v>-4819.43</v>
      </c>
      <c r="AP228" s="27">
        <v>-4912.3999999999996</v>
      </c>
      <c r="AQ228" s="28">
        <f>SUMIFS(Aut_BlueMe_Sem_Pedido!$J:$J,Aut_BlueMe_Sem_Pedido!$Q:$Q,DRE!AO$4,Aut_BlueMe_Sem_Pedido!$H:$H,DRE!$A228)+SUMIFS(Aut_Ajustes_Manuais!$G:$G,Aut_Ajustes_Manuais!$I:$I,DRE!AO$4,Aut_Ajustes_Manuais!$F:$F,"Energia Eletrica")</f>
        <v>-5200</v>
      </c>
      <c r="AR228" s="241">
        <f t="shared" ca="1" si="211"/>
        <v>-29712.19</v>
      </c>
      <c r="AS228" s="27">
        <f t="shared" ca="1" si="212"/>
        <v>-29313.470357149996</v>
      </c>
      <c r="AT228" s="28">
        <f t="shared" ca="1" si="213"/>
        <v>-25404.54</v>
      </c>
      <c r="AU228" s="241">
        <f t="shared" si="214"/>
        <v>-49187.670000000006</v>
      </c>
      <c r="AV228" s="27">
        <f t="shared" si="215"/>
        <v>-58807.993858849994</v>
      </c>
      <c r="AW228" s="28">
        <f t="shared" si="216"/>
        <v>-56604.54</v>
      </c>
      <c r="AX228" s="241">
        <f t="shared" si="217"/>
        <v>-17675.16</v>
      </c>
      <c r="AY228" s="27">
        <f t="shared" si="218"/>
        <v>-14607.434138999997</v>
      </c>
      <c r="AZ228" s="28">
        <f t="shared" si="219"/>
        <v>-11566.11</v>
      </c>
      <c r="BA228" s="241">
        <f t="shared" si="220"/>
        <v>-12037.029999999999</v>
      </c>
      <c r="BB228" s="27">
        <f t="shared" si="221"/>
        <v>-14706.03621815</v>
      </c>
      <c r="BC228" s="28">
        <f t="shared" si="222"/>
        <v>-13838.43</v>
      </c>
      <c r="BD228" s="241">
        <f t="shared" si="223"/>
        <v>-7596.25</v>
      </c>
      <c r="BE228" s="27">
        <f t="shared" si="224"/>
        <v>-14745.2437971</v>
      </c>
      <c r="BF228" s="28">
        <f t="shared" si="225"/>
        <v>-15600</v>
      </c>
      <c r="BG228" s="241">
        <f t="shared" si="226"/>
        <v>-11879.230000000001</v>
      </c>
      <c r="BH228" s="27">
        <f t="shared" si="227"/>
        <v>-14749.2797046</v>
      </c>
      <c r="BI228" s="28">
        <f t="shared" si="228"/>
        <v>-15600</v>
      </c>
      <c r="BK228" s="448">
        <f t="shared" si="185"/>
        <v>-58807.993858849994</v>
      </c>
      <c r="BL228" s="448">
        <f t="shared" si="186"/>
        <v>0</v>
      </c>
      <c r="BM228" s="448">
        <f t="shared" si="187"/>
        <v>-22018.530000000002</v>
      </c>
      <c r="BN228" s="448">
        <f t="shared" ca="1" si="188"/>
        <v>3386.0099999999984</v>
      </c>
    </row>
    <row r="229" spans="1:66" s="29" customFormat="1" hidden="1" outlineLevel="1" x14ac:dyDescent="0.3">
      <c r="A229" s="22" t="s">
        <v>268</v>
      </c>
      <c r="B229" s="23"/>
      <c r="C229" s="24" t="s">
        <v>62</v>
      </c>
      <c r="D229" s="113">
        <v>-6300</v>
      </c>
      <c r="E229" s="114">
        <v>-8.0000000000000004E-4</v>
      </c>
      <c r="F229" s="56"/>
      <c r="G229" s="33"/>
      <c r="H229" s="241">
        <v>-3403.69</v>
      </c>
      <c r="I229" s="27">
        <v>-4087.2490345000001</v>
      </c>
      <c r="J229" s="28">
        <f>SUMIFS(Aut_BlueMe_Sem_Pedido!$J:$J,Aut_BlueMe_Sem_Pedido!$Q:$Q,DRE!H$4,Aut_BlueMe_Sem_Pedido!$H:$H,DRE!$A229)+SUMIFS(Aut_Ajustes_Manuais!$G:$G,Aut_Ajustes_Manuais!$I:$I,DRE!H$4,Aut_Ajustes_Manuais!$F:$F,"Gas de Cozinha")</f>
        <v>-3959.84</v>
      </c>
      <c r="K229" s="241">
        <v>-3027.84</v>
      </c>
      <c r="L229" s="27">
        <v>-4077.6585435000002</v>
      </c>
      <c r="M229" s="28">
        <f>SUMIFS(Aut_BlueMe_Sem_Pedido!$J:$J,Aut_BlueMe_Sem_Pedido!$Q:$Q,DRE!K$4,Aut_BlueMe_Sem_Pedido!$H:$H,DRE!$A229)+SUMIFS(Aut_Ajustes_Manuais!$G:$G,Aut_Ajustes_Manuais!$I:$I,DRE!K$4,Aut_Ajustes_Manuais!$F:$F,"Gas de Cozinha")</f>
        <v>-4121.8999999999996</v>
      </c>
      <c r="N229" s="241">
        <v>-2794.51</v>
      </c>
      <c r="O229" s="27">
        <v>-4042.5265610000001</v>
      </c>
      <c r="P229" s="28">
        <f>SUMIFS(Aut_BlueMe_Sem_Pedido!$J:$J,Aut_BlueMe_Sem_Pedido!$Q:$Q,DRE!N$4,Aut_BlueMe_Sem_Pedido!$H:$H,DRE!$A229)+SUMIFS(Aut_Ajustes_Manuais!$G:$G,Aut_Ajustes_Manuais!$I:$I,DRE!N$4,Aut_Ajustes_Manuais!$F:$F,"Gas de Cozinha")</f>
        <v>-3684.75</v>
      </c>
      <c r="Q229" s="241">
        <v>-2928.82</v>
      </c>
      <c r="R229" s="27">
        <v>-4048.3253955</v>
      </c>
      <c r="S229" s="28">
        <f>SUMIFS(Aut_BlueMe_Sem_Pedido!$J:$J,Aut_BlueMe_Sem_Pedido!$Q:$Q,DRE!Q$4,Aut_BlueMe_Sem_Pedido!$H:$H,DRE!$A229)+SUMIFS(Aut_Ajustes_Manuais!$G:$G,Aut_Ajustes_Manuais!$I:$I,DRE!Q$4,Aut_Ajustes_Manuais!$F:$F,"Gas de Cozinha")</f>
        <v>-3919.92</v>
      </c>
      <c r="T229" s="241">
        <v>-2618.62</v>
      </c>
      <c r="U229" s="27">
        <v>-4141.9789621500004</v>
      </c>
      <c r="V229" s="28">
        <f>SUMIFS(Aut_BlueMe_Sem_Pedido!$J:$J,Aut_BlueMe_Sem_Pedido!$Q:$Q,DRE!T$4,Aut_BlueMe_Sem_Pedido!$H:$H,DRE!$A229)+SUMIFS(Aut_Ajustes_Manuais!$G:$G,Aut_Ajustes_Manuais!$I:$I,DRE!T$4,Aut_Ajustes_Manuais!$F:$F,"Gas de Cozinha")</f>
        <v>-4164.8</v>
      </c>
      <c r="W229" s="241">
        <v>-2782.19</v>
      </c>
      <c r="X229" s="27">
        <v>-4115.7318605</v>
      </c>
      <c r="Y229" s="28">
        <f>SUMIFS(Aut_BlueMe_Sem_Pedido!$J:$J,Aut_BlueMe_Sem_Pedido!$Q:$Q,DRE!W$4,Aut_BlueMe_Sem_Pedido!$H:$H,DRE!$A229)+SUMIFS(Aut_Ajustes_Manuais!$G:$G,Aut_Ajustes_Manuais!$I:$I,DRE!W$4,Aut_Ajustes_Manuais!$F:$F,"Gas de Cozinha")</f>
        <v>-4330.3</v>
      </c>
      <c r="Z229" s="241">
        <v>-2834.45</v>
      </c>
      <c r="AA229" s="27">
        <v>-4113.6861779999999</v>
      </c>
      <c r="AB229" s="28">
        <f>SUMIFS(Aut_BlueMe_Sem_Pedido!$J:$J,Aut_BlueMe_Sem_Pedido!$Q:$Q,DRE!Z$4,Aut_BlueMe_Sem_Pedido!$H:$H,DRE!$A229)+SUMIFS(Aut_Ajustes_Manuais!$G:$G,Aut_Ajustes_Manuais!$I:$I,DRE!Z$4,Aut_Ajustes_Manuais!$F:$F,"Gas de Cozinha")</f>
        <v>-5000</v>
      </c>
      <c r="AC229" s="241">
        <v>-3065.07</v>
      </c>
      <c r="AD229" s="27">
        <v>-4130.6121903000003</v>
      </c>
      <c r="AE229" s="28">
        <f>SUMIFS(Aut_BlueMe_Sem_Pedido!$J:$J,Aut_BlueMe_Sem_Pedido!$Q:$Q,DRE!AC$4,Aut_BlueMe_Sem_Pedido!$H:$H,DRE!$A229)+SUMIFS(Aut_Ajustes_Manuais!$G:$G,Aut_Ajustes_Manuais!$I:$I,DRE!AC$4,Aut_Ajustes_Manuais!$F:$F,"Gas de Cozinha")</f>
        <v>-5000</v>
      </c>
      <c r="AF229" s="241">
        <v>-3833.96</v>
      </c>
      <c r="AG229" s="27">
        <v>-4100.9454287999997</v>
      </c>
      <c r="AH229" s="28">
        <f>SUMIFS(Aut_BlueMe_Sem_Pedido!$J:$J,Aut_BlueMe_Sem_Pedido!$Q:$Q,DRE!AF$4,Aut_BlueMe_Sem_Pedido!$H:$H,DRE!$A229)+SUMIFS(Aut_Ajustes_Manuais!$G:$G,Aut_Ajustes_Manuais!$I:$I,DRE!AF$4,Aut_Ajustes_Manuais!$F:$F,"Gas de Cozinha")</f>
        <v>-5000</v>
      </c>
      <c r="AI229" s="241">
        <v>-4619.29</v>
      </c>
      <c r="AJ229" s="27">
        <v>-4102.2129839999998</v>
      </c>
      <c r="AK229" s="28">
        <f>SUMIFS(Aut_BlueMe_Sem_Pedido!$J:$J,Aut_BlueMe_Sem_Pedido!$Q:$Q,DRE!AI$4,Aut_BlueMe_Sem_Pedido!$H:$H,DRE!$A229)+SUMIFS(Aut_Ajustes_Manuais!$G:$G,Aut_Ajustes_Manuais!$I:$I,DRE!AI$4,Aut_Ajustes_Manuais!$F:$F,"Gas de Cozinha")</f>
        <v>-5000</v>
      </c>
      <c r="AL229" s="241">
        <v>-4289.99</v>
      </c>
      <c r="AM229" s="27">
        <v>-4134.6667206000002</v>
      </c>
      <c r="AN229" s="28">
        <f>SUMIFS(Aut_BlueMe_Sem_Pedido!$J:$J,Aut_BlueMe_Sem_Pedido!$Q:$Q,DRE!AL$4,Aut_BlueMe_Sem_Pedido!$H:$H,DRE!$A229)+SUMIFS(Aut_Ajustes_Manuais!$G:$G,Aut_Ajustes_Manuais!$I:$I,DRE!AL$4,Aut_Ajustes_Manuais!$F:$F,"Gas de Cozinha")</f>
        <v>-5000</v>
      </c>
      <c r="AO229" s="241">
        <v>-4532.59</v>
      </c>
      <c r="AP229" s="27">
        <v>-4112.3999999999996</v>
      </c>
      <c r="AQ229" s="28">
        <f>SUMIFS(Aut_BlueMe_Sem_Pedido!$J:$J,Aut_BlueMe_Sem_Pedido!$Q:$Q,DRE!AO$4,Aut_BlueMe_Sem_Pedido!$H:$H,DRE!$A229)+SUMIFS(Aut_Ajustes_Manuais!$G:$G,Aut_Ajustes_Manuais!$I:$I,DRE!AO$4,Aut_Ajustes_Manuais!$F:$F,"Gas de Cozinha")</f>
        <v>-5000</v>
      </c>
      <c r="AR229" s="241">
        <f t="shared" ca="1" si="211"/>
        <v>-17555.669999999998</v>
      </c>
      <c r="AS229" s="27">
        <f t="shared" ca="1" si="212"/>
        <v>-24513.470357150003</v>
      </c>
      <c r="AT229" s="28">
        <f t="shared" ca="1" si="213"/>
        <v>-24181.51</v>
      </c>
      <c r="AU229" s="241">
        <f t="shared" si="214"/>
        <v>-40731.020000000004</v>
      </c>
      <c r="AV229" s="27">
        <f t="shared" si="215"/>
        <v>-49207.993858850001</v>
      </c>
      <c r="AW229" s="28">
        <f t="shared" si="216"/>
        <v>-54181.509999999995</v>
      </c>
      <c r="AX229" s="241">
        <f t="shared" si="217"/>
        <v>-9226.0400000000009</v>
      </c>
      <c r="AY229" s="27">
        <f t="shared" si="218"/>
        <v>-12207.434139000001</v>
      </c>
      <c r="AZ229" s="28">
        <f t="shared" si="219"/>
        <v>-11766.49</v>
      </c>
      <c r="BA229" s="241">
        <f t="shared" si="220"/>
        <v>-8329.630000000001</v>
      </c>
      <c r="BB229" s="27">
        <f t="shared" si="221"/>
        <v>-12306.03621815</v>
      </c>
      <c r="BC229" s="28">
        <f t="shared" si="222"/>
        <v>-12415.02</v>
      </c>
      <c r="BD229" s="241">
        <f t="shared" si="223"/>
        <v>-9733.48</v>
      </c>
      <c r="BE229" s="27">
        <f t="shared" si="224"/>
        <v>-12345.2437971</v>
      </c>
      <c r="BF229" s="28">
        <f t="shared" si="225"/>
        <v>-15000</v>
      </c>
      <c r="BG229" s="241">
        <f t="shared" si="226"/>
        <v>-13441.869999999999</v>
      </c>
      <c r="BH229" s="27">
        <f t="shared" si="227"/>
        <v>-12349.2797046</v>
      </c>
      <c r="BI229" s="28">
        <f t="shared" si="228"/>
        <v>-15000</v>
      </c>
      <c r="BK229" s="448">
        <f t="shared" si="185"/>
        <v>-49207.993858850001</v>
      </c>
      <c r="BL229" s="448">
        <f t="shared" si="186"/>
        <v>0</v>
      </c>
      <c r="BM229" s="448">
        <f t="shared" si="187"/>
        <v>-19851.21</v>
      </c>
      <c r="BN229" s="448">
        <f t="shared" ca="1" si="188"/>
        <v>4330.2999999999993</v>
      </c>
    </row>
    <row r="230" spans="1:66" s="29" customFormat="1" hidden="1" outlineLevel="1" x14ac:dyDescent="0.3">
      <c r="A230" s="22" t="s">
        <v>269</v>
      </c>
      <c r="B230" s="23"/>
      <c r="C230" s="24" t="s">
        <v>62</v>
      </c>
      <c r="D230" s="113">
        <v>-25500</v>
      </c>
      <c r="E230" s="114">
        <v>-8.0000000000000004E-4</v>
      </c>
      <c r="F230" s="56"/>
      <c r="G230" s="33"/>
      <c r="H230" s="241">
        <v>-3878.73</v>
      </c>
      <c r="I230" s="27">
        <v>-4549.7992276000004</v>
      </c>
      <c r="J230" s="28">
        <f>SUMIFS(Aut_BlueMe_Sem_Pedido!$J:$J,Aut_BlueMe_Sem_Pedido!$Q:$Q,DRE!H$4,Aut_BlueMe_Sem_Pedido!$H:$H,DRE!$A230)-SUMIFS(Aut_BlueMe_Com_Pedido!$M:$M,Aut_BlueMe_Com_Pedido!$Q:$Q,DRE!H$4)+SUMIFS(Aut_Ajustes_Manuais!$G:$G,Aut_Ajustes_Manuais!$I:$I,DRE!H$4,Aut_Ajustes_Manuais!$F:$F,"Higiene e Limpeza")</f>
        <v>-6995.48</v>
      </c>
      <c r="K230" s="241">
        <v>-2464.41</v>
      </c>
      <c r="L230" s="27">
        <v>-4542.1268348000003</v>
      </c>
      <c r="M230" s="28">
        <f>SUMIFS(Aut_BlueMe_Sem_Pedido!$J:$J,Aut_BlueMe_Sem_Pedido!$Q:$Q,DRE!K$4,Aut_BlueMe_Sem_Pedido!$H:$H,DRE!$A230)-SUMIFS(Aut_BlueMe_Com_Pedido!$M:$M,Aut_BlueMe_Com_Pedido!$Q:$Q,DRE!K$4)+SUMIFS(Aut_Ajustes_Manuais!$G:$G,Aut_Ajustes_Manuais!$I:$I,DRE!K$4,Aut_Ajustes_Manuais!$F:$F,"Higiene e Limpeza")</f>
        <v>-2326.33</v>
      </c>
      <c r="N230" s="241">
        <v>-2735.5</v>
      </c>
      <c r="O230" s="27">
        <v>-4514.0212487999997</v>
      </c>
      <c r="P230" s="28">
        <f>SUMIFS(Aut_BlueMe_Sem_Pedido!$J:$J,Aut_BlueMe_Sem_Pedido!$Q:$Q,DRE!N$4,Aut_BlueMe_Sem_Pedido!$H:$H,DRE!$A230)-SUMIFS(Aut_BlueMe_Com_Pedido!$M:$M,Aut_BlueMe_Com_Pedido!$Q:$Q,DRE!N$4)+SUMIFS(Aut_Ajustes_Manuais!$G:$G,Aut_Ajustes_Manuais!$I:$I,DRE!N$4,Aut_Ajustes_Manuais!$F:$F,"Higiene e Limpeza")</f>
        <v>-5420</v>
      </c>
      <c r="Q230" s="241">
        <v>-3878.53</v>
      </c>
      <c r="R230" s="27">
        <v>-4518.6603163999998</v>
      </c>
      <c r="S230" s="28">
        <f>SUMIFS(Aut_BlueMe_Sem_Pedido!$J:$J,Aut_BlueMe_Sem_Pedido!$Q:$Q,DRE!Q$4,Aut_BlueMe_Sem_Pedido!$H:$H,DRE!$A230)-SUMIFS(Aut_BlueMe_Com_Pedido!$M:$M,Aut_BlueMe_Com_Pedido!$Q:$Q,DRE!Q$4)+SUMIFS(Aut_Ajustes_Manuais!$G:$G,Aut_Ajustes_Manuais!$I:$I,DRE!Q$4,Aut_Ajustes_Manuais!$F:$F,"Higiene e Limpeza")</f>
        <v>-2003.16</v>
      </c>
      <c r="T230" s="241">
        <v>-6899.98</v>
      </c>
      <c r="U230" s="27">
        <v>-4593.5831697200001</v>
      </c>
      <c r="V230" s="28">
        <f>SUMIFS(Aut_BlueMe_Sem_Pedido!$J:$J,Aut_BlueMe_Sem_Pedido!$Q:$Q,DRE!T$4,Aut_BlueMe_Sem_Pedido!$H:$H,DRE!$A230)-SUMIFS(Aut_BlueMe_Com_Pedido!$M:$M,Aut_BlueMe_Com_Pedido!$Q:$Q,DRE!T$4)+SUMIFS(Aut_Ajustes_Manuais!$G:$G,Aut_Ajustes_Manuais!$I:$I,DRE!T$4,Aut_Ajustes_Manuais!$F:$F,"Higiene e Limpeza")</f>
        <v>-3957.34</v>
      </c>
      <c r="W230" s="241">
        <v>-3581.81</v>
      </c>
      <c r="X230" s="27">
        <v>-4572.5854884</v>
      </c>
      <c r="Y230" s="28">
        <f>SUMIFS(Aut_BlueMe_Sem_Pedido!$J:$J,Aut_BlueMe_Sem_Pedido!$Q:$Q,DRE!W$4,Aut_BlueMe_Sem_Pedido!$H:$H,DRE!$A230)-SUMIFS(Aut_BlueMe_Com_Pedido!$M:$M,Aut_BlueMe_Com_Pedido!$Q:$Q,DRE!W$4)+SUMIFS(Aut_Ajustes_Manuais!$G:$G,Aut_Ajustes_Manuais!$I:$I,DRE!W$4,Aut_Ajustes_Manuais!$F:$F,"Higiene e Limpeza")</f>
        <v>-5215.4199999999992</v>
      </c>
      <c r="Z230" s="241">
        <v>-4780.46</v>
      </c>
      <c r="AA230" s="27">
        <v>-4570.9489424000003</v>
      </c>
      <c r="AB230" s="28">
        <f>SUMIFS(Aut_BlueMe_Sem_Pedido!$J:$J,Aut_BlueMe_Sem_Pedido!$Q:$Q,DRE!Z$4,Aut_BlueMe_Sem_Pedido!$H:$H,DRE!$A230)-SUMIFS(Aut_BlueMe_Com_Pedido!$M:$M,Aut_BlueMe_Com_Pedido!$Q:$Q,DRE!Z$4)+SUMIFS(Aut_Ajustes_Manuais!$G:$G,Aut_Ajustes_Manuais!$I:$I,DRE!Z$4,Aut_Ajustes_Manuais!$F:$F,"Higiene e Limpeza")</f>
        <v>-375.27</v>
      </c>
      <c r="AC230" s="241">
        <v>-3811.18</v>
      </c>
      <c r="AD230" s="27">
        <v>-4584.4897522399997</v>
      </c>
      <c r="AE230" s="28">
        <f>SUMIFS(Aut_BlueMe_Sem_Pedido!$J:$J,Aut_BlueMe_Sem_Pedido!$Q:$Q,DRE!AC$4,Aut_BlueMe_Sem_Pedido!$H:$H,DRE!$A230)-SUMIFS(Aut_BlueMe_Com_Pedido!$M:$M,Aut_BlueMe_Com_Pedido!$Q:$Q,DRE!AC$4)+SUMIFS(Aut_Ajustes_Manuais!$G:$G,Aut_Ajustes_Manuais!$I:$I,DRE!AC$4,Aut_Ajustes_Manuais!$F:$F,"Higiene e Limpeza")</f>
        <v>0</v>
      </c>
      <c r="AF230" s="241">
        <v>-3771.71</v>
      </c>
      <c r="AG230" s="27">
        <v>-4560.7563430399996</v>
      </c>
      <c r="AH230" s="28">
        <f>SUMIFS(Aut_BlueMe_Sem_Pedido!$J:$J,Aut_BlueMe_Sem_Pedido!$Q:$Q,DRE!AF$4,Aut_BlueMe_Sem_Pedido!$H:$H,DRE!$A230)-SUMIFS(Aut_BlueMe_Com_Pedido!$M:$M,Aut_BlueMe_Com_Pedido!$Q:$Q,DRE!AF$4)+SUMIFS(Aut_Ajustes_Manuais!$G:$G,Aut_Ajustes_Manuais!$I:$I,DRE!AF$4,Aut_Ajustes_Manuais!$F:$F,"Higiene e Limpeza")</f>
        <v>0</v>
      </c>
      <c r="AI230" s="241">
        <v>-3945.98</v>
      </c>
      <c r="AJ230" s="27">
        <v>-4561.7703872000002</v>
      </c>
      <c r="AK230" s="28">
        <f>SUMIFS(Aut_BlueMe_Sem_Pedido!$J:$J,Aut_BlueMe_Sem_Pedido!$Q:$Q,DRE!AI$4,Aut_BlueMe_Sem_Pedido!$H:$H,DRE!$A230)-SUMIFS(Aut_BlueMe_Com_Pedido!$M:$M,Aut_BlueMe_Com_Pedido!$Q:$Q,DRE!AI$4)+SUMIFS(Aut_Ajustes_Manuais!$G:$G,Aut_Ajustes_Manuais!$I:$I,DRE!AI$4,Aut_Ajustes_Manuais!$F:$F,"Higiene e Limpeza")</f>
        <v>0</v>
      </c>
      <c r="AL230" s="241">
        <v>-5271.01</v>
      </c>
      <c r="AM230" s="27">
        <v>-4587.7333764799996</v>
      </c>
      <c r="AN230" s="28">
        <f>SUMIFS(Aut_BlueMe_Sem_Pedido!$J:$J,Aut_BlueMe_Sem_Pedido!$Q:$Q,DRE!AL$4,Aut_BlueMe_Sem_Pedido!$H:$H,DRE!$A230)-SUMIFS(Aut_BlueMe_Com_Pedido!$M:$M,Aut_BlueMe_Com_Pedido!$Q:$Q,DRE!AL$4)+SUMIFS(Aut_Ajustes_Manuais!$G:$G,Aut_Ajustes_Manuais!$I:$I,DRE!AL$4,Aut_Ajustes_Manuais!$F:$F,"Higiene e Limpeza")</f>
        <v>0</v>
      </c>
      <c r="AO230" s="241">
        <v>-5048.3999999999996</v>
      </c>
      <c r="AP230" s="27">
        <v>-4569.92</v>
      </c>
      <c r="AQ230" s="28">
        <f>SUMIFS(Aut_BlueMe_Sem_Pedido!$J:$J,Aut_BlueMe_Sem_Pedido!$Q:$Q,DRE!AO$4,Aut_BlueMe_Sem_Pedido!$H:$H,DRE!$A230)-SUMIFS(Aut_BlueMe_Com_Pedido!$M:$M,Aut_BlueMe_Com_Pedido!$Q:$Q,DRE!AO$4)+SUMIFS(Aut_Ajustes_Manuais!$G:$G,Aut_Ajustes_Manuais!$I:$I,DRE!AO$4,Aut_Ajustes_Manuais!$F:$F,"Higiene e Limpeza")</f>
        <v>0</v>
      </c>
      <c r="AR230" s="241">
        <f t="shared" ca="1" si="211"/>
        <v>-23438.960000000003</v>
      </c>
      <c r="AS230" s="27">
        <f t="shared" ca="1" si="212"/>
        <v>-27290.776285720003</v>
      </c>
      <c r="AT230" s="28">
        <f t="shared" ca="1" si="213"/>
        <v>-25917.73</v>
      </c>
      <c r="AU230" s="241">
        <f t="shared" si="214"/>
        <v>-50067.700000000012</v>
      </c>
      <c r="AV230" s="27">
        <f t="shared" si="215"/>
        <v>-54726.395087079996</v>
      </c>
      <c r="AW230" s="28">
        <f t="shared" si="216"/>
        <v>-26293</v>
      </c>
      <c r="AX230" s="241">
        <f t="shared" si="217"/>
        <v>-9078.64</v>
      </c>
      <c r="AY230" s="27">
        <f t="shared" si="218"/>
        <v>-13605.947311200001</v>
      </c>
      <c r="AZ230" s="28">
        <f t="shared" si="219"/>
        <v>-14741.81</v>
      </c>
      <c r="BA230" s="241">
        <f t="shared" si="220"/>
        <v>-14360.32</v>
      </c>
      <c r="BB230" s="27">
        <f t="shared" si="221"/>
        <v>-13684.82897452</v>
      </c>
      <c r="BC230" s="28">
        <f t="shared" si="222"/>
        <v>-11175.919999999998</v>
      </c>
      <c r="BD230" s="241">
        <f t="shared" si="223"/>
        <v>-12363.349999999999</v>
      </c>
      <c r="BE230" s="27">
        <f t="shared" si="224"/>
        <v>-13716.195037680001</v>
      </c>
      <c r="BF230" s="28">
        <f t="shared" si="225"/>
        <v>-375.27</v>
      </c>
      <c r="BG230" s="241">
        <f t="shared" si="226"/>
        <v>-14265.39</v>
      </c>
      <c r="BH230" s="27">
        <f t="shared" si="227"/>
        <v>-13719.423763680001</v>
      </c>
      <c r="BI230" s="28">
        <f t="shared" si="228"/>
        <v>0</v>
      </c>
      <c r="BK230" s="448">
        <f t="shared" si="185"/>
        <v>-54726.395087079996</v>
      </c>
      <c r="BL230" s="448">
        <f t="shared" si="186"/>
        <v>0</v>
      </c>
      <c r="BM230" s="448">
        <f t="shared" si="187"/>
        <v>-20702.310000000001</v>
      </c>
      <c r="BN230" s="448">
        <f t="shared" ca="1" si="188"/>
        <v>5215.4199999999983</v>
      </c>
    </row>
    <row r="231" spans="1:66" s="29" customFormat="1" hidden="1" outlineLevel="1" x14ac:dyDescent="0.3">
      <c r="A231" s="22" t="s">
        <v>270</v>
      </c>
      <c r="B231" s="23"/>
      <c r="C231" s="24" t="s">
        <v>62</v>
      </c>
      <c r="D231" s="113"/>
      <c r="E231" s="114">
        <v>-4.0000000000000001E-3</v>
      </c>
      <c r="F231" s="56"/>
      <c r="G231" s="33"/>
      <c r="H231" s="241">
        <v>-51.4</v>
      </c>
      <c r="I231" s="27">
        <v>-367.24903449999999</v>
      </c>
      <c r="J231" s="28">
        <f>SUMIFS(Aut_BlueMe_Sem_Pedido!$J:$J,Aut_BlueMe_Sem_Pedido!$Q:$Q,DRE!H$4,Aut_BlueMe_Sem_Pedido!$H:$H,DRE!$A231)+SUMIFS(Aut_Ajustes_Manuais!$G:$G,Aut_Ajustes_Manuais!$I:$I,DRE!H$4,Aut_Ajustes_Manuais!$F:$F,"Descartaveis")</f>
        <v>-56</v>
      </c>
      <c r="K231" s="241">
        <v>-85.9</v>
      </c>
      <c r="L231" s="27">
        <v>-357.65854350000001</v>
      </c>
      <c r="M231" s="28">
        <f>SUMIFS(Aut_BlueMe_Sem_Pedido!$J:$J,Aut_BlueMe_Sem_Pedido!$Q:$Q,DRE!K$4,Aut_BlueMe_Sem_Pedido!$H:$H,DRE!$A231)+SUMIFS(Aut_Ajustes_Manuais!$G:$G,Aut_Ajustes_Manuais!$I:$I,DRE!K$4,Aut_Ajustes_Manuais!$F:$F,"Descartaveis")</f>
        <v>0</v>
      </c>
      <c r="N231" s="241">
        <v>-1242.3</v>
      </c>
      <c r="O231" s="27">
        <v>-322.5265609999999</v>
      </c>
      <c r="P231" s="28">
        <f>SUMIFS(Aut_BlueMe_Sem_Pedido!$J:$J,Aut_BlueMe_Sem_Pedido!$Q:$Q,DRE!N$4,Aut_BlueMe_Sem_Pedido!$H:$H,DRE!$A231)+SUMIFS(Aut_Ajustes_Manuais!$G:$G,Aut_Ajustes_Manuais!$I:$I,DRE!N$4,Aut_Ajustes_Manuais!$F:$F,"Descartaveis")</f>
        <v>-66.8</v>
      </c>
      <c r="Q231" s="241">
        <v>-66.2</v>
      </c>
      <c r="R231" s="27">
        <v>-328.32539550000001</v>
      </c>
      <c r="S231" s="28">
        <f>SUMIFS(Aut_BlueMe_Sem_Pedido!$J:$J,Aut_BlueMe_Sem_Pedido!$Q:$Q,DRE!Q$4,Aut_BlueMe_Sem_Pedido!$H:$H,DRE!$A231)+SUMIFS(Aut_Ajustes_Manuais!$G:$G,Aut_Ajustes_Manuais!$I:$I,DRE!Q$4,Aut_Ajustes_Manuais!$F:$F,"Descartaveis")</f>
        <v>0</v>
      </c>
      <c r="T231" s="241">
        <v>-35.5</v>
      </c>
      <c r="U231" s="27">
        <v>-421.97896214999997</v>
      </c>
      <c r="V231" s="28">
        <f>SUMIFS(Aut_BlueMe_Sem_Pedido!$J:$J,Aut_BlueMe_Sem_Pedido!$Q:$Q,DRE!T$4,Aut_BlueMe_Sem_Pedido!$H:$H,DRE!$A231)+SUMIFS(Aut_Ajustes_Manuais!$G:$G,Aut_Ajustes_Manuais!$I:$I,DRE!T$4,Aut_Ajustes_Manuais!$F:$F,"Descartaveis")</f>
        <v>-69</v>
      </c>
      <c r="W231" s="241">
        <v>-68.099999999999994</v>
      </c>
      <c r="X231" s="27">
        <v>-395.73186049999998</v>
      </c>
      <c r="Y231" s="28">
        <f>SUMIFS(Aut_BlueMe_Sem_Pedido!$J:$J,Aut_BlueMe_Sem_Pedido!$Q:$Q,DRE!W$4,Aut_BlueMe_Sem_Pedido!$H:$H,DRE!$A231)+SUMIFS(Aut_Ajustes_Manuais!$G:$G,Aut_Ajustes_Manuais!$I:$I,DRE!W$4,Aut_Ajustes_Manuais!$F:$F,"Descartaveis")</f>
        <v>0</v>
      </c>
      <c r="Z231" s="241">
        <v>-39.5</v>
      </c>
      <c r="AA231" s="27">
        <v>-393.68617799999993</v>
      </c>
      <c r="AB231" s="28">
        <f>SUMIFS(Aut_BlueMe_Sem_Pedido!$J:$J,Aut_BlueMe_Sem_Pedido!$Q:$Q,DRE!Z$4,Aut_BlueMe_Sem_Pedido!$H:$H,DRE!$A231)+SUMIFS(Aut_Ajustes_Manuais!$G:$G,Aut_Ajustes_Manuais!$I:$I,DRE!Z$4,Aut_Ajustes_Manuais!$F:$F,"Descartaveis")</f>
        <v>0</v>
      </c>
      <c r="AC231" s="241">
        <v>-218.9</v>
      </c>
      <c r="AD231" s="27">
        <v>-410.61219030000001</v>
      </c>
      <c r="AE231" s="28">
        <f>SUMIFS(Aut_BlueMe_Sem_Pedido!$J:$J,Aut_BlueMe_Sem_Pedido!$Q:$Q,DRE!AC$4,Aut_BlueMe_Sem_Pedido!$H:$H,DRE!$A231)+SUMIFS(Aut_Ajustes_Manuais!$G:$G,Aut_Ajustes_Manuais!$I:$I,DRE!AC$4,Aut_Ajustes_Manuais!$F:$F,"Descartaveis")</f>
        <v>0</v>
      </c>
      <c r="AF231" s="241">
        <v>-56</v>
      </c>
      <c r="AG231" s="27">
        <v>-380.94542879999989</v>
      </c>
      <c r="AH231" s="28">
        <f>SUMIFS(Aut_BlueMe_Sem_Pedido!$J:$J,Aut_BlueMe_Sem_Pedido!$Q:$Q,DRE!AF$4,Aut_BlueMe_Sem_Pedido!$H:$H,DRE!$A231)+SUMIFS(Aut_Ajustes_Manuais!$G:$G,Aut_Ajustes_Manuais!$I:$I,DRE!AF$4,Aut_Ajustes_Manuais!$F:$F,"Descartaveis")</f>
        <v>0</v>
      </c>
      <c r="AI231" s="241">
        <v>-45.6</v>
      </c>
      <c r="AJ231" s="27">
        <v>-382.21298400000001</v>
      </c>
      <c r="AK231" s="28">
        <f>SUMIFS(Aut_BlueMe_Sem_Pedido!$J:$J,Aut_BlueMe_Sem_Pedido!$Q:$Q,DRE!AI$4,Aut_BlueMe_Sem_Pedido!$H:$H,DRE!$A231)+SUMIFS(Aut_Ajustes_Manuais!$G:$G,Aut_Ajustes_Manuais!$I:$I,DRE!AI$4,Aut_Ajustes_Manuais!$F:$F,"Descartaveis")</f>
        <v>0</v>
      </c>
      <c r="AL231" s="241">
        <v>-201</v>
      </c>
      <c r="AM231" s="27">
        <v>-414.66672060000002</v>
      </c>
      <c r="AN231" s="28">
        <f>SUMIFS(Aut_BlueMe_Sem_Pedido!$J:$J,Aut_BlueMe_Sem_Pedido!$Q:$Q,DRE!AL$4,Aut_BlueMe_Sem_Pedido!$H:$H,DRE!$A231)+SUMIFS(Aut_Ajustes_Manuais!$G:$G,Aut_Ajustes_Manuais!$I:$I,DRE!AL$4,Aut_Ajustes_Manuais!$F:$F,"Descartaveis")</f>
        <v>0</v>
      </c>
      <c r="AO231" s="241">
        <v>-571.5</v>
      </c>
      <c r="AP231" s="27">
        <v>-392.4</v>
      </c>
      <c r="AQ231" s="28">
        <f>SUMIFS(Aut_BlueMe_Sem_Pedido!$J:$J,Aut_BlueMe_Sem_Pedido!$Q:$Q,DRE!AO$4,Aut_BlueMe_Sem_Pedido!$H:$H,DRE!$A231)+SUMIFS(Aut_Ajustes_Manuais!$G:$G,Aut_Ajustes_Manuais!$I:$I,DRE!AO$4,Aut_Ajustes_Manuais!$F:$F,"Descartaveis")</f>
        <v>0</v>
      </c>
      <c r="AR231" s="241">
        <f t="shared" ca="1" si="211"/>
        <v>-1549.3999999999999</v>
      </c>
      <c r="AS231" s="27">
        <f t="shared" ca="1" si="212"/>
        <v>-2193.4703571499999</v>
      </c>
      <c r="AT231" s="28">
        <f t="shared" ca="1" si="213"/>
        <v>-191.8</v>
      </c>
      <c r="AU231" s="241">
        <f t="shared" si="214"/>
        <v>-2681.8999999999996</v>
      </c>
      <c r="AV231" s="27">
        <f t="shared" si="215"/>
        <v>-4567.993858849999</v>
      </c>
      <c r="AW231" s="28">
        <f t="shared" si="216"/>
        <v>-191.8</v>
      </c>
      <c r="AX231" s="241">
        <f t="shared" si="217"/>
        <v>-1379.6</v>
      </c>
      <c r="AY231" s="27">
        <f t="shared" si="218"/>
        <v>-1047.434139</v>
      </c>
      <c r="AZ231" s="28">
        <f t="shared" si="219"/>
        <v>-122.8</v>
      </c>
      <c r="BA231" s="241">
        <f t="shared" si="220"/>
        <v>-169.8</v>
      </c>
      <c r="BB231" s="27">
        <f t="shared" si="221"/>
        <v>-1146.03621815</v>
      </c>
      <c r="BC231" s="28">
        <f t="shared" si="222"/>
        <v>-69</v>
      </c>
      <c r="BD231" s="241">
        <f t="shared" si="223"/>
        <v>-314.39999999999998</v>
      </c>
      <c r="BE231" s="27">
        <f t="shared" si="224"/>
        <v>-1185.2437970999999</v>
      </c>
      <c r="BF231" s="28">
        <f t="shared" si="225"/>
        <v>0</v>
      </c>
      <c r="BG231" s="241">
        <f t="shared" si="226"/>
        <v>-818.1</v>
      </c>
      <c r="BH231" s="27">
        <f t="shared" si="227"/>
        <v>-1189.2797046000001</v>
      </c>
      <c r="BI231" s="28">
        <f t="shared" si="228"/>
        <v>0</v>
      </c>
      <c r="BK231" s="448">
        <f t="shared" si="185"/>
        <v>-4567.993858849999</v>
      </c>
      <c r="BL231" s="448">
        <f t="shared" si="186"/>
        <v>0</v>
      </c>
      <c r="BM231" s="448">
        <f t="shared" si="187"/>
        <v>-191.8</v>
      </c>
      <c r="BN231" s="448">
        <f t="shared" ca="1" si="188"/>
        <v>0</v>
      </c>
    </row>
    <row r="232" spans="1:66" s="29" customFormat="1" hidden="1" outlineLevel="1" x14ac:dyDescent="0.3">
      <c r="A232" s="22" t="s">
        <v>271</v>
      </c>
      <c r="B232" s="23"/>
      <c r="C232" s="24" t="s">
        <v>69</v>
      </c>
      <c r="D232" s="81"/>
      <c r="E232" s="115"/>
      <c r="F232" s="56"/>
      <c r="G232" s="33"/>
      <c r="H232" s="241">
        <v>-550</v>
      </c>
      <c r="I232" s="27">
        <v>-605</v>
      </c>
      <c r="J232" s="28">
        <f>SUMIFS(Aut_BlueMe_Sem_Pedido!$J:$J,Aut_BlueMe_Sem_Pedido!$Q:$Q,DRE!H$4,Aut_BlueMe_Sem_Pedido!$H:$H,DRE!$A232)+SUMIFS(Aut_Ajustes_Manuais!$G:$G,Aut_Ajustes_Manuais!$I:$I,DRE!H$4,Aut_Ajustes_Manuais!$F:$F,"Controle de Pragas")</f>
        <v>0</v>
      </c>
      <c r="K232" s="241">
        <v>-550</v>
      </c>
      <c r="L232" s="27">
        <v>-605</v>
      </c>
      <c r="M232" s="28">
        <f>SUMIFS(Aut_BlueMe_Sem_Pedido!$J:$J,Aut_BlueMe_Sem_Pedido!$Q:$Q,DRE!K$4,Aut_BlueMe_Sem_Pedido!$H:$H,DRE!$A232)+SUMIFS(Aut_Ajustes_Manuais!$G:$G,Aut_Ajustes_Manuais!$I:$I,DRE!K$4,Aut_Ajustes_Manuais!$F:$F,"Controle de Pragas")</f>
        <v>-550</v>
      </c>
      <c r="N232" s="241">
        <v>-550</v>
      </c>
      <c r="O232" s="27">
        <v>-605</v>
      </c>
      <c r="P232" s="28">
        <f>SUMIFS(Aut_BlueMe_Sem_Pedido!$J:$J,Aut_BlueMe_Sem_Pedido!$Q:$Q,DRE!N$4,Aut_BlueMe_Sem_Pedido!$H:$H,DRE!$A232)+SUMIFS(Aut_Ajustes_Manuais!$G:$G,Aut_Ajustes_Manuais!$I:$I,DRE!N$4,Aut_Ajustes_Manuais!$F:$F,"Controle de Pragas")</f>
        <v>-550</v>
      </c>
      <c r="Q232" s="241">
        <v>-550</v>
      </c>
      <c r="R232" s="27">
        <v>-605</v>
      </c>
      <c r="S232" s="28">
        <f>SUMIFS(Aut_BlueMe_Sem_Pedido!$J:$J,Aut_BlueMe_Sem_Pedido!$Q:$Q,DRE!Q$4,Aut_BlueMe_Sem_Pedido!$H:$H,DRE!$A232)+SUMIFS(Aut_Ajustes_Manuais!$G:$G,Aut_Ajustes_Manuais!$I:$I,DRE!Q$4,Aut_Ajustes_Manuais!$F:$F,"Controle de Pragas")</f>
        <v>-550</v>
      </c>
      <c r="T232" s="241">
        <v>-550</v>
      </c>
      <c r="U232" s="27">
        <v>-605</v>
      </c>
      <c r="V232" s="27">
        <f>SUMIFS(Aut_BlueMe_Sem_Pedido!$J:$J,Aut_BlueMe_Sem_Pedido!$Q:$Q,DRE!T$4,Aut_BlueMe_Sem_Pedido!$H:$H,DRE!$A232)+SUMIFS(Aut_Ajustes_Manuais!$G:$G,Aut_Ajustes_Manuais!$I:$I,DRE!T$4,Aut_Ajustes_Manuais!$F:$F,"Controle de Pragas")</f>
        <v>-1150</v>
      </c>
      <c r="W232" s="241">
        <v>-550</v>
      </c>
      <c r="X232" s="27">
        <v>-605</v>
      </c>
      <c r="Y232" s="28">
        <f>SUMIFS(Aut_BlueMe_Sem_Pedido!$J:$J,Aut_BlueMe_Sem_Pedido!$Q:$Q,DRE!W$4,Aut_BlueMe_Sem_Pedido!$H:$H,DRE!$A232)+SUMIFS(Aut_Ajustes_Manuais!$G:$G,Aut_Ajustes_Manuais!$I:$I,DRE!W$4,Aut_Ajustes_Manuais!$F:$F,"Controle de Pragas")</f>
        <v>0</v>
      </c>
      <c r="Z232" s="241">
        <v>-550</v>
      </c>
      <c r="AA232" s="27">
        <v>-605</v>
      </c>
      <c r="AB232" s="28">
        <f>SUMIFS(Aut_BlueMe_Sem_Pedido!$J:$J,Aut_BlueMe_Sem_Pedido!$Q:$Q,DRE!Z$4,Aut_BlueMe_Sem_Pedido!$H:$H,DRE!$A232)+SUMIFS(Aut_Ajustes_Manuais!$G:$G,Aut_Ajustes_Manuais!$I:$I,DRE!Z$4,Aut_Ajustes_Manuais!$F:$F,"Controle de Pragas")</f>
        <v>-550</v>
      </c>
      <c r="AC232" s="241">
        <v>-550</v>
      </c>
      <c r="AD232" s="27">
        <v>-605</v>
      </c>
      <c r="AE232" s="28">
        <f>SUMIFS(Aut_BlueMe_Sem_Pedido!$J:$J,Aut_BlueMe_Sem_Pedido!$Q:$Q,DRE!AC$4,Aut_BlueMe_Sem_Pedido!$H:$H,DRE!$A232)+SUMIFS(Aut_Ajustes_Manuais!$G:$G,Aut_Ajustes_Manuais!$I:$I,DRE!AC$4,Aut_Ajustes_Manuais!$F:$F,"Controle de Pragas")</f>
        <v>-550</v>
      </c>
      <c r="AF232" s="241">
        <v>-550</v>
      </c>
      <c r="AG232" s="27">
        <v>-605</v>
      </c>
      <c r="AH232" s="28">
        <f>SUMIFS(Aut_BlueMe_Sem_Pedido!$J:$J,Aut_BlueMe_Sem_Pedido!$Q:$Q,DRE!AF$4,Aut_BlueMe_Sem_Pedido!$H:$H,DRE!$A232)+SUMIFS(Aut_Ajustes_Manuais!$G:$G,Aut_Ajustes_Manuais!$I:$I,DRE!AF$4,Aut_Ajustes_Manuais!$F:$F,"Controle de Pragas")</f>
        <v>-550</v>
      </c>
      <c r="AI232" s="241">
        <v>-550</v>
      </c>
      <c r="AJ232" s="27">
        <v>-605</v>
      </c>
      <c r="AK232" s="28">
        <f>SUMIFS(Aut_BlueMe_Sem_Pedido!$J:$J,Aut_BlueMe_Sem_Pedido!$Q:$Q,DRE!AI$4,Aut_BlueMe_Sem_Pedido!$H:$H,DRE!$A232)+SUMIFS(Aut_Ajustes_Manuais!$G:$G,Aut_Ajustes_Manuais!$I:$I,DRE!AI$4,Aut_Ajustes_Manuais!$F:$F,"Controle de Pragas")</f>
        <v>-550</v>
      </c>
      <c r="AL232" s="241">
        <v>-1100</v>
      </c>
      <c r="AM232" s="27">
        <v>-605</v>
      </c>
      <c r="AN232" s="28">
        <f>SUMIFS(Aut_BlueMe_Sem_Pedido!$J:$J,Aut_BlueMe_Sem_Pedido!$Q:$Q,DRE!AL$4,Aut_BlueMe_Sem_Pedido!$H:$H,DRE!$A232)+SUMIFS(Aut_Ajustes_Manuais!$G:$G,Aut_Ajustes_Manuais!$I:$I,DRE!AL$4,Aut_Ajustes_Manuais!$F:$F,"Controle de Pragas")</f>
        <v>-550</v>
      </c>
      <c r="AO232" s="241">
        <v>-550</v>
      </c>
      <c r="AP232" s="27">
        <v>-605</v>
      </c>
      <c r="AQ232" s="28">
        <f>SUMIFS(Aut_BlueMe_Sem_Pedido!$J:$J,Aut_BlueMe_Sem_Pedido!$Q:$Q,DRE!AO$4,Aut_BlueMe_Sem_Pedido!$H:$H,DRE!$A232)+SUMIFS(Aut_Ajustes_Manuais!$G:$G,Aut_Ajustes_Manuais!$I:$I,DRE!AO$4,Aut_Ajustes_Manuais!$F:$F,"Controle de Pragas")</f>
        <v>-550</v>
      </c>
      <c r="AR232" s="241">
        <f t="shared" ca="1" si="211"/>
        <v>-3300</v>
      </c>
      <c r="AS232" s="27">
        <f t="shared" ca="1" si="212"/>
        <v>-3630</v>
      </c>
      <c r="AT232" s="28">
        <f t="shared" ca="1" si="213"/>
        <v>-2800</v>
      </c>
      <c r="AU232" s="241">
        <f t="shared" si="214"/>
        <v>-7150</v>
      </c>
      <c r="AV232" s="27">
        <f t="shared" si="215"/>
        <v>-7260</v>
      </c>
      <c r="AW232" s="28">
        <f t="shared" si="216"/>
        <v>-6100</v>
      </c>
      <c r="AX232" s="241">
        <f t="shared" si="217"/>
        <v>-1650</v>
      </c>
      <c r="AY232" s="27">
        <f t="shared" si="218"/>
        <v>-1815</v>
      </c>
      <c r="AZ232" s="28">
        <f t="shared" si="219"/>
        <v>-1100</v>
      </c>
      <c r="BA232" s="241">
        <f t="shared" si="220"/>
        <v>-1650</v>
      </c>
      <c r="BB232" s="27">
        <f t="shared" si="221"/>
        <v>-1815</v>
      </c>
      <c r="BC232" s="28">
        <f t="shared" si="222"/>
        <v>-1700</v>
      </c>
      <c r="BD232" s="241">
        <f t="shared" si="223"/>
        <v>-1650</v>
      </c>
      <c r="BE232" s="27">
        <f t="shared" si="224"/>
        <v>-1815</v>
      </c>
      <c r="BF232" s="28">
        <f t="shared" si="225"/>
        <v>-1650</v>
      </c>
      <c r="BG232" s="241">
        <f t="shared" si="226"/>
        <v>-2200</v>
      </c>
      <c r="BH232" s="27">
        <f t="shared" si="227"/>
        <v>-1815</v>
      </c>
      <c r="BI232" s="28">
        <f t="shared" si="228"/>
        <v>-1650</v>
      </c>
      <c r="BK232" s="448">
        <f t="shared" si="185"/>
        <v>-7260</v>
      </c>
      <c r="BL232" s="448">
        <f t="shared" si="186"/>
        <v>0</v>
      </c>
      <c r="BM232" s="448">
        <f t="shared" si="187"/>
        <v>-2800</v>
      </c>
      <c r="BN232" s="448">
        <f t="shared" ca="1" si="188"/>
        <v>0</v>
      </c>
    </row>
    <row r="233" spans="1:66" s="29" customFormat="1" hidden="1" outlineLevel="1" x14ac:dyDescent="0.3">
      <c r="A233" s="22" t="s">
        <v>272</v>
      </c>
      <c r="B233" s="23"/>
      <c r="C233" s="24" t="s">
        <v>62</v>
      </c>
      <c r="D233" s="113">
        <v>-4000</v>
      </c>
      <c r="E233" s="114">
        <v>-8.0000000000000004E-4</v>
      </c>
      <c r="F233" s="56"/>
      <c r="G233" s="33"/>
      <c r="H233" s="241">
        <v>-475</v>
      </c>
      <c r="I233" s="27">
        <v>-620</v>
      </c>
      <c r="J233" s="28">
        <f>SUMIFS(Aut_BlueMe_Sem_Pedido!$J:$J,Aut_BlueMe_Sem_Pedido!$Q:$Q,DRE!H$4,Aut_BlueMe_Sem_Pedido!$H:$H,DRE!$A233)+SUMIFS(Aut_Ajustes_Manuais!$G:$G,Aut_Ajustes_Manuais!$I:$I,DRE!H$4,Aut_Ajustes_Manuais!$F:$F,"Coleta de lixo")</f>
        <v>-587.1</v>
      </c>
      <c r="K233" s="241">
        <v>-570</v>
      </c>
      <c r="L233" s="27">
        <v>-620</v>
      </c>
      <c r="M233" s="28">
        <f>SUMIFS(Aut_BlueMe_Sem_Pedido!$J:$J,Aut_BlueMe_Sem_Pedido!$Q:$Q,DRE!K$4,Aut_BlueMe_Sem_Pedido!$H:$H,DRE!$A233)+SUMIFS(Aut_Ajustes_Manuais!$G:$G,Aut_Ajustes_Manuais!$I:$I,DRE!K$4,Aut_Ajustes_Manuais!$F:$F,"Coleta de lixo")</f>
        <v>-587.1</v>
      </c>
      <c r="N233" s="241">
        <v>-600</v>
      </c>
      <c r="O233" s="27">
        <v>-620</v>
      </c>
      <c r="P233" s="28">
        <f>SUMIFS(Aut_BlueMe_Sem_Pedido!$J:$J,Aut_BlueMe_Sem_Pedido!$Q:$Q,DRE!N$4,Aut_BlueMe_Sem_Pedido!$H:$H,DRE!$A233)+SUMIFS(Aut_Ajustes_Manuais!$G:$G,Aut_Ajustes_Manuais!$I:$I,DRE!N$4,Aut_Ajustes_Manuais!$F:$F,"Coleta de lixo")</f>
        <v>-758.1</v>
      </c>
      <c r="Q233" s="241">
        <v>-570</v>
      </c>
      <c r="R233" s="27">
        <v>-620</v>
      </c>
      <c r="S233" s="28">
        <f>SUMIFS(Aut_BlueMe_Sem_Pedido!$J:$J,Aut_BlueMe_Sem_Pedido!$Q:$Q,DRE!Q$4,Aut_BlueMe_Sem_Pedido!$H:$H,DRE!$A233)+SUMIFS(Aut_Ajustes_Manuais!$G:$G,Aut_Ajustes_Manuais!$I:$I,DRE!Q$4,Aut_Ajustes_Manuais!$F:$F,"Coleta de lixo")</f>
        <v>-570</v>
      </c>
      <c r="T233" s="241">
        <v>-570</v>
      </c>
      <c r="U233" s="27">
        <v>-620</v>
      </c>
      <c r="V233" s="28">
        <f>SUMIFS(Aut_BlueMe_Sem_Pedido!$J:$J,Aut_BlueMe_Sem_Pedido!$Q:$Q,DRE!T$4,Aut_BlueMe_Sem_Pedido!$H:$H,DRE!$A233)+SUMIFS(Aut_Ajustes_Manuais!$G:$G,Aut_Ajustes_Manuais!$I:$I,DRE!T$4,Aut_Ajustes_Manuais!$F:$F,"Coleta de lixo")</f>
        <v>-724.49</v>
      </c>
      <c r="W233" s="241">
        <v>-570</v>
      </c>
      <c r="X233" s="27">
        <v>-620</v>
      </c>
      <c r="Y233" s="28">
        <f>SUMIFS(Aut_BlueMe_Sem_Pedido!$J:$J,Aut_BlueMe_Sem_Pedido!$Q:$Q,DRE!W$4,Aut_BlueMe_Sem_Pedido!$H:$H,DRE!$A233)+SUMIFS(Aut_Ajustes_Manuais!$G:$G,Aut_Ajustes_Manuais!$I:$I,DRE!W$4,Aut_Ajustes_Manuais!$F:$F,"Coleta de lixo")</f>
        <v>-705.5</v>
      </c>
      <c r="Z233" s="241">
        <v>-570</v>
      </c>
      <c r="AA233" s="27">
        <v>-620</v>
      </c>
      <c r="AB233" s="28">
        <f>SUMIFS(Aut_BlueMe_Sem_Pedido!$J:$J,Aut_BlueMe_Sem_Pedido!$Q:$Q,DRE!Z$4,Aut_BlueMe_Sem_Pedido!$H:$H,DRE!$A233)+SUMIFS(Aut_Ajustes_Manuais!$G:$G,Aut_Ajustes_Manuais!$I:$I,DRE!Z$4,Aut_Ajustes_Manuais!$F:$F,"Coleta de lixo")</f>
        <v>-1050</v>
      </c>
      <c r="AC233" s="241">
        <v>-884</v>
      </c>
      <c r="AD233" s="27">
        <v>-620</v>
      </c>
      <c r="AE233" s="28">
        <f>SUMIFS(Aut_BlueMe_Sem_Pedido!$J:$J,Aut_BlueMe_Sem_Pedido!$Q:$Q,DRE!AC$4,Aut_BlueMe_Sem_Pedido!$H:$H,DRE!$A233)+SUMIFS(Aut_Ajustes_Manuais!$G:$G,Aut_Ajustes_Manuais!$I:$I,DRE!AC$4,Aut_Ajustes_Manuais!$F:$F,"Coleta de lixo")</f>
        <v>-1050</v>
      </c>
      <c r="AF233" s="241">
        <v>-570</v>
      </c>
      <c r="AG233" s="27">
        <v>-620</v>
      </c>
      <c r="AH233" s="28">
        <f>SUMIFS(Aut_BlueMe_Sem_Pedido!$J:$J,Aut_BlueMe_Sem_Pedido!$Q:$Q,DRE!AF$4,Aut_BlueMe_Sem_Pedido!$H:$H,DRE!$A233)+SUMIFS(Aut_Ajustes_Manuais!$G:$G,Aut_Ajustes_Manuais!$I:$I,DRE!AF$4,Aut_Ajustes_Manuais!$F:$F,"Coleta de lixo")</f>
        <v>-1050</v>
      </c>
      <c r="AI233" s="241">
        <v>-570</v>
      </c>
      <c r="AJ233" s="27">
        <v>-620</v>
      </c>
      <c r="AK233" s="28">
        <f>SUMIFS(Aut_BlueMe_Sem_Pedido!$J:$J,Aut_BlueMe_Sem_Pedido!$Q:$Q,DRE!AI$4,Aut_BlueMe_Sem_Pedido!$H:$H,DRE!$A233)+SUMIFS(Aut_Ajustes_Manuais!$G:$G,Aut_Ajustes_Manuais!$I:$I,DRE!AI$4,Aut_Ajustes_Manuais!$F:$F,"Coleta de lixo")</f>
        <v>-1050</v>
      </c>
      <c r="AL233" s="241">
        <v>-570</v>
      </c>
      <c r="AM233" s="27">
        <v>-620</v>
      </c>
      <c r="AN233" s="28">
        <f>SUMIFS(Aut_BlueMe_Sem_Pedido!$J:$J,Aut_BlueMe_Sem_Pedido!$Q:$Q,DRE!AL$4,Aut_BlueMe_Sem_Pedido!$H:$H,DRE!$A233)+SUMIFS(Aut_Ajustes_Manuais!$G:$G,Aut_Ajustes_Manuais!$I:$I,DRE!AL$4,Aut_Ajustes_Manuais!$F:$F,"Coleta de lixo")</f>
        <v>-1050</v>
      </c>
      <c r="AO233" s="241">
        <v>-570</v>
      </c>
      <c r="AP233" s="27">
        <v>-620</v>
      </c>
      <c r="AQ233" s="28">
        <f>SUMIFS(Aut_BlueMe_Sem_Pedido!$J:$J,Aut_BlueMe_Sem_Pedido!$Q:$Q,DRE!AO$4,Aut_BlueMe_Sem_Pedido!$H:$H,DRE!$A233)+SUMIFS(Aut_Ajustes_Manuais!$G:$G,Aut_Ajustes_Manuais!$I:$I,DRE!AO$4,Aut_Ajustes_Manuais!$F:$F,"Coleta de lixo")</f>
        <v>-1050</v>
      </c>
      <c r="AR233" s="241">
        <f t="shared" ca="1" si="211"/>
        <v>-3355</v>
      </c>
      <c r="AS233" s="27">
        <f t="shared" ca="1" si="212"/>
        <v>-3720</v>
      </c>
      <c r="AT233" s="28">
        <f t="shared" ca="1" si="213"/>
        <v>-3932.29</v>
      </c>
      <c r="AU233" s="241">
        <f t="shared" si="214"/>
        <v>-7089</v>
      </c>
      <c r="AV233" s="27">
        <f t="shared" si="215"/>
        <v>-7440</v>
      </c>
      <c r="AW233" s="28">
        <f t="shared" si="216"/>
        <v>-10232.290000000001</v>
      </c>
      <c r="AX233" s="241">
        <f t="shared" si="217"/>
        <v>-1645</v>
      </c>
      <c r="AY233" s="27">
        <f t="shared" si="218"/>
        <v>-1860</v>
      </c>
      <c r="AZ233" s="28">
        <f t="shared" si="219"/>
        <v>-1932.3000000000002</v>
      </c>
      <c r="BA233" s="241">
        <f t="shared" si="220"/>
        <v>-1710</v>
      </c>
      <c r="BB233" s="27">
        <f t="shared" si="221"/>
        <v>-1860</v>
      </c>
      <c r="BC233" s="28">
        <f t="shared" si="222"/>
        <v>-1999.99</v>
      </c>
      <c r="BD233" s="241">
        <f t="shared" si="223"/>
        <v>-2024</v>
      </c>
      <c r="BE233" s="27">
        <f t="shared" si="224"/>
        <v>-1860</v>
      </c>
      <c r="BF233" s="28">
        <f t="shared" si="225"/>
        <v>-3150</v>
      </c>
      <c r="BG233" s="241">
        <f t="shared" si="226"/>
        <v>-1710</v>
      </c>
      <c r="BH233" s="27">
        <f t="shared" si="227"/>
        <v>-1860</v>
      </c>
      <c r="BI233" s="28">
        <f t="shared" si="228"/>
        <v>-3150</v>
      </c>
      <c r="BK233" s="448">
        <f t="shared" si="185"/>
        <v>-7440</v>
      </c>
      <c r="BL233" s="448">
        <f t="shared" si="186"/>
        <v>0</v>
      </c>
      <c r="BM233" s="448">
        <f t="shared" si="187"/>
        <v>-3226.79</v>
      </c>
      <c r="BN233" s="448">
        <f t="shared" ca="1" si="188"/>
        <v>705.5</v>
      </c>
    </row>
    <row r="234" spans="1:66" s="29" customFormat="1" hidden="1" outlineLevel="1" x14ac:dyDescent="0.3">
      <c r="A234" s="22" t="s">
        <v>273</v>
      </c>
      <c r="B234" s="23"/>
      <c r="C234" s="24" t="s">
        <v>62</v>
      </c>
      <c r="D234" s="113">
        <v>-6000</v>
      </c>
      <c r="E234" s="114">
        <v>-8.0000000000000004E-4</v>
      </c>
      <c r="F234" s="56"/>
      <c r="G234" s="33"/>
      <c r="H234" s="241">
        <v>-1575.81</v>
      </c>
      <c r="I234" s="27">
        <v>-1500</v>
      </c>
      <c r="J234" s="28">
        <f>SUMIFS(Aut_BlueMe_Sem_Pedido!$J:$J,Aut_BlueMe_Sem_Pedido!$Q:$Q,DRE!H$4,Aut_BlueMe_Sem_Pedido!$H:$H,DRE!$A234)-SUMIFS(Aut_BlueMe_Com_Pedido!$O:$O,Aut_BlueMe_Com_Pedido!$Q:$Q,DRE!H$4)+SUMIFS(Aut_Ajustes_Manuais!$G:$G,Aut_Ajustes_Manuais!$I:$I,DRE!H$4,Aut_Ajustes_Manuais!$F:$F,"Utensilios")</f>
        <v>-2581.8199999999997</v>
      </c>
      <c r="K234" s="241">
        <v>0</v>
      </c>
      <c r="L234" s="27">
        <v>-1500</v>
      </c>
      <c r="M234" s="27">
        <f>SUMIFS(Aut_BlueMe_Sem_Pedido!$J:$J,Aut_BlueMe_Sem_Pedido!$Q:$Q,DRE!K$4,Aut_BlueMe_Sem_Pedido!$H:$H,DRE!$A234)-SUMIFS(Aut_BlueMe_Com_Pedido!$O:$O,Aut_BlueMe_Com_Pedido!$Q:$Q,DRE!K$4)+SUMIFS(Aut_Ajustes_Manuais!$G:$G,Aut_Ajustes_Manuais!$I:$I,DRE!K$4,Aut_Ajustes_Manuais!$F:$F,"Utensilios")</f>
        <v>-12573.369999999999</v>
      </c>
      <c r="N234" s="241">
        <v>-125.98</v>
      </c>
      <c r="O234" s="27">
        <v>-1500</v>
      </c>
      <c r="P234" s="28">
        <f>SUMIFS(Aut_BlueMe_Sem_Pedido!$J:$J,Aut_BlueMe_Sem_Pedido!$Q:$Q,DRE!N$4,Aut_BlueMe_Sem_Pedido!$H:$H,DRE!$A234)-SUMIFS(Aut_BlueMe_Com_Pedido!$O:$O,Aut_BlueMe_Com_Pedido!$Q:$Q,DRE!N$4)+SUMIFS(Aut_Ajustes_Manuais!$G:$G,Aut_Ajustes_Manuais!$I:$I,DRE!N$4,Aut_Ajustes_Manuais!$F:$F,"Utensilios")</f>
        <v>-1009.61</v>
      </c>
      <c r="Q234" s="241">
        <v>-811.56</v>
      </c>
      <c r="R234" s="27">
        <v>-1500</v>
      </c>
      <c r="S234" s="28">
        <f>SUMIFS(Aut_BlueMe_Sem_Pedido!$J:$J,Aut_BlueMe_Sem_Pedido!$Q:$Q,DRE!Q$4,Aut_BlueMe_Sem_Pedido!$H:$H,DRE!$A234)-SUMIFS(Aut_BlueMe_Com_Pedido!$O:$O,Aut_BlueMe_Com_Pedido!$Q:$Q,DRE!Q$4)+SUMIFS(Aut_Ajustes_Manuais!$G:$G,Aut_Ajustes_Manuais!$I:$I,DRE!Q$4,Aut_Ajustes_Manuais!$F:$F,"Utensilios")</f>
        <v>-1244.72</v>
      </c>
      <c r="T234" s="241">
        <v>-4087.3</v>
      </c>
      <c r="U234" s="27">
        <v>-1500</v>
      </c>
      <c r="V234" s="28">
        <f>SUMIFS(Aut_BlueMe_Sem_Pedido!$J:$J,Aut_BlueMe_Sem_Pedido!$Q:$Q,DRE!T$4,Aut_BlueMe_Sem_Pedido!$H:$H,DRE!$A234)-SUMIFS(Aut_BlueMe_Com_Pedido!$O:$O,Aut_BlueMe_Com_Pedido!$Q:$Q,DRE!T$4)+SUMIFS(Aut_Ajustes_Manuais!$G:$G,Aut_Ajustes_Manuais!$I:$I,DRE!T$4,Aut_Ajustes_Manuais!$F:$F,"Utensilios")</f>
        <v>-2869.46</v>
      </c>
      <c r="W234" s="241">
        <v>-765.34</v>
      </c>
      <c r="X234" s="27">
        <v>-1500</v>
      </c>
      <c r="Y234" s="28">
        <f>SUMIFS(Aut_BlueMe_Sem_Pedido!$J:$J,Aut_BlueMe_Sem_Pedido!$Q:$Q,DRE!W$4,Aut_BlueMe_Sem_Pedido!$H:$H,DRE!$A234)-SUMIFS(Aut_BlueMe_Com_Pedido!$O:$O,Aut_BlueMe_Com_Pedido!$Q:$Q,DRE!W$4)+SUMIFS(Aut_Ajustes_Manuais!$G:$G,Aut_Ajustes_Manuais!$I:$I,DRE!W$4,Aut_Ajustes_Manuais!$F:$F,"Utensilios")</f>
        <v>-3229.92</v>
      </c>
      <c r="Z234" s="241">
        <v>-631.26</v>
      </c>
      <c r="AA234" s="27">
        <v>-1500</v>
      </c>
      <c r="AB234" s="28">
        <f>SUMIFS(Aut_BlueMe_Sem_Pedido!$J:$J,Aut_BlueMe_Sem_Pedido!$Q:$Q,DRE!Z$4,Aut_BlueMe_Sem_Pedido!$H:$H,DRE!$A234)-SUMIFS(Aut_BlueMe_Com_Pedido!$O:$O,Aut_BlueMe_Com_Pedido!$Q:$Q,DRE!Z$4)+SUMIFS(Aut_Ajustes_Manuais!$G:$G,Aut_Ajustes_Manuais!$I:$I,DRE!Z$4,Aut_Ajustes_Manuais!$F:$F,"Utensilios")</f>
        <v>-39.72</v>
      </c>
      <c r="AC234" s="241">
        <v>-1403.25</v>
      </c>
      <c r="AD234" s="27">
        <v>-1500</v>
      </c>
      <c r="AE234" s="28">
        <f>SUMIFS(Aut_BlueMe_Sem_Pedido!$J:$J,Aut_BlueMe_Sem_Pedido!$Q:$Q,DRE!AC$4,Aut_BlueMe_Sem_Pedido!$H:$H,DRE!$A234)-SUMIFS(Aut_BlueMe_Com_Pedido!$O:$O,Aut_BlueMe_Com_Pedido!$Q:$Q,DRE!AC$4)+SUMIFS(Aut_Ajustes_Manuais!$G:$G,Aut_Ajustes_Manuais!$I:$I,DRE!AC$4,Aut_Ajustes_Manuais!$F:$F,"Utensilios")</f>
        <v>0</v>
      </c>
      <c r="AF234" s="241">
        <v>-3628.07</v>
      </c>
      <c r="AG234" s="27">
        <v>-1500</v>
      </c>
      <c r="AH234" s="28">
        <f>SUMIFS(Aut_BlueMe_Sem_Pedido!$J:$J,Aut_BlueMe_Sem_Pedido!$Q:$Q,DRE!AF$4,Aut_BlueMe_Sem_Pedido!$H:$H,DRE!$A234)-SUMIFS(Aut_BlueMe_Com_Pedido!$O:$O,Aut_BlueMe_Com_Pedido!$Q:$Q,DRE!AF$4)+SUMIFS(Aut_Ajustes_Manuais!$G:$G,Aut_Ajustes_Manuais!$I:$I,DRE!AF$4,Aut_Ajustes_Manuais!$F:$F,"Utensilios")</f>
        <v>0</v>
      </c>
      <c r="AI234" s="241">
        <v>-8600.1200000000008</v>
      </c>
      <c r="AJ234" s="27">
        <v>-1500</v>
      </c>
      <c r="AK234" s="28">
        <f>SUMIFS(Aut_BlueMe_Sem_Pedido!$J:$J,Aut_BlueMe_Sem_Pedido!$Q:$Q,DRE!AI$4,Aut_BlueMe_Sem_Pedido!$H:$H,DRE!$A234)-SUMIFS(Aut_BlueMe_Com_Pedido!$O:$O,Aut_BlueMe_Com_Pedido!$Q:$Q,DRE!AI$4)+SUMIFS(Aut_Ajustes_Manuais!$G:$G,Aut_Ajustes_Manuais!$I:$I,DRE!AI$4,Aut_Ajustes_Manuais!$F:$F,"Utensilios")</f>
        <v>0</v>
      </c>
      <c r="AL234" s="241">
        <v>-6254.99</v>
      </c>
      <c r="AM234" s="27">
        <v>-1500</v>
      </c>
      <c r="AN234" s="28">
        <f>SUMIFS(Aut_BlueMe_Sem_Pedido!$J:$J,Aut_BlueMe_Sem_Pedido!$Q:$Q,DRE!AL$4,Aut_BlueMe_Sem_Pedido!$H:$H,DRE!$A234)-SUMIFS(Aut_BlueMe_Com_Pedido!$O:$O,Aut_BlueMe_Com_Pedido!$Q:$Q,DRE!AL$4)+SUMIFS(Aut_Ajustes_Manuais!$G:$G,Aut_Ajustes_Manuais!$I:$I,DRE!AL$4,Aut_Ajustes_Manuais!$F:$F,"Utensilios")</f>
        <v>0</v>
      </c>
      <c r="AO234" s="241">
        <v>-3943.9</v>
      </c>
      <c r="AP234" s="27">
        <v>-1500</v>
      </c>
      <c r="AQ234" s="28">
        <f>SUMIFS(Aut_BlueMe_Sem_Pedido!$J:$J,Aut_BlueMe_Sem_Pedido!$Q:$Q,DRE!AO$4,Aut_BlueMe_Sem_Pedido!$H:$H,DRE!$A234)-SUMIFS(Aut_BlueMe_Com_Pedido!$O:$O,Aut_BlueMe_Com_Pedido!$Q:$Q,DRE!AO$4)+SUMIFS(Aut_Ajustes_Manuais!$G:$G,Aut_Ajustes_Manuais!$I:$I,DRE!AO$4,Aut_Ajustes_Manuais!$F:$F,"Utensilios")</f>
        <v>0</v>
      </c>
      <c r="AR234" s="241">
        <f t="shared" ca="1" si="211"/>
        <v>-7365.99</v>
      </c>
      <c r="AS234" s="27">
        <f t="shared" ca="1" si="212"/>
        <v>-9000</v>
      </c>
      <c r="AT234" s="28">
        <f t="shared" ca="1" si="213"/>
        <v>-23508.9</v>
      </c>
      <c r="AU234" s="241">
        <f t="shared" si="214"/>
        <v>-31827.58</v>
      </c>
      <c r="AV234" s="27">
        <f t="shared" si="215"/>
        <v>-18000</v>
      </c>
      <c r="AW234" s="28">
        <f t="shared" si="216"/>
        <v>-23548.620000000003</v>
      </c>
      <c r="AX234" s="241">
        <f t="shared" si="217"/>
        <v>-1701.79</v>
      </c>
      <c r="AY234" s="27">
        <f t="shared" si="218"/>
        <v>-4500</v>
      </c>
      <c r="AZ234" s="28">
        <f t="shared" si="219"/>
        <v>-16164.8</v>
      </c>
      <c r="BA234" s="241">
        <f t="shared" si="220"/>
        <v>-5664.2000000000007</v>
      </c>
      <c r="BB234" s="27">
        <f t="shared" si="221"/>
        <v>-4500</v>
      </c>
      <c r="BC234" s="28">
        <f t="shared" si="222"/>
        <v>-7344.1</v>
      </c>
      <c r="BD234" s="241">
        <f t="shared" si="223"/>
        <v>-5662.58</v>
      </c>
      <c r="BE234" s="27">
        <f t="shared" si="224"/>
        <v>-4500</v>
      </c>
      <c r="BF234" s="28">
        <f t="shared" si="225"/>
        <v>-39.72</v>
      </c>
      <c r="BG234" s="241">
        <f t="shared" si="226"/>
        <v>-18799.010000000002</v>
      </c>
      <c r="BH234" s="27">
        <f t="shared" si="227"/>
        <v>-4500</v>
      </c>
      <c r="BI234" s="28">
        <f t="shared" si="228"/>
        <v>0</v>
      </c>
      <c r="BK234" s="448">
        <f t="shared" si="185"/>
        <v>-18000</v>
      </c>
      <c r="BL234" s="448">
        <f t="shared" si="186"/>
        <v>0</v>
      </c>
      <c r="BM234" s="448">
        <f t="shared" si="187"/>
        <v>-20278.98</v>
      </c>
      <c r="BN234" s="448">
        <f t="shared" ca="1" si="188"/>
        <v>3229.9200000000019</v>
      </c>
    </row>
    <row r="235" spans="1:66" s="29" customFormat="1" hidden="1" outlineLevel="1" x14ac:dyDescent="0.3">
      <c r="A235" s="22" t="s">
        <v>274</v>
      </c>
      <c r="B235" s="23"/>
      <c r="C235" s="24" t="s">
        <v>62</v>
      </c>
      <c r="D235" s="113">
        <v>-300</v>
      </c>
      <c r="E235" s="114"/>
      <c r="F235" s="56"/>
      <c r="G235" s="33"/>
      <c r="H235" s="241">
        <v>-25</v>
      </c>
      <c r="I235" s="27">
        <v>0</v>
      </c>
      <c r="J235" s="28">
        <f>SUMIFS(Aut_BlueMe_Sem_Pedido!$J:$J,Aut_BlueMe_Sem_Pedido!$Q:$Q,DRE!H$4,Aut_BlueMe_Sem_Pedido!$H:$H,DRE!$A235)+SUMIFS(Aut_Ajustes_Manuais!$G:$G,Aut_Ajustes_Manuais!$I:$I,DRE!H$4,Aut_Ajustes_Manuais!$F:$F,"Serviços Graficos")</f>
        <v>0</v>
      </c>
      <c r="K235" s="241">
        <v>0</v>
      </c>
      <c r="L235" s="27">
        <v>0</v>
      </c>
      <c r="M235" s="28">
        <f>SUMIFS(Aut_BlueMe_Sem_Pedido!$J:$J,Aut_BlueMe_Sem_Pedido!$Q:$Q,DRE!K$4,Aut_BlueMe_Sem_Pedido!$H:$H,DRE!$A235)+SUMIFS(Aut_Ajustes_Manuais!$G:$G,Aut_Ajustes_Manuais!$I:$I,DRE!K$4,Aut_Ajustes_Manuais!$F:$F,"Serviços Graficos")</f>
        <v>0</v>
      </c>
      <c r="N235" s="241">
        <v>0</v>
      </c>
      <c r="O235" s="27">
        <v>0</v>
      </c>
      <c r="P235" s="28">
        <f>SUMIFS(Aut_BlueMe_Sem_Pedido!$J:$J,Aut_BlueMe_Sem_Pedido!$Q:$Q,DRE!N$4,Aut_BlueMe_Sem_Pedido!$H:$H,DRE!$A235)+SUMIFS(Aut_Ajustes_Manuais!$G:$G,Aut_Ajustes_Manuais!$I:$I,DRE!N$4,Aut_Ajustes_Manuais!$F:$F,"Serviços Graficos")</f>
        <v>0</v>
      </c>
      <c r="Q235" s="241">
        <v>0</v>
      </c>
      <c r="R235" s="27">
        <v>0</v>
      </c>
      <c r="S235" s="28">
        <f>SUMIFS(Aut_BlueMe_Sem_Pedido!$J:$J,Aut_BlueMe_Sem_Pedido!$Q:$Q,DRE!Q$4,Aut_BlueMe_Sem_Pedido!$H:$H,DRE!$A235)+SUMIFS(Aut_Ajustes_Manuais!$G:$G,Aut_Ajustes_Manuais!$I:$I,DRE!Q$4,Aut_Ajustes_Manuais!$F:$F,"Serviços Graficos")</f>
        <v>0</v>
      </c>
      <c r="T235" s="241">
        <v>0</v>
      </c>
      <c r="U235" s="27">
        <v>0</v>
      </c>
      <c r="V235" s="28">
        <f>SUMIFS(Aut_BlueMe_Sem_Pedido!$J:$J,Aut_BlueMe_Sem_Pedido!$Q:$Q,DRE!T$4,Aut_BlueMe_Sem_Pedido!$H:$H,DRE!$A235)+SUMIFS(Aut_Ajustes_Manuais!$G:$G,Aut_Ajustes_Manuais!$I:$I,DRE!T$4,Aut_Ajustes_Manuais!$F:$F,"Serviços Graficos")</f>
        <v>0</v>
      </c>
      <c r="W235" s="241">
        <v>0</v>
      </c>
      <c r="X235" s="27">
        <v>0</v>
      </c>
      <c r="Y235" s="28">
        <f>SUMIFS(Aut_BlueMe_Sem_Pedido!$J:$J,Aut_BlueMe_Sem_Pedido!$Q:$Q,DRE!W$4,Aut_BlueMe_Sem_Pedido!$H:$H,DRE!$A235)+SUMIFS(Aut_Ajustes_Manuais!$G:$G,Aut_Ajustes_Manuais!$I:$I,DRE!W$4,Aut_Ajustes_Manuais!$F:$F,"Serviços Graficos")</f>
        <v>0</v>
      </c>
      <c r="Z235" s="241">
        <v>0</v>
      </c>
      <c r="AA235" s="27">
        <v>0</v>
      </c>
      <c r="AB235" s="28">
        <f>SUMIFS(Aut_BlueMe_Sem_Pedido!$J:$J,Aut_BlueMe_Sem_Pedido!$Q:$Q,DRE!Z$4,Aut_BlueMe_Sem_Pedido!$H:$H,DRE!$A235)+SUMIFS(Aut_Ajustes_Manuais!$G:$G,Aut_Ajustes_Manuais!$I:$I,DRE!Z$4,Aut_Ajustes_Manuais!$F:$F,"Serviços Graficos")</f>
        <v>0</v>
      </c>
      <c r="AC235" s="241">
        <v>0</v>
      </c>
      <c r="AD235" s="27">
        <v>0</v>
      </c>
      <c r="AE235" s="28">
        <f>SUMIFS(Aut_BlueMe_Sem_Pedido!$J:$J,Aut_BlueMe_Sem_Pedido!$Q:$Q,DRE!AC$4,Aut_BlueMe_Sem_Pedido!$H:$H,DRE!$A235)+SUMIFS(Aut_Ajustes_Manuais!$G:$G,Aut_Ajustes_Manuais!$I:$I,DRE!AC$4,Aut_Ajustes_Manuais!$F:$F,"Serviços Graficos")</f>
        <v>0</v>
      </c>
      <c r="AF235" s="241">
        <v>0</v>
      </c>
      <c r="AG235" s="27">
        <v>0</v>
      </c>
      <c r="AH235" s="28">
        <f>SUMIFS(Aut_BlueMe_Sem_Pedido!$J:$J,Aut_BlueMe_Sem_Pedido!$Q:$Q,DRE!AF$4,Aut_BlueMe_Sem_Pedido!$H:$H,DRE!$A235)+SUMIFS(Aut_Ajustes_Manuais!$G:$G,Aut_Ajustes_Manuais!$I:$I,DRE!AF$4,Aut_Ajustes_Manuais!$F:$F,"Serviços Graficos")</f>
        <v>0</v>
      </c>
      <c r="AI235" s="241">
        <v>0</v>
      </c>
      <c r="AJ235" s="27">
        <v>0</v>
      </c>
      <c r="AK235" s="28">
        <f>SUMIFS(Aut_BlueMe_Sem_Pedido!$J:$J,Aut_BlueMe_Sem_Pedido!$Q:$Q,DRE!AI$4,Aut_BlueMe_Sem_Pedido!$H:$H,DRE!$A235)+SUMIFS(Aut_Ajustes_Manuais!$G:$G,Aut_Ajustes_Manuais!$I:$I,DRE!AI$4,Aut_Ajustes_Manuais!$F:$F,"Serviços Graficos")</f>
        <v>0</v>
      </c>
      <c r="AL235" s="241">
        <v>0</v>
      </c>
      <c r="AM235" s="27">
        <v>0</v>
      </c>
      <c r="AN235" s="28">
        <f>SUMIFS(Aut_BlueMe_Sem_Pedido!$J:$J,Aut_BlueMe_Sem_Pedido!$Q:$Q,DRE!AL$4,Aut_BlueMe_Sem_Pedido!$H:$H,DRE!$A235)+SUMIFS(Aut_Ajustes_Manuais!$G:$G,Aut_Ajustes_Manuais!$I:$I,DRE!AL$4,Aut_Ajustes_Manuais!$F:$F,"Serviços Graficos")</f>
        <v>0</v>
      </c>
      <c r="AO235" s="241">
        <v>0</v>
      </c>
      <c r="AP235" s="27">
        <v>0</v>
      </c>
      <c r="AQ235" s="28">
        <f>SUMIFS(Aut_BlueMe_Sem_Pedido!$J:$J,Aut_BlueMe_Sem_Pedido!$Q:$Q,DRE!AO$4,Aut_BlueMe_Sem_Pedido!$H:$H,DRE!$A235)+SUMIFS(Aut_Ajustes_Manuais!$G:$G,Aut_Ajustes_Manuais!$I:$I,DRE!AO$4,Aut_Ajustes_Manuais!$F:$F,"Serviços Graficos")</f>
        <v>0</v>
      </c>
      <c r="AR235" s="241">
        <f t="shared" ca="1" si="211"/>
        <v>-25</v>
      </c>
      <c r="AS235" s="27">
        <f t="shared" ca="1" si="212"/>
        <v>0</v>
      </c>
      <c r="AT235" s="28">
        <f t="shared" ca="1" si="213"/>
        <v>0</v>
      </c>
      <c r="AU235" s="241">
        <f t="shared" si="214"/>
        <v>-25</v>
      </c>
      <c r="AV235" s="27">
        <f t="shared" si="215"/>
        <v>0</v>
      </c>
      <c r="AW235" s="28">
        <f t="shared" si="216"/>
        <v>0</v>
      </c>
      <c r="AX235" s="241">
        <f t="shared" si="217"/>
        <v>-25</v>
      </c>
      <c r="AY235" s="27">
        <f t="shared" si="218"/>
        <v>0</v>
      </c>
      <c r="AZ235" s="28">
        <f t="shared" si="219"/>
        <v>0</v>
      </c>
      <c r="BA235" s="241">
        <f t="shared" si="220"/>
        <v>0</v>
      </c>
      <c r="BB235" s="27">
        <f t="shared" si="221"/>
        <v>0</v>
      </c>
      <c r="BC235" s="28">
        <f t="shared" si="222"/>
        <v>0</v>
      </c>
      <c r="BD235" s="241">
        <f t="shared" si="223"/>
        <v>0</v>
      </c>
      <c r="BE235" s="27">
        <f t="shared" si="224"/>
        <v>0</v>
      </c>
      <c r="BF235" s="28">
        <f t="shared" si="225"/>
        <v>0</v>
      </c>
      <c r="BG235" s="241">
        <f t="shared" si="226"/>
        <v>0</v>
      </c>
      <c r="BH235" s="27">
        <f t="shared" si="227"/>
        <v>0</v>
      </c>
      <c r="BI235" s="28">
        <f t="shared" si="228"/>
        <v>0</v>
      </c>
      <c r="BK235" s="448">
        <f t="shared" si="185"/>
        <v>0</v>
      </c>
      <c r="BL235" s="448">
        <f t="shared" si="186"/>
        <v>0</v>
      </c>
      <c r="BM235" s="448">
        <f t="shared" si="187"/>
        <v>0</v>
      </c>
      <c r="BN235" s="448">
        <f t="shared" ca="1" si="188"/>
        <v>0</v>
      </c>
    </row>
    <row r="236" spans="1:66" s="29" customFormat="1" hidden="1" outlineLevel="1" x14ac:dyDescent="0.3">
      <c r="A236" s="22" t="s">
        <v>275</v>
      </c>
      <c r="B236" s="23"/>
      <c r="C236" s="24" t="s">
        <v>62</v>
      </c>
      <c r="D236" s="113">
        <v>-280</v>
      </c>
      <c r="E236" s="114"/>
      <c r="F236" s="56"/>
      <c r="G236" s="33"/>
      <c r="H236" s="241">
        <v>0</v>
      </c>
      <c r="I236" s="27">
        <v>0</v>
      </c>
      <c r="J236" s="28">
        <f>SUMIFS(Aut_BlueMe_Sem_Pedido!$J:$J,Aut_BlueMe_Sem_Pedido!$Q:$Q,DRE!H$4,Aut_BlueMe_Sem_Pedido!$H:$H,DRE!$A236)+SUMIFS(Aut_Ajustes_Manuais!$G:$G,Aut_Ajustes_Manuais!$I:$I,DRE!H$4,Aut_Ajustes_Manuais!$F:$F,"Custas Cartório")</f>
        <v>0</v>
      </c>
      <c r="K236" s="241">
        <v>0</v>
      </c>
      <c r="L236" s="27">
        <v>0</v>
      </c>
      <c r="M236" s="28">
        <f>SUMIFS(Aut_BlueMe_Sem_Pedido!$J:$J,Aut_BlueMe_Sem_Pedido!$Q:$Q,DRE!K$4,Aut_BlueMe_Sem_Pedido!$H:$H,DRE!$A236)+SUMIFS(Aut_Ajustes_Manuais!$G:$G,Aut_Ajustes_Manuais!$I:$I,DRE!K$4,Aut_Ajustes_Manuais!$F:$F,"Custas Cartório")</f>
        <v>0</v>
      </c>
      <c r="N236" s="241">
        <v>0</v>
      </c>
      <c r="O236" s="27">
        <v>0</v>
      </c>
      <c r="P236" s="28">
        <f>SUMIFS(Aut_BlueMe_Sem_Pedido!$J:$J,Aut_BlueMe_Sem_Pedido!$Q:$Q,DRE!N$4,Aut_BlueMe_Sem_Pedido!$H:$H,DRE!$A236)+SUMIFS(Aut_Ajustes_Manuais!$G:$G,Aut_Ajustes_Manuais!$I:$I,DRE!N$4,Aut_Ajustes_Manuais!$F:$F,"Custas Cartório")</f>
        <v>0</v>
      </c>
      <c r="Q236" s="241">
        <v>0</v>
      </c>
      <c r="R236" s="27">
        <v>0</v>
      </c>
      <c r="S236" s="28">
        <f>SUMIFS(Aut_BlueMe_Sem_Pedido!$J:$J,Aut_BlueMe_Sem_Pedido!$Q:$Q,DRE!Q$4,Aut_BlueMe_Sem_Pedido!$H:$H,DRE!$A236)+SUMIFS(Aut_Ajustes_Manuais!$G:$G,Aut_Ajustes_Manuais!$I:$I,DRE!Q$4,Aut_Ajustes_Manuais!$F:$F,"Custas Cartório")</f>
        <v>0</v>
      </c>
      <c r="T236" s="241">
        <v>0</v>
      </c>
      <c r="U236" s="27">
        <v>0</v>
      </c>
      <c r="V236" s="28">
        <f>SUMIFS(Aut_BlueMe_Sem_Pedido!$J:$J,Aut_BlueMe_Sem_Pedido!$Q:$Q,DRE!T$4,Aut_BlueMe_Sem_Pedido!$H:$H,DRE!$A236)+SUMIFS(Aut_Ajustes_Manuais!$G:$G,Aut_Ajustes_Manuais!$I:$I,DRE!T$4,Aut_Ajustes_Manuais!$F:$F,"Custas Cartório")</f>
        <v>0</v>
      </c>
      <c r="W236" s="241">
        <v>0</v>
      </c>
      <c r="X236" s="27">
        <v>0</v>
      </c>
      <c r="Y236" s="28">
        <f>SUMIFS(Aut_BlueMe_Sem_Pedido!$J:$J,Aut_BlueMe_Sem_Pedido!$Q:$Q,DRE!W$4,Aut_BlueMe_Sem_Pedido!$H:$H,DRE!$A236)+SUMIFS(Aut_Ajustes_Manuais!$G:$G,Aut_Ajustes_Manuais!$I:$I,DRE!W$4,Aut_Ajustes_Manuais!$F:$F,"Custas Cartório")</f>
        <v>0</v>
      </c>
      <c r="Z236" s="241">
        <v>0</v>
      </c>
      <c r="AA236" s="27">
        <v>0</v>
      </c>
      <c r="AB236" s="28">
        <f>SUMIFS(Aut_BlueMe_Sem_Pedido!$J:$J,Aut_BlueMe_Sem_Pedido!$Q:$Q,DRE!Z$4,Aut_BlueMe_Sem_Pedido!$H:$H,DRE!$A236)+SUMIFS(Aut_Ajustes_Manuais!$G:$G,Aut_Ajustes_Manuais!$I:$I,DRE!Z$4,Aut_Ajustes_Manuais!$F:$F,"Custas Cartório")</f>
        <v>0</v>
      </c>
      <c r="AC236" s="241">
        <v>0</v>
      </c>
      <c r="AD236" s="27">
        <v>0</v>
      </c>
      <c r="AE236" s="28">
        <f>SUMIFS(Aut_BlueMe_Sem_Pedido!$J:$J,Aut_BlueMe_Sem_Pedido!$Q:$Q,DRE!AC$4,Aut_BlueMe_Sem_Pedido!$H:$H,DRE!$A236)+SUMIFS(Aut_Ajustes_Manuais!$G:$G,Aut_Ajustes_Manuais!$I:$I,DRE!AC$4,Aut_Ajustes_Manuais!$F:$F,"Custas Cartório")</f>
        <v>0</v>
      </c>
      <c r="AF236" s="241">
        <v>0</v>
      </c>
      <c r="AG236" s="27">
        <v>0</v>
      </c>
      <c r="AH236" s="28">
        <f>SUMIFS(Aut_BlueMe_Sem_Pedido!$J:$J,Aut_BlueMe_Sem_Pedido!$Q:$Q,DRE!AF$4,Aut_BlueMe_Sem_Pedido!$H:$H,DRE!$A236)+SUMIFS(Aut_Ajustes_Manuais!$G:$G,Aut_Ajustes_Manuais!$I:$I,DRE!AF$4,Aut_Ajustes_Manuais!$F:$F,"Custas Cartório")</f>
        <v>0</v>
      </c>
      <c r="AI236" s="241">
        <v>0</v>
      </c>
      <c r="AJ236" s="27">
        <v>0</v>
      </c>
      <c r="AK236" s="28">
        <f>SUMIFS(Aut_BlueMe_Sem_Pedido!$J:$J,Aut_BlueMe_Sem_Pedido!$Q:$Q,DRE!AI$4,Aut_BlueMe_Sem_Pedido!$H:$H,DRE!$A236)+SUMIFS(Aut_Ajustes_Manuais!$G:$G,Aut_Ajustes_Manuais!$I:$I,DRE!AI$4,Aut_Ajustes_Manuais!$F:$F,"Custas Cartório")</f>
        <v>0</v>
      </c>
      <c r="AL236" s="241">
        <v>0</v>
      </c>
      <c r="AM236" s="27">
        <v>0</v>
      </c>
      <c r="AN236" s="28">
        <f>SUMIFS(Aut_BlueMe_Sem_Pedido!$J:$J,Aut_BlueMe_Sem_Pedido!$Q:$Q,DRE!AL$4,Aut_BlueMe_Sem_Pedido!$H:$H,DRE!$A236)+SUMIFS(Aut_Ajustes_Manuais!$G:$G,Aut_Ajustes_Manuais!$I:$I,DRE!AL$4,Aut_Ajustes_Manuais!$F:$F,"Custas Cartório")</f>
        <v>0</v>
      </c>
      <c r="AO236" s="241">
        <v>0</v>
      </c>
      <c r="AP236" s="27">
        <v>0</v>
      </c>
      <c r="AQ236" s="28">
        <f>SUMIFS(Aut_BlueMe_Sem_Pedido!$J:$J,Aut_BlueMe_Sem_Pedido!$Q:$Q,DRE!AO$4,Aut_BlueMe_Sem_Pedido!$H:$H,DRE!$A236)+SUMIFS(Aut_Ajustes_Manuais!$G:$G,Aut_Ajustes_Manuais!$I:$I,DRE!AO$4,Aut_Ajustes_Manuais!$F:$F,"Custas Cartório")</f>
        <v>0</v>
      </c>
      <c r="AR236" s="241">
        <f t="shared" ca="1" si="211"/>
        <v>0</v>
      </c>
      <c r="AS236" s="27">
        <f t="shared" ca="1" si="212"/>
        <v>0</v>
      </c>
      <c r="AT236" s="28">
        <f t="shared" ca="1" si="213"/>
        <v>0</v>
      </c>
      <c r="AU236" s="241">
        <f t="shared" si="214"/>
        <v>0</v>
      </c>
      <c r="AV236" s="27">
        <f t="shared" si="215"/>
        <v>0</v>
      </c>
      <c r="AW236" s="28">
        <f t="shared" si="216"/>
        <v>0</v>
      </c>
      <c r="AX236" s="241">
        <f t="shared" si="217"/>
        <v>0</v>
      </c>
      <c r="AY236" s="27">
        <f t="shared" si="218"/>
        <v>0</v>
      </c>
      <c r="AZ236" s="28">
        <f t="shared" si="219"/>
        <v>0</v>
      </c>
      <c r="BA236" s="241">
        <f t="shared" si="220"/>
        <v>0</v>
      </c>
      <c r="BB236" s="27">
        <f t="shared" si="221"/>
        <v>0</v>
      </c>
      <c r="BC236" s="28">
        <f t="shared" si="222"/>
        <v>0</v>
      </c>
      <c r="BD236" s="241">
        <f t="shared" si="223"/>
        <v>0</v>
      </c>
      <c r="BE236" s="27">
        <f t="shared" si="224"/>
        <v>0</v>
      </c>
      <c r="BF236" s="28">
        <f t="shared" si="225"/>
        <v>0</v>
      </c>
      <c r="BG236" s="241">
        <f t="shared" si="226"/>
        <v>0</v>
      </c>
      <c r="BH236" s="27">
        <f t="shared" si="227"/>
        <v>0</v>
      </c>
      <c r="BI236" s="28">
        <f t="shared" si="228"/>
        <v>0</v>
      </c>
      <c r="BK236" s="448">
        <f t="shared" si="185"/>
        <v>0</v>
      </c>
      <c r="BL236" s="448">
        <f t="shared" si="186"/>
        <v>0</v>
      </c>
      <c r="BM236" s="448">
        <f t="shared" si="187"/>
        <v>0</v>
      </c>
      <c r="BN236" s="448">
        <f t="shared" ca="1" si="188"/>
        <v>0</v>
      </c>
    </row>
    <row r="237" spans="1:66" s="29" customFormat="1" hidden="1" outlineLevel="1" x14ac:dyDescent="0.3">
      <c r="A237" s="22" t="s">
        <v>276</v>
      </c>
      <c r="B237" s="23"/>
      <c r="C237" s="24" t="s">
        <v>62</v>
      </c>
      <c r="D237" s="113"/>
      <c r="E237" s="114">
        <v>-6.9999999999999999E-4</v>
      </c>
      <c r="F237" s="56"/>
      <c r="G237" s="33"/>
      <c r="H237" s="241">
        <v>-22</v>
      </c>
      <c r="I237" s="27">
        <v>-300</v>
      </c>
      <c r="J237" s="28">
        <f>SUMIFS(Aut_BlueMe_Sem_Pedido!$J:$J,Aut_BlueMe_Sem_Pedido!$Q:$Q,DRE!H$4,Aut_BlueMe_Sem_Pedido!$H:$H,DRE!$A237)-SUMIFS(Aut_BlueMe_Com_Pedido!$P:$P,Aut_BlueMe_Com_Pedido!$Q:$Q,DRE!H$4)+SUMIFS(Aut_Ajustes_Manuais!$G:$G,Aut_Ajustes_Manuais!$I:$I,DRE!H$4,Aut_Ajustes_Manuais!$F:$F,"Material de Escritorio")</f>
        <v>-20</v>
      </c>
      <c r="K237" s="241">
        <v>-4</v>
      </c>
      <c r="L237" s="27">
        <v>-300</v>
      </c>
      <c r="M237" s="28">
        <f>SUMIFS(Aut_BlueMe_Sem_Pedido!$J:$J,Aut_BlueMe_Sem_Pedido!$Q:$Q,DRE!K$4,Aut_BlueMe_Sem_Pedido!$H:$H,DRE!$A237)-SUMIFS(Aut_BlueMe_Com_Pedido!$P:$P,Aut_BlueMe_Com_Pedido!$Q:$Q,DRE!K$4)+SUMIFS(Aut_Ajustes_Manuais!$G:$G,Aut_Ajustes_Manuais!$I:$I,DRE!K$4,Aut_Ajustes_Manuais!$F:$F,"Material de Escritorio")</f>
        <v>-2047.9</v>
      </c>
      <c r="N237" s="241">
        <v>-250.8</v>
      </c>
      <c r="O237" s="27">
        <v>-300</v>
      </c>
      <c r="P237" s="28">
        <f>SUMIFS(Aut_BlueMe_Sem_Pedido!$J:$J,Aut_BlueMe_Sem_Pedido!$Q:$Q,DRE!N$4,Aut_BlueMe_Sem_Pedido!$H:$H,DRE!$A237)-SUMIFS(Aut_BlueMe_Com_Pedido!$P:$P,Aut_BlueMe_Com_Pedido!$Q:$Q,DRE!N$4)+SUMIFS(Aut_Ajustes_Manuais!$G:$G,Aut_Ajustes_Manuais!$I:$I,DRE!N$4,Aut_Ajustes_Manuais!$F:$F,"Material de Escritorio")</f>
        <v>-636.98</v>
      </c>
      <c r="Q237" s="241">
        <v>-19.989999999999998</v>
      </c>
      <c r="R237" s="27">
        <v>-300</v>
      </c>
      <c r="S237" s="28">
        <f>SUMIFS(Aut_BlueMe_Sem_Pedido!$J:$J,Aut_BlueMe_Sem_Pedido!$Q:$Q,DRE!Q$4,Aut_BlueMe_Sem_Pedido!$H:$H,DRE!$A237)-SUMIFS(Aut_BlueMe_Com_Pedido!$P:$P,Aut_BlueMe_Com_Pedido!$Q:$Q,DRE!Q$4)+SUMIFS(Aut_Ajustes_Manuais!$G:$G,Aut_Ajustes_Manuais!$I:$I,DRE!Q$4,Aut_Ajustes_Manuais!$F:$F,"Material de Escritorio")</f>
        <v>-525.61</v>
      </c>
      <c r="T237" s="241">
        <v>-34.489999999999988</v>
      </c>
      <c r="U237" s="27">
        <v>-300</v>
      </c>
      <c r="V237" s="28">
        <f>SUMIFS(Aut_BlueMe_Sem_Pedido!$J:$J,Aut_BlueMe_Sem_Pedido!$Q:$Q,DRE!T$4,Aut_BlueMe_Sem_Pedido!$H:$H,DRE!$A237)-SUMIFS(Aut_BlueMe_Com_Pedido!$P:$P,Aut_BlueMe_Com_Pedido!$Q:$Q,DRE!T$4)+SUMIFS(Aut_Ajustes_Manuais!$G:$G,Aut_Ajustes_Manuais!$I:$I,DRE!T$4,Aut_Ajustes_Manuais!$F:$F,"Material de Escritorio")</f>
        <v>-584.68000000000006</v>
      </c>
      <c r="W237" s="241">
        <v>-53.5</v>
      </c>
      <c r="X237" s="27">
        <v>-300</v>
      </c>
      <c r="Y237" s="28">
        <f>SUMIFS(Aut_BlueMe_Sem_Pedido!$J:$J,Aut_BlueMe_Sem_Pedido!$Q:$Q,DRE!W$4,Aut_BlueMe_Sem_Pedido!$H:$H,DRE!$A237)-SUMIFS(Aut_BlueMe_Com_Pedido!$P:$P,Aut_BlueMe_Com_Pedido!$Q:$Q,DRE!W$4)+SUMIFS(Aut_Ajustes_Manuais!$G:$G,Aut_Ajustes_Manuais!$I:$I,DRE!W$4,Aut_Ajustes_Manuais!$F:$F,"Material de Escritorio")</f>
        <v>-669.03</v>
      </c>
      <c r="Z237" s="241">
        <v>-681.5</v>
      </c>
      <c r="AA237" s="27">
        <v>-300</v>
      </c>
      <c r="AB237" s="28">
        <f>SUMIFS(Aut_BlueMe_Sem_Pedido!$J:$J,Aut_BlueMe_Sem_Pedido!$Q:$Q,DRE!Z$4,Aut_BlueMe_Sem_Pedido!$H:$H,DRE!$A237)-SUMIFS(Aut_BlueMe_Com_Pedido!$P:$P,Aut_BlueMe_Com_Pedido!$Q:$Q,DRE!Z$4)+SUMIFS(Aut_Ajustes_Manuais!$G:$G,Aut_Ajustes_Manuais!$I:$I,DRE!Z$4,Aut_Ajustes_Manuais!$F:$F,"Material de Escritorio")</f>
        <v>0</v>
      </c>
      <c r="AC237" s="241">
        <v>-4.5</v>
      </c>
      <c r="AD237" s="27">
        <v>-300</v>
      </c>
      <c r="AE237" s="28">
        <f>SUMIFS(Aut_BlueMe_Sem_Pedido!$J:$J,Aut_BlueMe_Sem_Pedido!$Q:$Q,DRE!AC$4,Aut_BlueMe_Sem_Pedido!$H:$H,DRE!$A237)-SUMIFS(Aut_BlueMe_Com_Pedido!$P:$P,Aut_BlueMe_Com_Pedido!$Q:$Q,DRE!AC$4)+SUMIFS(Aut_Ajustes_Manuais!$G:$G,Aut_Ajustes_Manuais!$I:$I,DRE!AC$4,Aut_Ajustes_Manuais!$F:$F,"Material de Escritorio")</f>
        <v>0</v>
      </c>
      <c r="AF237" s="241">
        <v>-129.38999999999999</v>
      </c>
      <c r="AG237" s="27">
        <v>-300</v>
      </c>
      <c r="AH237" s="28">
        <f>SUMIFS(Aut_BlueMe_Sem_Pedido!$J:$J,Aut_BlueMe_Sem_Pedido!$Q:$Q,DRE!AF$4,Aut_BlueMe_Sem_Pedido!$H:$H,DRE!$A237)-SUMIFS(Aut_BlueMe_Com_Pedido!$P:$P,Aut_BlueMe_Com_Pedido!$Q:$Q,DRE!AF$4)+SUMIFS(Aut_Ajustes_Manuais!$G:$G,Aut_Ajustes_Manuais!$I:$I,DRE!AF$4,Aut_Ajustes_Manuais!$F:$F,"Material de Escritorio")</f>
        <v>0</v>
      </c>
      <c r="AI237" s="241">
        <v>-61.45</v>
      </c>
      <c r="AJ237" s="27">
        <v>-300</v>
      </c>
      <c r="AK237" s="28">
        <f>SUMIFS(Aut_BlueMe_Sem_Pedido!$J:$J,Aut_BlueMe_Sem_Pedido!$Q:$Q,DRE!AI$4,Aut_BlueMe_Sem_Pedido!$H:$H,DRE!$A237)-SUMIFS(Aut_BlueMe_Com_Pedido!$P:$P,Aut_BlueMe_Com_Pedido!$Q:$Q,DRE!AI$4)+SUMIFS(Aut_Ajustes_Manuais!$G:$G,Aut_Ajustes_Manuais!$I:$I,DRE!AI$4,Aut_Ajustes_Manuais!$F:$F,"Material de Escritorio")</f>
        <v>0</v>
      </c>
      <c r="AL237" s="241">
        <v>-35.5</v>
      </c>
      <c r="AM237" s="27">
        <v>-300</v>
      </c>
      <c r="AN237" s="28">
        <f>SUMIFS(Aut_BlueMe_Sem_Pedido!$J:$J,Aut_BlueMe_Sem_Pedido!$Q:$Q,DRE!AL$4,Aut_BlueMe_Sem_Pedido!$H:$H,DRE!$A237)-SUMIFS(Aut_BlueMe_Com_Pedido!$P:$P,Aut_BlueMe_Com_Pedido!$Q:$Q,DRE!AL$4)+SUMIFS(Aut_Ajustes_Manuais!$G:$G,Aut_Ajustes_Manuais!$I:$I,DRE!AL$4,Aut_Ajustes_Manuais!$F:$F,"Material de Escritorio")</f>
        <v>0</v>
      </c>
      <c r="AO237" s="241">
        <v>-98.71</v>
      </c>
      <c r="AP237" s="27">
        <v>-300</v>
      </c>
      <c r="AQ237" s="28">
        <f>SUMIFS(Aut_BlueMe_Sem_Pedido!$J:$J,Aut_BlueMe_Sem_Pedido!$Q:$Q,DRE!AO$4,Aut_BlueMe_Sem_Pedido!$H:$H,DRE!$A237)-SUMIFS(Aut_BlueMe_Com_Pedido!$P:$P,Aut_BlueMe_Com_Pedido!$Q:$Q,DRE!AO$4)+SUMIFS(Aut_Ajustes_Manuais!$G:$G,Aut_Ajustes_Manuais!$I:$I,DRE!AO$4,Aut_Ajustes_Manuais!$F:$F,"Material de Escritorio")</f>
        <v>0</v>
      </c>
      <c r="AR237" s="241">
        <f t="shared" ca="1" si="211"/>
        <v>-384.78000000000003</v>
      </c>
      <c r="AS237" s="27">
        <f t="shared" ca="1" si="212"/>
        <v>-1800</v>
      </c>
      <c r="AT237" s="28">
        <f t="shared" ca="1" si="213"/>
        <v>-4484.2</v>
      </c>
      <c r="AU237" s="241">
        <f t="shared" si="214"/>
        <v>-1395.8300000000002</v>
      </c>
      <c r="AV237" s="27">
        <f t="shared" si="215"/>
        <v>-3600</v>
      </c>
      <c r="AW237" s="28">
        <f t="shared" si="216"/>
        <v>-4484.2</v>
      </c>
      <c r="AX237" s="241">
        <f t="shared" si="217"/>
        <v>-276.8</v>
      </c>
      <c r="AY237" s="27">
        <f t="shared" si="218"/>
        <v>-900</v>
      </c>
      <c r="AZ237" s="28">
        <f t="shared" si="219"/>
        <v>-2704.88</v>
      </c>
      <c r="BA237" s="241">
        <f t="shared" si="220"/>
        <v>-107.97999999999999</v>
      </c>
      <c r="BB237" s="27">
        <f t="shared" si="221"/>
        <v>-900</v>
      </c>
      <c r="BC237" s="28">
        <f t="shared" si="222"/>
        <v>-1779.32</v>
      </c>
      <c r="BD237" s="241">
        <f t="shared" si="223"/>
        <v>-815.39</v>
      </c>
      <c r="BE237" s="27">
        <f t="shared" si="224"/>
        <v>-900</v>
      </c>
      <c r="BF237" s="28">
        <f t="shared" si="225"/>
        <v>0</v>
      </c>
      <c r="BG237" s="241">
        <f t="shared" si="226"/>
        <v>-195.66</v>
      </c>
      <c r="BH237" s="27">
        <f t="shared" si="227"/>
        <v>-900</v>
      </c>
      <c r="BI237" s="28">
        <f t="shared" si="228"/>
        <v>0</v>
      </c>
      <c r="BK237" s="448">
        <f t="shared" si="185"/>
        <v>-3600</v>
      </c>
      <c r="BL237" s="448">
        <f t="shared" si="186"/>
        <v>0</v>
      </c>
      <c r="BM237" s="448">
        <f t="shared" si="187"/>
        <v>-3815.17</v>
      </c>
      <c r="BN237" s="448">
        <f t="shared" ca="1" si="188"/>
        <v>669.02999999999975</v>
      </c>
    </row>
    <row r="238" spans="1:66" s="29" customFormat="1" hidden="1" outlineLevel="1" x14ac:dyDescent="0.3">
      <c r="A238" s="22" t="s">
        <v>277</v>
      </c>
      <c r="B238" s="23"/>
      <c r="C238" s="24" t="s">
        <v>69</v>
      </c>
      <c r="D238" s="81"/>
      <c r="E238" s="115"/>
      <c r="F238" s="56"/>
      <c r="G238" s="33"/>
      <c r="H238" s="241">
        <v>0</v>
      </c>
      <c r="I238" s="27">
        <v>-1156</v>
      </c>
      <c r="J238" s="28">
        <f>SUMIFS(Aut_BlueMe_Sem_Pedido!$J:$J,Aut_BlueMe_Sem_Pedido!$Q:$Q,DRE!H$4,Aut_BlueMe_Sem_Pedido!$H:$H,DRE!$A238)+SUMIFS(Aut_Ajustes_Manuais!$G:$G,Aut_Ajustes_Manuais!$I:$I,DRE!H$4,Aut_Ajustes_Manuais!$F:$F,"Serviços de Limpeza")</f>
        <v>-960</v>
      </c>
      <c r="K238" s="241">
        <v>-860</v>
      </c>
      <c r="L238" s="27">
        <v>-903</v>
      </c>
      <c r="M238" s="28">
        <f>SUMIFS(Aut_BlueMe_Sem_Pedido!$J:$J,Aut_BlueMe_Sem_Pedido!$Q:$Q,DRE!K$4,Aut_BlueMe_Sem_Pedido!$H:$H,DRE!$A238)+SUMIFS(Aut_Ajustes_Manuais!$G:$G,Aut_Ajustes_Manuais!$I:$I,DRE!K$4,Aut_Ajustes_Manuais!$F:$F,"Serviços de Limpeza")</f>
        <v>0</v>
      </c>
      <c r="N238" s="241">
        <v>0</v>
      </c>
      <c r="O238" s="27">
        <v>-903</v>
      </c>
      <c r="P238" s="28">
        <f>SUMIFS(Aut_BlueMe_Sem_Pedido!$J:$J,Aut_BlueMe_Sem_Pedido!$Q:$Q,DRE!N$4,Aut_BlueMe_Sem_Pedido!$H:$H,DRE!$A238)+SUMIFS(Aut_Ajustes_Manuais!$G:$G,Aut_Ajustes_Manuais!$I:$I,DRE!N$4,Aut_Ajustes_Manuais!$F:$F,"Serviços de Limpeza")</f>
        <v>-124.96</v>
      </c>
      <c r="Q238" s="241">
        <v>0</v>
      </c>
      <c r="R238" s="27">
        <v>-903</v>
      </c>
      <c r="S238" s="28">
        <f>SUMIFS(Aut_BlueMe_Sem_Pedido!$J:$J,Aut_BlueMe_Sem_Pedido!$Q:$Q,DRE!Q$4,Aut_BlueMe_Sem_Pedido!$H:$H,DRE!$A238)+SUMIFS(Aut_Ajustes_Manuais!$G:$G,Aut_Ajustes_Manuais!$I:$I,DRE!Q$4,Aut_Ajustes_Manuais!$F:$F,"Serviços de Limpeza")</f>
        <v>0</v>
      </c>
      <c r="T238" s="241">
        <v>0</v>
      </c>
      <c r="U238" s="27">
        <v>-903</v>
      </c>
      <c r="V238" s="28">
        <f>SUMIFS(Aut_BlueMe_Sem_Pedido!$J:$J,Aut_BlueMe_Sem_Pedido!$Q:$Q,DRE!T$4,Aut_BlueMe_Sem_Pedido!$H:$H,DRE!$A238)+SUMIFS(Aut_Ajustes_Manuais!$G:$G,Aut_Ajustes_Manuais!$I:$I,DRE!T$4,Aut_Ajustes_Manuais!$F:$F,"Serviços de Limpeza")</f>
        <v>0</v>
      </c>
      <c r="W238" s="241">
        <v>-231</v>
      </c>
      <c r="X238" s="27">
        <v>-903</v>
      </c>
      <c r="Y238" s="28">
        <f>SUMIFS(Aut_BlueMe_Sem_Pedido!$J:$J,Aut_BlueMe_Sem_Pedido!$Q:$Q,DRE!W$4,Aut_BlueMe_Sem_Pedido!$H:$H,DRE!$A238)+SUMIFS(Aut_Ajustes_Manuais!$G:$G,Aut_Ajustes_Manuais!$I:$I,DRE!W$4,Aut_Ajustes_Manuais!$F:$F,"Serviços de Limpeza")</f>
        <v>0</v>
      </c>
      <c r="Z238" s="241">
        <v>0</v>
      </c>
      <c r="AA238" s="27">
        <v>-1156</v>
      </c>
      <c r="AB238" s="28">
        <f>SUMIFS(Aut_BlueMe_Sem_Pedido!$J:$J,Aut_BlueMe_Sem_Pedido!$Q:$Q,DRE!Z$4,Aut_BlueMe_Sem_Pedido!$H:$H,DRE!$A238)+SUMIFS(Aut_Ajustes_Manuais!$G:$G,Aut_Ajustes_Manuais!$I:$I,DRE!Z$4,Aut_Ajustes_Manuais!$F:$F,"Serviços de Limpeza")</f>
        <v>0</v>
      </c>
      <c r="AC238" s="241">
        <v>0</v>
      </c>
      <c r="AD238" s="27">
        <v>-903</v>
      </c>
      <c r="AE238" s="28">
        <f>SUMIFS(Aut_BlueMe_Sem_Pedido!$J:$J,Aut_BlueMe_Sem_Pedido!$Q:$Q,DRE!AC$4,Aut_BlueMe_Sem_Pedido!$H:$H,DRE!$A238)+SUMIFS(Aut_Ajustes_Manuais!$G:$G,Aut_Ajustes_Manuais!$I:$I,DRE!AC$4,Aut_Ajustes_Manuais!$F:$F,"Serviços de Limpeza")</f>
        <v>0</v>
      </c>
      <c r="AF238" s="241">
        <v>0</v>
      </c>
      <c r="AG238" s="27">
        <v>-903</v>
      </c>
      <c r="AH238" s="28">
        <f>SUMIFS(Aut_BlueMe_Sem_Pedido!$J:$J,Aut_BlueMe_Sem_Pedido!$Q:$Q,DRE!AF$4,Aut_BlueMe_Sem_Pedido!$H:$H,DRE!$A238)+SUMIFS(Aut_Ajustes_Manuais!$G:$G,Aut_Ajustes_Manuais!$I:$I,DRE!AF$4,Aut_Ajustes_Manuais!$F:$F,"Serviços de Limpeza")</f>
        <v>0</v>
      </c>
      <c r="AI238" s="241">
        <v>0</v>
      </c>
      <c r="AJ238" s="27">
        <v>-903</v>
      </c>
      <c r="AK238" s="28">
        <f>SUMIFS(Aut_BlueMe_Sem_Pedido!$J:$J,Aut_BlueMe_Sem_Pedido!$Q:$Q,DRE!AI$4,Aut_BlueMe_Sem_Pedido!$H:$H,DRE!$A238)+SUMIFS(Aut_Ajustes_Manuais!$G:$G,Aut_Ajustes_Manuais!$I:$I,DRE!AI$4,Aut_Ajustes_Manuais!$F:$F,"Serviços de Limpeza")</f>
        <v>0</v>
      </c>
      <c r="AL238" s="241">
        <v>0</v>
      </c>
      <c r="AM238" s="27">
        <v>-903</v>
      </c>
      <c r="AN238" s="28">
        <f>SUMIFS(Aut_BlueMe_Sem_Pedido!$J:$J,Aut_BlueMe_Sem_Pedido!$Q:$Q,DRE!AL$4,Aut_BlueMe_Sem_Pedido!$H:$H,DRE!$A238)+SUMIFS(Aut_Ajustes_Manuais!$G:$G,Aut_Ajustes_Manuais!$I:$I,DRE!AL$4,Aut_Ajustes_Manuais!$F:$F,"Serviços de Limpeza")</f>
        <v>0</v>
      </c>
      <c r="AO238" s="241">
        <v>0</v>
      </c>
      <c r="AP238" s="27">
        <v>-903</v>
      </c>
      <c r="AQ238" s="28">
        <f>SUMIFS(Aut_BlueMe_Sem_Pedido!$J:$J,Aut_BlueMe_Sem_Pedido!$Q:$Q,DRE!AO$4,Aut_BlueMe_Sem_Pedido!$H:$H,DRE!$A238)+SUMIFS(Aut_Ajustes_Manuais!$G:$G,Aut_Ajustes_Manuais!$I:$I,DRE!AO$4,Aut_Ajustes_Manuais!$F:$F,"Serviços de Limpeza")</f>
        <v>0</v>
      </c>
      <c r="AR238" s="241">
        <f t="shared" ca="1" si="211"/>
        <v>-1091</v>
      </c>
      <c r="AS238" s="27">
        <f t="shared" ca="1" si="212"/>
        <v>-5671</v>
      </c>
      <c r="AT238" s="28">
        <f t="shared" ca="1" si="213"/>
        <v>-1084.96</v>
      </c>
      <c r="AU238" s="241">
        <f t="shared" si="214"/>
        <v>-1091</v>
      </c>
      <c r="AV238" s="27">
        <f t="shared" si="215"/>
        <v>-11342</v>
      </c>
      <c r="AW238" s="28">
        <f t="shared" si="216"/>
        <v>-1084.96</v>
      </c>
      <c r="AX238" s="241">
        <f t="shared" si="217"/>
        <v>-860</v>
      </c>
      <c r="AY238" s="27">
        <f t="shared" si="218"/>
        <v>-2962</v>
      </c>
      <c r="AZ238" s="28">
        <f t="shared" si="219"/>
        <v>-1084.96</v>
      </c>
      <c r="BA238" s="241">
        <f t="shared" si="220"/>
        <v>-231</v>
      </c>
      <c r="BB238" s="27">
        <f t="shared" si="221"/>
        <v>-2709</v>
      </c>
      <c r="BC238" s="28">
        <f t="shared" si="222"/>
        <v>0</v>
      </c>
      <c r="BD238" s="241">
        <f t="shared" si="223"/>
        <v>0</v>
      </c>
      <c r="BE238" s="27">
        <f t="shared" si="224"/>
        <v>-2962</v>
      </c>
      <c r="BF238" s="28">
        <f t="shared" si="225"/>
        <v>0</v>
      </c>
      <c r="BG238" s="241">
        <f t="shared" si="226"/>
        <v>0</v>
      </c>
      <c r="BH238" s="27">
        <f t="shared" si="227"/>
        <v>-2709</v>
      </c>
      <c r="BI238" s="28">
        <f t="shared" si="228"/>
        <v>0</v>
      </c>
      <c r="BK238" s="448">
        <f t="shared" si="185"/>
        <v>-11342</v>
      </c>
      <c r="BL238" s="448">
        <f t="shared" si="186"/>
        <v>0</v>
      </c>
      <c r="BM238" s="448">
        <f t="shared" si="187"/>
        <v>-1084.96</v>
      </c>
      <c r="BN238" s="448">
        <f t="shared" ca="1" si="188"/>
        <v>0</v>
      </c>
    </row>
    <row r="239" spans="1:66" s="29" customFormat="1" hidden="1" outlineLevel="1" x14ac:dyDescent="0.3">
      <c r="A239" s="22" t="s">
        <v>278</v>
      </c>
      <c r="B239" s="23"/>
      <c r="C239" s="24" t="s">
        <v>62</v>
      </c>
      <c r="D239" s="113"/>
      <c r="E239" s="114">
        <v>-5.0000000000000001E-4</v>
      </c>
      <c r="F239" s="56"/>
      <c r="G239" s="33"/>
      <c r="H239" s="241">
        <v>0</v>
      </c>
      <c r="I239" s="27">
        <v>0</v>
      </c>
      <c r="J239" s="28">
        <f>SUMIFS(Aut_BlueMe_Sem_Pedido!$J:$J,Aut_BlueMe_Sem_Pedido!$Q:$Q,DRE!H$4,Aut_BlueMe_Sem_Pedido!$H:$H,DRE!$A239)+SUMIFS(Aut_Ajustes_Manuais!$G:$G,Aut_Ajustes_Manuais!$I:$I,DRE!H$4,Aut_Ajustes_Manuais!$F:$F,"Serviço de Lavanderia")</f>
        <v>0</v>
      </c>
      <c r="K239" s="241">
        <v>0</v>
      </c>
      <c r="L239" s="27">
        <v>0</v>
      </c>
      <c r="M239" s="28">
        <f>SUMIFS(Aut_BlueMe_Sem_Pedido!$J:$J,Aut_BlueMe_Sem_Pedido!$Q:$Q,DRE!K$4,Aut_BlueMe_Sem_Pedido!$H:$H,DRE!$A239)+SUMIFS(Aut_Ajustes_Manuais!$G:$G,Aut_Ajustes_Manuais!$I:$I,DRE!K$4,Aut_Ajustes_Manuais!$F:$F,"Serviço de Lavanderia")</f>
        <v>0</v>
      </c>
      <c r="N239" s="241">
        <v>0</v>
      </c>
      <c r="O239" s="27">
        <v>0</v>
      </c>
      <c r="P239" s="28">
        <f>SUMIFS(Aut_BlueMe_Sem_Pedido!$J:$J,Aut_BlueMe_Sem_Pedido!$Q:$Q,DRE!N$4,Aut_BlueMe_Sem_Pedido!$H:$H,DRE!$A239)+SUMIFS(Aut_Ajustes_Manuais!$G:$G,Aut_Ajustes_Manuais!$I:$I,DRE!N$4,Aut_Ajustes_Manuais!$F:$F,"Serviço de Lavanderia")</f>
        <v>0</v>
      </c>
      <c r="Q239" s="241">
        <v>0</v>
      </c>
      <c r="R239" s="27">
        <v>0</v>
      </c>
      <c r="S239" s="28">
        <f>SUMIFS(Aut_BlueMe_Sem_Pedido!$J:$J,Aut_BlueMe_Sem_Pedido!$Q:$Q,DRE!Q$4,Aut_BlueMe_Sem_Pedido!$H:$H,DRE!$A239)+SUMIFS(Aut_Ajustes_Manuais!$G:$G,Aut_Ajustes_Manuais!$I:$I,DRE!Q$4,Aut_Ajustes_Manuais!$F:$F,"Serviço de Lavanderia")</f>
        <v>0</v>
      </c>
      <c r="T239" s="241">
        <v>0</v>
      </c>
      <c r="U239" s="27">
        <v>0</v>
      </c>
      <c r="V239" s="28">
        <f>SUMIFS(Aut_BlueMe_Sem_Pedido!$J:$J,Aut_BlueMe_Sem_Pedido!$Q:$Q,DRE!T$4,Aut_BlueMe_Sem_Pedido!$H:$H,DRE!$A239)+SUMIFS(Aut_Ajustes_Manuais!$G:$G,Aut_Ajustes_Manuais!$I:$I,DRE!T$4,Aut_Ajustes_Manuais!$F:$F,"Serviço de Lavanderia")</f>
        <v>0</v>
      </c>
      <c r="W239" s="241">
        <v>0</v>
      </c>
      <c r="X239" s="27">
        <v>0</v>
      </c>
      <c r="Y239" s="28">
        <f>SUMIFS(Aut_BlueMe_Sem_Pedido!$J:$J,Aut_BlueMe_Sem_Pedido!$Q:$Q,DRE!W$4,Aut_BlueMe_Sem_Pedido!$H:$H,DRE!$A239)+SUMIFS(Aut_Ajustes_Manuais!$G:$G,Aut_Ajustes_Manuais!$I:$I,DRE!W$4,Aut_Ajustes_Manuais!$F:$F,"Serviço de Lavanderia")</f>
        <v>0</v>
      </c>
      <c r="Z239" s="241">
        <v>0</v>
      </c>
      <c r="AA239" s="27">
        <v>0</v>
      </c>
      <c r="AB239" s="28">
        <f>SUMIFS(Aut_BlueMe_Sem_Pedido!$J:$J,Aut_BlueMe_Sem_Pedido!$Q:$Q,DRE!Z$4,Aut_BlueMe_Sem_Pedido!$H:$H,DRE!$A239)+SUMIFS(Aut_Ajustes_Manuais!$G:$G,Aut_Ajustes_Manuais!$I:$I,DRE!Z$4,Aut_Ajustes_Manuais!$F:$F,"Serviço de Lavanderia")</f>
        <v>0</v>
      </c>
      <c r="AC239" s="241">
        <v>0</v>
      </c>
      <c r="AD239" s="27">
        <v>0</v>
      </c>
      <c r="AE239" s="28">
        <f>SUMIFS(Aut_BlueMe_Sem_Pedido!$J:$J,Aut_BlueMe_Sem_Pedido!$Q:$Q,DRE!AC$4,Aut_BlueMe_Sem_Pedido!$H:$H,DRE!$A239)+SUMIFS(Aut_Ajustes_Manuais!$G:$G,Aut_Ajustes_Manuais!$I:$I,DRE!AC$4,Aut_Ajustes_Manuais!$F:$F,"Serviço de Lavanderia")</f>
        <v>0</v>
      </c>
      <c r="AF239" s="241">
        <v>0</v>
      </c>
      <c r="AG239" s="27">
        <v>0</v>
      </c>
      <c r="AH239" s="28">
        <f>SUMIFS(Aut_BlueMe_Sem_Pedido!$J:$J,Aut_BlueMe_Sem_Pedido!$Q:$Q,DRE!AF$4,Aut_BlueMe_Sem_Pedido!$H:$H,DRE!$A239)+SUMIFS(Aut_Ajustes_Manuais!$G:$G,Aut_Ajustes_Manuais!$I:$I,DRE!AF$4,Aut_Ajustes_Manuais!$F:$F,"Serviço de Lavanderia")</f>
        <v>0</v>
      </c>
      <c r="AI239" s="241">
        <v>0</v>
      </c>
      <c r="AJ239" s="27">
        <v>0</v>
      </c>
      <c r="AK239" s="28">
        <f>SUMIFS(Aut_BlueMe_Sem_Pedido!$J:$J,Aut_BlueMe_Sem_Pedido!$Q:$Q,DRE!AI$4,Aut_BlueMe_Sem_Pedido!$H:$H,DRE!$A239)+SUMIFS(Aut_Ajustes_Manuais!$G:$G,Aut_Ajustes_Manuais!$I:$I,DRE!AI$4,Aut_Ajustes_Manuais!$F:$F,"Serviço de Lavanderia")</f>
        <v>0</v>
      </c>
      <c r="AL239" s="241">
        <v>0</v>
      </c>
      <c r="AM239" s="27">
        <v>0</v>
      </c>
      <c r="AN239" s="28">
        <f>SUMIFS(Aut_BlueMe_Sem_Pedido!$J:$J,Aut_BlueMe_Sem_Pedido!$Q:$Q,DRE!AL$4,Aut_BlueMe_Sem_Pedido!$H:$H,DRE!$A239)+SUMIFS(Aut_Ajustes_Manuais!$G:$G,Aut_Ajustes_Manuais!$I:$I,DRE!AL$4,Aut_Ajustes_Manuais!$F:$F,"Serviço de Lavanderia")</f>
        <v>0</v>
      </c>
      <c r="AO239" s="241">
        <v>0</v>
      </c>
      <c r="AP239" s="27">
        <v>0</v>
      </c>
      <c r="AQ239" s="28">
        <f>SUMIFS(Aut_BlueMe_Sem_Pedido!$J:$J,Aut_BlueMe_Sem_Pedido!$Q:$Q,DRE!AO$4,Aut_BlueMe_Sem_Pedido!$H:$H,DRE!$A239)+SUMIFS(Aut_Ajustes_Manuais!$G:$G,Aut_Ajustes_Manuais!$I:$I,DRE!AO$4,Aut_Ajustes_Manuais!$F:$F,"Serviço de Lavanderia")</f>
        <v>0</v>
      </c>
      <c r="AR239" s="241">
        <f t="shared" ca="1" si="211"/>
        <v>0</v>
      </c>
      <c r="AS239" s="27">
        <f t="shared" ca="1" si="212"/>
        <v>0</v>
      </c>
      <c r="AT239" s="28">
        <f t="shared" ca="1" si="213"/>
        <v>0</v>
      </c>
      <c r="AU239" s="241">
        <f t="shared" si="214"/>
        <v>0</v>
      </c>
      <c r="AV239" s="27">
        <f t="shared" si="215"/>
        <v>0</v>
      </c>
      <c r="AW239" s="28">
        <f t="shared" si="216"/>
        <v>0</v>
      </c>
      <c r="AX239" s="241">
        <f t="shared" si="217"/>
        <v>0</v>
      </c>
      <c r="AY239" s="27">
        <f t="shared" si="218"/>
        <v>0</v>
      </c>
      <c r="AZ239" s="28">
        <f t="shared" si="219"/>
        <v>0</v>
      </c>
      <c r="BA239" s="241">
        <f t="shared" si="220"/>
        <v>0</v>
      </c>
      <c r="BB239" s="27">
        <f t="shared" si="221"/>
        <v>0</v>
      </c>
      <c r="BC239" s="28">
        <f t="shared" si="222"/>
        <v>0</v>
      </c>
      <c r="BD239" s="241">
        <f t="shared" si="223"/>
        <v>0</v>
      </c>
      <c r="BE239" s="27">
        <f t="shared" si="224"/>
        <v>0</v>
      </c>
      <c r="BF239" s="28">
        <f t="shared" si="225"/>
        <v>0</v>
      </c>
      <c r="BG239" s="241">
        <f t="shared" si="226"/>
        <v>0</v>
      </c>
      <c r="BH239" s="27">
        <f t="shared" si="227"/>
        <v>0</v>
      </c>
      <c r="BI239" s="28">
        <f t="shared" si="228"/>
        <v>0</v>
      </c>
      <c r="BK239" s="448">
        <f t="shared" si="185"/>
        <v>0</v>
      </c>
      <c r="BL239" s="448">
        <f t="shared" si="186"/>
        <v>0</v>
      </c>
      <c r="BM239" s="448">
        <f t="shared" si="187"/>
        <v>0</v>
      </c>
      <c r="BN239" s="448">
        <f t="shared" ca="1" si="188"/>
        <v>0</v>
      </c>
    </row>
    <row r="240" spans="1:66" s="29" customFormat="1" hidden="1" outlineLevel="1" x14ac:dyDescent="0.3">
      <c r="A240" s="22" t="s">
        <v>279</v>
      </c>
      <c r="B240" s="23"/>
      <c r="C240" s="24" t="s">
        <v>62</v>
      </c>
      <c r="D240" s="113">
        <v>-550</v>
      </c>
      <c r="E240" s="114">
        <v>-5.0000000000000001E-4</v>
      </c>
      <c r="F240" s="56"/>
      <c r="G240" s="33"/>
      <c r="H240" s="241">
        <v>-564</v>
      </c>
      <c r="I240" s="27">
        <v>-1000</v>
      </c>
      <c r="J240" s="28">
        <f>SUMIFS(Aut_BlueMe_Sem_Pedido!$J:$J,Aut_BlueMe_Sem_Pedido!$Q:$Q,DRE!H$4,Aut_BlueMe_Sem_Pedido!$H:$H,DRE!$A240)-SUMIFS(Aut_BlueMe_Com_Pedido!$N:$N,Aut_BlueMe_Com_Pedido!$Q:$Q,DRE!H$4)+SUMIFS(Aut_Ajustes_Manuais!$G:$G,Aut_Ajustes_Manuais!$I:$I,DRE!H$4,Aut_Ajustes_Manuais!$F:$F,"Material de Consumo - Gelo/ Gas CO2/ Carvao /Velas")</f>
        <v>-1028.0999999999999</v>
      </c>
      <c r="K240" s="241">
        <v>-798</v>
      </c>
      <c r="L240" s="27">
        <v>-1000</v>
      </c>
      <c r="M240" s="28">
        <f>SUMIFS(Aut_BlueMe_Sem_Pedido!$J:$J,Aut_BlueMe_Sem_Pedido!$Q:$Q,DRE!K$4,Aut_BlueMe_Sem_Pedido!$H:$H,DRE!$A240)-SUMIFS(Aut_BlueMe_Com_Pedido!$N:$N,Aut_BlueMe_Com_Pedido!$Q:$Q,DRE!K$4)+SUMIFS(Aut_Ajustes_Manuais!$G:$G,Aut_Ajustes_Manuais!$I:$I,DRE!K$4,Aut_Ajustes_Manuais!$F:$F,"Material de Consumo - Gelo/ Gas CO2/ Carvao /Velas")</f>
        <v>-759</v>
      </c>
      <c r="N240" s="241">
        <v>-1730</v>
      </c>
      <c r="O240" s="27">
        <v>-1000</v>
      </c>
      <c r="P240" s="28">
        <f>SUMIFS(Aut_BlueMe_Sem_Pedido!$J:$J,Aut_BlueMe_Sem_Pedido!$Q:$Q,DRE!N$4,Aut_BlueMe_Sem_Pedido!$H:$H,DRE!$A240)-SUMIFS(Aut_BlueMe_Com_Pedido!$N:$N,Aut_BlueMe_Com_Pedido!$Q:$Q,DRE!N$4)+SUMIFS(Aut_Ajustes_Manuais!$G:$G,Aut_Ajustes_Manuais!$I:$I,DRE!N$4,Aut_Ajustes_Manuais!$F:$F,"Material de Consumo - Gelo/ Gas CO2/ Carvao /Velas")</f>
        <v>-1028.0999999999999</v>
      </c>
      <c r="Q240" s="241">
        <v>-717</v>
      </c>
      <c r="R240" s="27">
        <v>-1000</v>
      </c>
      <c r="S240" s="28">
        <f>SUMIFS(Aut_BlueMe_Sem_Pedido!$J:$J,Aut_BlueMe_Sem_Pedido!$Q:$Q,DRE!Q$4,Aut_BlueMe_Sem_Pedido!$H:$H,DRE!$A240)-SUMIFS(Aut_BlueMe_Com_Pedido!$N:$N,Aut_BlueMe_Com_Pedido!$Q:$Q,DRE!Q$4)+SUMIFS(Aut_Ajustes_Manuais!$G:$G,Aut_Ajustes_Manuais!$I:$I,DRE!Q$4,Aut_Ajustes_Manuais!$F:$F,"Material de Consumo - Gelo/ Gas CO2/ Carvao /Velas")</f>
        <v>-547.95000000000005</v>
      </c>
      <c r="T240" s="241">
        <v>-894</v>
      </c>
      <c r="U240" s="27">
        <v>-1000</v>
      </c>
      <c r="V240" s="28">
        <f>SUMIFS(Aut_BlueMe_Sem_Pedido!$J:$J,Aut_BlueMe_Sem_Pedido!$Q:$Q,DRE!T$4,Aut_BlueMe_Sem_Pedido!$H:$H,DRE!$A240)-SUMIFS(Aut_BlueMe_Com_Pedido!$N:$N,Aut_BlueMe_Com_Pedido!$Q:$Q,DRE!T$4)+SUMIFS(Aut_Ajustes_Manuais!$G:$G,Aut_Ajustes_Manuais!$I:$I,DRE!T$4,Aut_Ajustes_Manuais!$F:$F,"Material de Consumo - Gelo/ Gas CO2/ Carvao /Velas")</f>
        <v>-648.6</v>
      </c>
      <c r="W240" s="241">
        <v>-1068</v>
      </c>
      <c r="X240" s="27">
        <v>-1000</v>
      </c>
      <c r="Y240" s="28">
        <f>SUMIFS(Aut_BlueMe_Sem_Pedido!$J:$J,Aut_BlueMe_Sem_Pedido!$Q:$Q,DRE!W$4,Aut_BlueMe_Sem_Pedido!$H:$H,DRE!$A240)-SUMIFS(Aut_BlueMe_Com_Pedido!$N:$N,Aut_BlueMe_Com_Pedido!$Q:$Q,DRE!W$4)+SUMIFS(Aut_Ajustes_Manuais!$G:$G,Aut_Ajustes_Manuais!$I:$I,DRE!W$4,Aut_Ajustes_Manuais!$F:$F,"Material de Consumo - Gelo/ Gas CO2/ Carvao /Velas")</f>
        <v>-893.55000000000007</v>
      </c>
      <c r="Z240" s="241">
        <v>-1305</v>
      </c>
      <c r="AA240" s="27">
        <v>-1000</v>
      </c>
      <c r="AB240" s="28">
        <f>SUMIFS(Aut_BlueMe_Sem_Pedido!$J:$J,Aut_BlueMe_Sem_Pedido!$Q:$Q,DRE!Z$4,Aut_BlueMe_Sem_Pedido!$H:$H,DRE!$A240)-SUMIFS(Aut_BlueMe_Com_Pedido!$N:$N,Aut_BlueMe_Com_Pedido!$Q:$Q,DRE!Z$4)+SUMIFS(Aut_Ajustes_Manuais!$G:$G,Aut_Ajustes_Manuais!$I:$I,DRE!Z$4,Aut_Ajustes_Manuais!$F:$F,"Material de Consumo - Gelo/ Gas CO2/ Carvao /Velas")</f>
        <v>-269.10000000000002</v>
      </c>
      <c r="AC240" s="241">
        <v>-234</v>
      </c>
      <c r="AD240" s="27">
        <v>-1000</v>
      </c>
      <c r="AE240" s="28">
        <f>SUMIFS(Aut_BlueMe_Sem_Pedido!$J:$J,Aut_BlueMe_Sem_Pedido!$Q:$Q,DRE!AC$4,Aut_BlueMe_Sem_Pedido!$H:$H,DRE!$A240)-SUMIFS(Aut_BlueMe_Com_Pedido!$N:$N,Aut_BlueMe_Com_Pedido!$Q:$Q,DRE!AC$4)+SUMIFS(Aut_Ajustes_Manuais!$G:$G,Aut_Ajustes_Manuais!$I:$I,DRE!AC$4,Aut_Ajustes_Manuais!$F:$F,"Material de Consumo - Gelo/ Gas CO2/ Carvao /Velas")</f>
        <v>0</v>
      </c>
      <c r="AF240" s="241">
        <v>-990</v>
      </c>
      <c r="AG240" s="27">
        <v>-1000</v>
      </c>
      <c r="AH240" s="28">
        <f>SUMIFS(Aut_BlueMe_Sem_Pedido!$J:$J,Aut_BlueMe_Sem_Pedido!$Q:$Q,DRE!AF$4,Aut_BlueMe_Sem_Pedido!$H:$H,DRE!$A240)-SUMIFS(Aut_BlueMe_Com_Pedido!$N:$N,Aut_BlueMe_Com_Pedido!$Q:$Q,DRE!AF$4)+SUMIFS(Aut_Ajustes_Manuais!$G:$G,Aut_Ajustes_Manuais!$I:$I,DRE!AF$4,Aut_Ajustes_Manuais!$F:$F,"Material de Consumo - Gelo/ Gas CO2/ Carvao /Velas")</f>
        <v>0</v>
      </c>
      <c r="AI240" s="241">
        <v>-468</v>
      </c>
      <c r="AJ240" s="27">
        <v>-1000</v>
      </c>
      <c r="AK240" s="28">
        <f>SUMIFS(Aut_BlueMe_Sem_Pedido!$J:$J,Aut_BlueMe_Sem_Pedido!$Q:$Q,DRE!AI$4,Aut_BlueMe_Sem_Pedido!$H:$H,DRE!$A240)-SUMIFS(Aut_BlueMe_Com_Pedido!$N:$N,Aut_BlueMe_Com_Pedido!$Q:$Q,DRE!AI$4)+SUMIFS(Aut_Ajustes_Manuais!$G:$G,Aut_Ajustes_Manuais!$I:$I,DRE!AI$4,Aut_Ajustes_Manuais!$F:$F,"Material de Consumo - Gelo/ Gas CO2/ Carvao /Velas")</f>
        <v>0</v>
      </c>
      <c r="AL240" s="241">
        <v>-1192.81</v>
      </c>
      <c r="AM240" s="27">
        <v>-1000</v>
      </c>
      <c r="AN240" s="28">
        <f>SUMIFS(Aut_BlueMe_Sem_Pedido!$J:$J,Aut_BlueMe_Sem_Pedido!$Q:$Q,DRE!AL$4,Aut_BlueMe_Sem_Pedido!$H:$H,DRE!$A240)-SUMIFS(Aut_BlueMe_Com_Pedido!$N:$N,Aut_BlueMe_Com_Pedido!$Q:$Q,DRE!AL$4)+SUMIFS(Aut_Ajustes_Manuais!$G:$G,Aut_Ajustes_Manuais!$I:$I,DRE!AL$4,Aut_Ajustes_Manuais!$F:$F,"Material de Consumo - Gelo/ Gas CO2/ Carvao /Velas")</f>
        <v>0</v>
      </c>
      <c r="AO240" s="241">
        <v>-1211.25</v>
      </c>
      <c r="AP240" s="27">
        <v>-1000</v>
      </c>
      <c r="AQ240" s="28">
        <f>SUMIFS(Aut_BlueMe_Sem_Pedido!$J:$J,Aut_BlueMe_Sem_Pedido!$Q:$Q,DRE!AO$4,Aut_BlueMe_Sem_Pedido!$H:$H,DRE!$A240)-SUMIFS(Aut_BlueMe_Com_Pedido!$N:$N,Aut_BlueMe_Com_Pedido!$Q:$Q,DRE!AO$4)+SUMIFS(Aut_Ajustes_Manuais!$G:$G,Aut_Ajustes_Manuais!$I:$I,DRE!AO$4,Aut_Ajustes_Manuais!$F:$F,"Material de Consumo - Gelo/ Gas CO2/ Carvao /Velas")</f>
        <v>0</v>
      </c>
      <c r="AR240" s="241">
        <f t="shared" ca="1" si="211"/>
        <v>-5771</v>
      </c>
      <c r="AS240" s="27">
        <f t="shared" ca="1" si="212"/>
        <v>-6000</v>
      </c>
      <c r="AT240" s="28">
        <f t="shared" ca="1" si="213"/>
        <v>-4905.2999999999993</v>
      </c>
      <c r="AU240" s="241">
        <f t="shared" si="214"/>
        <v>-11172.06</v>
      </c>
      <c r="AV240" s="27">
        <f t="shared" si="215"/>
        <v>-12000</v>
      </c>
      <c r="AW240" s="28">
        <f t="shared" si="216"/>
        <v>-5174.3999999999996</v>
      </c>
      <c r="AX240" s="241">
        <f t="shared" si="217"/>
        <v>-3092</v>
      </c>
      <c r="AY240" s="27">
        <f t="shared" si="218"/>
        <v>-3000</v>
      </c>
      <c r="AZ240" s="28">
        <f t="shared" si="219"/>
        <v>-2815.2</v>
      </c>
      <c r="BA240" s="241">
        <f t="shared" si="220"/>
        <v>-2679</v>
      </c>
      <c r="BB240" s="27">
        <f t="shared" si="221"/>
        <v>-3000</v>
      </c>
      <c r="BC240" s="28">
        <f t="shared" si="222"/>
        <v>-2090.1000000000004</v>
      </c>
      <c r="BD240" s="241">
        <f t="shared" si="223"/>
        <v>-2529</v>
      </c>
      <c r="BE240" s="27">
        <f t="shared" si="224"/>
        <v>-3000</v>
      </c>
      <c r="BF240" s="28">
        <f t="shared" si="225"/>
        <v>-269.10000000000002</v>
      </c>
      <c r="BG240" s="241">
        <f t="shared" si="226"/>
        <v>-2872.06</v>
      </c>
      <c r="BH240" s="27">
        <f t="shared" si="227"/>
        <v>-3000</v>
      </c>
      <c r="BI240" s="28">
        <f t="shared" si="228"/>
        <v>0</v>
      </c>
      <c r="BK240" s="448">
        <f t="shared" si="185"/>
        <v>-12000</v>
      </c>
      <c r="BL240" s="448">
        <f t="shared" si="186"/>
        <v>0</v>
      </c>
      <c r="BM240" s="448">
        <f t="shared" si="187"/>
        <v>-4011.7499999999995</v>
      </c>
      <c r="BN240" s="448">
        <f t="shared" ca="1" si="188"/>
        <v>893.54999999999973</v>
      </c>
    </row>
    <row r="241" spans="1:66" collapsed="1" x14ac:dyDescent="0.3">
      <c r="A241" s="71" t="s">
        <v>46</v>
      </c>
      <c r="B241" s="59"/>
      <c r="C241" s="60"/>
      <c r="D241" s="61"/>
      <c r="E241" s="62"/>
      <c r="F241" s="63"/>
      <c r="G241" s="47"/>
      <c r="H241" s="245">
        <v>-6.2737450323141722E-2</v>
      </c>
      <c r="I241" s="50">
        <v>-6.4879493871302193E-2</v>
      </c>
      <c r="J241" s="51">
        <f>IFERROR(J226/J8,0)+SUMIFS(Aut_Ajustes_Manuais!$G:$G,Aut_Ajustes_Manuais!$I:$I,DRE!H$4,Aut_Ajustes_Manuais!$F:$F,"% sobre Receita Bruta")</f>
        <v>-6.7398775562494573E-2</v>
      </c>
      <c r="K241" s="245">
        <v>-5.968326257273409E-2</v>
      </c>
      <c r="L241" s="50">
        <v>-6.7534868418810387E-2</v>
      </c>
      <c r="M241" s="51">
        <f>IFERROR(M226/M8,0)+SUMIFS(Aut_Ajustes_Manuais!$G:$G,Aut_Ajustes_Manuais!$I:$I,DRE!K$4,Aut_Ajustes_Manuais!$F:$F,"% sobre Receita Bruta")</f>
        <v>-0.10233997950088192</v>
      </c>
      <c r="N241" s="245">
        <v>-6.4191090669759435E-2</v>
      </c>
      <c r="O241" s="50">
        <v>-8.3565591696975042E-2</v>
      </c>
      <c r="P241" s="51">
        <f>IFERROR(P226/P8,0)+SUMIFS(Aut_Ajustes_Manuais!$G:$G,Aut_Ajustes_Manuais!$I:$I,DRE!N$4,Aut_Ajustes_Manuais!$F:$F,"% sobre Receita Bruta")</f>
        <v>-6.1197471420488786E-2</v>
      </c>
      <c r="Q241" s="245">
        <v>-6.3668739720299627E-2</v>
      </c>
      <c r="R241" s="50">
        <v>-8.0396303333976307E-2</v>
      </c>
      <c r="S241" s="51">
        <f>IFERROR(S226/S8,0)+SUMIFS(Aut_Ajustes_Manuais!$G:$G,Aut_Ajustes_Manuais!$I:$I,DRE!Q$4,Aut_Ajustes_Manuais!$F:$F,"% sobre Receita Bruta")</f>
        <v>-5.5451926965402257E-2</v>
      </c>
      <c r="T241" s="245">
        <v>-5.1899557459111123E-2</v>
      </c>
      <c r="U241" s="50">
        <v>-5.0247952538278122E-2</v>
      </c>
      <c r="V241" s="51">
        <f>IFERROR(V226/V8,0)+SUMIFS(Aut_Ajustes_Manuais!$G:$G,Aut_Ajustes_Manuais!$I:$I,DRE!T$4,Aut_Ajustes_Manuais!$F:$F,"% sobre Receita Bruta")</f>
        <v>-6.2913077895976471E-2</v>
      </c>
      <c r="W241" s="245">
        <v>-5.0924151743455631E-2</v>
      </c>
      <c r="X241" s="50">
        <v>-5.6057225961994618E-2</v>
      </c>
      <c r="Y241" s="51">
        <f>IFERROR(Y226/Y8,0)+SUMIFS(Aut_Ajustes_Manuais!$G:$G,Aut_Ajustes_Manuais!$I:$I,DRE!W$4,Aut_Ajustes_Manuais!$F:$F,"% sobre Receita Bruta")</f>
        <v>-6.3793525589661157E-2</v>
      </c>
      <c r="Z241" s="245">
        <v>-5.19915799139802E-2</v>
      </c>
      <c r="AA241" s="50">
        <v>-5.7161935129936212E-2</v>
      </c>
      <c r="AB241" s="51">
        <f>IFERROR(AB226/AB8,0)+SUMIFS(Aut_Ajustes_Manuais!$G:$G,Aut_Ajustes_Manuais!$I:$I,DRE!Z$4,Aut_Ajustes_Manuais!$F:$F,"% sobre Receita Bruta")</f>
        <v>-0.27354196656547886</v>
      </c>
      <c r="AC241" s="245">
        <v>-4.2364549494502593E-2</v>
      </c>
      <c r="AD241" s="50">
        <v>-5.2601427790827417E-2</v>
      </c>
      <c r="AE241" s="51">
        <f>IFERROR(AE226/AE8,0)+SUMIFS(Aut_Ajustes_Manuais!$G:$G,Aut_Ajustes_Manuais!$I:$I,DRE!AC$4,Aut_Ajustes_Manuais!$F:$F,"% sobre Receita Bruta")</f>
        <v>0</v>
      </c>
      <c r="AF241" s="245">
        <v>-5.871763279444156E-2</v>
      </c>
      <c r="AG241" s="50">
        <v>-5.999819773954472E-2</v>
      </c>
      <c r="AH241" s="51">
        <f>IFERROR(AH226/AH8,0)+SUMIFS(Aut_Ajustes_Manuais!$G:$G,Aut_Ajustes_Manuais!$I:$I,DRE!AF$4,Aut_Ajustes_Manuais!$F:$F,"% sobre Receita Bruta")</f>
        <v>0</v>
      </c>
      <c r="AI241" s="245">
        <v>-7.9439918287800074E-2</v>
      </c>
      <c r="AJ241" s="50">
        <v>-5.9637775089654989E-2</v>
      </c>
      <c r="AK241" s="51">
        <f>IFERROR(AK226/AK8,0)+SUMIFS(Aut_Ajustes_Manuais!$G:$G,Aut_Ajustes_Manuais!$I:$I,DRE!AI$4,Aut_Ajustes_Manuais!$F:$F,"% sobre Receita Bruta")</f>
        <v>0</v>
      </c>
      <c r="AL241" s="245">
        <v>-6.3253541482290246E-2</v>
      </c>
      <c r="AM241" s="50">
        <v>-5.1735784138707573E-2</v>
      </c>
      <c r="AN241" s="51">
        <f>IFERROR(AN226/AN8,0)+SUMIFS(Aut_Ajustes_Manuais!$G:$G,Aut_Ajustes_Manuais!$I:$I,DRE!AL$4,Aut_Ajustes_Manuais!$F:$F,"% sobre Receita Bruta")</f>
        <v>0</v>
      </c>
      <c r="AO241" s="245">
        <v>-5.8922236477813611E-2</v>
      </c>
      <c r="AP241" s="50">
        <v>-5.6897363465160077E-2</v>
      </c>
      <c r="AQ241" s="51">
        <f>IFERROR(AQ226/AQ8,0)+SUMIFS(Aut_Ajustes_Manuais!$G:$G,Aut_Ajustes_Manuais!$I:$I,DRE!AO$4,Aut_Ajustes_Manuais!$F:$F,"% sobre Receita Bruta")</f>
        <v>0</v>
      </c>
      <c r="AR241" s="245">
        <f t="shared" ref="AR241:BI241" ca="1" si="229">IFERROR(AR226/AR8,0)</f>
        <v>-5.8443156553333507E-2</v>
      </c>
      <c r="AS241" s="50">
        <f t="shared" ca="1" si="229"/>
        <v>-6.4873012046556072E-2</v>
      </c>
      <c r="AT241" s="51">
        <f t="shared" ca="1" si="229"/>
        <v>-6.8146258312425739E-2</v>
      </c>
      <c r="AU241" s="245">
        <f t="shared" si="229"/>
        <v>-5.8675419418313203E-2</v>
      </c>
      <c r="AV241" s="50">
        <f t="shared" si="229"/>
        <v>-6.0183286645230823E-2</v>
      </c>
      <c r="AW241" s="51">
        <f t="shared" si="229"/>
        <v>-0.122232007701137</v>
      </c>
      <c r="AX241" s="245">
        <f t="shared" si="229"/>
        <v>-6.2223243699245756E-2</v>
      </c>
      <c r="AY241" s="50">
        <f t="shared" si="229"/>
        <v>-7.1057665569284847E-2</v>
      </c>
      <c r="AZ241" s="51">
        <f t="shared" si="229"/>
        <v>-7.6031162752609072E-2</v>
      </c>
      <c r="BA241" s="245">
        <f t="shared" si="229"/>
        <v>-5.5139205752712146E-2</v>
      </c>
      <c r="BB241" s="50">
        <f t="shared" si="229"/>
        <v>-5.9694601513767646E-2</v>
      </c>
      <c r="BC241" s="51">
        <f t="shared" si="229"/>
        <v>-6.0698152848246853E-2</v>
      </c>
      <c r="BD241" s="245">
        <f t="shared" si="229"/>
        <v>-5.0542523719576439E-2</v>
      </c>
      <c r="BE241" s="50">
        <f t="shared" si="229"/>
        <v>-5.6415280017187791E-2</v>
      </c>
      <c r="BF241" s="51">
        <f t="shared" si="229"/>
        <v>-0.80320581591278273</v>
      </c>
      <c r="BG241" s="245">
        <f t="shared" si="229"/>
        <v>-6.623481902896472E-2</v>
      </c>
      <c r="BH241" s="50">
        <f t="shared" si="229"/>
        <v>-5.5885312607844614E-2</v>
      </c>
      <c r="BI241" s="51">
        <f t="shared" si="229"/>
        <v>0</v>
      </c>
      <c r="BK241" s="448">
        <f t="shared" si="185"/>
        <v>-0.74071391917516771</v>
      </c>
      <c r="BL241" s="448">
        <f t="shared" si="186"/>
        <v>-0.68053063252993684</v>
      </c>
      <c r="BM241" s="448">
        <f t="shared" si="187"/>
        <v>-0.34930123134524405</v>
      </c>
      <c r="BN241" s="448">
        <f t="shared" ca="1" si="188"/>
        <v>-0.28115497303281833</v>
      </c>
    </row>
    <row r="242" spans="1:66" x14ac:dyDescent="0.3">
      <c r="A242" s="18"/>
      <c r="E242" s="16"/>
      <c r="F242" s="17"/>
      <c r="G242" s="47"/>
      <c r="H242" s="247"/>
      <c r="I242" s="17"/>
      <c r="J242" s="57"/>
      <c r="K242" s="247"/>
      <c r="L242" s="17"/>
      <c r="M242" s="57"/>
      <c r="N242" s="247"/>
      <c r="O242" s="17"/>
      <c r="P242" s="57"/>
      <c r="Q242" s="247"/>
      <c r="R242" s="17"/>
      <c r="S242" s="57"/>
      <c r="T242" s="247"/>
      <c r="U242" s="17"/>
      <c r="V242" s="57"/>
      <c r="W242" s="247"/>
      <c r="X242" s="17"/>
      <c r="Y242" s="57"/>
      <c r="Z242" s="247"/>
      <c r="AA242" s="17"/>
      <c r="AB242" s="57"/>
      <c r="AC242" s="247"/>
      <c r="AD242" s="17"/>
      <c r="AE242" s="57"/>
      <c r="AF242" s="247"/>
      <c r="AG242" s="17"/>
      <c r="AH242" s="57"/>
      <c r="AI242" s="247"/>
      <c r="AJ242" s="17"/>
      <c r="AK242" s="57"/>
      <c r="AL242" s="247"/>
      <c r="AM242" s="17"/>
      <c r="AN242" s="57"/>
      <c r="AO242" s="247"/>
      <c r="AP242" s="17"/>
      <c r="AQ242" s="57"/>
      <c r="AR242" s="247"/>
      <c r="AS242" s="17"/>
      <c r="AT242" s="57"/>
      <c r="AU242" s="247"/>
      <c r="AV242" s="17"/>
      <c r="AW242" s="57"/>
      <c r="AX242" s="247"/>
      <c r="AY242" s="17"/>
      <c r="AZ242" s="57"/>
      <c r="BA242" s="247"/>
      <c r="BB242" s="17"/>
      <c r="BC242" s="57"/>
      <c r="BD242" s="247"/>
      <c r="BE242" s="17"/>
      <c r="BF242" s="57"/>
      <c r="BG242" s="247"/>
      <c r="BH242" s="17"/>
      <c r="BI242" s="57"/>
      <c r="BK242" s="448">
        <f t="shared" si="185"/>
        <v>0</v>
      </c>
      <c r="BL242" s="448">
        <f t="shared" si="186"/>
        <v>0</v>
      </c>
      <c r="BM242" s="448">
        <f t="shared" si="187"/>
        <v>0</v>
      </c>
      <c r="BN242" s="448">
        <f t="shared" si="188"/>
        <v>0</v>
      </c>
    </row>
    <row r="243" spans="1:66" x14ac:dyDescent="0.3">
      <c r="A243" s="39" t="s">
        <v>280</v>
      </c>
      <c r="C243" s="40" t="s">
        <v>37</v>
      </c>
      <c r="D243" s="40" t="s">
        <v>38</v>
      </c>
      <c r="E243" s="40" t="s">
        <v>203</v>
      </c>
      <c r="F243" s="17"/>
      <c r="G243" s="47"/>
      <c r="H243" s="244">
        <v>-4797.4100000000008</v>
      </c>
      <c r="I243" s="42">
        <v>-5013.2154999999993</v>
      </c>
      <c r="J243" s="43">
        <f>SUM(J244:J252)+SUMIFS(Aut_Ajustes_Manuais!$G:$G,Aut_Ajustes_Manuais!$I:$I,DRE!H$4,Aut_Ajustes_Manuais!$F:$F,"Informática e TI")</f>
        <v>-4180.12</v>
      </c>
      <c r="K243" s="244">
        <v>-4377.04</v>
      </c>
      <c r="L243" s="42">
        <v>-4220.7124999999996</v>
      </c>
      <c r="M243" s="43">
        <f>SUM(M244:M252)+SUMIFS(Aut_Ajustes_Manuais!$G:$G,Aut_Ajustes_Manuais!$I:$I,DRE!K$4,Aut_Ajustes_Manuais!$F:$F,"Informática e TI")</f>
        <v>-4345.8600000000006</v>
      </c>
      <c r="N243" s="244">
        <v>-4416.4900000000007</v>
      </c>
      <c r="O243" s="42">
        <v>-5020.7124999999996</v>
      </c>
      <c r="P243" s="43">
        <f>SUM(P244:P252)+SUMIFS(Aut_Ajustes_Manuais!$G:$G,Aut_Ajustes_Manuais!$I:$I,DRE!N$4,Aut_Ajustes_Manuais!$F:$F,"Informática e TI")</f>
        <v>-4351.07</v>
      </c>
      <c r="Q243" s="244">
        <v>-3707.41</v>
      </c>
      <c r="R243" s="42">
        <v>-4220.7124999999996</v>
      </c>
      <c r="S243" s="43">
        <f>SUM(S244:S252)+SUMIFS(Aut_Ajustes_Manuais!$G:$G,Aut_Ajustes_Manuais!$I:$I,DRE!Q$4,Aut_Ajustes_Manuais!$F:$F,"Informática e TI")</f>
        <v>-4162.8</v>
      </c>
      <c r="T243" s="244">
        <v>-3810.62</v>
      </c>
      <c r="U243" s="42">
        <v>-5020.7124999999996</v>
      </c>
      <c r="V243" s="43">
        <f>SUM(V244:V252)+SUMIFS(Aut_Ajustes_Manuais!$G:$G,Aut_Ajustes_Manuais!$I:$I,DRE!T$4,Aut_Ajustes_Manuais!$F:$F,"Informática e TI")</f>
        <v>-4320.7699999999995</v>
      </c>
      <c r="W243" s="244">
        <v>-4541.18</v>
      </c>
      <c r="X243" s="42">
        <v>-5020.7124999999996</v>
      </c>
      <c r="Y243" s="43">
        <f>SUM(Y244:Y252)+SUMIFS(Aut_Ajustes_Manuais!$G:$G,Aut_Ajustes_Manuais!$I:$I,DRE!W$4,Aut_Ajustes_Manuais!$F:$F,"Informática e TI")</f>
        <v>-1706.84</v>
      </c>
      <c r="Z243" s="244">
        <v>-4250.0900000000011</v>
      </c>
      <c r="AA243" s="42">
        <v>-4220.7124999999996</v>
      </c>
      <c r="AB243" s="43">
        <f>SUM(AB244:AB252)+SUMIFS(Aut_Ajustes_Manuais!$G:$G,Aut_Ajustes_Manuais!$I:$I,DRE!Z$4,Aut_Ajustes_Manuais!$F:$F,"Informática e TI")</f>
        <v>-1830.17</v>
      </c>
      <c r="AC243" s="244">
        <v>-2886.13</v>
      </c>
      <c r="AD243" s="42">
        <v>-4220.7124999999996</v>
      </c>
      <c r="AE243" s="43">
        <f>SUM(AE244:AE252)+SUMIFS(Aut_Ajustes_Manuais!$G:$G,Aut_Ajustes_Manuais!$I:$I,DRE!AC$4,Aut_Ajustes_Manuais!$F:$F,"Informática e TI")</f>
        <v>-1830.17</v>
      </c>
      <c r="AF243" s="244">
        <v>-4211.76</v>
      </c>
      <c r="AG243" s="42">
        <v>-4220.7124999999996</v>
      </c>
      <c r="AH243" s="43">
        <f>SUM(AH244:AH252)+SUMIFS(Aut_Ajustes_Manuais!$G:$G,Aut_Ajustes_Manuais!$I:$I,DRE!AF$4,Aut_Ajustes_Manuais!$F:$F,"Informática e TI")</f>
        <v>-1830.17</v>
      </c>
      <c r="AI243" s="244">
        <v>-4380.01</v>
      </c>
      <c r="AJ243" s="42">
        <v>-4220.7124999999996</v>
      </c>
      <c r="AK243" s="43">
        <f>SUM(AK244:AK252)+SUMIFS(Aut_Ajustes_Manuais!$G:$G,Aut_Ajustes_Manuais!$I:$I,DRE!AI$4,Aut_Ajustes_Manuais!$F:$F,"Informática e TI")</f>
        <v>-1830.17</v>
      </c>
      <c r="AL243" s="244">
        <v>-4963.87</v>
      </c>
      <c r="AM243" s="42">
        <v>-4220.7124999999996</v>
      </c>
      <c r="AN243" s="43">
        <f>SUM(AN244:AN252)+SUMIFS(Aut_Ajustes_Manuais!$G:$G,Aut_Ajustes_Manuais!$I:$I,DRE!AL$4,Aut_Ajustes_Manuais!$F:$F,"Informática e TI")</f>
        <v>-1830.17</v>
      </c>
      <c r="AO243" s="244">
        <v>-4451.22</v>
      </c>
      <c r="AP243" s="42">
        <v>-4220.7124999999996</v>
      </c>
      <c r="AQ243" s="43">
        <f>SUM(AQ244:AQ252)+SUMIFS(Aut_Ajustes_Manuais!$G:$G,Aut_Ajustes_Manuais!$I:$I,DRE!AO$4,Aut_Ajustes_Manuais!$F:$F,"Informática e TI")</f>
        <v>-2630.17</v>
      </c>
      <c r="AR243" s="244">
        <f t="shared" ref="AR243:BI243" ca="1" si="230">SUM(AR244:AR252)</f>
        <v>-25650.149999999998</v>
      </c>
      <c r="AS243" s="42">
        <f t="shared" ca="1" si="230"/>
        <v>-28516.778000000002</v>
      </c>
      <c r="AT243" s="43">
        <f t="shared" ca="1" si="230"/>
        <v>-23067.46</v>
      </c>
      <c r="AU243" s="244">
        <f t="shared" si="230"/>
        <v>-50793.229999999996</v>
      </c>
      <c r="AV243" s="42">
        <f t="shared" si="230"/>
        <v>-53841.053000000007</v>
      </c>
      <c r="AW243" s="43">
        <f t="shared" si="230"/>
        <v>-34848.480000000003</v>
      </c>
      <c r="AX243" s="244">
        <f t="shared" si="230"/>
        <v>-13590.939999999999</v>
      </c>
      <c r="AY243" s="42">
        <f t="shared" si="230"/>
        <v>-14254.6405</v>
      </c>
      <c r="AZ243" s="43">
        <f t="shared" si="230"/>
        <v>-12877.05</v>
      </c>
      <c r="BA243" s="244">
        <f t="shared" si="230"/>
        <v>-12059.21</v>
      </c>
      <c r="BB243" s="42">
        <f t="shared" si="230"/>
        <v>-14262.137500000001</v>
      </c>
      <c r="BC243" s="43">
        <f t="shared" si="230"/>
        <v>-10190.41</v>
      </c>
      <c r="BD243" s="244">
        <f t="shared" si="230"/>
        <v>-11347.980000000001</v>
      </c>
      <c r="BE243" s="42">
        <f t="shared" si="230"/>
        <v>-12662.137500000001</v>
      </c>
      <c r="BF243" s="43">
        <f t="shared" si="230"/>
        <v>-5490.51</v>
      </c>
      <c r="BG243" s="244">
        <f t="shared" si="230"/>
        <v>-13795.1</v>
      </c>
      <c r="BH243" s="42">
        <f t="shared" si="230"/>
        <v>-12662.137500000001</v>
      </c>
      <c r="BI243" s="43">
        <f t="shared" si="230"/>
        <v>-6290.51</v>
      </c>
      <c r="BK243" s="448">
        <f t="shared" si="185"/>
        <v>-53841.053000000007</v>
      </c>
      <c r="BL243" s="448">
        <f t="shared" si="186"/>
        <v>0</v>
      </c>
      <c r="BM243" s="448">
        <f t="shared" si="187"/>
        <v>-21360.62</v>
      </c>
      <c r="BN243" s="448">
        <f t="shared" ca="1" si="188"/>
        <v>1706.8400000000001</v>
      </c>
    </row>
    <row r="244" spans="1:66" s="29" customFormat="1" hidden="1" outlineLevel="1" x14ac:dyDescent="0.3">
      <c r="A244" s="22" t="s">
        <v>281</v>
      </c>
      <c r="B244" s="23"/>
      <c r="C244" s="24" t="s">
        <v>69</v>
      </c>
      <c r="D244" s="116">
        <v>-90</v>
      </c>
      <c r="E244" s="115"/>
      <c r="F244" s="117"/>
      <c r="G244" s="33"/>
      <c r="H244" s="241">
        <v>-21</v>
      </c>
      <c r="I244" s="27">
        <v>-21.42</v>
      </c>
      <c r="J244" s="28">
        <f>SUMIFS(Aut_BlueMe_Sem_Pedido!$J:$J,Aut_BlueMe_Sem_Pedido!$Q:$Q,DRE!H$4,Aut_BlueMe_Sem_Pedido!$H:$H,DRE!$A244)+SUMIFS(Aut_Ajustes_Manuais!$G:$G,Aut_Ajustes_Manuais!$I:$I,DRE!H$4,Aut_Ajustes_Manuais!$F:$F,"Telefone")</f>
        <v>-84.77</v>
      </c>
      <c r="K244" s="241">
        <v>-21</v>
      </c>
      <c r="L244" s="27">
        <v>-21.42</v>
      </c>
      <c r="M244" s="27">
        <f>SUMIFS(Aut_BlueMe_Sem_Pedido!$J:$J,Aut_BlueMe_Sem_Pedido!$Q:$Q,DRE!K$4,Aut_BlueMe_Sem_Pedido!$H:$H,DRE!$A244)+SUMIFS(Aut_Ajustes_Manuais!$G:$G,Aut_Ajustes_Manuais!$I:$I,DRE!K$4,Aut_Ajustes_Manuais!$F:$F,"Telefone")</f>
        <v>-264.33000000000004</v>
      </c>
      <c r="N244" s="241">
        <v>-21</v>
      </c>
      <c r="O244" s="27">
        <v>-21.42</v>
      </c>
      <c r="P244" s="27">
        <f>SUMIFS(Aut_BlueMe_Sem_Pedido!$J:$J,Aut_BlueMe_Sem_Pedido!$Q:$Q,DRE!N$4,Aut_BlueMe_Sem_Pedido!$H:$H,DRE!$A244)+SUMIFS(Aut_Ajustes_Manuais!$G:$G,Aut_Ajustes_Manuais!$I:$I,DRE!N$4,Aut_Ajustes_Manuais!$F:$F,"Telefone")</f>
        <v>-264.33000000000004</v>
      </c>
      <c r="Q244" s="241">
        <v>-21</v>
      </c>
      <c r="R244" s="27">
        <v>-21.42</v>
      </c>
      <c r="S244" s="27">
        <f>SUMIFS(Aut_BlueMe_Sem_Pedido!$J:$J,Aut_BlueMe_Sem_Pedido!$Q:$Q,DRE!Q$4,Aut_BlueMe_Sem_Pedido!$H:$H,DRE!$A244)+SUMIFS(Aut_Ajustes_Manuais!$G:$G,Aut_Ajustes_Manuais!$I:$I,DRE!Q$4,Aut_Ajustes_Manuais!$F:$F,"Telefone")</f>
        <v>-159.96</v>
      </c>
      <c r="T244" s="241">
        <v>-21</v>
      </c>
      <c r="U244" s="27">
        <v>-21.42</v>
      </c>
      <c r="V244" s="28">
        <f>SUMIFS(Aut_BlueMe_Sem_Pedido!$J:$J,Aut_BlueMe_Sem_Pedido!$Q:$Q,DRE!T$4,Aut_BlueMe_Sem_Pedido!$H:$H,DRE!$A244)+SUMIFS(Aut_Ajustes_Manuais!$G:$G,Aut_Ajustes_Manuais!$I:$I,DRE!T$4,Aut_Ajustes_Manuais!$F:$F,"Telefone")</f>
        <v>-159.96</v>
      </c>
      <c r="W244" s="241">
        <v>-21</v>
      </c>
      <c r="X244" s="27">
        <v>-21.42</v>
      </c>
      <c r="Y244" s="28">
        <f>SUMIFS(Aut_BlueMe_Sem_Pedido!$J:$J,Aut_BlueMe_Sem_Pedido!$Q:$Q,DRE!W$4,Aut_BlueMe_Sem_Pedido!$H:$H,DRE!$A244)+SUMIFS(Aut_Ajustes_Manuais!$G:$G,Aut_Ajustes_Manuais!$I:$I,DRE!W$4,Aut_Ajustes_Manuais!$F:$F,"Telefone")</f>
        <v>-159.96</v>
      </c>
      <c r="Z244" s="241">
        <v>-21</v>
      </c>
      <c r="AA244" s="27">
        <v>-21.42</v>
      </c>
      <c r="AB244" s="28">
        <f>SUMIFS(Aut_BlueMe_Sem_Pedido!$J:$J,Aut_BlueMe_Sem_Pedido!$Q:$Q,DRE!Z$4,Aut_BlueMe_Sem_Pedido!$H:$H,DRE!$A244)+SUMIFS(Aut_Ajustes_Manuais!$G:$G,Aut_Ajustes_Manuais!$I:$I,DRE!Z$4,Aut_Ajustes_Manuais!$F:$F,"Telefone")</f>
        <v>0</v>
      </c>
      <c r="AC244" s="241">
        <v>-21</v>
      </c>
      <c r="AD244" s="27">
        <v>-21.42</v>
      </c>
      <c r="AE244" s="28">
        <f>SUMIFS(Aut_BlueMe_Sem_Pedido!$J:$J,Aut_BlueMe_Sem_Pedido!$Q:$Q,DRE!AC$4,Aut_BlueMe_Sem_Pedido!$H:$H,DRE!$A244)+SUMIFS(Aut_Ajustes_Manuais!$G:$G,Aut_Ajustes_Manuais!$I:$I,DRE!AC$4,Aut_Ajustes_Manuais!$F:$F,"Telefone")</f>
        <v>0</v>
      </c>
      <c r="AF244" s="241">
        <v>-21.08</v>
      </c>
      <c r="AG244" s="27">
        <v>-21.42</v>
      </c>
      <c r="AH244" s="28">
        <f>SUMIFS(Aut_BlueMe_Sem_Pedido!$J:$J,Aut_BlueMe_Sem_Pedido!$Q:$Q,DRE!AF$4,Aut_BlueMe_Sem_Pedido!$H:$H,DRE!$A244)+SUMIFS(Aut_Ajustes_Manuais!$G:$G,Aut_Ajustes_Manuais!$I:$I,DRE!AF$4,Aut_Ajustes_Manuais!$F:$F,"Telefone")</f>
        <v>0</v>
      </c>
      <c r="AI244" s="241">
        <v>-22.04</v>
      </c>
      <c r="AJ244" s="27">
        <v>-21.42</v>
      </c>
      <c r="AK244" s="28">
        <f>SUMIFS(Aut_BlueMe_Sem_Pedido!$J:$J,Aut_BlueMe_Sem_Pedido!$Q:$Q,DRE!AI$4,Aut_BlueMe_Sem_Pedido!$H:$H,DRE!$A244)+SUMIFS(Aut_Ajustes_Manuais!$G:$G,Aut_Ajustes_Manuais!$I:$I,DRE!AI$4,Aut_Ajustes_Manuais!$F:$F,"Telefone")</f>
        <v>0</v>
      </c>
      <c r="AL244" s="241">
        <v>-22.79</v>
      </c>
      <c r="AM244" s="27">
        <v>-21.42</v>
      </c>
      <c r="AN244" s="28">
        <f>SUMIFS(Aut_BlueMe_Sem_Pedido!$J:$J,Aut_BlueMe_Sem_Pedido!$Q:$Q,DRE!AL$4,Aut_BlueMe_Sem_Pedido!$H:$H,DRE!$A244)+SUMIFS(Aut_Ajustes_Manuais!$G:$G,Aut_Ajustes_Manuais!$I:$I,DRE!AL$4,Aut_Ajustes_Manuais!$F:$F,"Telefone")</f>
        <v>0</v>
      </c>
      <c r="AO244" s="241">
        <v>-21</v>
      </c>
      <c r="AP244" s="27">
        <v>-21.42</v>
      </c>
      <c r="AQ244" s="28">
        <f>SUMIFS(Aut_BlueMe_Sem_Pedido!$J:$J,Aut_BlueMe_Sem_Pedido!$Q:$Q,DRE!AO$4,Aut_BlueMe_Sem_Pedido!$H:$H,DRE!$A244)+SUMIFS(Aut_Ajustes_Manuais!$G:$G,Aut_Ajustes_Manuais!$I:$I,DRE!AO$4,Aut_Ajustes_Manuais!$F:$F,"Telefone")</f>
        <v>0</v>
      </c>
      <c r="AR244" s="241">
        <f t="shared" ref="AR244:AR252" ca="1" si="231">SUMIFS($H244:$AO244,$H$5:$AO$5,"&lt;"&amp;MONTH(TODAY()),$H$6:$AO$6,"REAL 25")</f>
        <v>-126</v>
      </c>
      <c r="AS244" s="27">
        <f t="shared" ref="AS244:AS252" ca="1" si="232">SUMIFS($I244:$AP244,$I$5:$AP$5,"&lt;"&amp;MONTH(TODAY()),$I$6:$AP$6,"ORÇADO ")</f>
        <v>-128.52000000000001</v>
      </c>
      <c r="AT244" s="28">
        <f t="shared" ref="AT244:AT252" ca="1" si="233">SUMIFS($J244:$AQ244,$J$5:$AQ$5,"&lt;"&amp;MONTH(TODAY()),$J$6:$AQ$6,"REAL 26")</f>
        <v>-1093.3100000000002</v>
      </c>
      <c r="AU244" s="241">
        <f t="shared" ref="AU244:AW250" si="234">SUM(H244,K244,N244,Q244,T244,W244,Z244,AC244,AF244,AI244,AL244,AO244)</f>
        <v>-254.90999999999997</v>
      </c>
      <c r="AV244" s="27">
        <f t="shared" si="234"/>
        <v>-257.04000000000008</v>
      </c>
      <c r="AW244" s="28">
        <f t="shared" si="234"/>
        <v>-1093.3100000000002</v>
      </c>
      <c r="AX244" s="241">
        <f t="shared" ref="AX244:AZ250" si="235">SUM(H244,K244,N244)</f>
        <v>-63</v>
      </c>
      <c r="AY244" s="27">
        <f t="shared" si="235"/>
        <v>-64.260000000000005</v>
      </c>
      <c r="AZ244" s="28">
        <f t="shared" si="235"/>
        <v>-613.43000000000006</v>
      </c>
      <c r="BA244" s="241">
        <f t="shared" ref="BA244:BC250" si="236">SUM(Q244,T244,W244)</f>
        <v>-63</v>
      </c>
      <c r="BB244" s="27">
        <f t="shared" si="236"/>
        <v>-64.260000000000005</v>
      </c>
      <c r="BC244" s="28">
        <f t="shared" si="236"/>
        <v>-479.88</v>
      </c>
      <c r="BD244" s="241">
        <f t="shared" ref="BD244:BF250" si="237">SUM(Z244,AC244,AF244)</f>
        <v>-63.08</v>
      </c>
      <c r="BE244" s="27">
        <f t="shared" si="237"/>
        <v>-64.260000000000005</v>
      </c>
      <c r="BF244" s="28">
        <f t="shared" si="237"/>
        <v>0</v>
      </c>
      <c r="BG244" s="241">
        <f t="shared" ref="BG244:BI250" si="238">SUM(AI244,AL244,AO244)</f>
        <v>-65.83</v>
      </c>
      <c r="BH244" s="27">
        <f t="shared" si="238"/>
        <v>-64.260000000000005</v>
      </c>
      <c r="BI244" s="28">
        <f t="shared" si="238"/>
        <v>0</v>
      </c>
      <c r="BK244" s="448">
        <f t="shared" si="185"/>
        <v>-257.04000000000008</v>
      </c>
      <c r="BL244" s="448">
        <f t="shared" si="186"/>
        <v>0</v>
      </c>
      <c r="BM244" s="448">
        <f t="shared" si="187"/>
        <v>-933.35000000000014</v>
      </c>
      <c r="BN244" s="448">
        <f t="shared" ca="1" si="188"/>
        <v>159.96000000000004</v>
      </c>
    </row>
    <row r="245" spans="1:66" s="29" customFormat="1" hidden="1" outlineLevel="1" x14ac:dyDescent="0.3">
      <c r="A245" s="22" t="s">
        <v>282</v>
      </c>
      <c r="B245" s="23"/>
      <c r="C245" s="24" t="s">
        <v>69</v>
      </c>
      <c r="D245" s="116"/>
      <c r="E245" s="116"/>
      <c r="F245" s="117"/>
      <c r="G245" s="33"/>
      <c r="H245" s="241">
        <v>-509.87</v>
      </c>
      <c r="I245" s="27">
        <v>-433.37700000000001</v>
      </c>
      <c r="J245" s="28">
        <f>SUMIFS(Aut_BlueMe_Sem_Pedido!$J:$J,Aut_BlueMe_Sem_Pedido!$Q:$Q,DRE!H$4,Aut_BlueMe_Sem_Pedido!$H:$H,DRE!$A245)+SUMIFS(Aut_Ajustes_Manuais!$G:$G,Aut_Ajustes_Manuais!$I:$I,DRE!H$4,Aut_Ajustes_Manuais!$F:$F,"Internet")</f>
        <v>-249.9</v>
      </c>
      <c r="K245" s="241">
        <v>-421.84</v>
      </c>
      <c r="L245" s="27">
        <v>-440.87400000000002</v>
      </c>
      <c r="M245" s="28">
        <f>SUMIFS(Aut_BlueMe_Sem_Pedido!$J:$J,Aut_BlueMe_Sem_Pedido!$Q:$Q,DRE!K$4,Aut_BlueMe_Sem_Pedido!$H:$H,DRE!$A245)+SUMIFS(Aut_Ajustes_Manuais!$G:$G,Aut_Ajustes_Manuais!$I:$I,DRE!K$4,Aut_Ajustes_Manuais!$F:$F,"Internet")</f>
        <v>-249.9</v>
      </c>
      <c r="N245" s="241">
        <v>-419.88</v>
      </c>
      <c r="O245" s="27">
        <v>-440.87400000000002</v>
      </c>
      <c r="P245" s="28">
        <f>SUMIFS(Aut_BlueMe_Sem_Pedido!$J:$J,Aut_BlueMe_Sem_Pedido!$Q:$Q,DRE!N$4,Aut_BlueMe_Sem_Pedido!$H:$H,DRE!$A245)+SUMIFS(Aut_Ajustes_Manuais!$G:$G,Aut_Ajustes_Manuais!$I:$I,DRE!N$4,Aut_Ajustes_Manuais!$F:$F,"Internet")</f>
        <v>-249.9</v>
      </c>
      <c r="Q245" s="241">
        <v>-419.88</v>
      </c>
      <c r="R245" s="27">
        <v>-440.87400000000002</v>
      </c>
      <c r="S245" s="28">
        <f>SUMIFS(Aut_BlueMe_Sem_Pedido!$J:$J,Aut_BlueMe_Sem_Pedido!$Q:$Q,DRE!Q$4,Aut_BlueMe_Sem_Pedido!$H:$H,DRE!$A245)+SUMIFS(Aut_Ajustes_Manuais!$G:$G,Aut_Ajustes_Manuais!$I:$I,DRE!Q$4,Aut_Ajustes_Manuais!$F:$F,"Internet")</f>
        <v>-354.27</v>
      </c>
      <c r="T245" s="241">
        <v>-419.88</v>
      </c>
      <c r="U245" s="27">
        <v>-440.87400000000002</v>
      </c>
      <c r="V245" s="28">
        <f>SUMIFS(Aut_BlueMe_Sem_Pedido!$J:$J,Aut_BlueMe_Sem_Pedido!$Q:$Q,DRE!T$4,Aut_BlueMe_Sem_Pedido!$H:$H,DRE!$A245)+SUMIFS(Aut_Ajustes_Manuais!$G:$G,Aut_Ajustes_Manuais!$I:$I,DRE!T$4,Aut_Ajustes_Manuais!$F:$F,"Internet")</f>
        <v>-354.27</v>
      </c>
      <c r="W245" s="241">
        <v>-419.88</v>
      </c>
      <c r="X245" s="27">
        <v>-440.87400000000002</v>
      </c>
      <c r="Y245" s="28">
        <f>SUMIFS(Aut_BlueMe_Sem_Pedido!$J:$J,Aut_BlueMe_Sem_Pedido!$Q:$Q,DRE!W$4,Aut_BlueMe_Sem_Pedido!$H:$H,DRE!$A245)+SUMIFS(Aut_Ajustes_Manuais!$G:$G,Aut_Ajustes_Manuais!$I:$I,DRE!W$4,Aut_Ajustes_Manuais!$F:$F,"Internet")</f>
        <v>-354.27</v>
      </c>
      <c r="Z245" s="241">
        <v>-329.89</v>
      </c>
      <c r="AA245" s="27">
        <v>-440.87400000000002</v>
      </c>
      <c r="AB245" s="28">
        <f>SUMIFS(Aut_BlueMe_Sem_Pedido!$J:$J,Aut_BlueMe_Sem_Pedido!$Q:$Q,DRE!Z$4,Aut_BlueMe_Sem_Pedido!$H:$H,DRE!$A245)+SUMIFS(Aut_Ajustes_Manuais!$G:$G,Aut_Ajustes_Manuais!$I:$I,DRE!Z$4,Aut_Ajustes_Manuais!$F:$F,"Internet")</f>
        <v>-399.9</v>
      </c>
      <c r="AC245" s="241">
        <v>-419.88</v>
      </c>
      <c r="AD245" s="27">
        <v>-440.87400000000002</v>
      </c>
      <c r="AE245" s="28">
        <f>SUMIFS(Aut_BlueMe_Sem_Pedido!$J:$J,Aut_BlueMe_Sem_Pedido!$Q:$Q,DRE!AC$4,Aut_BlueMe_Sem_Pedido!$H:$H,DRE!$A245)+SUMIFS(Aut_Ajustes_Manuais!$G:$G,Aut_Ajustes_Manuais!$I:$I,DRE!AC$4,Aut_Ajustes_Manuais!$F:$F,"Internet")</f>
        <v>-399.9</v>
      </c>
      <c r="AF245" s="241">
        <v>-420.16</v>
      </c>
      <c r="AG245" s="27">
        <v>-440.87400000000002</v>
      </c>
      <c r="AH245" s="28">
        <f>SUMIFS(Aut_BlueMe_Sem_Pedido!$J:$J,Aut_BlueMe_Sem_Pedido!$Q:$Q,DRE!AF$4,Aut_BlueMe_Sem_Pedido!$H:$H,DRE!$A245)+SUMIFS(Aut_Ajustes_Manuais!$G:$G,Aut_Ajustes_Manuais!$I:$I,DRE!AF$4,Aut_Ajustes_Manuais!$F:$F,"Internet")</f>
        <v>-399.9</v>
      </c>
      <c r="AI245" s="241">
        <v>-332.23</v>
      </c>
      <c r="AJ245" s="27">
        <v>-440.87400000000002</v>
      </c>
      <c r="AK245" s="28">
        <f>SUMIFS(Aut_BlueMe_Sem_Pedido!$J:$J,Aut_BlueMe_Sem_Pedido!$Q:$Q,DRE!AI$4,Aut_BlueMe_Sem_Pedido!$H:$H,DRE!$A245)+SUMIFS(Aut_Ajustes_Manuais!$G:$G,Aut_Ajustes_Manuais!$I:$I,DRE!AI$4,Aut_Ajustes_Manuais!$F:$F,"Internet")</f>
        <v>-399.9</v>
      </c>
      <c r="AL245" s="241">
        <v>-1208.9100000000001</v>
      </c>
      <c r="AM245" s="27">
        <v>-440.87400000000002</v>
      </c>
      <c r="AN245" s="28">
        <f>SUMIFS(Aut_BlueMe_Sem_Pedido!$J:$J,Aut_BlueMe_Sem_Pedido!$Q:$Q,DRE!AL$4,Aut_BlueMe_Sem_Pedido!$H:$H,DRE!$A245)+SUMIFS(Aut_Ajustes_Manuais!$G:$G,Aut_Ajustes_Manuais!$I:$I,DRE!AL$4,Aut_Ajustes_Manuais!$F:$F,"Internet")</f>
        <v>-399.9</v>
      </c>
      <c r="AO245" s="241">
        <v>-354.27</v>
      </c>
      <c r="AP245" s="27">
        <v>-440.87400000000002</v>
      </c>
      <c r="AQ245" s="28">
        <f>SUMIFS(Aut_BlueMe_Sem_Pedido!$J:$J,Aut_BlueMe_Sem_Pedido!$Q:$Q,DRE!AO$4,Aut_BlueMe_Sem_Pedido!$H:$H,DRE!$A245)+SUMIFS(Aut_Ajustes_Manuais!$G:$G,Aut_Ajustes_Manuais!$I:$I,DRE!AO$4,Aut_Ajustes_Manuais!$F:$F,"Internet")</f>
        <v>-399.9</v>
      </c>
      <c r="AR245" s="241">
        <f t="shared" ca="1" si="231"/>
        <v>-2611.2300000000005</v>
      </c>
      <c r="AS245" s="27">
        <f t="shared" ca="1" si="232"/>
        <v>-2637.7470000000003</v>
      </c>
      <c r="AT245" s="28">
        <f t="shared" ca="1" si="233"/>
        <v>-1812.51</v>
      </c>
      <c r="AU245" s="241">
        <f t="shared" si="234"/>
        <v>-5676.57</v>
      </c>
      <c r="AV245" s="27">
        <f t="shared" si="234"/>
        <v>-5282.9909999999991</v>
      </c>
      <c r="AW245" s="28">
        <f t="shared" si="234"/>
        <v>-4211.91</v>
      </c>
      <c r="AX245" s="241">
        <f t="shared" si="235"/>
        <v>-1351.5900000000001</v>
      </c>
      <c r="AY245" s="27">
        <f t="shared" si="235"/>
        <v>-1315.125</v>
      </c>
      <c r="AZ245" s="28">
        <f t="shared" si="235"/>
        <v>-749.7</v>
      </c>
      <c r="BA245" s="241">
        <f t="shared" si="236"/>
        <v>-1259.6399999999999</v>
      </c>
      <c r="BB245" s="27">
        <f t="shared" si="236"/>
        <v>-1322.6220000000001</v>
      </c>
      <c r="BC245" s="28">
        <f t="shared" si="236"/>
        <v>-1062.81</v>
      </c>
      <c r="BD245" s="241">
        <f t="shared" si="237"/>
        <v>-1169.93</v>
      </c>
      <c r="BE245" s="27">
        <f t="shared" si="237"/>
        <v>-1322.6220000000001</v>
      </c>
      <c r="BF245" s="28">
        <f t="shared" si="237"/>
        <v>-1199.6999999999998</v>
      </c>
      <c r="BG245" s="241">
        <f t="shared" si="238"/>
        <v>-1895.41</v>
      </c>
      <c r="BH245" s="27">
        <f t="shared" si="238"/>
        <v>-1322.6220000000001</v>
      </c>
      <c r="BI245" s="28">
        <f t="shared" si="238"/>
        <v>-1199.6999999999998</v>
      </c>
      <c r="BK245" s="448">
        <f t="shared" si="185"/>
        <v>-5282.9909999999991</v>
      </c>
      <c r="BL245" s="448">
        <f t="shared" si="186"/>
        <v>0</v>
      </c>
      <c r="BM245" s="448">
        <f t="shared" si="187"/>
        <v>-1458.24</v>
      </c>
      <c r="BN245" s="448">
        <f t="shared" ca="1" si="188"/>
        <v>354.27</v>
      </c>
    </row>
    <row r="246" spans="1:66" s="29" customFormat="1" hidden="1" outlineLevel="1" x14ac:dyDescent="0.3">
      <c r="A246" s="22" t="s">
        <v>283</v>
      </c>
      <c r="B246" s="23"/>
      <c r="C246" s="24" t="s">
        <v>69</v>
      </c>
      <c r="D246" s="116"/>
      <c r="E246" s="116"/>
      <c r="F246" s="117"/>
      <c r="G246" s="33"/>
      <c r="H246" s="241">
        <v>-224.89</v>
      </c>
      <c r="I246" s="27">
        <v>-267.09500000000003</v>
      </c>
      <c r="J246" s="28">
        <f>SUMIFS(Aut_BlueMe_Sem_Pedido!$J:$J,Aut_BlueMe_Sem_Pedido!$Q:$Q,DRE!H$4,Aut_BlueMe_Sem_Pedido!$H:$H,DRE!$A246)+SUMIFS(Aut_Ajustes_Manuais!$G:$G,Aut_Ajustes_Manuais!$I:$I,DRE!H$4,Aut_Ajustes_Manuais!$F:$F,"TV por assinatura/musica ambiente")</f>
        <v>-358.1</v>
      </c>
      <c r="K246" s="241">
        <v>-241.89</v>
      </c>
      <c r="L246" s="27">
        <v>-267.09500000000003</v>
      </c>
      <c r="M246" s="28">
        <f>SUMIFS(Aut_BlueMe_Sem_Pedido!$J:$J,Aut_BlueMe_Sem_Pedido!$Q:$Q,DRE!K$4,Aut_BlueMe_Sem_Pedido!$H:$H,DRE!$A246)+SUMIFS(Aut_Ajustes_Manuais!$G:$G,Aut_Ajustes_Manuais!$I:$I,DRE!K$4,Aut_Ajustes_Manuais!$F:$F,"TV por assinatura/musica ambiente")</f>
        <v>-366.46</v>
      </c>
      <c r="N246" s="241">
        <v>-236.96</v>
      </c>
      <c r="O246" s="27">
        <v>-267.09500000000003</v>
      </c>
      <c r="P246" s="28">
        <f>SUMIFS(Aut_BlueMe_Sem_Pedido!$J:$J,Aut_BlueMe_Sem_Pedido!$Q:$Q,DRE!N$4,Aut_BlueMe_Sem_Pedido!$H:$H,DRE!$A246)+SUMIFS(Aut_Ajustes_Manuais!$G:$G,Aut_Ajustes_Manuais!$I:$I,DRE!N$4,Aut_Ajustes_Manuais!$F:$F,"TV por assinatura/musica ambiente")</f>
        <v>-373.48</v>
      </c>
      <c r="Q246" s="241">
        <v>-236.96</v>
      </c>
      <c r="R246" s="27">
        <v>-267.09500000000003</v>
      </c>
      <c r="S246" s="28">
        <f>SUMIFS(Aut_BlueMe_Sem_Pedido!$J:$J,Aut_BlueMe_Sem_Pedido!$Q:$Q,DRE!Q$4,Aut_BlueMe_Sem_Pedido!$H:$H,DRE!$A246)+SUMIFS(Aut_Ajustes_Manuais!$G:$G,Aut_Ajustes_Manuais!$I:$I,DRE!Q$4,Aut_Ajustes_Manuais!$F:$F,"TV por assinatura/musica ambiente")</f>
        <v>-358.5</v>
      </c>
      <c r="T246" s="241">
        <v>-236.96</v>
      </c>
      <c r="U246" s="27">
        <v>-267.09500000000003</v>
      </c>
      <c r="V246" s="28">
        <f>SUMIFS(Aut_BlueMe_Sem_Pedido!$J:$J,Aut_BlueMe_Sem_Pedido!$Q:$Q,DRE!T$4,Aut_BlueMe_Sem_Pedido!$H:$H,DRE!$A246)+SUMIFS(Aut_Ajustes_Manuais!$G:$G,Aut_Ajustes_Manuais!$I:$I,DRE!T$4,Aut_Ajustes_Manuais!$F:$F,"TV por assinatura/musica ambiente")</f>
        <v>-358.5</v>
      </c>
      <c r="W246" s="241">
        <v>-242</v>
      </c>
      <c r="X246" s="27">
        <v>-267.09500000000003</v>
      </c>
      <c r="Y246" s="28">
        <f>SUMIFS(Aut_BlueMe_Sem_Pedido!$J:$J,Aut_BlueMe_Sem_Pedido!$Q:$Q,DRE!W$4,Aut_BlueMe_Sem_Pedido!$H:$H,DRE!$A246)+SUMIFS(Aut_Ajustes_Manuais!$G:$G,Aut_Ajustes_Manuais!$I:$I,DRE!W$4,Aut_Ajustes_Manuais!$F:$F,"TV por assinatura/musica ambiente")</f>
        <v>-367.10999999999996</v>
      </c>
      <c r="Z246" s="241">
        <v>-338.72</v>
      </c>
      <c r="AA246" s="27">
        <v>-267.09500000000003</v>
      </c>
      <c r="AB246" s="28">
        <f>SUMIFS(Aut_BlueMe_Sem_Pedido!$J:$J,Aut_BlueMe_Sem_Pedido!$Q:$Q,DRE!Z$4,Aut_BlueMe_Sem_Pedido!$H:$H,DRE!$A246)+SUMIFS(Aut_Ajustes_Manuais!$G:$G,Aut_Ajustes_Manuais!$I:$I,DRE!Z$4,Aut_Ajustes_Manuais!$F:$F,"TV por assinatura/musica ambiente")</f>
        <v>-423.5</v>
      </c>
      <c r="AC246" s="241">
        <v>-242</v>
      </c>
      <c r="AD246" s="27">
        <v>-267.09500000000003</v>
      </c>
      <c r="AE246" s="28">
        <f>SUMIFS(Aut_BlueMe_Sem_Pedido!$J:$J,Aut_BlueMe_Sem_Pedido!$Q:$Q,DRE!AC$4,Aut_BlueMe_Sem_Pedido!$H:$H,DRE!$A246)+SUMIFS(Aut_Ajustes_Manuais!$G:$G,Aut_Ajustes_Manuais!$I:$I,DRE!AC$4,Aut_Ajustes_Manuais!$F:$F,"TV por assinatura/musica ambiente")</f>
        <v>-423.5</v>
      </c>
      <c r="AF246" s="241">
        <v>-265.89999999999998</v>
      </c>
      <c r="AG246" s="27">
        <v>-267.09500000000003</v>
      </c>
      <c r="AH246" s="28">
        <f>SUMIFS(Aut_BlueMe_Sem_Pedido!$J:$J,Aut_BlueMe_Sem_Pedido!$Q:$Q,DRE!AF$4,Aut_BlueMe_Sem_Pedido!$H:$H,DRE!$A246)+SUMIFS(Aut_Ajustes_Manuais!$G:$G,Aut_Ajustes_Manuais!$I:$I,DRE!AF$4,Aut_Ajustes_Manuais!$F:$F,"TV por assinatura/musica ambiente")</f>
        <v>-423.5</v>
      </c>
      <c r="AI246" s="241">
        <v>-357.45</v>
      </c>
      <c r="AJ246" s="27">
        <v>-267.09500000000003</v>
      </c>
      <c r="AK246" s="28">
        <f>SUMIFS(Aut_BlueMe_Sem_Pedido!$J:$J,Aut_BlueMe_Sem_Pedido!$Q:$Q,DRE!AI$4,Aut_BlueMe_Sem_Pedido!$H:$H,DRE!$A246)+SUMIFS(Aut_Ajustes_Manuais!$G:$G,Aut_Ajustes_Manuais!$I:$I,DRE!AI$4,Aut_Ajustes_Manuais!$F:$F,"TV por assinatura/musica ambiente")</f>
        <v>-423.5</v>
      </c>
      <c r="AL246" s="241">
        <v>-275.39999999999998</v>
      </c>
      <c r="AM246" s="27">
        <v>-267.09500000000003</v>
      </c>
      <c r="AN246" s="28">
        <f>SUMIFS(Aut_BlueMe_Sem_Pedido!$J:$J,Aut_BlueMe_Sem_Pedido!$Q:$Q,DRE!AL$4,Aut_BlueMe_Sem_Pedido!$H:$H,DRE!$A246)+SUMIFS(Aut_Ajustes_Manuais!$G:$G,Aut_Ajustes_Manuais!$I:$I,DRE!AL$4,Aut_Ajustes_Manuais!$F:$F,"TV por assinatura/musica ambiente")</f>
        <v>-423.5</v>
      </c>
      <c r="AO246" s="241">
        <v>-605.85</v>
      </c>
      <c r="AP246" s="27">
        <v>-267.09500000000003</v>
      </c>
      <c r="AQ246" s="28">
        <f>SUMIFS(Aut_BlueMe_Sem_Pedido!$J:$J,Aut_BlueMe_Sem_Pedido!$Q:$Q,DRE!AO$4,Aut_BlueMe_Sem_Pedido!$H:$H,DRE!$A246)+SUMIFS(Aut_Ajustes_Manuais!$G:$G,Aut_Ajustes_Manuais!$I:$I,DRE!AO$4,Aut_Ajustes_Manuais!$F:$F,"TV por assinatura/musica ambiente")</f>
        <v>-423.5</v>
      </c>
      <c r="AR246" s="241">
        <f t="shared" ca="1" si="231"/>
        <v>-1419.66</v>
      </c>
      <c r="AS246" s="27">
        <f t="shared" ca="1" si="232"/>
        <v>-1602.5700000000002</v>
      </c>
      <c r="AT246" s="28">
        <f t="shared" ca="1" si="233"/>
        <v>-2182.15</v>
      </c>
      <c r="AU246" s="241">
        <f t="shared" si="234"/>
        <v>-3504.98</v>
      </c>
      <c r="AV246" s="27">
        <f t="shared" si="234"/>
        <v>-3205.1400000000012</v>
      </c>
      <c r="AW246" s="28">
        <f t="shared" si="234"/>
        <v>-4723.1499999999996</v>
      </c>
      <c r="AX246" s="241">
        <f t="shared" si="235"/>
        <v>-703.74</v>
      </c>
      <c r="AY246" s="27">
        <f t="shared" si="235"/>
        <v>-801.28500000000008</v>
      </c>
      <c r="AZ246" s="28">
        <f t="shared" si="235"/>
        <v>-1098.04</v>
      </c>
      <c r="BA246" s="241">
        <f t="shared" si="236"/>
        <v>-715.92000000000007</v>
      </c>
      <c r="BB246" s="27">
        <f t="shared" si="236"/>
        <v>-801.28500000000008</v>
      </c>
      <c r="BC246" s="28">
        <f t="shared" si="236"/>
        <v>-1084.1099999999999</v>
      </c>
      <c r="BD246" s="241">
        <f t="shared" si="237"/>
        <v>-846.62</v>
      </c>
      <c r="BE246" s="27">
        <f t="shared" si="237"/>
        <v>-801.28500000000008</v>
      </c>
      <c r="BF246" s="28">
        <f t="shared" si="237"/>
        <v>-1270.5</v>
      </c>
      <c r="BG246" s="241">
        <f t="shared" si="238"/>
        <v>-1238.6999999999998</v>
      </c>
      <c r="BH246" s="27">
        <f t="shared" si="238"/>
        <v>-801.28500000000008</v>
      </c>
      <c r="BI246" s="28">
        <f t="shared" si="238"/>
        <v>-1270.5</v>
      </c>
      <c r="BK246" s="448">
        <f t="shared" si="185"/>
        <v>-3205.1400000000012</v>
      </c>
      <c r="BL246" s="448">
        <f t="shared" si="186"/>
        <v>0</v>
      </c>
      <c r="BM246" s="448">
        <f t="shared" si="187"/>
        <v>-1815.04</v>
      </c>
      <c r="BN246" s="448">
        <f t="shared" ca="1" si="188"/>
        <v>367.11000000000013</v>
      </c>
    </row>
    <row r="247" spans="1:66" s="29" customFormat="1" hidden="1" outlineLevel="1" x14ac:dyDescent="0.3">
      <c r="A247" s="22" t="s">
        <v>284</v>
      </c>
      <c r="B247" s="23"/>
      <c r="C247" s="24" t="s">
        <v>69</v>
      </c>
      <c r="D247" s="116"/>
      <c r="E247" s="118"/>
      <c r="F247" s="117"/>
      <c r="G247" s="33"/>
      <c r="H247" s="241">
        <v>-181.27</v>
      </c>
      <c r="I247" s="27">
        <v>-190.33349999999999</v>
      </c>
      <c r="J247" s="28">
        <f>SUMIFS(Aut_BlueMe_Sem_Pedido!$J:$J,Aut_BlueMe_Sem_Pedido!$Q:$Q,DRE!H$4,Aut_BlueMe_Sem_Pedido!$H:$H,DRE!$A247)+SUMIFS(Aut_Ajustes_Manuais!$G:$G,Aut_Ajustes_Manuais!$I:$I,DRE!H$4,Aut_Ajustes_Manuais!$F:$F,"Sistemas de Segurança e Alarme")</f>
        <v>-181.27</v>
      </c>
      <c r="K247" s="241">
        <v>-181.27</v>
      </c>
      <c r="L247" s="27">
        <v>-190.33349999999999</v>
      </c>
      <c r="M247" s="28">
        <f>SUMIFS(Aut_BlueMe_Sem_Pedido!$J:$J,Aut_BlueMe_Sem_Pedido!$Q:$Q,DRE!K$4,Aut_BlueMe_Sem_Pedido!$H:$H,DRE!$A247)+SUMIFS(Aut_Ajustes_Manuais!$G:$G,Aut_Ajustes_Manuais!$I:$I,DRE!K$4,Aut_Ajustes_Manuais!$F:$F,"Sistemas de Segurança e Alarme")</f>
        <v>-181.27</v>
      </c>
      <c r="N247" s="241">
        <v>-181.27</v>
      </c>
      <c r="O247" s="27">
        <v>-190.33349999999999</v>
      </c>
      <c r="P247" s="28">
        <f>SUMIFS(Aut_BlueMe_Sem_Pedido!$J:$J,Aut_BlueMe_Sem_Pedido!$Q:$Q,DRE!N$4,Aut_BlueMe_Sem_Pedido!$H:$H,DRE!$A247)+SUMIFS(Aut_Ajustes_Manuais!$G:$G,Aut_Ajustes_Manuais!$I:$I,DRE!N$4,Aut_Ajustes_Manuais!$F:$F,"Sistemas de Segurança e Alarme")</f>
        <v>-181.27</v>
      </c>
      <c r="Q247" s="241">
        <v>-181.27</v>
      </c>
      <c r="R247" s="27">
        <v>-190.33349999999999</v>
      </c>
      <c r="S247" s="28">
        <f>SUMIFS(Aut_BlueMe_Sem_Pedido!$J:$J,Aut_BlueMe_Sem_Pedido!$Q:$Q,DRE!Q$4,Aut_BlueMe_Sem_Pedido!$H:$H,DRE!$A247)+SUMIFS(Aut_Ajustes_Manuais!$G:$G,Aut_Ajustes_Manuais!$I:$I,DRE!Q$4,Aut_Ajustes_Manuais!$F:$F,"Sistemas de Segurança e Alarme")</f>
        <v>-181.27</v>
      </c>
      <c r="T247" s="241">
        <v>-181.27</v>
      </c>
      <c r="U247" s="27">
        <v>-190.33349999999999</v>
      </c>
      <c r="V247" s="28">
        <f>SUMIFS(Aut_BlueMe_Sem_Pedido!$J:$J,Aut_BlueMe_Sem_Pedido!$Q:$Q,DRE!T$4,Aut_BlueMe_Sem_Pedido!$H:$H,DRE!$A247)+SUMIFS(Aut_Ajustes_Manuais!$G:$G,Aut_Ajustes_Manuais!$I:$I,DRE!T$4,Aut_Ajustes_Manuais!$F:$F,"Sistemas de Segurança e Alarme")</f>
        <v>-362.54</v>
      </c>
      <c r="W247" s="241">
        <v>-181.27</v>
      </c>
      <c r="X247" s="27">
        <v>-190.33349999999999</v>
      </c>
      <c r="Y247" s="28">
        <f>SUMIFS(Aut_BlueMe_Sem_Pedido!$J:$J,Aut_BlueMe_Sem_Pedido!$Q:$Q,DRE!W$4,Aut_BlueMe_Sem_Pedido!$H:$H,DRE!$A247)+SUMIFS(Aut_Ajustes_Manuais!$G:$G,Aut_Ajustes_Manuais!$I:$I,DRE!W$4,Aut_Ajustes_Manuais!$F:$F,"Sistemas de Segurança e Alarme")</f>
        <v>0</v>
      </c>
      <c r="Z247" s="241">
        <v>-181.27</v>
      </c>
      <c r="AA247" s="27">
        <v>-190.33349999999999</v>
      </c>
      <c r="AB247" s="28">
        <f>SUMIFS(Aut_BlueMe_Sem_Pedido!$J:$J,Aut_BlueMe_Sem_Pedido!$Q:$Q,DRE!Z$4,Aut_BlueMe_Sem_Pedido!$H:$H,DRE!$A247)+SUMIFS(Aut_Ajustes_Manuais!$G:$G,Aut_Ajustes_Manuais!$I:$I,DRE!Z$4,Aut_Ajustes_Manuais!$F:$F,"Sistemas de Segurança e Alarme")</f>
        <v>-181.27</v>
      </c>
      <c r="AC247" s="241">
        <v>-181.27</v>
      </c>
      <c r="AD247" s="27">
        <v>-190.33349999999999</v>
      </c>
      <c r="AE247" s="28">
        <f>SUMIFS(Aut_BlueMe_Sem_Pedido!$J:$J,Aut_BlueMe_Sem_Pedido!$Q:$Q,DRE!AC$4,Aut_BlueMe_Sem_Pedido!$H:$H,DRE!$A247)+SUMIFS(Aut_Ajustes_Manuais!$G:$G,Aut_Ajustes_Manuais!$I:$I,DRE!AC$4,Aut_Ajustes_Manuais!$F:$F,"Sistemas de Segurança e Alarme")</f>
        <v>-181.27</v>
      </c>
      <c r="AF247" s="241">
        <v>-181.27</v>
      </c>
      <c r="AG247" s="27">
        <v>-190.33349999999999</v>
      </c>
      <c r="AH247" s="28">
        <f>SUMIFS(Aut_BlueMe_Sem_Pedido!$J:$J,Aut_BlueMe_Sem_Pedido!$Q:$Q,DRE!AF$4,Aut_BlueMe_Sem_Pedido!$H:$H,DRE!$A247)+SUMIFS(Aut_Ajustes_Manuais!$G:$G,Aut_Ajustes_Manuais!$I:$I,DRE!AF$4,Aut_Ajustes_Manuais!$F:$F,"Sistemas de Segurança e Alarme")</f>
        <v>-181.27</v>
      </c>
      <c r="AI247" s="241">
        <v>-181.27</v>
      </c>
      <c r="AJ247" s="27">
        <v>-190.33349999999999</v>
      </c>
      <c r="AK247" s="28">
        <f>SUMIFS(Aut_BlueMe_Sem_Pedido!$J:$J,Aut_BlueMe_Sem_Pedido!$Q:$Q,DRE!AI$4,Aut_BlueMe_Sem_Pedido!$H:$H,DRE!$A247)+SUMIFS(Aut_Ajustes_Manuais!$G:$G,Aut_Ajustes_Manuais!$I:$I,DRE!AI$4,Aut_Ajustes_Manuais!$F:$F,"Sistemas de Segurança e Alarme")</f>
        <v>-181.27</v>
      </c>
      <c r="AL247" s="241">
        <v>-181.27</v>
      </c>
      <c r="AM247" s="27">
        <v>-190.33349999999999</v>
      </c>
      <c r="AN247" s="28">
        <f>SUMIFS(Aut_BlueMe_Sem_Pedido!$J:$J,Aut_BlueMe_Sem_Pedido!$Q:$Q,DRE!AL$4,Aut_BlueMe_Sem_Pedido!$H:$H,DRE!$A247)+SUMIFS(Aut_Ajustes_Manuais!$G:$G,Aut_Ajustes_Manuais!$I:$I,DRE!AL$4,Aut_Ajustes_Manuais!$F:$F,"Sistemas de Segurança e Alarme")</f>
        <v>-181.27</v>
      </c>
      <c r="AO247" s="241">
        <v>-181.27</v>
      </c>
      <c r="AP247" s="27">
        <v>-190.33349999999999</v>
      </c>
      <c r="AQ247" s="28">
        <f>SUMIFS(Aut_BlueMe_Sem_Pedido!$J:$J,Aut_BlueMe_Sem_Pedido!$Q:$Q,DRE!AO$4,Aut_BlueMe_Sem_Pedido!$H:$H,DRE!$A247)+SUMIFS(Aut_Ajustes_Manuais!$G:$G,Aut_Ajustes_Manuais!$I:$I,DRE!AO$4,Aut_Ajustes_Manuais!$F:$F,"Sistemas de Segurança e Alarme")</f>
        <v>-181.27</v>
      </c>
      <c r="AR247" s="241">
        <f t="shared" ca="1" si="231"/>
        <v>-1087.6200000000001</v>
      </c>
      <c r="AS247" s="27">
        <f t="shared" ca="1" si="232"/>
        <v>-1142.001</v>
      </c>
      <c r="AT247" s="28">
        <f t="shared" ca="1" si="233"/>
        <v>-1087.6200000000001</v>
      </c>
      <c r="AU247" s="241">
        <f t="shared" si="234"/>
        <v>-2175.2400000000002</v>
      </c>
      <c r="AV247" s="27">
        <f t="shared" si="234"/>
        <v>-2284.002</v>
      </c>
      <c r="AW247" s="28">
        <f t="shared" si="234"/>
        <v>-2175.2400000000002</v>
      </c>
      <c r="AX247" s="241">
        <f t="shared" si="235"/>
        <v>-543.81000000000006</v>
      </c>
      <c r="AY247" s="27">
        <f t="shared" si="235"/>
        <v>-571.00049999999999</v>
      </c>
      <c r="AZ247" s="28">
        <f t="shared" si="235"/>
        <v>-543.81000000000006</v>
      </c>
      <c r="BA247" s="241">
        <f t="shared" si="236"/>
        <v>-543.81000000000006</v>
      </c>
      <c r="BB247" s="27">
        <f t="shared" si="236"/>
        <v>-571.00049999999999</v>
      </c>
      <c r="BC247" s="28">
        <f t="shared" si="236"/>
        <v>-543.81000000000006</v>
      </c>
      <c r="BD247" s="241">
        <f t="shared" si="237"/>
        <v>-543.81000000000006</v>
      </c>
      <c r="BE247" s="27">
        <f t="shared" si="237"/>
        <v>-571.00049999999999</v>
      </c>
      <c r="BF247" s="28">
        <f t="shared" si="237"/>
        <v>-543.81000000000006</v>
      </c>
      <c r="BG247" s="241">
        <f t="shared" si="238"/>
        <v>-543.81000000000006</v>
      </c>
      <c r="BH247" s="27">
        <f t="shared" si="238"/>
        <v>-571.00049999999999</v>
      </c>
      <c r="BI247" s="28">
        <f t="shared" si="238"/>
        <v>-543.81000000000006</v>
      </c>
      <c r="BK247" s="448">
        <f t="shared" si="185"/>
        <v>-2284.002</v>
      </c>
      <c r="BL247" s="448">
        <f t="shared" si="186"/>
        <v>0</v>
      </c>
      <c r="BM247" s="448">
        <f t="shared" si="187"/>
        <v>-1087.6200000000001</v>
      </c>
      <c r="BN247" s="448">
        <f t="shared" ca="1" si="188"/>
        <v>0</v>
      </c>
    </row>
    <row r="248" spans="1:66" s="29" customFormat="1" hidden="1" outlineLevel="1" x14ac:dyDescent="0.3">
      <c r="A248" s="22" t="s">
        <v>285</v>
      </c>
      <c r="B248" s="23"/>
      <c r="C248" s="24" t="s">
        <v>69</v>
      </c>
      <c r="D248" s="25"/>
      <c r="E248" s="119"/>
      <c r="F248" s="117"/>
      <c r="G248" s="33"/>
      <c r="H248" s="241">
        <v>-2719.5</v>
      </c>
      <c r="I248" s="27">
        <v>-2941.79</v>
      </c>
      <c r="J248" s="28">
        <f>SUMIFS(Aut_BlueMe_Sem_Pedido!$J:$J,Aut_BlueMe_Sem_Pedido!$Q:$Q,DRE!H$4,Aut_BlueMe_Sem_Pedido!$H:$H,DRE!$A248)+SUMIFS(Aut_Ajustes_Manuais!$G:$G,Aut_Ajustes_Manuais!$I:$I,DRE!H$4,Aut_Ajustes_Manuais!$F:$F,"Sistemas Gerais - Operacionais")</f>
        <v>-2260</v>
      </c>
      <c r="K248" s="241">
        <v>-2406.4</v>
      </c>
      <c r="L248" s="27">
        <v>-2141.79</v>
      </c>
      <c r="M248" s="28">
        <f>SUMIFS(Aut_BlueMe_Sem_Pedido!$J:$J,Aut_BlueMe_Sem_Pedido!$Q:$Q,DRE!K$4,Aut_BlueMe_Sem_Pedido!$H:$H,DRE!$A248)+SUMIFS(Aut_Ajustes_Manuais!$G:$G,Aut_Ajustes_Manuais!$I:$I,DRE!K$4,Aut_Ajustes_Manuais!$F:$F,"Sistemas Gerais - Operacionais")</f>
        <v>-2260</v>
      </c>
      <c r="N248" s="241">
        <v>-2461.7800000000002</v>
      </c>
      <c r="O248" s="27">
        <v>-2941.79</v>
      </c>
      <c r="P248" s="28">
        <f>SUMIFS(Aut_BlueMe_Sem_Pedido!$J:$J,Aut_BlueMe_Sem_Pedido!$Q:$Q,DRE!N$4,Aut_BlueMe_Sem_Pedido!$H:$H,DRE!$A248)+SUMIFS(Aut_Ajustes_Manuais!$G:$G,Aut_Ajustes_Manuais!$I:$I,DRE!N$4,Aut_Ajustes_Manuais!$F:$F,"Sistemas Gerais - Operacionais")</f>
        <v>-2259.9999999999995</v>
      </c>
      <c r="Q248" s="241">
        <v>-1759.72</v>
      </c>
      <c r="R248" s="27">
        <v>-2141.79</v>
      </c>
      <c r="S248" s="28">
        <f>SUMIFS(Aut_BlueMe_Sem_Pedido!$J:$J,Aut_BlueMe_Sem_Pedido!$Q:$Q,DRE!Q$4,Aut_BlueMe_Sem_Pedido!$H:$H,DRE!$A248)+SUMIFS(Aut_Ajustes_Manuais!$G:$G,Aut_Ajustes_Manuais!$I:$I,DRE!Q$4,Aut_Ajustes_Manuais!$F:$F,"Sistemas Gerais - Operacionais")</f>
        <v>-2260</v>
      </c>
      <c r="T248" s="241">
        <v>-1846.73</v>
      </c>
      <c r="U248" s="27">
        <v>-2941.79</v>
      </c>
      <c r="V248" s="28">
        <f>SUMIFS(Aut_BlueMe_Sem_Pedido!$J:$J,Aut_BlueMe_Sem_Pedido!$Q:$Q,DRE!T$4,Aut_BlueMe_Sem_Pedido!$H:$H,DRE!$A248)+SUMIFS(Aut_Ajustes_Manuais!$G:$G,Aut_Ajustes_Manuais!$I:$I,DRE!T$4,Aut_Ajustes_Manuais!$F:$F,"Sistemas Gerais - Operacionais")</f>
        <v>-2259.9999999999995</v>
      </c>
      <c r="W248" s="241">
        <v>-2580</v>
      </c>
      <c r="X248" s="27">
        <v>-2941.79</v>
      </c>
      <c r="Y248" s="28">
        <f>SUMIFS(Aut_BlueMe_Sem_Pedido!$J:$J,Aut_BlueMe_Sem_Pedido!$Q:$Q,DRE!W$4,Aut_BlueMe_Sem_Pedido!$H:$H,DRE!$A248)+SUMIFS(Aut_Ajustes_Manuais!$G:$G,Aut_Ajustes_Manuais!$I:$I,DRE!W$4,Aut_Ajustes_Manuais!$F:$F,"Sistemas Gerais - Operacionais")</f>
        <v>0</v>
      </c>
      <c r="Z248" s="241">
        <v>-2313.1000000000008</v>
      </c>
      <c r="AA248" s="27">
        <v>-2141.79</v>
      </c>
      <c r="AB248" s="28">
        <f>SUMIFS(Aut_BlueMe_Sem_Pedido!$J:$J,Aut_BlueMe_Sem_Pedido!$Q:$Q,DRE!Z$4,Aut_BlueMe_Sem_Pedido!$H:$H,DRE!$A248)+SUMIFS(Aut_Ajustes_Manuais!$G:$G,Aut_Ajustes_Manuais!$I:$I,DRE!Z$4,Aut_Ajustes_Manuais!$F:$F,"Sistemas Gerais - Operacionais")</f>
        <v>0</v>
      </c>
      <c r="AC248" s="241">
        <v>-938.13000000000011</v>
      </c>
      <c r="AD248" s="27">
        <v>-2141.79</v>
      </c>
      <c r="AE248" s="28">
        <f>SUMIFS(Aut_BlueMe_Sem_Pedido!$J:$J,Aut_BlueMe_Sem_Pedido!$Q:$Q,DRE!AC$4,Aut_BlueMe_Sem_Pedido!$H:$H,DRE!$A248)+SUMIFS(Aut_Ajustes_Manuais!$G:$G,Aut_Ajustes_Manuais!$I:$I,DRE!AC$4,Aut_Ajustes_Manuais!$F:$F,"Sistemas Gerais - Operacionais")</f>
        <v>0</v>
      </c>
      <c r="AF248" s="241">
        <v>-2260</v>
      </c>
      <c r="AG248" s="27">
        <v>-2141.79</v>
      </c>
      <c r="AH248" s="28">
        <f>SUMIFS(Aut_BlueMe_Sem_Pedido!$J:$J,Aut_BlueMe_Sem_Pedido!$Q:$Q,DRE!AF$4,Aut_BlueMe_Sem_Pedido!$H:$H,DRE!$A248)+SUMIFS(Aut_Ajustes_Manuais!$G:$G,Aut_Ajustes_Manuais!$I:$I,DRE!AF$4,Aut_Ajustes_Manuais!$F:$F,"Sistemas Gerais - Operacionais")</f>
        <v>0</v>
      </c>
      <c r="AI248" s="241">
        <v>-2479</v>
      </c>
      <c r="AJ248" s="27">
        <v>-2141.79</v>
      </c>
      <c r="AK248" s="28">
        <f>SUMIFS(Aut_BlueMe_Sem_Pedido!$J:$J,Aut_BlueMe_Sem_Pedido!$Q:$Q,DRE!AI$4,Aut_BlueMe_Sem_Pedido!$H:$H,DRE!$A248)+SUMIFS(Aut_Ajustes_Manuais!$G:$G,Aut_Ajustes_Manuais!$I:$I,DRE!AI$4,Aut_Ajustes_Manuais!$F:$F,"Sistemas Gerais - Operacionais")</f>
        <v>0</v>
      </c>
      <c r="AL248" s="241">
        <v>-2260</v>
      </c>
      <c r="AM248" s="27">
        <v>-2141.79</v>
      </c>
      <c r="AN248" s="28">
        <f>SUMIFS(Aut_BlueMe_Sem_Pedido!$J:$J,Aut_BlueMe_Sem_Pedido!$Q:$Q,DRE!AL$4,Aut_BlueMe_Sem_Pedido!$H:$H,DRE!$A248)+SUMIFS(Aut_Ajustes_Manuais!$G:$G,Aut_Ajustes_Manuais!$I:$I,DRE!AL$4,Aut_Ajustes_Manuais!$F:$F,"Sistemas Gerais - Operacionais")</f>
        <v>0</v>
      </c>
      <c r="AO248" s="241">
        <v>-2260</v>
      </c>
      <c r="AP248" s="27">
        <v>-2141.79</v>
      </c>
      <c r="AQ248" s="28">
        <f>SUMIFS(Aut_BlueMe_Sem_Pedido!$J:$J,Aut_BlueMe_Sem_Pedido!$Q:$Q,DRE!AO$4,Aut_BlueMe_Sem_Pedido!$H:$H,DRE!$A248)+SUMIFS(Aut_Ajustes_Manuais!$G:$G,Aut_Ajustes_Manuais!$I:$I,DRE!AO$4,Aut_Ajustes_Manuais!$F:$F,"Sistemas Gerais - Operacionais")</f>
        <v>0</v>
      </c>
      <c r="AR248" s="241">
        <f t="shared" ca="1" si="231"/>
        <v>-13774.13</v>
      </c>
      <c r="AS248" s="27">
        <f t="shared" ca="1" si="232"/>
        <v>-16050.740000000002</v>
      </c>
      <c r="AT248" s="28">
        <f t="shared" ca="1" si="233"/>
        <v>-11300</v>
      </c>
      <c r="AU248" s="241">
        <f t="shared" si="234"/>
        <v>-26284.36</v>
      </c>
      <c r="AV248" s="27">
        <f t="shared" si="234"/>
        <v>-28901.480000000007</v>
      </c>
      <c r="AW248" s="28">
        <f t="shared" si="234"/>
        <v>-11300</v>
      </c>
      <c r="AX248" s="241">
        <f t="shared" si="235"/>
        <v>-7587.68</v>
      </c>
      <c r="AY248" s="27">
        <f t="shared" si="235"/>
        <v>-8025.37</v>
      </c>
      <c r="AZ248" s="28">
        <f t="shared" si="235"/>
        <v>-6780</v>
      </c>
      <c r="BA248" s="241">
        <f t="shared" si="236"/>
        <v>-6186.45</v>
      </c>
      <c r="BB248" s="27">
        <f t="shared" si="236"/>
        <v>-8025.37</v>
      </c>
      <c r="BC248" s="28">
        <f t="shared" si="236"/>
        <v>-4520</v>
      </c>
      <c r="BD248" s="241">
        <f t="shared" si="237"/>
        <v>-5511.2300000000014</v>
      </c>
      <c r="BE248" s="27">
        <f t="shared" si="237"/>
        <v>-6425.37</v>
      </c>
      <c r="BF248" s="28">
        <f t="shared" si="237"/>
        <v>0</v>
      </c>
      <c r="BG248" s="241">
        <f t="shared" si="238"/>
        <v>-6999</v>
      </c>
      <c r="BH248" s="27">
        <f t="shared" si="238"/>
        <v>-6425.37</v>
      </c>
      <c r="BI248" s="28">
        <f t="shared" si="238"/>
        <v>0</v>
      </c>
      <c r="BK248" s="448">
        <f t="shared" si="185"/>
        <v>-28901.480000000007</v>
      </c>
      <c r="BL248" s="448">
        <f t="shared" si="186"/>
        <v>0</v>
      </c>
      <c r="BM248" s="448">
        <f t="shared" si="187"/>
        <v>-11300</v>
      </c>
      <c r="BN248" s="448">
        <f t="shared" ca="1" si="188"/>
        <v>0</v>
      </c>
    </row>
    <row r="249" spans="1:66" s="29" customFormat="1" hidden="1" outlineLevel="1" x14ac:dyDescent="0.3">
      <c r="A249" s="22" t="s">
        <v>286</v>
      </c>
      <c r="B249" s="23"/>
      <c r="C249" s="24" t="s">
        <v>69</v>
      </c>
      <c r="D249" s="25"/>
      <c r="E249" s="120"/>
      <c r="F249" s="117"/>
      <c r="G249" s="33"/>
      <c r="H249" s="241">
        <v>-360</v>
      </c>
      <c r="I249" s="27">
        <v>-378</v>
      </c>
      <c r="J249" s="28">
        <f>SUMIFS(Aut_BlueMe_Sem_Pedido!$J:$J,Aut_BlueMe_Sem_Pedido!$Q:$Q,DRE!H$4,Aut_BlueMe_Sem_Pedido!$H:$H,DRE!$A249)+SUMIFS(Aut_Ajustes_Manuais!$G:$G,Aut_Ajustes_Manuais!$I:$I,DRE!H$4,Aut_Ajustes_Manuais!$F:$F,"Sistemas Gerais - Financeiros")</f>
        <v>-389</v>
      </c>
      <c r="K249" s="241">
        <v>-360</v>
      </c>
      <c r="L249" s="27">
        <v>-378</v>
      </c>
      <c r="M249" s="28">
        <f>SUMIFS(Aut_BlueMe_Sem_Pedido!$J:$J,Aut_BlueMe_Sem_Pedido!$Q:$Q,DRE!K$4,Aut_BlueMe_Sem_Pedido!$H:$H,DRE!$A249)+SUMIFS(Aut_Ajustes_Manuais!$G:$G,Aut_Ajustes_Manuais!$I:$I,DRE!K$4,Aut_Ajustes_Manuais!$F:$F,"Sistemas Gerais - Financeiros")</f>
        <v>-389</v>
      </c>
      <c r="N249" s="241">
        <v>-360</v>
      </c>
      <c r="O249" s="27">
        <v>-378</v>
      </c>
      <c r="P249" s="28">
        <f>SUMIFS(Aut_BlueMe_Sem_Pedido!$J:$J,Aut_BlueMe_Sem_Pedido!$Q:$Q,DRE!N$4,Aut_BlueMe_Sem_Pedido!$H:$H,DRE!$A249)+SUMIFS(Aut_Ajustes_Manuais!$G:$G,Aut_Ajustes_Manuais!$I:$I,DRE!N$4,Aut_Ajustes_Manuais!$F:$F,"Sistemas Gerais - Financeiros")</f>
        <v>-389</v>
      </c>
      <c r="Q249" s="241">
        <v>-360</v>
      </c>
      <c r="R249" s="27">
        <v>-378</v>
      </c>
      <c r="S249" s="28">
        <f>SUMIFS(Aut_BlueMe_Sem_Pedido!$J:$J,Aut_BlueMe_Sem_Pedido!$Q:$Q,DRE!Q$4,Aut_BlueMe_Sem_Pedido!$H:$H,DRE!$A249)+SUMIFS(Aut_Ajustes_Manuais!$G:$G,Aut_Ajustes_Manuais!$I:$I,DRE!Q$4,Aut_Ajustes_Manuais!$F:$F,"Sistemas Gerais - Financeiros")</f>
        <v>-389</v>
      </c>
      <c r="T249" s="241">
        <v>-389</v>
      </c>
      <c r="U249" s="27">
        <v>-378</v>
      </c>
      <c r="V249" s="28">
        <f>SUMIFS(Aut_BlueMe_Sem_Pedido!$J:$J,Aut_BlueMe_Sem_Pedido!$Q:$Q,DRE!T$4,Aut_BlueMe_Sem_Pedido!$H:$H,DRE!$A249)+SUMIFS(Aut_Ajustes_Manuais!$G:$G,Aut_Ajustes_Manuais!$I:$I,DRE!T$4,Aut_Ajustes_Manuais!$F:$F,"Sistemas Gerais - Financeiros")</f>
        <v>-389</v>
      </c>
      <c r="W249" s="241">
        <v>-389</v>
      </c>
      <c r="X249" s="27">
        <v>-378</v>
      </c>
      <c r="Y249" s="28">
        <f>SUMIFS(Aut_BlueMe_Sem_Pedido!$J:$J,Aut_BlueMe_Sem_Pedido!$Q:$Q,DRE!W$4,Aut_BlueMe_Sem_Pedido!$H:$H,DRE!$A249)+SUMIFS(Aut_Ajustes_Manuais!$G:$G,Aut_Ajustes_Manuais!$I:$I,DRE!W$4,Aut_Ajustes_Manuais!$F:$F,"Sistemas Gerais - Financeiros")</f>
        <v>-389</v>
      </c>
      <c r="Z249" s="241">
        <v>-389</v>
      </c>
      <c r="AA249" s="27">
        <v>-378</v>
      </c>
      <c r="AB249" s="28">
        <f>SUMIFS(Aut_BlueMe_Sem_Pedido!$J:$J,Aut_BlueMe_Sem_Pedido!$Q:$Q,DRE!Z$4,Aut_BlueMe_Sem_Pedido!$H:$H,DRE!$A249)+SUMIFS(Aut_Ajustes_Manuais!$G:$G,Aut_Ajustes_Manuais!$I:$I,DRE!Z$4,Aut_Ajustes_Manuais!$F:$F,"Sistemas Gerais - Financeiros")</f>
        <v>-389</v>
      </c>
      <c r="AC249" s="241">
        <v>-389</v>
      </c>
      <c r="AD249" s="27">
        <v>-378</v>
      </c>
      <c r="AE249" s="28">
        <f>SUMIFS(Aut_BlueMe_Sem_Pedido!$J:$J,Aut_BlueMe_Sem_Pedido!$Q:$Q,DRE!AC$4,Aut_BlueMe_Sem_Pedido!$H:$H,DRE!$A249)+SUMIFS(Aut_Ajustes_Manuais!$G:$G,Aut_Ajustes_Manuais!$I:$I,DRE!AC$4,Aut_Ajustes_Manuais!$F:$F,"Sistemas Gerais - Financeiros")</f>
        <v>-389</v>
      </c>
      <c r="AF249" s="241">
        <v>-389</v>
      </c>
      <c r="AG249" s="27">
        <v>-378</v>
      </c>
      <c r="AH249" s="28">
        <f>SUMIFS(Aut_BlueMe_Sem_Pedido!$J:$J,Aut_BlueMe_Sem_Pedido!$Q:$Q,DRE!AF$4,Aut_BlueMe_Sem_Pedido!$H:$H,DRE!$A249)+SUMIFS(Aut_Ajustes_Manuais!$G:$G,Aut_Ajustes_Manuais!$I:$I,DRE!AF$4,Aut_Ajustes_Manuais!$F:$F,"Sistemas Gerais - Financeiros")</f>
        <v>-389</v>
      </c>
      <c r="AI249" s="241">
        <v>-389</v>
      </c>
      <c r="AJ249" s="27">
        <v>-378</v>
      </c>
      <c r="AK249" s="28">
        <f>SUMIFS(Aut_BlueMe_Sem_Pedido!$J:$J,Aut_BlueMe_Sem_Pedido!$Q:$Q,DRE!AI$4,Aut_BlueMe_Sem_Pedido!$H:$H,DRE!$A249)+SUMIFS(Aut_Ajustes_Manuais!$G:$G,Aut_Ajustes_Manuais!$I:$I,DRE!AI$4,Aut_Ajustes_Manuais!$F:$F,"Sistemas Gerais - Financeiros")</f>
        <v>-389</v>
      </c>
      <c r="AL249" s="241">
        <v>-389</v>
      </c>
      <c r="AM249" s="27">
        <v>-378</v>
      </c>
      <c r="AN249" s="28">
        <f>SUMIFS(Aut_BlueMe_Sem_Pedido!$J:$J,Aut_BlueMe_Sem_Pedido!$Q:$Q,DRE!AL$4,Aut_BlueMe_Sem_Pedido!$H:$H,DRE!$A249)+SUMIFS(Aut_Ajustes_Manuais!$G:$G,Aut_Ajustes_Manuais!$I:$I,DRE!AL$4,Aut_Ajustes_Manuais!$F:$F,"Sistemas Gerais - Financeiros")</f>
        <v>-389</v>
      </c>
      <c r="AO249" s="241">
        <v>-389</v>
      </c>
      <c r="AP249" s="27">
        <v>-378</v>
      </c>
      <c r="AQ249" s="28">
        <f>SUMIFS(Aut_BlueMe_Sem_Pedido!$J:$J,Aut_BlueMe_Sem_Pedido!$Q:$Q,DRE!AO$4,Aut_BlueMe_Sem_Pedido!$H:$H,DRE!$A249)+SUMIFS(Aut_Ajustes_Manuais!$G:$G,Aut_Ajustes_Manuais!$I:$I,DRE!AO$4,Aut_Ajustes_Manuais!$F:$F,"Sistemas Gerais - Financeiros")</f>
        <v>-389</v>
      </c>
      <c r="AR249" s="241">
        <f t="shared" ca="1" si="231"/>
        <v>-2218</v>
      </c>
      <c r="AS249" s="27">
        <f t="shared" ca="1" si="232"/>
        <v>-2268</v>
      </c>
      <c r="AT249" s="28">
        <f t="shared" ca="1" si="233"/>
        <v>-2334</v>
      </c>
      <c r="AU249" s="241">
        <f t="shared" si="234"/>
        <v>-4552</v>
      </c>
      <c r="AV249" s="27">
        <f t="shared" si="234"/>
        <v>-4536</v>
      </c>
      <c r="AW249" s="28">
        <f t="shared" si="234"/>
        <v>-4668</v>
      </c>
      <c r="AX249" s="241">
        <f t="shared" si="235"/>
        <v>-1080</v>
      </c>
      <c r="AY249" s="27">
        <f t="shared" si="235"/>
        <v>-1134</v>
      </c>
      <c r="AZ249" s="28">
        <f t="shared" si="235"/>
        <v>-1167</v>
      </c>
      <c r="BA249" s="241">
        <f t="shared" si="236"/>
        <v>-1138</v>
      </c>
      <c r="BB249" s="27">
        <f t="shared" si="236"/>
        <v>-1134</v>
      </c>
      <c r="BC249" s="28">
        <f t="shared" si="236"/>
        <v>-1167</v>
      </c>
      <c r="BD249" s="241">
        <f t="shared" si="237"/>
        <v>-1167</v>
      </c>
      <c r="BE249" s="27">
        <f t="shared" si="237"/>
        <v>-1134</v>
      </c>
      <c r="BF249" s="28">
        <f t="shared" si="237"/>
        <v>-1167</v>
      </c>
      <c r="BG249" s="241">
        <f t="shared" si="238"/>
        <v>-1167</v>
      </c>
      <c r="BH249" s="27">
        <f t="shared" si="238"/>
        <v>-1134</v>
      </c>
      <c r="BI249" s="28">
        <f t="shared" si="238"/>
        <v>-1167</v>
      </c>
      <c r="BK249" s="448">
        <f t="shared" si="185"/>
        <v>-4536</v>
      </c>
      <c r="BL249" s="448">
        <f t="shared" si="186"/>
        <v>0</v>
      </c>
      <c r="BM249" s="448">
        <f t="shared" si="187"/>
        <v>-1945</v>
      </c>
      <c r="BN249" s="448">
        <f t="shared" ca="1" si="188"/>
        <v>389</v>
      </c>
    </row>
    <row r="250" spans="1:66" s="29" customFormat="1" hidden="1" outlineLevel="1" x14ac:dyDescent="0.3">
      <c r="A250" s="22" t="s">
        <v>287</v>
      </c>
      <c r="B250" s="23"/>
      <c r="C250" s="24" t="s">
        <v>69</v>
      </c>
      <c r="D250" s="25"/>
      <c r="E250" s="120"/>
      <c r="F250" s="117"/>
      <c r="G250" s="33"/>
      <c r="H250" s="241">
        <v>-780.88</v>
      </c>
      <c r="I250" s="27">
        <v>-781.2</v>
      </c>
      <c r="J250" s="28">
        <f>SUMIFS(Aut_BlueMe_Sem_Pedido!$J:$J,Aut_BlueMe_Sem_Pedido!$Q:$Q,DRE!H$4,Aut_BlueMe_Sem_Pedido!$H:$H,DRE!$A250)+SUMIFS(Aut_Ajustes_Manuais!$G:$G,Aut_Ajustes_Manuais!$I:$I,DRE!H$4,Aut_Ajustes_Manuais!$F:$F,"Sistemas Gerais - Comunicação e Marketing")</f>
        <v>-657.07999999999993</v>
      </c>
      <c r="K250" s="241">
        <v>-744.64</v>
      </c>
      <c r="L250" s="27">
        <v>-781.2</v>
      </c>
      <c r="M250" s="28">
        <f>SUMIFS(Aut_BlueMe_Sem_Pedido!$J:$J,Aut_BlueMe_Sem_Pedido!$Q:$Q,DRE!K$4,Aut_BlueMe_Sem_Pedido!$H:$H,DRE!$A250)+SUMIFS(Aut_Ajustes_Manuais!$G:$G,Aut_Ajustes_Manuais!$I:$I,DRE!K$4,Aut_Ajustes_Manuais!$F:$F,"Sistemas Gerais - Comunicação e Marketing")</f>
        <v>-634.90000000000009</v>
      </c>
      <c r="N250" s="241">
        <v>-735.6</v>
      </c>
      <c r="O250" s="27">
        <v>-781.2</v>
      </c>
      <c r="P250" s="28">
        <f>SUMIFS(Aut_BlueMe_Sem_Pedido!$J:$J,Aut_BlueMe_Sem_Pedido!$Q:$Q,DRE!N$4,Aut_BlueMe_Sem_Pedido!$H:$H,DRE!$A250)+SUMIFS(Aut_Ajustes_Manuais!$G:$G,Aut_Ajustes_Manuais!$I:$I,DRE!N$4,Aut_Ajustes_Manuais!$F:$F,"Sistemas Gerais - Comunicação e Marketing")</f>
        <v>-633.08999999999992</v>
      </c>
      <c r="Q250" s="241">
        <v>-728.57999999999993</v>
      </c>
      <c r="R250" s="27">
        <v>-781.2</v>
      </c>
      <c r="S250" s="28">
        <f>SUMIFS(Aut_BlueMe_Sem_Pedido!$J:$J,Aut_BlueMe_Sem_Pedido!$Q:$Q,DRE!Q$4,Aut_BlueMe_Sem_Pedido!$H:$H,DRE!$A250)+SUMIFS(Aut_Ajustes_Manuais!$G:$G,Aut_Ajustes_Manuais!$I:$I,DRE!Q$4,Aut_Ajustes_Manuais!$F:$F,"Sistemas Gerais - Comunicação e Marketing")</f>
        <v>-459.8</v>
      </c>
      <c r="T250" s="241">
        <v>-715.78</v>
      </c>
      <c r="U250" s="27">
        <v>-781.2</v>
      </c>
      <c r="V250" s="28">
        <f>SUMIFS(Aut_BlueMe_Sem_Pedido!$J:$J,Aut_BlueMe_Sem_Pedido!$Q:$Q,DRE!T$4,Aut_BlueMe_Sem_Pedido!$H:$H,DRE!$A250)+SUMIFS(Aut_Ajustes_Manuais!$G:$G,Aut_Ajustes_Manuais!$I:$I,DRE!T$4,Aut_Ajustes_Manuais!$F:$F,"Sistemas Gerais - Comunicação e Marketing")</f>
        <v>-436.5</v>
      </c>
      <c r="W250" s="241">
        <v>-708.03</v>
      </c>
      <c r="X250" s="27">
        <v>-781.2</v>
      </c>
      <c r="Y250" s="28">
        <f>SUMIFS(Aut_BlueMe_Sem_Pedido!$J:$J,Aut_BlueMe_Sem_Pedido!$Q:$Q,DRE!W$4,Aut_BlueMe_Sem_Pedido!$H:$H,DRE!$A250)+SUMIFS(Aut_Ajustes_Manuais!$G:$G,Aut_Ajustes_Manuais!$I:$I,DRE!W$4,Aut_Ajustes_Manuais!$F:$F,"Sistemas Gerais - Comunicação e Marketing")</f>
        <v>-436.5</v>
      </c>
      <c r="Z250" s="241">
        <v>-677.11</v>
      </c>
      <c r="AA250" s="27">
        <v>-781.2</v>
      </c>
      <c r="AB250" s="28">
        <f>SUMIFS(Aut_BlueMe_Sem_Pedido!$J:$J,Aut_BlueMe_Sem_Pedido!$Q:$Q,DRE!Z$4,Aut_BlueMe_Sem_Pedido!$H:$H,DRE!$A250)+SUMIFS(Aut_Ajustes_Manuais!$G:$G,Aut_Ajustes_Manuais!$I:$I,DRE!Z$4,Aut_Ajustes_Manuais!$F:$F,"Sistemas Gerais - Comunicação e Marketing")</f>
        <v>-436.5</v>
      </c>
      <c r="AC250" s="241">
        <v>-694.85</v>
      </c>
      <c r="AD250" s="27">
        <v>-781.2</v>
      </c>
      <c r="AE250" s="28">
        <f>SUMIFS(Aut_BlueMe_Sem_Pedido!$J:$J,Aut_BlueMe_Sem_Pedido!$Q:$Q,DRE!AC$4,Aut_BlueMe_Sem_Pedido!$H:$H,DRE!$A250)+SUMIFS(Aut_Ajustes_Manuais!$G:$G,Aut_Ajustes_Manuais!$I:$I,DRE!AC$4,Aut_Ajustes_Manuais!$F:$F,"Sistemas Gerais - Comunicação e Marketing")</f>
        <v>-436.5</v>
      </c>
      <c r="AF250" s="241">
        <v>-674.35</v>
      </c>
      <c r="AG250" s="27">
        <v>-781.2</v>
      </c>
      <c r="AH250" s="28">
        <f>SUMIFS(Aut_BlueMe_Sem_Pedido!$J:$J,Aut_BlueMe_Sem_Pedido!$Q:$Q,DRE!AF$4,Aut_BlueMe_Sem_Pedido!$H:$H,DRE!$A250)+SUMIFS(Aut_Ajustes_Manuais!$G:$G,Aut_Ajustes_Manuais!$I:$I,DRE!AF$4,Aut_Ajustes_Manuais!$F:$F,"Sistemas Gerais - Comunicação e Marketing")</f>
        <v>-436.5</v>
      </c>
      <c r="AI250" s="241">
        <v>-619.02</v>
      </c>
      <c r="AJ250" s="27">
        <v>-781.2</v>
      </c>
      <c r="AK250" s="28">
        <f>SUMIFS(Aut_BlueMe_Sem_Pedido!$J:$J,Aut_BlueMe_Sem_Pedido!$Q:$Q,DRE!AI$4,Aut_BlueMe_Sem_Pedido!$H:$H,DRE!$A250)+SUMIFS(Aut_Ajustes_Manuais!$G:$G,Aut_Ajustes_Manuais!$I:$I,DRE!AI$4,Aut_Ajustes_Manuais!$F:$F,"Sistemas Gerais - Comunicação e Marketing")</f>
        <v>-436.5</v>
      </c>
      <c r="AL250" s="241">
        <v>-626.5</v>
      </c>
      <c r="AM250" s="27">
        <v>-781.2</v>
      </c>
      <c r="AN250" s="28">
        <f>SUMIFS(Aut_BlueMe_Sem_Pedido!$J:$J,Aut_BlueMe_Sem_Pedido!$Q:$Q,DRE!AL$4,Aut_BlueMe_Sem_Pedido!$H:$H,DRE!$A250)+SUMIFS(Aut_Ajustes_Manuais!$G:$G,Aut_Ajustes_Manuais!$I:$I,DRE!AL$4,Aut_Ajustes_Manuais!$F:$F,"Sistemas Gerais - Comunicação e Marketing")</f>
        <v>-436.5</v>
      </c>
      <c r="AO250" s="241">
        <v>-639.82999999999993</v>
      </c>
      <c r="AP250" s="27">
        <v>-781.2</v>
      </c>
      <c r="AQ250" s="28">
        <f>SUMIFS(Aut_BlueMe_Sem_Pedido!$J:$J,Aut_BlueMe_Sem_Pedido!$Q:$Q,DRE!AO$4,Aut_BlueMe_Sem_Pedido!$H:$H,DRE!$A250)+SUMIFS(Aut_Ajustes_Manuais!$G:$G,Aut_Ajustes_Manuais!$I:$I,DRE!AO$4,Aut_Ajustes_Manuais!$F:$F,"Sistemas Gerais - Comunicação e Marketing")</f>
        <v>-1236.5</v>
      </c>
      <c r="AR250" s="241">
        <f t="shared" ca="1" si="231"/>
        <v>-4413.5099999999993</v>
      </c>
      <c r="AS250" s="27">
        <f t="shared" ca="1" si="232"/>
        <v>-4687.2</v>
      </c>
      <c r="AT250" s="28">
        <f t="shared" ca="1" si="233"/>
        <v>-3257.87</v>
      </c>
      <c r="AU250" s="241">
        <f t="shared" si="234"/>
        <v>-8345.17</v>
      </c>
      <c r="AV250" s="27">
        <f t="shared" si="234"/>
        <v>-9374.4</v>
      </c>
      <c r="AW250" s="28">
        <f t="shared" si="234"/>
        <v>-6676.87</v>
      </c>
      <c r="AX250" s="241">
        <f t="shared" si="235"/>
        <v>-2261.12</v>
      </c>
      <c r="AY250" s="27">
        <f t="shared" si="235"/>
        <v>-2343.6000000000004</v>
      </c>
      <c r="AZ250" s="28">
        <f t="shared" si="235"/>
        <v>-1925.07</v>
      </c>
      <c r="BA250" s="241">
        <f t="shared" si="236"/>
        <v>-2152.39</v>
      </c>
      <c r="BB250" s="27">
        <f t="shared" si="236"/>
        <v>-2343.6000000000004</v>
      </c>
      <c r="BC250" s="28">
        <f t="shared" si="236"/>
        <v>-1332.8</v>
      </c>
      <c r="BD250" s="241">
        <f t="shared" si="237"/>
        <v>-2046.31</v>
      </c>
      <c r="BE250" s="27">
        <f t="shared" si="237"/>
        <v>-2343.6000000000004</v>
      </c>
      <c r="BF250" s="28">
        <f t="shared" si="237"/>
        <v>-1309.5</v>
      </c>
      <c r="BG250" s="241">
        <f t="shared" si="238"/>
        <v>-1885.35</v>
      </c>
      <c r="BH250" s="27">
        <f t="shared" si="238"/>
        <v>-2343.6000000000004</v>
      </c>
      <c r="BI250" s="28">
        <f t="shared" si="238"/>
        <v>-2109.5</v>
      </c>
      <c r="BK250" s="448">
        <f t="shared" si="185"/>
        <v>-9374.4</v>
      </c>
      <c r="BL250" s="448">
        <f t="shared" si="186"/>
        <v>0</v>
      </c>
      <c r="BM250" s="448">
        <f t="shared" si="187"/>
        <v>-2821.37</v>
      </c>
      <c r="BN250" s="448">
        <f t="shared" ca="1" si="188"/>
        <v>436.5</v>
      </c>
    </row>
    <row r="251" spans="1:66" s="29" customFormat="1" hidden="1" outlineLevel="1" x14ac:dyDescent="0.3">
      <c r="A251" s="22"/>
      <c r="B251" s="23"/>
      <c r="C251" s="24"/>
      <c r="D251" s="116"/>
      <c r="E251" s="118"/>
      <c r="F251" s="117"/>
      <c r="G251" s="33"/>
      <c r="H251" s="254">
        <v>0</v>
      </c>
      <c r="I251" s="81"/>
      <c r="J251" s="82"/>
      <c r="K251" s="254">
        <v>0</v>
      </c>
      <c r="L251" s="81"/>
      <c r="M251" s="82"/>
      <c r="N251" s="254">
        <v>0</v>
      </c>
      <c r="O251" s="81"/>
      <c r="P251" s="82"/>
      <c r="Q251" s="254">
        <v>0</v>
      </c>
      <c r="R251" s="81"/>
      <c r="S251" s="82"/>
      <c r="T251" s="254">
        <v>0</v>
      </c>
      <c r="U251" s="81"/>
      <c r="V251" s="82"/>
      <c r="W251" s="254">
        <v>0</v>
      </c>
      <c r="X251" s="81"/>
      <c r="Y251" s="82"/>
      <c r="Z251" s="254">
        <v>0</v>
      </c>
      <c r="AA251" s="81"/>
      <c r="AB251" s="82"/>
      <c r="AC251" s="254">
        <v>0</v>
      </c>
      <c r="AD251" s="81"/>
      <c r="AE251" s="82"/>
      <c r="AF251" s="254">
        <v>0</v>
      </c>
      <c r="AG251" s="81"/>
      <c r="AH251" s="82"/>
      <c r="AI251" s="254">
        <v>0</v>
      </c>
      <c r="AJ251" s="81"/>
      <c r="AK251" s="82"/>
      <c r="AL251" s="254">
        <v>0</v>
      </c>
      <c r="AM251" s="81"/>
      <c r="AN251" s="82"/>
      <c r="AO251" s="254">
        <v>0</v>
      </c>
      <c r="AP251" s="81"/>
      <c r="AQ251" s="82"/>
      <c r="AR251" s="241">
        <f t="shared" ca="1" si="231"/>
        <v>0</v>
      </c>
      <c r="AS251" s="27">
        <f t="shared" ca="1" si="232"/>
        <v>0</v>
      </c>
      <c r="AT251" s="82">
        <f t="shared" ca="1" si="233"/>
        <v>0</v>
      </c>
      <c r="AU251" s="254"/>
      <c r="AV251" s="81"/>
      <c r="AW251" s="82"/>
      <c r="AX251" s="254"/>
      <c r="AY251" s="81">
        <v>0</v>
      </c>
      <c r="AZ251" s="82"/>
      <c r="BA251" s="254"/>
      <c r="BB251" s="81">
        <v>0</v>
      </c>
      <c r="BC251" s="82"/>
      <c r="BD251" s="254"/>
      <c r="BE251" s="81">
        <v>0</v>
      </c>
      <c r="BF251" s="82"/>
      <c r="BG251" s="254"/>
      <c r="BH251" s="81">
        <v>0</v>
      </c>
      <c r="BI251" s="82"/>
      <c r="BK251" s="448">
        <f t="shared" si="185"/>
        <v>0</v>
      </c>
      <c r="BL251" s="448">
        <f t="shared" si="186"/>
        <v>0</v>
      </c>
      <c r="BM251" s="448">
        <f t="shared" si="187"/>
        <v>0</v>
      </c>
      <c r="BN251" s="448">
        <f t="shared" ca="1" si="188"/>
        <v>0</v>
      </c>
    </row>
    <row r="252" spans="1:66" s="29" customFormat="1" hidden="1" outlineLevel="1" x14ac:dyDescent="0.3">
      <c r="A252" s="22"/>
      <c r="B252" s="23"/>
      <c r="C252" s="24"/>
      <c r="D252" s="116"/>
      <c r="E252" s="120"/>
      <c r="F252" s="117"/>
      <c r="G252" s="33"/>
      <c r="H252" s="254">
        <v>0</v>
      </c>
      <c r="I252" s="81"/>
      <c r="J252" s="82"/>
      <c r="K252" s="254">
        <v>0</v>
      </c>
      <c r="L252" s="81"/>
      <c r="M252" s="82"/>
      <c r="N252" s="254">
        <v>0</v>
      </c>
      <c r="O252" s="81"/>
      <c r="P252" s="82"/>
      <c r="Q252" s="254">
        <v>0</v>
      </c>
      <c r="R252" s="81"/>
      <c r="S252" s="82"/>
      <c r="T252" s="254">
        <v>0</v>
      </c>
      <c r="U252" s="81"/>
      <c r="V252" s="82"/>
      <c r="W252" s="254">
        <v>0</v>
      </c>
      <c r="X252" s="81"/>
      <c r="Y252" s="82"/>
      <c r="Z252" s="254">
        <v>0</v>
      </c>
      <c r="AA252" s="81"/>
      <c r="AB252" s="82"/>
      <c r="AC252" s="254">
        <v>0</v>
      </c>
      <c r="AD252" s="81"/>
      <c r="AE252" s="82"/>
      <c r="AF252" s="254">
        <v>0</v>
      </c>
      <c r="AG252" s="81"/>
      <c r="AH252" s="82"/>
      <c r="AI252" s="254">
        <v>0</v>
      </c>
      <c r="AJ252" s="81"/>
      <c r="AK252" s="82"/>
      <c r="AL252" s="254">
        <v>0</v>
      </c>
      <c r="AM252" s="81"/>
      <c r="AN252" s="82"/>
      <c r="AO252" s="254">
        <v>0</v>
      </c>
      <c r="AP252" s="81"/>
      <c r="AQ252" s="82"/>
      <c r="AR252" s="241">
        <f t="shared" ca="1" si="231"/>
        <v>0</v>
      </c>
      <c r="AS252" s="27">
        <f t="shared" ca="1" si="232"/>
        <v>0</v>
      </c>
      <c r="AT252" s="82">
        <f t="shared" ca="1" si="233"/>
        <v>0</v>
      </c>
      <c r="AU252" s="254"/>
      <c r="AV252" s="81"/>
      <c r="AW252" s="82"/>
      <c r="AX252" s="254"/>
      <c r="AY252" s="81">
        <v>0</v>
      </c>
      <c r="AZ252" s="82"/>
      <c r="BA252" s="254"/>
      <c r="BB252" s="81">
        <v>0</v>
      </c>
      <c r="BC252" s="82"/>
      <c r="BD252" s="254"/>
      <c r="BE252" s="81">
        <v>0</v>
      </c>
      <c r="BF252" s="82"/>
      <c r="BG252" s="254"/>
      <c r="BH252" s="81">
        <v>0</v>
      </c>
      <c r="BI252" s="82"/>
      <c r="BK252" s="448">
        <f t="shared" si="185"/>
        <v>0</v>
      </c>
      <c r="BL252" s="448">
        <f t="shared" si="186"/>
        <v>0</v>
      </c>
      <c r="BM252" s="448">
        <f t="shared" si="187"/>
        <v>0</v>
      </c>
      <c r="BN252" s="448">
        <f t="shared" ca="1" si="188"/>
        <v>0</v>
      </c>
    </row>
    <row r="253" spans="1:66" collapsed="1" x14ac:dyDescent="0.3">
      <c r="A253" s="71" t="s">
        <v>46</v>
      </c>
      <c r="C253" s="24"/>
      <c r="D253" s="116"/>
      <c r="E253" s="120"/>
      <c r="F253" s="17"/>
      <c r="G253" s="47"/>
      <c r="H253" s="245">
        <v>-1.409126357871821E-2</v>
      </c>
      <c r="I253" s="50">
        <v>-1.338649225451681E-2</v>
      </c>
      <c r="J253" s="51">
        <f>IFERROR(J243/J8,0)+SUMIFS(Aut_Ajustes_Manuais!$G:$G,Aut_Ajustes_Manuais!$I:$I,DRE!H$4,Aut_Ajustes_Manuais!$F:$F,"% sobre Receita Bruta")</f>
        <v>-1.0818633914926051E-2</v>
      </c>
      <c r="K253" s="245">
        <v>-1.4166490113097211E-2</v>
      </c>
      <c r="L253" s="50">
        <v>-1.1878720878965221E-2</v>
      </c>
      <c r="M253" s="51">
        <f>IFERROR(M243/M8,0)+SUMIFS(Aut_Ajustes_Manuais!$G:$G,Aut_Ajustes_Manuais!$I:$I,DRE!K$4,Aut_Ajustes_Manuais!$F:$F,"% sobre Receita Bruta")</f>
        <v>-1.370895870511591E-2</v>
      </c>
      <c r="N253" s="245">
        <v>-1.425408278811976E-2</v>
      </c>
      <c r="O253" s="50">
        <v>-1.761325210112942E-2</v>
      </c>
      <c r="P253" s="51">
        <f>IFERROR(P243/P8,0)+SUMIFS(Aut_Ajustes_Manuais!$G:$G,Aut_Ajustes_Manuais!$I:$I,DRE!N$4,Aut_Ajustes_Manuais!$F:$F,"% sobre Receita Bruta")</f>
        <v>-1.2896284273043172E-2</v>
      </c>
      <c r="Q253" s="245">
        <v>-1.1247800785402259E-2</v>
      </c>
      <c r="R253" s="50">
        <v>-1.4227882170049571E-2</v>
      </c>
      <c r="S253" s="51">
        <f>IFERROR(S243/S8,0)+SUMIFS(Aut_Ajustes_Manuais!$G:$G,Aut_Ajustes_Manuais!$I:$I,DRE!Q$4,Aut_Ajustes_Manuais!$F:$F,"% sobre Receita Bruta")</f>
        <v>-1.126576962150635E-2</v>
      </c>
      <c r="T253" s="245">
        <v>-8.7399916141842147E-3</v>
      </c>
      <c r="U253" s="50">
        <v>-1.037427480345939E-2</v>
      </c>
      <c r="V253" s="51">
        <f>IFERROR(V243/V8,0)+SUMIFS(Aut_Ajustes_Manuais!$G:$G,Aut_Ajustes_Manuais!$I:$I,DRE!T$4,Aut_Ajustes_Manuais!$F:$F,"% sobre Receita Bruta")</f>
        <v>-1.158970506881985E-2</v>
      </c>
      <c r="W253" s="245">
        <v>-1.3682573325788381E-2</v>
      </c>
      <c r="X253" s="50">
        <v>-1.16364650273806E-2</v>
      </c>
      <c r="Y253" s="51">
        <f>IFERROR(Y243/Y8,0)+SUMIFS(Aut_Ajustes_Manuais!$G:$G,Aut_Ajustes_Manuais!$I:$I,DRE!W$4,Aut_Ajustes_Manuais!$F:$F,"% sobre Receita Bruta")</f>
        <v>-4.7478541832071319E-3</v>
      </c>
      <c r="Z253" s="245">
        <v>-1.193364036863442E-2</v>
      </c>
      <c r="AA253" s="50">
        <v>-9.8759604844446246E-3</v>
      </c>
      <c r="AB253" s="51">
        <f>IFERROR(AB243/AB8,0)+SUMIFS(Aut_Ajustes_Manuais!$G:$G,Aut_Ajustes_Manuais!$I:$I,DRE!Z$4,Aut_Ajustes_Manuais!$F:$F,"% sobre Receita Bruta")</f>
        <v>-2.330228094134508E-2</v>
      </c>
      <c r="AC253" s="245">
        <v>-6.9458693745384379E-3</v>
      </c>
      <c r="AD253" s="50">
        <v>-9.1511044895530823E-3</v>
      </c>
      <c r="AE253" s="51">
        <f>IFERROR(AE243/AE8,0)+SUMIFS(Aut_Ajustes_Manuais!$G:$G,Aut_Ajustes_Manuais!$I:$I,DRE!AC$4,Aut_Ajustes_Manuais!$F:$F,"% sobre Receita Bruta")</f>
        <v>0</v>
      </c>
      <c r="AF253" s="245">
        <v>-1.1947040618621931E-2</v>
      </c>
      <c r="AG253" s="50">
        <v>-1.050213614015787E-2</v>
      </c>
      <c r="AH253" s="51">
        <f>IFERROR(AH243/AH8,0)+SUMIFS(Aut_Ajustes_Manuais!$G:$G,Aut_Ajustes_Manuais!$I:$I,DRE!AF$4,Aut_Ajustes_Manuais!$F:$F,"% sobre Receita Bruta")</f>
        <v>0</v>
      </c>
      <c r="AI253" s="245">
        <v>-1.206904381096989E-2</v>
      </c>
      <c r="AJ253" s="50">
        <v>-1.0436304376973141E-2</v>
      </c>
      <c r="AK253" s="51">
        <f>IFERROR(AK243/AK8,0)+SUMIFS(Aut_Ajustes_Manuais!$G:$G,Aut_Ajustes_Manuais!$I:$I,DRE!AI$4,Aut_Ajustes_Manuais!$F:$F,"% sobre Receita Bruta")</f>
        <v>0</v>
      </c>
      <c r="AL253" s="245">
        <v>-1.155642324641468E-2</v>
      </c>
      <c r="AM253" s="50">
        <v>-8.9929933166671607E-3</v>
      </c>
      <c r="AN253" s="51">
        <f>IFERROR(AN243/AN8,0)+SUMIFS(Aut_Ajustes_Manuais!$G:$G,Aut_Ajustes_Manuais!$I:$I,DRE!AL$4,Aut_Ajustes_Manuais!$F:$F,"% sobre Receita Bruta")</f>
        <v>0</v>
      </c>
      <c r="AO253" s="245">
        <v>-9.2688830675433931E-3</v>
      </c>
      <c r="AP253" s="50">
        <v>-9.9357638888888898E-3</v>
      </c>
      <c r="AQ253" s="51">
        <f>IFERROR(AQ243/AQ8,0)+SUMIFS(Aut_Ajustes_Manuais!$G:$G,Aut_Ajustes_Manuais!$I:$I,DRE!AO$4,Aut_Ajustes_Manuais!$F:$F,"% sobre Receita Bruta")</f>
        <v>0</v>
      </c>
      <c r="AR253" s="245">
        <f t="shared" ref="AR253:BI253" ca="1" si="239">IFERROR(AR243/AR8,0)</f>
        <v>-1.2471084452566911E-2</v>
      </c>
      <c r="AS253" s="50">
        <f t="shared" ca="1" si="239"/>
        <v>-1.2805360204195544E-2</v>
      </c>
      <c r="AT253" s="51">
        <f t="shared" ca="1" si="239"/>
        <v>-1.0766123784254336E-2</v>
      </c>
      <c r="AU253" s="245">
        <f t="shared" si="239"/>
        <v>-1.1404865866357203E-2</v>
      </c>
      <c r="AV253" s="50">
        <f t="shared" si="239"/>
        <v>-1.1179649151122257E-2</v>
      </c>
      <c r="AW253" s="51">
        <f t="shared" si="239"/>
        <v>-1.5689478239108677E-2</v>
      </c>
      <c r="AX253" s="245">
        <f t="shared" si="239"/>
        <v>-1.4168083689783501E-2</v>
      </c>
      <c r="AY253" s="50">
        <f t="shared" si="239"/>
        <v>-1.4045803587527252E-2</v>
      </c>
      <c r="AZ253" s="51">
        <f t="shared" si="239"/>
        <v>-1.237250315674396E-2</v>
      </c>
      <c r="BA253" s="245">
        <f t="shared" si="239"/>
        <v>-1.0987837698713962E-2</v>
      </c>
      <c r="BB253" s="50">
        <f t="shared" si="239"/>
        <v>-1.1766736931611885E-2</v>
      </c>
      <c r="BC253" s="51">
        <f t="shared" si="239"/>
        <v>-9.2487327907997477E-3</v>
      </c>
      <c r="BD253" s="245">
        <f t="shared" si="239"/>
        <v>-1.0094299047765593E-2</v>
      </c>
      <c r="BE253" s="50">
        <f t="shared" si="239"/>
        <v>-9.8119017624880948E-3</v>
      </c>
      <c r="BF253" s="51">
        <f t="shared" si="239"/>
        <v>-6.990684282403524E-2</v>
      </c>
      <c r="BG253" s="245">
        <f t="shared" si="239"/>
        <v>-1.0839419969909137E-2</v>
      </c>
      <c r="BH253" s="50">
        <f t="shared" si="239"/>
        <v>-9.7509112099851743E-3</v>
      </c>
      <c r="BI253" s="51">
        <f t="shared" si="239"/>
        <v>0</v>
      </c>
      <c r="BK253" s="448">
        <f t="shared" si="185"/>
        <v>-0.13801134993218578</v>
      </c>
      <c r="BL253" s="448">
        <f t="shared" si="186"/>
        <v>-0.12683170078106351</v>
      </c>
      <c r="BM253" s="448">
        <f t="shared" si="187"/>
        <v>-6.0279351583411335E-2</v>
      </c>
      <c r="BN253" s="448">
        <f t="shared" ca="1" si="188"/>
        <v>-4.9513227799156997E-2</v>
      </c>
    </row>
    <row r="254" spans="1:66" x14ac:dyDescent="0.3">
      <c r="A254" s="18"/>
      <c r="E254" s="16"/>
      <c r="F254" s="17"/>
      <c r="G254" s="47"/>
      <c r="H254" s="247"/>
      <c r="I254" s="17"/>
      <c r="J254" s="57"/>
      <c r="K254" s="247"/>
      <c r="L254" s="17"/>
      <c r="M254" s="57"/>
      <c r="N254" s="247"/>
      <c r="O254" s="17"/>
      <c r="P254" s="57"/>
      <c r="Q254" s="247"/>
      <c r="R254" s="17"/>
      <c r="S254" s="57"/>
      <c r="T254" s="247"/>
      <c r="U254" s="17"/>
      <c r="V254" s="57"/>
      <c r="W254" s="247"/>
      <c r="X254" s="17"/>
      <c r="Y254" s="57"/>
      <c r="Z254" s="247"/>
      <c r="AA254" s="17"/>
      <c r="AB254" s="57"/>
      <c r="AC254" s="247"/>
      <c r="AD254" s="17"/>
      <c r="AE254" s="57"/>
      <c r="AF254" s="247"/>
      <c r="AG254" s="17"/>
      <c r="AH254" s="57"/>
      <c r="AI254" s="247"/>
      <c r="AJ254" s="17"/>
      <c r="AK254" s="57"/>
      <c r="AL254" s="247"/>
      <c r="AM254" s="17"/>
      <c r="AN254" s="57"/>
      <c r="AO254" s="247"/>
      <c r="AP254" s="17"/>
      <c r="AQ254" s="57"/>
      <c r="AR254" s="247"/>
      <c r="AS254" s="17"/>
      <c r="AT254" s="57"/>
      <c r="AU254" s="247"/>
      <c r="AV254" s="17"/>
      <c r="AW254" s="57"/>
      <c r="AX254" s="247"/>
      <c r="AY254" s="17"/>
      <c r="AZ254" s="57"/>
      <c r="BA254" s="247"/>
      <c r="BB254" s="17"/>
      <c r="BC254" s="57"/>
      <c r="BD254" s="247"/>
      <c r="BE254" s="17"/>
      <c r="BF254" s="57"/>
      <c r="BG254" s="247"/>
      <c r="BH254" s="17"/>
      <c r="BI254" s="57"/>
      <c r="BK254" s="448">
        <f t="shared" si="185"/>
        <v>0</v>
      </c>
      <c r="BL254" s="448">
        <f t="shared" si="186"/>
        <v>0</v>
      </c>
      <c r="BM254" s="448">
        <f t="shared" si="187"/>
        <v>0</v>
      </c>
      <c r="BN254" s="448">
        <f t="shared" si="188"/>
        <v>0</v>
      </c>
    </row>
    <row r="255" spans="1:66" x14ac:dyDescent="0.3">
      <c r="A255" s="39" t="s">
        <v>288</v>
      </c>
      <c r="C255" s="40" t="s">
        <v>37</v>
      </c>
      <c r="D255" s="40" t="s">
        <v>38</v>
      </c>
      <c r="E255" s="40" t="s">
        <v>203</v>
      </c>
      <c r="F255" s="17"/>
      <c r="G255" s="47"/>
      <c r="H255" s="244">
        <v>-3958.98</v>
      </c>
      <c r="I255" s="42">
        <v>-7000</v>
      </c>
      <c r="J255" s="43">
        <f>SUM(J256:J263)+SUMIFS(Aut_Ajustes_Manuais!$G:$G,Aut_Ajustes_Manuais!$I:$I,DRE!H$4,Aut_Ajustes_Manuais!$F:$F,"Despesas Gerais")</f>
        <v>-2838.58</v>
      </c>
      <c r="K255" s="244">
        <v>-733.93</v>
      </c>
      <c r="L255" s="42">
        <v>-7000</v>
      </c>
      <c r="M255" s="43">
        <f>SUM(M256:M263)+SUMIFS(Aut_Ajustes_Manuais!$G:$G,Aut_Ajustes_Manuais!$I:$I,DRE!K$4,Aut_Ajustes_Manuais!$F:$F,"Despesas Gerais")</f>
        <v>-2622.34</v>
      </c>
      <c r="N255" s="244">
        <v>-405.1</v>
      </c>
      <c r="O255" s="42">
        <v>0</v>
      </c>
      <c r="P255" s="43">
        <f>SUM(P256:P263)+SUMIFS(Aut_Ajustes_Manuais!$G:$G,Aut_Ajustes_Manuais!$I:$I,DRE!N$4,Aut_Ajustes_Manuais!$F:$F,"Despesas Gerais")</f>
        <v>-2005.79</v>
      </c>
      <c r="Q255" s="244">
        <v>-590</v>
      </c>
      <c r="R255" s="42">
        <v>0</v>
      </c>
      <c r="S255" s="43">
        <f>SUM(S256:S263)+SUMIFS(Aut_Ajustes_Manuais!$G:$G,Aut_Ajustes_Manuais!$I:$I,DRE!Q$4,Aut_Ajustes_Manuais!$F:$F,"Despesas Gerais")</f>
        <v>-3967.9</v>
      </c>
      <c r="T255" s="244">
        <v>-7026.86</v>
      </c>
      <c r="U255" s="42">
        <v>-4000</v>
      </c>
      <c r="V255" s="43">
        <f>SUM(V256:V263)+SUMIFS(Aut_Ajustes_Manuais!$G:$G,Aut_Ajustes_Manuais!$I:$I,DRE!T$4,Aut_Ajustes_Manuais!$F:$F,"Despesas Gerais")</f>
        <v>-2664</v>
      </c>
      <c r="W255" s="244">
        <v>-5562.04</v>
      </c>
      <c r="X255" s="42">
        <v>-4000</v>
      </c>
      <c r="Y255" s="43">
        <f>SUM(Y256:Y263)+SUMIFS(Aut_Ajustes_Manuais!$G:$G,Aut_Ajustes_Manuais!$I:$I,DRE!W$4,Aut_Ajustes_Manuais!$F:$F,"Despesas Gerais")</f>
        <v>-4262.78</v>
      </c>
      <c r="Z255" s="244">
        <v>-8270.94</v>
      </c>
      <c r="AA255" s="42">
        <v>-4000</v>
      </c>
      <c r="AB255" s="43">
        <f>SUM(AB256:AB263)+SUMIFS(Aut_Ajustes_Manuais!$G:$G,Aut_Ajustes_Manuais!$I:$I,DRE!Z$4,Aut_Ajustes_Manuais!$F:$F,"Despesas Gerais")</f>
        <v>-2359.04</v>
      </c>
      <c r="AC255" s="244">
        <v>-3685.33</v>
      </c>
      <c r="AD255" s="42">
        <v>-4000</v>
      </c>
      <c r="AE255" s="43">
        <f>SUM(AE256:AE263)+SUMIFS(Aut_Ajustes_Manuais!$G:$G,Aut_Ajustes_Manuais!$I:$I,DRE!AC$4,Aut_Ajustes_Manuais!$F:$F,"Despesas Gerais")</f>
        <v>-1999.04</v>
      </c>
      <c r="AF255" s="244">
        <v>-8502.01</v>
      </c>
      <c r="AG255" s="42">
        <v>-4000</v>
      </c>
      <c r="AH255" s="43">
        <f>SUM(AH256:AH263)+SUMIFS(Aut_Ajustes_Manuais!$G:$G,Aut_Ajustes_Manuais!$I:$I,DRE!AF$4,Aut_Ajustes_Manuais!$F:$F,"Despesas Gerais")</f>
        <v>-1999.04</v>
      </c>
      <c r="AI255" s="244">
        <v>-16334.95</v>
      </c>
      <c r="AJ255" s="42">
        <v>-4000</v>
      </c>
      <c r="AK255" s="43">
        <f>SUM(AK256:AK263)+SUMIFS(Aut_Ajustes_Manuais!$G:$G,Aut_Ajustes_Manuais!$I:$I,DRE!AI$4,Aut_Ajustes_Manuais!$F:$F,"Despesas Gerais")</f>
        <v>-1999.04</v>
      </c>
      <c r="AL255" s="244">
        <v>-1470.72</v>
      </c>
      <c r="AM255" s="42">
        <v>-4000</v>
      </c>
      <c r="AN255" s="43">
        <f>SUM(AN256:AN263)+SUMIFS(Aut_Ajustes_Manuais!$G:$G,Aut_Ajustes_Manuais!$I:$I,DRE!AL$4,Aut_Ajustes_Manuais!$F:$F,"Despesas Gerais")</f>
        <v>-1999.04</v>
      </c>
      <c r="AO255" s="244">
        <v>-5554.97</v>
      </c>
      <c r="AP255" s="42">
        <v>-4000</v>
      </c>
      <c r="AQ255" s="43">
        <f>SUM(AQ256:AQ263)+SUMIFS(Aut_Ajustes_Manuais!$G:$G,Aut_Ajustes_Manuais!$I:$I,DRE!AO$4,Aut_Ajustes_Manuais!$F:$F,"Despesas Gerais")</f>
        <v>-1999.04</v>
      </c>
      <c r="AR255" s="244">
        <f t="shared" ref="AR255:BI255" ca="1" si="240">SUM(AR256:AR263)</f>
        <v>-18276.91</v>
      </c>
      <c r="AS255" s="42">
        <f t="shared" ca="1" si="240"/>
        <v>-22000</v>
      </c>
      <c r="AT255" s="43">
        <f t="shared" ca="1" si="240"/>
        <v>-18361.39</v>
      </c>
      <c r="AU255" s="244">
        <f t="shared" si="240"/>
        <v>-62095.829999999994</v>
      </c>
      <c r="AV255" s="42">
        <f t="shared" si="240"/>
        <v>-46000</v>
      </c>
      <c r="AW255" s="43">
        <f t="shared" si="240"/>
        <v>-30715.630000000005</v>
      </c>
      <c r="AX255" s="244">
        <f t="shared" si="240"/>
        <v>-5098.01</v>
      </c>
      <c r="AY255" s="42">
        <f t="shared" si="240"/>
        <v>-14000</v>
      </c>
      <c r="AZ255" s="43">
        <f t="shared" si="240"/>
        <v>-7466.7099999999991</v>
      </c>
      <c r="BA255" s="244">
        <f t="shared" si="240"/>
        <v>-13178.9</v>
      </c>
      <c r="BB255" s="42">
        <f t="shared" si="240"/>
        <v>-8000</v>
      </c>
      <c r="BC255" s="43">
        <f t="shared" si="240"/>
        <v>-10894.679999999998</v>
      </c>
      <c r="BD255" s="244">
        <f t="shared" si="240"/>
        <v>-20458.28</v>
      </c>
      <c r="BE255" s="42">
        <f t="shared" si="240"/>
        <v>-12000</v>
      </c>
      <c r="BF255" s="43">
        <f t="shared" si="240"/>
        <v>-6357.12</v>
      </c>
      <c r="BG255" s="244">
        <f t="shared" si="240"/>
        <v>-23360.640000000003</v>
      </c>
      <c r="BH255" s="42">
        <f t="shared" si="240"/>
        <v>-12000</v>
      </c>
      <c r="BI255" s="43">
        <f t="shared" si="240"/>
        <v>-5997.12</v>
      </c>
      <c r="BK255" s="448">
        <f t="shared" si="185"/>
        <v>-46000</v>
      </c>
      <c r="BL255" s="448">
        <f t="shared" si="186"/>
        <v>0</v>
      </c>
      <c r="BM255" s="448">
        <f t="shared" si="187"/>
        <v>-14098.61</v>
      </c>
      <c r="BN255" s="448">
        <f t="shared" ca="1" si="188"/>
        <v>4262.7799999999988</v>
      </c>
    </row>
    <row r="256" spans="1:66" s="29" customFormat="1" hidden="1" outlineLevel="1" x14ac:dyDescent="0.3">
      <c r="A256" s="22" t="s">
        <v>289</v>
      </c>
      <c r="B256" s="23"/>
      <c r="C256" s="24" t="s">
        <v>62</v>
      </c>
      <c r="D256" s="121">
        <v>-7300</v>
      </c>
      <c r="E256" s="114"/>
      <c r="F256" s="56"/>
      <c r="G256" s="33"/>
      <c r="H256" s="241">
        <v>-3492</v>
      </c>
      <c r="I256" s="27">
        <v>-7000</v>
      </c>
      <c r="J256" s="28">
        <f>SUMIFS(Aut_BlueMe_Sem_Pedido!$J:$J,Aut_BlueMe_Sem_Pedido!$Q:$Q,DRE!H$4,Aut_BlueMe_Sem_Pedido!$H:$H,DRE!$A256)+SUMIFS(Aut_Ajustes_Manuais!$G:$G,Aut_Ajustes_Manuais!$I:$I,DRE!H$4,Aut_Ajustes_Manuais!$F:$F,"Manutenção Predial")</f>
        <v>-1500</v>
      </c>
      <c r="K256" s="241">
        <v>-470</v>
      </c>
      <c r="L256" s="27">
        <v>-7000</v>
      </c>
      <c r="M256" s="28">
        <f>SUMIFS(Aut_BlueMe_Sem_Pedido!$J:$J,Aut_BlueMe_Sem_Pedido!$Q:$Q,DRE!K$4,Aut_BlueMe_Sem_Pedido!$H:$H,DRE!$A256)+SUMIFS(Aut_Ajustes_Manuais!$G:$G,Aut_Ajustes_Manuais!$I:$I,DRE!K$4,Aut_Ajustes_Manuais!$F:$F,"Manutenção Predial")</f>
        <v>-1999.04</v>
      </c>
      <c r="N256" s="241">
        <v>0</v>
      </c>
      <c r="O256" s="27">
        <v>0</v>
      </c>
      <c r="P256" s="28">
        <f>SUMIFS(Aut_BlueMe_Sem_Pedido!$J:$J,Aut_BlueMe_Sem_Pedido!$Q:$Q,DRE!N$4,Aut_BlueMe_Sem_Pedido!$H:$H,DRE!$A256)+SUMIFS(Aut_Ajustes_Manuais!$G:$G,Aut_Ajustes_Manuais!$I:$I,DRE!N$4,Aut_Ajustes_Manuais!$F:$F,"Manutenção Predial")</f>
        <v>-1655.79</v>
      </c>
      <c r="Q256" s="241">
        <v>0</v>
      </c>
      <c r="R256" s="27">
        <v>0</v>
      </c>
      <c r="S256" s="28">
        <f>SUMIFS(Aut_BlueMe_Sem_Pedido!$J:$J,Aut_BlueMe_Sem_Pedido!$Q:$Q,DRE!Q$4,Aut_BlueMe_Sem_Pedido!$H:$H,DRE!$A256)+SUMIFS(Aut_Ajustes_Manuais!$G:$G,Aut_Ajustes_Manuais!$I:$I,DRE!Q$4,Aut_Ajustes_Manuais!$F:$F,"Manutenção Predial")</f>
        <v>-2250</v>
      </c>
      <c r="T256" s="241">
        <v>0</v>
      </c>
      <c r="U256" s="27">
        <v>-4000</v>
      </c>
      <c r="V256" s="28">
        <f>SUMIFS(Aut_BlueMe_Sem_Pedido!$J:$J,Aut_BlueMe_Sem_Pedido!$Q:$Q,DRE!T$4,Aut_BlueMe_Sem_Pedido!$H:$H,DRE!$A256)+SUMIFS(Aut_Ajustes_Manuais!$G:$G,Aut_Ajustes_Manuais!$I:$I,DRE!T$4,Aut_Ajustes_Manuais!$F:$F,"Manutenção Predial")</f>
        <v>-1500</v>
      </c>
      <c r="W256" s="241">
        <v>-5000</v>
      </c>
      <c r="X256" s="27">
        <v>-4000</v>
      </c>
      <c r="Y256" s="28">
        <f>SUMIFS(Aut_BlueMe_Sem_Pedido!$J:$J,Aut_BlueMe_Sem_Pedido!$Q:$Q,DRE!W$4,Aut_BlueMe_Sem_Pedido!$H:$H,DRE!$A256)+SUMIFS(Aut_Ajustes_Manuais!$G:$G,Aut_Ajustes_Manuais!$I:$I,DRE!W$4,Aut_Ajustes_Manuais!$F:$F,"Manutenção Predial")</f>
        <v>-2224.21</v>
      </c>
      <c r="Z256" s="241">
        <v>-5500</v>
      </c>
      <c r="AA256" s="27">
        <v>-4000</v>
      </c>
      <c r="AB256" s="28">
        <f>SUMIFS(Aut_BlueMe_Sem_Pedido!$J:$J,Aut_BlueMe_Sem_Pedido!$Q:$Q,DRE!Z$4,Aut_BlueMe_Sem_Pedido!$H:$H,DRE!$A256)+SUMIFS(Aut_Ajustes_Manuais!$G:$G,Aut_Ajustes_Manuais!$I:$I,DRE!Z$4,Aut_Ajustes_Manuais!$F:$F,"Manutenção Predial")</f>
        <v>-1999.04</v>
      </c>
      <c r="AC256" s="241">
        <v>-2840</v>
      </c>
      <c r="AD256" s="27">
        <v>-4000</v>
      </c>
      <c r="AE256" s="28">
        <f>SUMIFS(Aut_BlueMe_Sem_Pedido!$J:$J,Aut_BlueMe_Sem_Pedido!$Q:$Q,DRE!AC$4,Aut_BlueMe_Sem_Pedido!$H:$H,DRE!$A256)+SUMIFS(Aut_Ajustes_Manuais!$G:$G,Aut_Ajustes_Manuais!$I:$I,DRE!AC$4,Aut_Ajustes_Manuais!$F:$F,"Manutenção Predial")</f>
        <v>-1999.04</v>
      </c>
      <c r="AF256" s="241">
        <v>-6098</v>
      </c>
      <c r="AG256" s="27">
        <v>-4000</v>
      </c>
      <c r="AH256" s="28">
        <f>SUMIFS(Aut_BlueMe_Sem_Pedido!$J:$J,Aut_BlueMe_Sem_Pedido!$Q:$Q,DRE!AF$4,Aut_BlueMe_Sem_Pedido!$H:$H,DRE!$A256)+SUMIFS(Aut_Ajustes_Manuais!$G:$G,Aut_Ajustes_Manuais!$I:$I,DRE!AF$4,Aut_Ajustes_Manuais!$F:$F,"Manutenção Predial")</f>
        <v>-1999.04</v>
      </c>
      <c r="AI256" s="241">
        <v>-14500</v>
      </c>
      <c r="AJ256" s="27">
        <v>-4000</v>
      </c>
      <c r="AK256" s="28">
        <f>SUMIFS(Aut_BlueMe_Sem_Pedido!$J:$J,Aut_BlueMe_Sem_Pedido!$Q:$Q,DRE!AI$4,Aut_BlueMe_Sem_Pedido!$H:$H,DRE!$A256)+SUMIFS(Aut_Ajustes_Manuais!$G:$G,Aut_Ajustes_Manuais!$I:$I,DRE!AI$4,Aut_Ajustes_Manuais!$F:$F,"Manutenção Predial")</f>
        <v>-1999.04</v>
      </c>
      <c r="AL256" s="241">
        <v>0</v>
      </c>
      <c r="AM256" s="27">
        <v>-4000</v>
      </c>
      <c r="AN256" s="28">
        <f>SUMIFS(Aut_BlueMe_Sem_Pedido!$J:$J,Aut_BlueMe_Sem_Pedido!$Q:$Q,DRE!AL$4,Aut_BlueMe_Sem_Pedido!$H:$H,DRE!$A256)+SUMIFS(Aut_Ajustes_Manuais!$G:$G,Aut_Ajustes_Manuais!$I:$I,DRE!AL$4,Aut_Ajustes_Manuais!$F:$F,"Manutenção Predial")</f>
        <v>-1999.04</v>
      </c>
      <c r="AO256" s="241">
        <v>0</v>
      </c>
      <c r="AP256" s="27">
        <v>-4000</v>
      </c>
      <c r="AQ256" s="28">
        <f>SUMIFS(Aut_BlueMe_Sem_Pedido!$J:$J,Aut_BlueMe_Sem_Pedido!$Q:$Q,DRE!AO$4,Aut_BlueMe_Sem_Pedido!$H:$H,DRE!$A256)+SUMIFS(Aut_Ajustes_Manuais!$G:$G,Aut_Ajustes_Manuais!$I:$I,DRE!AO$4,Aut_Ajustes_Manuais!$F:$F,"Manutenção Predial")</f>
        <v>-1999.04</v>
      </c>
      <c r="AR256" s="241">
        <f t="shared" ref="AR256:AR263" ca="1" si="241">SUMIFS($H256:$AO256,$H$5:$AO$5,"&lt;"&amp;MONTH(TODAY()),$H$6:$AO$6,"REAL 25")</f>
        <v>-8962</v>
      </c>
      <c r="AS256" s="27">
        <f t="shared" ref="AS256:AS263" ca="1" si="242">SUMIFS($I256:$AP256,$I$5:$AP$5,"&lt;"&amp;MONTH(TODAY()),$I$6:$AP$6,"ORÇADO ")</f>
        <v>-22000</v>
      </c>
      <c r="AT256" s="28">
        <f t="shared" ref="AT256:AT263" ca="1" si="243">SUMIFS($J256:$AQ256,$J$5:$AQ$5,"&lt;"&amp;MONTH(TODAY()),$J$6:$AQ$6,"REAL 26")</f>
        <v>-11129.04</v>
      </c>
      <c r="AU256" s="241">
        <f t="shared" ref="AU256:AW263" si="244">SUM(H256,K256,N256,Q256,T256,W256,Z256,AC256,AF256,AI256,AL256,AO256)</f>
        <v>-37900</v>
      </c>
      <c r="AV256" s="27">
        <f t="shared" si="244"/>
        <v>-46000</v>
      </c>
      <c r="AW256" s="28">
        <f t="shared" si="244"/>
        <v>-23123.280000000006</v>
      </c>
      <c r="AX256" s="241">
        <f t="shared" ref="AX256:AZ263" si="245">SUM(H256,K256,N256)</f>
        <v>-3962</v>
      </c>
      <c r="AY256" s="27">
        <f t="shared" si="245"/>
        <v>-14000</v>
      </c>
      <c r="AZ256" s="28">
        <f t="shared" si="245"/>
        <v>-5154.83</v>
      </c>
      <c r="BA256" s="241">
        <f t="shared" ref="BA256:BC263" si="246">SUM(Q256,T256,W256)</f>
        <v>-5000</v>
      </c>
      <c r="BB256" s="27">
        <f t="shared" si="246"/>
        <v>-8000</v>
      </c>
      <c r="BC256" s="28">
        <f t="shared" si="246"/>
        <v>-5974.21</v>
      </c>
      <c r="BD256" s="241">
        <f t="shared" ref="BD256:BF263" si="247">SUM(Z256,AC256,AF256)</f>
        <v>-14438</v>
      </c>
      <c r="BE256" s="27">
        <f t="shared" si="247"/>
        <v>-12000</v>
      </c>
      <c r="BF256" s="28">
        <f t="shared" si="247"/>
        <v>-5997.12</v>
      </c>
      <c r="BG256" s="241">
        <f t="shared" ref="BG256:BI263" si="248">SUM(AI256,AL256,AO256)</f>
        <v>-14500</v>
      </c>
      <c r="BH256" s="27">
        <f t="shared" si="248"/>
        <v>-12000</v>
      </c>
      <c r="BI256" s="28">
        <f t="shared" si="248"/>
        <v>-5997.12</v>
      </c>
      <c r="BK256" s="448">
        <f t="shared" si="185"/>
        <v>-46000</v>
      </c>
      <c r="BL256" s="448">
        <f t="shared" si="186"/>
        <v>0</v>
      </c>
      <c r="BM256" s="448">
        <f t="shared" si="187"/>
        <v>-8904.83</v>
      </c>
      <c r="BN256" s="448">
        <f t="shared" ca="1" si="188"/>
        <v>2224.2100000000009</v>
      </c>
    </row>
    <row r="257" spans="1:66" s="29" customFormat="1" hidden="1" outlineLevel="1" x14ac:dyDescent="0.3">
      <c r="A257" s="22" t="s">
        <v>290</v>
      </c>
      <c r="B257" s="23"/>
      <c r="C257" s="24" t="s">
        <v>62</v>
      </c>
      <c r="D257" s="121"/>
      <c r="E257" s="114"/>
      <c r="F257" s="56"/>
      <c r="G257" s="33"/>
      <c r="H257" s="241">
        <v>0</v>
      </c>
      <c r="I257" s="27">
        <v>0</v>
      </c>
      <c r="J257" s="28">
        <f>SUMIFS(Aut_BlueMe_Sem_Pedido!$J:$J,Aut_BlueMe_Sem_Pedido!$Q:$Q,DRE!H$4,Aut_BlueMe_Sem_Pedido!$H:$H,DRE!$A257)+SUMIFS(Aut_Ajustes_Manuais!$G:$G,Aut_Ajustes_Manuais!$I:$I,DRE!H$4,Aut_Ajustes_Manuais!$F:$F,"Manutenção de Equipamentos")</f>
        <v>0</v>
      </c>
      <c r="K257" s="241">
        <v>0</v>
      </c>
      <c r="L257" s="27">
        <v>0</v>
      </c>
      <c r="M257" s="28">
        <f>SUMIFS(Aut_BlueMe_Sem_Pedido!$J:$J,Aut_BlueMe_Sem_Pedido!$Q:$Q,DRE!K$4,Aut_BlueMe_Sem_Pedido!$H:$H,DRE!$A257)+SUMIFS(Aut_Ajustes_Manuais!$G:$G,Aut_Ajustes_Manuais!$I:$I,DRE!K$4,Aut_Ajustes_Manuais!$F:$F,"Manutenção de Equipamentos")</f>
        <v>-90</v>
      </c>
      <c r="N257" s="241">
        <v>0</v>
      </c>
      <c r="O257" s="27">
        <v>0</v>
      </c>
      <c r="P257" s="28">
        <f>SUMIFS(Aut_BlueMe_Sem_Pedido!$J:$J,Aut_BlueMe_Sem_Pedido!$Q:$Q,DRE!N$4,Aut_BlueMe_Sem_Pedido!$H:$H,DRE!$A257)+SUMIFS(Aut_Ajustes_Manuais!$G:$G,Aut_Ajustes_Manuais!$I:$I,DRE!N$4,Aut_Ajustes_Manuais!$F:$F,"Manutenção de Equipamentos")</f>
        <v>-95</v>
      </c>
      <c r="Q257" s="241">
        <v>0</v>
      </c>
      <c r="R257" s="27">
        <v>0</v>
      </c>
      <c r="S257" s="28">
        <f>SUMIFS(Aut_BlueMe_Sem_Pedido!$J:$J,Aut_BlueMe_Sem_Pedido!$Q:$Q,DRE!Q$4,Aut_BlueMe_Sem_Pedido!$H:$H,DRE!$A257)+SUMIFS(Aut_Ajustes_Manuais!$G:$G,Aut_Ajustes_Manuais!$I:$I,DRE!Q$4,Aut_Ajustes_Manuais!$F:$F,"Manutenção de Equipamentos")</f>
        <v>-960</v>
      </c>
      <c r="T257" s="241">
        <v>-3419.99</v>
      </c>
      <c r="U257" s="27">
        <v>0</v>
      </c>
      <c r="V257" s="28">
        <f>SUMIFS(Aut_BlueMe_Sem_Pedido!$J:$J,Aut_BlueMe_Sem_Pedido!$Q:$Q,DRE!T$4,Aut_BlueMe_Sem_Pedido!$H:$H,DRE!$A257)+SUMIFS(Aut_Ajustes_Manuais!$G:$G,Aut_Ajustes_Manuais!$I:$I,DRE!T$4,Aut_Ajustes_Manuais!$F:$F,"Manutenção de Equipamentos")</f>
        <v>-660</v>
      </c>
      <c r="W257" s="241">
        <v>-236</v>
      </c>
      <c r="X257" s="27">
        <v>0</v>
      </c>
      <c r="Y257" s="28">
        <f>SUMIFS(Aut_BlueMe_Sem_Pedido!$J:$J,Aut_BlueMe_Sem_Pedido!$Q:$Q,DRE!W$4,Aut_BlueMe_Sem_Pedido!$H:$H,DRE!$A257)+SUMIFS(Aut_Ajustes_Manuais!$G:$G,Aut_Ajustes_Manuais!$I:$I,DRE!W$4,Aut_Ajustes_Manuais!$F:$F,"Manutenção de Equipamentos")</f>
        <v>-1217</v>
      </c>
      <c r="Z257" s="241">
        <v>-1344</v>
      </c>
      <c r="AA257" s="27">
        <v>0</v>
      </c>
      <c r="AB257" s="28">
        <f>SUMIFS(Aut_BlueMe_Sem_Pedido!$J:$J,Aut_BlueMe_Sem_Pedido!$Q:$Q,DRE!Z$4,Aut_BlueMe_Sem_Pedido!$H:$H,DRE!$A257)+SUMIFS(Aut_Ajustes_Manuais!$G:$G,Aut_Ajustes_Manuais!$I:$I,DRE!Z$4,Aut_Ajustes_Manuais!$F:$F,"Manutenção de Equipamentos")</f>
        <v>0</v>
      </c>
      <c r="AC257" s="241">
        <v>0</v>
      </c>
      <c r="AD257" s="27">
        <v>0</v>
      </c>
      <c r="AE257" s="28">
        <f>SUMIFS(Aut_BlueMe_Sem_Pedido!$J:$J,Aut_BlueMe_Sem_Pedido!$Q:$Q,DRE!AC$4,Aut_BlueMe_Sem_Pedido!$H:$H,DRE!$A257)+SUMIFS(Aut_Ajustes_Manuais!$G:$G,Aut_Ajustes_Manuais!$I:$I,DRE!AC$4,Aut_Ajustes_Manuais!$F:$F,"Manutenção de Equipamentos")</f>
        <v>0</v>
      </c>
      <c r="AF257" s="241">
        <v>-1280</v>
      </c>
      <c r="AG257" s="27">
        <v>0</v>
      </c>
      <c r="AH257" s="28">
        <f>SUMIFS(Aut_BlueMe_Sem_Pedido!$J:$J,Aut_BlueMe_Sem_Pedido!$Q:$Q,DRE!AF$4,Aut_BlueMe_Sem_Pedido!$H:$H,DRE!$A257)+SUMIFS(Aut_Ajustes_Manuais!$G:$G,Aut_Ajustes_Manuais!$I:$I,DRE!AF$4,Aut_Ajustes_Manuais!$F:$F,"Manutenção de Equipamentos")</f>
        <v>0</v>
      </c>
      <c r="AI257" s="241">
        <v>-920</v>
      </c>
      <c r="AJ257" s="27">
        <v>0</v>
      </c>
      <c r="AK257" s="28">
        <f>SUMIFS(Aut_BlueMe_Sem_Pedido!$J:$J,Aut_BlueMe_Sem_Pedido!$Q:$Q,DRE!AI$4,Aut_BlueMe_Sem_Pedido!$H:$H,DRE!$A257)+SUMIFS(Aut_Ajustes_Manuais!$G:$G,Aut_Ajustes_Manuais!$I:$I,DRE!AI$4,Aut_Ajustes_Manuais!$F:$F,"Manutenção de Equipamentos")</f>
        <v>0</v>
      </c>
      <c r="AL257" s="241">
        <v>-803.13</v>
      </c>
      <c r="AM257" s="27">
        <v>0</v>
      </c>
      <c r="AN257" s="28">
        <f>SUMIFS(Aut_BlueMe_Sem_Pedido!$J:$J,Aut_BlueMe_Sem_Pedido!$Q:$Q,DRE!AL$4,Aut_BlueMe_Sem_Pedido!$H:$H,DRE!$A257)+SUMIFS(Aut_Ajustes_Manuais!$G:$G,Aut_Ajustes_Manuais!$I:$I,DRE!AL$4,Aut_Ajustes_Manuais!$F:$F,"Manutenção de Equipamentos")</f>
        <v>0</v>
      </c>
      <c r="AO257" s="241">
        <v>-1032</v>
      </c>
      <c r="AP257" s="27">
        <v>0</v>
      </c>
      <c r="AQ257" s="28">
        <f>SUMIFS(Aut_BlueMe_Sem_Pedido!$J:$J,Aut_BlueMe_Sem_Pedido!$Q:$Q,DRE!AO$4,Aut_BlueMe_Sem_Pedido!$H:$H,DRE!$A257)+SUMIFS(Aut_Ajustes_Manuais!$G:$G,Aut_Ajustes_Manuais!$I:$I,DRE!AO$4,Aut_Ajustes_Manuais!$F:$F,"Manutenção de Equipamentos")</f>
        <v>0</v>
      </c>
      <c r="AR257" s="241">
        <f t="shared" ca="1" si="241"/>
        <v>-3655.99</v>
      </c>
      <c r="AS257" s="27">
        <f t="shared" ca="1" si="242"/>
        <v>0</v>
      </c>
      <c r="AT257" s="28">
        <f t="shared" ca="1" si="243"/>
        <v>-3022</v>
      </c>
      <c r="AU257" s="241">
        <f t="shared" si="244"/>
        <v>-9035.119999999999</v>
      </c>
      <c r="AV257" s="27">
        <f t="shared" si="244"/>
        <v>0</v>
      </c>
      <c r="AW257" s="28">
        <f t="shared" si="244"/>
        <v>-3022</v>
      </c>
      <c r="AX257" s="241">
        <f t="shared" si="245"/>
        <v>0</v>
      </c>
      <c r="AY257" s="27">
        <f t="shared" si="245"/>
        <v>0</v>
      </c>
      <c r="AZ257" s="28">
        <f t="shared" si="245"/>
        <v>-185</v>
      </c>
      <c r="BA257" s="241">
        <f t="shared" si="246"/>
        <v>-3655.99</v>
      </c>
      <c r="BB257" s="27">
        <f t="shared" si="246"/>
        <v>0</v>
      </c>
      <c r="BC257" s="28">
        <f t="shared" si="246"/>
        <v>-2837</v>
      </c>
      <c r="BD257" s="241">
        <f t="shared" si="247"/>
        <v>-2624</v>
      </c>
      <c r="BE257" s="27">
        <f t="shared" si="247"/>
        <v>0</v>
      </c>
      <c r="BF257" s="28">
        <f t="shared" si="247"/>
        <v>0</v>
      </c>
      <c r="BG257" s="241">
        <f t="shared" si="248"/>
        <v>-2755.13</v>
      </c>
      <c r="BH257" s="27">
        <f t="shared" si="248"/>
        <v>0</v>
      </c>
      <c r="BI257" s="28">
        <f t="shared" si="248"/>
        <v>0</v>
      </c>
      <c r="BK257" s="448">
        <f t="shared" si="185"/>
        <v>0</v>
      </c>
      <c r="BL257" s="448">
        <f t="shared" si="186"/>
        <v>0</v>
      </c>
      <c r="BM257" s="448">
        <f t="shared" si="187"/>
        <v>-1805</v>
      </c>
      <c r="BN257" s="448">
        <f t="shared" ca="1" si="188"/>
        <v>1217</v>
      </c>
    </row>
    <row r="258" spans="1:66" s="29" customFormat="1" hidden="1" outlineLevel="1" x14ac:dyDescent="0.3">
      <c r="A258" s="22" t="s">
        <v>291</v>
      </c>
      <c r="B258" s="23"/>
      <c r="C258" s="24" t="s">
        <v>62</v>
      </c>
      <c r="D258" s="121"/>
      <c r="E258" s="114"/>
      <c r="F258" s="56"/>
      <c r="G258" s="33"/>
      <c r="H258" s="241">
        <v>0</v>
      </c>
      <c r="I258" s="27">
        <v>0</v>
      </c>
      <c r="J258" s="28">
        <f>SUMIFS(Aut_BlueMe_Sem_Pedido!$J:$J,Aut_BlueMe_Sem_Pedido!$Q:$Q,DRE!H$4,Aut_BlueMe_Sem_Pedido!$H:$H,DRE!$A258)+SUMIFS(Aut_Ajustes_Manuais!$G:$G,Aut_Ajustes_Manuais!$I:$I,DRE!H$4,Aut_Ajustes_Manuais!$F:$F,"Manutenção de Mobiliário")</f>
        <v>0</v>
      </c>
      <c r="K258" s="241">
        <v>0</v>
      </c>
      <c r="L258" s="27">
        <v>0</v>
      </c>
      <c r="M258" s="28">
        <f>SUMIFS(Aut_BlueMe_Sem_Pedido!$J:$J,Aut_BlueMe_Sem_Pedido!$Q:$Q,DRE!K$4,Aut_BlueMe_Sem_Pedido!$H:$H,DRE!$A258)+SUMIFS(Aut_Ajustes_Manuais!$G:$G,Aut_Ajustes_Manuais!$I:$I,DRE!K$4,Aut_Ajustes_Manuais!$F:$F,"Manutenção de Mobiliário")</f>
        <v>0</v>
      </c>
      <c r="N258" s="241">
        <v>0</v>
      </c>
      <c r="O258" s="27">
        <v>0</v>
      </c>
      <c r="P258" s="28">
        <f>SUMIFS(Aut_BlueMe_Sem_Pedido!$J:$J,Aut_BlueMe_Sem_Pedido!$Q:$Q,DRE!N$4,Aut_BlueMe_Sem_Pedido!$H:$H,DRE!$A258)+SUMIFS(Aut_Ajustes_Manuais!$G:$G,Aut_Ajustes_Manuais!$I:$I,DRE!N$4,Aut_Ajustes_Manuais!$F:$F,"Manutenção de Mobiliário")</f>
        <v>0</v>
      </c>
      <c r="Q258" s="241">
        <v>0</v>
      </c>
      <c r="R258" s="27">
        <v>0</v>
      </c>
      <c r="S258" s="28">
        <f>SUMIFS(Aut_BlueMe_Sem_Pedido!$J:$J,Aut_BlueMe_Sem_Pedido!$Q:$Q,DRE!Q$4,Aut_BlueMe_Sem_Pedido!$H:$H,DRE!$A258)+SUMIFS(Aut_Ajustes_Manuais!$G:$G,Aut_Ajustes_Manuais!$I:$I,DRE!Q$4,Aut_Ajustes_Manuais!$F:$F,"Manutenção de Mobiliário")</f>
        <v>-180</v>
      </c>
      <c r="T258" s="241">
        <v>0</v>
      </c>
      <c r="U258" s="27">
        <v>0</v>
      </c>
      <c r="V258" s="28">
        <f>SUMIFS(Aut_BlueMe_Sem_Pedido!$J:$J,Aut_BlueMe_Sem_Pedido!$Q:$Q,DRE!T$4,Aut_BlueMe_Sem_Pedido!$H:$H,DRE!$A258)+SUMIFS(Aut_Ajustes_Manuais!$G:$G,Aut_Ajustes_Manuais!$I:$I,DRE!T$4,Aut_Ajustes_Manuais!$F:$F,"Manutenção de Mobiliário")</f>
        <v>0</v>
      </c>
      <c r="W258" s="241">
        <v>0</v>
      </c>
      <c r="X258" s="27">
        <v>0</v>
      </c>
      <c r="Y258" s="28">
        <f>SUMIFS(Aut_BlueMe_Sem_Pedido!$J:$J,Aut_BlueMe_Sem_Pedido!$Q:$Q,DRE!W$4,Aut_BlueMe_Sem_Pedido!$H:$H,DRE!$A258)+SUMIFS(Aut_Ajustes_Manuais!$G:$G,Aut_Ajustes_Manuais!$I:$I,DRE!W$4,Aut_Ajustes_Manuais!$F:$F,"Manutenção de Mobiliário")</f>
        <v>0</v>
      </c>
      <c r="Z258" s="241">
        <v>0</v>
      </c>
      <c r="AA258" s="27">
        <v>0</v>
      </c>
      <c r="AB258" s="28">
        <f>SUMIFS(Aut_BlueMe_Sem_Pedido!$J:$J,Aut_BlueMe_Sem_Pedido!$Q:$Q,DRE!Z$4,Aut_BlueMe_Sem_Pedido!$H:$H,DRE!$A258)+SUMIFS(Aut_Ajustes_Manuais!$G:$G,Aut_Ajustes_Manuais!$I:$I,DRE!Z$4,Aut_Ajustes_Manuais!$F:$F,"Manutenção de Mobiliário")</f>
        <v>0</v>
      </c>
      <c r="AC258" s="241">
        <v>0</v>
      </c>
      <c r="AD258" s="27">
        <v>0</v>
      </c>
      <c r="AE258" s="28">
        <f>SUMIFS(Aut_BlueMe_Sem_Pedido!$J:$J,Aut_BlueMe_Sem_Pedido!$Q:$Q,DRE!AC$4,Aut_BlueMe_Sem_Pedido!$H:$H,DRE!$A258)+SUMIFS(Aut_Ajustes_Manuais!$G:$G,Aut_Ajustes_Manuais!$I:$I,DRE!AC$4,Aut_Ajustes_Manuais!$F:$F,"Manutenção de Mobiliário")</f>
        <v>0</v>
      </c>
      <c r="AF258" s="241">
        <v>0</v>
      </c>
      <c r="AG258" s="27">
        <v>0</v>
      </c>
      <c r="AH258" s="28">
        <f>SUMIFS(Aut_BlueMe_Sem_Pedido!$J:$J,Aut_BlueMe_Sem_Pedido!$Q:$Q,DRE!AF$4,Aut_BlueMe_Sem_Pedido!$H:$H,DRE!$A258)+SUMIFS(Aut_Ajustes_Manuais!$G:$G,Aut_Ajustes_Manuais!$I:$I,DRE!AF$4,Aut_Ajustes_Manuais!$F:$F,"Manutenção de Mobiliário")</f>
        <v>0</v>
      </c>
      <c r="AI258" s="241">
        <v>0</v>
      </c>
      <c r="AJ258" s="27">
        <v>0</v>
      </c>
      <c r="AK258" s="28">
        <f>SUMIFS(Aut_BlueMe_Sem_Pedido!$J:$J,Aut_BlueMe_Sem_Pedido!$Q:$Q,DRE!AI$4,Aut_BlueMe_Sem_Pedido!$H:$H,DRE!$A258)+SUMIFS(Aut_Ajustes_Manuais!$G:$G,Aut_Ajustes_Manuais!$I:$I,DRE!AI$4,Aut_Ajustes_Manuais!$F:$F,"Manutenção de Mobiliário")</f>
        <v>0</v>
      </c>
      <c r="AL258" s="241">
        <v>0</v>
      </c>
      <c r="AM258" s="27">
        <v>0</v>
      </c>
      <c r="AN258" s="28">
        <f>SUMIFS(Aut_BlueMe_Sem_Pedido!$J:$J,Aut_BlueMe_Sem_Pedido!$Q:$Q,DRE!AL$4,Aut_BlueMe_Sem_Pedido!$H:$H,DRE!$A258)+SUMIFS(Aut_Ajustes_Manuais!$G:$G,Aut_Ajustes_Manuais!$I:$I,DRE!AL$4,Aut_Ajustes_Manuais!$F:$F,"Manutenção de Mobiliário")</f>
        <v>0</v>
      </c>
      <c r="AO258" s="241">
        <v>0</v>
      </c>
      <c r="AP258" s="27">
        <v>0</v>
      </c>
      <c r="AQ258" s="28">
        <f>SUMIFS(Aut_BlueMe_Sem_Pedido!$J:$J,Aut_BlueMe_Sem_Pedido!$Q:$Q,DRE!AO$4,Aut_BlueMe_Sem_Pedido!$H:$H,DRE!$A258)+SUMIFS(Aut_Ajustes_Manuais!$G:$G,Aut_Ajustes_Manuais!$I:$I,DRE!AO$4,Aut_Ajustes_Manuais!$F:$F,"Manutenção de Mobiliário")</f>
        <v>0</v>
      </c>
      <c r="AR258" s="241">
        <f t="shared" ca="1" si="241"/>
        <v>0</v>
      </c>
      <c r="AS258" s="27">
        <f t="shared" ca="1" si="242"/>
        <v>0</v>
      </c>
      <c r="AT258" s="28">
        <f t="shared" ca="1" si="243"/>
        <v>-180</v>
      </c>
      <c r="AU258" s="241">
        <f t="shared" si="244"/>
        <v>0</v>
      </c>
      <c r="AV258" s="27">
        <f t="shared" si="244"/>
        <v>0</v>
      </c>
      <c r="AW258" s="28">
        <f t="shared" si="244"/>
        <v>-180</v>
      </c>
      <c r="AX258" s="241">
        <f t="shared" si="245"/>
        <v>0</v>
      </c>
      <c r="AY258" s="27">
        <f t="shared" si="245"/>
        <v>0</v>
      </c>
      <c r="AZ258" s="28">
        <f t="shared" si="245"/>
        <v>0</v>
      </c>
      <c r="BA258" s="241">
        <f t="shared" si="246"/>
        <v>0</v>
      </c>
      <c r="BB258" s="27">
        <f t="shared" si="246"/>
        <v>0</v>
      </c>
      <c r="BC258" s="28">
        <f t="shared" si="246"/>
        <v>-180</v>
      </c>
      <c r="BD258" s="241">
        <f t="shared" si="247"/>
        <v>0</v>
      </c>
      <c r="BE258" s="27">
        <f t="shared" si="247"/>
        <v>0</v>
      </c>
      <c r="BF258" s="28">
        <f t="shared" si="247"/>
        <v>0</v>
      </c>
      <c r="BG258" s="241">
        <f t="shared" si="248"/>
        <v>0</v>
      </c>
      <c r="BH258" s="27">
        <f t="shared" si="248"/>
        <v>0</v>
      </c>
      <c r="BI258" s="28">
        <f t="shared" si="248"/>
        <v>0</v>
      </c>
      <c r="BK258" s="448">
        <f t="shared" si="185"/>
        <v>0</v>
      </c>
      <c r="BL258" s="448">
        <f t="shared" si="186"/>
        <v>0</v>
      </c>
      <c r="BM258" s="448">
        <f t="shared" si="187"/>
        <v>-180</v>
      </c>
      <c r="BN258" s="448">
        <f t="shared" ca="1" si="188"/>
        <v>0</v>
      </c>
    </row>
    <row r="259" spans="1:66" s="29" customFormat="1" hidden="1" outlineLevel="1" x14ac:dyDescent="0.3">
      <c r="A259" s="22" t="s">
        <v>292</v>
      </c>
      <c r="B259" s="23"/>
      <c r="C259" s="24" t="s">
        <v>62</v>
      </c>
      <c r="D259" s="121"/>
      <c r="E259" s="114">
        <v>-1.5E-3</v>
      </c>
      <c r="F259" s="56"/>
      <c r="G259" s="33"/>
      <c r="H259" s="241">
        <v>-402.98</v>
      </c>
      <c r="I259" s="27">
        <v>0</v>
      </c>
      <c r="J259" s="28">
        <f>SUMIFS(Aut_BlueMe_Sem_Pedido!$J:$J,Aut_BlueMe_Sem_Pedido!$Q:$Q,DRE!H$4,Aut_BlueMe_Sem_Pedido!$H:$H,DRE!$A259)+SUMIFS(Aut_Ajustes_Manuais!$G:$G,Aut_Ajustes_Manuais!$I:$I,DRE!H$4,Aut_Ajustes_Manuais!$F:$F,"Material de Manutenção")</f>
        <v>-1149.8399999999999</v>
      </c>
      <c r="K259" s="241">
        <v>-37.43</v>
      </c>
      <c r="L259" s="27">
        <v>0</v>
      </c>
      <c r="M259" s="28">
        <f>SUMIFS(Aut_BlueMe_Sem_Pedido!$J:$J,Aut_BlueMe_Sem_Pedido!$Q:$Q,DRE!K$4,Aut_BlueMe_Sem_Pedido!$H:$H,DRE!$A259)+SUMIFS(Aut_Ajustes_Manuais!$G:$G,Aut_Ajustes_Manuais!$I:$I,DRE!K$4,Aut_Ajustes_Manuais!$F:$F,"Material de Manutenção")</f>
        <v>-533.29999999999995</v>
      </c>
      <c r="N259" s="241">
        <v>-405.1</v>
      </c>
      <c r="O259" s="27">
        <v>0</v>
      </c>
      <c r="P259" s="28">
        <f>SUMIFS(Aut_BlueMe_Sem_Pedido!$J:$J,Aut_BlueMe_Sem_Pedido!$Q:$Q,DRE!N$4,Aut_BlueMe_Sem_Pedido!$H:$H,DRE!$A259)+SUMIFS(Aut_Ajustes_Manuais!$G:$G,Aut_Ajustes_Manuais!$I:$I,DRE!N$4,Aut_Ajustes_Manuais!$F:$F,"Material de Manutenção")</f>
        <v>-255</v>
      </c>
      <c r="Q259" s="241">
        <v>-570</v>
      </c>
      <c r="R259" s="27">
        <v>0</v>
      </c>
      <c r="S259" s="28">
        <f>SUMIFS(Aut_BlueMe_Sem_Pedido!$J:$J,Aut_BlueMe_Sem_Pedido!$Q:$Q,DRE!Q$4,Aut_BlueMe_Sem_Pedido!$H:$H,DRE!$A259)+SUMIFS(Aut_Ajustes_Manuais!$G:$G,Aut_Ajustes_Manuais!$I:$I,DRE!Q$4,Aut_Ajustes_Manuais!$F:$F,"Material de Manutenção")</f>
        <v>-577.9</v>
      </c>
      <c r="T259" s="241">
        <v>-3488.62</v>
      </c>
      <c r="U259" s="27">
        <v>0</v>
      </c>
      <c r="V259" s="28">
        <f>SUMIFS(Aut_BlueMe_Sem_Pedido!$J:$J,Aut_BlueMe_Sem_Pedido!$Q:$Q,DRE!T$4,Aut_BlueMe_Sem_Pedido!$H:$H,DRE!$A259)+SUMIFS(Aut_Ajustes_Manuais!$G:$G,Aut_Ajustes_Manuais!$I:$I,DRE!T$4,Aut_Ajustes_Manuais!$F:$F,"Material de Manutenção")</f>
        <v>-504</v>
      </c>
      <c r="W259" s="241">
        <v>-160.66999999999999</v>
      </c>
      <c r="X259" s="27">
        <v>0</v>
      </c>
      <c r="Y259" s="28">
        <f>SUMIFS(Aut_BlueMe_Sem_Pedido!$J:$J,Aut_BlueMe_Sem_Pedido!$Q:$Q,DRE!W$4,Aut_BlueMe_Sem_Pedido!$H:$H,DRE!$A259)+SUMIFS(Aut_Ajustes_Manuais!$G:$G,Aut_Ajustes_Manuais!$I:$I,DRE!W$4,Aut_Ajustes_Manuais!$F:$F,"Material de Manutenção")</f>
        <v>-488.6</v>
      </c>
      <c r="Z259" s="241">
        <v>-1153.03</v>
      </c>
      <c r="AA259" s="27">
        <v>0</v>
      </c>
      <c r="AB259" s="28">
        <f>SUMIFS(Aut_BlueMe_Sem_Pedido!$J:$J,Aut_BlueMe_Sem_Pedido!$Q:$Q,DRE!Z$4,Aut_BlueMe_Sem_Pedido!$H:$H,DRE!$A259)+SUMIFS(Aut_Ajustes_Manuais!$G:$G,Aut_Ajustes_Manuais!$I:$I,DRE!Z$4,Aut_Ajustes_Manuais!$F:$F,"Material de Manutenção")</f>
        <v>0</v>
      </c>
      <c r="AC259" s="241">
        <v>-427.6</v>
      </c>
      <c r="AD259" s="27">
        <v>0</v>
      </c>
      <c r="AE259" s="28">
        <f>SUMIFS(Aut_BlueMe_Sem_Pedido!$J:$J,Aut_BlueMe_Sem_Pedido!$Q:$Q,DRE!AC$4,Aut_BlueMe_Sem_Pedido!$H:$H,DRE!$A259)+SUMIFS(Aut_Ajustes_Manuais!$G:$G,Aut_Ajustes_Manuais!$I:$I,DRE!AC$4,Aut_Ajustes_Manuais!$F:$F,"Material de Manutenção")</f>
        <v>0</v>
      </c>
      <c r="AF259" s="241">
        <v>-850.1</v>
      </c>
      <c r="AG259" s="27">
        <v>0</v>
      </c>
      <c r="AH259" s="28">
        <f>SUMIFS(Aut_BlueMe_Sem_Pedido!$J:$J,Aut_BlueMe_Sem_Pedido!$Q:$Q,DRE!AF$4,Aut_BlueMe_Sem_Pedido!$H:$H,DRE!$A259)+SUMIFS(Aut_Ajustes_Manuais!$G:$G,Aut_Ajustes_Manuais!$I:$I,DRE!AF$4,Aut_Ajustes_Manuais!$F:$F,"Material de Manutenção")</f>
        <v>0</v>
      </c>
      <c r="AI259" s="241">
        <v>-641.04</v>
      </c>
      <c r="AJ259" s="27">
        <v>0</v>
      </c>
      <c r="AK259" s="28">
        <f>SUMIFS(Aut_BlueMe_Sem_Pedido!$J:$J,Aut_BlueMe_Sem_Pedido!$Q:$Q,DRE!AI$4,Aut_BlueMe_Sem_Pedido!$H:$H,DRE!$A259)+SUMIFS(Aut_Ajustes_Manuais!$G:$G,Aut_Ajustes_Manuais!$I:$I,DRE!AI$4,Aut_Ajustes_Manuais!$F:$F,"Material de Manutenção")</f>
        <v>0</v>
      </c>
      <c r="AL259" s="241">
        <v>-377.6</v>
      </c>
      <c r="AM259" s="27">
        <v>0</v>
      </c>
      <c r="AN259" s="28">
        <f>SUMIFS(Aut_BlueMe_Sem_Pedido!$J:$J,Aut_BlueMe_Sem_Pedido!$Q:$Q,DRE!AL$4,Aut_BlueMe_Sem_Pedido!$H:$H,DRE!$A259)+SUMIFS(Aut_Ajustes_Manuais!$G:$G,Aut_Ajustes_Manuais!$I:$I,DRE!AL$4,Aut_Ajustes_Manuais!$F:$F,"Material de Manutenção")</f>
        <v>0</v>
      </c>
      <c r="AO259" s="241">
        <v>-4522.97</v>
      </c>
      <c r="AP259" s="27">
        <v>0</v>
      </c>
      <c r="AQ259" s="28">
        <f>SUMIFS(Aut_BlueMe_Sem_Pedido!$J:$J,Aut_BlueMe_Sem_Pedido!$Q:$Q,DRE!AO$4,Aut_BlueMe_Sem_Pedido!$H:$H,DRE!$A259)+SUMIFS(Aut_Ajustes_Manuais!$G:$G,Aut_Ajustes_Manuais!$I:$I,DRE!AO$4,Aut_Ajustes_Manuais!$F:$F,"Material de Manutenção")</f>
        <v>0</v>
      </c>
      <c r="AR259" s="241">
        <f t="shared" ca="1" si="241"/>
        <v>-5064.8</v>
      </c>
      <c r="AS259" s="27">
        <f t="shared" ca="1" si="242"/>
        <v>0</v>
      </c>
      <c r="AT259" s="28">
        <f t="shared" ca="1" si="243"/>
        <v>-3508.64</v>
      </c>
      <c r="AU259" s="241">
        <f t="shared" si="244"/>
        <v>-13037.14</v>
      </c>
      <c r="AV259" s="27">
        <f t="shared" si="244"/>
        <v>0</v>
      </c>
      <c r="AW259" s="28">
        <f t="shared" si="244"/>
        <v>-3508.64</v>
      </c>
      <c r="AX259" s="241">
        <f t="shared" si="245"/>
        <v>-845.51</v>
      </c>
      <c r="AY259" s="27">
        <f t="shared" si="245"/>
        <v>0</v>
      </c>
      <c r="AZ259" s="28">
        <f t="shared" si="245"/>
        <v>-1938.1399999999999</v>
      </c>
      <c r="BA259" s="241">
        <f t="shared" si="246"/>
        <v>-4219.29</v>
      </c>
      <c r="BB259" s="27">
        <f t="shared" si="246"/>
        <v>0</v>
      </c>
      <c r="BC259" s="28">
        <f t="shared" si="246"/>
        <v>-1570.5</v>
      </c>
      <c r="BD259" s="241">
        <f t="shared" si="247"/>
        <v>-2430.73</v>
      </c>
      <c r="BE259" s="27">
        <f t="shared" si="247"/>
        <v>0</v>
      </c>
      <c r="BF259" s="28">
        <f t="shared" si="247"/>
        <v>0</v>
      </c>
      <c r="BG259" s="241">
        <f t="shared" si="248"/>
        <v>-5541.6100000000006</v>
      </c>
      <c r="BH259" s="27">
        <f t="shared" si="248"/>
        <v>0</v>
      </c>
      <c r="BI259" s="28">
        <f t="shared" si="248"/>
        <v>0</v>
      </c>
      <c r="BK259" s="448">
        <f t="shared" si="185"/>
        <v>0</v>
      </c>
      <c r="BL259" s="448">
        <f t="shared" si="186"/>
        <v>0</v>
      </c>
      <c r="BM259" s="448">
        <f t="shared" si="187"/>
        <v>-3020.04</v>
      </c>
      <c r="BN259" s="448">
        <f t="shared" ca="1" si="188"/>
        <v>488.59999999999991</v>
      </c>
    </row>
    <row r="260" spans="1:66" s="29" customFormat="1" hidden="1" outlineLevel="1" x14ac:dyDescent="0.3">
      <c r="A260" s="22" t="s">
        <v>293</v>
      </c>
      <c r="B260" s="23"/>
      <c r="C260" s="24" t="s">
        <v>62</v>
      </c>
      <c r="D260" s="121"/>
      <c r="E260" s="114">
        <v>-2.7000000000000001E-3</v>
      </c>
      <c r="F260" s="56"/>
      <c r="G260" s="33"/>
      <c r="H260" s="241">
        <v>0</v>
      </c>
      <c r="I260" s="27">
        <v>0</v>
      </c>
      <c r="J260" s="28">
        <f>SUMIFS(Aut_BlueMe_Sem_Pedido!$J:$J,Aut_BlueMe_Sem_Pedido!$Q:$Q,DRE!H$4,Aut_BlueMe_Sem_Pedido!$H:$H,DRE!$A260)+SUMIFS(Aut_Ajustes_Manuais!$G:$G,Aut_Ajustes_Manuais!$I:$I,DRE!H$4,Aut_Ajustes_Manuais!$F:$F,"Decoração/Paisagismo e Jardinagem")</f>
        <v>0</v>
      </c>
      <c r="K260" s="241">
        <v>0</v>
      </c>
      <c r="L260" s="27">
        <v>0</v>
      </c>
      <c r="M260" s="28">
        <f>SUMIFS(Aut_BlueMe_Sem_Pedido!$J:$J,Aut_BlueMe_Sem_Pedido!$Q:$Q,DRE!K$4,Aut_BlueMe_Sem_Pedido!$H:$H,DRE!$A260)+SUMIFS(Aut_Ajustes_Manuais!$G:$G,Aut_Ajustes_Manuais!$I:$I,DRE!K$4,Aut_Ajustes_Manuais!$F:$F,"Decoração/Paisagismo e Jardinagem")</f>
        <v>0</v>
      </c>
      <c r="N260" s="241">
        <v>0</v>
      </c>
      <c r="O260" s="27">
        <v>0</v>
      </c>
      <c r="P260" s="28">
        <f>SUMIFS(Aut_BlueMe_Sem_Pedido!$J:$J,Aut_BlueMe_Sem_Pedido!$Q:$Q,DRE!N$4,Aut_BlueMe_Sem_Pedido!$H:$H,DRE!$A260)+SUMIFS(Aut_Ajustes_Manuais!$G:$G,Aut_Ajustes_Manuais!$I:$I,DRE!N$4,Aut_Ajustes_Manuais!$F:$F,"Decoração/Paisagismo e Jardinagem")</f>
        <v>0</v>
      </c>
      <c r="Q260" s="241">
        <v>0</v>
      </c>
      <c r="R260" s="27">
        <v>0</v>
      </c>
      <c r="S260" s="28">
        <f>SUMIFS(Aut_BlueMe_Sem_Pedido!$J:$J,Aut_BlueMe_Sem_Pedido!$Q:$Q,DRE!Q$4,Aut_BlueMe_Sem_Pedido!$H:$H,DRE!$A260)+SUMIFS(Aut_Ajustes_Manuais!$G:$G,Aut_Ajustes_Manuais!$I:$I,DRE!Q$4,Aut_Ajustes_Manuais!$F:$F,"Decoração/Paisagismo e Jardinagem")</f>
        <v>0</v>
      </c>
      <c r="T260" s="241">
        <v>0</v>
      </c>
      <c r="U260" s="27">
        <v>0</v>
      </c>
      <c r="V260" s="28">
        <f>SUMIFS(Aut_BlueMe_Sem_Pedido!$J:$J,Aut_BlueMe_Sem_Pedido!$Q:$Q,DRE!T$4,Aut_BlueMe_Sem_Pedido!$H:$H,DRE!$A260)+SUMIFS(Aut_Ajustes_Manuais!$G:$G,Aut_Ajustes_Manuais!$I:$I,DRE!T$4,Aut_Ajustes_Manuais!$F:$F,"Decoração/Paisagismo e Jardinagem")</f>
        <v>0</v>
      </c>
      <c r="W260" s="241">
        <v>0</v>
      </c>
      <c r="X260" s="27">
        <v>0</v>
      </c>
      <c r="Y260" s="28">
        <f>SUMIFS(Aut_BlueMe_Sem_Pedido!$J:$J,Aut_BlueMe_Sem_Pedido!$Q:$Q,DRE!W$4,Aut_BlueMe_Sem_Pedido!$H:$H,DRE!$A260)+SUMIFS(Aut_Ajustes_Manuais!$G:$G,Aut_Ajustes_Manuais!$I:$I,DRE!W$4,Aut_Ajustes_Manuais!$F:$F,"Decoração/Paisagismo e Jardinagem")</f>
        <v>0</v>
      </c>
      <c r="Z260" s="241">
        <v>0</v>
      </c>
      <c r="AA260" s="27">
        <v>0</v>
      </c>
      <c r="AB260" s="28">
        <f>SUMIFS(Aut_BlueMe_Sem_Pedido!$J:$J,Aut_BlueMe_Sem_Pedido!$Q:$Q,DRE!Z$4,Aut_BlueMe_Sem_Pedido!$H:$H,DRE!$A260)+SUMIFS(Aut_Ajustes_Manuais!$G:$G,Aut_Ajustes_Manuais!$I:$I,DRE!Z$4,Aut_Ajustes_Manuais!$F:$F,"Decoração/Paisagismo e Jardinagem")</f>
        <v>-360</v>
      </c>
      <c r="AC260" s="241">
        <v>0</v>
      </c>
      <c r="AD260" s="27">
        <v>0</v>
      </c>
      <c r="AE260" s="28">
        <f>SUMIFS(Aut_BlueMe_Sem_Pedido!$J:$J,Aut_BlueMe_Sem_Pedido!$Q:$Q,DRE!AC$4,Aut_BlueMe_Sem_Pedido!$H:$H,DRE!$A260)+SUMIFS(Aut_Ajustes_Manuais!$G:$G,Aut_Ajustes_Manuais!$I:$I,DRE!AC$4,Aut_Ajustes_Manuais!$F:$F,"Decoração/Paisagismo e Jardinagem")</f>
        <v>0</v>
      </c>
      <c r="AF260" s="241">
        <v>0</v>
      </c>
      <c r="AG260" s="27">
        <v>0</v>
      </c>
      <c r="AH260" s="28">
        <f>SUMIFS(Aut_BlueMe_Sem_Pedido!$J:$J,Aut_BlueMe_Sem_Pedido!$Q:$Q,DRE!AF$4,Aut_BlueMe_Sem_Pedido!$H:$H,DRE!$A260)+SUMIFS(Aut_Ajustes_Manuais!$G:$G,Aut_Ajustes_Manuais!$I:$I,DRE!AF$4,Aut_Ajustes_Manuais!$F:$F,"Decoração/Paisagismo e Jardinagem")</f>
        <v>0</v>
      </c>
      <c r="AI260" s="241">
        <v>0</v>
      </c>
      <c r="AJ260" s="27">
        <v>0</v>
      </c>
      <c r="AK260" s="28">
        <f>SUMIFS(Aut_BlueMe_Sem_Pedido!$J:$J,Aut_BlueMe_Sem_Pedido!$Q:$Q,DRE!AI$4,Aut_BlueMe_Sem_Pedido!$H:$H,DRE!$A260)+SUMIFS(Aut_Ajustes_Manuais!$G:$G,Aut_Ajustes_Manuais!$I:$I,DRE!AI$4,Aut_Ajustes_Manuais!$F:$F,"Decoração/Paisagismo e Jardinagem")</f>
        <v>0</v>
      </c>
      <c r="AL260" s="241">
        <v>0</v>
      </c>
      <c r="AM260" s="27">
        <v>0</v>
      </c>
      <c r="AN260" s="28">
        <f>SUMIFS(Aut_BlueMe_Sem_Pedido!$J:$J,Aut_BlueMe_Sem_Pedido!$Q:$Q,DRE!AL$4,Aut_BlueMe_Sem_Pedido!$H:$H,DRE!$A260)+SUMIFS(Aut_Ajustes_Manuais!$G:$G,Aut_Ajustes_Manuais!$I:$I,DRE!AL$4,Aut_Ajustes_Manuais!$F:$F,"Decoração/Paisagismo e Jardinagem")</f>
        <v>0</v>
      </c>
      <c r="AO260" s="241">
        <v>0</v>
      </c>
      <c r="AP260" s="27">
        <v>0</v>
      </c>
      <c r="AQ260" s="28">
        <f>SUMIFS(Aut_BlueMe_Sem_Pedido!$J:$J,Aut_BlueMe_Sem_Pedido!$Q:$Q,DRE!AO$4,Aut_BlueMe_Sem_Pedido!$H:$H,DRE!$A260)+SUMIFS(Aut_Ajustes_Manuais!$G:$G,Aut_Ajustes_Manuais!$I:$I,DRE!AO$4,Aut_Ajustes_Manuais!$F:$F,"Decoração/Paisagismo e Jardinagem")</f>
        <v>0</v>
      </c>
      <c r="AR260" s="241">
        <f t="shared" ca="1" si="241"/>
        <v>0</v>
      </c>
      <c r="AS260" s="27">
        <f t="shared" ca="1" si="242"/>
        <v>0</v>
      </c>
      <c r="AT260" s="28">
        <f t="shared" ca="1" si="243"/>
        <v>0</v>
      </c>
      <c r="AU260" s="241">
        <f t="shared" si="244"/>
        <v>0</v>
      </c>
      <c r="AV260" s="27">
        <f t="shared" si="244"/>
        <v>0</v>
      </c>
      <c r="AW260" s="28">
        <f t="shared" si="244"/>
        <v>-360</v>
      </c>
      <c r="AX260" s="241">
        <f t="shared" si="245"/>
        <v>0</v>
      </c>
      <c r="AY260" s="27">
        <f t="shared" si="245"/>
        <v>0</v>
      </c>
      <c r="AZ260" s="28">
        <f t="shared" si="245"/>
        <v>0</v>
      </c>
      <c r="BA260" s="241">
        <f t="shared" si="246"/>
        <v>0</v>
      </c>
      <c r="BB260" s="27">
        <f t="shared" si="246"/>
        <v>0</v>
      </c>
      <c r="BC260" s="28">
        <f t="shared" si="246"/>
        <v>0</v>
      </c>
      <c r="BD260" s="241">
        <f t="shared" si="247"/>
        <v>0</v>
      </c>
      <c r="BE260" s="27">
        <f t="shared" si="247"/>
        <v>0</v>
      </c>
      <c r="BF260" s="28">
        <f t="shared" si="247"/>
        <v>-360</v>
      </c>
      <c r="BG260" s="241">
        <f t="shared" si="248"/>
        <v>0</v>
      </c>
      <c r="BH260" s="27">
        <f t="shared" si="248"/>
        <v>0</v>
      </c>
      <c r="BI260" s="28">
        <f t="shared" si="248"/>
        <v>0</v>
      </c>
      <c r="BK260" s="448">
        <f t="shared" si="185"/>
        <v>0</v>
      </c>
      <c r="BL260" s="448">
        <f t="shared" si="186"/>
        <v>0</v>
      </c>
      <c r="BM260" s="448">
        <f t="shared" si="187"/>
        <v>0</v>
      </c>
      <c r="BN260" s="448">
        <f t="shared" ca="1" si="188"/>
        <v>0</v>
      </c>
    </row>
    <row r="261" spans="1:66" s="29" customFormat="1" hidden="1" outlineLevel="1" x14ac:dyDescent="0.3">
      <c r="A261" s="22" t="s">
        <v>294</v>
      </c>
      <c r="B261" s="23"/>
      <c r="C261" s="24" t="s">
        <v>62</v>
      </c>
      <c r="D261" s="121"/>
      <c r="E261" s="114">
        <v>-2.0000000000000001E-4</v>
      </c>
      <c r="F261" s="56"/>
      <c r="G261" s="33"/>
      <c r="H261" s="241">
        <v>0</v>
      </c>
      <c r="I261" s="27">
        <v>0</v>
      </c>
      <c r="J261" s="28">
        <f>SUMIFS(Aut_BlueMe_Sem_Pedido!$J:$J,Aut_BlueMe_Sem_Pedido!$Q:$Q,DRE!H$4,Aut_BlueMe_Sem_Pedido!$H:$H,DRE!$A261)+SUMIFS(Aut_Ajustes_Manuais!$G:$G,Aut_Ajustes_Manuais!$I:$I,DRE!H$4,Aut_Ajustes_Manuais!$F:$F,"Fretes e Carretos")</f>
        <v>-188.74</v>
      </c>
      <c r="K261" s="241">
        <v>-167.7</v>
      </c>
      <c r="L261" s="27">
        <v>0</v>
      </c>
      <c r="M261" s="28">
        <f>SUMIFS(Aut_BlueMe_Sem_Pedido!$J:$J,Aut_BlueMe_Sem_Pedido!$Q:$Q,DRE!K$4,Aut_BlueMe_Sem_Pedido!$H:$H,DRE!$A261)+SUMIFS(Aut_Ajustes_Manuais!$G:$G,Aut_Ajustes_Manuais!$I:$I,DRE!K$4,Aut_Ajustes_Manuais!$F:$F,"Fretes e Carretos")</f>
        <v>0</v>
      </c>
      <c r="N261" s="241">
        <v>0</v>
      </c>
      <c r="O261" s="27">
        <v>0</v>
      </c>
      <c r="P261" s="28">
        <f>SUMIFS(Aut_BlueMe_Sem_Pedido!$J:$J,Aut_BlueMe_Sem_Pedido!$Q:$Q,DRE!N$4,Aut_BlueMe_Sem_Pedido!$H:$H,DRE!$A261)+SUMIFS(Aut_Ajustes_Manuais!$G:$G,Aut_Ajustes_Manuais!$I:$I,DRE!N$4,Aut_Ajustes_Manuais!$F:$F,"Fretes e Carretos")</f>
        <v>0</v>
      </c>
      <c r="Q261" s="241">
        <v>0</v>
      </c>
      <c r="R261" s="27">
        <v>0</v>
      </c>
      <c r="S261" s="28">
        <f>SUMIFS(Aut_BlueMe_Sem_Pedido!$J:$J,Aut_BlueMe_Sem_Pedido!$Q:$Q,DRE!Q$4,Aut_BlueMe_Sem_Pedido!$H:$H,DRE!$A261)+SUMIFS(Aut_Ajustes_Manuais!$G:$G,Aut_Ajustes_Manuais!$I:$I,DRE!Q$4,Aut_Ajustes_Manuais!$F:$F,"Fretes e Carretos")</f>
        <v>0</v>
      </c>
      <c r="T261" s="241">
        <v>-118.25</v>
      </c>
      <c r="U261" s="27">
        <v>0</v>
      </c>
      <c r="V261" s="28">
        <f>SUMIFS(Aut_BlueMe_Sem_Pedido!$J:$J,Aut_BlueMe_Sem_Pedido!$Q:$Q,DRE!T$4,Aut_BlueMe_Sem_Pedido!$H:$H,DRE!$A261)+SUMIFS(Aut_Ajustes_Manuais!$G:$G,Aut_Ajustes_Manuais!$I:$I,DRE!T$4,Aut_Ajustes_Manuais!$F:$F,"Fretes e Carretos")</f>
        <v>0</v>
      </c>
      <c r="W261" s="241">
        <v>-165.37</v>
      </c>
      <c r="X261" s="27">
        <v>0</v>
      </c>
      <c r="Y261" s="28">
        <f>SUMIFS(Aut_BlueMe_Sem_Pedido!$J:$J,Aut_BlueMe_Sem_Pedido!$Q:$Q,DRE!W$4,Aut_BlueMe_Sem_Pedido!$H:$H,DRE!$A261)+SUMIFS(Aut_Ajustes_Manuais!$G:$G,Aut_Ajustes_Manuais!$I:$I,DRE!W$4,Aut_Ajustes_Manuais!$F:$F,"Fretes e Carretos")</f>
        <v>-332.97</v>
      </c>
      <c r="Z261" s="241">
        <v>-273.91000000000003</v>
      </c>
      <c r="AA261" s="27">
        <v>0</v>
      </c>
      <c r="AB261" s="28">
        <f>SUMIFS(Aut_BlueMe_Sem_Pedido!$J:$J,Aut_BlueMe_Sem_Pedido!$Q:$Q,DRE!Z$4,Aut_BlueMe_Sem_Pedido!$H:$H,DRE!$A261)+SUMIFS(Aut_Ajustes_Manuais!$G:$G,Aut_Ajustes_Manuais!$I:$I,DRE!Z$4,Aut_Ajustes_Manuais!$F:$F,"Fretes e Carretos")</f>
        <v>0</v>
      </c>
      <c r="AC261" s="241">
        <v>-417.73</v>
      </c>
      <c r="AD261" s="27">
        <v>0</v>
      </c>
      <c r="AE261" s="28">
        <f>SUMIFS(Aut_BlueMe_Sem_Pedido!$J:$J,Aut_BlueMe_Sem_Pedido!$Q:$Q,DRE!AC$4,Aut_BlueMe_Sem_Pedido!$H:$H,DRE!$A261)+SUMIFS(Aut_Ajustes_Manuais!$G:$G,Aut_Ajustes_Manuais!$I:$I,DRE!AC$4,Aut_Ajustes_Manuais!$F:$F,"Fretes e Carretos")</f>
        <v>0</v>
      </c>
      <c r="AF261" s="241">
        <v>-273.91000000000003</v>
      </c>
      <c r="AG261" s="27">
        <v>0</v>
      </c>
      <c r="AH261" s="28">
        <f>SUMIFS(Aut_BlueMe_Sem_Pedido!$J:$J,Aut_BlueMe_Sem_Pedido!$Q:$Q,DRE!AF$4,Aut_BlueMe_Sem_Pedido!$H:$H,DRE!$A261)+SUMIFS(Aut_Ajustes_Manuais!$G:$G,Aut_Ajustes_Manuais!$I:$I,DRE!AF$4,Aut_Ajustes_Manuais!$F:$F,"Fretes e Carretos")</f>
        <v>0</v>
      </c>
      <c r="AI261" s="241">
        <v>-273.91000000000003</v>
      </c>
      <c r="AJ261" s="27">
        <v>0</v>
      </c>
      <c r="AK261" s="28">
        <f>SUMIFS(Aut_BlueMe_Sem_Pedido!$J:$J,Aut_BlueMe_Sem_Pedido!$Q:$Q,DRE!AI$4,Aut_BlueMe_Sem_Pedido!$H:$H,DRE!$A261)+SUMIFS(Aut_Ajustes_Manuais!$G:$G,Aut_Ajustes_Manuais!$I:$I,DRE!AI$4,Aut_Ajustes_Manuais!$F:$F,"Fretes e Carretos")</f>
        <v>0</v>
      </c>
      <c r="AL261" s="241">
        <v>-289.99</v>
      </c>
      <c r="AM261" s="27">
        <v>0</v>
      </c>
      <c r="AN261" s="28">
        <f>SUMIFS(Aut_BlueMe_Sem_Pedido!$J:$J,Aut_BlueMe_Sem_Pedido!$Q:$Q,DRE!AL$4,Aut_BlueMe_Sem_Pedido!$H:$H,DRE!$A261)+SUMIFS(Aut_Ajustes_Manuais!$G:$G,Aut_Ajustes_Manuais!$I:$I,DRE!AL$4,Aut_Ajustes_Manuais!$F:$F,"Fretes e Carretos")</f>
        <v>0</v>
      </c>
      <c r="AO261" s="241">
        <v>0</v>
      </c>
      <c r="AP261" s="27">
        <v>0</v>
      </c>
      <c r="AQ261" s="28">
        <f>SUMIFS(Aut_BlueMe_Sem_Pedido!$J:$J,Aut_BlueMe_Sem_Pedido!$Q:$Q,DRE!AO$4,Aut_BlueMe_Sem_Pedido!$H:$H,DRE!$A261)+SUMIFS(Aut_Ajustes_Manuais!$G:$G,Aut_Ajustes_Manuais!$I:$I,DRE!AO$4,Aut_Ajustes_Manuais!$F:$F,"Fretes e Carretos")</f>
        <v>0</v>
      </c>
      <c r="AR261" s="241">
        <f t="shared" ca="1" si="241"/>
        <v>-451.32</v>
      </c>
      <c r="AS261" s="27">
        <f t="shared" ca="1" si="242"/>
        <v>0</v>
      </c>
      <c r="AT261" s="28">
        <f t="shared" ca="1" si="243"/>
        <v>-521.71</v>
      </c>
      <c r="AU261" s="241">
        <f t="shared" si="244"/>
        <v>-1980.7700000000002</v>
      </c>
      <c r="AV261" s="27">
        <f t="shared" si="244"/>
        <v>0</v>
      </c>
      <c r="AW261" s="28">
        <f t="shared" si="244"/>
        <v>-521.71</v>
      </c>
      <c r="AX261" s="241">
        <f t="shared" si="245"/>
        <v>-167.7</v>
      </c>
      <c r="AY261" s="27">
        <f t="shared" si="245"/>
        <v>0</v>
      </c>
      <c r="AZ261" s="28">
        <f t="shared" si="245"/>
        <v>-188.74</v>
      </c>
      <c r="BA261" s="241">
        <f t="shared" si="246"/>
        <v>-283.62</v>
      </c>
      <c r="BB261" s="27">
        <f t="shared" si="246"/>
        <v>0</v>
      </c>
      <c r="BC261" s="28">
        <f t="shared" si="246"/>
        <v>-332.97</v>
      </c>
      <c r="BD261" s="241">
        <f t="shared" si="247"/>
        <v>-965.55000000000018</v>
      </c>
      <c r="BE261" s="27">
        <f t="shared" si="247"/>
        <v>0</v>
      </c>
      <c r="BF261" s="28">
        <f t="shared" si="247"/>
        <v>0</v>
      </c>
      <c r="BG261" s="241">
        <f t="shared" si="248"/>
        <v>-563.90000000000009</v>
      </c>
      <c r="BH261" s="27">
        <f t="shared" si="248"/>
        <v>0</v>
      </c>
      <c r="BI261" s="28">
        <f t="shared" si="248"/>
        <v>0</v>
      </c>
      <c r="BK261" s="448">
        <f t="shared" si="185"/>
        <v>0</v>
      </c>
      <c r="BL261" s="448">
        <f t="shared" si="186"/>
        <v>0</v>
      </c>
      <c r="BM261" s="448">
        <f t="shared" si="187"/>
        <v>-188.74</v>
      </c>
      <c r="BN261" s="448">
        <f t="shared" ca="1" si="188"/>
        <v>332.97</v>
      </c>
    </row>
    <row r="262" spans="1:66" s="29" customFormat="1" hidden="1" outlineLevel="1" x14ac:dyDescent="0.3">
      <c r="A262" s="22" t="s">
        <v>295</v>
      </c>
      <c r="B262" s="23"/>
      <c r="C262" s="24"/>
      <c r="D262" s="121">
        <v>-300</v>
      </c>
      <c r="E262" s="114"/>
      <c r="F262" s="56"/>
      <c r="G262" s="33"/>
      <c r="H262" s="241">
        <v>-64</v>
      </c>
      <c r="I262" s="27">
        <v>0</v>
      </c>
      <c r="J262" s="28">
        <f>SUMIFS(Aut_BlueMe_Sem_Pedido!$J:$J,Aut_BlueMe_Sem_Pedido!$Q:$Q,DRE!H$4,Aut_BlueMe_Sem_Pedido!$H:$H,DRE!$A262)+SUMIFS(Aut_Ajustes_Manuais!$G:$G,Aut_Ajustes_Manuais!$I:$I,DRE!H$4,Aut_Ajustes_Manuais!$F:$F,"Conduções/Taxi/Uber")</f>
        <v>0</v>
      </c>
      <c r="K262" s="241">
        <v>-58.8</v>
      </c>
      <c r="L262" s="27">
        <v>0</v>
      </c>
      <c r="M262" s="28">
        <f>SUMIFS(Aut_BlueMe_Sem_Pedido!$J:$J,Aut_BlueMe_Sem_Pedido!$Q:$Q,DRE!K$4,Aut_BlueMe_Sem_Pedido!$H:$H,DRE!$A262)+SUMIFS(Aut_Ajustes_Manuais!$G:$G,Aut_Ajustes_Manuais!$I:$I,DRE!K$4,Aut_Ajustes_Manuais!$F:$F,"Conduções/Taxi/Uber")</f>
        <v>0</v>
      </c>
      <c r="N262" s="241">
        <v>0</v>
      </c>
      <c r="O262" s="27">
        <v>0</v>
      </c>
      <c r="P262" s="28">
        <f>SUMIFS(Aut_BlueMe_Sem_Pedido!$J:$J,Aut_BlueMe_Sem_Pedido!$Q:$Q,DRE!N$4,Aut_BlueMe_Sem_Pedido!$H:$H,DRE!$A262)+SUMIFS(Aut_Ajustes_Manuais!$G:$G,Aut_Ajustes_Manuais!$I:$I,DRE!N$4,Aut_Ajustes_Manuais!$F:$F,"Conduções/Taxi/Uber")</f>
        <v>0</v>
      </c>
      <c r="Q262" s="241">
        <v>-20</v>
      </c>
      <c r="R262" s="27">
        <v>0</v>
      </c>
      <c r="S262" s="28">
        <f>SUMIFS(Aut_BlueMe_Sem_Pedido!$J:$J,Aut_BlueMe_Sem_Pedido!$Q:$Q,DRE!Q$4,Aut_BlueMe_Sem_Pedido!$H:$H,DRE!$A262)+SUMIFS(Aut_Ajustes_Manuais!$G:$G,Aut_Ajustes_Manuais!$I:$I,DRE!Q$4,Aut_Ajustes_Manuais!$F:$F,"Conduções/Taxi/Uber")</f>
        <v>0</v>
      </c>
      <c r="T262" s="241">
        <v>0</v>
      </c>
      <c r="U262" s="27">
        <v>0</v>
      </c>
      <c r="V262" s="28">
        <f>SUMIFS(Aut_BlueMe_Sem_Pedido!$J:$J,Aut_BlueMe_Sem_Pedido!$Q:$Q,DRE!T$4,Aut_BlueMe_Sem_Pedido!$H:$H,DRE!$A262)+SUMIFS(Aut_Ajustes_Manuais!$G:$G,Aut_Ajustes_Manuais!$I:$I,DRE!T$4,Aut_Ajustes_Manuais!$F:$F,"Conduções/Taxi/Uber")</f>
        <v>0</v>
      </c>
      <c r="W262" s="241">
        <v>0</v>
      </c>
      <c r="X262" s="27">
        <v>0</v>
      </c>
      <c r="Y262" s="28">
        <f>SUMIFS(Aut_BlueMe_Sem_Pedido!$J:$J,Aut_BlueMe_Sem_Pedido!$Q:$Q,DRE!W$4,Aut_BlueMe_Sem_Pedido!$H:$H,DRE!$A262)+SUMIFS(Aut_Ajustes_Manuais!$G:$G,Aut_Ajustes_Manuais!$I:$I,DRE!W$4,Aut_Ajustes_Manuais!$F:$F,"Conduções/Taxi/Uber")</f>
        <v>0</v>
      </c>
      <c r="Z262" s="241">
        <v>0</v>
      </c>
      <c r="AA262" s="27">
        <v>0</v>
      </c>
      <c r="AB262" s="28">
        <f>SUMIFS(Aut_BlueMe_Sem_Pedido!$J:$J,Aut_BlueMe_Sem_Pedido!$Q:$Q,DRE!Z$4,Aut_BlueMe_Sem_Pedido!$H:$H,DRE!$A262)+SUMIFS(Aut_Ajustes_Manuais!$G:$G,Aut_Ajustes_Manuais!$I:$I,DRE!Z$4,Aut_Ajustes_Manuais!$F:$F,"Conduções/Taxi/Uber")</f>
        <v>0</v>
      </c>
      <c r="AC262" s="241">
        <v>0</v>
      </c>
      <c r="AD262" s="27">
        <v>0</v>
      </c>
      <c r="AE262" s="28">
        <f>SUMIFS(Aut_BlueMe_Sem_Pedido!$J:$J,Aut_BlueMe_Sem_Pedido!$Q:$Q,DRE!AC$4,Aut_BlueMe_Sem_Pedido!$H:$H,DRE!$A262)+SUMIFS(Aut_Ajustes_Manuais!$G:$G,Aut_Ajustes_Manuais!$I:$I,DRE!AC$4,Aut_Ajustes_Manuais!$F:$F,"Conduções/Taxi/Uber")</f>
        <v>0</v>
      </c>
      <c r="AF262" s="241">
        <v>0</v>
      </c>
      <c r="AG262" s="27">
        <v>0</v>
      </c>
      <c r="AH262" s="28">
        <f>SUMIFS(Aut_BlueMe_Sem_Pedido!$J:$J,Aut_BlueMe_Sem_Pedido!$Q:$Q,DRE!AF$4,Aut_BlueMe_Sem_Pedido!$H:$H,DRE!$A262)+SUMIFS(Aut_Ajustes_Manuais!$G:$G,Aut_Ajustes_Manuais!$I:$I,DRE!AF$4,Aut_Ajustes_Manuais!$F:$F,"Conduções/Taxi/Uber")</f>
        <v>0</v>
      </c>
      <c r="AI262" s="241">
        <v>0</v>
      </c>
      <c r="AJ262" s="27">
        <v>0</v>
      </c>
      <c r="AK262" s="28">
        <f>SUMIFS(Aut_BlueMe_Sem_Pedido!$J:$J,Aut_BlueMe_Sem_Pedido!$Q:$Q,DRE!AI$4,Aut_BlueMe_Sem_Pedido!$H:$H,DRE!$A262)+SUMIFS(Aut_Ajustes_Manuais!$G:$G,Aut_Ajustes_Manuais!$I:$I,DRE!AI$4,Aut_Ajustes_Manuais!$F:$F,"Conduções/Taxi/Uber")</f>
        <v>0</v>
      </c>
      <c r="AL262" s="241">
        <v>0</v>
      </c>
      <c r="AM262" s="27">
        <v>0</v>
      </c>
      <c r="AN262" s="28">
        <f>SUMIFS(Aut_BlueMe_Sem_Pedido!$J:$J,Aut_BlueMe_Sem_Pedido!$Q:$Q,DRE!AL$4,Aut_BlueMe_Sem_Pedido!$H:$H,DRE!$A262)+SUMIFS(Aut_Ajustes_Manuais!$G:$G,Aut_Ajustes_Manuais!$I:$I,DRE!AL$4,Aut_Ajustes_Manuais!$F:$F,"Conduções/Taxi/Uber")</f>
        <v>0</v>
      </c>
      <c r="AO262" s="241">
        <v>0</v>
      </c>
      <c r="AP262" s="27">
        <v>0</v>
      </c>
      <c r="AQ262" s="28">
        <f>SUMIFS(Aut_BlueMe_Sem_Pedido!$J:$J,Aut_BlueMe_Sem_Pedido!$Q:$Q,DRE!AO$4,Aut_BlueMe_Sem_Pedido!$H:$H,DRE!$A262)+SUMIFS(Aut_Ajustes_Manuais!$G:$G,Aut_Ajustes_Manuais!$I:$I,DRE!AO$4,Aut_Ajustes_Manuais!$F:$F,"Conduções/Taxi/Uber")</f>
        <v>0</v>
      </c>
      <c r="AR262" s="241">
        <f t="shared" ca="1" si="241"/>
        <v>-142.80000000000001</v>
      </c>
      <c r="AS262" s="27">
        <f t="shared" ca="1" si="242"/>
        <v>0</v>
      </c>
      <c r="AT262" s="28">
        <f t="shared" ca="1" si="243"/>
        <v>0</v>
      </c>
      <c r="AU262" s="241">
        <f t="shared" si="244"/>
        <v>-142.80000000000001</v>
      </c>
      <c r="AV262" s="27">
        <f t="shared" si="244"/>
        <v>0</v>
      </c>
      <c r="AW262" s="28">
        <f t="shared" si="244"/>
        <v>0</v>
      </c>
      <c r="AX262" s="241">
        <f t="shared" si="245"/>
        <v>-122.8</v>
      </c>
      <c r="AY262" s="27">
        <f t="shared" si="245"/>
        <v>0</v>
      </c>
      <c r="AZ262" s="28">
        <f t="shared" si="245"/>
        <v>0</v>
      </c>
      <c r="BA262" s="241">
        <f t="shared" si="246"/>
        <v>-20</v>
      </c>
      <c r="BB262" s="27">
        <f t="shared" si="246"/>
        <v>0</v>
      </c>
      <c r="BC262" s="28">
        <f t="shared" si="246"/>
        <v>0</v>
      </c>
      <c r="BD262" s="241">
        <f t="shared" si="247"/>
        <v>0</v>
      </c>
      <c r="BE262" s="27">
        <f t="shared" si="247"/>
        <v>0</v>
      </c>
      <c r="BF262" s="28">
        <f t="shared" si="247"/>
        <v>0</v>
      </c>
      <c r="BG262" s="241">
        <f t="shared" si="248"/>
        <v>0</v>
      </c>
      <c r="BH262" s="27">
        <f t="shared" si="248"/>
        <v>0</v>
      </c>
      <c r="BI262" s="28">
        <f t="shared" si="248"/>
        <v>0</v>
      </c>
      <c r="BK262" s="448">
        <f t="shared" si="185"/>
        <v>0</v>
      </c>
      <c r="BL262" s="448">
        <f t="shared" si="186"/>
        <v>0</v>
      </c>
      <c r="BM262" s="448">
        <f t="shared" si="187"/>
        <v>0</v>
      </c>
      <c r="BN262" s="448">
        <f t="shared" ca="1" si="188"/>
        <v>0</v>
      </c>
    </row>
    <row r="263" spans="1:66" s="29" customFormat="1" hidden="1" outlineLevel="1" x14ac:dyDescent="0.3">
      <c r="A263" s="22" t="s">
        <v>296</v>
      </c>
      <c r="B263" s="23"/>
      <c r="C263" s="24"/>
      <c r="D263" s="121"/>
      <c r="E263" s="114"/>
      <c r="F263" s="56"/>
      <c r="G263" s="33"/>
      <c r="H263" s="241">
        <v>0</v>
      </c>
      <c r="I263" s="27">
        <v>0</v>
      </c>
      <c r="J263" s="28">
        <f>SUMIFS(Aut_BlueMe_Sem_Pedido!$J:$J,Aut_BlueMe_Sem_Pedido!$Q:$Q,DRE!H$4,Aut_BlueMe_Sem_Pedido!$H:$H,DRE!$A263)+SUMIFS(Aut_Ajustes_Manuais!$G:$G,Aut_Ajustes_Manuais!$I:$I,DRE!H$4,Aut_Ajustes_Manuais!$F:$F,"Viagens e Estadias - Operação")</f>
        <v>0</v>
      </c>
      <c r="K263" s="241">
        <v>0</v>
      </c>
      <c r="L263" s="27">
        <v>0</v>
      </c>
      <c r="M263" s="28">
        <f>SUMIFS(Aut_BlueMe_Sem_Pedido!$J:$J,Aut_BlueMe_Sem_Pedido!$Q:$Q,DRE!K$4,Aut_BlueMe_Sem_Pedido!$H:$H,DRE!$A263)+SUMIFS(Aut_Ajustes_Manuais!$G:$G,Aut_Ajustes_Manuais!$I:$I,DRE!K$4,Aut_Ajustes_Manuais!$F:$F,"Viagens e Estadias - Operação")</f>
        <v>0</v>
      </c>
      <c r="N263" s="241">
        <v>0</v>
      </c>
      <c r="O263" s="27">
        <v>0</v>
      </c>
      <c r="P263" s="28">
        <f>SUMIFS(Aut_BlueMe_Sem_Pedido!$J:$J,Aut_BlueMe_Sem_Pedido!$Q:$Q,DRE!N$4,Aut_BlueMe_Sem_Pedido!$H:$H,DRE!$A263)+SUMIFS(Aut_Ajustes_Manuais!$G:$G,Aut_Ajustes_Manuais!$I:$I,DRE!N$4,Aut_Ajustes_Manuais!$F:$F,"Viagens e Estadias - Operação")</f>
        <v>0</v>
      </c>
      <c r="Q263" s="241">
        <v>0</v>
      </c>
      <c r="R263" s="27">
        <v>0</v>
      </c>
      <c r="S263" s="28">
        <f>SUMIFS(Aut_BlueMe_Sem_Pedido!$J:$J,Aut_BlueMe_Sem_Pedido!$Q:$Q,DRE!Q$4,Aut_BlueMe_Sem_Pedido!$H:$H,DRE!$A263)+SUMIFS(Aut_Ajustes_Manuais!$G:$G,Aut_Ajustes_Manuais!$I:$I,DRE!Q$4,Aut_Ajustes_Manuais!$F:$F,"Viagens e Estadias - Operação")</f>
        <v>0</v>
      </c>
      <c r="T263" s="241">
        <v>0</v>
      </c>
      <c r="U263" s="27">
        <v>0</v>
      </c>
      <c r="V263" s="28">
        <f>SUMIFS(Aut_BlueMe_Sem_Pedido!$J:$J,Aut_BlueMe_Sem_Pedido!$Q:$Q,DRE!T$4,Aut_BlueMe_Sem_Pedido!$H:$H,DRE!$A263)+SUMIFS(Aut_Ajustes_Manuais!$G:$G,Aut_Ajustes_Manuais!$I:$I,DRE!T$4,Aut_Ajustes_Manuais!$F:$F,"Viagens e Estadias - Operação")</f>
        <v>0</v>
      </c>
      <c r="W263" s="241">
        <v>0</v>
      </c>
      <c r="X263" s="27">
        <v>0</v>
      </c>
      <c r="Y263" s="28">
        <f>SUMIFS(Aut_BlueMe_Sem_Pedido!$J:$J,Aut_BlueMe_Sem_Pedido!$Q:$Q,DRE!W$4,Aut_BlueMe_Sem_Pedido!$H:$H,DRE!$A263)+SUMIFS(Aut_Ajustes_Manuais!$G:$G,Aut_Ajustes_Manuais!$I:$I,DRE!W$4,Aut_Ajustes_Manuais!$F:$F,"Viagens e Estadias - Operação")</f>
        <v>0</v>
      </c>
      <c r="Z263" s="241">
        <v>0</v>
      </c>
      <c r="AA263" s="27">
        <v>0</v>
      </c>
      <c r="AB263" s="28">
        <f>SUMIFS(Aut_BlueMe_Sem_Pedido!$J:$J,Aut_BlueMe_Sem_Pedido!$Q:$Q,DRE!Z$4,Aut_BlueMe_Sem_Pedido!$H:$H,DRE!$A263)+SUMIFS(Aut_Ajustes_Manuais!$G:$G,Aut_Ajustes_Manuais!$I:$I,DRE!Z$4,Aut_Ajustes_Manuais!$F:$F,"Viagens e Estadias - Operação")</f>
        <v>0</v>
      </c>
      <c r="AC263" s="241">
        <v>0</v>
      </c>
      <c r="AD263" s="27">
        <v>0</v>
      </c>
      <c r="AE263" s="28">
        <f>SUMIFS(Aut_BlueMe_Sem_Pedido!$J:$J,Aut_BlueMe_Sem_Pedido!$Q:$Q,DRE!AC$4,Aut_BlueMe_Sem_Pedido!$H:$H,DRE!$A263)+SUMIFS(Aut_Ajustes_Manuais!$G:$G,Aut_Ajustes_Manuais!$I:$I,DRE!AC$4,Aut_Ajustes_Manuais!$F:$F,"Viagens e Estadias - Operação")</f>
        <v>0</v>
      </c>
      <c r="AF263" s="241">
        <v>0</v>
      </c>
      <c r="AG263" s="27">
        <v>0</v>
      </c>
      <c r="AH263" s="28">
        <f>SUMIFS(Aut_BlueMe_Sem_Pedido!$J:$J,Aut_BlueMe_Sem_Pedido!$Q:$Q,DRE!AF$4,Aut_BlueMe_Sem_Pedido!$H:$H,DRE!$A263)+SUMIFS(Aut_Ajustes_Manuais!$G:$G,Aut_Ajustes_Manuais!$I:$I,DRE!AF$4,Aut_Ajustes_Manuais!$F:$F,"Viagens e Estadias - Operação")</f>
        <v>0</v>
      </c>
      <c r="AI263" s="241">
        <v>0</v>
      </c>
      <c r="AJ263" s="27">
        <v>0</v>
      </c>
      <c r="AK263" s="28">
        <f>SUMIFS(Aut_BlueMe_Sem_Pedido!$J:$J,Aut_BlueMe_Sem_Pedido!$Q:$Q,DRE!AI$4,Aut_BlueMe_Sem_Pedido!$H:$H,DRE!$A263)+SUMIFS(Aut_Ajustes_Manuais!$G:$G,Aut_Ajustes_Manuais!$I:$I,DRE!AI$4,Aut_Ajustes_Manuais!$F:$F,"Viagens e Estadias - Operação")</f>
        <v>0</v>
      </c>
      <c r="AL263" s="241">
        <v>0</v>
      </c>
      <c r="AM263" s="27">
        <v>0</v>
      </c>
      <c r="AN263" s="28">
        <f>SUMIFS(Aut_BlueMe_Sem_Pedido!$J:$J,Aut_BlueMe_Sem_Pedido!$Q:$Q,DRE!AL$4,Aut_BlueMe_Sem_Pedido!$H:$H,DRE!$A263)+SUMIFS(Aut_Ajustes_Manuais!$G:$G,Aut_Ajustes_Manuais!$I:$I,DRE!AL$4,Aut_Ajustes_Manuais!$F:$F,"Viagens e Estadias - Operação")</f>
        <v>0</v>
      </c>
      <c r="AO263" s="241">
        <v>0</v>
      </c>
      <c r="AP263" s="27">
        <v>0</v>
      </c>
      <c r="AQ263" s="28">
        <f>SUMIFS(Aut_BlueMe_Sem_Pedido!$J:$J,Aut_BlueMe_Sem_Pedido!$Q:$Q,DRE!AO$4,Aut_BlueMe_Sem_Pedido!$H:$H,DRE!$A263)+SUMIFS(Aut_Ajustes_Manuais!$G:$G,Aut_Ajustes_Manuais!$I:$I,DRE!AO$4,Aut_Ajustes_Manuais!$F:$F,"Viagens e Estadias - Operação")</f>
        <v>0</v>
      </c>
      <c r="AR263" s="241">
        <f t="shared" ca="1" si="241"/>
        <v>0</v>
      </c>
      <c r="AS263" s="27">
        <f t="shared" ca="1" si="242"/>
        <v>0</v>
      </c>
      <c r="AT263" s="28">
        <f t="shared" ca="1" si="243"/>
        <v>0</v>
      </c>
      <c r="AU263" s="241">
        <f t="shared" si="244"/>
        <v>0</v>
      </c>
      <c r="AV263" s="27">
        <f t="shared" si="244"/>
        <v>0</v>
      </c>
      <c r="AW263" s="28">
        <f t="shared" si="244"/>
        <v>0</v>
      </c>
      <c r="AX263" s="241">
        <f t="shared" si="245"/>
        <v>0</v>
      </c>
      <c r="AY263" s="27">
        <f t="shared" si="245"/>
        <v>0</v>
      </c>
      <c r="AZ263" s="28">
        <f t="shared" si="245"/>
        <v>0</v>
      </c>
      <c r="BA263" s="241">
        <f t="shared" si="246"/>
        <v>0</v>
      </c>
      <c r="BB263" s="27">
        <f t="shared" si="246"/>
        <v>0</v>
      </c>
      <c r="BC263" s="28">
        <f t="shared" si="246"/>
        <v>0</v>
      </c>
      <c r="BD263" s="241">
        <f t="shared" si="247"/>
        <v>0</v>
      </c>
      <c r="BE263" s="27">
        <f t="shared" si="247"/>
        <v>0</v>
      </c>
      <c r="BF263" s="28">
        <f t="shared" si="247"/>
        <v>0</v>
      </c>
      <c r="BG263" s="241">
        <f t="shared" si="248"/>
        <v>0</v>
      </c>
      <c r="BH263" s="27">
        <f t="shared" si="248"/>
        <v>0</v>
      </c>
      <c r="BI263" s="28">
        <f t="shared" si="248"/>
        <v>0</v>
      </c>
      <c r="BK263" s="448">
        <f t="shared" si="185"/>
        <v>0</v>
      </c>
      <c r="BL263" s="448">
        <f t="shared" si="186"/>
        <v>0</v>
      </c>
      <c r="BM263" s="448">
        <f t="shared" si="187"/>
        <v>0</v>
      </c>
      <c r="BN263" s="448">
        <f t="shared" ca="1" si="188"/>
        <v>0</v>
      </c>
    </row>
    <row r="264" spans="1:66" collapsed="1" x14ac:dyDescent="0.3">
      <c r="A264" s="71" t="s">
        <v>46</v>
      </c>
      <c r="B264" s="59"/>
      <c r="C264" s="60"/>
      <c r="D264" s="61"/>
      <c r="E264" s="62"/>
      <c r="F264" s="63"/>
      <c r="G264" s="47"/>
      <c r="H264" s="245">
        <v>-1.162857264292062E-2</v>
      </c>
      <c r="I264" s="50">
        <v>-1.8691685163268499E-2</v>
      </c>
      <c r="J264" s="51">
        <f>IFERROR(J255/J8,0)+SUMIFS(Aut_Ajustes_Manuais!$G:$G,Aut_Ajustes_Manuais!$I:$I,DRE!H$4,Aut_Ajustes_Manuais!$F:$F,"% sobre Receita Bruta")</f>
        <v>-7.3465732702005663E-3</v>
      </c>
      <c r="K264" s="245">
        <v>-2.375398006119531E-3</v>
      </c>
      <c r="L264" s="50">
        <v>-1.9700713126695201E-2</v>
      </c>
      <c r="M264" s="51">
        <f>IFERROR(M255/M8,0)+SUMIFS(Aut_Ajustes_Manuais!$G:$G,Aut_Ajustes_Manuais!$I:$I,DRE!K$4,Aut_Ajustes_Manuais!$F:$F,"% sobre Receita Bruta")</f>
        <v>-8.2721373377820859E-3</v>
      </c>
      <c r="N264" s="245">
        <v>-1.3074475290258359E-3</v>
      </c>
      <c r="O264" s="50">
        <v>0</v>
      </c>
      <c r="P264" s="51">
        <f>IFERROR(P255/P8,0)+SUMIFS(Aut_Ajustes_Manuais!$G:$G,Aut_Ajustes_Manuais!$I:$I,DRE!N$4,Aut_Ajustes_Manuais!$F:$F,"% sobre Receita Bruta")</f>
        <v>-5.9450291611091678E-3</v>
      </c>
      <c r="Q264" s="245">
        <v>-1.789983428697482E-3</v>
      </c>
      <c r="R264" s="50">
        <v>0</v>
      </c>
      <c r="S264" s="51">
        <f>IFERROR(S255/S8,0)+SUMIFS(Aut_Ajustes_Manuais!$G:$G,Aut_Ajustes_Manuais!$I:$I,DRE!Q$4,Aut_Ajustes_Manuais!$F:$F,"% sobre Receita Bruta")</f>
        <v>-1.0738312501483388E-2</v>
      </c>
      <c r="T264" s="245">
        <v>-1.6116720500613149E-2</v>
      </c>
      <c r="U264" s="50">
        <v>-8.2651813291116701E-3</v>
      </c>
      <c r="V264" s="51">
        <f>IFERROR(V255/V8,0)+SUMIFS(Aut_Ajustes_Manuais!$G:$G,Aut_Ajustes_Manuais!$I:$I,DRE!T$4,Aut_Ajustes_Manuais!$F:$F,"% sobre Receita Bruta")</f>
        <v>-7.1457111355929803E-3</v>
      </c>
      <c r="W264" s="245">
        <v>-1.67584240529924E-2</v>
      </c>
      <c r="X264" s="50">
        <v>-9.2707678660194949E-3</v>
      </c>
      <c r="Y264" s="51">
        <f>IFERROR(Y255/Y8,0)+SUMIFS(Aut_Ajustes_Manuais!$G:$G,Aut_Ajustes_Manuais!$I:$I,DRE!W$4,Aut_Ajustes_Manuais!$F:$F,"% sobre Receita Bruta")</f>
        <v>-1.1857618672571358E-2</v>
      </c>
      <c r="Z264" s="245">
        <v>-2.3223607846081649E-2</v>
      </c>
      <c r="AA264" s="50">
        <v>-9.3595197345894797E-3</v>
      </c>
      <c r="AB264" s="51">
        <f>IFERROR(AB255/AB8,0)+SUMIFS(Aut_Ajustes_Manuais!$G:$G,Aut_Ajustes_Manuais!$I:$I,DRE!Z$4,Aut_Ajustes_Manuais!$F:$F,"% sobre Receita Bruta")</f>
        <v>-3.0036014595294806E-2</v>
      </c>
      <c r="AC264" s="245">
        <v>-8.8692542546828235E-3</v>
      </c>
      <c r="AD264" s="50">
        <v>-8.6725684249311773E-3</v>
      </c>
      <c r="AE264" s="51">
        <f>IFERROR(AE255/AE8,0)+SUMIFS(Aut_Ajustes_Manuais!$G:$G,Aut_Ajustes_Manuais!$I:$I,DRE!AC$4,Aut_Ajustes_Manuais!$F:$F,"% sobre Receita Bruta")</f>
        <v>0</v>
      </c>
      <c r="AF264" s="245">
        <v>-2.4116725266855141E-2</v>
      </c>
      <c r="AG264" s="50">
        <v>-9.952950967551449E-3</v>
      </c>
      <c r="AH264" s="51">
        <f>IFERROR(AH255/AH8,0)+SUMIFS(Aut_Ajustes_Manuais!$G:$G,Aut_Ajustes_Manuais!$I:$I,DRE!AF$4,Aut_Ajustes_Manuais!$F:$F,"% sobre Receita Bruta")</f>
        <v>0</v>
      </c>
      <c r="AI264" s="245">
        <v>-4.5010679701645101E-2</v>
      </c>
      <c r="AJ264" s="50">
        <v>-9.8905617257495203E-3</v>
      </c>
      <c r="AK264" s="51">
        <f>IFERROR(AK255/AK8,0)+SUMIFS(Aut_Ajustes_Manuais!$G:$G,Aut_Ajustes_Manuais!$I:$I,DRE!AI$4,Aut_Ajustes_Manuais!$F:$F,"% sobre Receita Bruta")</f>
        <v>0</v>
      </c>
      <c r="AL264" s="245">
        <v>-3.423994342512394E-3</v>
      </c>
      <c r="AM264" s="50">
        <v>-8.5227253139531882E-3</v>
      </c>
      <c r="AN264" s="51">
        <f>IFERROR(AN255/AN8,0)+SUMIFS(Aut_Ajustes_Manuais!$G:$G,Aut_Ajustes_Manuais!$I:$I,DRE!AL$4,Aut_Ajustes_Manuais!$F:$F,"% sobre Receita Bruta")</f>
        <v>0</v>
      </c>
      <c r="AO264" s="245">
        <v>-1.156724838891619E-2</v>
      </c>
      <c r="AP264" s="50">
        <v>-9.4161958568738241E-3</v>
      </c>
      <c r="AQ264" s="51">
        <f>IFERROR(AQ255/AQ8,0)+SUMIFS(Aut_Ajustes_Manuais!$G:$G,Aut_Ajustes_Manuais!$I:$I,DRE!AO$4,Aut_Ajustes_Manuais!$F:$F,"% sobre Receita Bruta")</f>
        <v>0</v>
      </c>
      <c r="AR264" s="245">
        <f t="shared" ref="AR264:BI264" ca="1" si="249">IFERROR(AR255/AR8,0)</f>
        <v>-8.8862204759802468E-3</v>
      </c>
      <c r="AS264" s="50">
        <f t="shared" ca="1" si="249"/>
        <v>-9.8790236573115635E-3</v>
      </c>
      <c r="AT264" s="51">
        <f t="shared" ca="1" si="249"/>
        <v>-8.5696907067778477E-3</v>
      </c>
      <c r="AU264" s="245">
        <f t="shared" si="249"/>
        <v>-1.3942696930479113E-2</v>
      </c>
      <c r="AV264" s="50">
        <f t="shared" si="249"/>
        <v>-9.551519375960639E-3</v>
      </c>
      <c r="AW264" s="51">
        <f t="shared" si="249"/>
        <v>-1.3828787037067721E-2</v>
      </c>
      <c r="AX264" s="245">
        <f t="shared" si="249"/>
        <v>-5.3144986536143336E-3</v>
      </c>
      <c r="AY264" s="50">
        <f t="shared" si="249"/>
        <v>-1.3794893685700563E-2</v>
      </c>
      <c r="AZ264" s="51">
        <f t="shared" si="249"/>
        <v>-7.1741503718236463E-3</v>
      </c>
      <c r="BA264" s="245">
        <f t="shared" si="249"/>
        <v>-1.2008051460052642E-2</v>
      </c>
      <c r="BB264" s="50">
        <f t="shared" si="249"/>
        <v>-6.6002655950340595E-3</v>
      </c>
      <c r="BC264" s="51">
        <f t="shared" si="249"/>
        <v>-9.887922484107135E-3</v>
      </c>
      <c r="BD264" s="245">
        <f t="shared" si="249"/>
        <v>-1.8198128329704653E-2</v>
      </c>
      <c r="BE264" s="50">
        <f t="shared" si="249"/>
        <v>-9.2988108168827847E-3</v>
      </c>
      <c r="BF264" s="51">
        <f t="shared" si="249"/>
        <v>-8.0940784854873382E-2</v>
      </c>
      <c r="BG264" s="245">
        <f t="shared" si="249"/>
        <v>-1.8355487653286907E-2</v>
      </c>
      <c r="BH264" s="50">
        <f t="shared" si="249"/>
        <v>-9.2410096257304168E-3</v>
      </c>
      <c r="BI264" s="51">
        <f t="shared" si="249"/>
        <v>0</v>
      </c>
      <c r="BK264" s="448">
        <f t="shared" ref="BK264:BK309" si="250">SUM(I264,L264,O264,R264,U264,X264,AA264,AD264,AG264,AJ264,AM264,AP264)</f>
        <v>-0.11174286950874351</v>
      </c>
      <c r="BL264" s="448">
        <f t="shared" ref="BL264:BL309" si="251">BK264-AV264</f>
        <v>-0.10219135013278288</v>
      </c>
      <c r="BM264" s="448">
        <f t="shared" ref="BM264:BM309" si="252">SUM(J264,M264,P264,S264,V264)</f>
        <v>-3.9447763406168186E-2</v>
      </c>
      <c r="BN264" s="448">
        <f t="shared" ref="BN264:BN309" ca="1" si="253">BM264-AT264</f>
        <v>-3.0878072699390337E-2</v>
      </c>
    </row>
    <row r="265" spans="1:66" x14ac:dyDescent="0.3">
      <c r="A265" s="18"/>
      <c r="E265" s="16"/>
      <c r="F265" s="17"/>
      <c r="G265" s="47"/>
      <c r="H265" s="247"/>
      <c r="I265" s="17"/>
      <c r="J265" s="57"/>
      <c r="K265" s="247"/>
      <c r="L265" s="17"/>
      <c r="M265" s="57"/>
      <c r="N265" s="247"/>
      <c r="O265" s="17"/>
      <c r="P265" s="57"/>
      <c r="Q265" s="247"/>
      <c r="R265" s="17"/>
      <c r="S265" s="57"/>
      <c r="T265" s="247"/>
      <c r="U265" s="17"/>
      <c r="V265" s="57"/>
      <c r="W265" s="247"/>
      <c r="X265" s="17"/>
      <c r="Y265" s="57"/>
      <c r="Z265" s="247"/>
      <c r="AA265" s="17"/>
      <c r="AB265" s="57"/>
      <c r="AC265" s="247"/>
      <c r="AD265" s="17"/>
      <c r="AE265" s="57"/>
      <c r="AF265" s="247"/>
      <c r="AG265" s="17"/>
      <c r="AH265" s="57"/>
      <c r="AI265" s="247"/>
      <c r="AJ265" s="17"/>
      <c r="AK265" s="57"/>
      <c r="AL265" s="247"/>
      <c r="AM265" s="17"/>
      <c r="AN265" s="57"/>
      <c r="AO265" s="247"/>
      <c r="AP265" s="17"/>
      <c r="AQ265" s="57"/>
      <c r="AR265" s="247"/>
      <c r="AS265" s="17"/>
      <c r="AT265" s="57"/>
      <c r="AU265" s="247"/>
      <c r="AV265" s="17"/>
      <c r="AW265" s="57"/>
      <c r="AX265" s="247"/>
      <c r="AY265" s="17"/>
      <c r="AZ265" s="57"/>
      <c r="BA265" s="247"/>
      <c r="BB265" s="17"/>
      <c r="BC265" s="57"/>
      <c r="BD265" s="247"/>
      <c r="BE265" s="17"/>
      <c r="BF265" s="57"/>
      <c r="BG265" s="247"/>
      <c r="BH265" s="17"/>
      <c r="BI265" s="57"/>
      <c r="BK265" s="448">
        <f t="shared" si="250"/>
        <v>0</v>
      </c>
      <c r="BL265" s="448">
        <f t="shared" si="251"/>
        <v>0</v>
      </c>
      <c r="BM265" s="448">
        <f t="shared" si="252"/>
        <v>0</v>
      </c>
      <c r="BN265" s="448">
        <f t="shared" si="253"/>
        <v>0</v>
      </c>
    </row>
    <row r="266" spans="1:66" x14ac:dyDescent="0.3">
      <c r="A266" s="39" t="s">
        <v>297</v>
      </c>
      <c r="C266" s="40" t="s">
        <v>37</v>
      </c>
      <c r="D266" s="40" t="s">
        <v>38</v>
      </c>
      <c r="E266" s="40" t="s">
        <v>203</v>
      </c>
      <c r="F266" s="17"/>
      <c r="G266" s="47"/>
      <c r="H266" s="244">
        <v>-6286.9826484117102</v>
      </c>
      <c r="I266" s="42">
        <v>-7489.9613799999997</v>
      </c>
      <c r="J266" s="43">
        <f>SUM(J267:J277)+SUMIFS(Aut_Ajustes_Manuais!$G:$G,Aut_Ajustes_Manuais!$I:$I,DRE!H$4,Aut_Ajustes_Manuais!$F:$F,"Marketing")</f>
        <v>-10451.18</v>
      </c>
      <c r="K266" s="244">
        <v>-4534.6106851515005</v>
      </c>
      <c r="L266" s="42">
        <v>-14212.68348</v>
      </c>
      <c r="M266" s="43">
        <f>SUM(M267:M277)+SUMIFS(Aut_Ajustes_Manuais!$G:$G,Aut_Ajustes_Manuais!$I:$I,DRE!K$4,Aut_Ajustes_Manuais!$F:$F,"Marketing")</f>
        <v>-4626.72</v>
      </c>
      <c r="N266" s="244">
        <v>-9660.5998465342509</v>
      </c>
      <c r="O266" s="42">
        <v>-7746.00875</v>
      </c>
      <c r="P266" s="43">
        <f>SUM(P267:P277)+SUMIFS(Aut_Ajustes_Manuais!$G:$G,Aut_Ajustes_Manuais!$I:$I,DRE!N$4,Aut_Ajustes_Manuais!$F:$F,"Marketing")</f>
        <v>-4816.58</v>
      </c>
      <c r="Q266" s="244">
        <v>-4241.2805418683511</v>
      </c>
      <c r="R266" s="42">
        <v>-15557.685928000001</v>
      </c>
      <c r="S266" s="43">
        <f>SUM(S267:S277)+SUMIFS(Aut_Ajustes_Manuais!$G:$G,Aut_Ajustes_Manuais!$I:$I,DRE!Q$4,Aut_Ajustes_Manuais!$F:$F,"Marketing")</f>
        <v>-4901.55</v>
      </c>
      <c r="T266" s="244">
        <v>-5045.0148135284198</v>
      </c>
      <c r="U266" s="42">
        <v>-9417.5596080000014</v>
      </c>
      <c r="V266" s="43">
        <f>SUM(V267:V277)+SUMIFS(Aut_Ajustes_Manuais!$G:$G,Aut_Ajustes_Manuais!$I:$I,DRE!T$4,Aut_Ajustes_Manuais!$F:$F,"Marketing")</f>
        <v>-4350.3999999999996</v>
      </c>
      <c r="W266" s="244">
        <v>-4761.5168722220669</v>
      </c>
      <c r="X266" s="42">
        <v>-17258.548839999999</v>
      </c>
      <c r="Y266" s="43">
        <f>SUM(Y267:Y277)+SUMIFS(Aut_Ajustes_Manuais!$G:$G,Aut_Ajustes_Manuais!$I:$I,DRE!W$4,Aut_Ajustes_Manuais!$F:$F,"Marketing")</f>
        <v>-9592.99</v>
      </c>
      <c r="Z266" s="244">
        <v>-6202.8660755700384</v>
      </c>
      <c r="AA266" s="42">
        <v>-8547.4471200000007</v>
      </c>
      <c r="AB266" s="43">
        <f>SUM(AB267:AB277)+SUMIFS(Aut_Ajustes_Manuais!$G:$G,Aut_Ajustes_Manuais!$I:$I,DRE!Z$4,Aut_Ajustes_Manuais!$F:$F,"Marketing")</f>
        <v>-5922.35</v>
      </c>
      <c r="AC266" s="244">
        <v>-5334.9975273640221</v>
      </c>
      <c r="AD266" s="42">
        <v>-8725.8666599999997</v>
      </c>
      <c r="AE266" s="43">
        <f>SUM(AE267:AE277)+SUMIFS(Aut_Ajustes_Manuais!$G:$G,Aut_Ajustes_Manuais!$I:$I,DRE!AC$4,Aut_Ajustes_Manuais!$F:$F,"Marketing")</f>
        <v>-4400</v>
      </c>
      <c r="AF266" s="244">
        <v>-9164.9057000786179</v>
      </c>
      <c r="AG266" s="42">
        <v>-7812.1942144000004</v>
      </c>
      <c r="AH266" s="43">
        <f>SUM(AH267:AH277)+SUMIFS(Aut_Ajustes_Manuais!$G:$G,Aut_Ajustes_Manuais!$I:$I,DRE!AF$4,Aut_Ajustes_Manuais!$F:$F,"Marketing")</f>
        <v>-4400</v>
      </c>
      <c r="AI266" s="244">
        <v>-7272.4071979028377</v>
      </c>
      <c r="AJ266" s="42">
        <v>-8088.5193600000002</v>
      </c>
      <c r="AK266" s="43">
        <f>SUM(AK267:AK277)+SUMIFS(Aut_Ajustes_Manuais!$G:$G,Aut_Ajustes_Manuais!$I:$I,DRE!AI$4,Aut_Ajustes_Manuais!$F:$F,"Marketing")</f>
        <v>-4400</v>
      </c>
      <c r="AL266" s="244">
        <v>-4825.3884000248509</v>
      </c>
      <c r="AM266" s="42">
        <v>-17304</v>
      </c>
      <c r="AN266" s="43">
        <f>SUM(AN267:AN277)+SUMIFS(Aut_Ajustes_Manuais!$G:$G,Aut_Ajustes_Manuais!$I:$I,DRE!AL$4,Aut_Ajustes_Manuais!$F:$F,"Marketing")</f>
        <v>-4400</v>
      </c>
      <c r="AO266" s="244">
        <v>-6945.118266092104</v>
      </c>
      <c r="AP266" s="42">
        <v>-8850</v>
      </c>
      <c r="AQ266" s="43">
        <f>SUM(AQ267:AQ277)+SUMIFS(Aut_Ajustes_Manuais!$G:$G,Aut_Ajustes_Manuais!$I:$I,DRE!AO$4,Aut_Ajustes_Manuais!$F:$F,"Marketing")</f>
        <v>-4400</v>
      </c>
      <c r="AR266" s="244">
        <f t="shared" ref="AR266:BI266" ca="1" si="254">SUM(AR267:AR277)</f>
        <v>-34530.0054077163</v>
      </c>
      <c r="AS266" s="42">
        <f t="shared" ca="1" si="254"/>
        <v>-71682.447985999985</v>
      </c>
      <c r="AT266" s="43">
        <f t="shared" ca="1" si="254"/>
        <v>-38739.42</v>
      </c>
      <c r="AU266" s="244">
        <f t="shared" si="254"/>
        <v>-74275.688574748769</v>
      </c>
      <c r="AV266" s="42">
        <f t="shared" si="254"/>
        <v>-131010.47534039999</v>
      </c>
      <c r="AW266" s="43">
        <f t="shared" si="254"/>
        <v>-66661.76999999999</v>
      </c>
      <c r="AX266" s="244">
        <f t="shared" si="254"/>
        <v>-20482.193180097463</v>
      </c>
      <c r="AY266" s="42">
        <f t="shared" si="254"/>
        <v>-29448.653609999998</v>
      </c>
      <c r="AZ266" s="43">
        <f t="shared" si="254"/>
        <v>-19894.480000000003</v>
      </c>
      <c r="BA266" s="244">
        <f t="shared" si="254"/>
        <v>-14047.812227618839</v>
      </c>
      <c r="BB266" s="42">
        <f t="shared" si="254"/>
        <v>-42233.794375999998</v>
      </c>
      <c r="BC266" s="43">
        <f t="shared" si="254"/>
        <v>-18844.940000000002</v>
      </c>
      <c r="BD266" s="244">
        <f t="shared" si="254"/>
        <v>-20702.769303012679</v>
      </c>
      <c r="BE266" s="42">
        <f t="shared" si="254"/>
        <v>-25085.507994400003</v>
      </c>
      <c r="BF266" s="43">
        <f t="shared" si="254"/>
        <v>-14722.35</v>
      </c>
      <c r="BG266" s="244">
        <f t="shared" si="254"/>
        <v>-19042.913864019793</v>
      </c>
      <c r="BH266" s="42">
        <f t="shared" si="254"/>
        <v>-34242.519359999998</v>
      </c>
      <c r="BI266" s="43">
        <f t="shared" si="254"/>
        <v>-13200</v>
      </c>
      <c r="BK266" s="448">
        <f t="shared" si="250"/>
        <v>-131010.47534040001</v>
      </c>
      <c r="BL266" s="448">
        <f t="shared" si="251"/>
        <v>0</v>
      </c>
      <c r="BM266" s="448">
        <f t="shared" si="252"/>
        <v>-29146.43</v>
      </c>
      <c r="BN266" s="448">
        <f t="shared" ca="1" si="253"/>
        <v>9592.989999999998</v>
      </c>
    </row>
    <row r="267" spans="1:66" s="29" customFormat="1" hidden="1" outlineLevel="1" x14ac:dyDescent="0.3">
      <c r="A267" s="22" t="s">
        <v>298</v>
      </c>
      <c r="B267" s="23"/>
      <c r="C267" s="24" t="s">
        <v>69</v>
      </c>
      <c r="D267" s="116"/>
      <c r="E267" s="115"/>
      <c r="F267" s="56"/>
      <c r="G267" s="33"/>
      <c r="H267" s="241">
        <v>-3000</v>
      </c>
      <c r="I267" s="27">
        <v>-3000</v>
      </c>
      <c r="J267" s="28">
        <f>SUMIFS(Aut_BlueMe_Sem_Pedido!$J:$J,Aut_BlueMe_Sem_Pedido!$Q:$Q,DRE!H$4,Aut_BlueMe_Sem_Pedido!$H:$H,DRE!$A267)+SUMIFS(Aut_Ajustes_Manuais!$G:$G,Aut_Ajustes_Manuais!$I:$I,DRE!H$4,Aut_Ajustes_Manuais!$F:$F,"Agência de Propaganda")</f>
        <v>-3000</v>
      </c>
      <c r="K267" s="241">
        <v>-3000</v>
      </c>
      <c r="L267" s="27">
        <v>-3000</v>
      </c>
      <c r="M267" s="28">
        <f>SUMIFS(Aut_BlueMe_Sem_Pedido!$J:$J,Aut_BlueMe_Sem_Pedido!$Q:$Q,DRE!K$4,Aut_BlueMe_Sem_Pedido!$H:$H,DRE!$A267)+SUMIFS(Aut_Ajustes_Manuais!$G:$G,Aut_Ajustes_Manuais!$I:$I,DRE!K$4,Aut_Ajustes_Manuais!$F:$F,"Agência de Propaganda")</f>
        <v>-3000</v>
      </c>
      <c r="N267" s="241">
        <v>-3000</v>
      </c>
      <c r="O267" s="27">
        <v>-3000</v>
      </c>
      <c r="P267" s="28">
        <f>SUMIFS(Aut_BlueMe_Sem_Pedido!$J:$J,Aut_BlueMe_Sem_Pedido!$Q:$Q,DRE!N$4,Aut_BlueMe_Sem_Pedido!$H:$H,DRE!$A267)+SUMIFS(Aut_Ajustes_Manuais!$G:$G,Aut_Ajustes_Manuais!$I:$I,DRE!N$4,Aut_Ajustes_Manuais!$F:$F,"Agência de Propaganda")</f>
        <v>-3000</v>
      </c>
      <c r="Q267" s="241">
        <v>-3000</v>
      </c>
      <c r="R267" s="27">
        <v>-3000</v>
      </c>
      <c r="S267" s="28">
        <f>SUMIFS(Aut_BlueMe_Sem_Pedido!$J:$J,Aut_BlueMe_Sem_Pedido!$Q:$Q,DRE!Q$4,Aut_BlueMe_Sem_Pedido!$H:$H,DRE!$A267)+SUMIFS(Aut_Ajustes_Manuais!$G:$G,Aut_Ajustes_Manuais!$I:$I,DRE!Q$4,Aut_Ajustes_Manuais!$F:$F,"Agência de Propaganda")</f>
        <v>-3000</v>
      </c>
      <c r="T267" s="241">
        <v>-3000</v>
      </c>
      <c r="U267" s="27">
        <v>-3000</v>
      </c>
      <c r="V267" s="28">
        <f>SUMIFS(Aut_BlueMe_Sem_Pedido!$J:$J,Aut_BlueMe_Sem_Pedido!$Q:$Q,DRE!T$4,Aut_BlueMe_Sem_Pedido!$H:$H,DRE!$A267)+SUMIFS(Aut_Ajustes_Manuais!$G:$G,Aut_Ajustes_Manuais!$I:$I,DRE!T$4,Aut_Ajustes_Manuais!$F:$F,"Agência de Propaganda")</f>
        <v>-3000</v>
      </c>
      <c r="W267" s="241">
        <v>-3000</v>
      </c>
      <c r="X267" s="27">
        <v>-3000</v>
      </c>
      <c r="Y267" s="28">
        <f>SUMIFS(Aut_BlueMe_Sem_Pedido!$J:$J,Aut_BlueMe_Sem_Pedido!$Q:$Q,DRE!W$4,Aut_BlueMe_Sem_Pedido!$H:$H,DRE!$A267)+SUMIFS(Aut_Ajustes_Manuais!$G:$G,Aut_Ajustes_Manuais!$I:$I,DRE!W$4,Aut_Ajustes_Manuais!$F:$F,"Agência de Propaganda")</f>
        <v>-3000</v>
      </c>
      <c r="Z267" s="241">
        <v>-3700</v>
      </c>
      <c r="AA267" s="27">
        <v>-3000</v>
      </c>
      <c r="AB267" s="28">
        <f>SUMIFS(Aut_BlueMe_Sem_Pedido!$J:$J,Aut_BlueMe_Sem_Pedido!$Q:$Q,DRE!Z$4,Aut_BlueMe_Sem_Pedido!$H:$H,DRE!$A267)+SUMIFS(Aut_Ajustes_Manuais!$G:$G,Aut_Ajustes_Manuais!$I:$I,DRE!Z$4,Aut_Ajustes_Manuais!$F:$F,"Agência de Propaganda")</f>
        <v>-3000</v>
      </c>
      <c r="AC267" s="241">
        <v>-3700</v>
      </c>
      <c r="AD267" s="27">
        <v>-3000</v>
      </c>
      <c r="AE267" s="28">
        <f>SUMIFS(Aut_BlueMe_Sem_Pedido!$J:$J,Aut_BlueMe_Sem_Pedido!$Q:$Q,DRE!AC$4,Aut_BlueMe_Sem_Pedido!$H:$H,DRE!$A267)+SUMIFS(Aut_Ajustes_Manuais!$G:$G,Aut_Ajustes_Manuais!$I:$I,DRE!AC$4,Aut_Ajustes_Manuais!$F:$F,"Agência de Propaganda")</f>
        <v>-3000</v>
      </c>
      <c r="AF267" s="241">
        <v>-3000</v>
      </c>
      <c r="AG267" s="27">
        <v>-3000</v>
      </c>
      <c r="AH267" s="28">
        <f>SUMIFS(Aut_BlueMe_Sem_Pedido!$J:$J,Aut_BlueMe_Sem_Pedido!$Q:$Q,DRE!AF$4,Aut_BlueMe_Sem_Pedido!$H:$H,DRE!$A267)+SUMIFS(Aut_Ajustes_Manuais!$G:$G,Aut_Ajustes_Manuais!$I:$I,DRE!AF$4,Aut_Ajustes_Manuais!$F:$F,"Agência de Propaganda")</f>
        <v>-3000</v>
      </c>
      <c r="AI267" s="241">
        <v>-3000</v>
      </c>
      <c r="AJ267" s="27">
        <v>-3000</v>
      </c>
      <c r="AK267" s="28">
        <f>SUMIFS(Aut_BlueMe_Sem_Pedido!$J:$J,Aut_BlueMe_Sem_Pedido!$Q:$Q,DRE!AI$4,Aut_BlueMe_Sem_Pedido!$H:$H,DRE!$A267)+SUMIFS(Aut_Ajustes_Manuais!$G:$G,Aut_Ajustes_Manuais!$I:$I,DRE!AI$4,Aut_Ajustes_Manuais!$F:$F,"Agência de Propaganda")</f>
        <v>-3000</v>
      </c>
      <c r="AL267" s="241">
        <v>-3000</v>
      </c>
      <c r="AM267" s="27">
        <v>-3000</v>
      </c>
      <c r="AN267" s="28">
        <f>SUMIFS(Aut_BlueMe_Sem_Pedido!$J:$J,Aut_BlueMe_Sem_Pedido!$Q:$Q,DRE!AL$4,Aut_BlueMe_Sem_Pedido!$H:$H,DRE!$A267)+SUMIFS(Aut_Ajustes_Manuais!$G:$G,Aut_Ajustes_Manuais!$I:$I,DRE!AL$4,Aut_Ajustes_Manuais!$F:$F,"Agência de Propaganda")</f>
        <v>-3000</v>
      </c>
      <c r="AO267" s="241">
        <v>-3000</v>
      </c>
      <c r="AP267" s="27">
        <v>-3000</v>
      </c>
      <c r="AQ267" s="28">
        <f>SUMIFS(Aut_BlueMe_Sem_Pedido!$J:$J,Aut_BlueMe_Sem_Pedido!$Q:$Q,DRE!AO$4,Aut_BlueMe_Sem_Pedido!$H:$H,DRE!$A267)+SUMIFS(Aut_Ajustes_Manuais!$G:$G,Aut_Ajustes_Manuais!$I:$I,DRE!AO$4,Aut_Ajustes_Manuais!$F:$F,"Agência de Propaganda")</f>
        <v>-3000</v>
      </c>
      <c r="AR267" s="241">
        <f t="shared" ref="AR267:AR277" ca="1" si="255">SUMIFS($H267:$AO267,$H$5:$AO$5,"&lt;"&amp;MONTH(TODAY()),$H$6:$AO$6,"REAL 25")</f>
        <v>-18000</v>
      </c>
      <c r="AS267" s="27">
        <f t="shared" ref="AS267:AS277" ca="1" si="256">SUMIFS($I267:$AP267,$I$5:$AP$5,"&lt;"&amp;MONTH(TODAY()),$I$6:$AP$6,"ORÇADO ")</f>
        <v>-18000</v>
      </c>
      <c r="AT267" s="28">
        <f t="shared" ref="AT267:AT277" ca="1" si="257">SUMIFS($J267:$AQ267,$J$5:$AQ$5,"&lt;"&amp;MONTH(TODAY()),$J$6:$AQ$6,"REAL 26")</f>
        <v>-18000</v>
      </c>
      <c r="AU267" s="241">
        <f t="shared" ref="AU267:AU277" si="258">SUM(H267,K267,N267,Q267,T267,W267,Z267,AC267,AF267,AI267,AL267,AO267)</f>
        <v>-37400</v>
      </c>
      <c r="AV267" s="27">
        <f t="shared" ref="AV267:AV277" si="259">SUM(I267,L267,O267,R267,U267,X267,AA267,AD267,AG267,AJ267,AM267,AP267)</f>
        <v>-36000</v>
      </c>
      <c r="AW267" s="28">
        <f t="shared" ref="AW267:AW277" si="260">SUM(J267,M267,P267,S267,V267,Y267,AB267,AE267,AH267,AK267,AN267,AQ267)</f>
        <v>-36000</v>
      </c>
      <c r="AX267" s="241">
        <f t="shared" ref="AX267:AX277" si="261">SUM(H267,K267,N267)</f>
        <v>-9000</v>
      </c>
      <c r="AY267" s="27">
        <f t="shared" ref="AY267:AY277" si="262">SUM(I267,L267,O267)</f>
        <v>-9000</v>
      </c>
      <c r="AZ267" s="28">
        <f t="shared" ref="AZ267:AZ277" si="263">SUM(J267,M267,P267)</f>
        <v>-9000</v>
      </c>
      <c r="BA267" s="241">
        <f t="shared" ref="BA267:BA277" si="264">SUM(Q267,T267,W267)</f>
        <v>-9000</v>
      </c>
      <c r="BB267" s="27">
        <f t="shared" ref="BB267:BB277" si="265">SUM(R267,U267,X267)</f>
        <v>-9000</v>
      </c>
      <c r="BC267" s="28">
        <f t="shared" ref="BC267:BC277" si="266">SUM(S267,V267,Y267)</f>
        <v>-9000</v>
      </c>
      <c r="BD267" s="241">
        <f t="shared" ref="BD267:BD277" si="267">SUM(Z267,AC267,AF267)</f>
        <v>-10400</v>
      </c>
      <c r="BE267" s="27">
        <f t="shared" ref="BE267:BE277" si="268">SUM(AA267,AD267,AG267)</f>
        <v>-9000</v>
      </c>
      <c r="BF267" s="28">
        <f t="shared" ref="BF267:BF277" si="269">SUM(AB267,AE267,AH267)</f>
        <v>-9000</v>
      </c>
      <c r="BG267" s="241">
        <f t="shared" ref="BG267:BG277" si="270">SUM(AI267,AL267,AO267)</f>
        <v>-9000</v>
      </c>
      <c r="BH267" s="27">
        <f t="shared" ref="BH267:BH277" si="271">SUM(AJ267,AM267,AP267)</f>
        <v>-9000</v>
      </c>
      <c r="BI267" s="28">
        <f t="shared" ref="BI267:BI277" si="272">SUM(AK267,AN267,AQ267)</f>
        <v>-9000</v>
      </c>
      <c r="BK267" s="448">
        <f t="shared" si="250"/>
        <v>-36000</v>
      </c>
      <c r="BL267" s="448">
        <f t="shared" si="251"/>
        <v>0</v>
      </c>
      <c r="BM267" s="448">
        <f t="shared" si="252"/>
        <v>-15000</v>
      </c>
      <c r="BN267" s="448">
        <f t="shared" ca="1" si="253"/>
        <v>3000</v>
      </c>
    </row>
    <row r="268" spans="1:66" s="29" customFormat="1" hidden="1" outlineLevel="1" x14ac:dyDescent="0.3">
      <c r="A268" s="22" t="s">
        <v>299</v>
      </c>
      <c r="B268" s="23"/>
      <c r="C268" s="24" t="s">
        <v>69</v>
      </c>
      <c r="D268" s="116"/>
      <c r="E268" s="115"/>
      <c r="F268" s="56"/>
      <c r="G268" s="33"/>
      <c r="H268" s="241">
        <v>-460</v>
      </c>
      <c r="I268" s="27">
        <v>-525</v>
      </c>
      <c r="J268" s="28">
        <f>SUMIFS(Aut_BlueMe_Sem_Pedido!$J:$J,Aut_BlueMe_Sem_Pedido!$Q:$Q,DRE!H$4,Aut_BlueMe_Sem_Pedido!$H:$H,DRE!$A268)+SUMIFS(Aut_Ajustes_Manuais!$G:$G,Aut_Ajustes_Manuais!$I:$I,DRE!H$4,Aut_Ajustes_Manuais!$F:$F,"Assessoria de Imprensa")</f>
        <v>-500</v>
      </c>
      <c r="K268" s="241">
        <v>-460</v>
      </c>
      <c r="L268" s="27">
        <v>-525</v>
      </c>
      <c r="M268" s="28">
        <f>SUMIFS(Aut_BlueMe_Sem_Pedido!$J:$J,Aut_BlueMe_Sem_Pedido!$Q:$Q,DRE!K$4,Aut_BlueMe_Sem_Pedido!$H:$H,DRE!$A268)+SUMIFS(Aut_Ajustes_Manuais!$G:$G,Aut_Ajustes_Manuais!$I:$I,DRE!K$4,Aut_Ajustes_Manuais!$F:$F,"Assessoria de Imprensa")</f>
        <v>-500</v>
      </c>
      <c r="N268" s="241">
        <v>-460</v>
      </c>
      <c r="O268" s="27">
        <v>-525</v>
      </c>
      <c r="P268" s="28">
        <f>SUMIFS(Aut_BlueMe_Sem_Pedido!$J:$J,Aut_BlueMe_Sem_Pedido!$Q:$Q,DRE!N$4,Aut_BlueMe_Sem_Pedido!$H:$H,DRE!$A268)+SUMIFS(Aut_Ajustes_Manuais!$G:$G,Aut_Ajustes_Manuais!$I:$I,DRE!N$4,Aut_Ajustes_Manuais!$F:$F,"Assessoria de Imprensa")</f>
        <v>-500</v>
      </c>
      <c r="Q268" s="241">
        <v>-500</v>
      </c>
      <c r="R268" s="27">
        <v>-525</v>
      </c>
      <c r="S268" s="28">
        <f>SUMIFS(Aut_BlueMe_Sem_Pedido!$J:$J,Aut_BlueMe_Sem_Pedido!$Q:$Q,DRE!Q$4,Aut_BlueMe_Sem_Pedido!$H:$H,DRE!$A268)+SUMIFS(Aut_Ajustes_Manuais!$G:$G,Aut_Ajustes_Manuais!$I:$I,DRE!Q$4,Aut_Ajustes_Manuais!$F:$F,"Assessoria de Imprensa")</f>
        <v>-500</v>
      </c>
      <c r="T268" s="241">
        <v>-500</v>
      </c>
      <c r="U268" s="27">
        <v>-525</v>
      </c>
      <c r="V268" s="28">
        <f>SUMIFS(Aut_BlueMe_Sem_Pedido!$J:$J,Aut_BlueMe_Sem_Pedido!$Q:$Q,DRE!T$4,Aut_BlueMe_Sem_Pedido!$H:$H,DRE!$A268)+SUMIFS(Aut_Ajustes_Manuais!$G:$G,Aut_Ajustes_Manuais!$I:$I,DRE!T$4,Aut_Ajustes_Manuais!$F:$F,"Assessoria de Imprensa")</f>
        <v>-500</v>
      </c>
      <c r="W268" s="241">
        <v>-500</v>
      </c>
      <c r="X268" s="27">
        <v>-525</v>
      </c>
      <c r="Y268" s="28">
        <f>SUMIFS(Aut_BlueMe_Sem_Pedido!$J:$J,Aut_BlueMe_Sem_Pedido!$Q:$Q,DRE!W$4,Aut_BlueMe_Sem_Pedido!$H:$H,DRE!$A268)+SUMIFS(Aut_Ajustes_Manuais!$G:$G,Aut_Ajustes_Manuais!$I:$I,DRE!W$4,Aut_Ajustes_Manuais!$F:$F,"Assessoria de Imprensa")</f>
        <v>-500</v>
      </c>
      <c r="Z268" s="241">
        <v>-500</v>
      </c>
      <c r="AA268" s="27">
        <v>-525</v>
      </c>
      <c r="AB268" s="28">
        <f>SUMIFS(Aut_BlueMe_Sem_Pedido!$J:$J,Aut_BlueMe_Sem_Pedido!$Q:$Q,DRE!Z$4,Aut_BlueMe_Sem_Pedido!$H:$H,DRE!$A268)+SUMIFS(Aut_Ajustes_Manuais!$G:$G,Aut_Ajustes_Manuais!$I:$I,DRE!Z$4,Aut_Ajustes_Manuais!$F:$F,"Assessoria de Imprensa")</f>
        <v>-500</v>
      </c>
      <c r="AC268" s="241">
        <v>-500</v>
      </c>
      <c r="AD268" s="27">
        <v>-525</v>
      </c>
      <c r="AE268" s="28">
        <f>SUMIFS(Aut_BlueMe_Sem_Pedido!$J:$J,Aut_BlueMe_Sem_Pedido!$Q:$Q,DRE!AC$4,Aut_BlueMe_Sem_Pedido!$H:$H,DRE!$A268)+SUMIFS(Aut_Ajustes_Manuais!$G:$G,Aut_Ajustes_Manuais!$I:$I,DRE!AC$4,Aut_Ajustes_Manuais!$F:$F,"Assessoria de Imprensa")</f>
        <v>-500</v>
      </c>
      <c r="AF268" s="241">
        <v>-500</v>
      </c>
      <c r="AG268" s="27">
        <v>-525</v>
      </c>
      <c r="AH268" s="28">
        <f>SUMIFS(Aut_BlueMe_Sem_Pedido!$J:$J,Aut_BlueMe_Sem_Pedido!$Q:$Q,DRE!AF$4,Aut_BlueMe_Sem_Pedido!$H:$H,DRE!$A268)+SUMIFS(Aut_Ajustes_Manuais!$G:$G,Aut_Ajustes_Manuais!$I:$I,DRE!AF$4,Aut_Ajustes_Manuais!$F:$F,"Assessoria de Imprensa")</f>
        <v>-500</v>
      </c>
      <c r="AI268" s="241">
        <v>-500</v>
      </c>
      <c r="AJ268" s="27">
        <v>-525</v>
      </c>
      <c r="AK268" s="28">
        <f>SUMIFS(Aut_BlueMe_Sem_Pedido!$J:$J,Aut_BlueMe_Sem_Pedido!$Q:$Q,DRE!AI$4,Aut_BlueMe_Sem_Pedido!$H:$H,DRE!$A268)+SUMIFS(Aut_Ajustes_Manuais!$G:$G,Aut_Ajustes_Manuais!$I:$I,DRE!AI$4,Aut_Ajustes_Manuais!$F:$F,"Assessoria de Imprensa")</f>
        <v>-500</v>
      </c>
      <c r="AL268" s="241">
        <v>-500</v>
      </c>
      <c r="AM268" s="27">
        <v>-525</v>
      </c>
      <c r="AN268" s="28">
        <f>SUMIFS(Aut_BlueMe_Sem_Pedido!$J:$J,Aut_BlueMe_Sem_Pedido!$Q:$Q,DRE!AL$4,Aut_BlueMe_Sem_Pedido!$H:$H,DRE!$A268)+SUMIFS(Aut_Ajustes_Manuais!$G:$G,Aut_Ajustes_Manuais!$I:$I,DRE!AL$4,Aut_Ajustes_Manuais!$F:$F,"Assessoria de Imprensa")</f>
        <v>-500</v>
      </c>
      <c r="AO268" s="241">
        <v>-500</v>
      </c>
      <c r="AP268" s="27">
        <v>-525</v>
      </c>
      <c r="AQ268" s="28">
        <f>SUMIFS(Aut_BlueMe_Sem_Pedido!$J:$J,Aut_BlueMe_Sem_Pedido!$Q:$Q,DRE!AO$4,Aut_BlueMe_Sem_Pedido!$H:$H,DRE!$A268)+SUMIFS(Aut_Ajustes_Manuais!$G:$G,Aut_Ajustes_Manuais!$I:$I,DRE!AO$4,Aut_Ajustes_Manuais!$F:$F,"Assessoria de Imprensa")</f>
        <v>-500</v>
      </c>
      <c r="AR268" s="241">
        <f t="shared" ca="1" si="255"/>
        <v>-2880</v>
      </c>
      <c r="AS268" s="27">
        <f t="shared" ca="1" si="256"/>
        <v>-3150</v>
      </c>
      <c r="AT268" s="28">
        <f t="shared" ca="1" si="257"/>
        <v>-3000</v>
      </c>
      <c r="AU268" s="241">
        <f t="shared" si="258"/>
        <v>-5880</v>
      </c>
      <c r="AV268" s="27">
        <f t="shared" si="259"/>
        <v>-6300</v>
      </c>
      <c r="AW268" s="28">
        <f t="shared" si="260"/>
        <v>-6000</v>
      </c>
      <c r="AX268" s="241">
        <f t="shared" si="261"/>
        <v>-1380</v>
      </c>
      <c r="AY268" s="27">
        <f t="shared" si="262"/>
        <v>-1575</v>
      </c>
      <c r="AZ268" s="28">
        <f t="shared" si="263"/>
        <v>-1500</v>
      </c>
      <c r="BA268" s="241">
        <f t="shared" si="264"/>
        <v>-1500</v>
      </c>
      <c r="BB268" s="27">
        <f t="shared" si="265"/>
        <v>-1575</v>
      </c>
      <c r="BC268" s="28">
        <f t="shared" si="266"/>
        <v>-1500</v>
      </c>
      <c r="BD268" s="241">
        <f t="shared" si="267"/>
        <v>-1500</v>
      </c>
      <c r="BE268" s="27">
        <f t="shared" si="268"/>
        <v>-1575</v>
      </c>
      <c r="BF268" s="28">
        <f t="shared" si="269"/>
        <v>-1500</v>
      </c>
      <c r="BG268" s="241">
        <f t="shared" si="270"/>
        <v>-1500</v>
      </c>
      <c r="BH268" s="27">
        <f t="shared" si="271"/>
        <v>-1575</v>
      </c>
      <c r="BI268" s="28">
        <f t="shared" si="272"/>
        <v>-1500</v>
      </c>
      <c r="BK268" s="448">
        <f t="shared" si="250"/>
        <v>-6300</v>
      </c>
      <c r="BL268" s="448">
        <f t="shared" si="251"/>
        <v>0</v>
      </c>
      <c r="BM268" s="448">
        <f t="shared" si="252"/>
        <v>-2500</v>
      </c>
      <c r="BN268" s="448">
        <f t="shared" ca="1" si="253"/>
        <v>500</v>
      </c>
    </row>
    <row r="269" spans="1:66" s="29" customFormat="1" hidden="1" outlineLevel="1" x14ac:dyDescent="0.3">
      <c r="A269" s="22" t="s">
        <v>300</v>
      </c>
      <c r="B269" s="23"/>
      <c r="C269" s="24" t="s">
        <v>69</v>
      </c>
      <c r="D269" s="116"/>
      <c r="E269" s="115"/>
      <c r="F269" s="56"/>
      <c r="G269" s="33"/>
      <c r="H269" s="241">
        <v>0</v>
      </c>
      <c r="I269" s="27">
        <v>0</v>
      </c>
      <c r="J269" s="28">
        <f>SUMIFS(Aut_BlueMe_Sem_Pedido!$J:$J,Aut_BlueMe_Sem_Pedido!$Q:$Q,DRE!H$4,Aut_BlueMe_Sem_Pedido!$H:$H,DRE!$A269)+SUMIFS(Aut_Ajustes_Manuais!$G:$G,Aut_Ajustes_Manuais!$I:$I,DRE!H$4,Aut_Ajustes_Manuais!$F:$F,"Assessoria de Relações Públicas")</f>
        <v>0</v>
      </c>
      <c r="K269" s="241">
        <v>0</v>
      </c>
      <c r="L269" s="27">
        <v>0</v>
      </c>
      <c r="M269" s="28">
        <f>SUMIFS(Aut_BlueMe_Sem_Pedido!$J:$J,Aut_BlueMe_Sem_Pedido!$Q:$Q,DRE!K$4,Aut_BlueMe_Sem_Pedido!$H:$H,DRE!$A269)+SUMIFS(Aut_Ajustes_Manuais!$G:$G,Aut_Ajustes_Manuais!$I:$I,DRE!K$4,Aut_Ajustes_Manuais!$F:$F,"Assessoria de Relações Públicas")</f>
        <v>0</v>
      </c>
      <c r="N269" s="241">
        <v>0</v>
      </c>
      <c r="O269" s="27">
        <v>0</v>
      </c>
      <c r="P269" s="28">
        <f>SUMIFS(Aut_BlueMe_Sem_Pedido!$J:$J,Aut_BlueMe_Sem_Pedido!$Q:$Q,DRE!N$4,Aut_BlueMe_Sem_Pedido!$H:$H,DRE!$A269)+SUMIFS(Aut_Ajustes_Manuais!$G:$G,Aut_Ajustes_Manuais!$I:$I,DRE!N$4,Aut_Ajustes_Manuais!$F:$F,"Assessoria de Relações Públicas")</f>
        <v>0</v>
      </c>
      <c r="Q269" s="241">
        <v>0</v>
      </c>
      <c r="R269" s="27">
        <v>0</v>
      </c>
      <c r="S269" s="28">
        <f>SUMIFS(Aut_BlueMe_Sem_Pedido!$J:$J,Aut_BlueMe_Sem_Pedido!$Q:$Q,DRE!Q$4,Aut_BlueMe_Sem_Pedido!$H:$H,DRE!$A269)+SUMIFS(Aut_Ajustes_Manuais!$G:$G,Aut_Ajustes_Manuais!$I:$I,DRE!Q$4,Aut_Ajustes_Manuais!$F:$F,"Assessoria de Relações Públicas")</f>
        <v>0</v>
      </c>
      <c r="T269" s="241">
        <v>0</v>
      </c>
      <c r="U269" s="27">
        <v>0</v>
      </c>
      <c r="V269" s="28">
        <f>SUMIFS(Aut_BlueMe_Sem_Pedido!$J:$J,Aut_BlueMe_Sem_Pedido!$Q:$Q,DRE!T$4,Aut_BlueMe_Sem_Pedido!$H:$H,DRE!$A269)+SUMIFS(Aut_Ajustes_Manuais!$G:$G,Aut_Ajustes_Manuais!$I:$I,DRE!T$4,Aut_Ajustes_Manuais!$F:$F,"Assessoria de Relações Públicas")</f>
        <v>0</v>
      </c>
      <c r="W269" s="241">
        <v>0</v>
      </c>
      <c r="X269" s="27">
        <v>0</v>
      </c>
      <c r="Y269" s="28">
        <f>SUMIFS(Aut_BlueMe_Sem_Pedido!$J:$J,Aut_BlueMe_Sem_Pedido!$Q:$Q,DRE!W$4,Aut_BlueMe_Sem_Pedido!$H:$H,DRE!$A269)+SUMIFS(Aut_Ajustes_Manuais!$G:$G,Aut_Ajustes_Manuais!$I:$I,DRE!W$4,Aut_Ajustes_Manuais!$F:$F,"Assessoria de Relações Públicas")</f>
        <v>0</v>
      </c>
      <c r="Z269" s="241">
        <v>0</v>
      </c>
      <c r="AA269" s="27">
        <v>0</v>
      </c>
      <c r="AB269" s="28">
        <f>SUMIFS(Aut_BlueMe_Sem_Pedido!$J:$J,Aut_BlueMe_Sem_Pedido!$Q:$Q,DRE!Z$4,Aut_BlueMe_Sem_Pedido!$H:$H,DRE!$A269)+SUMIFS(Aut_Ajustes_Manuais!$G:$G,Aut_Ajustes_Manuais!$I:$I,DRE!Z$4,Aut_Ajustes_Manuais!$F:$F,"Assessoria de Relações Públicas")</f>
        <v>0</v>
      </c>
      <c r="AC269" s="241">
        <v>0</v>
      </c>
      <c r="AD269" s="27">
        <v>0</v>
      </c>
      <c r="AE269" s="28">
        <f>SUMIFS(Aut_BlueMe_Sem_Pedido!$J:$J,Aut_BlueMe_Sem_Pedido!$Q:$Q,DRE!AC$4,Aut_BlueMe_Sem_Pedido!$H:$H,DRE!$A269)+SUMIFS(Aut_Ajustes_Manuais!$G:$G,Aut_Ajustes_Manuais!$I:$I,DRE!AC$4,Aut_Ajustes_Manuais!$F:$F,"Assessoria de Relações Públicas")</f>
        <v>0</v>
      </c>
      <c r="AF269" s="241">
        <v>0</v>
      </c>
      <c r="AG269" s="27">
        <v>0</v>
      </c>
      <c r="AH269" s="28">
        <f>SUMIFS(Aut_BlueMe_Sem_Pedido!$J:$J,Aut_BlueMe_Sem_Pedido!$Q:$Q,DRE!AF$4,Aut_BlueMe_Sem_Pedido!$H:$H,DRE!$A269)+SUMIFS(Aut_Ajustes_Manuais!$G:$G,Aut_Ajustes_Manuais!$I:$I,DRE!AF$4,Aut_Ajustes_Manuais!$F:$F,"Assessoria de Relações Públicas")</f>
        <v>0</v>
      </c>
      <c r="AI269" s="241">
        <v>0</v>
      </c>
      <c r="AJ269" s="27">
        <v>0</v>
      </c>
      <c r="AK269" s="28">
        <f>SUMIFS(Aut_BlueMe_Sem_Pedido!$J:$J,Aut_BlueMe_Sem_Pedido!$Q:$Q,DRE!AI$4,Aut_BlueMe_Sem_Pedido!$H:$H,DRE!$A269)+SUMIFS(Aut_Ajustes_Manuais!$G:$G,Aut_Ajustes_Manuais!$I:$I,DRE!AI$4,Aut_Ajustes_Manuais!$F:$F,"Assessoria de Relações Públicas")</f>
        <v>0</v>
      </c>
      <c r="AL269" s="241">
        <v>0</v>
      </c>
      <c r="AM269" s="27">
        <v>0</v>
      </c>
      <c r="AN269" s="28">
        <f>SUMIFS(Aut_BlueMe_Sem_Pedido!$J:$J,Aut_BlueMe_Sem_Pedido!$Q:$Q,DRE!AL$4,Aut_BlueMe_Sem_Pedido!$H:$H,DRE!$A269)+SUMIFS(Aut_Ajustes_Manuais!$G:$G,Aut_Ajustes_Manuais!$I:$I,DRE!AL$4,Aut_Ajustes_Manuais!$F:$F,"Assessoria de Relações Públicas")</f>
        <v>0</v>
      </c>
      <c r="AO269" s="241">
        <v>0</v>
      </c>
      <c r="AP269" s="27">
        <v>0</v>
      </c>
      <c r="AQ269" s="28">
        <f>SUMIFS(Aut_BlueMe_Sem_Pedido!$J:$J,Aut_BlueMe_Sem_Pedido!$Q:$Q,DRE!AO$4,Aut_BlueMe_Sem_Pedido!$H:$H,DRE!$A269)+SUMIFS(Aut_Ajustes_Manuais!$G:$G,Aut_Ajustes_Manuais!$I:$I,DRE!AO$4,Aut_Ajustes_Manuais!$F:$F,"Assessoria de Relações Públicas")</f>
        <v>0</v>
      </c>
      <c r="AR269" s="241">
        <f t="shared" ca="1" si="255"/>
        <v>0</v>
      </c>
      <c r="AS269" s="27">
        <f t="shared" ca="1" si="256"/>
        <v>0</v>
      </c>
      <c r="AT269" s="28">
        <f t="shared" ca="1" si="257"/>
        <v>0</v>
      </c>
      <c r="AU269" s="241">
        <f t="shared" si="258"/>
        <v>0</v>
      </c>
      <c r="AV269" s="27">
        <f t="shared" si="259"/>
        <v>0</v>
      </c>
      <c r="AW269" s="28">
        <f t="shared" si="260"/>
        <v>0</v>
      </c>
      <c r="AX269" s="241">
        <f t="shared" si="261"/>
        <v>0</v>
      </c>
      <c r="AY269" s="27">
        <f t="shared" si="262"/>
        <v>0</v>
      </c>
      <c r="AZ269" s="28">
        <f t="shared" si="263"/>
        <v>0</v>
      </c>
      <c r="BA269" s="241">
        <f t="shared" si="264"/>
        <v>0</v>
      </c>
      <c r="BB269" s="27">
        <f t="shared" si="265"/>
        <v>0</v>
      </c>
      <c r="BC269" s="28">
        <f t="shared" si="266"/>
        <v>0</v>
      </c>
      <c r="BD269" s="241">
        <f t="shared" si="267"/>
        <v>0</v>
      </c>
      <c r="BE269" s="27">
        <f t="shared" si="268"/>
        <v>0</v>
      </c>
      <c r="BF269" s="28">
        <f t="shared" si="269"/>
        <v>0</v>
      </c>
      <c r="BG269" s="241">
        <f t="shared" si="270"/>
        <v>0</v>
      </c>
      <c r="BH269" s="27">
        <f t="shared" si="271"/>
        <v>0</v>
      </c>
      <c r="BI269" s="28">
        <f t="shared" si="272"/>
        <v>0</v>
      </c>
      <c r="BK269" s="448">
        <f t="shared" si="250"/>
        <v>0</v>
      </c>
      <c r="BL269" s="448">
        <f t="shared" si="251"/>
        <v>0</v>
      </c>
      <c r="BM269" s="448">
        <f t="shared" si="252"/>
        <v>0</v>
      </c>
      <c r="BN269" s="448">
        <f t="shared" ca="1" si="253"/>
        <v>0</v>
      </c>
    </row>
    <row r="270" spans="1:66" s="29" customFormat="1" hidden="1" outlineLevel="1" x14ac:dyDescent="0.3">
      <c r="A270" s="22" t="s">
        <v>301</v>
      </c>
      <c r="B270" s="23"/>
      <c r="C270" s="24" t="s">
        <v>62</v>
      </c>
      <c r="D270" s="121"/>
      <c r="E270" s="114"/>
      <c r="F270" s="56"/>
      <c r="G270" s="33"/>
      <c r="H270" s="241">
        <v>0</v>
      </c>
      <c r="I270" s="27">
        <v>-1917.46138</v>
      </c>
      <c r="J270" s="28">
        <f>SUMIFS(Aut_BlueMe_Sem_Pedido!$J:$J,Aut_BlueMe_Sem_Pedido!$Q:$Q,DRE!H$4,Aut_BlueMe_Sem_Pedido!$H:$H,DRE!$A270)+SUMIFS(Aut_Ajustes_Manuais!$G:$G,Aut_Ajustes_Manuais!$I:$I,DRE!H$4,Aut_Ajustes_Manuais!$F:$F,"Influenciadores")</f>
        <v>0</v>
      </c>
      <c r="K270" s="241">
        <v>0</v>
      </c>
      <c r="L270" s="27">
        <v>-6295.1834799999979</v>
      </c>
      <c r="M270" s="28">
        <f>SUMIFS(Aut_BlueMe_Sem_Pedido!$J:$J,Aut_BlueMe_Sem_Pedido!$Q:$Q,DRE!K$4,Aut_BlueMe_Sem_Pedido!$H:$H,DRE!$A270)+SUMIFS(Aut_Ajustes_Manuais!$G:$G,Aut_Ajustes_Manuais!$I:$I,DRE!K$4,Aut_Ajustes_Manuais!$F:$F,"Influenciadores")</f>
        <v>0</v>
      </c>
      <c r="N270" s="241">
        <v>0</v>
      </c>
      <c r="O270" s="27">
        <v>-2173.50875</v>
      </c>
      <c r="P270" s="28">
        <f>SUMIFS(Aut_BlueMe_Sem_Pedido!$J:$J,Aut_BlueMe_Sem_Pedido!$Q:$Q,DRE!N$4,Aut_BlueMe_Sem_Pedido!$H:$H,DRE!$A270)+SUMIFS(Aut_Ajustes_Manuais!$G:$G,Aut_Ajustes_Manuais!$I:$I,DRE!N$4,Aut_Ajustes_Manuais!$F:$F,"Influenciadores")</f>
        <v>0</v>
      </c>
      <c r="Q270" s="241">
        <v>0</v>
      </c>
      <c r="R270" s="27">
        <v>-9985.1859279999971</v>
      </c>
      <c r="S270" s="28">
        <f>SUMIFS(Aut_BlueMe_Sem_Pedido!$J:$J,Aut_BlueMe_Sem_Pedido!$Q:$Q,DRE!Q$4,Aut_BlueMe_Sem_Pedido!$H:$H,DRE!$A270)+SUMIFS(Aut_Ajustes_Manuais!$G:$G,Aut_Ajustes_Manuais!$I:$I,DRE!Q$4,Aut_Ajustes_Manuais!$F:$F,"Influenciadores")</f>
        <v>0</v>
      </c>
      <c r="T270" s="241">
        <v>0</v>
      </c>
      <c r="U270" s="27">
        <v>-3845.0596080000009</v>
      </c>
      <c r="V270" s="28">
        <f>SUMIFS(Aut_BlueMe_Sem_Pedido!$J:$J,Aut_BlueMe_Sem_Pedido!$Q:$Q,DRE!T$4,Aut_BlueMe_Sem_Pedido!$H:$H,DRE!$A270)+SUMIFS(Aut_Ajustes_Manuais!$G:$G,Aut_Ajustes_Manuais!$I:$I,DRE!T$4,Aut_Ajustes_Manuais!$F:$F,"Influenciadores")</f>
        <v>0</v>
      </c>
      <c r="W270" s="241">
        <v>0</v>
      </c>
      <c r="X270" s="27">
        <v>-9341.0488399999995</v>
      </c>
      <c r="Y270" s="28">
        <f>SUMIFS(Aut_BlueMe_Sem_Pedido!$J:$J,Aut_BlueMe_Sem_Pedido!$Q:$Q,DRE!W$4,Aut_BlueMe_Sem_Pedido!$H:$H,DRE!$A270)+SUMIFS(Aut_Ajustes_Manuais!$G:$G,Aut_Ajustes_Manuais!$I:$I,DRE!W$4,Aut_Ajustes_Manuais!$F:$F,"Influenciadores")</f>
        <v>0</v>
      </c>
      <c r="Z270" s="241">
        <v>0</v>
      </c>
      <c r="AA270" s="27">
        <v>-2204.9471200000012</v>
      </c>
      <c r="AB270" s="28">
        <f>SUMIFS(Aut_BlueMe_Sem_Pedido!$J:$J,Aut_BlueMe_Sem_Pedido!$Q:$Q,DRE!Z$4,Aut_BlueMe_Sem_Pedido!$H:$H,DRE!$A270)+SUMIFS(Aut_Ajustes_Manuais!$G:$G,Aut_Ajustes_Manuais!$I:$I,DRE!Z$4,Aut_Ajustes_Manuais!$F:$F,"Influenciadores")</f>
        <v>0</v>
      </c>
      <c r="AC270" s="241">
        <v>0</v>
      </c>
      <c r="AD270" s="27">
        <v>-2383.3666600000001</v>
      </c>
      <c r="AE270" s="28">
        <f>SUMIFS(Aut_BlueMe_Sem_Pedido!$J:$J,Aut_BlueMe_Sem_Pedido!$Q:$Q,DRE!AC$4,Aut_BlueMe_Sem_Pedido!$H:$H,DRE!$A270)+SUMIFS(Aut_Ajustes_Manuais!$G:$G,Aut_Ajustes_Manuais!$I:$I,DRE!AC$4,Aut_Ajustes_Manuais!$F:$F,"Influenciadores")</f>
        <v>0</v>
      </c>
      <c r="AF270" s="241">
        <v>0</v>
      </c>
      <c r="AG270" s="27">
        <v>-1469.6942144</v>
      </c>
      <c r="AH270" s="28">
        <f>SUMIFS(Aut_BlueMe_Sem_Pedido!$J:$J,Aut_BlueMe_Sem_Pedido!$Q:$Q,DRE!AF$4,Aut_BlueMe_Sem_Pedido!$H:$H,DRE!$A270)+SUMIFS(Aut_Ajustes_Manuais!$G:$G,Aut_Ajustes_Manuais!$I:$I,DRE!AF$4,Aut_Ajustes_Manuais!$F:$F,"Influenciadores")</f>
        <v>0</v>
      </c>
      <c r="AI270" s="241">
        <v>0</v>
      </c>
      <c r="AJ270" s="27">
        <v>-1746.01936</v>
      </c>
      <c r="AK270" s="28">
        <f>SUMIFS(Aut_BlueMe_Sem_Pedido!$J:$J,Aut_BlueMe_Sem_Pedido!$Q:$Q,DRE!AI$4,Aut_BlueMe_Sem_Pedido!$H:$H,DRE!$A270)+SUMIFS(Aut_Ajustes_Manuais!$G:$G,Aut_Ajustes_Manuais!$I:$I,DRE!AI$4,Aut_Ajustes_Manuais!$F:$F,"Influenciadores")</f>
        <v>0</v>
      </c>
      <c r="AL270" s="241">
        <v>0</v>
      </c>
      <c r="AM270" s="27">
        <v>-10961.5</v>
      </c>
      <c r="AN270" s="28">
        <f>SUMIFS(Aut_BlueMe_Sem_Pedido!$J:$J,Aut_BlueMe_Sem_Pedido!$Q:$Q,DRE!AL$4,Aut_BlueMe_Sem_Pedido!$H:$H,DRE!$A270)+SUMIFS(Aut_Ajustes_Manuais!$G:$G,Aut_Ajustes_Manuais!$I:$I,DRE!AL$4,Aut_Ajustes_Manuais!$F:$F,"Influenciadores")</f>
        <v>0</v>
      </c>
      <c r="AO270" s="241">
        <v>0</v>
      </c>
      <c r="AP270" s="27">
        <v>-932.5</v>
      </c>
      <c r="AQ270" s="28">
        <f>SUMIFS(Aut_BlueMe_Sem_Pedido!$J:$J,Aut_BlueMe_Sem_Pedido!$Q:$Q,DRE!AO$4,Aut_BlueMe_Sem_Pedido!$H:$H,DRE!$A270)+SUMIFS(Aut_Ajustes_Manuais!$G:$G,Aut_Ajustes_Manuais!$I:$I,DRE!AO$4,Aut_Ajustes_Manuais!$F:$F,"Influenciadores")</f>
        <v>0</v>
      </c>
      <c r="AR270" s="241">
        <f t="shared" ca="1" si="255"/>
        <v>0</v>
      </c>
      <c r="AS270" s="27">
        <f t="shared" ca="1" si="256"/>
        <v>-33557.447985999992</v>
      </c>
      <c r="AT270" s="28">
        <f t="shared" ca="1" si="257"/>
        <v>0</v>
      </c>
      <c r="AU270" s="241">
        <f t="shared" si="258"/>
        <v>0</v>
      </c>
      <c r="AV270" s="27">
        <f t="shared" si="259"/>
        <v>-53255.475340399993</v>
      </c>
      <c r="AW270" s="28">
        <f t="shared" si="260"/>
        <v>0</v>
      </c>
      <c r="AX270" s="241">
        <f t="shared" si="261"/>
        <v>0</v>
      </c>
      <c r="AY270" s="27">
        <f t="shared" si="262"/>
        <v>-10386.153609999998</v>
      </c>
      <c r="AZ270" s="28">
        <f t="shared" si="263"/>
        <v>0</v>
      </c>
      <c r="BA270" s="241">
        <f t="shared" si="264"/>
        <v>0</v>
      </c>
      <c r="BB270" s="27">
        <f t="shared" si="265"/>
        <v>-23171.294375999998</v>
      </c>
      <c r="BC270" s="28">
        <f t="shared" si="266"/>
        <v>0</v>
      </c>
      <c r="BD270" s="241">
        <f t="shared" si="267"/>
        <v>0</v>
      </c>
      <c r="BE270" s="27">
        <f t="shared" si="268"/>
        <v>-6058.0079944000008</v>
      </c>
      <c r="BF270" s="28">
        <f t="shared" si="269"/>
        <v>0</v>
      </c>
      <c r="BG270" s="241">
        <f t="shared" si="270"/>
        <v>0</v>
      </c>
      <c r="BH270" s="27">
        <f t="shared" si="271"/>
        <v>-13640.01936</v>
      </c>
      <c r="BI270" s="28">
        <f t="shared" si="272"/>
        <v>0</v>
      </c>
      <c r="BK270" s="448">
        <f t="shared" si="250"/>
        <v>-53255.475340399993</v>
      </c>
      <c r="BL270" s="448">
        <f t="shared" si="251"/>
        <v>0</v>
      </c>
      <c r="BM270" s="448">
        <f t="shared" si="252"/>
        <v>0</v>
      </c>
      <c r="BN270" s="448">
        <f t="shared" ca="1" si="253"/>
        <v>0</v>
      </c>
    </row>
    <row r="271" spans="1:66" s="29" customFormat="1" hidden="1" outlineLevel="1" x14ac:dyDescent="0.3">
      <c r="A271" s="22" t="s">
        <v>302</v>
      </c>
      <c r="B271" s="23"/>
      <c r="C271" s="24" t="s">
        <v>62</v>
      </c>
      <c r="D271" s="121">
        <v>-11000</v>
      </c>
      <c r="E271" s="114"/>
      <c r="F271" s="56"/>
      <c r="G271" s="33"/>
      <c r="H271" s="241">
        <v>0</v>
      </c>
      <c r="I271" s="27">
        <v>-315</v>
      </c>
      <c r="J271" s="28">
        <f>SUMIFS(Aut_BlueMe_Sem_Pedido!$J:$J,Aut_BlueMe_Sem_Pedido!$Q:$Q,DRE!H$4,Aut_BlueMe_Sem_Pedido!$H:$H,DRE!$A271)+SUMIFS(Aut_Ajustes_Manuais!$G:$G,Aut_Ajustes_Manuais!$I:$I,DRE!H$4,Aut_Ajustes_Manuais!$F:$F,"Publicidade e Propaganda")</f>
        <v>-827.16</v>
      </c>
      <c r="K271" s="241">
        <v>0</v>
      </c>
      <c r="L271" s="27">
        <v>-315</v>
      </c>
      <c r="M271" s="28">
        <f>SUMIFS(Aut_BlueMe_Sem_Pedido!$J:$J,Aut_BlueMe_Sem_Pedido!$Q:$Q,DRE!K$4,Aut_BlueMe_Sem_Pedido!$H:$H,DRE!$A271)+SUMIFS(Aut_Ajustes_Manuais!$G:$G,Aut_Ajustes_Manuais!$I:$I,DRE!K$4,Aut_Ajustes_Manuais!$F:$F,"Publicidade e Propaganda")</f>
        <v>0</v>
      </c>
      <c r="N271" s="241">
        <v>0</v>
      </c>
      <c r="O271" s="27">
        <v>-315</v>
      </c>
      <c r="P271" s="28">
        <f>SUMIFS(Aut_BlueMe_Sem_Pedido!$J:$J,Aut_BlueMe_Sem_Pedido!$Q:$Q,DRE!N$4,Aut_BlueMe_Sem_Pedido!$H:$H,DRE!$A271)+SUMIFS(Aut_Ajustes_Manuais!$G:$G,Aut_Ajustes_Manuais!$I:$I,DRE!N$4,Aut_Ajustes_Manuais!$F:$F,"Publicidade e Propaganda")</f>
        <v>-349</v>
      </c>
      <c r="Q271" s="241">
        <v>0</v>
      </c>
      <c r="R271" s="27">
        <v>-315</v>
      </c>
      <c r="S271" s="28">
        <f>SUMIFS(Aut_BlueMe_Sem_Pedido!$J:$J,Aut_BlueMe_Sem_Pedido!$Q:$Q,DRE!Q$4,Aut_BlueMe_Sem_Pedido!$H:$H,DRE!$A271)+SUMIFS(Aut_Ajustes_Manuais!$G:$G,Aut_Ajustes_Manuais!$I:$I,DRE!Q$4,Aut_Ajustes_Manuais!$F:$F,"Publicidade e Propaganda")</f>
        <v>0</v>
      </c>
      <c r="T271" s="241">
        <v>0</v>
      </c>
      <c r="U271" s="27">
        <v>-315</v>
      </c>
      <c r="V271" s="28">
        <f>SUMIFS(Aut_BlueMe_Sem_Pedido!$J:$J,Aut_BlueMe_Sem_Pedido!$Q:$Q,DRE!T$4,Aut_BlueMe_Sem_Pedido!$H:$H,DRE!$A271)+SUMIFS(Aut_Ajustes_Manuais!$G:$G,Aut_Ajustes_Manuais!$I:$I,DRE!T$4,Aut_Ajustes_Manuais!$F:$F,"Publicidade e Propaganda")</f>
        <v>0</v>
      </c>
      <c r="W271" s="241">
        <v>0</v>
      </c>
      <c r="X271" s="27">
        <v>-315</v>
      </c>
      <c r="Y271" s="28">
        <f>SUMIFS(Aut_BlueMe_Sem_Pedido!$J:$J,Aut_BlueMe_Sem_Pedido!$Q:$Q,DRE!W$4,Aut_BlueMe_Sem_Pedido!$H:$H,DRE!$A271)+SUMIFS(Aut_Ajustes_Manuais!$G:$G,Aut_Ajustes_Manuais!$I:$I,DRE!W$4,Aut_Ajustes_Manuais!$F:$F,"Publicidade e Propaganda")</f>
        <v>-293.93</v>
      </c>
      <c r="Z271" s="241">
        <v>0</v>
      </c>
      <c r="AA271" s="27">
        <v>-315</v>
      </c>
      <c r="AB271" s="28">
        <f>SUMIFS(Aut_BlueMe_Sem_Pedido!$J:$J,Aut_BlueMe_Sem_Pedido!$Q:$Q,DRE!Z$4,Aut_BlueMe_Sem_Pedido!$H:$H,DRE!$A271)+SUMIFS(Aut_Ajustes_Manuais!$G:$G,Aut_Ajustes_Manuais!$I:$I,DRE!Z$4,Aut_Ajustes_Manuais!$F:$F,"Publicidade e Propaganda")</f>
        <v>-900</v>
      </c>
      <c r="AC271" s="241">
        <v>0</v>
      </c>
      <c r="AD271" s="27">
        <v>-315</v>
      </c>
      <c r="AE271" s="28">
        <f>SUMIFS(Aut_BlueMe_Sem_Pedido!$J:$J,Aut_BlueMe_Sem_Pedido!$Q:$Q,DRE!AC$4,Aut_BlueMe_Sem_Pedido!$H:$H,DRE!$A271)+SUMIFS(Aut_Ajustes_Manuais!$G:$G,Aut_Ajustes_Manuais!$I:$I,DRE!AC$4,Aut_Ajustes_Manuais!$F:$F,"Publicidade e Propaganda")</f>
        <v>-900</v>
      </c>
      <c r="AF271" s="241">
        <v>0</v>
      </c>
      <c r="AG271" s="27">
        <v>-315</v>
      </c>
      <c r="AH271" s="28">
        <f>SUMIFS(Aut_BlueMe_Sem_Pedido!$J:$J,Aut_BlueMe_Sem_Pedido!$Q:$Q,DRE!AF$4,Aut_BlueMe_Sem_Pedido!$H:$H,DRE!$A271)+SUMIFS(Aut_Ajustes_Manuais!$G:$G,Aut_Ajustes_Manuais!$I:$I,DRE!AF$4,Aut_Ajustes_Manuais!$F:$F,"Publicidade e Propaganda")</f>
        <v>-900</v>
      </c>
      <c r="AI271" s="241">
        <v>-300</v>
      </c>
      <c r="AJ271" s="27">
        <v>-315</v>
      </c>
      <c r="AK271" s="28">
        <f>SUMIFS(Aut_BlueMe_Sem_Pedido!$J:$J,Aut_BlueMe_Sem_Pedido!$Q:$Q,DRE!AI$4,Aut_BlueMe_Sem_Pedido!$H:$H,DRE!$A271)+SUMIFS(Aut_Ajustes_Manuais!$G:$G,Aut_Ajustes_Manuais!$I:$I,DRE!AI$4,Aut_Ajustes_Manuais!$F:$F,"Publicidade e Propaganda")</f>
        <v>-900</v>
      </c>
      <c r="AL271" s="241">
        <v>-200</v>
      </c>
      <c r="AM271" s="27">
        <v>-315</v>
      </c>
      <c r="AN271" s="28">
        <f>SUMIFS(Aut_BlueMe_Sem_Pedido!$J:$J,Aut_BlueMe_Sem_Pedido!$Q:$Q,DRE!AL$4,Aut_BlueMe_Sem_Pedido!$H:$H,DRE!$A271)+SUMIFS(Aut_Ajustes_Manuais!$G:$G,Aut_Ajustes_Manuais!$I:$I,DRE!AL$4,Aut_Ajustes_Manuais!$F:$F,"Publicidade e Propaganda")</f>
        <v>-900</v>
      </c>
      <c r="AO271" s="241">
        <v>0</v>
      </c>
      <c r="AP271" s="27">
        <v>-315</v>
      </c>
      <c r="AQ271" s="28">
        <f>SUMIFS(Aut_BlueMe_Sem_Pedido!$J:$J,Aut_BlueMe_Sem_Pedido!$Q:$Q,DRE!AO$4,Aut_BlueMe_Sem_Pedido!$H:$H,DRE!$A271)+SUMIFS(Aut_Ajustes_Manuais!$G:$G,Aut_Ajustes_Manuais!$I:$I,DRE!AO$4,Aut_Ajustes_Manuais!$F:$F,"Publicidade e Propaganda")</f>
        <v>-900</v>
      </c>
      <c r="AR271" s="241">
        <f t="shared" ca="1" si="255"/>
        <v>0</v>
      </c>
      <c r="AS271" s="27">
        <f t="shared" ca="1" si="256"/>
        <v>-1890</v>
      </c>
      <c r="AT271" s="28">
        <f t="shared" ca="1" si="257"/>
        <v>-1470.09</v>
      </c>
      <c r="AU271" s="241">
        <f t="shared" si="258"/>
        <v>-500</v>
      </c>
      <c r="AV271" s="27">
        <f t="shared" si="259"/>
        <v>-3780</v>
      </c>
      <c r="AW271" s="28">
        <f t="shared" si="260"/>
        <v>-6870.09</v>
      </c>
      <c r="AX271" s="241">
        <f t="shared" si="261"/>
        <v>0</v>
      </c>
      <c r="AY271" s="27">
        <f t="shared" si="262"/>
        <v>-945</v>
      </c>
      <c r="AZ271" s="28">
        <f t="shared" si="263"/>
        <v>-1176.1599999999999</v>
      </c>
      <c r="BA271" s="241">
        <f t="shared" si="264"/>
        <v>0</v>
      </c>
      <c r="BB271" s="27">
        <f t="shared" si="265"/>
        <v>-945</v>
      </c>
      <c r="BC271" s="28">
        <f t="shared" si="266"/>
        <v>-293.93</v>
      </c>
      <c r="BD271" s="241">
        <f t="shared" si="267"/>
        <v>0</v>
      </c>
      <c r="BE271" s="27">
        <f t="shared" si="268"/>
        <v>-945</v>
      </c>
      <c r="BF271" s="28">
        <f t="shared" si="269"/>
        <v>-2700</v>
      </c>
      <c r="BG271" s="241">
        <f t="shared" si="270"/>
        <v>-500</v>
      </c>
      <c r="BH271" s="27">
        <f t="shared" si="271"/>
        <v>-945</v>
      </c>
      <c r="BI271" s="28">
        <f t="shared" si="272"/>
        <v>-2700</v>
      </c>
      <c r="BK271" s="448">
        <f t="shared" si="250"/>
        <v>-3780</v>
      </c>
      <c r="BL271" s="448">
        <f t="shared" si="251"/>
        <v>0</v>
      </c>
      <c r="BM271" s="448">
        <f t="shared" si="252"/>
        <v>-1176.1599999999999</v>
      </c>
      <c r="BN271" s="448">
        <f t="shared" ca="1" si="253"/>
        <v>293.93000000000006</v>
      </c>
    </row>
    <row r="272" spans="1:66" s="29" customFormat="1" hidden="1" outlineLevel="1" x14ac:dyDescent="0.3">
      <c r="A272" s="22" t="s">
        <v>303</v>
      </c>
      <c r="B272" s="23"/>
      <c r="C272" s="24" t="s">
        <v>62</v>
      </c>
      <c r="D272" s="121"/>
      <c r="E272" s="114"/>
      <c r="F272" s="56"/>
      <c r="G272" s="33"/>
      <c r="H272" s="241">
        <v>0</v>
      </c>
      <c r="I272" s="27">
        <v>0</v>
      </c>
      <c r="J272" s="28">
        <f>SUMIFS(Aut_BlueMe_Sem_Pedido!$J:$J,Aut_BlueMe_Sem_Pedido!$Q:$Q,DRE!H$4,Aut_BlueMe_Sem_Pedido!$H:$H,DRE!$A272)+SUMIFS(Aut_Ajustes_Manuais!$G:$G,Aut_Ajustes_Manuais!$I:$I,DRE!H$4,Aut_Ajustes_Manuais!$F:$F,"Pesquisa de Mercado")</f>
        <v>0</v>
      </c>
      <c r="K272" s="241">
        <v>0</v>
      </c>
      <c r="L272" s="27">
        <v>0</v>
      </c>
      <c r="M272" s="28">
        <f>SUMIFS(Aut_BlueMe_Sem_Pedido!$J:$J,Aut_BlueMe_Sem_Pedido!$Q:$Q,DRE!K$4,Aut_BlueMe_Sem_Pedido!$H:$H,DRE!$A272)+SUMIFS(Aut_Ajustes_Manuais!$G:$G,Aut_Ajustes_Manuais!$I:$I,DRE!K$4,Aut_Ajustes_Manuais!$F:$F,"Pesquisa de Mercado")</f>
        <v>0</v>
      </c>
      <c r="N272" s="241">
        <v>0</v>
      </c>
      <c r="O272" s="27">
        <v>0</v>
      </c>
      <c r="P272" s="28">
        <f>SUMIFS(Aut_BlueMe_Sem_Pedido!$J:$J,Aut_BlueMe_Sem_Pedido!$Q:$Q,DRE!N$4,Aut_BlueMe_Sem_Pedido!$H:$H,DRE!$A272)+SUMIFS(Aut_Ajustes_Manuais!$G:$G,Aut_Ajustes_Manuais!$I:$I,DRE!N$4,Aut_Ajustes_Manuais!$F:$F,"Pesquisa de Mercado")</f>
        <v>0</v>
      </c>
      <c r="Q272" s="241">
        <v>0</v>
      </c>
      <c r="R272" s="27">
        <v>0</v>
      </c>
      <c r="S272" s="28">
        <f>SUMIFS(Aut_BlueMe_Sem_Pedido!$J:$J,Aut_BlueMe_Sem_Pedido!$Q:$Q,DRE!Q$4,Aut_BlueMe_Sem_Pedido!$H:$H,DRE!$A272)+SUMIFS(Aut_Ajustes_Manuais!$G:$G,Aut_Ajustes_Manuais!$I:$I,DRE!Q$4,Aut_Ajustes_Manuais!$F:$F,"Pesquisa de Mercado")</f>
        <v>0</v>
      </c>
      <c r="T272" s="241">
        <v>0</v>
      </c>
      <c r="U272" s="27">
        <v>0</v>
      </c>
      <c r="V272" s="28">
        <f>SUMIFS(Aut_BlueMe_Sem_Pedido!$J:$J,Aut_BlueMe_Sem_Pedido!$Q:$Q,DRE!T$4,Aut_BlueMe_Sem_Pedido!$H:$H,DRE!$A272)+SUMIFS(Aut_Ajustes_Manuais!$G:$G,Aut_Ajustes_Manuais!$I:$I,DRE!T$4,Aut_Ajustes_Manuais!$F:$F,"Pesquisa de Mercado")</f>
        <v>0</v>
      </c>
      <c r="W272" s="241">
        <v>0</v>
      </c>
      <c r="X272" s="27">
        <v>0</v>
      </c>
      <c r="Y272" s="28">
        <f>SUMIFS(Aut_BlueMe_Sem_Pedido!$J:$J,Aut_BlueMe_Sem_Pedido!$Q:$Q,DRE!W$4,Aut_BlueMe_Sem_Pedido!$H:$H,DRE!$A272)+SUMIFS(Aut_Ajustes_Manuais!$G:$G,Aut_Ajustes_Manuais!$I:$I,DRE!W$4,Aut_Ajustes_Manuais!$F:$F,"Pesquisa de Mercado")</f>
        <v>0</v>
      </c>
      <c r="Z272" s="241">
        <v>0</v>
      </c>
      <c r="AA272" s="27">
        <v>0</v>
      </c>
      <c r="AB272" s="28">
        <f>SUMIFS(Aut_BlueMe_Sem_Pedido!$J:$J,Aut_BlueMe_Sem_Pedido!$Q:$Q,DRE!Z$4,Aut_BlueMe_Sem_Pedido!$H:$H,DRE!$A272)+SUMIFS(Aut_Ajustes_Manuais!$G:$G,Aut_Ajustes_Manuais!$I:$I,DRE!Z$4,Aut_Ajustes_Manuais!$F:$F,"Pesquisa de Mercado")</f>
        <v>0</v>
      </c>
      <c r="AC272" s="241">
        <v>0</v>
      </c>
      <c r="AD272" s="27">
        <v>0</v>
      </c>
      <c r="AE272" s="28">
        <f>SUMIFS(Aut_BlueMe_Sem_Pedido!$J:$J,Aut_BlueMe_Sem_Pedido!$Q:$Q,DRE!AC$4,Aut_BlueMe_Sem_Pedido!$H:$H,DRE!$A272)+SUMIFS(Aut_Ajustes_Manuais!$G:$G,Aut_Ajustes_Manuais!$I:$I,DRE!AC$4,Aut_Ajustes_Manuais!$F:$F,"Pesquisa de Mercado")</f>
        <v>0</v>
      </c>
      <c r="AF272" s="241">
        <v>0</v>
      </c>
      <c r="AG272" s="27">
        <v>0</v>
      </c>
      <c r="AH272" s="28">
        <f>SUMIFS(Aut_BlueMe_Sem_Pedido!$J:$J,Aut_BlueMe_Sem_Pedido!$Q:$Q,DRE!AF$4,Aut_BlueMe_Sem_Pedido!$H:$H,DRE!$A272)+SUMIFS(Aut_Ajustes_Manuais!$G:$G,Aut_Ajustes_Manuais!$I:$I,DRE!AF$4,Aut_Ajustes_Manuais!$F:$F,"Pesquisa de Mercado")</f>
        <v>0</v>
      </c>
      <c r="AI272" s="241">
        <v>0</v>
      </c>
      <c r="AJ272" s="27">
        <v>0</v>
      </c>
      <c r="AK272" s="28">
        <f>SUMIFS(Aut_BlueMe_Sem_Pedido!$J:$J,Aut_BlueMe_Sem_Pedido!$Q:$Q,DRE!AI$4,Aut_BlueMe_Sem_Pedido!$H:$H,DRE!$A272)+SUMIFS(Aut_Ajustes_Manuais!$G:$G,Aut_Ajustes_Manuais!$I:$I,DRE!AI$4,Aut_Ajustes_Manuais!$F:$F,"Pesquisa de Mercado")</f>
        <v>0</v>
      </c>
      <c r="AL272" s="241">
        <v>0</v>
      </c>
      <c r="AM272" s="27">
        <v>0</v>
      </c>
      <c r="AN272" s="28">
        <f>SUMIFS(Aut_BlueMe_Sem_Pedido!$J:$J,Aut_BlueMe_Sem_Pedido!$Q:$Q,DRE!AL$4,Aut_BlueMe_Sem_Pedido!$H:$H,DRE!$A272)+SUMIFS(Aut_Ajustes_Manuais!$G:$G,Aut_Ajustes_Manuais!$I:$I,DRE!AL$4,Aut_Ajustes_Manuais!$F:$F,"Pesquisa de Mercado")</f>
        <v>0</v>
      </c>
      <c r="AO272" s="241">
        <v>0</v>
      </c>
      <c r="AP272" s="27">
        <v>0</v>
      </c>
      <c r="AQ272" s="28">
        <f>SUMIFS(Aut_BlueMe_Sem_Pedido!$J:$J,Aut_BlueMe_Sem_Pedido!$Q:$Q,DRE!AO$4,Aut_BlueMe_Sem_Pedido!$H:$H,DRE!$A272)+SUMIFS(Aut_Ajustes_Manuais!$G:$G,Aut_Ajustes_Manuais!$I:$I,DRE!AO$4,Aut_Ajustes_Manuais!$F:$F,"Pesquisa de Mercado")</f>
        <v>0</v>
      </c>
      <c r="AR272" s="241">
        <f t="shared" ca="1" si="255"/>
        <v>0</v>
      </c>
      <c r="AS272" s="27">
        <f t="shared" ca="1" si="256"/>
        <v>0</v>
      </c>
      <c r="AT272" s="28">
        <f t="shared" ca="1" si="257"/>
        <v>0</v>
      </c>
      <c r="AU272" s="241">
        <f t="shared" si="258"/>
        <v>0</v>
      </c>
      <c r="AV272" s="27">
        <f t="shared" si="259"/>
        <v>0</v>
      </c>
      <c r="AW272" s="28">
        <f t="shared" si="260"/>
        <v>0</v>
      </c>
      <c r="AX272" s="241">
        <f t="shared" si="261"/>
        <v>0</v>
      </c>
      <c r="AY272" s="27">
        <f t="shared" si="262"/>
        <v>0</v>
      </c>
      <c r="AZ272" s="28">
        <f t="shared" si="263"/>
        <v>0</v>
      </c>
      <c r="BA272" s="241">
        <f t="shared" si="264"/>
        <v>0</v>
      </c>
      <c r="BB272" s="27">
        <f t="shared" si="265"/>
        <v>0</v>
      </c>
      <c r="BC272" s="28">
        <f t="shared" si="266"/>
        <v>0</v>
      </c>
      <c r="BD272" s="241">
        <f t="shared" si="267"/>
        <v>0</v>
      </c>
      <c r="BE272" s="27">
        <f t="shared" si="268"/>
        <v>0</v>
      </c>
      <c r="BF272" s="28">
        <f t="shared" si="269"/>
        <v>0</v>
      </c>
      <c r="BG272" s="241">
        <f t="shared" si="270"/>
        <v>0</v>
      </c>
      <c r="BH272" s="27">
        <f t="shared" si="271"/>
        <v>0</v>
      </c>
      <c r="BI272" s="28">
        <f t="shared" si="272"/>
        <v>0</v>
      </c>
      <c r="BK272" s="448">
        <f t="shared" si="250"/>
        <v>0</v>
      </c>
      <c r="BL272" s="448">
        <f t="shared" si="251"/>
        <v>0</v>
      </c>
      <c r="BM272" s="448">
        <f t="shared" si="252"/>
        <v>0</v>
      </c>
      <c r="BN272" s="448">
        <f t="shared" ca="1" si="253"/>
        <v>0</v>
      </c>
    </row>
    <row r="273" spans="1:66" s="29" customFormat="1" hidden="1" outlineLevel="1" x14ac:dyDescent="0.3">
      <c r="A273" s="22" t="s">
        <v>304</v>
      </c>
      <c r="B273" s="23"/>
      <c r="C273" s="24" t="s">
        <v>62</v>
      </c>
      <c r="D273" s="121"/>
      <c r="E273" s="114"/>
      <c r="F273" s="56"/>
      <c r="G273" s="33"/>
      <c r="H273" s="241">
        <v>0</v>
      </c>
      <c r="I273" s="27">
        <v>0</v>
      </c>
      <c r="J273" s="27">
        <f>SUMIFS(Aut_BlueMe_Sem_Pedido!$J:$J,Aut_BlueMe_Sem_Pedido!$Q:$Q,DRE!H$4,Aut_BlueMe_Sem_Pedido!$H:$H,DRE!$A273)+SUMIFS(Aut_Ajustes_Manuais!$G:$G,Aut_Ajustes_Manuais!$I:$I,DRE!H$4,Aut_Ajustes_Manuais!$F:$F,"Sessão de Fotos/Captação de Vídeo")</f>
        <v>-5100</v>
      </c>
      <c r="K273" s="241">
        <v>0</v>
      </c>
      <c r="L273" s="27">
        <v>-770</v>
      </c>
      <c r="M273" s="28">
        <f>SUMIFS(Aut_BlueMe_Sem_Pedido!$J:$J,Aut_BlueMe_Sem_Pedido!$Q:$Q,DRE!K$4,Aut_BlueMe_Sem_Pedido!$H:$H,DRE!$A273)+SUMIFS(Aut_Ajustes_Manuais!$G:$G,Aut_Ajustes_Manuais!$I:$I,DRE!K$4,Aut_Ajustes_Manuais!$F:$F,"Sessão de Fotos/Captação de Vídeo")</f>
        <v>0</v>
      </c>
      <c r="N273" s="241">
        <v>-400</v>
      </c>
      <c r="O273" s="27">
        <v>0</v>
      </c>
      <c r="P273" s="28">
        <f>SUMIFS(Aut_BlueMe_Sem_Pedido!$J:$J,Aut_BlueMe_Sem_Pedido!$Q:$Q,DRE!N$4,Aut_BlueMe_Sem_Pedido!$H:$H,DRE!$A273)+SUMIFS(Aut_Ajustes_Manuais!$G:$G,Aut_Ajustes_Manuais!$I:$I,DRE!N$4,Aut_Ajustes_Manuais!$F:$F,"Sessão de Fotos/Captação de Vídeo")</f>
        <v>0</v>
      </c>
      <c r="Q273" s="241">
        <v>0</v>
      </c>
      <c r="R273" s="27">
        <v>0</v>
      </c>
      <c r="S273" s="28">
        <f>SUMIFS(Aut_BlueMe_Sem_Pedido!$J:$J,Aut_BlueMe_Sem_Pedido!$Q:$Q,DRE!Q$4,Aut_BlueMe_Sem_Pedido!$H:$H,DRE!$A273)+SUMIFS(Aut_Ajustes_Manuais!$G:$G,Aut_Ajustes_Manuais!$I:$I,DRE!Q$4,Aut_Ajustes_Manuais!$F:$F,"Sessão de Fotos/Captação de Vídeo")</f>
        <v>0</v>
      </c>
      <c r="T273" s="241">
        <v>0</v>
      </c>
      <c r="U273" s="27">
        <v>0</v>
      </c>
      <c r="V273" s="28">
        <f>SUMIFS(Aut_BlueMe_Sem_Pedido!$J:$J,Aut_BlueMe_Sem_Pedido!$Q:$Q,DRE!T$4,Aut_BlueMe_Sem_Pedido!$H:$H,DRE!$A273)+SUMIFS(Aut_Ajustes_Manuais!$G:$G,Aut_Ajustes_Manuais!$I:$I,DRE!T$4,Aut_Ajustes_Manuais!$F:$F,"Sessão de Fotos/Captação de Vídeo")</f>
        <v>0</v>
      </c>
      <c r="W273" s="241">
        <v>0</v>
      </c>
      <c r="X273" s="27">
        <v>-770</v>
      </c>
      <c r="Y273" s="28">
        <f>SUMIFS(Aut_BlueMe_Sem_Pedido!$J:$J,Aut_BlueMe_Sem_Pedido!$Q:$Q,DRE!W$4,Aut_BlueMe_Sem_Pedido!$H:$H,DRE!$A273)+SUMIFS(Aut_Ajustes_Manuais!$G:$G,Aut_Ajustes_Manuais!$I:$I,DRE!W$4,Aut_Ajustes_Manuais!$F:$F,"Sessão de Fotos/Captação de Vídeo")</f>
        <v>0</v>
      </c>
      <c r="Z273" s="241">
        <v>0</v>
      </c>
      <c r="AA273" s="27">
        <v>-770</v>
      </c>
      <c r="AB273" s="28">
        <f>SUMIFS(Aut_BlueMe_Sem_Pedido!$J:$J,Aut_BlueMe_Sem_Pedido!$Q:$Q,DRE!Z$4,Aut_BlueMe_Sem_Pedido!$H:$H,DRE!$A273)+SUMIFS(Aut_Ajustes_Manuais!$G:$G,Aut_Ajustes_Manuais!$I:$I,DRE!Z$4,Aut_Ajustes_Manuais!$F:$F,"Sessão de Fotos/Captação de Vídeo")</f>
        <v>-1500</v>
      </c>
      <c r="AC273" s="241">
        <v>0</v>
      </c>
      <c r="AD273" s="27">
        <v>-770</v>
      </c>
      <c r="AE273" s="28">
        <f>SUMIFS(Aut_BlueMe_Sem_Pedido!$J:$J,Aut_BlueMe_Sem_Pedido!$Q:$Q,DRE!AC$4,Aut_BlueMe_Sem_Pedido!$H:$H,DRE!$A273)+SUMIFS(Aut_Ajustes_Manuais!$G:$G,Aut_Ajustes_Manuais!$I:$I,DRE!AC$4,Aut_Ajustes_Manuais!$F:$F,"Sessão de Fotos/Captação de Vídeo")</f>
        <v>0</v>
      </c>
      <c r="AF273" s="241">
        <v>-700</v>
      </c>
      <c r="AG273" s="27">
        <v>-770</v>
      </c>
      <c r="AH273" s="28">
        <f>SUMIFS(Aut_BlueMe_Sem_Pedido!$J:$J,Aut_BlueMe_Sem_Pedido!$Q:$Q,DRE!AF$4,Aut_BlueMe_Sem_Pedido!$H:$H,DRE!$A273)+SUMIFS(Aut_Ajustes_Manuais!$G:$G,Aut_Ajustes_Manuais!$I:$I,DRE!AF$4,Aut_Ajustes_Manuais!$F:$F,"Sessão de Fotos/Captação de Vídeo")</f>
        <v>0</v>
      </c>
      <c r="AI273" s="241">
        <v>-2100</v>
      </c>
      <c r="AJ273" s="27">
        <v>-770</v>
      </c>
      <c r="AK273" s="28">
        <f>SUMIFS(Aut_BlueMe_Sem_Pedido!$J:$J,Aut_BlueMe_Sem_Pedido!$Q:$Q,DRE!AI$4,Aut_BlueMe_Sem_Pedido!$H:$H,DRE!$A273)+SUMIFS(Aut_Ajustes_Manuais!$G:$G,Aut_Ajustes_Manuais!$I:$I,DRE!AI$4,Aut_Ajustes_Manuais!$F:$F,"Sessão de Fotos/Captação de Vídeo")</f>
        <v>0</v>
      </c>
      <c r="AL273" s="241">
        <v>0</v>
      </c>
      <c r="AM273" s="27">
        <v>-770</v>
      </c>
      <c r="AN273" s="28">
        <f>SUMIFS(Aut_BlueMe_Sem_Pedido!$J:$J,Aut_BlueMe_Sem_Pedido!$Q:$Q,DRE!AL$4,Aut_BlueMe_Sem_Pedido!$H:$H,DRE!$A273)+SUMIFS(Aut_Ajustes_Manuais!$G:$G,Aut_Ajustes_Manuais!$I:$I,DRE!AL$4,Aut_Ajustes_Manuais!$F:$F,"Sessão de Fotos/Captação de Vídeo")</f>
        <v>0</v>
      </c>
      <c r="AO273" s="241">
        <v>0</v>
      </c>
      <c r="AP273" s="27">
        <v>-770</v>
      </c>
      <c r="AQ273" s="28">
        <f>SUMIFS(Aut_BlueMe_Sem_Pedido!$J:$J,Aut_BlueMe_Sem_Pedido!$Q:$Q,DRE!AO$4,Aut_BlueMe_Sem_Pedido!$H:$H,DRE!$A273)+SUMIFS(Aut_Ajustes_Manuais!$G:$G,Aut_Ajustes_Manuais!$I:$I,DRE!AO$4,Aut_Ajustes_Manuais!$F:$F,"Sessão de Fotos/Captação de Vídeo")</f>
        <v>0</v>
      </c>
      <c r="AR273" s="241">
        <f t="shared" ca="1" si="255"/>
        <v>-400</v>
      </c>
      <c r="AS273" s="27">
        <f t="shared" ca="1" si="256"/>
        <v>-1540</v>
      </c>
      <c r="AT273" s="28">
        <f t="shared" ca="1" si="257"/>
        <v>-5100</v>
      </c>
      <c r="AU273" s="241">
        <f t="shared" si="258"/>
        <v>-3200</v>
      </c>
      <c r="AV273" s="27">
        <f t="shared" si="259"/>
        <v>-6160</v>
      </c>
      <c r="AW273" s="28">
        <f t="shared" si="260"/>
        <v>-6600</v>
      </c>
      <c r="AX273" s="241">
        <f t="shared" si="261"/>
        <v>-400</v>
      </c>
      <c r="AY273" s="27">
        <f t="shared" si="262"/>
        <v>-770</v>
      </c>
      <c r="AZ273" s="28">
        <f t="shared" si="263"/>
        <v>-5100</v>
      </c>
      <c r="BA273" s="241">
        <f t="shared" si="264"/>
        <v>0</v>
      </c>
      <c r="BB273" s="27">
        <f t="shared" si="265"/>
        <v>-770</v>
      </c>
      <c r="BC273" s="28">
        <f t="shared" si="266"/>
        <v>0</v>
      </c>
      <c r="BD273" s="241">
        <f t="shared" si="267"/>
        <v>-700</v>
      </c>
      <c r="BE273" s="27">
        <f t="shared" si="268"/>
        <v>-2310</v>
      </c>
      <c r="BF273" s="28">
        <f t="shared" si="269"/>
        <v>-1500</v>
      </c>
      <c r="BG273" s="241">
        <f t="shared" si="270"/>
        <v>-2100</v>
      </c>
      <c r="BH273" s="27">
        <f t="shared" si="271"/>
        <v>-2310</v>
      </c>
      <c r="BI273" s="28">
        <f t="shared" si="272"/>
        <v>0</v>
      </c>
      <c r="BK273" s="448">
        <f t="shared" si="250"/>
        <v>-6160</v>
      </c>
      <c r="BL273" s="448">
        <f t="shared" si="251"/>
        <v>0</v>
      </c>
      <c r="BM273" s="448">
        <f t="shared" si="252"/>
        <v>-5100</v>
      </c>
      <c r="BN273" s="448">
        <f t="shared" ca="1" si="253"/>
        <v>0</v>
      </c>
    </row>
    <row r="274" spans="1:66" s="29" customFormat="1" hidden="1" outlineLevel="1" x14ac:dyDescent="0.3">
      <c r="A274" s="22" t="s">
        <v>305</v>
      </c>
      <c r="B274" s="23"/>
      <c r="C274" s="24" t="s">
        <v>62</v>
      </c>
      <c r="D274" s="121"/>
      <c r="E274" s="114"/>
      <c r="F274" s="56"/>
      <c r="G274" s="33"/>
      <c r="H274" s="241">
        <v>-2785</v>
      </c>
      <c r="I274" s="27">
        <v>-1575</v>
      </c>
      <c r="J274" s="28">
        <f>SUMIFS(Aut_BlueMe_Sem_Pedido!$J:$J,Aut_BlueMe_Sem_Pedido!$Q:$Q,DRE!H$4,Aut_BlueMe_Sem_Pedido!$H:$H,DRE!$A274)-SUMIFS(Aut_Descontos!$G:$G,Aut_Descontos!$H:$H,A274,Aut_Descontos!$L:$L,DRE!H$4)+SUMIFS(Aut_Ajustes_Manuais!$G:$G,Aut_Ajustes_Manuais!$I:$I,DRE!H$4,Aut_Ajustes_Manuais!$F:$F,"Produção Gráfica e Material Institucional")</f>
        <v>-448</v>
      </c>
      <c r="K274" s="241">
        <v>-941</v>
      </c>
      <c r="L274" s="27">
        <v>-1575</v>
      </c>
      <c r="M274" s="28">
        <f>SUMIFS(Aut_BlueMe_Sem_Pedido!$J:$J,Aut_BlueMe_Sem_Pedido!$Q:$Q,DRE!K$4,Aut_BlueMe_Sem_Pedido!$H:$H,DRE!$A274)-SUMIFS(Aut_Descontos!$G:$G,Aut_Descontos!$H:$H,A274,Aut_Descontos!$L:$L,DRE!K$4)+SUMIFS(Aut_Ajustes_Manuais!$G:$G,Aut_Ajustes_Manuais!$I:$I,DRE!K$4,Aut_Ajustes_Manuais!$F:$F,"Produção Gráfica e Material Institucional")</f>
        <v>0</v>
      </c>
      <c r="N274" s="241">
        <v>-4975</v>
      </c>
      <c r="O274" s="27">
        <v>-1575</v>
      </c>
      <c r="P274" s="28">
        <f>SUMIFS(Aut_BlueMe_Sem_Pedido!$J:$J,Aut_BlueMe_Sem_Pedido!$Q:$Q,DRE!N$4,Aut_BlueMe_Sem_Pedido!$H:$H,DRE!$A274)-SUMIFS(Aut_Descontos!$G:$G,Aut_Descontos!$H:$H,A274,Aut_Descontos!$L:$L,DRE!N$4)+SUMIFS(Aut_Ajustes_Manuais!$G:$G,Aut_Ajustes_Manuais!$I:$I,DRE!N$4,Aut_Ajustes_Manuais!$F:$F,"Produção Gráfica e Material Institucional")</f>
        <v>-110</v>
      </c>
      <c r="Q274" s="241">
        <v>-510</v>
      </c>
      <c r="R274" s="27">
        <v>-1575</v>
      </c>
      <c r="S274" s="28">
        <f>SUMIFS(Aut_BlueMe_Sem_Pedido!$J:$J,Aut_BlueMe_Sem_Pedido!$Q:$Q,DRE!Q$4,Aut_BlueMe_Sem_Pedido!$H:$H,DRE!$A274)-SUMIFS(Aut_Descontos!$G:$G,Aut_Descontos!$H:$H,A274,Aut_Descontos!$L:$L,DRE!Q$4)+SUMIFS(Aut_Ajustes_Manuais!$G:$G,Aut_Ajustes_Manuais!$I:$I,DRE!Q$4,Aut_Ajustes_Manuais!$F:$F,"Produção Gráfica e Material Institucional")</f>
        <v>-150</v>
      </c>
      <c r="T274" s="241">
        <v>-1505</v>
      </c>
      <c r="U274" s="27">
        <v>-1575</v>
      </c>
      <c r="V274" s="28">
        <f>SUMIFS(Aut_BlueMe_Sem_Pedido!$J:$J,Aut_BlueMe_Sem_Pedido!$Q:$Q,DRE!T$4,Aut_BlueMe_Sem_Pedido!$H:$H,DRE!$A274)-SUMIFS(Aut_Descontos!$G:$G,Aut_Descontos!$H:$H,A274,Aut_Descontos!$L:$L,DRE!T$4)+SUMIFS(Aut_Ajustes_Manuais!$G:$G,Aut_Ajustes_Manuais!$I:$I,DRE!T$4,Aut_Ajustes_Manuais!$F:$F,"Produção Gráfica e Material Institucional")</f>
        <v>0</v>
      </c>
      <c r="W274" s="241">
        <v>0</v>
      </c>
      <c r="X274" s="27">
        <v>-1575</v>
      </c>
      <c r="Y274" s="28">
        <f>SUMIFS(Aut_BlueMe_Sem_Pedido!$J:$J,Aut_BlueMe_Sem_Pedido!$Q:$Q,DRE!W$4,Aut_BlueMe_Sem_Pedido!$H:$H,DRE!$A274)-SUMIFS(Aut_Descontos!$G:$G,Aut_Descontos!$H:$H,A274,Aut_Descontos!$L:$L,DRE!W$4)+SUMIFS(Aut_Ajustes_Manuais!$G:$G,Aut_Ajustes_Manuais!$I:$I,DRE!W$4,Aut_Ajustes_Manuais!$F:$F,"Produção Gráfica e Material Institucional")</f>
        <v>-4636.2</v>
      </c>
      <c r="Z274" s="241">
        <v>-278</v>
      </c>
      <c r="AA274" s="27">
        <v>-1575</v>
      </c>
      <c r="AB274" s="28">
        <f>SUMIFS(Aut_BlueMe_Sem_Pedido!$J:$J,Aut_BlueMe_Sem_Pedido!$Q:$Q,DRE!Z$4,Aut_BlueMe_Sem_Pedido!$H:$H,DRE!$A274)-SUMIFS(Aut_Descontos!$G:$G,Aut_Descontos!$H:$H,A274,Aut_Descontos!$L:$L,DRE!Z$4)+SUMIFS(Aut_Ajustes_Manuais!$G:$G,Aut_Ajustes_Manuais!$I:$I,DRE!Z$4,Aut_Ajustes_Manuais!$F:$F,"Produção Gráfica e Material Institucional")</f>
        <v>0</v>
      </c>
      <c r="AC274" s="241">
        <v>-124</v>
      </c>
      <c r="AD274" s="27">
        <v>-1575</v>
      </c>
      <c r="AE274" s="28">
        <f>SUMIFS(Aut_BlueMe_Sem_Pedido!$J:$J,Aut_BlueMe_Sem_Pedido!$Q:$Q,DRE!AC$4,Aut_BlueMe_Sem_Pedido!$H:$H,DRE!$A274)-SUMIFS(Aut_Descontos!$G:$G,Aut_Descontos!$H:$H,A274,Aut_Descontos!$L:$L,DRE!AC$4)+SUMIFS(Aut_Ajustes_Manuais!$G:$G,Aut_Ajustes_Manuais!$I:$I,DRE!AC$4,Aut_Ajustes_Manuais!$F:$F,"Produção Gráfica e Material Institucional")</f>
        <v>0</v>
      </c>
      <c r="AF274" s="241">
        <v>-2122.5</v>
      </c>
      <c r="AG274" s="27">
        <v>-1575</v>
      </c>
      <c r="AH274" s="28">
        <f>SUMIFS(Aut_BlueMe_Sem_Pedido!$J:$J,Aut_BlueMe_Sem_Pedido!$Q:$Q,DRE!AF$4,Aut_BlueMe_Sem_Pedido!$H:$H,DRE!$A274)-SUMIFS(Aut_Descontos!$G:$G,Aut_Descontos!$H:$H,A274,Aut_Descontos!$L:$L,DRE!AF$4)+SUMIFS(Aut_Ajustes_Manuais!$G:$G,Aut_Ajustes_Manuais!$I:$I,DRE!AF$4,Aut_Ajustes_Manuais!$F:$F,"Produção Gráfica e Material Institucional")</f>
        <v>0</v>
      </c>
      <c r="AI274" s="241">
        <v>0</v>
      </c>
      <c r="AJ274" s="27">
        <v>-1575</v>
      </c>
      <c r="AK274" s="28">
        <f>SUMIFS(Aut_BlueMe_Sem_Pedido!$J:$J,Aut_BlueMe_Sem_Pedido!$Q:$Q,DRE!AI$4,Aut_BlueMe_Sem_Pedido!$H:$H,DRE!$A274)-SUMIFS(Aut_Descontos!$G:$G,Aut_Descontos!$H:$H,AB274,Aut_Descontos!$L:$L,DRE!AI$4)+SUMIFS(Aut_Ajustes_Manuais!$G:$G,Aut_Ajustes_Manuais!$I:$I,DRE!AI$4,Aut_Ajustes_Manuais!$F:$F,"Produção Gráfica e Material Institucional")</f>
        <v>0</v>
      </c>
      <c r="AL274" s="241">
        <v>0</v>
      </c>
      <c r="AM274" s="27">
        <v>-1575</v>
      </c>
      <c r="AN274" s="28">
        <f>SUMIFS(Aut_BlueMe_Sem_Pedido!$J:$J,Aut_BlueMe_Sem_Pedido!$Q:$Q,DRE!AL$4,Aut_BlueMe_Sem_Pedido!$H:$H,DRE!$A274)-SUMIFS(Aut_Descontos!$G:$G,Aut_Descontos!$H:$H,A274,Aut_Descontos!$L:$L,DRE!AL$4)+SUMIFS(Aut_Ajustes_Manuais!$G:$G,Aut_Ajustes_Manuais!$I:$I,DRE!AL$4,Aut_Ajustes_Manuais!$F:$F,"Produção Gráfica e Material Institucional")</f>
        <v>0</v>
      </c>
      <c r="AO274" s="241">
        <v>-2237.5</v>
      </c>
      <c r="AP274" s="27">
        <v>-1575</v>
      </c>
      <c r="AQ274" s="28">
        <f>SUMIFS(Aut_BlueMe_Sem_Pedido!$J:$J,Aut_BlueMe_Sem_Pedido!$Q:$Q,DRE!AO$4,Aut_BlueMe_Sem_Pedido!$H:$H,DRE!$A274)-SUMIFS(Aut_Descontos!$G:$G,Aut_Descontos!$H:$H,A274,Aut_Descontos!$L:$L,DRE!AO$4)+SUMIFS(Aut_Ajustes_Manuais!$G:$G,Aut_Ajustes_Manuais!$I:$I,DRE!AO$4,Aut_Ajustes_Manuais!$F:$F,"Produção Gráfica e Material Institucional")</f>
        <v>0</v>
      </c>
      <c r="AR274" s="241">
        <f t="shared" ca="1" si="255"/>
        <v>-10716</v>
      </c>
      <c r="AS274" s="27">
        <f t="shared" ca="1" si="256"/>
        <v>-9450</v>
      </c>
      <c r="AT274" s="28">
        <f t="shared" ca="1" si="257"/>
        <v>-5344.2</v>
      </c>
      <c r="AU274" s="241">
        <f t="shared" si="258"/>
        <v>-15478</v>
      </c>
      <c r="AV274" s="27">
        <f t="shared" si="259"/>
        <v>-18900</v>
      </c>
      <c r="AW274" s="28">
        <f t="shared" si="260"/>
        <v>-5344.2</v>
      </c>
      <c r="AX274" s="241">
        <f t="shared" si="261"/>
        <v>-8701</v>
      </c>
      <c r="AY274" s="27">
        <f t="shared" si="262"/>
        <v>-4725</v>
      </c>
      <c r="AZ274" s="28">
        <f t="shared" si="263"/>
        <v>-558</v>
      </c>
      <c r="BA274" s="241">
        <f t="shared" si="264"/>
        <v>-2015</v>
      </c>
      <c r="BB274" s="27">
        <f t="shared" si="265"/>
        <v>-4725</v>
      </c>
      <c r="BC274" s="28">
        <f t="shared" si="266"/>
        <v>-4786.2</v>
      </c>
      <c r="BD274" s="241">
        <f t="shared" si="267"/>
        <v>-2524.5</v>
      </c>
      <c r="BE274" s="27">
        <f t="shared" si="268"/>
        <v>-4725</v>
      </c>
      <c r="BF274" s="28">
        <f t="shared" si="269"/>
        <v>0</v>
      </c>
      <c r="BG274" s="241">
        <f t="shared" si="270"/>
        <v>-2237.5</v>
      </c>
      <c r="BH274" s="27">
        <f t="shared" si="271"/>
        <v>-4725</v>
      </c>
      <c r="BI274" s="28">
        <f t="shared" si="272"/>
        <v>0</v>
      </c>
      <c r="BK274" s="448">
        <f t="shared" si="250"/>
        <v>-18900</v>
      </c>
      <c r="BL274" s="448">
        <f t="shared" si="251"/>
        <v>0</v>
      </c>
      <c r="BM274" s="448">
        <f t="shared" si="252"/>
        <v>-708</v>
      </c>
      <c r="BN274" s="448">
        <f t="shared" ca="1" si="253"/>
        <v>4636.2</v>
      </c>
    </row>
    <row r="275" spans="1:66" s="29" customFormat="1" hidden="1" outlineLevel="1" x14ac:dyDescent="0.3">
      <c r="A275" s="22" t="s">
        <v>306</v>
      </c>
      <c r="B275" s="23"/>
      <c r="C275" s="24" t="s">
        <v>62</v>
      </c>
      <c r="D275" s="121"/>
      <c r="E275" s="114"/>
      <c r="F275" s="56"/>
      <c r="G275" s="33"/>
      <c r="H275" s="241">
        <v>0</v>
      </c>
      <c r="I275" s="27">
        <v>0</v>
      </c>
      <c r="J275" s="28">
        <f>SUMIFS(Aut_BlueMe_Sem_Pedido!$J:$J,Aut_BlueMe_Sem_Pedido!$Q:$Q,DRE!H$4,Aut_BlueMe_Sem_Pedido!$H:$H,DRE!$A275)-SUMIFS(Aut_Descontos!$G:$G,Aut_Descontos!$H:$H,A275,Aut_Descontos!$L:$L,DRE!H$4)+SUMIFS(Aut_Ajustes_Manuais!$G:$G,Aut_Ajustes_Manuais!$I:$I,DRE!H$4,Aut_Ajustes_Manuais!$F:$F,"Eventos de Marketing")</f>
        <v>-234.15</v>
      </c>
      <c r="K275" s="241">
        <v>-51.4</v>
      </c>
      <c r="L275" s="27">
        <v>-1575</v>
      </c>
      <c r="M275" s="28">
        <f>SUMIFS(Aut_BlueMe_Sem_Pedido!$J:$J,Aut_BlueMe_Sem_Pedido!$Q:$Q,DRE!K$4,Aut_BlueMe_Sem_Pedido!$H:$H,DRE!$A275)-SUMIFS(Aut_Descontos!$G:$G,Aut_Descontos!$H:$H,A275,Aut_Descontos!$L:$L,DRE!K$4)+SUMIFS(Aut_Ajustes_Manuais!$G:$G,Aut_Ajustes_Manuais!$I:$I,DRE!K$4,Aut_Ajustes_Manuais!$F:$F,"Eventos de Marketing")</f>
        <v>0</v>
      </c>
      <c r="N275" s="241">
        <v>-240</v>
      </c>
      <c r="O275" s="27">
        <v>0</v>
      </c>
      <c r="P275" s="28">
        <f>SUMIFS(Aut_BlueMe_Sem_Pedido!$J:$J,Aut_BlueMe_Sem_Pedido!$Q:$Q,DRE!N$4,Aut_BlueMe_Sem_Pedido!$H:$H,DRE!$A275)-SUMIFS(Aut_Descontos!$G:$G,Aut_Descontos!$H:$H,A275,Aut_Descontos!$L:$L,DRE!N$4)+SUMIFS(Aut_Ajustes_Manuais!$G:$G,Aut_Ajustes_Manuais!$I:$I,DRE!N$4,Aut_Ajustes_Manuais!$F:$F,"Eventos de Marketing")</f>
        <v>0</v>
      </c>
      <c r="Q275" s="241">
        <v>0</v>
      </c>
      <c r="R275" s="27">
        <v>0</v>
      </c>
      <c r="S275" s="28">
        <f>SUMIFS(Aut_BlueMe_Sem_Pedido!$J:$J,Aut_BlueMe_Sem_Pedido!$Q:$Q,DRE!Q$4,Aut_BlueMe_Sem_Pedido!$H:$H,DRE!$A275)-SUMIFS(Aut_Descontos!$G:$G,Aut_Descontos!$H:$H,A275,Aut_Descontos!$L:$L,DRE!Q$4)+SUMIFS(Aut_Ajustes_Manuais!$G:$G,Aut_Ajustes_Manuais!$I:$I,DRE!Q$4,Aut_Ajustes_Manuais!$F:$F,"Eventos de Marketing")</f>
        <v>-609.34</v>
      </c>
      <c r="T275" s="241">
        <v>0</v>
      </c>
      <c r="U275" s="27">
        <v>0</v>
      </c>
      <c r="V275" s="28">
        <f>SUMIFS(Aut_BlueMe_Sem_Pedido!$J:$J,Aut_BlueMe_Sem_Pedido!$Q:$Q,DRE!T$4,Aut_BlueMe_Sem_Pedido!$H:$H,DRE!$A275)-SUMIFS(Aut_Descontos!$G:$G,Aut_Descontos!$H:$H,A275,Aut_Descontos!$L:$L,DRE!T$4)+SUMIFS(Aut_Ajustes_Manuais!$G:$G,Aut_Ajustes_Manuais!$I:$I,DRE!T$4,Aut_Ajustes_Manuais!$F:$F,"Eventos de Marketing")</f>
        <v>0</v>
      </c>
      <c r="W275" s="241">
        <v>0</v>
      </c>
      <c r="X275" s="27">
        <v>-1575</v>
      </c>
      <c r="Y275" s="28">
        <f>SUMIFS(Aut_BlueMe_Sem_Pedido!$J:$J,Aut_BlueMe_Sem_Pedido!$Q:$Q,DRE!W$4,Aut_BlueMe_Sem_Pedido!$H:$H,DRE!$A275)-SUMIFS(Aut_Descontos!$G:$G,Aut_Descontos!$H:$H,A275,Aut_Descontos!$L:$L,DRE!W$4)+SUMIFS(Aut_Ajustes_Manuais!$G:$G,Aut_Ajustes_Manuais!$I:$I,DRE!W$4,Aut_Ajustes_Manuais!$F:$F,"Eventos de Marketing")</f>
        <v>0</v>
      </c>
      <c r="Z275" s="241">
        <v>-498.36822467570931</v>
      </c>
      <c r="AA275" s="27">
        <v>0</v>
      </c>
      <c r="AB275" s="28">
        <f>SUMIFS(Aut_BlueMe_Sem_Pedido!$J:$J,Aut_BlueMe_Sem_Pedido!$Q:$Q,DRE!Z$4,Aut_BlueMe_Sem_Pedido!$H:$H,DRE!$A275)-SUMIFS(Aut_Descontos!$G:$G,Aut_Descontos!$H:$H,A275,Aut_Descontos!$L:$L,DRE!Z$4)+SUMIFS(Aut_Ajustes_Manuais!$G:$G,Aut_Ajustes_Manuais!$I:$I,DRE!Z$4,Aut_Ajustes_Manuais!$F:$F,"Eventos de Marketing")</f>
        <v>0</v>
      </c>
      <c r="AC275" s="241">
        <v>-140.12327847692811</v>
      </c>
      <c r="AD275" s="27">
        <v>0</v>
      </c>
      <c r="AE275" s="28">
        <f>SUMIFS(Aut_BlueMe_Sem_Pedido!$J:$J,Aut_BlueMe_Sem_Pedido!$Q:$Q,DRE!AC$4,Aut_BlueMe_Sem_Pedido!$H:$H,DRE!$A275)-SUMIFS(Aut_Descontos!$G:$G,Aut_Descontos!$H:$H,A275,Aut_Descontos!$L:$L,DRE!AC$4)+SUMIFS(Aut_Ajustes_Manuais!$G:$G,Aut_Ajustes_Manuais!$I:$I,DRE!AC$4,Aut_Ajustes_Manuais!$F:$F,"Eventos de Marketing")</f>
        <v>0</v>
      </c>
      <c r="AF275" s="241">
        <v>-1835.5998952423849</v>
      </c>
      <c r="AG275" s="27">
        <v>0</v>
      </c>
      <c r="AH275" s="28">
        <f>SUMIFS(Aut_BlueMe_Sem_Pedido!$J:$J,Aut_BlueMe_Sem_Pedido!$Q:$Q,DRE!AF$4,Aut_BlueMe_Sem_Pedido!$H:$H,DRE!$A275)-SUMIFS(Aut_Descontos!$G:$G,Aut_Descontos!$H:$H,A275,Aut_Descontos!$L:$L,DRE!AF$4)+SUMIFS(Aut_Ajustes_Manuais!$G:$G,Aut_Ajustes_Manuais!$I:$I,DRE!AF$4,Aut_Ajustes_Manuais!$F:$F,"Eventos de Marketing")</f>
        <v>0</v>
      </c>
      <c r="AI275" s="241">
        <v>-471.81783799266037</v>
      </c>
      <c r="AJ275" s="27">
        <v>0</v>
      </c>
      <c r="AK275" s="28">
        <f>SUMIFS(Aut_BlueMe_Sem_Pedido!$J:$J,Aut_BlueMe_Sem_Pedido!$Q:$Q,DRE!AI$4,Aut_BlueMe_Sem_Pedido!$H:$H,DRE!$A275)-SUMIFS(Aut_Descontos!$G:$G,Aut_Descontos!$H:$H,A275,Aut_Descontos!$L:$L,DRE!AI$4)+SUMIFS(Aut_Ajustes_Manuais!$G:$G,Aut_Ajustes_Manuais!$I:$I,DRE!AI$4,Aut_Ajustes_Manuais!$F:$F,"Eventos de Marketing")</f>
        <v>0</v>
      </c>
      <c r="AL275" s="241">
        <v>-23.17779157565883</v>
      </c>
      <c r="AM275" s="27">
        <v>0</v>
      </c>
      <c r="AN275" s="28">
        <f>SUMIFS(Aut_BlueMe_Sem_Pedido!$J:$J,Aut_BlueMe_Sem_Pedido!$Q:$Q,DRE!AL$4,Aut_BlueMe_Sem_Pedido!$H:$H,DRE!$A275)-SUMIFS(Aut_Descontos!$G:$G,Aut_Descontos!$H:$H,A275,Aut_Descontos!$L:$L,DRE!AL$4)+SUMIFS(Aut_Ajustes_Manuais!$G:$G,Aut_Ajustes_Manuais!$I:$I,DRE!AL$4,Aut_Ajustes_Manuais!$F:$F,"Eventos de Marketing")</f>
        <v>0</v>
      </c>
      <c r="AO275" s="241">
        <v>-231.6606339160611</v>
      </c>
      <c r="AP275" s="27">
        <v>-1575</v>
      </c>
      <c r="AQ275" s="28">
        <f>SUMIFS(Aut_BlueMe_Sem_Pedido!$J:$J,Aut_BlueMe_Sem_Pedido!$Q:$Q,DRE!AO$4,Aut_BlueMe_Sem_Pedido!$H:$H,DRE!$A275)-SUMIFS(Aut_Descontos!$G:$G,Aut_Descontos!$H:$H,A275,Aut_Descontos!$L:$L,DRE!AO$4)+SUMIFS(Aut_Ajustes_Manuais!$G:$G,Aut_Ajustes_Manuais!$I:$I,DRE!AO$4,Aut_Ajustes_Manuais!$F:$F,"Eventos de Marketing")</f>
        <v>0</v>
      </c>
      <c r="AR275" s="241">
        <f t="shared" ca="1" si="255"/>
        <v>-291.39999999999998</v>
      </c>
      <c r="AS275" s="27">
        <f t="shared" ca="1" si="256"/>
        <v>-3150</v>
      </c>
      <c r="AT275" s="28">
        <f t="shared" ca="1" si="257"/>
        <v>-843.49</v>
      </c>
      <c r="AU275" s="241">
        <f t="shared" si="258"/>
        <v>-3492.1476618794027</v>
      </c>
      <c r="AV275" s="27">
        <f t="shared" si="259"/>
        <v>-4725</v>
      </c>
      <c r="AW275" s="28">
        <f t="shared" si="260"/>
        <v>-843.49</v>
      </c>
      <c r="AX275" s="241">
        <f t="shared" si="261"/>
        <v>-291.39999999999998</v>
      </c>
      <c r="AY275" s="27">
        <f t="shared" si="262"/>
        <v>-1575</v>
      </c>
      <c r="AZ275" s="28">
        <f t="shared" si="263"/>
        <v>-234.15</v>
      </c>
      <c r="BA275" s="241">
        <f t="shared" si="264"/>
        <v>0</v>
      </c>
      <c r="BB275" s="27">
        <f t="shared" si="265"/>
        <v>-1575</v>
      </c>
      <c r="BC275" s="28">
        <f t="shared" si="266"/>
        <v>-609.34</v>
      </c>
      <c r="BD275" s="241">
        <f t="shared" si="267"/>
        <v>-2474.0913983950222</v>
      </c>
      <c r="BE275" s="27">
        <f t="shared" si="268"/>
        <v>0</v>
      </c>
      <c r="BF275" s="28">
        <f t="shared" si="269"/>
        <v>0</v>
      </c>
      <c r="BG275" s="241">
        <f t="shared" si="270"/>
        <v>-726.65626348438036</v>
      </c>
      <c r="BH275" s="27">
        <f t="shared" si="271"/>
        <v>-1575</v>
      </c>
      <c r="BI275" s="28">
        <f t="shared" si="272"/>
        <v>0</v>
      </c>
      <c r="BK275" s="448">
        <f t="shared" si="250"/>
        <v>-4725</v>
      </c>
      <c r="BL275" s="448">
        <f t="shared" si="251"/>
        <v>0</v>
      </c>
      <c r="BM275" s="448">
        <f t="shared" si="252"/>
        <v>-843.49</v>
      </c>
      <c r="BN275" s="448">
        <f t="shared" ca="1" si="253"/>
        <v>0</v>
      </c>
    </row>
    <row r="276" spans="1:66" s="29" customFormat="1" hidden="1" outlineLevel="1" x14ac:dyDescent="0.3">
      <c r="A276" s="22" t="s">
        <v>307</v>
      </c>
      <c r="B276" s="23"/>
      <c r="C276" s="24" t="s">
        <v>62</v>
      </c>
      <c r="D276" s="121"/>
      <c r="E276" s="114"/>
      <c r="F276" s="56"/>
      <c r="G276" s="33"/>
      <c r="H276" s="241">
        <v>0</v>
      </c>
      <c r="I276" s="27">
        <v>0</v>
      </c>
      <c r="J276" s="28">
        <f>SUMIFS(Aut_BlueMe_Sem_Pedido!$J:$J,Aut_BlueMe_Sem_Pedido!$Q:$Q,DRE!H$4,Aut_BlueMe_Sem_Pedido!$H:$H,DRE!$A276)+SUMIFS(Aut_Ajustes_Manuais!$G:$G,Aut_Ajustes_Manuais!$I:$I,DRE!H$4,Aut_Ajustes_Manuais!$F:$F,"Brindes e Confraternizações")</f>
        <v>0</v>
      </c>
      <c r="K276" s="241">
        <v>0</v>
      </c>
      <c r="L276" s="27">
        <v>0</v>
      </c>
      <c r="M276" s="28">
        <f>SUMIFS(Aut_BlueMe_Sem_Pedido!$J:$J,Aut_BlueMe_Sem_Pedido!$Q:$Q,DRE!K$4,Aut_BlueMe_Sem_Pedido!$H:$H,DRE!$A276)+SUMIFS(Aut_Ajustes_Manuais!$G:$G,Aut_Ajustes_Manuais!$I:$I,DRE!K$4,Aut_Ajustes_Manuais!$F:$F,"Brindes e Confraternizações")</f>
        <v>0</v>
      </c>
      <c r="N276" s="241">
        <v>0</v>
      </c>
      <c r="O276" s="27">
        <v>0</v>
      </c>
      <c r="P276" s="28">
        <f>SUMIFS(Aut_BlueMe_Sem_Pedido!$J:$J,Aut_BlueMe_Sem_Pedido!$Q:$Q,DRE!N$4,Aut_BlueMe_Sem_Pedido!$H:$H,DRE!$A276)+SUMIFS(Aut_Ajustes_Manuais!$G:$G,Aut_Ajustes_Manuais!$I:$I,DRE!N$4,Aut_Ajustes_Manuais!$F:$F,"Brindes e Confraternizações")</f>
        <v>0</v>
      </c>
      <c r="Q276" s="241">
        <v>0</v>
      </c>
      <c r="R276" s="27">
        <v>0</v>
      </c>
      <c r="S276" s="28">
        <f>SUMIFS(Aut_BlueMe_Sem_Pedido!$J:$J,Aut_BlueMe_Sem_Pedido!$Q:$Q,DRE!Q$4,Aut_BlueMe_Sem_Pedido!$H:$H,DRE!$A276)+SUMIFS(Aut_Ajustes_Manuais!$G:$G,Aut_Ajustes_Manuais!$I:$I,DRE!Q$4,Aut_Ajustes_Manuais!$F:$F,"Brindes e Confraternizações")</f>
        <v>0</v>
      </c>
      <c r="T276" s="241">
        <v>0</v>
      </c>
      <c r="U276" s="27">
        <v>0</v>
      </c>
      <c r="V276" s="28">
        <f>SUMIFS(Aut_BlueMe_Sem_Pedido!$J:$J,Aut_BlueMe_Sem_Pedido!$Q:$Q,DRE!T$4,Aut_BlueMe_Sem_Pedido!$H:$H,DRE!$A276)+SUMIFS(Aut_Ajustes_Manuais!$G:$G,Aut_Ajustes_Manuais!$I:$I,DRE!T$4,Aut_Ajustes_Manuais!$F:$F,"Brindes e Confraternizações")</f>
        <v>0</v>
      </c>
      <c r="W276" s="241">
        <v>0</v>
      </c>
      <c r="X276" s="27">
        <v>0</v>
      </c>
      <c r="Y276" s="28">
        <f>SUMIFS(Aut_BlueMe_Sem_Pedido!$J:$J,Aut_BlueMe_Sem_Pedido!$Q:$Q,DRE!W$4,Aut_BlueMe_Sem_Pedido!$H:$H,DRE!$A276)+SUMIFS(Aut_Ajustes_Manuais!$G:$G,Aut_Ajustes_Manuais!$I:$I,DRE!W$4,Aut_Ajustes_Manuais!$F:$F,"Brindes e Confraternizações")</f>
        <v>0</v>
      </c>
      <c r="Z276" s="241">
        <v>0</v>
      </c>
      <c r="AA276" s="27">
        <v>0</v>
      </c>
      <c r="AB276" s="28">
        <f>SUMIFS(Aut_BlueMe_Sem_Pedido!$J:$J,Aut_BlueMe_Sem_Pedido!$Q:$Q,DRE!Z$4,Aut_BlueMe_Sem_Pedido!$H:$H,DRE!$A276)+SUMIFS(Aut_Ajustes_Manuais!$G:$G,Aut_Ajustes_Manuais!$I:$I,DRE!Z$4,Aut_Ajustes_Manuais!$F:$F,"Brindes e Confraternizações")</f>
        <v>0</v>
      </c>
      <c r="AC276" s="241">
        <v>0</v>
      </c>
      <c r="AD276" s="27">
        <v>0</v>
      </c>
      <c r="AE276" s="28">
        <f>SUMIFS(Aut_BlueMe_Sem_Pedido!$J:$J,Aut_BlueMe_Sem_Pedido!$Q:$Q,DRE!AC$4,Aut_BlueMe_Sem_Pedido!$H:$H,DRE!$A276)+SUMIFS(Aut_Ajustes_Manuais!$G:$G,Aut_Ajustes_Manuais!$I:$I,DRE!AC$4,Aut_Ajustes_Manuais!$F:$F,"Brindes e Confraternizações")</f>
        <v>0</v>
      </c>
      <c r="AF276" s="241">
        <v>0</v>
      </c>
      <c r="AG276" s="27">
        <v>0</v>
      </c>
      <c r="AH276" s="28">
        <f>SUMIFS(Aut_BlueMe_Sem_Pedido!$J:$J,Aut_BlueMe_Sem_Pedido!$Q:$Q,DRE!AF$4,Aut_BlueMe_Sem_Pedido!$H:$H,DRE!$A276)+SUMIFS(Aut_Ajustes_Manuais!$G:$G,Aut_Ajustes_Manuais!$I:$I,DRE!AF$4,Aut_Ajustes_Manuais!$F:$F,"Brindes e Confraternizações")</f>
        <v>0</v>
      </c>
      <c r="AI276" s="241">
        <v>0</v>
      </c>
      <c r="AJ276" s="27">
        <v>0</v>
      </c>
      <c r="AK276" s="28">
        <f>SUMIFS(Aut_BlueMe_Sem_Pedido!$J:$J,Aut_BlueMe_Sem_Pedido!$Q:$Q,DRE!AI$4,Aut_BlueMe_Sem_Pedido!$H:$H,DRE!$A276)+SUMIFS(Aut_Ajustes_Manuais!$G:$G,Aut_Ajustes_Manuais!$I:$I,DRE!AI$4,Aut_Ajustes_Manuais!$F:$F,"Brindes e Confraternizações")</f>
        <v>0</v>
      </c>
      <c r="AL276" s="241">
        <v>0</v>
      </c>
      <c r="AM276" s="27">
        <v>0</v>
      </c>
      <c r="AN276" s="28">
        <f>SUMIFS(Aut_BlueMe_Sem_Pedido!$J:$J,Aut_BlueMe_Sem_Pedido!$Q:$Q,DRE!AL$4,Aut_BlueMe_Sem_Pedido!$H:$H,DRE!$A276)+SUMIFS(Aut_Ajustes_Manuais!$G:$G,Aut_Ajustes_Manuais!$I:$I,DRE!AL$4,Aut_Ajustes_Manuais!$F:$F,"Brindes e Confraternizações")</f>
        <v>0</v>
      </c>
      <c r="AO276" s="241">
        <v>0</v>
      </c>
      <c r="AP276" s="27">
        <v>0</v>
      </c>
      <c r="AQ276" s="28">
        <f>SUMIFS(Aut_BlueMe_Sem_Pedido!$J:$J,Aut_BlueMe_Sem_Pedido!$Q:$Q,DRE!AO$4,Aut_BlueMe_Sem_Pedido!$H:$H,DRE!$A276)+SUMIFS(Aut_Ajustes_Manuais!$G:$G,Aut_Ajustes_Manuais!$I:$I,DRE!AO$4,Aut_Ajustes_Manuais!$F:$F,"Brindes e Confraternizações")</f>
        <v>0</v>
      </c>
      <c r="AR276" s="241">
        <f t="shared" ca="1" si="255"/>
        <v>0</v>
      </c>
      <c r="AS276" s="27">
        <f t="shared" ca="1" si="256"/>
        <v>0</v>
      </c>
      <c r="AT276" s="28">
        <f t="shared" ca="1" si="257"/>
        <v>0</v>
      </c>
      <c r="AU276" s="241">
        <f t="shared" si="258"/>
        <v>0</v>
      </c>
      <c r="AV276" s="27">
        <f t="shared" si="259"/>
        <v>0</v>
      </c>
      <c r="AW276" s="28">
        <f t="shared" si="260"/>
        <v>0</v>
      </c>
      <c r="AX276" s="241">
        <f t="shared" si="261"/>
        <v>0</v>
      </c>
      <c r="AY276" s="27">
        <f t="shared" si="262"/>
        <v>0</v>
      </c>
      <c r="AZ276" s="28">
        <f t="shared" si="263"/>
        <v>0</v>
      </c>
      <c r="BA276" s="241">
        <f t="shared" si="264"/>
        <v>0</v>
      </c>
      <c r="BB276" s="27">
        <f t="shared" si="265"/>
        <v>0</v>
      </c>
      <c r="BC276" s="28">
        <f t="shared" si="266"/>
        <v>0</v>
      </c>
      <c r="BD276" s="241">
        <f t="shared" si="267"/>
        <v>0</v>
      </c>
      <c r="BE276" s="27">
        <f t="shared" si="268"/>
        <v>0</v>
      </c>
      <c r="BF276" s="28">
        <f t="shared" si="269"/>
        <v>0</v>
      </c>
      <c r="BG276" s="241">
        <f t="shared" si="270"/>
        <v>0</v>
      </c>
      <c r="BH276" s="27">
        <f t="shared" si="271"/>
        <v>0</v>
      </c>
      <c r="BI276" s="28">
        <f t="shared" si="272"/>
        <v>0</v>
      </c>
      <c r="BK276" s="448">
        <f t="shared" si="250"/>
        <v>0</v>
      </c>
      <c r="BL276" s="448">
        <f t="shared" si="251"/>
        <v>0</v>
      </c>
      <c r="BM276" s="448">
        <f t="shared" si="252"/>
        <v>0</v>
      </c>
      <c r="BN276" s="448">
        <f t="shared" ca="1" si="253"/>
        <v>0</v>
      </c>
    </row>
    <row r="277" spans="1:66" s="29" customFormat="1" hidden="1" outlineLevel="1" x14ac:dyDescent="0.3">
      <c r="A277" s="22" t="s">
        <v>308</v>
      </c>
      <c r="B277" s="23"/>
      <c r="C277" s="24" t="s">
        <v>69</v>
      </c>
      <c r="D277" s="116"/>
      <c r="E277" s="115"/>
      <c r="F277" s="56"/>
      <c r="G277" s="33"/>
      <c r="H277" s="241">
        <v>-41.982648411710237</v>
      </c>
      <c r="I277" s="27">
        <v>-157.5</v>
      </c>
      <c r="J277" s="28">
        <f>SUMIFS(Aut_BlueMe_Sem_Pedido!$J:$J,Aut_BlueMe_Sem_Pedido!$Q:$Q,DRE!H$4,Aut_BlueMe_Sem_Pedido!$H:$H,DRE!$A277)-SUMIFS(Aut_Descontos!$G:$G,Aut_Descontos!$H:$H,$A277,Aut_Descontos!$L:$L,DRE!H$4)+SUMIFS(Aut_Ajustes_Manuais!$G:$G,Aut_Ajustes_Manuais!$I:$I,DRE!H$4,Aut_Ajustes_Manuais!$F:$F,"Ferramentas de Marketing")</f>
        <v>-341.87</v>
      </c>
      <c r="K277" s="241">
        <v>-82.210685151501579</v>
      </c>
      <c r="L277" s="27">
        <v>-157.5</v>
      </c>
      <c r="M277" s="28">
        <f>SUMIFS(Aut_BlueMe_Sem_Pedido!$J:$J,Aut_BlueMe_Sem_Pedido!$Q:$Q,DRE!K$4,Aut_BlueMe_Sem_Pedido!$H:$H,DRE!$A277)-SUMIFS(Aut_Descontos!$G:$G,Aut_Descontos!$H:$H,$A277,Aut_Descontos!$L:$L,DRE!K$4)+SUMIFS(Aut_Ajustes_Manuais!$G:$G,Aut_Ajustes_Manuais!$I:$I,DRE!K$4,Aut_Ajustes_Manuais!$F:$F,"Ferramentas de Marketing")</f>
        <v>-1126.72</v>
      </c>
      <c r="N277" s="241">
        <v>-585.59984653425056</v>
      </c>
      <c r="O277" s="27">
        <v>-157.5</v>
      </c>
      <c r="P277" s="28">
        <f>SUMIFS(Aut_BlueMe_Sem_Pedido!$J:$J,Aut_BlueMe_Sem_Pedido!$Q:$Q,DRE!N$4,Aut_BlueMe_Sem_Pedido!$H:$H,DRE!$A277)-SUMIFS(Aut_Descontos!$G:$G,Aut_Descontos!$H:$H,$A277,Aut_Descontos!$L:$L,DRE!N$4)+SUMIFS(Aut_Ajustes_Manuais!$G:$G,Aut_Ajustes_Manuais!$I:$I,DRE!N$4,Aut_Ajustes_Manuais!$F:$F,"Ferramentas de Marketing")</f>
        <v>-857.57999999999993</v>
      </c>
      <c r="Q277" s="241">
        <v>-231.28054186835129</v>
      </c>
      <c r="R277" s="27">
        <v>-157.5</v>
      </c>
      <c r="S277" s="28">
        <f>SUMIFS(Aut_BlueMe_Sem_Pedido!$J:$J,Aut_BlueMe_Sem_Pedido!$Q:$Q,DRE!Q$4,Aut_BlueMe_Sem_Pedido!$H:$H,DRE!$A277)-SUMIFS(Aut_Descontos!$G:$G,Aut_Descontos!$H:$H,$A277,Aut_Descontos!$L:$L,DRE!Q$4)+SUMIFS(Aut_Ajustes_Manuais!$G:$G,Aut_Ajustes_Manuais!$I:$I,DRE!Q$4,Aut_Ajustes_Manuais!$F:$F,"Ferramentas de Marketing")</f>
        <v>-642.21</v>
      </c>
      <c r="T277" s="241">
        <v>-40.014813528420262</v>
      </c>
      <c r="U277" s="27">
        <v>-157.5</v>
      </c>
      <c r="V277" s="28">
        <f>SUMIFS(Aut_BlueMe_Sem_Pedido!$J:$J,Aut_BlueMe_Sem_Pedido!$Q:$Q,DRE!T$4,Aut_BlueMe_Sem_Pedido!$H:$H,DRE!$A277)-SUMIFS(Aut_Descontos!$G:$G,Aut_Descontos!$H:$H,$A277,Aut_Descontos!$L:$L,DRE!T$4)+SUMIFS(Aut_Ajustes_Manuais!$G:$G,Aut_Ajustes_Manuais!$I:$I,DRE!T$4,Aut_Ajustes_Manuais!$F:$F,"Ferramentas de Marketing")</f>
        <v>-850.40000000000009</v>
      </c>
      <c r="W277" s="241">
        <v>-1261.5168722220669</v>
      </c>
      <c r="X277" s="27">
        <v>-157.5</v>
      </c>
      <c r="Y277" s="28">
        <f>SUMIFS(Aut_BlueMe_Sem_Pedido!$J:$J,Aut_BlueMe_Sem_Pedido!$Q:$Q,DRE!W$4,Aut_BlueMe_Sem_Pedido!$H:$H,DRE!$A277)-SUMIFS(Aut_Descontos!$G:$G,Aut_Descontos!$H:$H,$A277,Aut_Descontos!$L:$L,DRE!W$4)+SUMIFS(Aut_Ajustes_Manuais!$G:$G,Aut_Ajustes_Manuais!$I:$I,DRE!W$4,Aut_Ajustes_Manuais!$F:$F,"Ferramentas de Marketing")</f>
        <v>-1162.8600000000001</v>
      </c>
      <c r="Z277" s="241">
        <v>-1226.4978508943291</v>
      </c>
      <c r="AA277" s="27">
        <v>-157.5</v>
      </c>
      <c r="AB277" s="28">
        <f>SUMIFS(Aut_BlueMe_Sem_Pedido!$J:$J,Aut_BlueMe_Sem_Pedido!$Q:$Q,DRE!Z$4,Aut_BlueMe_Sem_Pedido!$H:$H,DRE!$A277)-SUMIFS(Aut_Descontos!$G:$G,Aut_Descontos!$H:$H,$A277,Aut_Descontos!$L:$L,DRE!Z$4)+SUMIFS(Aut_Ajustes_Manuais!$G:$G,Aut_Ajustes_Manuais!$I:$I,DRE!Z$4,Aut_Ajustes_Manuais!$F:$F,"Ferramentas de Marketing")</f>
        <v>-22.35</v>
      </c>
      <c r="AC277" s="241">
        <v>-870.87424888709359</v>
      </c>
      <c r="AD277" s="27">
        <v>-157.5</v>
      </c>
      <c r="AE277" s="28">
        <f>SUMIFS(Aut_BlueMe_Sem_Pedido!$J:$J,Aut_BlueMe_Sem_Pedido!$Q:$Q,DRE!AC$4,Aut_BlueMe_Sem_Pedido!$H:$H,DRE!$A277)-SUMIFS(Aut_Descontos!$G:$G,Aut_Descontos!$H:$H,$A277,Aut_Descontos!$L:$L,DRE!AC$4)+SUMIFS(Aut_Ajustes_Manuais!$G:$G,Aut_Ajustes_Manuais!$I:$I,DRE!AC$4,Aut_Ajustes_Manuais!$F:$F,"Ferramentas de Marketing")</f>
        <v>0</v>
      </c>
      <c r="AF277" s="241">
        <v>-1006.8058048362331</v>
      </c>
      <c r="AG277" s="27">
        <v>-157.5</v>
      </c>
      <c r="AH277" s="28">
        <f>SUMIFS(Aut_BlueMe_Sem_Pedido!$J:$J,Aut_BlueMe_Sem_Pedido!$Q:$Q,DRE!AF$4,Aut_BlueMe_Sem_Pedido!$H:$H,DRE!$A277)-SUMIFS(Aut_Descontos!$G:$G,Aut_Descontos!$H:$H,$A277,Aut_Descontos!$L:$L,DRE!AF$4)+SUMIFS(Aut_Ajustes_Manuais!$G:$G,Aut_Ajustes_Manuais!$I:$I,DRE!AF$4,Aut_Ajustes_Manuais!$F:$F,"Ferramentas de Marketing")</f>
        <v>0</v>
      </c>
      <c r="AI277" s="241">
        <v>-900.58935991017711</v>
      </c>
      <c r="AJ277" s="27">
        <v>-157.5</v>
      </c>
      <c r="AK277" s="28">
        <f>SUMIFS(Aut_BlueMe_Sem_Pedido!$J:$J,Aut_BlueMe_Sem_Pedido!$Q:$Q,DRE!AI$4,Aut_BlueMe_Sem_Pedido!$H:$H,DRE!$A277)-SUMIFS(Aut_Descontos!$G:$G,Aut_Descontos!$H:$H,$A277,Aut_Descontos!$L:$L,DRE!AI$4)+SUMIFS(Aut_Ajustes_Manuais!$G:$G,Aut_Ajustes_Manuais!$I:$I,DRE!AI$4,Aut_Ajustes_Manuais!$F:$F,"Ferramentas de Marketing")</f>
        <v>0</v>
      </c>
      <c r="AL277" s="241">
        <v>-1102.210608449192</v>
      </c>
      <c r="AM277" s="27">
        <v>-157.5</v>
      </c>
      <c r="AN277" s="28">
        <f>SUMIFS(Aut_BlueMe_Sem_Pedido!$J:$J,Aut_BlueMe_Sem_Pedido!$Q:$Q,DRE!AL$4,Aut_BlueMe_Sem_Pedido!$H:$H,DRE!$A277)-SUMIFS(Aut_Descontos!$G:$G,Aut_Descontos!$H:$H,$A277,Aut_Descontos!$L:$L,DRE!AL$4)+SUMIFS(Aut_Ajustes_Manuais!$G:$G,Aut_Ajustes_Manuais!$I:$I,DRE!AL$4,Aut_Ajustes_Manuais!$F:$F,"Ferramentas de Marketing")</f>
        <v>0</v>
      </c>
      <c r="AO277" s="241">
        <v>-975.95763217604315</v>
      </c>
      <c r="AP277" s="27">
        <v>-157.5</v>
      </c>
      <c r="AQ277" s="28">
        <f>SUMIFS(Aut_BlueMe_Sem_Pedido!$J:$J,Aut_BlueMe_Sem_Pedido!$Q:$Q,DRE!AO$4,Aut_BlueMe_Sem_Pedido!$H:$H,DRE!$A277)-SUMIFS(Aut_Descontos!$G:$G,Aut_Descontos!$H:$H,$A277,Aut_Descontos!$L:$L,DRE!AO$4)+SUMIFS(Aut_Ajustes_Manuais!$G:$G,Aut_Ajustes_Manuais!$I:$I,DRE!AO$4,Aut_Ajustes_Manuais!$F:$F,"Ferramentas de Marketing")</f>
        <v>0</v>
      </c>
      <c r="AR277" s="241">
        <f t="shared" ca="1" si="255"/>
        <v>-2242.6054077163008</v>
      </c>
      <c r="AS277" s="27">
        <f t="shared" ca="1" si="256"/>
        <v>-945</v>
      </c>
      <c r="AT277" s="28">
        <f t="shared" ca="1" si="257"/>
        <v>-4981.6400000000003</v>
      </c>
      <c r="AU277" s="241">
        <f t="shared" si="258"/>
        <v>-8325.5409128693682</v>
      </c>
      <c r="AV277" s="27">
        <f t="shared" si="259"/>
        <v>-1890</v>
      </c>
      <c r="AW277" s="28">
        <f t="shared" si="260"/>
        <v>-5003.9900000000007</v>
      </c>
      <c r="AX277" s="241">
        <f t="shared" si="261"/>
        <v>-709.79318009746237</v>
      </c>
      <c r="AY277" s="27">
        <f t="shared" si="262"/>
        <v>-472.5</v>
      </c>
      <c r="AZ277" s="28">
        <f t="shared" si="263"/>
        <v>-2326.17</v>
      </c>
      <c r="BA277" s="241">
        <f t="shared" si="264"/>
        <v>-1532.8122276188385</v>
      </c>
      <c r="BB277" s="27">
        <f t="shared" si="265"/>
        <v>-472.5</v>
      </c>
      <c r="BC277" s="28">
        <f t="shared" si="266"/>
        <v>-2655.4700000000003</v>
      </c>
      <c r="BD277" s="241">
        <f t="shared" si="267"/>
        <v>-3104.1779046176557</v>
      </c>
      <c r="BE277" s="27">
        <f t="shared" si="268"/>
        <v>-472.5</v>
      </c>
      <c r="BF277" s="28">
        <f t="shared" si="269"/>
        <v>-22.35</v>
      </c>
      <c r="BG277" s="241">
        <f t="shared" si="270"/>
        <v>-2978.7576005354122</v>
      </c>
      <c r="BH277" s="27">
        <f t="shared" si="271"/>
        <v>-472.5</v>
      </c>
      <c r="BI277" s="28">
        <f t="shared" si="272"/>
        <v>0</v>
      </c>
      <c r="BK277" s="448">
        <f t="shared" si="250"/>
        <v>-1890</v>
      </c>
      <c r="BL277" s="448">
        <f t="shared" si="251"/>
        <v>0</v>
      </c>
      <c r="BM277" s="448">
        <f t="shared" si="252"/>
        <v>-3818.78</v>
      </c>
      <c r="BN277" s="448">
        <f t="shared" ca="1" si="253"/>
        <v>1162.8600000000001</v>
      </c>
    </row>
    <row r="278" spans="1:66" collapsed="1" x14ac:dyDescent="0.3">
      <c r="A278" s="71" t="s">
        <v>46</v>
      </c>
      <c r="B278" s="59"/>
      <c r="C278" s="60"/>
      <c r="D278" s="61"/>
      <c r="E278" s="62"/>
      <c r="F278" s="63"/>
      <c r="G278" s="47"/>
      <c r="H278" s="245">
        <v>-1.846653290287828E-2</v>
      </c>
      <c r="I278" s="50">
        <v>-0.02</v>
      </c>
      <c r="J278" s="51">
        <f>IFERROR(J266/J8,0)+SUMIFS(Aut_Ajustes_Manuais!$G:$G,Aut_Ajustes_Manuais!$I:$I,DRE!H$4,Aut_Ajustes_Manuais!$F:$F,"% sobre Receita Bruta")</f>
        <v>-2.7048862329071138E-2</v>
      </c>
      <c r="K278" s="245">
        <v>-1.4676474840975571E-2</v>
      </c>
      <c r="L278" s="50">
        <v>-0.04</v>
      </c>
      <c r="M278" s="51">
        <f>IFERROR(M266/M8,0)+SUMIFS(Aut_Ajustes_Manuais!$G:$G,Aut_Ajustes_Manuais!$I:$I,DRE!K$4,Aut_Ajustes_Manuais!$F:$F,"% sobre Receita Bruta")</f>
        <v>-1.4594927913033066E-2</v>
      </c>
      <c r="N278" s="245">
        <v>-3.1179282641961421E-2</v>
      </c>
      <c r="O278" s="50">
        <v>-2.7173913043478271E-2</v>
      </c>
      <c r="P278" s="51">
        <f>IFERROR(P266/P8,0)+SUMIFS(Aut_Ajustes_Manuais!$G:$G,Aut_Ajustes_Manuais!$I:$I,DRE!N$4,Aut_Ajustes_Manuais!$F:$F,"% sobre Receita Bruta")</f>
        <v>-1.4276025185495589E-2</v>
      </c>
      <c r="Q278" s="245">
        <v>-1.2867494722714279E-2</v>
      </c>
      <c r="R278" s="50">
        <v>-5.2444444444444453E-2</v>
      </c>
      <c r="S278" s="51">
        <f>IFERROR(S266/S8,0)+SUMIFS(Aut_Ajustes_Manuais!$G:$G,Aut_Ajustes_Manuais!$I:$I,DRE!Q$4,Aut_Ajustes_Manuais!$F:$F,"% sobre Receita Bruta")</f>
        <v>-1.3265045903789385E-2</v>
      </c>
      <c r="T278" s="245">
        <v>-1.1571184522118061E-2</v>
      </c>
      <c r="U278" s="50">
        <v>-1.9459459459459458E-2</v>
      </c>
      <c r="V278" s="51">
        <f>IFERROR(V266/V8,0)+SUMIFS(Aut_Ajustes_Manuais!$G:$G,Aut_Ajustes_Manuais!$I:$I,DRE!T$4,Aut_Ajustes_Manuais!$F:$F,"% sobre Receita Bruta")</f>
        <v>-1.1669182328935324E-2</v>
      </c>
      <c r="W278" s="245">
        <v>-1.4346448224064451E-2</v>
      </c>
      <c r="X278" s="50">
        <v>-0.04</v>
      </c>
      <c r="Y278" s="51">
        <f>IFERROR(Y266/Y8,0)+SUMIFS(Aut_Ajustes_Manuais!$G:$G,Aut_Ajustes_Manuais!$I:$I,DRE!W$4,Aut_Ajustes_Manuais!$F:$F,"% sobre Receita Bruta")</f>
        <v>-2.668446819910723E-2</v>
      </c>
      <c r="Z278" s="245">
        <v>-1.7416754233594008E-2</v>
      </c>
      <c r="AA278" s="50">
        <v>-2.0000000000000011E-2</v>
      </c>
      <c r="AB278" s="51">
        <f>IFERROR(AB266/AB8,0)+SUMIFS(Aut_Ajustes_Manuais!$G:$G,Aut_Ajustes_Manuais!$I:$I,DRE!Z$4,Aut_Ajustes_Manuais!$F:$F,"% sobre Receita Bruta")</f>
        <v>-7.5405161013990529E-2</v>
      </c>
      <c r="AC278" s="245">
        <v>-1.283940638105562E-2</v>
      </c>
      <c r="AD278" s="50">
        <v>-1.891891891891892E-2</v>
      </c>
      <c r="AE278" s="51">
        <f>IFERROR(AE266/AE8,0)+SUMIFS(Aut_Ajustes_Manuais!$G:$G,Aut_Ajustes_Manuais!$I:$I,DRE!AC$4,Aut_Ajustes_Manuais!$F:$F,"% sobre Receita Bruta")</f>
        <v>0</v>
      </c>
      <c r="AF278" s="245">
        <v>-2.5997089260707849E-2</v>
      </c>
      <c r="AG278" s="50">
        <v>-1.9438596491228071E-2</v>
      </c>
      <c r="AH278" s="51">
        <f>IFERROR(AH266/AH8,0)+SUMIFS(Aut_Ajustes_Manuais!$G:$G,Aut_Ajustes_Manuais!$I:$I,DRE!AF$4,Aut_Ajustes_Manuais!$F:$F,"% sobre Receita Bruta")</f>
        <v>0</v>
      </c>
      <c r="AI278" s="245">
        <v>-2.0038995591951179E-2</v>
      </c>
      <c r="AJ278" s="50">
        <v>-0.02</v>
      </c>
      <c r="AK278" s="51">
        <f>IFERROR(AK266/AK8,0)+SUMIFS(Aut_Ajustes_Manuais!$G:$G,Aut_Ajustes_Manuais!$I:$I,DRE!AI$4,Aut_Ajustes_Manuais!$F:$F,"% sobre Receita Bruta")</f>
        <v>0</v>
      </c>
      <c r="AL278" s="245">
        <v>-1.123402318735723E-2</v>
      </c>
      <c r="AM278" s="50">
        <v>-3.6869309708161498E-2</v>
      </c>
      <c r="AN278" s="51">
        <f>IFERROR(AN266/AN8,0)+SUMIFS(Aut_Ajustes_Manuais!$G:$G,Aut_Ajustes_Manuais!$I:$I,DRE!AL$4,Aut_Ajustes_Manuais!$F:$F,"% sobre Receita Bruta")</f>
        <v>0</v>
      </c>
      <c r="AO278" s="245">
        <v>-1.446198774688005E-2</v>
      </c>
      <c r="AP278" s="50">
        <v>-2.0833333333333339E-2</v>
      </c>
      <c r="AQ278" s="51">
        <f>IFERROR(AQ266/AQ8,0)+SUMIFS(Aut_Ajustes_Manuais!$G:$G,Aut_Ajustes_Manuais!$I:$I,DRE!AO$4,Aut_Ajustes_Manuais!$F:$F,"% sobre Receita Bruta")</f>
        <v>0</v>
      </c>
      <c r="AR278" s="245">
        <f t="shared" ref="AR278:BI278" ca="1" si="273">IFERROR(AR266/AR8,0)</f>
        <v>-1.678846375507442E-2</v>
      </c>
      <c r="AS278" s="50">
        <f t="shared" ca="1" si="273"/>
        <v>-3.2188754521259071E-2</v>
      </c>
      <c r="AT278" s="51">
        <f t="shared" ca="1" si="273"/>
        <v>-1.8080594527972223E-2</v>
      </c>
      <c r="AU278" s="245">
        <f t="shared" si="273"/>
        <v>-1.6677503386304238E-2</v>
      </c>
      <c r="AV278" s="50">
        <f t="shared" si="273"/>
        <v>-2.7203241166687916E-2</v>
      </c>
      <c r="AW278" s="51">
        <f t="shared" si="273"/>
        <v>-3.0012453621950441E-2</v>
      </c>
      <c r="AX278" s="245">
        <f t="shared" si="273"/>
        <v>-2.1351976178684753E-2</v>
      </c>
      <c r="AY278" s="50">
        <f t="shared" si="273"/>
        <v>-2.9017217552640862E-2</v>
      </c>
      <c r="AZ278" s="51">
        <f t="shared" si="273"/>
        <v>-1.9114977157173391E-2</v>
      </c>
      <c r="BA278" s="245">
        <f t="shared" si="273"/>
        <v>-1.2799767213531005E-2</v>
      </c>
      <c r="BB278" s="50">
        <f t="shared" si="273"/>
        <v>-3.4844282495956967E-2</v>
      </c>
      <c r="BC278" s="51">
        <f t="shared" si="273"/>
        <v>-1.7103513452221629E-2</v>
      </c>
      <c r="BD278" s="245">
        <f t="shared" si="273"/>
        <v>-1.8415607399864257E-2</v>
      </c>
      <c r="BE278" s="50">
        <f t="shared" si="273"/>
        <v>-1.9438782757110525E-2</v>
      </c>
      <c r="BF278" s="51">
        <f t="shared" si="273"/>
        <v>-0.18744943683745868</v>
      </c>
      <c r="BG278" s="245">
        <f t="shared" si="273"/>
        <v>-1.4962859335772537E-2</v>
      </c>
      <c r="BH278" s="50">
        <f t="shared" si="273"/>
        <v>-2.6369620917918345E-2</v>
      </c>
      <c r="BI278" s="51">
        <f t="shared" si="273"/>
        <v>0</v>
      </c>
      <c r="BK278" s="448">
        <f t="shared" si="250"/>
        <v>-0.33513797539902401</v>
      </c>
      <c r="BL278" s="448">
        <f t="shared" si="251"/>
        <v>-0.30793473423233608</v>
      </c>
      <c r="BM278" s="448">
        <f t="shared" si="252"/>
        <v>-8.0854043660324504E-2</v>
      </c>
      <c r="BN278" s="448">
        <f t="shared" ca="1" si="253"/>
        <v>-6.2773449132352277E-2</v>
      </c>
    </row>
    <row r="279" spans="1:66" x14ac:dyDescent="0.3">
      <c r="A279" s="18"/>
      <c r="E279" s="16"/>
      <c r="F279" s="17"/>
      <c r="G279" s="47"/>
      <c r="H279" s="247"/>
      <c r="I279" s="17"/>
      <c r="J279" s="57"/>
      <c r="K279" s="247"/>
      <c r="L279" s="17"/>
      <c r="M279" s="57"/>
      <c r="N279" s="247"/>
      <c r="O279" s="17"/>
      <c r="P279" s="57"/>
      <c r="Q279" s="247"/>
      <c r="R279" s="17"/>
      <c r="S279" s="57"/>
      <c r="T279" s="247"/>
      <c r="U279" s="17"/>
      <c r="V279" s="57"/>
      <c r="W279" s="247"/>
      <c r="X279" s="17"/>
      <c r="Y279" s="57"/>
      <c r="Z279" s="247"/>
      <c r="AA279" s="17"/>
      <c r="AB279" s="57"/>
      <c r="AC279" s="247"/>
      <c r="AD279" s="17"/>
      <c r="AE279" s="57"/>
      <c r="AF279" s="247"/>
      <c r="AG279" s="17"/>
      <c r="AH279" s="57"/>
      <c r="AI279" s="247"/>
      <c r="AJ279" s="17"/>
      <c r="AK279" s="57"/>
      <c r="AL279" s="247"/>
      <c r="AM279" s="17"/>
      <c r="AN279" s="57"/>
      <c r="AO279" s="247"/>
      <c r="AP279" s="17"/>
      <c r="AQ279" s="57"/>
      <c r="AR279" s="247"/>
      <c r="AS279" s="17"/>
      <c r="AT279" s="57"/>
      <c r="AU279" s="247"/>
      <c r="AV279" s="17"/>
      <c r="AW279" s="57"/>
      <c r="AX279" s="247"/>
      <c r="AY279" s="17"/>
      <c r="AZ279" s="57"/>
      <c r="BA279" s="247"/>
      <c r="BB279" s="17"/>
      <c r="BC279" s="57"/>
      <c r="BD279" s="247"/>
      <c r="BE279" s="17"/>
      <c r="BF279" s="57"/>
      <c r="BG279" s="247"/>
      <c r="BH279" s="17"/>
      <c r="BI279" s="57"/>
      <c r="BK279" s="448">
        <f t="shared" si="250"/>
        <v>0</v>
      </c>
      <c r="BL279" s="448">
        <f t="shared" si="251"/>
        <v>0</v>
      </c>
      <c r="BM279" s="448">
        <f t="shared" si="252"/>
        <v>0</v>
      </c>
      <c r="BN279" s="448">
        <f t="shared" si="253"/>
        <v>0</v>
      </c>
    </row>
    <row r="280" spans="1:66" x14ac:dyDescent="0.3">
      <c r="A280" s="39" t="s">
        <v>309</v>
      </c>
      <c r="C280" s="40" t="s">
        <v>37</v>
      </c>
      <c r="D280" s="40" t="s">
        <v>38</v>
      </c>
      <c r="E280" s="40" t="s">
        <v>203</v>
      </c>
      <c r="F280" s="41"/>
      <c r="G280" s="47"/>
      <c r="H280" s="244">
        <v>-5775.9400000000014</v>
      </c>
      <c r="I280" s="42">
        <v>-5422.5870000000004</v>
      </c>
      <c r="J280" s="43">
        <f>SUM(J281:J288)+SUMIFS(Aut_Ajustes_Manuais!$G:$G,Aut_Ajustes_Manuais!$I:$I,DRE!H$4,Aut_Ajustes_Manuais!$F:$F,"Serviços de Terceiros")</f>
        <v>-4715.57</v>
      </c>
      <c r="K280" s="244">
        <v>-5593.41</v>
      </c>
      <c r="L280" s="42">
        <v>-5422.5870000000004</v>
      </c>
      <c r="M280" s="43">
        <f>SUM(M281:M288)+SUMIFS(Aut_Ajustes_Manuais!$G:$G,Aut_Ajustes_Manuais!$I:$I,DRE!K$4,Aut_Ajustes_Manuais!$F:$F,"Serviços de Terceiros")</f>
        <v>-4950.6499999999996</v>
      </c>
      <c r="N280" s="244">
        <v>-5552.9400000000014</v>
      </c>
      <c r="O280" s="42">
        <v>-5422.5870000000004</v>
      </c>
      <c r="P280" s="43">
        <f>SUM(P281:P288)+SUMIFS(Aut_Ajustes_Manuais!$G:$G,Aut_Ajustes_Manuais!$I:$I,DRE!N$4,Aut_Ajustes_Manuais!$F:$F,"Serviços de Terceiros")</f>
        <v>-5273.05</v>
      </c>
      <c r="Q280" s="244">
        <v>-5395.9400000000014</v>
      </c>
      <c r="R280" s="42">
        <v>-5422.5870000000004</v>
      </c>
      <c r="S280" s="43">
        <f>SUM(S281:S288)+SUMIFS(Aut_Ajustes_Manuais!$G:$G,Aut_Ajustes_Manuais!$I:$I,DRE!Q$4,Aut_Ajustes_Manuais!$F:$F,"Serviços de Terceiros")</f>
        <v>-5824.68</v>
      </c>
      <c r="T280" s="244">
        <v>-5690.6900000000014</v>
      </c>
      <c r="U280" s="42">
        <v>-5422.5870000000004</v>
      </c>
      <c r="V280" s="43">
        <f>SUM(V281:V288)+SUMIFS(Aut_Ajustes_Manuais!$G:$G,Aut_Ajustes_Manuais!$I:$I,DRE!T$4,Aut_Ajustes_Manuais!$F:$F,"Serviços de Terceiros")</f>
        <v>-5843.05</v>
      </c>
      <c r="W280" s="244">
        <v>-5695.9400000000014</v>
      </c>
      <c r="X280" s="42">
        <v>-5422.5870000000004</v>
      </c>
      <c r="Y280" s="43">
        <f>SUM(Y281:Y288)+SUMIFS(Aut_Ajustes_Manuais!$G:$G,Aut_Ajustes_Manuais!$I:$I,DRE!W$4,Aut_Ajustes_Manuais!$F:$F,"Serviços de Terceiros")</f>
        <v>-6898.29</v>
      </c>
      <c r="Z280" s="244">
        <v>-5695.9400000000014</v>
      </c>
      <c r="AA280" s="42">
        <v>-5422.5870000000004</v>
      </c>
      <c r="AB280" s="43">
        <f>SUM(AB281:AB288)+SUMIFS(Aut_Ajustes_Manuais!$G:$G,Aut_Ajustes_Manuais!$I:$I,DRE!Z$4,Aut_Ajustes_Manuais!$F:$F,"Serviços de Terceiros")</f>
        <v>-7192.97</v>
      </c>
      <c r="AC280" s="244">
        <v>-6087.9400000000014</v>
      </c>
      <c r="AD280" s="42">
        <v>-5422.5870000000004</v>
      </c>
      <c r="AE280" s="43">
        <f>SUM(AE281:AE288)+SUMIFS(Aut_Ajustes_Manuais!$G:$G,Aut_Ajustes_Manuais!$I:$I,DRE!AC$4,Aut_Ajustes_Manuais!$F:$F,"Serviços de Terceiros")</f>
        <v>-7192.97</v>
      </c>
      <c r="AF280" s="244">
        <v>-5662.9400000000014</v>
      </c>
      <c r="AG280" s="42">
        <v>-5422.5870000000004</v>
      </c>
      <c r="AH280" s="43">
        <f>SUM(AH281:AH288)+SUMIFS(Aut_Ajustes_Manuais!$G:$G,Aut_Ajustes_Manuais!$I:$I,DRE!AF$4,Aut_Ajustes_Manuais!$F:$F,"Serviços de Terceiros")</f>
        <v>-7192.97</v>
      </c>
      <c r="AI280" s="244">
        <v>-5852.9400000000014</v>
      </c>
      <c r="AJ280" s="42">
        <v>-5652.5370000000003</v>
      </c>
      <c r="AK280" s="43">
        <f>SUM(AK281:AK288)+SUMIFS(Aut_Ajustes_Manuais!$G:$G,Aut_Ajustes_Manuais!$I:$I,DRE!AI$4,Aut_Ajustes_Manuais!$F:$F,"Serviços de Terceiros")</f>
        <v>-7192.97</v>
      </c>
      <c r="AL280" s="244">
        <v>-7369.07</v>
      </c>
      <c r="AM280" s="42">
        <v>-5422.5870000000004</v>
      </c>
      <c r="AN280" s="43">
        <f>SUM(AN281:AN288)+SUMIFS(Aut_Ajustes_Manuais!$G:$G,Aut_Ajustes_Manuais!$I:$I,DRE!AL$4,Aut_Ajustes_Manuais!$F:$F,"Serviços de Terceiros")</f>
        <v>-7192.97</v>
      </c>
      <c r="AO280" s="244">
        <v>-8101.71</v>
      </c>
      <c r="AP280" s="42">
        <v>-5422.5870000000004</v>
      </c>
      <c r="AQ280" s="43">
        <f>SUM(AQ281:AQ288)+SUMIFS(Aut_Ajustes_Manuais!$G:$G,Aut_Ajustes_Manuais!$I:$I,DRE!AO$4,Aut_Ajustes_Manuais!$F:$F,"Serviços de Terceiros")</f>
        <v>-7007.97</v>
      </c>
      <c r="AR280" s="244">
        <f ca="1">SUM(AR281:AR289)</f>
        <v>-33704.86</v>
      </c>
      <c r="AS280" s="42">
        <f ca="1">SUM(AS281:AS289)</f>
        <v>-32535.521999999997</v>
      </c>
      <c r="AT280" s="43">
        <f ca="1">SUM(AT281:AT289)</f>
        <v>-33505.290000000008</v>
      </c>
      <c r="AU280" s="244">
        <f t="shared" ref="AU280:BI280" si="274">SUM(AU281:AU288)</f>
        <v>-72430.73000000001</v>
      </c>
      <c r="AV280" s="42">
        <f t="shared" si="274"/>
        <v>-65300.993999999999</v>
      </c>
      <c r="AW280" s="43">
        <f t="shared" si="274"/>
        <v>-76478.11</v>
      </c>
      <c r="AX280" s="244">
        <f t="shared" si="274"/>
        <v>-16877.62</v>
      </c>
      <c r="AY280" s="42">
        <f t="shared" si="274"/>
        <v>-16267.760999999999</v>
      </c>
      <c r="AZ280" s="43">
        <f t="shared" si="274"/>
        <v>-14939.27</v>
      </c>
      <c r="BA280" s="244">
        <f t="shared" si="274"/>
        <v>-16782.57</v>
      </c>
      <c r="BB280" s="42">
        <f t="shared" si="274"/>
        <v>-16267.760999999999</v>
      </c>
      <c r="BC280" s="43">
        <f t="shared" si="274"/>
        <v>-18566.019999999997</v>
      </c>
      <c r="BD280" s="244">
        <f t="shared" si="274"/>
        <v>-17446.82</v>
      </c>
      <c r="BE280" s="42">
        <f t="shared" si="274"/>
        <v>-16267.760999999999</v>
      </c>
      <c r="BF280" s="43">
        <f t="shared" si="274"/>
        <v>-21578.91</v>
      </c>
      <c r="BG280" s="244">
        <f t="shared" si="274"/>
        <v>-21323.72</v>
      </c>
      <c r="BH280" s="42">
        <f t="shared" si="274"/>
        <v>-16497.710999999999</v>
      </c>
      <c r="BI280" s="43">
        <f t="shared" si="274"/>
        <v>-21393.91</v>
      </c>
      <c r="BK280" s="448">
        <f t="shared" si="250"/>
        <v>-65300.994000000006</v>
      </c>
      <c r="BL280" s="448">
        <f t="shared" si="251"/>
        <v>0</v>
      </c>
      <c r="BM280" s="448">
        <f t="shared" si="252"/>
        <v>-26607</v>
      </c>
      <c r="BN280" s="448">
        <f t="shared" ca="1" si="253"/>
        <v>6898.2900000000081</v>
      </c>
    </row>
    <row r="281" spans="1:66" s="29" customFormat="1" hidden="1" outlineLevel="1" x14ac:dyDescent="0.3">
      <c r="A281" s="22" t="s">
        <v>310</v>
      </c>
      <c r="B281" s="23"/>
      <c r="C281" s="24" t="s">
        <v>69</v>
      </c>
      <c r="D281" s="116"/>
      <c r="E281" s="115"/>
      <c r="F281" s="56"/>
      <c r="G281" s="33"/>
      <c r="H281" s="241">
        <v>-2200</v>
      </c>
      <c r="I281" s="27">
        <v>-2275.35</v>
      </c>
      <c r="J281" s="28">
        <f>SUMIFS(Aut_BlueMe_Sem_Pedido!$J:$J,Aut_BlueMe_Sem_Pedido!$Q:$Q,DRE!H$4,Aut_BlueMe_Sem_Pedido!$H:$H,DRE!$A281)+SUMIFS(Aut_Ajustes_Manuais!$G:$G,Aut_Ajustes_Manuais!$I:$I,DRE!H$4,Aut_Ajustes_Manuais!$F:$F,"Assessoria Contabil")</f>
        <v>-2359.63</v>
      </c>
      <c r="K281" s="241">
        <v>-2200</v>
      </c>
      <c r="L281" s="27">
        <v>-2275.35</v>
      </c>
      <c r="M281" s="28">
        <f>SUMIFS(Aut_BlueMe_Sem_Pedido!$J:$J,Aut_BlueMe_Sem_Pedido!$Q:$Q,DRE!K$4,Aut_BlueMe_Sem_Pedido!$H:$H,DRE!$A281)+SUMIFS(Aut_Ajustes_Manuais!$G:$G,Aut_Ajustes_Manuais!$I:$I,DRE!K$4,Aut_Ajustes_Manuais!$F:$F,"Assessoria Contabil")</f>
        <v>-2359.63</v>
      </c>
      <c r="N281" s="241">
        <v>-2167</v>
      </c>
      <c r="O281" s="27">
        <v>-2275.35</v>
      </c>
      <c r="P281" s="28">
        <f>SUMIFS(Aut_BlueMe_Sem_Pedido!$J:$J,Aut_BlueMe_Sem_Pedido!$Q:$Q,DRE!N$4,Aut_BlueMe_Sem_Pedido!$H:$H,DRE!$A281)+SUMIFS(Aut_Ajustes_Manuais!$G:$G,Aut_Ajustes_Manuais!$I:$I,DRE!N$4,Aut_Ajustes_Manuais!$F:$F,"Assessoria Contabil")</f>
        <v>-2317.0300000000002</v>
      </c>
      <c r="Q281" s="241">
        <v>-2200</v>
      </c>
      <c r="R281" s="27">
        <v>-2275.35</v>
      </c>
      <c r="S281" s="28">
        <f>SUMIFS(Aut_BlueMe_Sem_Pedido!$J:$J,Aut_BlueMe_Sem_Pedido!$Q:$Q,DRE!Q$4,Aut_BlueMe_Sem_Pedido!$H:$H,DRE!$A281)+SUMIFS(Aut_Ajustes_Manuais!$G:$G,Aut_Ajustes_Manuais!$I:$I,DRE!Q$4,Aut_Ajustes_Manuais!$F:$F,"Assessoria Contabil")</f>
        <v>-2317.0300000000002</v>
      </c>
      <c r="T281" s="241">
        <v>-2233</v>
      </c>
      <c r="U281" s="27">
        <v>-2275.35</v>
      </c>
      <c r="V281" s="28">
        <f>SUMIFS(Aut_BlueMe_Sem_Pedido!$J:$J,Aut_BlueMe_Sem_Pedido!$Q:$Q,DRE!T$4,Aut_BlueMe_Sem_Pedido!$H:$H,DRE!$A281)+SUMIFS(Aut_Ajustes_Manuais!$G:$G,Aut_Ajustes_Manuais!$I:$I,DRE!T$4,Aut_Ajustes_Manuais!$F:$F,"Assessoria Contabil")</f>
        <v>-2317.0300000000002</v>
      </c>
      <c r="W281" s="241">
        <v>-2200</v>
      </c>
      <c r="X281" s="27">
        <v>-2275.35</v>
      </c>
      <c r="Y281" s="28">
        <f>SUMIFS(Aut_BlueMe_Sem_Pedido!$J:$J,Aut_BlueMe_Sem_Pedido!$Q:$Q,DRE!W$4,Aut_BlueMe_Sem_Pedido!$H:$H,DRE!$A281)+SUMIFS(Aut_Ajustes_Manuais!$G:$G,Aut_Ajustes_Manuais!$I:$I,DRE!W$4,Aut_Ajustes_Manuais!$F:$F,"Assessoria Contabil")</f>
        <v>-2382.27</v>
      </c>
      <c r="Z281" s="241">
        <v>-2200</v>
      </c>
      <c r="AA281" s="27">
        <v>-2275.35</v>
      </c>
      <c r="AB281" s="28">
        <f>SUMIFS(Aut_BlueMe_Sem_Pedido!$J:$J,Aut_BlueMe_Sem_Pedido!$Q:$Q,DRE!Z$4,Aut_BlueMe_Sem_Pedido!$H:$H,DRE!$A281)+SUMIFS(Aut_Ajustes_Manuais!$G:$G,Aut_Ajustes_Manuais!$I:$I,DRE!Z$4,Aut_Ajustes_Manuais!$F:$F,"Assessoria Contabil")</f>
        <v>-2417.0300000000002</v>
      </c>
      <c r="AC281" s="241">
        <v>-2212</v>
      </c>
      <c r="AD281" s="27">
        <v>-2275.35</v>
      </c>
      <c r="AE281" s="28">
        <f>SUMIFS(Aut_BlueMe_Sem_Pedido!$J:$J,Aut_BlueMe_Sem_Pedido!$Q:$Q,DRE!AC$4,Aut_BlueMe_Sem_Pedido!$H:$H,DRE!$A281)+SUMIFS(Aut_Ajustes_Manuais!$G:$G,Aut_Ajustes_Manuais!$I:$I,DRE!AC$4,Aut_Ajustes_Manuais!$F:$F,"Assessoria Contabil")</f>
        <v>-2417.0300000000002</v>
      </c>
      <c r="AF281" s="241">
        <v>-2167</v>
      </c>
      <c r="AG281" s="27">
        <v>-2275.35</v>
      </c>
      <c r="AH281" s="28">
        <f>SUMIFS(Aut_BlueMe_Sem_Pedido!$J:$J,Aut_BlueMe_Sem_Pedido!$Q:$Q,DRE!AF$4,Aut_BlueMe_Sem_Pedido!$H:$H,DRE!$A281)+SUMIFS(Aut_Ajustes_Manuais!$G:$G,Aut_Ajustes_Manuais!$I:$I,DRE!AF$4,Aut_Ajustes_Manuais!$F:$F,"Assessoria Contabil")</f>
        <v>-2417.0300000000002</v>
      </c>
      <c r="AI281" s="241">
        <v>-2167</v>
      </c>
      <c r="AJ281" s="27">
        <v>-2505.3000000000002</v>
      </c>
      <c r="AK281" s="28">
        <f>SUMIFS(Aut_BlueMe_Sem_Pedido!$J:$J,Aut_BlueMe_Sem_Pedido!$Q:$Q,DRE!AI$4,Aut_BlueMe_Sem_Pedido!$H:$H,DRE!$A281)+SUMIFS(Aut_Ajustes_Manuais!$G:$G,Aut_Ajustes_Manuais!$I:$I,DRE!AI$4,Aut_Ajustes_Manuais!$F:$F,"Assessoria Contabil")</f>
        <v>-2417.0300000000002</v>
      </c>
      <c r="AL281" s="241">
        <v>-3443.13</v>
      </c>
      <c r="AM281" s="27">
        <v>-2275.35</v>
      </c>
      <c r="AN281" s="28">
        <f>SUMIFS(Aut_BlueMe_Sem_Pedido!$J:$J,Aut_BlueMe_Sem_Pedido!$Q:$Q,DRE!AL$4,Aut_BlueMe_Sem_Pedido!$H:$H,DRE!$A281)+SUMIFS(Aut_Ajustes_Manuais!$G:$G,Aut_Ajustes_Manuais!$I:$I,DRE!AL$4,Aut_Ajustes_Manuais!$F:$F,"Assessoria Contabil")</f>
        <v>-2417.0300000000002</v>
      </c>
      <c r="AO281" s="241">
        <v>-3365.77</v>
      </c>
      <c r="AP281" s="27">
        <v>-2275.35</v>
      </c>
      <c r="AQ281" s="28">
        <f>SUMIFS(Aut_BlueMe_Sem_Pedido!$J:$J,Aut_BlueMe_Sem_Pedido!$Q:$Q,DRE!AO$4,Aut_BlueMe_Sem_Pedido!$H:$H,DRE!$A281)+SUMIFS(Aut_Ajustes_Manuais!$G:$G,Aut_Ajustes_Manuais!$I:$I,DRE!AO$4,Aut_Ajustes_Manuais!$F:$F,"Assessoria Contabil")</f>
        <v>-2417.0300000000002</v>
      </c>
      <c r="AR281" s="241">
        <f t="shared" ref="AR281:AR291" ca="1" si="275">SUMIFS($H281:$AO281,$H$5:$AO$5,"&lt;"&amp;MONTH(TODAY()),$H$6:$AO$6,"REAL 25")</f>
        <v>-13200</v>
      </c>
      <c r="AS281" s="27">
        <f t="shared" ref="AS281:AS291" ca="1" si="276">SUMIFS($I281:$AP281,$I$5:$AP$5,"&lt;"&amp;MONTH(TODAY()),$I$6:$AP$6,"ORÇADO ")</f>
        <v>-13652.1</v>
      </c>
      <c r="AT281" s="28">
        <f t="shared" ref="AT281:AT291" ca="1" si="277">SUMIFS($J281:$AQ281,$J$5:$AQ$5,"&lt;"&amp;MONTH(TODAY()),$J$6:$AQ$6,"REAL 26")</f>
        <v>-14052.620000000003</v>
      </c>
      <c r="AU281" s="241">
        <f t="shared" ref="AU281:AW288" si="278">SUM(H281,K281,N281,Q281,T281,W281,Z281,AC281,AF281,AI281,AL281,AO281)</f>
        <v>-28754.9</v>
      </c>
      <c r="AV281" s="27">
        <f t="shared" si="278"/>
        <v>-27534.149999999994</v>
      </c>
      <c r="AW281" s="28">
        <f t="shared" si="278"/>
        <v>-28554.799999999996</v>
      </c>
      <c r="AX281" s="241">
        <f t="shared" ref="AX281:AZ288" si="279">SUM(H281,K281,N281)</f>
        <v>-6567</v>
      </c>
      <c r="AY281" s="27">
        <f t="shared" si="279"/>
        <v>-6826.0499999999993</v>
      </c>
      <c r="AZ281" s="28">
        <f t="shared" si="279"/>
        <v>-7036.2900000000009</v>
      </c>
      <c r="BA281" s="241">
        <f t="shared" ref="BA281:BC288" si="280">SUM(Q281,T281,W281)</f>
        <v>-6633</v>
      </c>
      <c r="BB281" s="27">
        <f t="shared" si="280"/>
        <v>-6826.0499999999993</v>
      </c>
      <c r="BC281" s="28">
        <f t="shared" si="280"/>
        <v>-7016.33</v>
      </c>
      <c r="BD281" s="241">
        <f t="shared" ref="BD281:BF288" si="281">SUM(Z281,AC281,AF281)</f>
        <v>-6579</v>
      </c>
      <c r="BE281" s="27">
        <f t="shared" si="281"/>
        <v>-6826.0499999999993</v>
      </c>
      <c r="BF281" s="28">
        <f t="shared" si="281"/>
        <v>-7251.09</v>
      </c>
      <c r="BG281" s="241">
        <f t="shared" ref="BG281:BI288" si="282">SUM(AI281,AL281,AO281)</f>
        <v>-8975.9</v>
      </c>
      <c r="BH281" s="27">
        <f t="shared" si="282"/>
        <v>-7056</v>
      </c>
      <c r="BI281" s="28">
        <f t="shared" si="282"/>
        <v>-7251.09</v>
      </c>
      <c r="BK281" s="448">
        <f t="shared" si="250"/>
        <v>-27534.149999999994</v>
      </c>
      <c r="BL281" s="448">
        <f t="shared" si="251"/>
        <v>0</v>
      </c>
      <c r="BM281" s="448">
        <f t="shared" si="252"/>
        <v>-11670.350000000002</v>
      </c>
      <c r="BN281" s="448">
        <f t="shared" ca="1" si="253"/>
        <v>2382.2700000000004</v>
      </c>
    </row>
    <row r="282" spans="1:66" s="29" customFormat="1" hidden="1" outlineLevel="1" x14ac:dyDescent="0.3">
      <c r="A282" s="22" t="s">
        <v>311</v>
      </c>
      <c r="B282" s="23"/>
      <c r="C282" s="24" t="s">
        <v>69</v>
      </c>
      <c r="D282" s="116"/>
      <c r="E282" s="122"/>
      <c r="F282" s="56"/>
      <c r="G282" s="33"/>
      <c r="H282" s="241">
        <v>0</v>
      </c>
      <c r="I282" s="27">
        <v>0</v>
      </c>
      <c r="J282" s="28">
        <f>SUMIFS(Aut_BlueMe_Sem_Pedido!$J:$J,Aut_BlueMe_Sem_Pedido!$Q:$Q,DRE!H$4,Aut_BlueMe_Sem_Pedido!$H:$H,DRE!$A282)+SUMIFS(Aut_Ajustes_Manuais!$G:$G,Aut_Ajustes_Manuais!$I:$I,DRE!H$4,Aut_Ajustes_Manuais!$F:$F,"Assessoria RH")</f>
        <v>0</v>
      </c>
      <c r="K282" s="241">
        <v>0</v>
      </c>
      <c r="L282" s="27">
        <v>0</v>
      </c>
      <c r="M282" s="28">
        <f>SUMIFS(Aut_BlueMe_Sem_Pedido!$J:$J,Aut_BlueMe_Sem_Pedido!$Q:$Q,DRE!K$4,Aut_BlueMe_Sem_Pedido!$H:$H,DRE!$A282)+SUMIFS(Aut_Ajustes_Manuais!$G:$G,Aut_Ajustes_Manuais!$I:$I,DRE!K$4,Aut_Ajustes_Manuais!$F:$F,"Assessoria RH")</f>
        <v>0</v>
      </c>
      <c r="N282" s="241">
        <v>0</v>
      </c>
      <c r="O282" s="27">
        <v>0</v>
      </c>
      <c r="P282" s="28">
        <f>SUMIFS(Aut_BlueMe_Sem_Pedido!$J:$J,Aut_BlueMe_Sem_Pedido!$Q:$Q,DRE!N$4,Aut_BlueMe_Sem_Pedido!$H:$H,DRE!$A282)+SUMIFS(Aut_Ajustes_Manuais!$G:$G,Aut_Ajustes_Manuais!$I:$I,DRE!N$4,Aut_Ajustes_Manuais!$F:$F,"Assessoria RH")</f>
        <v>0</v>
      </c>
      <c r="Q282" s="241">
        <v>0</v>
      </c>
      <c r="R282" s="27">
        <v>0</v>
      </c>
      <c r="S282" s="28">
        <f>SUMIFS(Aut_BlueMe_Sem_Pedido!$J:$J,Aut_BlueMe_Sem_Pedido!$Q:$Q,DRE!Q$4,Aut_BlueMe_Sem_Pedido!$H:$H,DRE!$A282)+SUMIFS(Aut_Ajustes_Manuais!$G:$G,Aut_Ajustes_Manuais!$I:$I,DRE!Q$4,Aut_Ajustes_Manuais!$F:$F,"Assessoria RH")</f>
        <v>0</v>
      </c>
      <c r="T282" s="241">
        <v>0</v>
      </c>
      <c r="U282" s="27">
        <v>0</v>
      </c>
      <c r="V282" s="28">
        <f>SUMIFS(Aut_BlueMe_Sem_Pedido!$J:$J,Aut_BlueMe_Sem_Pedido!$Q:$Q,DRE!T$4,Aut_BlueMe_Sem_Pedido!$H:$H,DRE!$A282)+SUMIFS(Aut_Ajustes_Manuais!$G:$G,Aut_Ajustes_Manuais!$I:$I,DRE!T$4,Aut_Ajustes_Manuais!$F:$F,"Assessoria RH")</f>
        <v>0</v>
      </c>
      <c r="W282" s="241">
        <v>0</v>
      </c>
      <c r="X282" s="27">
        <v>0</v>
      </c>
      <c r="Y282" s="28">
        <f>SUMIFS(Aut_BlueMe_Sem_Pedido!$J:$J,Aut_BlueMe_Sem_Pedido!$Q:$Q,DRE!W$4,Aut_BlueMe_Sem_Pedido!$H:$H,DRE!$A282)+SUMIFS(Aut_Ajustes_Manuais!$G:$G,Aut_Ajustes_Manuais!$I:$I,DRE!W$4,Aut_Ajustes_Manuais!$F:$F,"Assessoria RH")</f>
        <v>0</v>
      </c>
      <c r="Z282" s="241">
        <v>0</v>
      </c>
      <c r="AA282" s="27">
        <v>0</v>
      </c>
      <c r="AB282" s="28">
        <f>SUMIFS(Aut_BlueMe_Sem_Pedido!$J:$J,Aut_BlueMe_Sem_Pedido!$Q:$Q,DRE!Z$4,Aut_BlueMe_Sem_Pedido!$H:$H,DRE!$A282)+SUMIFS(Aut_Ajustes_Manuais!$G:$G,Aut_Ajustes_Manuais!$I:$I,DRE!Z$4,Aut_Ajustes_Manuais!$F:$F,"Assessoria RH")</f>
        <v>0</v>
      </c>
      <c r="AC282" s="241">
        <v>0</v>
      </c>
      <c r="AD282" s="27">
        <v>0</v>
      </c>
      <c r="AE282" s="28">
        <f>SUMIFS(Aut_BlueMe_Sem_Pedido!$J:$J,Aut_BlueMe_Sem_Pedido!$Q:$Q,DRE!AC$4,Aut_BlueMe_Sem_Pedido!$H:$H,DRE!$A282)+SUMIFS(Aut_Ajustes_Manuais!$G:$G,Aut_Ajustes_Manuais!$I:$I,DRE!AC$4,Aut_Ajustes_Manuais!$F:$F,"Assessoria RH")</f>
        <v>0</v>
      </c>
      <c r="AF282" s="241">
        <v>0</v>
      </c>
      <c r="AG282" s="27">
        <v>0</v>
      </c>
      <c r="AH282" s="28">
        <f>SUMIFS(Aut_BlueMe_Sem_Pedido!$J:$J,Aut_BlueMe_Sem_Pedido!$Q:$Q,DRE!AF$4,Aut_BlueMe_Sem_Pedido!$H:$H,DRE!$A282)+SUMIFS(Aut_Ajustes_Manuais!$G:$G,Aut_Ajustes_Manuais!$I:$I,DRE!AF$4,Aut_Ajustes_Manuais!$F:$F,"Assessoria RH")</f>
        <v>0</v>
      </c>
      <c r="AI282" s="241">
        <v>0</v>
      </c>
      <c r="AJ282" s="27">
        <v>0</v>
      </c>
      <c r="AK282" s="28">
        <f>SUMIFS(Aut_BlueMe_Sem_Pedido!$J:$J,Aut_BlueMe_Sem_Pedido!$Q:$Q,DRE!AI$4,Aut_BlueMe_Sem_Pedido!$H:$H,DRE!$A282)+SUMIFS(Aut_Ajustes_Manuais!$G:$G,Aut_Ajustes_Manuais!$I:$I,DRE!AI$4,Aut_Ajustes_Manuais!$F:$F,"Assessoria RH")</f>
        <v>0</v>
      </c>
      <c r="AL282" s="241">
        <v>0</v>
      </c>
      <c r="AM282" s="27">
        <v>0</v>
      </c>
      <c r="AN282" s="28">
        <f>SUMIFS(Aut_BlueMe_Sem_Pedido!$J:$J,Aut_BlueMe_Sem_Pedido!$Q:$Q,DRE!AL$4,Aut_BlueMe_Sem_Pedido!$H:$H,DRE!$A282)+SUMIFS(Aut_Ajustes_Manuais!$G:$G,Aut_Ajustes_Manuais!$I:$I,DRE!AL$4,Aut_Ajustes_Manuais!$F:$F,"Assessoria RH")</f>
        <v>0</v>
      </c>
      <c r="AO282" s="241">
        <v>0</v>
      </c>
      <c r="AP282" s="27">
        <v>0</v>
      </c>
      <c r="AQ282" s="28">
        <f>SUMIFS(Aut_BlueMe_Sem_Pedido!$J:$J,Aut_BlueMe_Sem_Pedido!$Q:$Q,DRE!AO$4,Aut_BlueMe_Sem_Pedido!$H:$H,DRE!$A282)+SUMIFS(Aut_Ajustes_Manuais!$G:$G,Aut_Ajustes_Manuais!$I:$I,DRE!AO$4,Aut_Ajustes_Manuais!$F:$F,"Assessoria RH")</f>
        <v>0</v>
      </c>
      <c r="AR282" s="241">
        <f t="shared" ca="1" si="275"/>
        <v>0</v>
      </c>
      <c r="AS282" s="27">
        <f t="shared" ca="1" si="276"/>
        <v>0</v>
      </c>
      <c r="AT282" s="28">
        <f t="shared" ca="1" si="277"/>
        <v>0</v>
      </c>
      <c r="AU282" s="241">
        <f t="shared" si="278"/>
        <v>0</v>
      </c>
      <c r="AV282" s="27">
        <f t="shared" si="278"/>
        <v>0</v>
      </c>
      <c r="AW282" s="28">
        <f t="shared" si="278"/>
        <v>0</v>
      </c>
      <c r="AX282" s="241">
        <f t="shared" si="279"/>
        <v>0</v>
      </c>
      <c r="AY282" s="27">
        <f t="shared" si="279"/>
        <v>0</v>
      </c>
      <c r="AZ282" s="28">
        <f t="shared" si="279"/>
        <v>0</v>
      </c>
      <c r="BA282" s="241">
        <f t="shared" si="280"/>
        <v>0</v>
      </c>
      <c r="BB282" s="27">
        <f t="shared" si="280"/>
        <v>0</v>
      </c>
      <c r="BC282" s="28">
        <f t="shared" si="280"/>
        <v>0</v>
      </c>
      <c r="BD282" s="241">
        <f t="shared" si="281"/>
        <v>0</v>
      </c>
      <c r="BE282" s="27">
        <f t="shared" si="281"/>
        <v>0</v>
      </c>
      <c r="BF282" s="28">
        <f t="shared" si="281"/>
        <v>0</v>
      </c>
      <c r="BG282" s="241">
        <f t="shared" si="282"/>
        <v>0</v>
      </c>
      <c r="BH282" s="27">
        <f t="shared" si="282"/>
        <v>0</v>
      </c>
      <c r="BI282" s="28">
        <f t="shared" si="282"/>
        <v>0</v>
      </c>
      <c r="BK282" s="448">
        <f t="shared" si="250"/>
        <v>0</v>
      </c>
      <c r="BL282" s="448">
        <f t="shared" si="251"/>
        <v>0</v>
      </c>
      <c r="BM282" s="448">
        <f t="shared" si="252"/>
        <v>0</v>
      </c>
      <c r="BN282" s="448">
        <f t="shared" ca="1" si="253"/>
        <v>0</v>
      </c>
    </row>
    <row r="283" spans="1:66" s="29" customFormat="1" hidden="1" outlineLevel="1" x14ac:dyDescent="0.3">
      <c r="A283" s="22" t="s">
        <v>312</v>
      </c>
      <c r="B283" s="23"/>
      <c r="C283" s="24" t="s">
        <v>69</v>
      </c>
      <c r="D283" s="116"/>
      <c r="E283" s="122"/>
      <c r="F283" s="56"/>
      <c r="G283" s="33"/>
      <c r="H283" s="241">
        <v>0</v>
      </c>
      <c r="I283" s="27">
        <v>-315</v>
      </c>
      <c r="J283" s="28">
        <f>SUMIFS(Aut_BlueMe_Sem_Pedido!$J:$J,Aut_BlueMe_Sem_Pedido!$Q:$Q,DRE!H$4,Aut_BlueMe_Sem_Pedido!$H:$H,DRE!$A283)+SUMIFS(Aut_Ajustes_Manuais!$G:$G,Aut_Ajustes_Manuais!$I:$I,DRE!H$4,Aut_Ajustes_Manuais!$F:$F,"Assessoria em Geral")</f>
        <v>-300</v>
      </c>
      <c r="K283" s="241">
        <v>0</v>
      </c>
      <c r="L283" s="27">
        <v>-315</v>
      </c>
      <c r="M283" s="28">
        <f>SUMIFS(Aut_BlueMe_Sem_Pedido!$J:$J,Aut_BlueMe_Sem_Pedido!$Q:$Q,DRE!K$4,Aut_BlueMe_Sem_Pedido!$H:$H,DRE!$A283)+SUMIFS(Aut_Ajustes_Manuais!$G:$G,Aut_Ajustes_Manuais!$I:$I,DRE!K$4,Aut_Ajustes_Manuais!$F:$F,"Assessoria em Geral")</f>
        <v>-300</v>
      </c>
      <c r="N283" s="241">
        <v>0</v>
      </c>
      <c r="O283" s="27">
        <v>-315</v>
      </c>
      <c r="P283" s="28">
        <f>SUMIFS(Aut_BlueMe_Sem_Pedido!$J:$J,Aut_BlueMe_Sem_Pedido!$Q:$Q,DRE!N$4,Aut_BlueMe_Sem_Pedido!$H:$H,DRE!$A283)+SUMIFS(Aut_Ajustes_Manuais!$G:$G,Aut_Ajustes_Manuais!$I:$I,DRE!N$4,Aut_Ajustes_Manuais!$F:$F,"Assessoria em Geral")</f>
        <v>-300</v>
      </c>
      <c r="Q283" s="241">
        <v>0</v>
      </c>
      <c r="R283" s="27">
        <v>-315</v>
      </c>
      <c r="S283" s="28">
        <f>SUMIFS(Aut_BlueMe_Sem_Pedido!$J:$J,Aut_BlueMe_Sem_Pedido!$Q:$Q,DRE!Q$4,Aut_BlueMe_Sem_Pedido!$H:$H,DRE!$A283)+SUMIFS(Aut_Ajustes_Manuais!$G:$G,Aut_Ajustes_Manuais!$I:$I,DRE!Q$4,Aut_Ajustes_Manuais!$F:$F,"Assessoria em Geral")</f>
        <v>-281.63</v>
      </c>
      <c r="T283" s="241">
        <v>-261.75</v>
      </c>
      <c r="U283" s="27">
        <v>-315</v>
      </c>
      <c r="V283" s="28">
        <f>SUMIFS(Aut_BlueMe_Sem_Pedido!$J:$J,Aut_BlueMe_Sem_Pedido!$Q:$Q,DRE!T$4,Aut_BlueMe_Sem_Pedido!$H:$H,DRE!$A283)+SUMIFS(Aut_Ajustes_Manuais!$G:$G,Aut_Ajustes_Manuais!$I:$I,DRE!T$4,Aut_Ajustes_Manuais!$F:$F,"Assessoria em Geral")</f>
        <v>-300</v>
      </c>
      <c r="W283" s="241">
        <v>-300</v>
      </c>
      <c r="X283" s="27">
        <v>-315</v>
      </c>
      <c r="Y283" s="28">
        <f>SUMIFS(Aut_BlueMe_Sem_Pedido!$J:$J,Aut_BlueMe_Sem_Pedido!$Q:$Q,DRE!W$4,Aut_BlueMe_Sem_Pedido!$H:$H,DRE!$A283)+SUMIFS(Aut_Ajustes_Manuais!$G:$G,Aut_Ajustes_Manuais!$I:$I,DRE!W$4,Aut_Ajustes_Manuais!$F:$F,"Assessoria em Geral")</f>
        <v>-300</v>
      </c>
      <c r="Z283" s="241">
        <v>-300</v>
      </c>
      <c r="AA283" s="27">
        <v>-315</v>
      </c>
      <c r="AB283" s="28">
        <f>SUMIFS(Aut_BlueMe_Sem_Pedido!$J:$J,Aut_BlueMe_Sem_Pedido!$Q:$Q,DRE!Z$4,Aut_BlueMe_Sem_Pedido!$H:$H,DRE!$A283)+SUMIFS(Aut_Ajustes_Manuais!$G:$G,Aut_Ajustes_Manuais!$I:$I,DRE!Z$4,Aut_Ajustes_Manuais!$F:$F,"Assessoria em Geral")</f>
        <v>-300</v>
      </c>
      <c r="AC283" s="241">
        <v>-300</v>
      </c>
      <c r="AD283" s="27">
        <v>-315</v>
      </c>
      <c r="AE283" s="28">
        <f>SUMIFS(Aut_BlueMe_Sem_Pedido!$J:$J,Aut_BlueMe_Sem_Pedido!$Q:$Q,DRE!AC$4,Aut_BlueMe_Sem_Pedido!$H:$H,DRE!$A283)+SUMIFS(Aut_Ajustes_Manuais!$G:$G,Aut_Ajustes_Manuais!$I:$I,DRE!AC$4,Aut_Ajustes_Manuais!$F:$F,"Assessoria em Geral")</f>
        <v>-300</v>
      </c>
      <c r="AF283" s="241">
        <v>-300</v>
      </c>
      <c r="AG283" s="27">
        <v>-315</v>
      </c>
      <c r="AH283" s="28">
        <f>SUMIFS(Aut_BlueMe_Sem_Pedido!$J:$J,Aut_BlueMe_Sem_Pedido!$Q:$Q,DRE!AF$4,Aut_BlueMe_Sem_Pedido!$H:$H,DRE!$A283)+SUMIFS(Aut_Ajustes_Manuais!$G:$G,Aut_Ajustes_Manuais!$I:$I,DRE!AF$4,Aut_Ajustes_Manuais!$F:$F,"Assessoria em Geral")</f>
        <v>-300</v>
      </c>
      <c r="AI283" s="241">
        <v>-300</v>
      </c>
      <c r="AJ283" s="27">
        <v>-315</v>
      </c>
      <c r="AK283" s="28">
        <f>SUMIFS(Aut_BlueMe_Sem_Pedido!$J:$J,Aut_BlueMe_Sem_Pedido!$Q:$Q,DRE!AI$4,Aut_BlueMe_Sem_Pedido!$H:$H,DRE!$A283)+SUMIFS(Aut_Ajustes_Manuais!$G:$G,Aut_Ajustes_Manuais!$I:$I,DRE!AI$4,Aut_Ajustes_Manuais!$F:$F,"Assessoria em Geral")</f>
        <v>-300</v>
      </c>
      <c r="AL283" s="241">
        <v>-300</v>
      </c>
      <c r="AM283" s="27">
        <v>-315</v>
      </c>
      <c r="AN283" s="28">
        <f>SUMIFS(Aut_BlueMe_Sem_Pedido!$J:$J,Aut_BlueMe_Sem_Pedido!$Q:$Q,DRE!AL$4,Aut_BlueMe_Sem_Pedido!$H:$H,DRE!$A283)+SUMIFS(Aut_Ajustes_Manuais!$G:$G,Aut_Ajustes_Manuais!$I:$I,DRE!AL$4,Aut_Ajustes_Manuais!$F:$F,"Assessoria em Geral")</f>
        <v>-300</v>
      </c>
      <c r="AO283" s="241">
        <v>-300</v>
      </c>
      <c r="AP283" s="27">
        <v>-315</v>
      </c>
      <c r="AQ283" s="28">
        <f>SUMIFS(Aut_BlueMe_Sem_Pedido!$J:$J,Aut_BlueMe_Sem_Pedido!$Q:$Q,DRE!AO$4,Aut_BlueMe_Sem_Pedido!$H:$H,DRE!$A283)+SUMIFS(Aut_Ajustes_Manuais!$G:$G,Aut_Ajustes_Manuais!$I:$I,DRE!AO$4,Aut_Ajustes_Manuais!$F:$F,"Assessoria em Geral")</f>
        <v>-300</v>
      </c>
      <c r="AR283" s="241">
        <f t="shared" ca="1" si="275"/>
        <v>-561.75</v>
      </c>
      <c r="AS283" s="27">
        <f t="shared" ca="1" si="276"/>
        <v>-1890</v>
      </c>
      <c r="AT283" s="28">
        <f t="shared" ca="1" si="277"/>
        <v>-1781.63</v>
      </c>
      <c r="AU283" s="241">
        <f t="shared" si="278"/>
        <v>-2361.75</v>
      </c>
      <c r="AV283" s="27">
        <f t="shared" si="278"/>
        <v>-3780</v>
      </c>
      <c r="AW283" s="28">
        <f t="shared" si="278"/>
        <v>-3581.63</v>
      </c>
      <c r="AX283" s="241">
        <f t="shared" si="279"/>
        <v>0</v>
      </c>
      <c r="AY283" s="27">
        <f t="shared" si="279"/>
        <v>-945</v>
      </c>
      <c r="AZ283" s="28">
        <f t="shared" si="279"/>
        <v>-900</v>
      </c>
      <c r="BA283" s="241">
        <f t="shared" si="280"/>
        <v>-561.75</v>
      </c>
      <c r="BB283" s="27">
        <f t="shared" si="280"/>
        <v>-945</v>
      </c>
      <c r="BC283" s="28">
        <f t="shared" si="280"/>
        <v>-881.63</v>
      </c>
      <c r="BD283" s="241">
        <f t="shared" si="281"/>
        <v>-900</v>
      </c>
      <c r="BE283" s="27">
        <f t="shared" si="281"/>
        <v>-945</v>
      </c>
      <c r="BF283" s="28">
        <f t="shared" si="281"/>
        <v>-900</v>
      </c>
      <c r="BG283" s="241">
        <f t="shared" si="282"/>
        <v>-900</v>
      </c>
      <c r="BH283" s="27">
        <f t="shared" si="282"/>
        <v>-945</v>
      </c>
      <c r="BI283" s="28">
        <f t="shared" si="282"/>
        <v>-900</v>
      </c>
      <c r="BK283" s="448">
        <f t="shared" si="250"/>
        <v>-3780</v>
      </c>
      <c r="BL283" s="448">
        <f t="shared" si="251"/>
        <v>0</v>
      </c>
      <c r="BM283" s="448">
        <f t="shared" si="252"/>
        <v>-1481.63</v>
      </c>
      <c r="BN283" s="448">
        <f t="shared" ca="1" si="253"/>
        <v>300</v>
      </c>
    </row>
    <row r="284" spans="1:66" s="29" customFormat="1" hidden="1" outlineLevel="1" x14ac:dyDescent="0.3">
      <c r="A284" s="22" t="s">
        <v>313</v>
      </c>
      <c r="B284" s="23"/>
      <c r="C284" s="24" t="s">
        <v>69</v>
      </c>
      <c r="D284" s="116"/>
      <c r="E284" s="122"/>
      <c r="F284" s="56"/>
      <c r="G284" s="33"/>
      <c r="H284" s="241">
        <v>-185</v>
      </c>
      <c r="I284" s="27">
        <v>-194.25</v>
      </c>
      <c r="J284" s="28">
        <f>SUMIFS(Aut_BlueMe_Sem_Pedido!$J:$J,Aut_BlueMe_Sem_Pedido!$Q:$Q,DRE!H$4,Aut_BlueMe_Sem_Pedido!$H:$H,DRE!$A284)+SUMIFS(Aut_Ajustes_Manuais!$G:$G,Aut_Ajustes_Manuais!$I:$I,DRE!H$4,Aut_Ajustes_Manuais!$F:$F,"Assessoria Financeira")</f>
        <v>-185</v>
      </c>
      <c r="K284" s="241">
        <v>-370</v>
      </c>
      <c r="L284" s="27">
        <v>-194.25</v>
      </c>
      <c r="M284" s="28">
        <f>SUMIFS(Aut_BlueMe_Sem_Pedido!$J:$J,Aut_BlueMe_Sem_Pedido!$Q:$Q,DRE!K$4,Aut_BlueMe_Sem_Pedido!$H:$H,DRE!$A284)+SUMIFS(Aut_Ajustes_Manuais!$G:$G,Aut_Ajustes_Manuais!$I:$I,DRE!K$4,Aut_Ajustes_Manuais!$F:$F,"Assessoria Financeira")</f>
        <v>0</v>
      </c>
      <c r="N284" s="241">
        <v>-185</v>
      </c>
      <c r="O284" s="27">
        <v>-194.25</v>
      </c>
      <c r="P284" s="28">
        <f>SUMIFS(Aut_BlueMe_Sem_Pedido!$J:$J,Aut_BlueMe_Sem_Pedido!$Q:$Q,DRE!N$4,Aut_BlueMe_Sem_Pedido!$H:$H,DRE!$A284)+SUMIFS(Aut_Ajustes_Manuais!$G:$G,Aut_Ajustes_Manuais!$I:$I,DRE!N$4,Aut_Ajustes_Manuais!$F:$F,"Assessoria Financeira")</f>
        <v>-185</v>
      </c>
      <c r="Q284" s="241">
        <v>-185</v>
      </c>
      <c r="R284" s="27">
        <v>-194.25</v>
      </c>
      <c r="S284" s="28">
        <f>SUMIFS(Aut_BlueMe_Sem_Pedido!$J:$J,Aut_BlueMe_Sem_Pedido!$Q:$Q,DRE!Q$4,Aut_BlueMe_Sem_Pedido!$H:$H,DRE!$A284)+SUMIFS(Aut_Ajustes_Manuais!$G:$G,Aut_Ajustes_Manuais!$I:$I,DRE!Q$4,Aut_Ajustes_Manuais!$F:$F,"Assessoria Financeira")</f>
        <v>-185</v>
      </c>
      <c r="T284" s="241">
        <v>-185</v>
      </c>
      <c r="U284" s="27">
        <v>-194.25</v>
      </c>
      <c r="V284" s="28">
        <f>SUMIFS(Aut_BlueMe_Sem_Pedido!$J:$J,Aut_BlueMe_Sem_Pedido!$Q:$Q,DRE!T$4,Aut_BlueMe_Sem_Pedido!$H:$H,DRE!$A284)+SUMIFS(Aut_Ajustes_Manuais!$G:$G,Aut_Ajustes_Manuais!$I:$I,DRE!T$4,Aut_Ajustes_Manuais!$F:$F,"Assessoria Financeira")</f>
        <v>-185</v>
      </c>
      <c r="W284" s="241">
        <v>-185</v>
      </c>
      <c r="X284" s="27">
        <v>-194.25</v>
      </c>
      <c r="Y284" s="28">
        <f>SUMIFS(Aut_BlueMe_Sem_Pedido!$J:$J,Aut_BlueMe_Sem_Pedido!$Q:$Q,DRE!W$4,Aut_BlueMe_Sem_Pedido!$H:$H,DRE!$A284)+SUMIFS(Aut_Ajustes_Manuais!$G:$G,Aut_Ajustes_Manuais!$I:$I,DRE!W$4,Aut_Ajustes_Manuais!$F:$F,"Assessoria Financeira")</f>
        <v>-185</v>
      </c>
      <c r="Z284" s="241">
        <v>-185</v>
      </c>
      <c r="AA284" s="27">
        <v>-194.25</v>
      </c>
      <c r="AB284" s="28">
        <f>SUMIFS(Aut_BlueMe_Sem_Pedido!$J:$J,Aut_BlueMe_Sem_Pedido!$Q:$Q,DRE!Z$4,Aut_BlueMe_Sem_Pedido!$H:$H,DRE!$A284)+SUMIFS(Aut_Ajustes_Manuais!$G:$G,Aut_Ajustes_Manuais!$I:$I,DRE!Z$4,Aut_Ajustes_Manuais!$F:$F,"Assessoria Financeira")</f>
        <v>-185</v>
      </c>
      <c r="AC284" s="241">
        <v>-185</v>
      </c>
      <c r="AD284" s="27">
        <v>-194.25</v>
      </c>
      <c r="AE284" s="28">
        <f>SUMIFS(Aut_BlueMe_Sem_Pedido!$J:$J,Aut_BlueMe_Sem_Pedido!$Q:$Q,DRE!AC$4,Aut_BlueMe_Sem_Pedido!$H:$H,DRE!$A284)+SUMIFS(Aut_Ajustes_Manuais!$G:$G,Aut_Ajustes_Manuais!$I:$I,DRE!AC$4,Aut_Ajustes_Manuais!$F:$F,"Assessoria Financeira")</f>
        <v>-185</v>
      </c>
      <c r="AF284" s="241">
        <v>-185</v>
      </c>
      <c r="AG284" s="27">
        <v>-194.25</v>
      </c>
      <c r="AH284" s="28">
        <f>SUMIFS(Aut_BlueMe_Sem_Pedido!$J:$J,Aut_BlueMe_Sem_Pedido!$Q:$Q,DRE!AF$4,Aut_BlueMe_Sem_Pedido!$H:$H,DRE!$A284)+SUMIFS(Aut_Ajustes_Manuais!$G:$G,Aut_Ajustes_Manuais!$I:$I,DRE!AF$4,Aut_Ajustes_Manuais!$F:$F,"Assessoria Financeira")</f>
        <v>-185</v>
      </c>
      <c r="AI284" s="241">
        <v>-185</v>
      </c>
      <c r="AJ284" s="27">
        <v>-194.25</v>
      </c>
      <c r="AK284" s="28">
        <f>SUMIFS(Aut_BlueMe_Sem_Pedido!$J:$J,Aut_BlueMe_Sem_Pedido!$Q:$Q,DRE!AI$4,Aut_BlueMe_Sem_Pedido!$H:$H,DRE!$A284)+SUMIFS(Aut_Ajustes_Manuais!$G:$G,Aut_Ajustes_Manuais!$I:$I,DRE!AI$4,Aut_Ajustes_Manuais!$F:$F,"Assessoria Financeira")</f>
        <v>-185</v>
      </c>
      <c r="AL284" s="241">
        <v>-185</v>
      </c>
      <c r="AM284" s="27">
        <v>-194.25</v>
      </c>
      <c r="AN284" s="28">
        <f>SUMIFS(Aut_BlueMe_Sem_Pedido!$J:$J,Aut_BlueMe_Sem_Pedido!$Q:$Q,DRE!AL$4,Aut_BlueMe_Sem_Pedido!$H:$H,DRE!$A284)+SUMIFS(Aut_Ajustes_Manuais!$G:$G,Aut_Ajustes_Manuais!$I:$I,DRE!AL$4,Aut_Ajustes_Manuais!$F:$F,"Assessoria Financeira")</f>
        <v>-185</v>
      </c>
      <c r="AO284" s="241">
        <v>-185</v>
      </c>
      <c r="AP284" s="27">
        <v>-194.25</v>
      </c>
      <c r="AQ284" s="28">
        <f>SUMIFS(Aut_BlueMe_Sem_Pedido!$J:$J,Aut_BlueMe_Sem_Pedido!$Q:$Q,DRE!AO$4,Aut_BlueMe_Sem_Pedido!$H:$H,DRE!$A284)+SUMIFS(Aut_Ajustes_Manuais!$G:$G,Aut_Ajustes_Manuais!$I:$I,DRE!AO$4,Aut_Ajustes_Manuais!$F:$F,"Assessoria Financeira")</f>
        <v>0</v>
      </c>
      <c r="AR284" s="241">
        <f t="shared" ca="1" si="275"/>
        <v>-1295</v>
      </c>
      <c r="AS284" s="27">
        <f t="shared" ca="1" si="276"/>
        <v>-1165.5</v>
      </c>
      <c r="AT284" s="28">
        <f t="shared" ca="1" si="277"/>
        <v>-925</v>
      </c>
      <c r="AU284" s="241">
        <f t="shared" si="278"/>
        <v>-2405</v>
      </c>
      <c r="AV284" s="27">
        <f t="shared" si="278"/>
        <v>-2331</v>
      </c>
      <c r="AW284" s="28">
        <f t="shared" si="278"/>
        <v>-1850</v>
      </c>
      <c r="AX284" s="241">
        <f t="shared" si="279"/>
        <v>-740</v>
      </c>
      <c r="AY284" s="27">
        <f t="shared" si="279"/>
        <v>-582.75</v>
      </c>
      <c r="AZ284" s="28">
        <f t="shared" si="279"/>
        <v>-370</v>
      </c>
      <c r="BA284" s="241">
        <f t="shared" si="280"/>
        <v>-555</v>
      </c>
      <c r="BB284" s="27">
        <f t="shared" si="280"/>
        <v>-582.75</v>
      </c>
      <c r="BC284" s="28">
        <f t="shared" si="280"/>
        <v>-555</v>
      </c>
      <c r="BD284" s="241">
        <f t="shared" si="281"/>
        <v>-555</v>
      </c>
      <c r="BE284" s="27">
        <f t="shared" si="281"/>
        <v>-582.75</v>
      </c>
      <c r="BF284" s="28">
        <f t="shared" si="281"/>
        <v>-555</v>
      </c>
      <c r="BG284" s="241">
        <f t="shared" si="282"/>
        <v>-555</v>
      </c>
      <c r="BH284" s="27">
        <f t="shared" si="282"/>
        <v>-582.75</v>
      </c>
      <c r="BI284" s="28">
        <f t="shared" si="282"/>
        <v>-370</v>
      </c>
      <c r="BK284" s="448">
        <f t="shared" si="250"/>
        <v>-2331</v>
      </c>
      <c r="BL284" s="448">
        <f t="shared" si="251"/>
        <v>0</v>
      </c>
      <c r="BM284" s="448">
        <f t="shared" si="252"/>
        <v>-740</v>
      </c>
      <c r="BN284" s="448">
        <f t="shared" ca="1" si="253"/>
        <v>185</v>
      </c>
    </row>
    <row r="285" spans="1:66" s="29" customFormat="1" hidden="1" outlineLevel="1" x14ac:dyDescent="0.3">
      <c r="A285" s="22" t="s">
        <v>314</v>
      </c>
      <c r="B285" s="23"/>
      <c r="C285" s="24" t="s">
        <v>69</v>
      </c>
      <c r="D285" s="116"/>
      <c r="E285" s="122"/>
      <c r="F285" s="56"/>
      <c r="G285" s="33"/>
      <c r="H285" s="241">
        <v>0</v>
      </c>
      <c r="I285" s="27">
        <v>0</v>
      </c>
      <c r="J285" s="28">
        <f>SUMIFS(Aut_BlueMe_Sem_Pedido!$J:$J,Aut_BlueMe_Sem_Pedido!$Q:$Q,DRE!H$4,Aut_BlueMe_Sem_Pedido!$H:$H,DRE!$A285)+SUMIFS(Aut_Ajustes_Manuais!$G:$G,Aut_Ajustes_Manuais!$I:$I,DRE!H$4,Aut_Ajustes_Manuais!$F:$F,"Assessoria Jurídica")</f>
        <v>0</v>
      </c>
      <c r="K285" s="241">
        <v>0</v>
      </c>
      <c r="L285" s="27">
        <v>0</v>
      </c>
      <c r="M285" s="28">
        <f>SUMIFS(Aut_BlueMe_Sem_Pedido!$J:$J,Aut_BlueMe_Sem_Pedido!$Q:$Q,DRE!K$4,Aut_BlueMe_Sem_Pedido!$H:$H,DRE!$A285)+SUMIFS(Aut_Ajustes_Manuais!$G:$G,Aut_Ajustes_Manuais!$I:$I,DRE!K$4,Aut_Ajustes_Manuais!$F:$F,"Assessoria Jurídica")</f>
        <v>0</v>
      </c>
      <c r="N285" s="241">
        <v>0</v>
      </c>
      <c r="O285" s="27">
        <v>0</v>
      </c>
      <c r="P285" s="28">
        <f>SUMIFS(Aut_BlueMe_Sem_Pedido!$J:$J,Aut_BlueMe_Sem_Pedido!$Q:$Q,DRE!N$4,Aut_BlueMe_Sem_Pedido!$H:$H,DRE!$A285)+SUMIFS(Aut_Ajustes_Manuais!$G:$G,Aut_Ajustes_Manuais!$I:$I,DRE!N$4,Aut_Ajustes_Manuais!$F:$F,"Assessoria Jurídica")</f>
        <v>0</v>
      </c>
      <c r="Q285" s="241">
        <v>0</v>
      </c>
      <c r="R285" s="27">
        <v>0</v>
      </c>
      <c r="S285" s="28">
        <f>SUMIFS(Aut_BlueMe_Sem_Pedido!$J:$J,Aut_BlueMe_Sem_Pedido!$Q:$Q,DRE!Q$4,Aut_BlueMe_Sem_Pedido!$H:$H,DRE!$A285)+SUMIFS(Aut_Ajustes_Manuais!$G:$G,Aut_Ajustes_Manuais!$I:$I,DRE!Q$4,Aut_Ajustes_Manuais!$F:$F,"Assessoria Jurídica")</f>
        <v>0</v>
      </c>
      <c r="T285" s="241">
        <v>0</v>
      </c>
      <c r="U285" s="27">
        <v>0</v>
      </c>
      <c r="V285" s="28">
        <f>SUMIFS(Aut_BlueMe_Sem_Pedido!$J:$J,Aut_BlueMe_Sem_Pedido!$Q:$Q,DRE!T$4,Aut_BlueMe_Sem_Pedido!$H:$H,DRE!$A285)+SUMIFS(Aut_Ajustes_Manuais!$G:$G,Aut_Ajustes_Manuais!$I:$I,DRE!T$4,Aut_Ajustes_Manuais!$F:$F,"Assessoria Jurídica")</f>
        <v>0</v>
      </c>
      <c r="W285" s="241">
        <v>0</v>
      </c>
      <c r="X285" s="27">
        <v>0</v>
      </c>
      <c r="Y285" s="28">
        <f>SUMIFS(Aut_BlueMe_Sem_Pedido!$J:$J,Aut_BlueMe_Sem_Pedido!$Q:$Q,DRE!W$4,Aut_BlueMe_Sem_Pedido!$H:$H,DRE!$A285)+SUMIFS(Aut_Ajustes_Manuais!$G:$G,Aut_Ajustes_Manuais!$I:$I,DRE!W$4,Aut_Ajustes_Manuais!$F:$F,"Assessoria Jurídica")</f>
        <v>0</v>
      </c>
      <c r="Z285" s="241">
        <v>0</v>
      </c>
      <c r="AA285" s="27">
        <v>0</v>
      </c>
      <c r="AB285" s="28">
        <f>SUMIFS(Aut_BlueMe_Sem_Pedido!$J:$J,Aut_BlueMe_Sem_Pedido!$Q:$Q,DRE!Z$4,Aut_BlueMe_Sem_Pedido!$H:$H,DRE!$A285)+SUMIFS(Aut_Ajustes_Manuais!$G:$G,Aut_Ajustes_Manuais!$I:$I,DRE!Z$4,Aut_Ajustes_Manuais!$F:$F,"Assessoria Jurídica")</f>
        <v>0</v>
      </c>
      <c r="AC285" s="241">
        <v>0</v>
      </c>
      <c r="AD285" s="27">
        <v>0</v>
      </c>
      <c r="AE285" s="28">
        <f>SUMIFS(Aut_BlueMe_Sem_Pedido!$J:$J,Aut_BlueMe_Sem_Pedido!$Q:$Q,DRE!AC$4,Aut_BlueMe_Sem_Pedido!$H:$H,DRE!$A285)+SUMIFS(Aut_Ajustes_Manuais!$G:$G,Aut_Ajustes_Manuais!$I:$I,DRE!AC$4,Aut_Ajustes_Manuais!$F:$F,"Assessoria Jurídica")</f>
        <v>0</v>
      </c>
      <c r="AF285" s="241">
        <v>0</v>
      </c>
      <c r="AG285" s="27">
        <v>0</v>
      </c>
      <c r="AH285" s="28">
        <f>SUMIFS(Aut_BlueMe_Sem_Pedido!$J:$J,Aut_BlueMe_Sem_Pedido!$Q:$Q,DRE!AF$4,Aut_BlueMe_Sem_Pedido!$H:$H,DRE!$A285)+SUMIFS(Aut_Ajustes_Manuais!$G:$G,Aut_Ajustes_Manuais!$I:$I,DRE!AF$4,Aut_Ajustes_Manuais!$F:$F,"Assessoria Jurídica")</f>
        <v>0</v>
      </c>
      <c r="AI285" s="241">
        <v>0</v>
      </c>
      <c r="AJ285" s="27">
        <v>0</v>
      </c>
      <c r="AK285" s="28">
        <f>SUMIFS(Aut_BlueMe_Sem_Pedido!$J:$J,Aut_BlueMe_Sem_Pedido!$Q:$Q,DRE!AI$4,Aut_BlueMe_Sem_Pedido!$H:$H,DRE!$A285)+SUMIFS(Aut_Ajustes_Manuais!$G:$G,Aut_Ajustes_Manuais!$I:$I,DRE!AI$4,Aut_Ajustes_Manuais!$F:$F,"Assessoria Jurídica")</f>
        <v>0</v>
      </c>
      <c r="AL285" s="241">
        <v>0</v>
      </c>
      <c r="AM285" s="27">
        <v>0</v>
      </c>
      <c r="AN285" s="28">
        <f>SUMIFS(Aut_BlueMe_Sem_Pedido!$J:$J,Aut_BlueMe_Sem_Pedido!$Q:$Q,DRE!AL$4,Aut_BlueMe_Sem_Pedido!$H:$H,DRE!$A285)+SUMIFS(Aut_Ajustes_Manuais!$G:$G,Aut_Ajustes_Manuais!$I:$I,DRE!AL$4,Aut_Ajustes_Manuais!$F:$F,"Assessoria Jurídica")</f>
        <v>0</v>
      </c>
      <c r="AO285" s="241">
        <v>0</v>
      </c>
      <c r="AP285" s="27">
        <v>0</v>
      </c>
      <c r="AQ285" s="28">
        <f>SUMIFS(Aut_BlueMe_Sem_Pedido!$J:$J,Aut_BlueMe_Sem_Pedido!$Q:$Q,DRE!AO$4,Aut_BlueMe_Sem_Pedido!$H:$H,DRE!$A285)+SUMIFS(Aut_Ajustes_Manuais!$G:$G,Aut_Ajustes_Manuais!$I:$I,DRE!AO$4,Aut_Ajustes_Manuais!$F:$F,"Assessoria Jurídica")</f>
        <v>0</v>
      </c>
      <c r="AR285" s="241">
        <f t="shared" ca="1" si="275"/>
        <v>0</v>
      </c>
      <c r="AS285" s="27">
        <f t="shared" ca="1" si="276"/>
        <v>0</v>
      </c>
      <c r="AT285" s="28">
        <f t="shared" ca="1" si="277"/>
        <v>0</v>
      </c>
      <c r="AU285" s="241">
        <f t="shared" si="278"/>
        <v>0</v>
      </c>
      <c r="AV285" s="27">
        <f t="shared" si="278"/>
        <v>0</v>
      </c>
      <c r="AW285" s="28">
        <f t="shared" si="278"/>
        <v>0</v>
      </c>
      <c r="AX285" s="241">
        <f t="shared" si="279"/>
        <v>0</v>
      </c>
      <c r="AY285" s="27">
        <f t="shared" si="279"/>
        <v>0</v>
      </c>
      <c r="AZ285" s="28">
        <f t="shared" si="279"/>
        <v>0</v>
      </c>
      <c r="BA285" s="241">
        <f t="shared" si="280"/>
        <v>0</v>
      </c>
      <c r="BB285" s="27">
        <f t="shared" si="280"/>
        <v>0</v>
      </c>
      <c r="BC285" s="28">
        <f t="shared" si="280"/>
        <v>0</v>
      </c>
      <c r="BD285" s="241">
        <f t="shared" si="281"/>
        <v>0</v>
      </c>
      <c r="BE285" s="27">
        <f t="shared" si="281"/>
        <v>0</v>
      </c>
      <c r="BF285" s="28">
        <f t="shared" si="281"/>
        <v>0</v>
      </c>
      <c r="BG285" s="241">
        <f t="shared" si="282"/>
        <v>0</v>
      </c>
      <c r="BH285" s="27">
        <f t="shared" si="282"/>
        <v>0</v>
      </c>
      <c r="BI285" s="28">
        <f t="shared" si="282"/>
        <v>0</v>
      </c>
      <c r="BK285" s="448">
        <f t="shared" si="250"/>
        <v>0</v>
      </c>
      <c r="BL285" s="448">
        <f t="shared" si="251"/>
        <v>0</v>
      </c>
      <c r="BM285" s="448">
        <f t="shared" si="252"/>
        <v>0</v>
      </c>
      <c r="BN285" s="448">
        <f t="shared" ca="1" si="253"/>
        <v>0</v>
      </c>
    </row>
    <row r="286" spans="1:66" s="29" customFormat="1" hidden="1" outlineLevel="1" x14ac:dyDescent="0.3">
      <c r="A286" s="22" t="s">
        <v>315</v>
      </c>
      <c r="B286" s="23"/>
      <c r="C286" s="24" t="s">
        <v>69</v>
      </c>
      <c r="D286" s="116"/>
      <c r="E286" s="122"/>
      <c r="F286" s="56"/>
      <c r="G286" s="33"/>
      <c r="H286" s="241">
        <v>-940.94</v>
      </c>
      <c r="I286" s="27">
        <v>-987.98700000000008</v>
      </c>
      <c r="J286" s="28">
        <f>SUMIFS(Aut_BlueMe_Sem_Pedido!$J:$J,Aut_BlueMe_Sem_Pedido!$Q:$Q,DRE!H$4,Aut_BlueMe_Sem_Pedido!$H:$H,DRE!$A286)+SUMIFS(Aut_Ajustes_Manuais!$G:$G,Aut_Ajustes_Manuais!$I:$I,DRE!H$4,Aut_Ajustes_Manuais!$F:$F,"Assessoria de Alimentos e Bebidas")</f>
        <v>-940.94</v>
      </c>
      <c r="K286" s="241">
        <v>-940.94</v>
      </c>
      <c r="L286" s="27">
        <v>-987.98700000000008</v>
      </c>
      <c r="M286" s="28">
        <f>SUMIFS(Aut_BlueMe_Sem_Pedido!$J:$J,Aut_BlueMe_Sem_Pedido!$Q:$Q,DRE!K$4,Aut_BlueMe_Sem_Pedido!$H:$H,DRE!$A286)+SUMIFS(Aut_Ajustes_Manuais!$G:$G,Aut_Ajustes_Manuais!$I:$I,DRE!K$4,Aut_Ajustes_Manuais!$F:$F,"Assessoria de Alimentos e Bebidas")</f>
        <v>-981.02</v>
      </c>
      <c r="N286" s="241">
        <v>-940.94</v>
      </c>
      <c r="O286" s="27">
        <v>-987.98700000000008</v>
      </c>
      <c r="P286" s="28">
        <f>SUMIFS(Aut_BlueMe_Sem_Pedido!$J:$J,Aut_BlueMe_Sem_Pedido!$Q:$Q,DRE!N$4,Aut_BlueMe_Sem_Pedido!$H:$H,DRE!$A286)+SUMIFS(Aut_Ajustes_Manuais!$G:$G,Aut_Ajustes_Manuais!$I:$I,DRE!N$4,Aut_Ajustes_Manuais!$F:$F,"Assessoria de Alimentos e Bebidas")</f>
        <v>-981.02</v>
      </c>
      <c r="Q286" s="241">
        <v>-940.94</v>
      </c>
      <c r="R286" s="27">
        <v>-987.98700000000008</v>
      </c>
      <c r="S286" s="28">
        <f>SUMIFS(Aut_BlueMe_Sem_Pedido!$J:$J,Aut_BlueMe_Sem_Pedido!$Q:$Q,DRE!Q$4,Aut_BlueMe_Sem_Pedido!$H:$H,DRE!$A286)+SUMIFS(Aut_Ajustes_Manuais!$G:$G,Aut_Ajustes_Manuais!$I:$I,DRE!Q$4,Aut_Ajustes_Manuais!$F:$F,"Assessoria de Alimentos e Bebidas")</f>
        <v>-981.02</v>
      </c>
      <c r="T286" s="241">
        <v>-940.94</v>
      </c>
      <c r="U286" s="27">
        <v>-987.98700000000008</v>
      </c>
      <c r="V286" s="28">
        <f>SUMIFS(Aut_BlueMe_Sem_Pedido!$J:$J,Aut_BlueMe_Sem_Pedido!$Q:$Q,DRE!T$4,Aut_BlueMe_Sem_Pedido!$H:$H,DRE!$A286)+SUMIFS(Aut_Ajustes_Manuais!$G:$G,Aut_Ajustes_Manuais!$I:$I,DRE!T$4,Aut_Ajustes_Manuais!$F:$F,"Assessoria de Alimentos e Bebidas")</f>
        <v>-981.02</v>
      </c>
      <c r="W286" s="241">
        <v>-940.94</v>
      </c>
      <c r="X286" s="27">
        <v>-987.98700000000008</v>
      </c>
      <c r="Y286" s="28">
        <f>SUMIFS(Aut_BlueMe_Sem_Pedido!$J:$J,Aut_BlueMe_Sem_Pedido!$Q:$Q,DRE!W$4,Aut_BlueMe_Sem_Pedido!$H:$H,DRE!$A286)+SUMIFS(Aut_Ajustes_Manuais!$G:$G,Aut_Ajustes_Manuais!$I:$I,DRE!W$4,Aut_Ajustes_Manuais!$F:$F,"Assessoria de Alimentos e Bebidas")</f>
        <v>-981.02</v>
      </c>
      <c r="Z286" s="241">
        <v>-940.94</v>
      </c>
      <c r="AA286" s="27">
        <v>-987.98700000000008</v>
      </c>
      <c r="AB286" s="28">
        <f>SUMIFS(Aut_BlueMe_Sem_Pedido!$J:$J,Aut_BlueMe_Sem_Pedido!$Q:$Q,DRE!Z$4,Aut_BlueMe_Sem_Pedido!$H:$H,DRE!$A286)+SUMIFS(Aut_Ajustes_Manuais!$G:$G,Aut_Ajustes_Manuais!$I:$I,DRE!Z$4,Aut_Ajustes_Manuais!$F:$F,"Assessoria de Alimentos e Bebidas")</f>
        <v>-940.94</v>
      </c>
      <c r="AC286" s="241">
        <v>-940.94</v>
      </c>
      <c r="AD286" s="27">
        <v>-987.98700000000008</v>
      </c>
      <c r="AE286" s="28">
        <f>SUMIFS(Aut_BlueMe_Sem_Pedido!$J:$J,Aut_BlueMe_Sem_Pedido!$Q:$Q,DRE!AC$4,Aut_BlueMe_Sem_Pedido!$H:$H,DRE!$A286)+SUMIFS(Aut_Ajustes_Manuais!$G:$G,Aut_Ajustes_Manuais!$I:$I,DRE!AC$4,Aut_Ajustes_Manuais!$F:$F,"Assessoria de Alimentos e Bebidas")</f>
        <v>-940.94</v>
      </c>
      <c r="AF286" s="241">
        <v>-940.94</v>
      </c>
      <c r="AG286" s="27">
        <v>-987.98700000000008</v>
      </c>
      <c r="AH286" s="28">
        <f>SUMIFS(Aut_BlueMe_Sem_Pedido!$J:$J,Aut_BlueMe_Sem_Pedido!$Q:$Q,DRE!AF$4,Aut_BlueMe_Sem_Pedido!$H:$H,DRE!$A286)+SUMIFS(Aut_Ajustes_Manuais!$G:$G,Aut_Ajustes_Manuais!$I:$I,DRE!AF$4,Aut_Ajustes_Manuais!$F:$F,"Assessoria de Alimentos e Bebidas")</f>
        <v>-940.94</v>
      </c>
      <c r="AI286" s="241">
        <v>-940.94</v>
      </c>
      <c r="AJ286" s="27">
        <v>-987.98700000000008</v>
      </c>
      <c r="AK286" s="28">
        <f>SUMIFS(Aut_BlueMe_Sem_Pedido!$J:$J,Aut_BlueMe_Sem_Pedido!$Q:$Q,DRE!AI$4,Aut_BlueMe_Sem_Pedido!$H:$H,DRE!$A286)+SUMIFS(Aut_Ajustes_Manuais!$G:$G,Aut_Ajustes_Manuais!$I:$I,DRE!AI$4,Aut_Ajustes_Manuais!$F:$F,"Assessoria de Alimentos e Bebidas")</f>
        <v>-940.94</v>
      </c>
      <c r="AL286" s="241">
        <v>-940.94</v>
      </c>
      <c r="AM286" s="27">
        <v>-987.98700000000008</v>
      </c>
      <c r="AN286" s="28">
        <f>SUMIFS(Aut_BlueMe_Sem_Pedido!$J:$J,Aut_BlueMe_Sem_Pedido!$Q:$Q,DRE!AL$4,Aut_BlueMe_Sem_Pedido!$H:$H,DRE!$A286)+SUMIFS(Aut_Ajustes_Manuais!$G:$G,Aut_Ajustes_Manuais!$I:$I,DRE!AL$4,Aut_Ajustes_Manuais!$F:$F,"Assessoria de Alimentos e Bebidas")</f>
        <v>-940.94</v>
      </c>
      <c r="AO286" s="241">
        <v>-940.94</v>
      </c>
      <c r="AP286" s="27">
        <v>-987.98700000000008</v>
      </c>
      <c r="AQ286" s="28">
        <f>SUMIFS(Aut_BlueMe_Sem_Pedido!$J:$J,Aut_BlueMe_Sem_Pedido!$Q:$Q,DRE!AO$4,Aut_BlueMe_Sem_Pedido!$H:$H,DRE!$A286)+SUMIFS(Aut_Ajustes_Manuais!$G:$G,Aut_Ajustes_Manuais!$I:$I,DRE!AO$4,Aut_Ajustes_Manuais!$F:$F,"Assessoria de Alimentos e Bebidas")</f>
        <v>-940.94</v>
      </c>
      <c r="AR286" s="241">
        <f t="shared" ca="1" si="275"/>
        <v>-5645.6400000000012</v>
      </c>
      <c r="AS286" s="27">
        <f t="shared" ca="1" si="276"/>
        <v>-5927.9220000000005</v>
      </c>
      <c r="AT286" s="28">
        <f t="shared" ca="1" si="277"/>
        <v>-5846.0400000000009</v>
      </c>
      <c r="AU286" s="241">
        <f t="shared" si="278"/>
        <v>-11291.280000000004</v>
      </c>
      <c r="AV286" s="27">
        <f t="shared" si="278"/>
        <v>-11855.844000000005</v>
      </c>
      <c r="AW286" s="28">
        <f t="shared" si="278"/>
        <v>-11491.680000000004</v>
      </c>
      <c r="AX286" s="241">
        <f t="shared" si="279"/>
        <v>-2822.82</v>
      </c>
      <c r="AY286" s="27">
        <f t="shared" si="279"/>
        <v>-2963.9610000000002</v>
      </c>
      <c r="AZ286" s="28">
        <f t="shared" si="279"/>
        <v>-2902.98</v>
      </c>
      <c r="BA286" s="241">
        <f t="shared" si="280"/>
        <v>-2822.82</v>
      </c>
      <c r="BB286" s="27">
        <f t="shared" si="280"/>
        <v>-2963.9610000000002</v>
      </c>
      <c r="BC286" s="28">
        <f t="shared" si="280"/>
        <v>-2943.06</v>
      </c>
      <c r="BD286" s="241">
        <f t="shared" si="281"/>
        <v>-2822.82</v>
      </c>
      <c r="BE286" s="27">
        <f t="shared" si="281"/>
        <v>-2963.9610000000002</v>
      </c>
      <c r="BF286" s="28">
        <f t="shared" si="281"/>
        <v>-2822.82</v>
      </c>
      <c r="BG286" s="241">
        <f t="shared" si="282"/>
        <v>-2822.82</v>
      </c>
      <c r="BH286" s="27">
        <f t="shared" si="282"/>
        <v>-2963.9610000000002</v>
      </c>
      <c r="BI286" s="28">
        <f t="shared" si="282"/>
        <v>-2822.82</v>
      </c>
      <c r="BK286" s="448">
        <f t="shared" si="250"/>
        <v>-11855.844000000005</v>
      </c>
      <c r="BL286" s="448">
        <f t="shared" si="251"/>
        <v>0</v>
      </c>
      <c r="BM286" s="448">
        <f t="shared" si="252"/>
        <v>-4865.0200000000004</v>
      </c>
      <c r="BN286" s="448">
        <f t="shared" ca="1" si="253"/>
        <v>981.02000000000044</v>
      </c>
    </row>
    <row r="287" spans="1:66" s="29" customFormat="1" hidden="1" outlineLevel="1" x14ac:dyDescent="0.3">
      <c r="A287" s="22" t="s">
        <v>316</v>
      </c>
      <c r="B287" s="23"/>
      <c r="C287" s="24" t="s">
        <v>69</v>
      </c>
      <c r="D287" s="116"/>
      <c r="E287" s="122"/>
      <c r="F287" s="56"/>
      <c r="G287" s="33"/>
      <c r="H287" s="241">
        <v>0</v>
      </c>
      <c r="I287" s="27">
        <v>0</v>
      </c>
      <c r="J287" s="28">
        <f>SUMIFS(Aut_BlueMe_Sem_Pedido!$J:$J,Aut_BlueMe_Sem_Pedido!$Q:$Q,DRE!H$4,Aut_BlueMe_Sem_Pedido!$H:$H,DRE!$A287)+SUMIFS(Aut_Ajustes_Manuais!$G:$G,Aut_Ajustes_Manuais!$I:$I,DRE!H$4,Aut_Ajustes_Manuais!$F:$F,"Assessoria de Projetos")</f>
        <v>0</v>
      </c>
      <c r="K287" s="241">
        <v>0</v>
      </c>
      <c r="L287" s="27">
        <v>0</v>
      </c>
      <c r="M287" s="28">
        <f>SUMIFS(Aut_BlueMe_Sem_Pedido!$J:$J,Aut_BlueMe_Sem_Pedido!$Q:$Q,DRE!K$4,Aut_BlueMe_Sem_Pedido!$H:$H,DRE!$A287)+SUMIFS(Aut_Ajustes_Manuais!$G:$G,Aut_Ajustes_Manuais!$I:$I,DRE!K$4,Aut_Ajustes_Manuais!$F:$F,"Assessoria de Projetos")</f>
        <v>0</v>
      </c>
      <c r="N287" s="241">
        <v>0</v>
      </c>
      <c r="O287" s="27">
        <v>0</v>
      </c>
      <c r="P287" s="28">
        <f>SUMIFS(Aut_BlueMe_Sem_Pedido!$J:$J,Aut_BlueMe_Sem_Pedido!$Q:$Q,DRE!N$4,Aut_BlueMe_Sem_Pedido!$H:$H,DRE!$A287)+SUMIFS(Aut_Ajustes_Manuais!$G:$G,Aut_Ajustes_Manuais!$I:$I,DRE!N$4,Aut_Ajustes_Manuais!$F:$F,"Assessoria de Projetos")</f>
        <v>0</v>
      </c>
      <c r="Q287" s="241">
        <v>0</v>
      </c>
      <c r="R287" s="27">
        <v>0</v>
      </c>
      <c r="S287" s="28">
        <f>SUMIFS(Aut_BlueMe_Sem_Pedido!$J:$J,Aut_BlueMe_Sem_Pedido!$Q:$Q,DRE!Q$4,Aut_BlueMe_Sem_Pedido!$H:$H,DRE!$A287)+SUMIFS(Aut_Ajustes_Manuais!$G:$G,Aut_Ajustes_Manuais!$I:$I,DRE!Q$4,Aut_Ajustes_Manuais!$F:$F,"Assessoria de Projetos")</f>
        <v>0</v>
      </c>
      <c r="T287" s="241">
        <v>0</v>
      </c>
      <c r="U287" s="27">
        <v>0</v>
      </c>
      <c r="V287" s="28">
        <f>SUMIFS(Aut_BlueMe_Sem_Pedido!$J:$J,Aut_BlueMe_Sem_Pedido!$Q:$Q,DRE!T$4,Aut_BlueMe_Sem_Pedido!$H:$H,DRE!$A287)+SUMIFS(Aut_Ajustes_Manuais!$G:$G,Aut_Ajustes_Manuais!$I:$I,DRE!T$4,Aut_Ajustes_Manuais!$F:$F,"Assessoria de Projetos")</f>
        <v>0</v>
      </c>
      <c r="W287" s="241">
        <v>0</v>
      </c>
      <c r="X287" s="27">
        <v>0</v>
      </c>
      <c r="Y287" s="28">
        <f>SUMIFS(Aut_BlueMe_Sem_Pedido!$J:$J,Aut_BlueMe_Sem_Pedido!$Q:$Q,DRE!W$4,Aut_BlueMe_Sem_Pedido!$H:$H,DRE!$A287)+SUMIFS(Aut_Ajustes_Manuais!$G:$G,Aut_Ajustes_Manuais!$I:$I,DRE!W$4,Aut_Ajustes_Manuais!$F:$F,"Assessoria de Projetos")</f>
        <v>0</v>
      </c>
      <c r="Z287" s="241">
        <v>0</v>
      </c>
      <c r="AA287" s="27">
        <v>0</v>
      </c>
      <c r="AB287" s="28">
        <f>SUMIFS(Aut_BlueMe_Sem_Pedido!$J:$J,Aut_BlueMe_Sem_Pedido!$Q:$Q,DRE!Z$4,Aut_BlueMe_Sem_Pedido!$H:$H,DRE!$A287)+SUMIFS(Aut_Ajustes_Manuais!$G:$G,Aut_Ajustes_Manuais!$I:$I,DRE!Z$4,Aut_Ajustes_Manuais!$F:$F,"Assessoria de Projetos")</f>
        <v>0</v>
      </c>
      <c r="AC287" s="241">
        <v>0</v>
      </c>
      <c r="AD287" s="27">
        <v>0</v>
      </c>
      <c r="AE287" s="28">
        <f>SUMIFS(Aut_BlueMe_Sem_Pedido!$J:$J,Aut_BlueMe_Sem_Pedido!$Q:$Q,DRE!AC$4,Aut_BlueMe_Sem_Pedido!$H:$H,DRE!$A287)+SUMIFS(Aut_Ajustes_Manuais!$G:$G,Aut_Ajustes_Manuais!$I:$I,DRE!AC$4,Aut_Ajustes_Manuais!$F:$F,"Assessoria de Projetos")</f>
        <v>0</v>
      </c>
      <c r="AF287" s="241">
        <v>0</v>
      </c>
      <c r="AG287" s="27">
        <v>0</v>
      </c>
      <c r="AH287" s="28">
        <f>SUMIFS(Aut_BlueMe_Sem_Pedido!$J:$J,Aut_BlueMe_Sem_Pedido!$Q:$Q,DRE!AF$4,Aut_BlueMe_Sem_Pedido!$H:$H,DRE!$A287)+SUMIFS(Aut_Ajustes_Manuais!$G:$G,Aut_Ajustes_Manuais!$I:$I,DRE!AF$4,Aut_Ajustes_Manuais!$F:$F,"Assessoria de Projetos")</f>
        <v>0</v>
      </c>
      <c r="AI287" s="241">
        <v>0</v>
      </c>
      <c r="AJ287" s="27">
        <v>0</v>
      </c>
      <c r="AK287" s="28">
        <f>SUMIFS(Aut_BlueMe_Sem_Pedido!$J:$J,Aut_BlueMe_Sem_Pedido!$Q:$Q,DRE!AI$4,Aut_BlueMe_Sem_Pedido!$H:$H,DRE!$A287)+SUMIFS(Aut_Ajustes_Manuais!$G:$G,Aut_Ajustes_Manuais!$I:$I,DRE!AI$4,Aut_Ajustes_Manuais!$F:$F,"Assessoria de Projetos")</f>
        <v>0</v>
      </c>
      <c r="AL287" s="241">
        <v>0</v>
      </c>
      <c r="AM287" s="27">
        <v>0</v>
      </c>
      <c r="AN287" s="28">
        <f>SUMIFS(Aut_BlueMe_Sem_Pedido!$J:$J,Aut_BlueMe_Sem_Pedido!$Q:$Q,DRE!AL$4,Aut_BlueMe_Sem_Pedido!$H:$H,DRE!$A287)+SUMIFS(Aut_Ajustes_Manuais!$G:$G,Aut_Ajustes_Manuais!$I:$I,DRE!AL$4,Aut_Ajustes_Manuais!$F:$F,"Assessoria de Projetos")</f>
        <v>0</v>
      </c>
      <c r="AO287" s="241">
        <v>0</v>
      </c>
      <c r="AP287" s="27">
        <v>0</v>
      </c>
      <c r="AQ287" s="28">
        <f>SUMIFS(Aut_BlueMe_Sem_Pedido!$J:$J,Aut_BlueMe_Sem_Pedido!$Q:$Q,DRE!AO$4,Aut_BlueMe_Sem_Pedido!$H:$H,DRE!$A287)+SUMIFS(Aut_Ajustes_Manuais!$G:$G,Aut_Ajustes_Manuais!$I:$I,DRE!AO$4,Aut_Ajustes_Manuais!$F:$F,"Assessoria de Projetos")</f>
        <v>0</v>
      </c>
      <c r="AR287" s="241">
        <f t="shared" ca="1" si="275"/>
        <v>0</v>
      </c>
      <c r="AS287" s="27">
        <f t="shared" ca="1" si="276"/>
        <v>0</v>
      </c>
      <c r="AT287" s="28">
        <f t="shared" ca="1" si="277"/>
        <v>0</v>
      </c>
      <c r="AU287" s="241">
        <f t="shared" si="278"/>
        <v>0</v>
      </c>
      <c r="AV287" s="27">
        <f t="shared" si="278"/>
        <v>0</v>
      </c>
      <c r="AW287" s="28">
        <f t="shared" si="278"/>
        <v>0</v>
      </c>
      <c r="AX287" s="241">
        <f t="shared" si="279"/>
        <v>0</v>
      </c>
      <c r="AY287" s="27">
        <f t="shared" si="279"/>
        <v>0</v>
      </c>
      <c r="AZ287" s="28">
        <f t="shared" si="279"/>
        <v>0</v>
      </c>
      <c r="BA287" s="241">
        <f t="shared" si="280"/>
        <v>0</v>
      </c>
      <c r="BB287" s="27">
        <f t="shared" si="280"/>
        <v>0</v>
      </c>
      <c r="BC287" s="28">
        <f t="shared" si="280"/>
        <v>0</v>
      </c>
      <c r="BD287" s="241">
        <f t="shared" si="281"/>
        <v>0</v>
      </c>
      <c r="BE287" s="27">
        <f t="shared" si="281"/>
        <v>0</v>
      </c>
      <c r="BF287" s="28">
        <f t="shared" si="281"/>
        <v>0</v>
      </c>
      <c r="BG287" s="241">
        <f t="shared" si="282"/>
        <v>0</v>
      </c>
      <c r="BH287" s="27">
        <f t="shared" si="282"/>
        <v>0</v>
      </c>
      <c r="BI287" s="28">
        <f t="shared" si="282"/>
        <v>0</v>
      </c>
      <c r="BK287" s="448">
        <f t="shared" si="250"/>
        <v>0</v>
      </c>
      <c r="BL287" s="448">
        <f t="shared" si="251"/>
        <v>0</v>
      </c>
      <c r="BM287" s="448">
        <f t="shared" si="252"/>
        <v>0</v>
      </c>
      <c r="BN287" s="448">
        <f t="shared" ca="1" si="253"/>
        <v>0</v>
      </c>
    </row>
    <row r="288" spans="1:66" s="29" customFormat="1" hidden="1" outlineLevel="1" x14ac:dyDescent="0.3">
      <c r="A288" s="22" t="s">
        <v>317</v>
      </c>
      <c r="B288" s="23"/>
      <c r="C288" s="24" t="s">
        <v>62</v>
      </c>
      <c r="D288" s="121">
        <v>-21160</v>
      </c>
      <c r="E288" s="123"/>
      <c r="F288" s="56"/>
      <c r="G288" s="33"/>
      <c r="H288" s="241">
        <v>-2450</v>
      </c>
      <c r="I288" s="27">
        <v>-1650</v>
      </c>
      <c r="J288" s="27">
        <f>SUMIFS(Aut_BlueMe_Sem_Pedido!$J:$J,Aut_BlueMe_Sem_Pedido!$Q:$Q,DRE!H$4,Aut_BlueMe_Sem_Pedido!$H:$H,DRE!$A288)+SUMIFS(Aut_Ajustes_Manuais!$G:$G,Aut_Ajustes_Manuais!$I:$I,DRE!H$4,Aut_Ajustes_Manuais!$F:$F,"Serviços de Segurança")</f>
        <v>-930</v>
      </c>
      <c r="K288" s="241">
        <v>-2037.8</v>
      </c>
      <c r="L288" s="27">
        <v>-1650</v>
      </c>
      <c r="M288" s="27">
        <f>SUMIFS(Aut_BlueMe_Sem_Pedido!$J:$J,Aut_BlueMe_Sem_Pedido!$Q:$Q,DRE!K$4,Aut_BlueMe_Sem_Pedido!$H:$H,DRE!$A288)+SUMIFS(Aut_Ajustes_Manuais!$G:$G,Aut_Ajustes_Manuais!$I:$I,DRE!K$4,Aut_Ajustes_Manuais!$F:$F,"Serviços de Segurança")</f>
        <v>-1310</v>
      </c>
      <c r="N288" s="241">
        <v>-2260</v>
      </c>
      <c r="O288" s="27">
        <v>-1650</v>
      </c>
      <c r="P288" s="28">
        <f>SUMIFS(Aut_BlueMe_Sem_Pedido!$J:$J,Aut_BlueMe_Sem_Pedido!$Q:$Q,DRE!N$4,Aut_BlueMe_Sem_Pedido!$H:$H,DRE!$A288)+SUMIFS(Aut_Ajustes_Manuais!$G:$G,Aut_Ajustes_Manuais!$I:$I,DRE!N$4,Aut_Ajustes_Manuais!$F:$F,"Serviços de Segurança")</f>
        <v>-1490</v>
      </c>
      <c r="Q288" s="241">
        <v>-2070</v>
      </c>
      <c r="R288" s="27">
        <v>-1650</v>
      </c>
      <c r="S288" s="28">
        <f>SUMIFS(Aut_BlueMe_Sem_Pedido!$J:$J,Aut_BlueMe_Sem_Pedido!$Q:$Q,DRE!Q$4,Aut_BlueMe_Sem_Pedido!$H:$H,DRE!$A288)+SUMIFS(Aut_Ajustes_Manuais!$G:$G,Aut_Ajustes_Manuais!$I:$I,DRE!Q$4,Aut_Ajustes_Manuais!$F:$F,"Serviços de Segurança")</f>
        <v>-2060</v>
      </c>
      <c r="T288" s="241">
        <v>-2070</v>
      </c>
      <c r="U288" s="27">
        <v>-1650</v>
      </c>
      <c r="V288" s="28">
        <f>SUMIFS(Aut_BlueMe_Sem_Pedido!$J:$J,Aut_BlueMe_Sem_Pedido!$Q:$Q,DRE!T$4,Aut_BlueMe_Sem_Pedido!$H:$H,DRE!$A288)+SUMIFS(Aut_Ajustes_Manuais!$G:$G,Aut_Ajustes_Manuais!$I:$I,DRE!T$4,Aut_Ajustes_Manuais!$F:$F,"Serviços de Segurança")</f>
        <v>-2060</v>
      </c>
      <c r="W288" s="241">
        <v>-2070</v>
      </c>
      <c r="X288" s="27">
        <v>-1650</v>
      </c>
      <c r="Y288" s="28">
        <f>SUMIFS(Aut_BlueMe_Sem_Pedido!$J:$J,Aut_BlueMe_Sem_Pedido!$Q:$Q,DRE!W$4,Aut_BlueMe_Sem_Pedido!$H:$H,DRE!$A288)+SUMIFS(Aut_Ajustes_Manuais!$G:$G,Aut_Ajustes_Manuais!$I:$I,DRE!W$4,Aut_Ajustes_Manuais!$F:$F,"Serviços de Segurança")</f>
        <v>-3050</v>
      </c>
      <c r="Z288" s="241">
        <v>-2070</v>
      </c>
      <c r="AA288" s="27">
        <v>-1650</v>
      </c>
      <c r="AB288" s="28">
        <f>SUMIFS(Aut_BlueMe_Sem_Pedido!$J:$J,Aut_BlueMe_Sem_Pedido!$Q:$Q,DRE!Z$4,Aut_BlueMe_Sem_Pedido!$H:$H,DRE!$A288)+SUMIFS(Aut_Ajustes_Manuais!$G:$G,Aut_Ajustes_Manuais!$I:$I,DRE!Z$4,Aut_Ajustes_Manuais!$F:$F,"Serviços de Segurança")</f>
        <v>-3350</v>
      </c>
      <c r="AC288" s="241">
        <v>-2450</v>
      </c>
      <c r="AD288" s="27">
        <v>-1650</v>
      </c>
      <c r="AE288" s="28">
        <f>SUMIFS(Aut_BlueMe_Sem_Pedido!$J:$J,Aut_BlueMe_Sem_Pedido!$Q:$Q,DRE!AC$4,Aut_BlueMe_Sem_Pedido!$H:$H,DRE!$A288)+SUMIFS(Aut_Ajustes_Manuais!$G:$G,Aut_Ajustes_Manuais!$I:$I,DRE!AC$4,Aut_Ajustes_Manuais!$F:$F,"Serviços de Segurança")</f>
        <v>-3350</v>
      </c>
      <c r="AF288" s="241">
        <v>-2070</v>
      </c>
      <c r="AG288" s="27">
        <v>-1650</v>
      </c>
      <c r="AH288" s="28">
        <f>SUMIFS(Aut_BlueMe_Sem_Pedido!$J:$J,Aut_BlueMe_Sem_Pedido!$Q:$Q,DRE!AF$4,Aut_BlueMe_Sem_Pedido!$H:$H,DRE!$A288)+SUMIFS(Aut_Ajustes_Manuais!$G:$G,Aut_Ajustes_Manuais!$I:$I,DRE!AF$4,Aut_Ajustes_Manuais!$F:$F,"Serviços de Segurança")</f>
        <v>-3350</v>
      </c>
      <c r="AI288" s="241">
        <v>-2260</v>
      </c>
      <c r="AJ288" s="27">
        <v>-1650</v>
      </c>
      <c r="AK288" s="28">
        <f>SUMIFS(Aut_BlueMe_Sem_Pedido!$J:$J,Aut_BlueMe_Sem_Pedido!$Q:$Q,DRE!AI$4,Aut_BlueMe_Sem_Pedido!$H:$H,DRE!$A288)+SUMIFS(Aut_Ajustes_Manuais!$G:$G,Aut_Ajustes_Manuais!$I:$I,DRE!AI$4,Aut_Ajustes_Manuais!$F:$F,"Serviços de Segurança")</f>
        <v>-3350</v>
      </c>
      <c r="AL288" s="241">
        <v>-2500</v>
      </c>
      <c r="AM288" s="27">
        <v>-1650</v>
      </c>
      <c r="AN288" s="28">
        <f>SUMIFS(Aut_BlueMe_Sem_Pedido!$J:$J,Aut_BlueMe_Sem_Pedido!$Q:$Q,DRE!AL$4,Aut_BlueMe_Sem_Pedido!$H:$H,DRE!$A288)+SUMIFS(Aut_Ajustes_Manuais!$G:$G,Aut_Ajustes_Manuais!$I:$I,DRE!AL$4,Aut_Ajustes_Manuais!$F:$F,"Serviços de Segurança")</f>
        <v>-3350</v>
      </c>
      <c r="AO288" s="241">
        <v>-3310</v>
      </c>
      <c r="AP288" s="27">
        <v>-1650</v>
      </c>
      <c r="AQ288" s="28">
        <f>SUMIFS(Aut_BlueMe_Sem_Pedido!$J:$J,Aut_BlueMe_Sem_Pedido!$Q:$Q,DRE!AO$4,Aut_BlueMe_Sem_Pedido!$H:$H,DRE!$A288)+SUMIFS(Aut_Ajustes_Manuais!$G:$G,Aut_Ajustes_Manuais!$I:$I,DRE!AO$4,Aut_Ajustes_Manuais!$F:$F,"Serviços de Segurança")</f>
        <v>-3350</v>
      </c>
      <c r="AR288" s="241">
        <f t="shared" ca="1" si="275"/>
        <v>-12957.8</v>
      </c>
      <c r="AS288" s="27">
        <f t="shared" ca="1" si="276"/>
        <v>-9900</v>
      </c>
      <c r="AT288" s="28">
        <f t="shared" ca="1" si="277"/>
        <v>-10900</v>
      </c>
      <c r="AU288" s="241">
        <f t="shared" si="278"/>
        <v>-27617.8</v>
      </c>
      <c r="AV288" s="27">
        <f t="shared" si="278"/>
        <v>-19800</v>
      </c>
      <c r="AW288" s="28">
        <f t="shared" si="278"/>
        <v>-31000</v>
      </c>
      <c r="AX288" s="241">
        <f t="shared" si="279"/>
        <v>-6747.8</v>
      </c>
      <c r="AY288" s="27">
        <f t="shared" si="279"/>
        <v>-4950</v>
      </c>
      <c r="AZ288" s="28">
        <f t="shared" si="279"/>
        <v>-3730</v>
      </c>
      <c r="BA288" s="241">
        <f t="shared" si="280"/>
        <v>-6210</v>
      </c>
      <c r="BB288" s="27">
        <f t="shared" si="280"/>
        <v>-4950</v>
      </c>
      <c r="BC288" s="28">
        <f t="shared" si="280"/>
        <v>-7170</v>
      </c>
      <c r="BD288" s="241">
        <f t="shared" si="281"/>
        <v>-6590</v>
      </c>
      <c r="BE288" s="27">
        <f t="shared" si="281"/>
        <v>-4950</v>
      </c>
      <c r="BF288" s="28">
        <f t="shared" si="281"/>
        <v>-10050</v>
      </c>
      <c r="BG288" s="241">
        <f t="shared" si="282"/>
        <v>-8070</v>
      </c>
      <c r="BH288" s="27">
        <f t="shared" si="282"/>
        <v>-4950</v>
      </c>
      <c r="BI288" s="28">
        <f t="shared" si="282"/>
        <v>-10050</v>
      </c>
      <c r="BK288" s="448">
        <f t="shared" si="250"/>
        <v>-19800</v>
      </c>
      <c r="BL288" s="448">
        <f t="shared" si="251"/>
        <v>0</v>
      </c>
      <c r="BM288" s="448">
        <f t="shared" si="252"/>
        <v>-7850</v>
      </c>
      <c r="BN288" s="448">
        <f t="shared" ca="1" si="253"/>
        <v>3050</v>
      </c>
    </row>
    <row r="289" spans="1:66" s="29" customFormat="1" hidden="1" outlineLevel="1" x14ac:dyDescent="0.3">
      <c r="A289" s="22" t="s">
        <v>318</v>
      </c>
      <c r="B289" s="23"/>
      <c r="C289" s="24" t="s">
        <v>62</v>
      </c>
      <c r="D289" s="121"/>
      <c r="E289" s="123"/>
      <c r="F289" s="56"/>
      <c r="G289" s="33"/>
      <c r="H289" s="241">
        <v>0</v>
      </c>
      <c r="I289" s="27">
        <v>0</v>
      </c>
      <c r="J289" s="28"/>
      <c r="K289" s="241">
        <v>-44.67</v>
      </c>
      <c r="L289" s="27">
        <v>0</v>
      </c>
      <c r="M289" s="28"/>
      <c r="N289" s="241">
        <v>0</v>
      </c>
      <c r="O289" s="27">
        <v>0</v>
      </c>
      <c r="P289" s="28"/>
      <c r="Q289" s="241">
        <v>0</v>
      </c>
      <c r="R289" s="27">
        <v>0</v>
      </c>
      <c r="S289" s="28"/>
      <c r="T289" s="241">
        <v>0</v>
      </c>
      <c r="U289" s="27">
        <v>0</v>
      </c>
      <c r="V289" s="28"/>
      <c r="W289" s="241">
        <v>0</v>
      </c>
      <c r="X289" s="27">
        <v>0</v>
      </c>
      <c r="Y289" s="28">
        <f>SUMIFS(Aut_BlueMe_Sem_Pedido!$J:$J,Aut_BlueMe_Sem_Pedido!$Q:$Q,DRE!W$4,Aut_BlueMe_Sem_Pedido!$H:$H,DRE!$A289)+SUMIFS(Aut_Ajustes_Manuais!$G:$G,Aut_Ajustes_Manuais!$I:$I,DRE!W$4,Aut_Ajustes_Manuais!$F:$F,"Valet/Motoboy")</f>
        <v>0</v>
      </c>
      <c r="Z289" s="241">
        <v>0</v>
      </c>
      <c r="AA289" s="27">
        <v>0</v>
      </c>
      <c r="AB289" s="28">
        <f>SUMIFS(Aut_BlueMe_Sem_Pedido!$J:$J,Aut_BlueMe_Sem_Pedido!$Q:$Q,DRE!Z$4,Aut_BlueMe_Sem_Pedido!$H:$H,DRE!$A289)+SUMIFS(Aut_Ajustes_Manuais!$G:$G,Aut_Ajustes_Manuais!$I:$I,DRE!Z$4,Aut_Ajustes_Manuais!$F:$F,"Valet/Motoboy")</f>
        <v>0</v>
      </c>
      <c r="AC289" s="241">
        <v>0</v>
      </c>
      <c r="AD289" s="27">
        <v>0</v>
      </c>
      <c r="AE289" s="28">
        <f>SUMIFS(Aut_BlueMe_Sem_Pedido!$J:$J,Aut_BlueMe_Sem_Pedido!$Q:$Q,DRE!AC$4,Aut_BlueMe_Sem_Pedido!$H:$H,DRE!$A289)+SUMIFS(Aut_Ajustes_Manuais!$G:$G,Aut_Ajustes_Manuais!$I:$I,DRE!AC$4,Aut_Ajustes_Manuais!$F:$F,"Valet/Motoboy")</f>
        <v>0</v>
      </c>
      <c r="AF289" s="241">
        <v>0</v>
      </c>
      <c r="AG289" s="27">
        <v>0</v>
      </c>
      <c r="AH289" s="28">
        <f>SUMIFS(Aut_BlueMe_Sem_Pedido!$J:$J,Aut_BlueMe_Sem_Pedido!$Q:$Q,DRE!AF$4,Aut_BlueMe_Sem_Pedido!$H:$H,DRE!$A289)+SUMIFS(Aut_Ajustes_Manuais!$G:$G,Aut_Ajustes_Manuais!$I:$I,DRE!AF$4,Aut_Ajustes_Manuais!$F:$F,"Valet/Motoboy")</f>
        <v>0</v>
      </c>
      <c r="AI289" s="241">
        <v>0</v>
      </c>
      <c r="AJ289" s="27">
        <v>0</v>
      </c>
      <c r="AK289" s="28">
        <f>SUMIFS(Aut_BlueMe_Sem_Pedido!$J:$J,Aut_BlueMe_Sem_Pedido!$Q:$Q,DRE!AI$4,Aut_BlueMe_Sem_Pedido!$H:$H,DRE!$A289)+SUMIFS(Aut_Ajustes_Manuais!$G:$G,Aut_Ajustes_Manuais!$I:$I,DRE!AI$4,Aut_Ajustes_Manuais!$F:$F,"Valet/Motoboy")</f>
        <v>0</v>
      </c>
      <c r="AL289" s="241">
        <v>0</v>
      </c>
      <c r="AM289" s="27">
        <v>0</v>
      </c>
      <c r="AN289" s="28">
        <f>SUMIFS(Aut_BlueMe_Sem_Pedido!$J:$J,Aut_BlueMe_Sem_Pedido!$Q:$Q,DRE!AL$4,Aut_BlueMe_Sem_Pedido!$H:$H,DRE!$A289)+SUMIFS(Aut_Ajustes_Manuais!$G:$G,Aut_Ajustes_Manuais!$I:$I,DRE!AL$4,Aut_Ajustes_Manuais!$F:$F,"Valet/Motoboy")</f>
        <v>0</v>
      </c>
      <c r="AO289" s="241">
        <v>0</v>
      </c>
      <c r="AP289" s="27">
        <v>0</v>
      </c>
      <c r="AQ289" s="28">
        <f>SUMIFS(Aut_BlueMe_Sem_Pedido!$J:$J,Aut_BlueMe_Sem_Pedido!$Q:$Q,DRE!AO$4,Aut_BlueMe_Sem_Pedido!$H:$H,DRE!$A289)+SUMIFS(Aut_Ajustes_Manuais!$G:$G,Aut_Ajustes_Manuais!$I:$I,DRE!AO$4,Aut_Ajustes_Manuais!$F:$F,"Valet/Motoboy")</f>
        <v>0</v>
      </c>
      <c r="AR289" s="241">
        <f t="shared" ca="1" si="275"/>
        <v>-44.67</v>
      </c>
      <c r="AS289" s="27">
        <f t="shared" ca="1" si="276"/>
        <v>0</v>
      </c>
      <c r="AT289" s="28">
        <f t="shared" ca="1" si="277"/>
        <v>0</v>
      </c>
      <c r="AU289" s="241"/>
      <c r="AV289" s="27"/>
      <c r="AW289" s="28"/>
      <c r="AX289" s="241"/>
      <c r="AY289" s="27">
        <v>0</v>
      </c>
      <c r="AZ289" s="28"/>
      <c r="BA289" s="241"/>
      <c r="BB289" s="27">
        <v>0</v>
      </c>
      <c r="BC289" s="28"/>
      <c r="BD289" s="241"/>
      <c r="BE289" s="27">
        <v>0</v>
      </c>
      <c r="BF289" s="28"/>
      <c r="BG289" s="241"/>
      <c r="BH289" s="27">
        <v>0</v>
      </c>
      <c r="BI289" s="28"/>
      <c r="BK289" s="448">
        <f t="shared" si="250"/>
        <v>0</v>
      </c>
      <c r="BL289" s="448">
        <f t="shared" si="251"/>
        <v>0</v>
      </c>
      <c r="BM289" s="448">
        <f t="shared" si="252"/>
        <v>0</v>
      </c>
      <c r="BN289" s="448">
        <f t="shared" ca="1" si="253"/>
        <v>0</v>
      </c>
    </row>
    <row r="290" spans="1:66" s="29" customFormat="1" hidden="1" outlineLevel="1" x14ac:dyDescent="0.3">
      <c r="A290" s="22"/>
      <c r="B290" s="23"/>
      <c r="C290" s="24"/>
      <c r="D290" s="121"/>
      <c r="E290" s="123"/>
      <c r="F290" s="56"/>
      <c r="G290" s="33"/>
      <c r="H290" s="241"/>
      <c r="I290" s="27">
        <v>0</v>
      </c>
      <c r="J290" s="28"/>
      <c r="K290" s="241"/>
      <c r="L290" s="27">
        <v>0</v>
      </c>
      <c r="M290" s="28"/>
      <c r="N290" s="241"/>
      <c r="O290" s="27">
        <v>0</v>
      </c>
      <c r="P290" s="28"/>
      <c r="Q290" s="241"/>
      <c r="R290" s="27">
        <v>0</v>
      </c>
      <c r="S290" s="28"/>
      <c r="T290" s="241"/>
      <c r="U290" s="27">
        <v>0</v>
      </c>
      <c r="V290" s="28"/>
      <c r="W290" s="241"/>
      <c r="X290" s="27">
        <v>0</v>
      </c>
      <c r="Y290" s="28"/>
      <c r="Z290" s="241"/>
      <c r="AA290" s="27">
        <v>0</v>
      </c>
      <c r="AB290" s="28"/>
      <c r="AC290" s="241"/>
      <c r="AD290" s="27">
        <v>0</v>
      </c>
      <c r="AE290" s="28"/>
      <c r="AF290" s="241"/>
      <c r="AG290" s="27">
        <v>0</v>
      </c>
      <c r="AH290" s="28"/>
      <c r="AI290" s="241"/>
      <c r="AJ290" s="27">
        <v>0</v>
      </c>
      <c r="AK290" s="28"/>
      <c r="AL290" s="241"/>
      <c r="AM290" s="27">
        <v>0</v>
      </c>
      <c r="AN290" s="28"/>
      <c r="AO290" s="241"/>
      <c r="AP290" s="27">
        <v>0</v>
      </c>
      <c r="AQ290" s="28"/>
      <c r="AR290" s="241">
        <f t="shared" ca="1" si="275"/>
        <v>0</v>
      </c>
      <c r="AS290" s="27">
        <f t="shared" ca="1" si="276"/>
        <v>0</v>
      </c>
      <c r="AT290" s="28">
        <f t="shared" ca="1" si="277"/>
        <v>0</v>
      </c>
      <c r="AU290" s="241"/>
      <c r="AV290" s="27"/>
      <c r="AW290" s="28"/>
      <c r="AX290" s="241"/>
      <c r="AY290" s="27">
        <v>0</v>
      </c>
      <c r="AZ290" s="28"/>
      <c r="BA290" s="241"/>
      <c r="BB290" s="27">
        <v>0</v>
      </c>
      <c r="BC290" s="28"/>
      <c r="BD290" s="241"/>
      <c r="BE290" s="27">
        <v>0</v>
      </c>
      <c r="BF290" s="28"/>
      <c r="BG290" s="241"/>
      <c r="BH290" s="27">
        <v>0</v>
      </c>
      <c r="BI290" s="28"/>
      <c r="BK290" s="448">
        <f t="shared" si="250"/>
        <v>0</v>
      </c>
      <c r="BL290" s="448">
        <f t="shared" si="251"/>
        <v>0</v>
      </c>
      <c r="BM290" s="448">
        <f t="shared" si="252"/>
        <v>0</v>
      </c>
      <c r="BN290" s="448">
        <f t="shared" ca="1" si="253"/>
        <v>0</v>
      </c>
    </row>
    <row r="291" spans="1:66" s="29" customFormat="1" hidden="1" outlineLevel="1" x14ac:dyDescent="0.3">
      <c r="A291" s="22"/>
      <c r="B291" s="23"/>
      <c r="C291" s="24"/>
      <c r="D291" s="121"/>
      <c r="E291" s="123"/>
      <c r="F291" s="56"/>
      <c r="G291" s="33"/>
      <c r="H291" s="241"/>
      <c r="I291" s="27">
        <v>0</v>
      </c>
      <c r="J291" s="28"/>
      <c r="K291" s="241"/>
      <c r="L291" s="27">
        <v>0</v>
      </c>
      <c r="M291" s="28"/>
      <c r="N291" s="241"/>
      <c r="O291" s="27">
        <v>0</v>
      </c>
      <c r="P291" s="28"/>
      <c r="Q291" s="241"/>
      <c r="R291" s="27">
        <v>0</v>
      </c>
      <c r="S291" s="28"/>
      <c r="T291" s="241"/>
      <c r="U291" s="27">
        <v>0</v>
      </c>
      <c r="V291" s="28"/>
      <c r="W291" s="241"/>
      <c r="X291" s="27">
        <v>0</v>
      </c>
      <c r="Y291" s="28"/>
      <c r="Z291" s="241"/>
      <c r="AA291" s="27">
        <v>0</v>
      </c>
      <c r="AB291" s="28"/>
      <c r="AC291" s="241"/>
      <c r="AD291" s="27">
        <v>0</v>
      </c>
      <c r="AE291" s="28"/>
      <c r="AF291" s="241"/>
      <c r="AG291" s="27">
        <v>0</v>
      </c>
      <c r="AH291" s="28"/>
      <c r="AI291" s="241"/>
      <c r="AJ291" s="27">
        <v>0</v>
      </c>
      <c r="AK291" s="28"/>
      <c r="AL291" s="241"/>
      <c r="AM291" s="27">
        <v>0</v>
      </c>
      <c r="AN291" s="28"/>
      <c r="AO291" s="241"/>
      <c r="AP291" s="27">
        <v>0</v>
      </c>
      <c r="AQ291" s="28"/>
      <c r="AR291" s="241">
        <f t="shared" ca="1" si="275"/>
        <v>0</v>
      </c>
      <c r="AS291" s="27">
        <f t="shared" ca="1" si="276"/>
        <v>0</v>
      </c>
      <c r="AT291" s="28">
        <f t="shared" ca="1" si="277"/>
        <v>0</v>
      </c>
      <c r="AU291" s="241"/>
      <c r="AV291" s="27"/>
      <c r="AW291" s="28"/>
      <c r="AX291" s="241"/>
      <c r="AY291" s="27">
        <v>0</v>
      </c>
      <c r="AZ291" s="28"/>
      <c r="BA291" s="241"/>
      <c r="BB291" s="27">
        <v>0</v>
      </c>
      <c r="BC291" s="28"/>
      <c r="BD291" s="241"/>
      <c r="BE291" s="27">
        <v>0</v>
      </c>
      <c r="BF291" s="28"/>
      <c r="BG291" s="241"/>
      <c r="BH291" s="27">
        <v>0</v>
      </c>
      <c r="BI291" s="28"/>
      <c r="BK291" s="448">
        <f t="shared" si="250"/>
        <v>0</v>
      </c>
      <c r="BL291" s="448">
        <f t="shared" si="251"/>
        <v>0</v>
      </c>
      <c r="BM291" s="448">
        <f t="shared" si="252"/>
        <v>0</v>
      </c>
      <c r="BN291" s="448">
        <f t="shared" ca="1" si="253"/>
        <v>0</v>
      </c>
    </row>
    <row r="292" spans="1:66" collapsed="1" x14ac:dyDescent="0.3">
      <c r="A292" s="71" t="s">
        <v>46</v>
      </c>
      <c r="B292" s="59"/>
      <c r="C292" s="60"/>
      <c r="D292" s="61"/>
      <c r="E292" s="62"/>
      <c r="F292" s="63"/>
      <c r="G292" s="47"/>
      <c r="H292" s="245">
        <v>-1.696546531458884E-2</v>
      </c>
      <c r="I292" s="50">
        <v>-1.447961271063323E-2</v>
      </c>
      <c r="J292" s="51">
        <f>IFERROR(J280/J8,0)+SUMIFS(Aut_Ajustes_Manuais!$G:$G,Aut_Ajustes_Manuais!$I:$I,DRE!H$4,Aut_Ajustes_Manuais!$F:$F,"% sobre Receita Bruta")</f>
        <v>-1.2204440429989531E-2</v>
      </c>
      <c r="K292" s="245">
        <v>-1.8103327240212349E-2</v>
      </c>
      <c r="L292" s="50">
        <v>-1.5261261555935249E-2</v>
      </c>
      <c r="M292" s="51">
        <f>IFERROR(M280/M8,0)+SUMIFS(Aut_Ajustes_Manuais!$G:$G,Aut_Ajustes_Manuais!$I:$I,DRE!K$4,Aut_Ajustes_Manuais!$F:$F,"% sobre Receita Bruta")</f>
        <v>-1.5616760874368266E-2</v>
      </c>
      <c r="N292" s="245">
        <v>-1.7921939476249631E-2</v>
      </c>
      <c r="O292" s="50">
        <v>-1.9023075284893751E-2</v>
      </c>
      <c r="P292" s="51">
        <f>IFERROR(P280/P8,0)+SUMIFS(Aut_Ajustes_Manuais!$G:$G,Aut_Ajustes_Manuais!$I:$I,DRE!N$4,Aut_Ajustes_Manuais!$F:$F,"% sobre Receita Bruta")</f>
        <v>-1.56289721346635E-2</v>
      </c>
      <c r="Q292" s="245">
        <v>-1.6370581664823539E-2</v>
      </c>
      <c r="R292" s="50">
        <v>-1.8279361338362322E-2</v>
      </c>
      <c r="S292" s="51">
        <f>IFERROR(S280/S8,0)+SUMIFS(Aut_Ajustes_Manuais!$G:$G,Aut_Ajustes_Manuais!$I:$I,DRE!Q$4,Aut_Ajustes_Manuais!$F:$F,"% sobre Receita Bruta")</f>
        <v>-1.576330907057644E-2</v>
      </c>
      <c r="T292" s="245">
        <v>-1.305209726472909E-2</v>
      </c>
      <c r="U292" s="50">
        <v>-1.120466620697092E-2</v>
      </c>
      <c r="V292" s="51">
        <f>IFERROR(V280/V8,0)+SUMIFS(Aut_Ajustes_Manuais!$G:$G,Aut_Ajustes_Manuais!$I:$I,DRE!T$4,Aut_Ajustes_Manuais!$F:$F,"% sobre Receita Bruta")</f>
        <v>-1.5672953247307268E-2</v>
      </c>
      <c r="W292" s="245">
        <v>-1.7161864693601901E-2</v>
      </c>
      <c r="X292" s="50">
        <v>-1.256788632757376E-2</v>
      </c>
      <c r="Y292" s="51">
        <f>IFERROR(Y280/Y8,0)+SUMIFS(Aut_Ajustes_Manuais!$G:$G,Aut_Ajustes_Manuais!$I:$I,DRE!W$4,Aut_Ajustes_Manuais!$F:$F,"% sobre Receita Bruta")</f>
        <v>-1.9188720110541072E-2</v>
      </c>
      <c r="Z292" s="245">
        <v>-1.5993378851111281E-2</v>
      </c>
      <c r="AA292" s="50">
        <v>-1.268820250975709E-2</v>
      </c>
      <c r="AB292" s="51">
        <f>IFERROR(AB280/AB8,0)+SUMIFS(Aut_Ajustes_Manuais!$G:$G,Aut_Ajustes_Manuais!$I:$I,DRE!Z$4,Aut_Ajustes_Manuais!$F:$F,"% sobre Receita Bruta")</f>
        <v>-9.1583081212492243E-2</v>
      </c>
      <c r="AC292" s="245">
        <v>-1.465146615018296E-2</v>
      </c>
      <c r="AD292" s="50">
        <v>-1.1756939199410571E-2</v>
      </c>
      <c r="AE292" s="51">
        <f>IFERROR(AE280/AE8,0)+SUMIFS(Aut_Ajustes_Manuais!$G:$G,Aut_Ajustes_Manuais!$I:$I,DRE!AC$4,Aut_Ajustes_Manuais!$F:$F,"% sobre Receita Bruta")</f>
        <v>0</v>
      </c>
      <c r="AF292" s="245">
        <v>-1.6063444783372949E-2</v>
      </c>
      <c r="AG292" s="50">
        <v>-1.349268563207047E-2</v>
      </c>
      <c r="AH292" s="51">
        <f>IFERROR(AH280/AH8,0)+SUMIFS(Aut_Ajustes_Manuais!$G:$G,Aut_Ajustes_Manuais!$I:$I,DRE!AF$4,Aut_Ajustes_Manuais!$F:$F,"% sobre Receita Bruta")</f>
        <v>0</v>
      </c>
      <c r="AI292" s="245">
        <v>-1.6127677626986719E-2</v>
      </c>
      <c r="AJ292" s="50">
        <v>-1.397669152639576E-2</v>
      </c>
      <c r="AK292" s="51">
        <f>IFERROR(AK280/AK8,0)+SUMIFS(Aut_Ajustes_Manuais!$G:$G,Aut_Ajustes_Manuais!$I:$I,DRE!AI$4,Aut_Ajustes_Manuais!$F:$F,"% sobre Receita Bruta")</f>
        <v>0</v>
      </c>
      <c r="AL292" s="245">
        <v>-1.7155987536429641E-2</v>
      </c>
      <c r="AM292" s="50">
        <v>-1.155380487300337E-2</v>
      </c>
      <c r="AN292" s="51">
        <f>IFERROR(AN280/AN8,0)+SUMIFS(Aut_Ajustes_Manuais!$G:$G,Aut_Ajustes_Manuais!$I:$I,DRE!AL$4,Aut_Ajustes_Manuais!$F:$F,"% sobre Receita Bruta")</f>
        <v>0</v>
      </c>
      <c r="AO292" s="245">
        <v>-1.6870386688850911E-2</v>
      </c>
      <c r="AP292" s="50">
        <v>-1.276503531073446E-2</v>
      </c>
      <c r="AQ292" s="51">
        <f>IFERROR(AQ280/AQ8,0)+SUMIFS(Aut_Ajustes_Manuais!$G:$G,Aut_Ajustes_Manuais!$I:$I,DRE!AO$4,Aut_Ajustes_Manuais!$F:$F,"% sobre Receita Bruta")</f>
        <v>0</v>
      </c>
      <c r="AR292" s="245">
        <f t="shared" ref="AR292:BI292" ca="1" si="283">IFERROR(AR280/AR8,0)</f>
        <v>-1.6387278652247431E-2</v>
      </c>
      <c r="AS292" s="50">
        <f t="shared" ca="1" si="283"/>
        <v>-1.4609963251862765E-2</v>
      </c>
      <c r="AT292" s="51">
        <f t="shared" ca="1" si="283"/>
        <v>-1.5637703482192625E-2</v>
      </c>
      <c r="AU292" s="245">
        <f t="shared" si="283"/>
        <v>-1.6263245323290817E-2</v>
      </c>
      <c r="AV292" s="50">
        <f t="shared" si="283"/>
        <v>-1.3559211075228032E-2</v>
      </c>
      <c r="AW292" s="51">
        <f t="shared" si="283"/>
        <v>-3.4431964969868403E-2</v>
      </c>
      <c r="AX292" s="245">
        <f t="shared" si="283"/>
        <v>-1.7594333625515515E-2</v>
      </c>
      <c r="AY292" s="50">
        <f t="shared" si="283"/>
        <v>-1.6029430964241847E-2</v>
      </c>
      <c r="AZ292" s="51">
        <f t="shared" si="283"/>
        <v>-1.4353921529733157E-2</v>
      </c>
      <c r="BA292" s="245">
        <f t="shared" si="283"/>
        <v>-1.5291561829282844E-2</v>
      </c>
      <c r="BB292" s="50">
        <f t="shared" si="283"/>
        <v>-1.3421442904567107E-2</v>
      </c>
      <c r="BC292" s="51">
        <f t="shared" si="283"/>
        <v>-1.6850367940901681E-2</v>
      </c>
      <c r="BD292" s="245">
        <f t="shared" si="283"/>
        <v>-1.5519362786375872E-2</v>
      </c>
      <c r="BE292" s="50">
        <f t="shared" si="283"/>
        <v>-1.260590266277199E-2</v>
      </c>
      <c r="BF292" s="51">
        <f t="shared" si="283"/>
        <v>-0.27474924363747671</v>
      </c>
      <c r="BG292" s="245">
        <f t="shared" si="283"/>
        <v>-1.6754989554316452E-2</v>
      </c>
      <c r="BH292" s="50">
        <f t="shared" si="283"/>
        <v>-1.2704625512793215E-2</v>
      </c>
      <c r="BI292" s="51">
        <f t="shared" si="283"/>
        <v>0</v>
      </c>
      <c r="BK292" s="448">
        <f t="shared" si="250"/>
        <v>-0.16704922247574094</v>
      </c>
      <c r="BL292" s="448">
        <f t="shared" si="251"/>
        <v>-0.15349001140051291</v>
      </c>
      <c r="BM292" s="448">
        <f t="shared" si="252"/>
        <v>-7.4886435756905012E-2</v>
      </c>
      <c r="BN292" s="448">
        <f t="shared" ca="1" si="253"/>
        <v>-5.924873227471239E-2</v>
      </c>
    </row>
    <row r="293" spans="1:66" x14ac:dyDescent="0.3">
      <c r="A293" s="18"/>
      <c r="E293" s="16"/>
      <c r="F293" s="17"/>
      <c r="G293" s="47"/>
      <c r="H293" s="256"/>
      <c r="I293" s="232"/>
      <c r="J293" s="85"/>
      <c r="K293" s="256"/>
      <c r="L293" s="232"/>
      <c r="M293" s="85"/>
      <c r="N293" s="256"/>
      <c r="O293" s="232"/>
      <c r="P293" s="85"/>
      <c r="Q293" s="256"/>
      <c r="R293" s="232"/>
      <c r="S293" s="85"/>
      <c r="T293" s="256"/>
      <c r="U293" s="232"/>
      <c r="V293" s="85"/>
      <c r="W293" s="256"/>
      <c r="X293" s="232"/>
      <c r="Y293" s="85"/>
      <c r="Z293" s="256"/>
      <c r="AA293" s="232"/>
      <c r="AB293" s="85"/>
      <c r="AC293" s="256"/>
      <c r="AD293" s="232"/>
      <c r="AE293" s="85"/>
      <c r="AF293" s="256"/>
      <c r="AG293" s="232"/>
      <c r="AH293" s="85"/>
      <c r="AI293" s="256"/>
      <c r="AJ293" s="232"/>
      <c r="AK293" s="85"/>
      <c r="AL293" s="256"/>
      <c r="AM293" s="232"/>
      <c r="AN293" s="85"/>
      <c r="AO293" s="256"/>
      <c r="AP293" s="232"/>
      <c r="AQ293" s="85"/>
      <c r="AR293" s="256"/>
      <c r="AS293" s="232"/>
      <c r="AT293" s="85"/>
      <c r="AU293" s="256"/>
      <c r="AV293" s="232"/>
      <c r="AW293" s="85"/>
      <c r="AX293" s="256"/>
      <c r="AY293" s="232"/>
      <c r="AZ293" s="85"/>
      <c r="BA293" s="256"/>
      <c r="BB293" s="232"/>
      <c r="BC293" s="85"/>
      <c r="BD293" s="256"/>
      <c r="BE293" s="232"/>
      <c r="BF293" s="85"/>
      <c r="BG293" s="256"/>
      <c r="BH293" s="232"/>
      <c r="BI293" s="85"/>
      <c r="BK293" s="448">
        <f t="shared" si="250"/>
        <v>0</v>
      </c>
      <c r="BL293" s="448">
        <f t="shared" si="251"/>
        <v>0</v>
      </c>
      <c r="BM293" s="448">
        <f t="shared" si="252"/>
        <v>0</v>
      </c>
      <c r="BN293" s="448">
        <f t="shared" si="253"/>
        <v>0</v>
      </c>
    </row>
    <row r="294" spans="1:66" x14ac:dyDescent="0.3">
      <c r="A294" s="39" t="s">
        <v>319</v>
      </c>
      <c r="C294" s="40" t="s">
        <v>37</v>
      </c>
      <c r="D294" s="40" t="s">
        <v>38</v>
      </c>
      <c r="E294" s="40" t="s">
        <v>203</v>
      </c>
      <c r="F294" s="41"/>
      <c r="G294" s="47"/>
      <c r="H294" s="244">
        <v>-1069.3599999999999</v>
      </c>
      <c r="I294" s="42">
        <v>-1107.6665</v>
      </c>
      <c r="J294" s="43">
        <f>SUM(J295:J298)+SUMIFS(Aut_Ajustes_Manuais!$G:$G,Aut_Ajustes_Manuais!$I:$I,DRE!H$4,Aut_Ajustes_Manuais!$F:$F,"Locação de Equipamentos")</f>
        <v>-470.40999999999997</v>
      </c>
      <c r="K294" s="244">
        <v>-1076.27</v>
      </c>
      <c r="L294" s="42">
        <v>-1107.6665</v>
      </c>
      <c r="M294" s="43">
        <f>SUM(M295:M298)+SUMIFS(Aut_Ajustes_Manuais!$G:$G,Aut_Ajustes_Manuais!$I:$I,DRE!K$4,Aut_Ajustes_Manuais!$F:$F,"Locação de Equipamentos")</f>
        <v>-415.62</v>
      </c>
      <c r="N294" s="244">
        <v>-1071.47</v>
      </c>
      <c r="O294" s="42">
        <v>-1107.6665</v>
      </c>
      <c r="P294" s="43">
        <f>SUM(P295:P298)+SUMIFS(Aut_Ajustes_Manuais!$G:$G,Aut_Ajustes_Manuais!$I:$I,DRE!N$4,Aut_Ajustes_Manuais!$F:$F,"Locação de Equipamentos")</f>
        <v>-409.02</v>
      </c>
      <c r="Q294" s="244">
        <v>-1099.57</v>
      </c>
      <c r="R294" s="42">
        <v>-1107.6665</v>
      </c>
      <c r="S294" s="43">
        <f>SUM(S295:S298)+SUMIFS(Aut_Ajustes_Manuais!$G:$G,Aut_Ajustes_Manuais!$I:$I,DRE!Q$4,Aut_Ajustes_Manuais!$F:$F,"Locação de Equipamentos")</f>
        <v>-437.26</v>
      </c>
      <c r="T294" s="244">
        <v>-1090.21</v>
      </c>
      <c r="U294" s="42">
        <v>-1107.6665</v>
      </c>
      <c r="V294" s="43">
        <f>SUM(V295:V298)+SUMIFS(Aut_Ajustes_Manuais!$G:$G,Aut_Ajustes_Manuais!$I:$I,DRE!T$4,Aut_Ajustes_Manuais!$F:$F,"Locação de Equipamentos")</f>
        <v>-427.41999999999996</v>
      </c>
      <c r="W294" s="244">
        <v>-1432.45</v>
      </c>
      <c r="X294" s="42">
        <v>-1107.6665</v>
      </c>
      <c r="Y294" s="43">
        <f>SUM(Y295:Y298)+SUMIFS(Aut_Ajustes_Manuais!$G:$G,Aut_Ajustes_Manuais!$I:$I,DRE!W$4,Aut_Ajustes_Manuais!$F:$F,"Locação de Equipamentos")</f>
        <v>-439.84</v>
      </c>
      <c r="Z294" s="244">
        <v>-1118.58</v>
      </c>
      <c r="AA294" s="42">
        <v>-1107.6665</v>
      </c>
      <c r="AB294" s="43">
        <f>SUM(AB295:AB298)+SUMIFS(Aut_Ajustes_Manuais!$G:$G,Aut_Ajustes_Manuais!$I:$I,DRE!Z$4,Aut_Ajustes_Manuais!$F:$F,"Locação de Equipamentos")</f>
        <v>-435.56</v>
      </c>
      <c r="AC294" s="244">
        <v>-1139.04</v>
      </c>
      <c r="AD294" s="42">
        <v>-1107.6665</v>
      </c>
      <c r="AE294" s="43">
        <f>SUM(AE295:AE298)+SUMIFS(Aut_Ajustes_Manuais!$G:$G,Aut_Ajustes_Manuais!$I:$I,DRE!AC$4,Aut_Ajustes_Manuais!$F:$F,"Locação de Equipamentos")</f>
        <v>-435.56</v>
      </c>
      <c r="AF294" s="244">
        <v>-1121.1600000000001</v>
      </c>
      <c r="AG294" s="42">
        <v>-1107.6665</v>
      </c>
      <c r="AH294" s="43">
        <f>SUM(AH295:AH298)+SUMIFS(Aut_Ajustes_Manuais!$G:$G,Aut_Ajustes_Manuais!$I:$I,DRE!AF$4,Aut_Ajustes_Manuais!$F:$F,"Locação de Equipamentos")</f>
        <v>-435.56</v>
      </c>
      <c r="AI294" s="244">
        <v>-1117.8</v>
      </c>
      <c r="AJ294" s="42">
        <v>-1107.6665</v>
      </c>
      <c r="AK294" s="43">
        <f>SUM(AK295:AK298)+SUMIFS(Aut_Ajustes_Manuais!$G:$G,Aut_Ajustes_Manuais!$I:$I,DRE!AI$4,Aut_Ajustes_Manuais!$F:$F,"Locação de Equipamentos")</f>
        <v>-435.56</v>
      </c>
      <c r="AL294" s="244">
        <v>-4387.8600000000006</v>
      </c>
      <c r="AM294" s="42">
        <v>-1107.6665</v>
      </c>
      <c r="AN294" s="43">
        <f>SUM(AN295:AN298)+SUMIFS(Aut_Ajustes_Manuais!$G:$G,Aut_Ajustes_Manuais!$I:$I,DRE!AL$4,Aut_Ajustes_Manuais!$F:$F,"Locação de Equipamentos")</f>
        <v>-435.56</v>
      </c>
      <c r="AO294" s="244">
        <v>-695.18000000000006</v>
      </c>
      <c r="AP294" s="42">
        <v>-1107.6665</v>
      </c>
      <c r="AQ294" s="43">
        <f>SUM(AQ295:AQ298)+SUMIFS(Aut_Ajustes_Manuais!$G:$G,Aut_Ajustes_Manuais!$I:$I,DRE!AO$4,Aut_Ajustes_Manuais!$F:$F,"Locação de Equipamentos")</f>
        <v>-435.56</v>
      </c>
      <c r="AR294" s="244">
        <f ca="1">SUM(AR295:AR298)</f>
        <v>-6839.33</v>
      </c>
      <c r="AS294" s="42">
        <f ca="1">SUM(AS295:AS298)</f>
        <v>-6645.9990000000007</v>
      </c>
      <c r="AT294" s="43">
        <f t="shared" ref="AT294:AT299" ca="1" si="284">SUMIFS($J294:$AQ294,$J$5:$AQ$5,"&lt;"&amp;MONTH(TODAY()),$J$6:$AQ$6,"REAL 26")</f>
        <v>-2599.5700000000002</v>
      </c>
      <c r="AU294" s="244">
        <f t="shared" ref="AU294:BI294" si="285">SUM(AU295:AU298)</f>
        <v>-16418.950000000004</v>
      </c>
      <c r="AV294" s="42">
        <f t="shared" si="285"/>
        <v>-13291.997999999998</v>
      </c>
      <c r="AW294" s="43">
        <f t="shared" si="285"/>
        <v>-5212.93</v>
      </c>
      <c r="AX294" s="244">
        <f t="shared" si="285"/>
        <v>-3217.0999999999995</v>
      </c>
      <c r="AY294" s="42">
        <f t="shared" si="285"/>
        <v>-3322.9994999999999</v>
      </c>
      <c r="AZ294" s="43">
        <f t="shared" si="285"/>
        <v>-1295.05</v>
      </c>
      <c r="BA294" s="244">
        <f t="shared" si="285"/>
        <v>-3622.2299999999996</v>
      </c>
      <c r="BB294" s="42">
        <f t="shared" si="285"/>
        <v>-3322.9994999999999</v>
      </c>
      <c r="BC294" s="43">
        <f t="shared" si="285"/>
        <v>-1304.52</v>
      </c>
      <c r="BD294" s="244">
        <f t="shared" si="285"/>
        <v>-3378.7799999999997</v>
      </c>
      <c r="BE294" s="42">
        <f t="shared" si="285"/>
        <v>-3322.9994999999999</v>
      </c>
      <c r="BF294" s="43">
        <f t="shared" si="285"/>
        <v>-1306.68</v>
      </c>
      <c r="BG294" s="244">
        <f t="shared" si="285"/>
        <v>-6200.84</v>
      </c>
      <c r="BH294" s="42">
        <f t="shared" si="285"/>
        <v>-3322.9994999999999</v>
      </c>
      <c r="BI294" s="43">
        <f t="shared" si="285"/>
        <v>-1306.68</v>
      </c>
      <c r="BK294" s="448">
        <f t="shared" si="250"/>
        <v>-13291.997999999998</v>
      </c>
      <c r="BL294" s="448">
        <f t="shared" si="251"/>
        <v>0</v>
      </c>
      <c r="BM294" s="448">
        <f t="shared" si="252"/>
        <v>-2159.73</v>
      </c>
      <c r="BN294" s="448">
        <f t="shared" ca="1" si="253"/>
        <v>439.84000000000015</v>
      </c>
    </row>
    <row r="295" spans="1:66" s="29" customFormat="1" hidden="1" outlineLevel="1" x14ac:dyDescent="0.3">
      <c r="A295" s="22" t="s">
        <v>320</v>
      </c>
      <c r="B295" s="23"/>
      <c r="C295" s="24" t="s">
        <v>69</v>
      </c>
      <c r="D295" s="116"/>
      <c r="E295" s="116"/>
      <c r="F295" s="56"/>
      <c r="G295" s="33"/>
      <c r="H295" s="241">
        <v>-949.8</v>
      </c>
      <c r="I295" s="27">
        <v>-1107.6665</v>
      </c>
      <c r="J295" s="28">
        <f>SUMIFS(Aut_BlueMe_Sem_Pedido!$J:$J,Aut_BlueMe_Sem_Pedido!$Q:$Q,DRE!H$4,Aut_BlueMe_Sem_Pedido!$H:$H,DRE!$A295)+SUMIFS(Aut_Ajustes_Manuais!$G:$G,Aut_Ajustes_Manuais!$I:$I,DRE!H$4,Aut_Ajustes_Manuais!$F:$F,"Locações de Equipamentos - Operacionais")</f>
        <v>-353.9</v>
      </c>
      <c r="K295" s="241">
        <v>-949.8</v>
      </c>
      <c r="L295" s="27">
        <v>-1107.6665</v>
      </c>
      <c r="M295" s="27">
        <f>SUMIFS(Aut_BlueMe_Sem_Pedido!$J:$J,Aut_BlueMe_Sem_Pedido!$Q:$Q,DRE!K$4,Aut_BlueMe_Sem_Pedido!$H:$H,DRE!$A295)+SUMIFS(Aut_Ajustes_Manuais!$G:$G,Aut_Ajustes_Manuais!$I:$I,DRE!K$4,Aut_Ajustes_Manuais!$F:$F,"Locações de Equipamentos - Operacionais")</f>
        <v>-285.56</v>
      </c>
      <c r="N295" s="241">
        <v>-949.8</v>
      </c>
      <c r="O295" s="27">
        <v>-1107.6665</v>
      </c>
      <c r="P295" s="27">
        <f>SUMIFS(Aut_BlueMe_Sem_Pedido!$J:$J,Aut_BlueMe_Sem_Pedido!$Q:$Q,DRE!N$4,Aut_BlueMe_Sem_Pedido!$H:$H,DRE!$A295)+SUMIFS(Aut_Ajustes_Manuais!$G:$G,Aut_Ajustes_Manuais!$I:$I,DRE!N$4,Aut_Ajustes_Manuais!$F:$F,"Locações de Equipamentos - Operacionais")</f>
        <v>-285.56</v>
      </c>
      <c r="Q295" s="241">
        <v>-963.56</v>
      </c>
      <c r="R295" s="27">
        <v>-1107.6665</v>
      </c>
      <c r="S295" s="27">
        <f>SUMIFS(Aut_BlueMe_Sem_Pedido!$J:$J,Aut_BlueMe_Sem_Pedido!$Q:$Q,DRE!Q$4,Aut_BlueMe_Sem_Pedido!$H:$H,DRE!$A295)+SUMIFS(Aut_Ajustes_Manuais!$G:$G,Aut_Ajustes_Manuais!$I:$I,DRE!Q$4,Aut_Ajustes_Manuais!$F:$F,"Locações de Equipamentos - Operacionais")</f>
        <v>-296.45999999999998</v>
      </c>
      <c r="T295" s="241">
        <v>-963.56</v>
      </c>
      <c r="U295" s="27">
        <v>-1107.6665</v>
      </c>
      <c r="V295" s="27">
        <f>SUMIFS(Aut_BlueMe_Sem_Pedido!$J:$J,Aut_BlueMe_Sem_Pedido!$Q:$Q,DRE!T$4,Aut_BlueMe_Sem_Pedido!$H:$H,DRE!$A295)+SUMIFS(Aut_Ajustes_Manuais!$G:$G,Aut_Ajustes_Manuais!$I:$I,DRE!T$4,Aut_Ajustes_Manuais!$F:$F,"Locações de Equipamentos - Operacionais")</f>
        <v>-296.45999999999998</v>
      </c>
      <c r="W295" s="241">
        <v>-1305.56</v>
      </c>
      <c r="X295" s="27">
        <v>-1107.6665</v>
      </c>
      <c r="Y295" s="28">
        <f>SUMIFS(Aut_BlueMe_Sem_Pedido!$J:$J,Aut_BlueMe_Sem_Pedido!$Q:$Q,DRE!W$4,Aut_BlueMe_Sem_Pedido!$H:$H,DRE!$A295)+SUMIFS(Aut_Ajustes_Manuais!$G:$G,Aut_Ajustes_Manuais!$I:$I,DRE!W$4,Aut_Ajustes_Manuais!$F:$F,"Locações de Equipamentos - Operacionais")</f>
        <v>-296.45999999999998</v>
      </c>
      <c r="Z295" s="241">
        <v>-978.43000000000006</v>
      </c>
      <c r="AA295" s="27">
        <v>-1107.6665</v>
      </c>
      <c r="AB295" s="28">
        <f>SUMIFS(Aut_BlueMe_Sem_Pedido!$J:$J,Aut_BlueMe_Sem_Pedido!$Q:$Q,DRE!Z$4,Aut_BlueMe_Sem_Pedido!$H:$H,DRE!$A295)+SUMIFS(Aut_Ajustes_Manuais!$G:$G,Aut_Ajustes_Manuais!$I:$I,DRE!Z$4,Aut_Ajustes_Manuais!$F:$F,"Locações de Equipamentos - Operacionais")</f>
        <v>-285.56</v>
      </c>
      <c r="AC295" s="241">
        <v>-978.43000000000006</v>
      </c>
      <c r="AD295" s="27">
        <v>-1107.6665</v>
      </c>
      <c r="AE295" s="28">
        <f>SUMIFS(Aut_BlueMe_Sem_Pedido!$J:$J,Aut_BlueMe_Sem_Pedido!$Q:$Q,DRE!AC$4,Aut_BlueMe_Sem_Pedido!$H:$H,DRE!$A295)+SUMIFS(Aut_Ajustes_Manuais!$G:$G,Aut_Ajustes_Manuais!$I:$I,DRE!AC$4,Aut_Ajustes_Manuais!$F:$F,"Locações de Equipamentos - Operacionais")</f>
        <v>-285.56</v>
      </c>
      <c r="AF295" s="241">
        <v>-978.43000000000006</v>
      </c>
      <c r="AG295" s="27">
        <v>-1107.6665</v>
      </c>
      <c r="AH295" s="28">
        <f>SUMIFS(Aut_BlueMe_Sem_Pedido!$J:$J,Aut_BlueMe_Sem_Pedido!$Q:$Q,DRE!AF$4,Aut_BlueMe_Sem_Pedido!$H:$H,DRE!$A295)+SUMIFS(Aut_Ajustes_Manuais!$G:$G,Aut_Ajustes_Manuais!$I:$I,DRE!AF$4,Aut_Ajustes_Manuais!$F:$F,"Locações de Equipamentos - Operacionais")</f>
        <v>-285.56</v>
      </c>
      <c r="AI295" s="241">
        <v>-978.43000000000006</v>
      </c>
      <c r="AJ295" s="27">
        <v>-1107.6665</v>
      </c>
      <c r="AK295" s="28">
        <f>SUMIFS(Aut_BlueMe_Sem_Pedido!$J:$J,Aut_BlueMe_Sem_Pedido!$Q:$Q,DRE!AI$4,Aut_BlueMe_Sem_Pedido!$H:$H,DRE!$A295)+SUMIFS(Aut_Ajustes_Manuais!$G:$G,Aut_Ajustes_Manuais!$I:$I,DRE!AI$4,Aut_Ajustes_Manuais!$F:$F,"Locações de Equipamentos - Operacionais")</f>
        <v>-285.56</v>
      </c>
      <c r="AL295" s="241">
        <v>-1320.43</v>
      </c>
      <c r="AM295" s="27">
        <v>-1107.6665</v>
      </c>
      <c r="AN295" s="28">
        <f>SUMIFS(Aut_BlueMe_Sem_Pedido!$J:$J,Aut_BlueMe_Sem_Pedido!$Q:$Q,DRE!AL$4,Aut_BlueMe_Sem_Pedido!$H:$H,DRE!$A295)+SUMIFS(Aut_Ajustes_Manuais!$G:$G,Aut_Ajustes_Manuais!$I:$I,DRE!AL$4,Aut_Ajustes_Manuais!$F:$F,"Locações de Equipamentos - Operacionais")</f>
        <v>-285.56</v>
      </c>
      <c r="AO295" s="241">
        <v>-578.43000000000006</v>
      </c>
      <c r="AP295" s="27">
        <v>-1107.6665</v>
      </c>
      <c r="AQ295" s="28">
        <f>SUMIFS(Aut_BlueMe_Sem_Pedido!$J:$J,Aut_BlueMe_Sem_Pedido!$Q:$Q,DRE!AO$4,Aut_BlueMe_Sem_Pedido!$H:$H,DRE!$A295)+SUMIFS(Aut_Ajustes_Manuais!$G:$G,Aut_Ajustes_Manuais!$I:$I,DRE!AO$4,Aut_Ajustes_Manuais!$F:$F,"Locações de Equipamentos - Operacionais")</f>
        <v>-285.56</v>
      </c>
      <c r="AR295" s="241">
        <f ca="1">SUMIFS($H295:$AO295,$H$5:$AO$5,"&lt;"&amp;MONTH(TODAY()),$H$6:$AO$6,"REAL 25")</f>
        <v>-6082.08</v>
      </c>
      <c r="AS295" s="27">
        <f ca="1">SUMIFS($I295:$AP295,$I$5:$AP$5,"&lt;"&amp;MONTH(TODAY()),$I$6:$AP$6,"ORÇADO ")</f>
        <v>-6645.9990000000007</v>
      </c>
      <c r="AT295" s="28">
        <f t="shared" ca="1" si="284"/>
        <v>-1814.4</v>
      </c>
      <c r="AU295" s="241">
        <f t="shared" ref="AU295:AW299" si="286">SUM(H295,K295,N295,Q295,T295,W295,Z295,AC295,AF295,AI295,AL295,AO295)</f>
        <v>-11894.660000000002</v>
      </c>
      <c r="AV295" s="27">
        <f t="shared" si="286"/>
        <v>-13291.997999999998</v>
      </c>
      <c r="AW295" s="28">
        <f t="shared" si="286"/>
        <v>-3527.7599999999998</v>
      </c>
      <c r="AX295" s="241">
        <f t="shared" ref="AX295:AZ299" si="287">SUM(H295,K295,N295)</f>
        <v>-2849.3999999999996</v>
      </c>
      <c r="AY295" s="27">
        <f t="shared" si="287"/>
        <v>-3322.9994999999999</v>
      </c>
      <c r="AZ295" s="28">
        <f t="shared" si="287"/>
        <v>-925.02</v>
      </c>
      <c r="BA295" s="241">
        <f t="shared" ref="BA295:BC299" si="288">SUM(Q295,T295,W295)</f>
        <v>-3232.68</v>
      </c>
      <c r="BB295" s="27">
        <f t="shared" si="288"/>
        <v>-3322.9994999999999</v>
      </c>
      <c r="BC295" s="28">
        <f t="shared" si="288"/>
        <v>-889.37999999999988</v>
      </c>
      <c r="BD295" s="241">
        <f t="shared" ref="BD295:BF299" si="289">SUM(Z295,AC295,AF295)</f>
        <v>-2935.29</v>
      </c>
      <c r="BE295" s="27">
        <f t="shared" si="289"/>
        <v>-3322.9994999999999</v>
      </c>
      <c r="BF295" s="28">
        <f t="shared" si="289"/>
        <v>-856.68000000000006</v>
      </c>
      <c r="BG295" s="241">
        <f t="shared" ref="BG295:BI299" si="290">SUM(AI295,AL295,AO295)</f>
        <v>-2877.29</v>
      </c>
      <c r="BH295" s="27">
        <f t="shared" si="290"/>
        <v>-3322.9994999999999</v>
      </c>
      <c r="BI295" s="28">
        <f t="shared" si="290"/>
        <v>-856.68000000000006</v>
      </c>
      <c r="BK295" s="448">
        <f t="shared" si="250"/>
        <v>-13291.997999999998</v>
      </c>
      <c r="BL295" s="448">
        <f t="shared" si="251"/>
        <v>0</v>
      </c>
      <c r="BM295" s="448">
        <f t="shared" si="252"/>
        <v>-1517.94</v>
      </c>
      <c r="BN295" s="448">
        <f t="shared" ca="1" si="253"/>
        <v>296.46000000000004</v>
      </c>
    </row>
    <row r="296" spans="1:66" s="29" customFormat="1" hidden="1" outlineLevel="1" x14ac:dyDescent="0.3">
      <c r="A296" s="22" t="s">
        <v>321</v>
      </c>
      <c r="B296" s="23"/>
      <c r="C296" s="24" t="s">
        <v>69</v>
      </c>
      <c r="D296" s="116"/>
      <c r="E296" s="116"/>
      <c r="F296" s="56"/>
      <c r="G296" s="33"/>
      <c r="H296" s="241">
        <v>-119.56</v>
      </c>
      <c r="I296" s="27">
        <v>0</v>
      </c>
      <c r="J296" s="28">
        <f>SUMIFS(Aut_BlueMe_Sem_Pedido!$J:$J,Aut_BlueMe_Sem_Pedido!$Q:$Q,DRE!H$4,Aut_BlueMe_Sem_Pedido!$H:$H,DRE!$A296)+SUMIFS(Aut_Ajustes_Manuais!$G:$G,Aut_Ajustes_Manuais!$I:$I,DRE!H$4,Aut_Ajustes_Manuais!$F:$F,"Locação de Equipamentos - Informatica e TI")</f>
        <v>-116.51</v>
      </c>
      <c r="K296" s="241">
        <v>-126.47</v>
      </c>
      <c r="L296" s="27">
        <v>0</v>
      </c>
      <c r="M296" s="28">
        <f>SUMIFS(Aut_BlueMe_Sem_Pedido!$J:$J,Aut_BlueMe_Sem_Pedido!$Q:$Q,DRE!K$4,Aut_BlueMe_Sem_Pedido!$H:$H,DRE!$A296)+SUMIFS(Aut_Ajustes_Manuais!$G:$G,Aut_Ajustes_Manuais!$I:$I,DRE!K$4,Aut_Ajustes_Manuais!$F:$F,"Locação de Equipamentos - Informatica e TI")</f>
        <v>-130.06</v>
      </c>
      <c r="N296" s="241">
        <v>-121.67</v>
      </c>
      <c r="O296" s="27">
        <v>0</v>
      </c>
      <c r="P296" s="28">
        <f>SUMIFS(Aut_BlueMe_Sem_Pedido!$J:$J,Aut_BlueMe_Sem_Pedido!$Q:$Q,DRE!N$4,Aut_BlueMe_Sem_Pedido!$H:$H,DRE!$A296)+SUMIFS(Aut_Ajustes_Manuais!$G:$G,Aut_Ajustes_Manuais!$I:$I,DRE!N$4,Aut_Ajustes_Manuais!$F:$F,"Locação de Equipamentos - Informatica e TI")</f>
        <v>-123.46</v>
      </c>
      <c r="Q296" s="241">
        <v>-136.01</v>
      </c>
      <c r="R296" s="27">
        <v>0</v>
      </c>
      <c r="S296" s="28">
        <f>SUMIFS(Aut_BlueMe_Sem_Pedido!$J:$J,Aut_BlueMe_Sem_Pedido!$Q:$Q,DRE!Q$4,Aut_BlueMe_Sem_Pedido!$H:$H,DRE!$A296)+SUMIFS(Aut_Ajustes_Manuais!$G:$G,Aut_Ajustes_Manuais!$I:$I,DRE!Q$4,Aut_Ajustes_Manuais!$F:$F,"Locação de Equipamentos - Informatica e TI")</f>
        <v>-140.80000000000001</v>
      </c>
      <c r="T296" s="241">
        <v>-126.65</v>
      </c>
      <c r="U296" s="27">
        <v>0</v>
      </c>
      <c r="V296" s="28">
        <f>SUMIFS(Aut_BlueMe_Sem_Pedido!$J:$J,Aut_BlueMe_Sem_Pedido!$Q:$Q,DRE!T$4,Aut_BlueMe_Sem_Pedido!$H:$H,DRE!$A296)+SUMIFS(Aut_Ajustes_Manuais!$G:$G,Aut_Ajustes_Manuais!$I:$I,DRE!T$4,Aut_Ajustes_Manuais!$F:$F,"Locação de Equipamentos - Informatica e TI")</f>
        <v>-130.96</v>
      </c>
      <c r="W296" s="241">
        <v>-126.89</v>
      </c>
      <c r="X296" s="27">
        <v>0</v>
      </c>
      <c r="Y296" s="28">
        <f>SUMIFS(Aut_BlueMe_Sem_Pedido!$J:$J,Aut_BlueMe_Sem_Pedido!$Q:$Q,DRE!W$4,Aut_BlueMe_Sem_Pedido!$H:$H,DRE!$A296)+SUMIFS(Aut_Ajustes_Manuais!$G:$G,Aut_Ajustes_Manuais!$I:$I,DRE!W$4,Aut_Ajustes_Manuais!$F:$F,"Locação de Equipamentos - Informatica e TI")</f>
        <v>-143.38</v>
      </c>
      <c r="Z296" s="241">
        <v>-140.15</v>
      </c>
      <c r="AA296" s="27">
        <v>0</v>
      </c>
      <c r="AB296" s="28">
        <f>SUMIFS(Aut_BlueMe_Sem_Pedido!$J:$J,Aut_BlueMe_Sem_Pedido!$Q:$Q,DRE!Z$4,Aut_BlueMe_Sem_Pedido!$H:$H,DRE!$A296)+SUMIFS(Aut_Ajustes_Manuais!$G:$G,Aut_Ajustes_Manuais!$I:$I,DRE!Z$4,Aut_Ajustes_Manuais!$F:$F,"Locação de Equipamentos - Informatica e TI")</f>
        <v>-150</v>
      </c>
      <c r="AC296" s="241">
        <v>-160.61000000000001</v>
      </c>
      <c r="AD296" s="27">
        <v>0</v>
      </c>
      <c r="AE296" s="28">
        <f>SUMIFS(Aut_BlueMe_Sem_Pedido!$J:$J,Aut_BlueMe_Sem_Pedido!$Q:$Q,DRE!AC$4,Aut_BlueMe_Sem_Pedido!$H:$H,DRE!$A296)+SUMIFS(Aut_Ajustes_Manuais!$G:$G,Aut_Ajustes_Manuais!$I:$I,DRE!AC$4,Aut_Ajustes_Manuais!$F:$F,"Locação de Equipamentos - Informatica e TI")</f>
        <v>-150</v>
      </c>
      <c r="AF296" s="241">
        <v>-142.72999999999999</v>
      </c>
      <c r="AG296" s="27">
        <v>0</v>
      </c>
      <c r="AH296" s="28">
        <f>SUMIFS(Aut_BlueMe_Sem_Pedido!$J:$J,Aut_BlueMe_Sem_Pedido!$Q:$Q,DRE!AF$4,Aut_BlueMe_Sem_Pedido!$H:$H,DRE!$A296)+SUMIFS(Aut_Ajustes_Manuais!$G:$G,Aut_Ajustes_Manuais!$I:$I,DRE!AF$4,Aut_Ajustes_Manuais!$F:$F,"Locação de Equipamentos - Informatica e TI")</f>
        <v>-150</v>
      </c>
      <c r="AI296" s="241">
        <v>-139.37</v>
      </c>
      <c r="AJ296" s="27">
        <v>0</v>
      </c>
      <c r="AK296" s="28">
        <f>SUMIFS(Aut_BlueMe_Sem_Pedido!$J:$J,Aut_BlueMe_Sem_Pedido!$Q:$Q,DRE!AI$4,Aut_BlueMe_Sem_Pedido!$H:$H,DRE!$A296)+SUMIFS(Aut_Ajustes_Manuais!$G:$G,Aut_Ajustes_Manuais!$I:$I,DRE!AI$4,Aut_Ajustes_Manuais!$F:$F,"Locação de Equipamentos - Informatica e TI")</f>
        <v>-150</v>
      </c>
      <c r="AL296" s="241">
        <v>-127.43</v>
      </c>
      <c r="AM296" s="27">
        <v>0</v>
      </c>
      <c r="AN296" s="28">
        <f>SUMIFS(Aut_BlueMe_Sem_Pedido!$J:$J,Aut_BlueMe_Sem_Pedido!$Q:$Q,DRE!AL$4,Aut_BlueMe_Sem_Pedido!$H:$H,DRE!$A296)+SUMIFS(Aut_Ajustes_Manuais!$G:$G,Aut_Ajustes_Manuais!$I:$I,DRE!AL$4,Aut_Ajustes_Manuais!$F:$F,"Locação de Equipamentos - Informatica e TI")</f>
        <v>-150</v>
      </c>
      <c r="AO296" s="241">
        <v>-116.75</v>
      </c>
      <c r="AP296" s="27">
        <v>0</v>
      </c>
      <c r="AQ296" s="28">
        <f>SUMIFS(Aut_BlueMe_Sem_Pedido!$J:$J,Aut_BlueMe_Sem_Pedido!$Q:$Q,DRE!AO$4,Aut_BlueMe_Sem_Pedido!$H:$H,DRE!$A296)+SUMIFS(Aut_Ajustes_Manuais!$G:$G,Aut_Ajustes_Manuais!$I:$I,DRE!AO$4,Aut_Ajustes_Manuais!$F:$F,"Locação de Equipamentos - Informatica e TI")</f>
        <v>-150</v>
      </c>
      <c r="AR296" s="241">
        <f ca="1">SUMIFS($H296:$AO296,$H$5:$AO$5,"&lt;"&amp;MONTH(TODAY()),$H$6:$AO$6,"REAL 25")</f>
        <v>-757.25</v>
      </c>
      <c r="AS296" s="27">
        <f ca="1">SUMIFS($I296:$AP296,$I$5:$AP$5,"&lt;"&amp;MONTH(TODAY()),$I$6:$AP$6,"ORÇADO ")</f>
        <v>0</v>
      </c>
      <c r="AT296" s="28">
        <f t="shared" ca="1" si="284"/>
        <v>-785.17</v>
      </c>
      <c r="AU296" s="241">
        <f t="shared" si="286"/>
        <v>-1584.2900000000002</v>
      </c>
      <c r="AV296" s="27">
        <f t="shared" si="286"/>
        <v>0</v>
      </c>
      <c r="AW296" s="28">
        <f t="shared" si="286"/>
        <v>-1685.17</v>
      </c>
      <c r="AX296" s="241">
        <f t="shared" si="287"/>
        <v>-367.7</v>
      </c>
      <c r="AY296" s="27">
        <f t="shared" si="287"/>
        <v>0</v>
      </c>
      <c r="AZ296" s="28">
        <f t="shared" si="287"/>
        <v>-370.03</v>
      </c>
      <c r="BA296" s="241">
        <f t="shared" si="288"/>
        <v>-389.54999999999995</v>
      </c>
      <c r="BB296" s="27">
        <f t="shared" si="288"/>
        <v>0</v>
      </c>
      <c r="BC296" s="28">
        <f t="shared" si="288"/>
        <v>-415.14</v>
      </c>
      <c r="BD296" s="241">
        <f t="shared" si="289"/>
        <v>-443.49</v>
      </c>
      <c r="BE296" s="27">
        <f t="shared" si="289"/>
        <v>0</v>
      </c>
      <c r="BF296" s="28">
        <f t="shared" si="289"/>
        <v>-450</v>
      </c>
      <c r="BG296" s="241">
        <f t="shared" si="290"/>
        <v>-383.55</v>
      </c>
      <c r="BH296" s="27">
        <f t="shared" si="290"/>
        <v>0</v>
      </c>
      <c r="BI296" s="28">
        <f t="shared" si="290"/>
        <v>-450</v>
      </c>
      <c r="BK296" s="448">
        <f t="shared" si="250"/>
        <v>0</v>
      </c>
      <c r="BL296" s="448">
        <f t="shared" si="251"/>
        <v>0</v>
      </c>
      <c r="BM296" s="448">
        <f t="shared" si="252"/>
        <v>-641.79</v>
      </c>
      <c r="BN296" s="448">
        <f t="shared" ca="1" si="253"/>
        <v>143.38</v>
      </c>
    </row>
    <row r="297" spans="1:66" s="29" customFormat="1" hidden="1" outlineLevel="1" x14ac:dyDescent="0.3">
      <c r="A297" s="22" t="s">
        <v>322</v>
      </c>
      <c r="B297" s="23"/>
      <c r="C297" s="24" t="s">
        <v>69</v>
      </c>
      <c r="D297" s="116"/>
      <c r="E297" s="116"/>
      <c r="F297" s="56"/>
      <c r="G297" s="33"/>
      <c r="H297" s="241">
        <v>0</v>
      </c>
      <c r="I297" s="27">
        <v>0</v>
      </c>
      <c r="J297" s="28">
        <f>SUMIFS(Aut_BlueMe_Sem_Pedido!$J:$J,Aut_BlueMe_Sem_Pedido!$Q:$Q,DRE!H$4,Aut_BlueMe_Sem_Pedido!$H:$H,DRE!$A297)+SUMIFS(Aut_Ajustes_Manuais!$G:$G,Aut_Ajustes_Manuais!$I:$I,DRE!H$4,Aut_Ajustes_Manuais!$F:$F,"Locações de Equipamentos - Comunicação e Marketing")</f>
        <v>0</v>
      </c>
      <c r="K297" s="241">
        <v>0</v>
      </c>
      <c r="L297" s="27">
        <v>0</v>
      </c>
      <c r="M297" s="28">
        <f>SUMIFS(Aut_BlueMe_Sem_Pedido!$J:$J,Aut_BlueMe_Sem_Pedido!$Q:$Q,DRE!K$4,Aut_BlueMe_Sem_Pedido!$H:$H,DRE!$A297)+SUMIFS(Aut_Ajustes_Manuais!$G:$G,Aut_Ajustes_Manuais!$I:$I,DRE!K$4,Aut_Ajustes_Manuais!$F:$F,"Locações de Equipamentos - Comunicação e Marketing")</f>
        <v>0</v>
      </c>
      <c r="N297" s="241">
        <v>0</v>
      </c>
      <c r="O297" s="27">
        <v>0</v>
      </c>
      <c r="P297" s="28">
        <f>SUMIFS(Aut_BlueMe_Sem_Pedido!$J:$J,Aut_BlueMe_Sem_Pedido!$Q:$Q,DRE!N$4,Aut_BlueMe_Sem_Pedido!$H:$H,DRE!$A297)+SUMIFS(Aut_Ajustes_Manuais!$G:$G,Aut_Ajustes_Manuais!$I:$I,DRE!N$4,Aut_Ajustes_Manuais!$F:$F,"Locações de Equipamentos - Comunicação e Marketing")</f>
        <v>0</v>
      </c>
      <c r="Q297" s="241">
        <v>0</v>
      </c>
      <c r="R297" s="27">
        <v>0</v>
      </c>
      <c r="S297" s="28">
        <f>SUMIFS(Aut_BlueMe_Sem_Pedido!$J:$J,Aut_BlueMe_Sem_Pedido!$Q:$Q,DRE!Q$4,Aut_BlueMe_Sem_Pedido!$H:$H,DRE!$A297)+SUMIFS(Aut_Ajustes_Manuais!$G:$G,Aut_Ajustes_Manuais!$I:$I,DRE!Q$4,Aut_Ajustes_Manuais!$F:$F,"Locações de Equipamentos - Comunicação e Marketing")</f>
        <v>0</v>
      </c>
      <c r="T297" s="241">
        <v>0</v>
      </c>
      <c r="U297" s="27">
        <v>0</v>
      </c>
      <c r="V297" s="28">
        <f>SUMIFS(Aut_BlueMe_Sem_Pedido!$J:$J,Aut_BlueMe_Sem_Pedido!$Q:$Q,DRE!T$4,Aut_BlueMe_Sem_Pedido!$H:$H,DRE!$A297)+SUMIFS(Aut_Ajustes_Manuais!$G:$G,Aut_Ajustes_Manuais!$I:$I,DRE!T$4,Aut_Ajustes_Manuais!$F:$F,"Locações de Equipamentos - Comunicação e Marketing")</f>
        <v>0</v>
      </c>
      <c r="W297" s="241">
        <v>0</v>
      </c>
      <c r="X297" s="27">
        <v>0</v>
      </c>
      <c r="Y297" s="28">
        <f>SUMIFS(Aut_BlueMe_Sem_Pedido!$J:$J,Aut_BlueMe_Sem_Pedido!$Q:$Q,DRE!W$4,Aut_BlueMe_Sem_Pedido!$H:$H,DRE!$A297)+SUMIFS(Aut_Ajustes_Manuais!$G:$G,Aut_Ajustes_Manuais!$I:$I,DRE!W$4,Aut_Ajustes_Manuais!$F:$F,"Locações de Equipamentos - Comunicação e Marketing")</f>
        <v>0</v>
      </c>
      <c r="Z297" s="241">
        <v>0</v>
      </c>
      <c r="AA297" s="27">
        <v>0</v>
      </c>
      <c r="AB297" s="28">
        <f>SUMIFS(Aut_BlueMe_Sem_Pedido!$J:$J,Aut_BlueMe_Sem_Pedido!$Q:$Q,DRE!Z$4,Aut_BlueMe_Sem_Pedido!$H:$H,DRE!$A297)+SUMIFS(Aut_Ajustes_Manuais!$G:$G,Aut_Ajustes_Manuais!$I:$I,DRE!Z$4,Aut_Ajustes_Manuais!$F:$F,"Locações de Equipamentos - Comunicação e Marketing")</f>
        <v>0</v>
      </c>
      <c r="AC297" s="241">
        <v>0</v>
      </c>
      <c r="AD297" s="27">
        <v>0</v>
      </c>
      <c r="AE297" s="28">
        <f>SUMIFS(Aut_BlueMe_Sem_Pedido!$J:$J,Aut_BlueMe_Sem_Pedido!$Q:$Q,DRE!AC$4,Aut_BlueMe_Sem_Pedido!$H:$H,DRE!$A297)+SUMIFS(Aut_Ajustes_Manuais!$G:$G,Aut_Ajustes_Manuais!$I:$I,DRE!AC$4,Aut_Ajustes_Manuais!$F:$F,"Locações de Equipamentos - Comunicação e Marketing")</f>
        <v>0</v>
      </c>
      <c r="AF297" s="241">
        <v>0</v>
      </c>
      <c r="AG297" s="27">
        <v>0</v>
      </c>
      <c r="AH297" s="28">
        <f>SUMIFS(Aut_BlueMe_Sem_Pedido!$J:$J,Aut_BlueMe_Sem_Pedido!$Q:$Q,DRE!AF$4,Aut_BlueMe_Sem_Pedido!$H:$H,DRE!$A297)+SUMIFS(Aut_Ajustes_Manuais!$G:$G,Aut_Ajustes_Manuais!$I:$I,DRE!AF$4,Aut_Ajustes_Manuais!$F:$F,"Locações de Equipamentos - Comunicação e Marketing")</f>
        <v>0</v>
      </c>
      <c r="AI297" s="241">
        <v>0</v>
      </c>
      <c r="AJ297" s="27">
        <v>0</v>
      </c>
      <c r="AK297" s="28">
        <f>SUMIFS(Aut_BlueMe_Sem_Pedido!$J:$J,Aut_BlueMe_Sem_Pedido!$Q:$Q,DRE!AI$4,Aut_BlueMe_Sem_Pedido!$H:$H,DRE!$A297)+SUMIFS(Aut_Ajustes_Manuais!$G:$G,Aut_Ajustes_Manuais!$I:$I,DRE!AI$4,Aut_Ajustes_Manuais!$F:$F,"Locações de Equipamentos - Comunicação e Marketing")</f>
        <v>0</v>
      </c>
      <c r="AL297" s="241">
        <v>0</v>
      </c>
      <c r="AM297" s="27">
        <v>0</v>
      </c>
      <c r="AN297" s="28">
        <f>SUMIFS(Aut_BlueMe_Sem_Pedido!$J:$J,Aut_BlueMe_Sem_Pedido!$Q:$Q,DRE!AL$4,Aut_BlueMe_Sem_Pedido!$H:$H,DRE!$A297)+SUMIFS(Aut_Ajustes_Manuais!$G:$G,Aut_Ajustes_Manuais!$I:$I,DRE!AL$4,Aut_Ajustes_Manuais!$F:$F,"Locações de Equipamentos - Comunicação e Marketing")</f>
        <v>0</v>
      </c>
      <c r="AO297" s="241">
        <v>0</v>
      </c>
      <c r="AP297" s="27">
        <v>0</v>
      </c>
      <c r="AQ297" s="28">
        <f>SUMIFS(Aut_BlueMe_Sem_Pedido!$J:$J,Aut_BlueMe_Sem_Pedido!$Q:$Q,DRE!AO$4,Aut_BlueMe_Sem_Pedido!$H:$H,DRE!$A297)+SUMIFS(Aut_Ajustes_Manuais!$G:$G,Aut_Ajustes_Manuais!$I:$I,DRE!AO$4,Aut_Ajustes_Manuais!$F:$F,"Locações de Equipamentos - Comunicação e Marketing")</f>
        <v>0</v>
      </c>
      <c r="AR297" s="241">
        <f ca="1">SUMIFS($H297:$AO297,$H$5:$AO$5,"&lt;"&amp;MONTH(TODAY()),$H$6:$AO$6,"REAL 25")</f>
        <v>0</v>
      </c>
      <c r="AS297" s="27">
        <f ca="1">SUMIFS($I297:$AP297,$I$5:$AP$5,"&lt;"&amp;MONTH(TODAY()),$I$6:$AP$6,"ORÇADO ")</f>
        <v>0</v>
      </c>
      <c r="AT297" s="28">
        <f t="shared" ca="1" si="284"/>
        <v>0</v>
      </c>
      <c r="AU297" s="241">
        <f t="shared" si="286"/>
        <v>0</v>
      </c>
      <c r="AV297" s="27">
        <f t="shared" si="286"/>
        <v>0</v>
      </c>
      <c r="AW297" s="28">
        <f t="shared" si="286"/>
        <v>0</v>
      </c>
      <c r="AX297" s="241">
        <f t="shared" si="287"/>
        <v>0</v>
      </c>
      <c r="AY297" s="27">
        <f t="shared" si="287"/>
        <v>0</v>
      </c>
      <c r="AZ297" s="28">
        <f t="shared" si="287"/>
        <v>0</v>
      </c>
      <c r="BA297" s="241">
        <f t="shared" si="288"/>
        <v>0</v>
      </c>
      <c r="BB297" s="27">
        <f t="shared" si="288"/>
        <v>0</v>
      </c>
      <c r="BC297" s="28">
        <f t="shared" si="288"/>
        <v>0</v>
      </c>
      <c r="BD297" s="241">
        <f t="shared" si="289"/>
        <v>0</v>
      </c>
      <c r="BE297" s="27">
        <f t="shared" si="289"/>
        <v>0</v>
      </c>
      <c r="BF297" s="28">
        <f t="shared" si="289"/>
        <v>0</v>
      </c>
      <c r="BG297" s="241">
        <f t="shared" si="290"/>
        <v>0</v>
      </c>
      <c r="BH297" s="27">
        <f t="shared" si="290"/>
        <v>0</v>
      </c>
      <c r="BI297" s="28">
        <f t="shared" si="290"/>
        <v>0</v>
      </c>
      <c r="BK297" s="448">
        <f t="shared" si="250"/>
        <v>0</v>
      </c>
      <c r="BL297" s="448">
        <f t="shared" si="251"/>
        <v>0</v>
      </c>
      <c r="BM297" s="448">
        <f t="shared" si="252"/>
        <v>0</v>
      </c>
      <c r="BN297" s="448">
        <f t="shared" ca="1" si="253"/>
        <v>0</v>
      </c>
    </row>
    <row r="298" spans="1:66" s="29" customFormat="1" hidden="1" outlineLevel="1" x14ac:dyDescent="0.3">
      <c r="A298" s="22" t="s">
        <v>323</v>
      </c>
      <c r="B298" s="23"/>
      <c r="C298" s="24" t="s">
        <v>69</v>
      </c>
      <c r="D298" s="116"/>
      <c r="E298" s="115"/>
      <c r="F298" s="56"/>
      <c r="G298" s="33"/>
      <c r="H298" s="241">
        <v>0</v>
      </c>
      <c r="I298" s="27">
        <v>0</v>
      </c>
      <c r="J298" s="28">
        <f>SUMIFS(Aut_BlueMe_Sem_Pedido!$J:$J,Aut_BlueMe_Sem_Pedido!$Q:$Q,DRE!H$4,Aut_BlueMe_Sem_Pedido!$H:$H,DRE!$A298)+SUMIFS(Aut_Ajustes_Manuais!$G:$G,Aut_Ajustes_Manuais!$I:$I,DRE!H$4,Aut_Ajustes_Manuais!$F:$F,"Locação de Utensílios")</f>
        <v>0</v>
      </c>
      <c r="K298" s="241">
        <v>0</v>
      </c>
      <c r="L298" s="27">
        <v>0</v>
      </c>
      <c r="M298" s="28">
        <f>SUMIFS(Aut_BlueMe_Sem_Pedido!$J:$J,Aut_BlueMe_Sem_Pedido!$Q:$Q,DRE!K$4,Aut_BlueMe_Sem_Pedido!$H:$H,DRE!$A298)+SUMIFS(Aut_Ajustes_Manuais!$G:$G,Aut_Ajustes_Manuais!$I:$I,DRE!K$4,Aut_Ajustes_Manuais!$F:$F,"Locação de Utensílios")</f>
        <v>0</v>
      </c>
      <c r="N298" s="241">
        <v>0</v>
      </c>
      <c r="O298" s="27">
        <v>0</v>
      </c>
      <c r="P298" s="28">
        <f>SUMIFS(Aut_BlueMe_Sem_Pedido!$J:$J,Aut_BlueMe_Sem_Pedido!$Q:$Q,DRE!N$4,Aut_BlueMe_Sem_Pedido!$H:$H,DRE!$A298)+SUMIFS(Aut_Ajustes_Manuais!$G:$G,Aut_Ajustes_Manuais!$I:$I,DRE!N$4,Aut_Ajustes_Manuais!$F:$F,"Locação de Utensílios")</f>
        <v>0</v>
      </c>
      <c r="Q298" s="241">
        <v>0</v>
      </c>
      <c r="R298" s="27">
        <v>0</v>
      </c>
      <c r="S298" s="28">
        <f>SUMIFS(Aut_BlueMe_Sem_Pedido!$J:$J,Aut_BlueMe_Sem_Pedido!$Q:$Q,DRE!Q$4,Aut_BlueMe_Sem_Pedido!$H:$H,DRE!$A298)+SUMIFS(Aut_Ajustes_Manuais!$G:$G,Aut_Ajustes_Manuais!$I:$I,DRE!Q$4,Aut_Ajustes_Manuais!$F:$F,"Locação de Utensílios")</f>
        <v>0</v>
      </c>
      <c r="T298" s="241">
        <v>0</v>
      </c>
      <c r="U298" s="27">
        <v>0</v>
      </c>
      <c r="V298" s="28">
        <f>SUMIFS(Aut_BlueMe_Sem_Pedido!$J:$J,Aut_BlueMe_Sem_Pedido!$Q:$Q,DRE!T$4,Aut_BlueMe_Sem_Pedido!$H:$H,DRE!$A298)+SUMIFS(Aut_Ajustes_Manuais!$G:$G,Aut_Ajustes_Manuais!$I:$I,DRE!T$4,Aut_Ajustes_Manuais!$F:$F,"Locação de Utensílios")</f>
        <v>0</v>
      </c>
      <c r="W298" s="241">
        <v>0</v>
      </c>
      <c r="X298" s="27">
        <v>0</v>
      </c>
      <c r="Y298" s="28">
        <f>SUMIFS(Aut_BlueMe_Sem_Pedido!$J:$J,Aut_BlueMe_Sem_Pedido!$Q:$Q,DRE!W$4,Aut_BlueMe_Sem_Pedido!$H:$H,DRE!$A298)+SUMIFS(Aut_Ajustes_Manuais!$G:$G,Aut_Ajustes_Manuais!$I:$I,DRE!W$4,Aut_Ajustes_Manuais!$F:$F,"Locação de Utensílios")</f>
        <v>0</v>
      </c>
      <c r="Z298" s="241">
        <v>0</v>
      </c>
      <c r="AA298" s="27">
        <v>0</v>
      </c>
      <c r="AB298" s="28">
        <f>SUMIFS(Aut_BlueMe_Sem_Pedido!$J:$J,Aut_BlueMe_Sem_Pedido!$Q:$Q,DRE!Z$4,Aut_BlueMe_Sem_Pedido!$H:$H,DRE!$A298)+SUMIFS(Aut_Ajustes_Manuais!$G:$G,Aut_Ajustes_Manuais!$I:$I,DRE!Z$4,Aut_Ajustes_Manuais!$F:$F,"Locação de Utensílios")</f>
        <v>0</v>
      </c>
      <c r="AC298" s="241">
        <v>0</v>
      </c>
      <c r="AD298" s="27">
        <v>0</v>
      </c>
      <c r="AE298" s="28">
        <f>SUMIFS(Aut_BlueMe_Sem_Pedido!$J:$J,Aut_BlueMe_Sem_Pedido!$Q:$Q,DRE!AC$4,Aut_BlueMe_Sem_Pedido!$H:$H,DRE!$A298)+SUMIFS(Aut_Ajustes_Manuais!$G:$G,Aut_Ajustes_Manuais!$I:$I,DRE!AC$4,Aut_Ajustes_Manuais!$F:$F,"Locação de Utensílios")</f>
        <v>0</v>
      </c>
      <c r="AF298" s="241">
        <v>0</v>
      </c>
      <c r="AG298" s="27">
        <v>0</v>
      </c>
      <c r="AH298" s="28">
        <f>SUMIFS(Aut_BlueMe_Sem_Pedido!$J:$J,Aut_BlueMe_Sem_Pedido!$Q:$Q,DRE!AF$4,Aut_BlueMe_Sem_Pedido!$H:$H,DRE!$A298)+SUMIFS(Aut_Ajustes_Manuais!$G:$G,Aut_Ajustes_Manuais!$I:$I,DRE!AF$4,Aut_Ajustes_Manuais!$F:$F,"Locação de Utensílios")</f>
        <v>0</v>
      </c>
      <c r="AI298" s="241">
        <v>0</v>
      </c>
      <c r="AJ298" s="27">
        <v>0</v>
      </c>
      <c r="AK298" s="28">
        <f>SUMIFS(Aut_BlueMe_Sem_Pedido!$J:$J,Aut_BlueMe_Sem_Pedido!$Q:$Q,DRE!AI$4,Aut_BlueMe_Sem_Pedido!$H:$H,DRE!$A298)+SUMIFS(Aut_Ajustes_Manuais!$G:$G,Aut_Ajustes_Manuais!$I:$I,DRE!AI$4,Aut_Ajustes_Manuais!$F:$F,"Locação de Utensílios")</f>
        <v>0</v>
      </c>
      <c r="AL298" s="241">
        <v>-2940</v>
      </c>
      <c r="AM298" s="27">
        <v>0</v>
      </c>
      <c r="AN298" s="28">
        <f>SUMIFS(Aut_BlueMe_Sem_Pedido!$J:$J,Aut_BlueMe_Sem_Pedido!$Q:$Q,DRE!AL$4,Aut_BlueMe_Sem_Pedido!$H:$H,DRE!$A298)+SUMIFS(Aut_Ajustes_Manuais!$G:$G,Aut_Ajustes_Manuais!$I:$I,DRE!AL$4,Aut_Ajustes_Manuais!$F:$F,"Locação de Utensílios")</f>
        <v>0</v>
      </c>
      <c r="AO298" s="241">
        <v>0</v>
      </c>
      <c r="AP298" s="27">
        <v>0</v>
      </c>
      <c r="AQ298" s="28">
        <f>SUMIFS(Aut_BlueMe_Sem_Pedido!$J:$J,Aut_BlueMe_Sem_Pedido!$Q:$Q,DRE!AO$4,Aut_BlueMe_Sem_Pedido!$H:$H,DRE!$A298)+SUMIFS(Aut_Ajustes_Manuais!$G:$G,Aut_Ajustes_Manuais!$I:$I,DRE!AO$4,Aut_Ajustes_Manuais!$F:$F,"Locação de Utensílios")</f>
        <v>0</v>
      </c>
      <c r="AR298" s="241">
        <f ca="1">SUMIFS($H298:$AO298,$H$5:$AO$5,"&lt;"&amp;MONTH(TODAY()),$H$6:$AO$6,"REAL 25")</f>
        <v>0</v>
      </c>
      <c r="AS298" s="27">
        <f ca="1">SUMIFS($I298:$AP298,$I$5:$AP$5,"&lt;"&amp;MONTH(TODAY()),$I$6:$AP$6,"ORÇADO ")</f>
        <v>0</v>
      </c>
      <c r="AT298" s="28">
        <f t="shared" ca="1" si="284"/>
        <v>0</v>
      </c>
      <c r="AU298" s="241">
        <f t="shared" si="286"/>
        <v>-2940</v>
      </c>
      <c r="AV298" s="27">
        <f t="shared" si="286"/>
        <v>0</v>
      </c>
      <c r="AW298" s="28">
        <f t="shared" si="286"/>
        <v>0</v>
      </c>
      <c r="AX298" s="241">
        <f t="shared" si="287"/>
        <v>0</v>
      </c>
      <c r="AY298" s="27">
        <f t="shared" si="287"/>
        <v>0</v>
      </c>
      <c r="AZ298" s="28">
        <f t="shared" si="287"/>
        <v>0</v>
      </c>
      <c r="BA298" s="241">
        <f t="shared" si="288"/>
        <v>0</v>
      </c>
      <c r="BB298" s="27">
        <f t="shared" si="288"/>
        <v>0</v>
      </c>
      <c r="BC298" s="28">
        <f t="shared" si="288"/>
        <v>0</v>
      </c>
      <c r="BD298" s="241">
        <f t="shared" si="289"/>
        <v>0</v>
      </c>
      <c r="BE298" s="27">
        <f t="shared" si="289"/>
        <v>0</v>
      </c>
      <c r="BF298" s="28">
        <f t="shared" si="289"/>
        <v>0</v>
      </c>
      <c r="BG298" s="241">
        <f t="shared" si="290"/>
        <v>-2940</v>
      </c>
      <c r="BH298" s="27">
        <f t="shared" si="290"/>
        <v>0</v>
      </c>
      <c r="BI298" s="28">
        <f t="shared" si="290"/>
        <v>0</v>
      </c>
      <c r="BK298" s="448">
        <f t="shared" si="250"/>
        <v>0</v>
      </c>
      <c r="BL298" s="448">
        <f t="shared" si="251"/>
        <v>0</v>
      </c>
      <c r="BM298" s="448">
        <f t="shared" si="252"/>
        <v>0</v>
      </c>
      <c r="BN298" s="448">
        <f t="shared" ca="1" si="253"/>
        <v>0</v>
      </c>
    </row>
    <row r="299" spans="1:66" s="29" customFormat="1" hidden="1" outlineLevel="1" x14ac:dyDescent="0.3">
      <c r="A299" s="22"/>
      <c r="B299" s="23"/>
      <c r="C299" s="24"/>
      <c r="D299" s="116"/>
      <c r="E299" s="116"/>
      <c r="F299" s="56"/>
      <c r="G299" s="33"/>
      <c r="H299" s="241"/>
      <c r="I299" s="27">
        <v>0</v>
      </c>
      <c r="J299" s="28"/>
      <c r="K299" s="241"/>
      <c r="L299" s="27">
        <v>0</v>
      </c>
      <c r="M299" s="28"/>
      <c r="N299" s="241"/>
      <c r="O299" s="27">
        <v>0</v>
      </c>
      <c r="P299" s="28"/>
      <c r="Q299" s="241"/>
      <c r="R299" s="27">
        <v>0</v>
      </c>
      <c r="S299" s="28"/>
      <c r="T299" s="241"/>
      <c r="U299" s="27">
        <v>0</v>
      </c>
      <c r="V299" s="28"/>
      <c r="W299" s="241"/>
      <c r="X299" s="27">
        <v>0</v>
      </c>
      <c r="Y299" s="28"/>
      <c r="Z299" s="241"/>
      <c r="AA299" s="27">
        <v>0</v>
      </c>
      <c r="AB299" s="28"/>
      <c r="AC299" s="241"/>
      <c r="AD299" s="27">
        <v>0</v>
      </c>
      <c r="AE299" s="28"/>
      <c r="AF299" s="241"/>
      <c r="AG299" s="27">
        <v>0</v>
      </c>
      <c r="AH299" s="28"/>
      <c r="AI299" s="241"/>
      <c r="AJ299" s="27">
        <v>0</v>
      </c>
      <c r="AK299" s="28"/>
      <c r="AL299" s="241"/>
      <c r="AM299" s="27">
        <v>0</v>
      </c>
      <c r="AN299" s="28"/>
      <c r="AO299" s="241"/>
      <c r="AP299" s="27">
        <v>0</v>
      </c>
      <c r="AQ299" s="28"/>
      <c r="AR299" s="241">
        <f ca="1">SUMIFS($H299:$AO299,$H$5:$AO$5,"&lt;"&amp;MONTH(TODAY()),$H$6:$AO$6,"REAL 25")</f>
        <v>0</v>
      </c>
      <c r="AS299" s="27">
        <f ca="1">SUMIFS($I299:$AP299,$I$5:$AP$5,"&lt;"&amp;MONTH(TODAY()),$I$6:$AP$6,"ORÇADO ")</f>
        <v>0</v>
      </c>
      <c r="AT299" s="28">
        <f t="shared" ca="1" si="284"/>
        <v>0</v>
      </c>
      <c r="AU299" s="241">
        <f t="shared" si="286"/>
        <v>0</v>
      </c>
      <c r="AV299" s="27">
        <f t="shared" si="286"/>
        <v>0</v>
      </c>
      <c r="AW299" s="28">
        <f t="shared" si="286"/>
        <v>0</v>
      </c>
      <c r="AX299" s="241">
        <f t="shared" si="287"/>
        <v>0</v>
      </c>
      <c r="AY299" s="27">
        <f t="shared" si="287"/>
        <v>0</v>
      </c>
      <c r="AZ299" s="28">
        <f t="shared" si="287"/>
        <v>0</v>
      </c>
      <c r="BA299" s="241">
        <f t="shared" si="288"/>
        <v>0</v>
      </c>
      <c r="BB299" s="27">
        <f t="shared" si="288"/>
        <v>0</v>
      </c>
      <c r="BC299" s="28">
        <f t="shared" si="288"/>
        <v>0</v>
      </c>
      <c r="BD299" s="241">
        <f t="shared" si="289"/>
        <v>0</v>
      </c>
      <c r="BE299" s="27">
        <f t="shared" si="289"/>
        <v>0</v>
      </c>
      <c r="BF299" s="28">
        <f t="shared" si="289"/>
        <v>0</v>
      </c>
      <c r="BG299" s="241">
        <f t="shared" si="290"/>
        <v>0</v>
      </c>
      <c r="BH299" s="27">
        <f t="shared" si="290"/>
        <v>0</v>
      </c>
      <c r="BI299" s="28">
        <f t="shared" si="290"/>
        <v>0</v>
      </c>
      <c r="BK299" s="448">
        <f t="shared" si="250"/>
        <v>0</v>
      </c>
      <c r="BL299" s="448">
        <f t="shared" si="251"/>
        <v>0</v>
      </c>
      <c r="BM299" s="448">
        <f t="shared" si="252"/>
        <v>0</v>
      </c>
      <c r="BN299" s="448">
        <f t="shared" ca="1" si="253"/>
        <v>0</v>
      </c>
    </row>
    <row r="300" spans="1:66" collapsed="1" x14ac:dyDescent="0.3">
      <c r="A300" s="71" t="s">
        <v>46</v>
      </c>
      <c r="B300" s="59"/>
      <c r="C300" s="60"/>
      <c r="D300" s="61"/>
      <c r="E300" s="62"/>
      <c r="F300" s="63"/>
      <c r="G300" s="47"/>
      <c r="H300" s="245">
        <v>-3.140993498687438E-3</v>
      </c>
      <c r="I300" s="50">
        <v>-2.957736211985649E-3</v>
      </c>
      <c r="J300" s="51">
        <f>IFERROR(J294/J8,0)+SUMIFS(Aut_Ajustes_Manuais!$G:$G,Aut_Ajustes_Manuais!$I:$I,DRE!H$4,Aut_Ajustes_Manuais!$F:$F,"% sobre Receita Bruta")</f>
        <v>-1.2174754743692437E-3</v>
      </c>
      <c r="K300" s="245">
        <v>-3.4833970706283539E-3</v>
      </c>
      <c r="L300" s="50"/>
      <c r="M300" s="51">
        <f>IFERROR(M294/M8,0)+SUMIFS(Aut_Ajustes_Manuais!$G:$G,Aut_Ajustes_Manuais!$I:$I,DRE!K$4,Aut_Ajustes_Manuais!$F:$F,"% sobre Receita Bruta")</f>
        <v>-1.3110678708058415E-3</v>
      </c>
      <c r="N300" s="245">
        <v>-3.4581357786356748E-3</v>
      </c>
      <c r="O300" s="50">
        <v>-3.8858248323272201E-3</v>
      </c>
      <c r="P300" s="51">
        <f>IFERROR(P294/P8,0)+SUMIFS(Aut_Ajustes_Manuais!$G:$G,Aut_Ajustes_Manuais!$I:$I,DRE!N$4,Aut_Ajustes_Manuais!$F:$F,"% sobre Receita Bruta")</f>
        <v>-1.2123082812641761E-3</v>
      </c>
      <c r="Q300" s="245">
        <v>-3.33595267575066E-3</v>
      </c>
      <c r="R300" s="50">
        <v>-3.7339071177464019E-3</v>
      </c>
      <c r="S300" s="51">
        <f>IFERROR(S294/S8,0)+SUMIFS(Aut_Ajustes_Manuais!$G:$G,Aut_Ajustes_Manuais!$I:$I,DRE!Q$4,Aut_Ajustes_Manuais!$F:$F,"% sobre Receita Bruta")</f>
        <v>-1.1833550554193972E-3</v>
      </c>
      <c r="T300" s="245">
        <v>-2.5004923759650069E-3</v>
      </c>
      <c r="U300" s="50">
        <v>-2.2887661186706178E-3</v>
      </c>
      <c r="V300" s="51">
        <f>IFERROR(V294/V8,0)+SUMIFS(Aut_Ajustes_Manuais!$G:$G,Aut_Ajustes_Manuais!$I:$I,DRE!T$4,Aut_Ajustes_Manuais!$F:$F,"% sobre Receita Bruta")</f>
        <v>-1.1464789240146966E-3</v>
      </c>
      <c r="W300" s="245">
        <v>-4.3159712146458784E-3</v>
      </c>
      <c r="X300" s="50">
        <v>-2.5672297486165709E-3</v>
      </c>
      <c r="Y300" s="51">
        <f>IFERROR(Y294/Y8,0)+SUMIFS(Aut_Ajustes_Manuais!$G:$G,Aut_Ajustes_Manuais!$I:$I,DRE!W$4,Aut_Ajustes_Manuais!$F:$F,"% sobre Receita Bruta")</f>
        <v>-1.2234867849018212E-3</v>
      </c>
      <c r="Z300" s="245">
        <v>-3.1408114754151299E-3</v>
      </c>
      <c r="AA300" s="50">
        <v>-2.5918066165234151E-3</v>
      </c>
      <c r="AB300" s="51">
        <f>IFERROR(AB294/AB8,0)+SUMIFS(Aut_Ajustes_Manuais!$G:$G,Aut_Ajustes_Manuais!$I:$I,DRE!Z$4,Aut_Ajustes_Manuais!$F:$F,"% sobre Receita Bruta")</f>
        <v>-5.5456823610988389E-3</v>
      </c>
      <c r="AC300" s="245">
        <v>-2.7412566489985772E-3</v>
      </c>
      <c r="AD300" s="50">
        <v>-2.4015783783135078E-3</v>
      </c>
      <c r="AE300" s="51">
        <f>IFERROR(AE294/AE8,0)+SUMIFS(Aut_Ajustes_Manuais!$G:$G,Aut_Ajustes_Manuais!$I:$I,DRE!AC$4,Aut_Ajustes_Manuais!$F:$F,"% sobre Receita Bruta")</f>
        <v>0</v>
      </c>
      <c r="AF300" s="245">
        <v>-3.1802723944322942E-3</v>
      </c>
      <c r="AG300" s="50">
        <v>-2.756137590724832E-3</v>
      </c>
      <c r="AH300" s="51">
        <f>IFERROR(AH294/AH8,0)+SUMIFS(Aut_Ajustes_Manuais!$G:$G,Aut_Ajustes_Manuais!$I:$I,DRE!AF$4,Aut_Ajustes_Manuais!$F:$F,"% sobre Receita Bruta")</f>
        <v>0</v>
      </c>
      <c r="AI300" s="245">
        <v>-3.080079080162407E-3</v>
      </c>
      <c r="AJ300" s="50">
        <v>-2.7388609724487332E-3</v>
      </c>
      <c r="AK300" s="51">
        <f>IFERROR(AK294/AK8,0)+SUMIFS(Aut_Ajustes_Manuais!$G:$G,Aut_Ajustes_Manuais!$I:$I,DRE!AI$4,Aut_Ajustes_Manuais!$F:$F,"% sobre Receita Bruta")</f>
        <v>0</v>
      </c>
      <c r="AL300" s="245">
        <v>-1.0215410013963529E-2</v>
      </c>
      <c r="AM300" s="50">
        <v>-2.360084329741983E-3</v>
      </c>
      <c r="AN300" s="51">
        <f>IFERROR(AN294/AN8,0)+SUMIFS(Aut_Ajustes_Manuais!$G:$G,Aut_Ajustes_Manuais!$I:$I,DRE!AL$4,Aut_Ajustes_Manuais!$F:$F,"% sobre Receita Bruta")</f>
        <v>0</v>
      </c>
      <c r="AO300" s="245">
        <v>-1.4475901283007391E-3</v>
      </c>
      <c r="AP300" s="50">
        <v>-2.6075011770244831E-3</v>
      </c>
      <c r="AQ300" s="51">
        <f>IFERROR(AQ294/AQ8,0)+SUMIFS(Aut_Ajustes_Manuais!$G:$G,Aut_Ajustes_Manuais!$I:$I,DRE!AO$4,Aut_Ajustes_Manuais!$F:$F,"% sobre Receita Bruta")</f>
        <v>0</v>
      </c>
      <c r="AR300" s="245">
        <f t="shared" ref="AR300:BI300" ca="1" si="291">IFERROR(AR294/AR8,0)</f>
        <v>-3.325277319195968E-3</v>
      </c>
      <c r="AS300" s="50">
        <f t="shared" ca="1" si="291"/>
        <v>-2.9843627885213185E-3</v>
      </c>
      <c r="AT300" s="51">
        <f t="shared" ca="1" si="291"/>
        <v>-1.2132801966854628E-3</v>
      </c>
      <c r="AU300" s="245">
        <f t="shared" si="291"/>
        <v>-3.6866315140113293E-3</v>
      </c>
      <c r="AV300" s="50">
        <f t="shared" si="291"/>
        <v>-2.7599734009180446E-3</v>
      </c>
      <c r="AW300" s="51">
        <f t="shared" si="291"/>
        <v>-2.3469646824480377E-3</v>
      </c>
      <c r="AX300" s="245">
        <f t="shared" si="291"/>
        <v>-3.3537151983896989E-3</v>
      </c>
      <c r="AY300" s="50">
        <f t="shared" si="291"/>
        <v>-3.2743160585811519E-3</v>
      </c>
      <c r="AZ300" s="51">
        <f t="shared" si="291"/>
        <v>-1.2443075248710898E-3</v>
      </c>
      <c r="BA300" s="245">
        <f t="shared" si="291"/>
        <v>-3.3004214494492317E-3</v>
      </c>
      <c r="BB300" s="50">
        <f t="shared" si="291"/>
        <v>-2.7415849090206726E-3</v>
      </c>
      <c r="BC300" s="51">
        <f t="shared" si="291"/>
        <v>-1.1839716851681226E-3</v>
      </c>
      <c r="BD300" s="245">
        <f t="shared" si="291"/>
        <v>-3.0055054500104355E-3</v>
      </c>
      <c r="BE300" s="50">
        <f t="shared" si="291"/>
        <v>-2.5749953079246737E-3</v>
      </c>
      <c r="BF300" s="51">
        <f t="shared" si="291"/>
        <v>-1.6637047083296518E-2</v>
      </c>
      <c r="BG300" s="245">
        <f t="shared" si="291"/>
        <v>-4.8722741354692159E-3</v>
      </c>
      <c r="BH300" s="50">
        <f t="shared" si="291"/>
        <v>-2.5589891971497802E-3</v>
      </c>
      <c r="BI300" s="51">
        <f t="shared" si="291"/>
        <v>0</v>
      </c>
      <c r="BK300" s="448">
        <f t="shared" si="250"/>
        <v>-3.0889433094123411E-2</v>
      </c>
      <c r="BL300" s="448">
        <f t="shared" si="251"/>
        <v>-2.8129459693205367E-2</v>
      </c>
      <c r="BM300" s="448">
        <f t="shared" si="252"/>
        <v>-6.0706856058733551E-3</v>
      </c>
      <c r="BN300" s="448">
        <f t="shared" ca="1" si="253"/>
        <v>-4.8574054091878923E-3</v>
      </c>
    </row>
    <row r="301" spans="1:66" x14ac:dyDescent="0.3">
      <c r="A301" s="18"/>
      <c r="E301" s="16"/>
      <c r="F301" s="17"/>
      <c r="G301" s="47"/>
      <c r="H301" s="256"/>
      <c r="I301" s="232"/>
      <c r="J301" s="85"/>
      <c r="K301" s="256"/>
      <c r="L301" s="232"/>
      <c r="M301" s="85"/>
      <c r="N301" s="256"/>
      <c r="O301" s="232"/>
      <c r="P301" s="85"/>
      <c r="Q301" s="256"/>
      <c r="R301" s="232"/>
      <c r="S301" s="85"/>
      <c r="T301" s="256"/>
      <c r="U301" s="232"/>
      <c r="V301" s="85"/>
      <c r="W301" s="256"/>
      <c r="X301" s="232"/>
      <c r="Y301" s="85"/>
      <c r="Z301" s="256"/>
      <c r="AA301" s="232"/>
      <c r="AB301" s="85"/>
      <c r="AC301" s="256"/>
      <c r="AD301" s="232"/>
      <c r="AE301" s="85"/>
      <c r="AF301" s="256"/>
      <c r="AG301" s="232"/>
      <c r="AH301" s="85"/>
      <c r="AI301" s="256"/>
      <c r="AJ301" s="232"/>
      <c r="AK301" s="85"/>
      <c r="AL301" s="256"/>
      <c r="AM301" s="232"/>
      <c r="AN301" s="85"/>
      <c r="AO301" s="256"/>
      <c r="AP301" s="232"/>
      <c r="AQ301" s="85"/>
      <c r="AR301" s="256"/>
      <c r="AS301" s="232"/>
      <c r="AT301" s="85"/>
      <c r="AU301" s="256"/>
      <c r="AV301" s="232"/>
      <c r="AW301" s="85"/>
      <c r="AX301" s="256"/>
      <c r="AY301" s="232"/>
      <c r="AZ301" s="85"/>
      <c r="BA301" s="256"/>
      <c r="BB301" s="232"/>
      <c r="BC301" s="85"/>
      <c r="BD301" s="256"/>
      <c r="BE301" s="232"/>
      <c r="BF301" s="85"/>
      <c r="BG301" s="256"/>
      <c r="BH301" s="232"/>
      <c r="BI301" s="85"/>
      <c r="BK301" s="448">
        <f t="shared" si="250"/>
        <v>0</v>
      </c>
      <c r="BL301" s="448">
        <f t="shared" si="251"/>
        <v>0</v>
      </c>
      <c r="BM301" s="448">
        <f t="shared" si="252"/>
        <v>0</v>
      </c>
      <c r="BN301" s="448">
        <f t="shared" si="253"/>
        <v>0</v>
      </c>
    </row>
    <row r="302" spans="1:66" x14ac:dyDescent="0.3">
      <c r="A302" s="39" t="s">
        <v>324</v>
      </c>
      <c r="C302" s="40" t="s">
        <v>37</v>
      </c>
      <c r="D302" s="40" t="s">
        <v>38</v>
      </c>
      <c r="E302" s="40" t="s">
        <v>203</v>
      </c>
      <c r="F302" s="41"/>
      <c r="G302" s="47"/>
      <c r="H302" s="244">
        <v>-17022.639500000001</v>
      </c>
      <c r="I302" s="42">
        <v>-18724.903449999991</v>
      </c>
      <c r="J302" s="43">
        <f>SUM(J303:J305)+SUMIFS(Aut_Ajustes_Manuais!$G:$G,Aut_Ajustes_Manuais!$I:$I,DRE!H$4,Aut_Ajustes_Manuais!$F:$F,"Sistema de Franquias")</f>
        <v>-19319.075000000001</v>
      </c>
      <c r="K302" s="244">
        <v>-15448.569</v>
      </c>
      <c r="L302" s="42">
        <v>-17765.854350000001</v>
      </c>
      <c r="M302" s="43">
        <f>SUM(M303:M305)+SUMIFS(Aut_Ajustes_Manuais!$G:$G,Aut_Ajustes_Manuais!$I:$I,DRE!K$4,Aut_Ajustes_Manuais!$F:$F,"Sistema de Franquias")</f>
        <v>-15850.438000000002</v>
      </c>
      <c r="N302" s="244">
        <v>-15492.0175</v>
      </c>
      <c r="O302" s="42">
        <v>-14252.656099999989</v>
      </c>
      <c r="P302" s="43">
        <f>SUM(P303:P305)+SUMIFS(Aut_Ajustes_Manuais!$G:$G,Aut_Ajustes_Manuais!$I:$I,DRE!N$4,Aut_Ajustes_Manuais!$F:$F,"Sistema de Franquias")</f>
        <v>-16869.471499999996</v>
      </c>
      <c r="Q302" s="244">
        <v>-16480.5995</v>
      </c>
      <c r="R302" s="42">
        <v>-14832.53955</v>
      </c>
      <c r="S302" s="43">
        <f>SUM(S303:S305)+SUMIFS(Aut_Ajustes_Manuais!$G:$G,Aut_Ajustes_Manuais!$I:$I,DRE!Q$4,Aut_Ajustes_Manuais!$F:$F,"Sistema de Franquias")</f>
        <v>-18475.435500000003</v>
      </c>
      <c r="T302" s="244">
        <v>-21799.906500000001</v>
      </c>
      <c r="U302" s="42">
        <v>-24197.896215000001</v>
      </c>
      <c r="V302" s="43">
        <f>SUM(V303:V305)+SUMIFS(Aut_Ajustes_Manuais!$G:$G,Aut_Ajustes_Manuais!$I:$I,DRE!T$4,Aut_Ajustes_Manuais!$F:$F,"Sistema de Franquias")</f>
        <v>-18640.552</v>
      </c>
      <c r="W302" s="244">
        <v>-16594.7585</v>
      </c>
      <c r="X302" s="42">
        <v>-21573.18605</v>
      </c>
      <c r="Y302" s="43">
        <f>SUM(Y303:Y305)+SUMIFS(Aut_Ajustes_Manuais!$G:$G,Aut_Ajustes_Manuais!$I:$I,DRE!W$4,Aut_Ajustes_Manuais!$F:$F,"Sistema de Franquias")</f>
        <v>-17974.857</v>
      </c>
      <c r="Z302" s="244">
        <v>-17807.181499999999</v>
      </c>
      <c r="AA302" s="42">
        <v>-21368.6178</v>
      </c>
      <c r="AB302" s="43">
        <f>SUM(AB303:AB305)+SUMIFS(Aut_Ajustes_Manuais!$G:$G,Aut_Ajustes_Manuais!$I:$I,DRE!Z$4,Aut_Ajustes_Manuais!$F:$F,"Sistema de Franquias")</f>
        <v>-3927.0189999999998</v>
      </c>
      <c r="AC302" s="244">
        <v>-20775.873</v>
      </c>
      <c r="AD302" s="42">
        <v>-23061.21903</v>
      </c>
      <c r="AE302" s="43">
        <f>SUM(AE303:AE305)+SUMIFS(Aut_Ajustes_Manuais!$G:$G,Aut_Ajustes_Manuais!$I:$I,DRE!AC$4,Aut_Ajustes_Manuais!$F:$F,"Sistema de Franquias")</f>
        <v>0</v>
      </c>
      <c r="AF302" s="244">
        <v>-17626.792000000001</v>
      </c>
      <c r="AG302" s="42">
        <v>-20094.54287999999</v>
      </c>
      <c r="AH302" s="43">
        <f>SUM(AH303:AH305)+SUMIFS(Aut_Ajustes_Manuais!$G:$G,Aut_Ajustes_Manuais!$I:$I,DRE!AF$4,Aut_Ajustes_Manuais!$F:$F,"Sistema de Franquias")</f>
        <v>0</v>
      </c>
      <c r="AI302" s="244">
        <v>-18145.637999999999</v>
      </c>
      <c r="AJ302" s="42">
        <v>-20221.2984</v>
      </c>
      <c r="AK302" s="43">
        <f>SUM(AK303:AK305)+SUMIFS(Aut_Ajustes_Manuais!$G:$G,Aut_Ajustes_Manuais!$I:$I,DRE!AI$4,Aut_Ajustes_Manuais!$F:$F,"Sistema de Franquias")</f>
        <v>0</v>
      </c>
      <c r="AL302" s="244">
        <v>-21476.670999999998</v>
      </c>
      <c r="AM302" s="42">
        <v>-23466.672060000001</v>
      </c>
      <c r="AN302" s="43">
        <f>SUM(AN303:AN305)+SUMIFS(Aut_Ajustes_Manuais!$G:$G,Aut_Ajustes_Manuais!$I:$I,DRE!AL$4,Aut_Ajustes_Manuais!$F:$F,"Sistema de Franquias")</f>
        <v>0</v>
      </c>
      <c r="AO302" s="244">
        <v>-24011.631000000001</v>
      </c>
      <c r="AP302" s="42">
        <v>-21240</v>
      </c>
      <c r="AQ302" s="43">
        <f>SUM(AQ303:AQ305)+SUMIFS(Aut_Ajustes_Manuais!$G:$G,Aut_Ajustes_Manuais!$I:$I,DRE!AO$4,Aut_Ajustes_Manuais!$F:$F,"Sistema de Franquias")</f>
        <v>0</v>
      </c>
      <c r="AR302" s="244">
        <f t="shared" ref="AR302:BI302" ca="1" si="292">SUM(AR303:AR305)</f>
        <v>-102838.4905</v>
      </c>
      <c r="AS302" s="42">
        <f t="shared" ca="1" si="292"/>
        <v>-111347.03571499999</v>
      </c>
      <c r="AT302" s="43">
        <f t="shared" ca="1" si="292"/>
        <v>-107129.82900000001</v>
      </c>
      <c r="AU302" s="244">
        <f t="shared" si="292"/>
        <v>-222682.277</v>
      </c>
      <c r="AV302" s="42">
        <f t="shared" si="292"/>
        <v>-240799.385885</v>
      </c>
      <c r="AW302" s="43">
        <f t="shared" si="292"/>
        <v>-111056.84800000001</v>
      </c>
      <c r="AX302" s="244">
        <f t="shared" si="292"/>
        <v>-47963.226000000002</v>
      </c>
      <c r="AY302" s="42">
        <f t="shared" si="292"/>
        <v>-50743.413899999985</v>
      </c>
      <c r="AZ302" s="43">
        <f t="shared" si="292"/>
        <v>-52038.984500000006</v>
      </c>
      <c r="BA302" s="244">
        <f t="shared" si="292"/>
        <v>-54875.264500000005</v>
      </c>
      <c r="BB302" s="42">
        <f t="shared" si="292"/>
        <v>-60603.621815000006</v>
      </c>
      <c r="BC302" s="43">
        <f t="shared" si="292"/>
        <v>-55090.844500000007</v>
      </c>
      <c r="BD302" s="244">
        <f t="shared" si="292"/>
        <v>-56209.8465</v>
      </c>
      <c r="BE302" s="42">
        <f t="shared" si="292"/>
        <v>-64524.379709999994</v>
      </c>
      <c r="BF302" s="43">
        <f t="shared" si="292"/>
        <v>-3927.0189999999998</v>
      </c>
      <c r="BG302" s="244">
        <f t="shared" si="292"/>
        <v>-63633.939999999995</v>
      </c>
      <c r="BH302" s="42">
        <f t="shared" si="292"/>
        <v>-64927.970459999997</v>
      </c>
      <c r="BI302" s="43">
        <f t="shared" si="292"/>
        <v>0</v>
      </c>
      <c r="BK302" s="448">
        <f t="shared" si="250"/>
        <v>-240799.385885</v>
      </c>
      <c r="BL302" s="448">
        <f t="shared" si="251"/>
        <v>0</v>
      </c>
      <c r="BM302" s="448">
        <f t="shared" si="252"/>
        <v>-89154.972000000009</v>
      </c>
      <c r="BN302" s="448">
        <f t="shared" ca="1" si="253"/>
        <v>17974.857000000004</v>
      </c>
    </row>
    <row r="303" spans="1:66" s="29" customFormat="1" hidden="1" outlineLevel="1" x14ac:dyDescent="0.3">
      <c r="A303" s="22" t="s">
        <v>325</v>
      </c>
      <c r="B303" s="23"/>
      <c r="C303" s="24" t="s">
        <v>62</v>
      </c>
      <c r="D303" s="25"/>
      <c r="E303" s="124"/>
      <c r="F303" s="56"/>
      <c r="G303" s="33"/>
      <c r="H303" s="241">
        <v>0</v>
      </c>
      <c r="I303" s="27">
        <v>0</v>
      </c>
      <c r="J303" s="28">
        <f>SUMIFS(Aut_BlueMe_Sem_Pedido!$J:$J,Aut_BlueMe_Sem_Pedido!$Q:$Q,DRE!H$4,Aut_BlueMe_Sem_Pedido!$H:$H,DRE!$A303)+SUMIFS(Aut_Ajustes_Manuais!$G:$G,Aut_Ajustes_Manuais!$I:$I,DRE!H$4,Aut_Ajustes_Manuais!$F:$F,"Royalties")</f>
        <v>0</v>
      </c>
      <c r="K303" s="241">
        <v>0</v>
      </c>
      <c r="L303" s="27">
        <v>0</v>
      </c>
      <c r="M303" s="28">
        <f>SUMIFS(Aut_BlueMe_Sem_Pedido!$J:$J,Aut_BlueMe_Sem_Pedido!$Q:$Q,DRE!K$4,Aut_BlueMe_Sem_Pedido!$H:$H,DRE!$A303)+SUMIFS(Aut_Ajustes_Manuais!$G:$G,Aut_Ajustes_Manuais!$I:$I,DRE!K$4,Aut_Ajustes_Manuais!$F:$F,"Royalties")</f>
        <v>0</v>
      </c>
      <c r="N303" s="241">
        <v>0</v>
      </c>
      <c r="O303" s="27">
        <v>0</v>
      </c>
      <c r="P303" s="28">
        <f>SUMIFS(Aut_BlueMe_Sem_Pedido!$J:$J,Aut_BlueMe_Sem_Pedido!$Q:$Q,DRE!N$4,Aut_BlueMe_Sem_Pedido!$H:$H,DRE!$A303)+SUMIFS(Aut_Ajustes_Manuais!$G:$G,Aut_Ajustes_Manuais!$I:$I,DRE!N$4,Aut_Ajustes_Manuais!$F:$F,"Royalties")</f>
        <v>0</v>
      </c>
      <c r="Q303" s="241">
        <v>0</v>
      </c>
      <c r="R303" s="27">
        <v>0</v>
      </c>
      <c r="S303" s="28">
        <f>SUMIFS(Aut_BlueMe_Sem_Pedido!$J:$J,Aut_BlueMe_Sem_Pedido!$Q:$Q,DRE!Q$4,Aut_BlueMe_Sem_Pedido!$H:$H,DRE!$A303)+SUMIFS(Aut_Ajustes_Manuais!$G:$G,Aut_Ajustes_Manuais!$I:$I,DRE!Q$4,Aut_Ajustes_Manuais!$F:$F,"Royalties")</f>
        <v>0</v>
      </c>
      <c r="T303" s="241">
        <v>0</v>
      </c>
      <c r="U303" s="27">
        <v>0</v>
      </c>
      <c r="V303" s="28">
        <f>SUMIFS(Aut_BlueMe_Sem_Pedido!$J:$J,Aut_BlueMe_Sem_Pedido!$Q:$Q,DRE!T$4,Aut_BlueMe_Sem_Pedido!$H:$H,DRE!$A303)+SUMIFS(Aut_Ajustes_Manuais!$G:$G,Aut_Ajustes_Manuais!$I:$I,DRE!T$4,Aut_Ajustes_Manuais!$F:$F,"Royalties")</f>
        <v>0</v>
      </c>
      <c r="W303" s="241">
        <v>0</v>
      </c>
      <c r="X303" s="27">
        <v>0</v>
      </c>
      <c r="Y303" s="28">
        <f>SUMIFS(Aut_BlueMe_Sem_Pedido!$J:$J,Aut_BlueMe_Sem_Pedido!$Q:$Q,DRE!W$4,Aut_BlueMe_Sem_Pedido!$H:$H,DRE!$A303)+SUMIFS(Aut_Ajustes_Manuais!$G:$G,Aut_Ajustes_Manuais!$I:$I,DRE!W$4,Aut_Ajustes_Manuais!$F:$F,"Royalties")</f>
        <v>0</v>
      </c>
      <c r="Z303" s="241">
        <v>0</v>
      </c>
      <c r="AA303" s="27">
        <v>0</v>
      </c>
      <c r="AB303" s="28">
        <f>SUMIFS(Aut_BlueMe_Sem_Pedido!$J:$J,Aut_BlueMe_Sem_Pedido!$Q:$Q,DRE!Z$4,Aut_BlueMe_Sem_Pedido!$H:$H,DRE!$A303)+SUMIFS(Aut_Ajustes_Manuais!$G:$G,Aut_Ajustes_Manuais!$I:$I,DRE!Z$4,Aut_Ajustes_Manuais!$F:$F,"Royalties")</f>
        <v>0</v>
      </c>
      <c r="AC303" s="241">
        <v>0</v>
      </c>
      <c r="AD303" s="27">
        <v>0</v>
      </c>
      <c r="AE303" s="28">
        <f>SUMIFS(Aut_BlueMe_Sem_Pedido!$J:$J,Aut_BlueMe_Sem_Pedido!$Q:$Q,DRE!AC$4,Aut_BlueMe_Sem_Pedido!$H:$H,DRE!$A303)+SUMIFS(Aut_Ajustes_Manuais!$G:$G,Aut_Ajustes_Manuais!$I:$I,DRE!AC$4,Aut_Ajustes_Manuais!$F:$F,"Royalties")</f>
        <v>0</v>
      </c>
      <c r="AF303" s="241">
        <v>0</v>
      </c>
      <c r="AG303" s="27">
        <v>0</v>
      </c>
      <c r="AH303" s="28">
        <f>SUMIFS(Aut_BlueMe_Sem_Pedido!$J:$J,Aut_BlueMe_Sem_Pedido!$Q:$Q,DRE!AF$4,Aut_BlueMe_Sem_Pedido!$H:$H,DRE!$A303)+SUMIFS(Aut_Ajustes_Manuais!$G:$G,Aut_Ajustes_Manuais!$I:$I,DRE!AF$4,Aut_Ajustes_Manuais!$F:$F,"Royalties")</f>
        <v>0</v>
      </c>
      <c r="AI303" s="241">
        <v>0</v>
      </c>
      <c r="AJ303" s="27">
        <v>0</v>
      </c>
      <c r="AK303" s="28">
        <f>SUMIFS(Aut_BlueMe_Sem_Pedido!$J:$J,Aut_BlueMe_Sem_Pedido!$Q:$Q,DRE!AI$4,Aut_BlueMe_Sem_Pedido!$H:$H,DRE!$A303)+SUMIFS(Aut_Ajustes_Manuais!$G:$G,Aut_Ajustes_Manuais!$I:$I,DRE!AI$4,Aut_Ajustes_Manuais!$F:$F,"Royalties")</f>
        <v>0</v>
      </c>
      <c r="AL303" s="241">
        <v>0</v>
      </c>
      <c r="AM303" s="27">
        <v>0</v>
      </c>
      <c r="AN303" s="28">
        <f>SUMIFS(Aut_BlueMe_Sem_Pedido!$J:$J,Aut_BlueMe_Sem_Pedido!$Q:$Q,DRE!AL$4,Aut_BlueMe_Sem_Pedido!$H:$H,DRE!$A303)+SUMIFS(Aut_Ajustes_Manuais!$G:$G,Aut_Ajustes_Manuais!$I:$I,DRE!AL$4,Aut_Ajustes_Manuais!$F:$F,"Royalties")</f>
        <v>0</v>
      </c>
      <c r="AO303" s="241">
        <v>0</v>
      </c>
      <c r="AP303" s="27">
        <v>0</v>
      </c>
      <c r="AQ303" s="28">
        <f>SUMIFS(Aut_BlueMe_Sem_Pedido!$J:$J,Aut_BlueMe_Sem_Pedido!$Q:$Q,DRE!AO$4,Aut_BlueMe_Sem_Pedido!$H:$H,DRE!$A303)+SUMIFS(Aut_Ajustes_Manuais!$G:$G,Aut_Ajustes_Manuais!$I:$I,DRE!AO$4,Aut_Ajustes_Manuais!$F:$F,"Royalties")</f>
        <v>0</v>
      </c>
      <c r="AR303" s="241">
        <f ca="1">SUMIFS($H303:$AO303,$H$5:$AO$5,"&lt;"&amp;MONTH(TODAY()),$H$6:$AO$6,"REAL 25")</f>
        <v>0</v>
      </c>
      <c r="AS303" s="27">
        <f ca="1">SUMIFS($I303:$AP303,$I$5:$AP$5,"&lt;"&amp;MONTH(TODAY()),$I$6:$AP$6,"ORÇADO ")</f>
        <v>0</v>
      </c>
      <c r="AT303" s="28">
        <f ca="1">SUMIFS($J303:$AQ303,$J$5:$AQ$5,"&lt;"&amp;MONTH(TODAY()),$J$6:$AQ$6,"REAL 26")</f>
        <v>0</v>
      </c>
      <c r="AU303" s="241">
        <f t="shared" ref="AU303:AW305" si="293">SUM(H303,K303,N303,Q303,T303,W303,Z303,AC303,AF303,AI303,AL303,AO303)</f>
        <v>0</v>
      </c>
      <c r="AV303" s="27">
        <f t="shared" si="293"/>
        <v>0</v>
      </c>
      <c r="AW303" s="28">
        <f t="shared" si="293"/>
        <v>0</v>
      </c>
      <c r="AX303" s="241">
        <f t="shared" ref="AX303:AZ305" si="294">SUM(H303,K303,N303)</f>
        <v>0</v>
      </c>
      <c r="AY303" s="27">
        <f t="shared" si="294"/>
        <v>0</v>
      </c>
      <c r="AZ303" s="28">
        <f t="shared" si="294"/>
        <v>0</v>
      </c>
      <c r="BA303" s="241">
        <f t="shared" ref="BA303:BC305" si="295">SUM(Q303,T303,W303)</f>
        <v>0</v>
      </c>
      <c r="BB303" s="27">
        <f t="shared" si="295"/>
        <v>0</v>
      </c>
      <c r="BC303" s="28">
        <f t="shared" si="295"/>
        <v>0</v>
      </c>
      <c r="BD303" s="241">
        <f t="shared" ref="BD303:BF305" si="296">SUM(Z303,AC303,AF303)</f>
        <v>0</v>
      </c>
      <c r="BE303" s="27">
        <f t="shared" si="296"/>
        <v>0</v>
      </c>
      <c r="BF303" s="28">
        <f t="shared" si="296"/>
        <v>0</v>
      </c>
      <c r="BG303" s="241">
        <f t="shared" ref="BG303:BI305" si="297">SUM(AI303,AL303,AO303)</f>
        <v>0</v>
      </c>
      <c r="BH303" s="27">
        <f t="shared" si="297"/>
        <v>0</v>
      </c>
      <c r="BI303" s="28">
        <f t="shared" si="297"/>
        <v>0</v>
      </c>
      <c r="BK303" s="448">
        <f t="shared" si="250"/>
        <v>0</v>
      </c>
      <c r="BL303" s="448">
        <f t="shared" si="251"/>
        <v>0</v>
      </c>
      <c r="BM303" s="448">
        <f t="shared" si="252"/>
        <v>0</v>
      </c>
      <c r="BN303" s="448">
        <f t="shared" ca="1" si="253"/>
        <v>0</v>
      </c>
    </row>
    <row r="304" spans="1:66" s="29" customFormat="1" hidden="1" outlineLevel="1" x14ac:dyDescent="0.3">
      <c r="A304" s="22" t="s">
        <v>326</v>
      </c>
      <c r="B304" s="23"/>
      <c r="C304" s="24" t="s">
        <v>62</v>
      </c>
      <c r="D304" s="25"/>
      <c r="E304" s="124"/>
      <c r="F304" s="56"/>
      <c r="G304" s="33"/>
      <c r="H304" s="241">
        <v>0</v>
      </c>
      <c r="I304" s="27">
        <v>0</v>
      </c>
      <c r="J304" s="28">
        <f>SUMIFS(Aut_BlueMe_Sem_Pedido!$J:$J,Aut_BlueMe_Sem_Pedido!$Q:$Q,DRE!H$4,Aut_BlueMe_Sem_Pedido!$H:$H,DRE!$A304)+SUMIFS(Aut_Ajustes_Manuais!$G:$G,Aut_Ajustes_Manuais!$I:$I,DRE!H$4,Aut_Ajustes_Manuais!$F:$F,"Fundo de Propaganda")</f>
        <v>0</v>
      </c>
      <c r="K304" s="241">
        <v>0</v>
      </c>
      <c r="L304" s="27">
        <v>0</v>
      </c>
      <c r="M304" s="28">
        <f>SUMIFS(Aut_BlueMe_Sem_Pedido!$J:$J,Aut_BlueMe_Sem_Pedido!$Q:$Q,DRE!K$4,Aut_BlueMe_Sem_Pedido!$H:$H,DRE!$A304)+SUMIFS(Aut_Ajustes_Manuais!$G:$G,Aut_Ajustes_Manuais!$I:$I,DRE!K$4,Aut_Ajustes_Manuais!$F:$F,"Fundo de Propaganda")</f>
        <v>0</v>
      </c>
      <c r="N304" s="241">
        <v>0</v>
      </c>
      <c r="O304" s="27">
        <v>0</v>
      </c>
      <c r="P304" s="28">
        <f>SUMIFS(Aut_BlueMe_Sem_Pedido!$J:$J,Aut_BlueMe_Sem_Pedido!$Q:$Q,DRE!N$4,Aut_BlueMe_Sem_Pedido!$H:$H,DRE!$A304)+SUMIFS(Aut_Ajustes_Manuais!$G:$G,Aut_Ajustes_Manuais!$I:$I,DRE!N$4,Aut_Ajustes_Manuais!$F:$F,"Fundo de Propaganda")</f>
        <v>0</v>
      </c>
      <c r="Q304" s="241">
        <v>0</v>
      </c>
      <c r="R304" s="27">
        <v>0</v>
      </c>
      <c r="S304" s="28">
        <f>SUMIFS(Aut_BlueMe_Sem_Pedido!$J:$J,Aut_BlueMe_Sem_Pedido!$Q:$Q,DRE!Q$4,Aut_BlueMe_Sem_Pedido!$H:$H,DRE!$A304)+SUMIFS(Aut_Ajustes_Manuais!$G:$G,Aut_Ajustes_Manuais!$I:$I,DRE!Q$4,Aut_Ajustes_Manuais!$F:$F,"Fundo de Propaganda")</f>
        <v>0</v>
      </c>
      <c r="T304" s="241">
        <v>0</v>
      </c>
      <c r="U304" s="27">
        <v>0</v>
      </c>
      <c r="V304" s="28">
        <f>SUMIFS(Aut_BlueMe_Sem_Pedido!$J:$J,Aut_BlueMe_Sem_Pedido!$Q:$Q,DRE!T$4,Aut_BlueMe_Sem_Pedido!$H:$H,DRE!$A304)+SUMIFS(Aut_Ajustes_Manuais!$G:$G,Aut_Ajustes_Manuais!$I:$I,DRE!T$4,Aut_Ajustes_Manuais!$F:$F,"Fundo de Propaganda")</f>
        <v>0</v>
      </c>
      <c r="W304" s="241">
        <v>0</v>
      </c>
      <c r="X304" s="27">
        <v>0</v>
      </c>
      <c r="Y304" s="28">
        <f>SUMIFS(Aut_BlueMe_Sem_Pedido!$J:$J,Aut_BlueMe_Sem_Pedido!$Q:$Q,DRE!W$4,Aut_BlueMe_Sem_Pedido!$H:$H,DRE!$A304)+SUMIFS(Aut_Ajustes_Manuais!$G:$G,Aut_Ajustes_Manuais!$I:$I,DRE!W$4,Aut_Ajustes_Manuais!$F:$F,"Fundo de Propaganda")</f>
        <v>0</v>
      </c>
      <c r="Z304" s="241">
        <v>0</v>
      </c>
      <c r="AA304" s="27">
        <v>0</v>
      </c>
      <c r="AB304" s="28">
        <f>SUMIFS(Aut_BlueMe_Sem_Pedido!$J:$J,Aut_BlueMe_Sem_Pedido!$Q:$Q,DRE!Z$4,Aut_BlueMe_Sem_Pedido!$H:$H,DRE!$A304)+SUMIFS(Aut_Ajustes_Manuais!$G:$G,Aut_Ajustes_Manuais!$I:$I,DRE!Z$4,Aut_Ajustes_Manuais!$F:$F,"Fundo de Propaganda")</f>
        <v>0</v>
      </c>
      <c r="AC304" s="241">
        <v>0</v>
      </c>
      <c r="AD304" s="27">
        <v>0</v>
      </c>
      <c r="AE304" s="28">
        <f>SUMIFS(Aut_BlueMe_Sem_Pedido!$J:$J,Aut_BlueMe_Sem_Pedido!$Q:$Q,DRE!AC$4,Aut_BlueMe_Sem_Pedido!$H:$H,DRE!$A304)+SUMIFS(Aut_Ajustes_Manuais!$G:$G,Aut_Ajustes_Manuais!$I:$I,DRE!AC$4,Aut_Ajustes_Manuais!$F:$F,"Fundo de Propaganda")</f>
        <v>0</v>
      </c>
      <c r="AF304" s="241">
        <v>0</v>
      </c>
      <c r="AG304" s="27">
        <v>0</v>
      </c>
      <c r="AH304" s="28">
        <f>SUMIFS(Aut_BlueMe_Sem_Pedido!$J:$J,Aut_BlueMe_Sem_Pedido!$Q:$Q,DRE!AF$4,Aut_BlueMe_Sem_Pedido!$H:$H,DRE!$A304)+SUMIFS(Aut_Ajustes_Manuais!$G:$G,Aut_Ajustes_Manuais!$I:$I,DRE!AF$4,Aut_Ajustes_Manuais!$F:$F,"Fundo de Propaganda")</f>
        <v>0</v>
      </c>
      <c r="AI304" s="241">
        <v>0</v>
      </c>
      <c r="AJ304" s="27">
        <v>0</v>
      </c>
      <c r="AK304" s="28">
        <f>SUMIFS(Aut_BlueMe_Sem_Pedido!$J:$J,Aut_BlueMe_Sem_Pedido!$Q:$Q,DRE!AI$4,Aut_BlueMe_Sem_Pedido!$H:$H,DRE!$A304)+SUMIFS(Aut_Ajustes_Manuais!$G:$G,Aut_Ajustes_Manuais!$I:$I,DRE!AI$4,Aut_Ajustes_Manuais!$F:$F,"Fundo de Propaganda")</f>
        <v>0</v>
      </c>
      <c r="AL304" s="241">
        <v>0</v>
      </c>
      <c r="AM304" s="27">
        <v>0</v>
      </c>
      <c r="AN304" s="28">
        <f>SUMIFS(Aut_BlueMe_Sem_Pedido!$J:$J,Aut_BlueMe_Sem_Pedido!$Q:$Q,DRE!AL$4,Aut_BlueMe_Sem_Pedido!$H:$H,DRE!$A304)+SUMIFS(Aut_Ajustes_Manuais!$G:$G,Aut_Ajustes_Manuais!$I:$I,DRE!AL$4,Aut_Ajustes_Manuais!$F:$F,"Fundo de Propaganda")</f>
        <v>0</v>
      </c>
      <c r="AO304" s="241">
        <v>0</v>
      </c>
      <c r="AP304" s="27">
        <v>0</v>
      </c>
      <c r="AQ304" s="28">
        <f>SUMIFS(Aut_BlueMe_Sem_Pedido!$J:$J,Aut_BlueMe_Sem_Pedido!$Q:$Q,DRE!AO$4,Aut_BlueMe_Sem_Pedido!$H:$H,DRE!$A304)+SUMIFS(Aut_Ajustes_Manuais!$G:$G,Aut_Ajustes_Manuais!$I:$I,DRE!AO$4,Aut_Ajustes_Manuais!$F:$F,"Fundo de Propaganda")</f>
        <v>0</v>
      </c>
      <c r="AR304" s="241">
        <f ca="1">SUMIFS($H304:$AO304,$H$5:$AO$5,"&lt;"&amp;MONTH(TODAY()),$H$6:$AO$6,"REAL 25")</f>
        <v>0</v>
      </c>
      <c r="AS304" s="27">
        <f ca="1">SUMIFS($I304:$AP304,$I$5:$AP$5,"&lt;"&amp;MONTH(TODAY()),$I$6:$AP$6,"ORÇADO ")</f>
        <v>0</v>
      </c>
      <c r="AT304" s="28">
        <f ca="1">SUMIFS($J304:$AQ304,$J$5:$AQ$5,"&lt;"&amp;MONTH(TODAY()),$J$6:$AQ$6,"REAL 26")</f>
        <v>0</v>
      </c>
      <c r="AU304" s="241">
        <f t="shared" si="293"/>
        <v>0</v>
      </c>
      <c r="AV304" s="27">
        <f t="shared" si="293"/>
        <v>0</v>
      </c>
      <c r="AW304" s="28">
        <f t="shared" si="293"/>
        <v>0</v>
      </c>
      <c r="AX304" s="241">
        <f t="shared" si="294"/>
        <v>0</v>
      </c>
      <c r="AY304" s="27">
        <f t="shared" si="294"/>
        <v>0</v>
      </c>
      <c r="AZ304" s="28">
        <f t="shared" si="294"/>
        <v>0</v>
      </c>
      <c r="BA304" s="241">
        <f t="shared" si="295"/>
        <v>0</v>
      </c>
      <c r="BB304" s="27">
        <f t="shared" si="295"/>
        <v>0</v>
      </c>
      <c r="BC304" s="28">
        <f t="shared" si="295"/>
        <v>0</v>
      </c>
      <c r="BD304" s="241">
        <f t="shared" si="296"/>
        <v>0</v>
      </c>
      <c r="BE304" s="27">
        <f t="shared" si="296"/>
        <v>0</v>
      </c>
      <c r="BF304" s="28">
        <f t="shared" si="296"/>
        <v>0</v>
      </c>
      <c r="BG304" s="241">
        <f t="shared" si="297"/>
        <v>0</v>
      </c>
      <c r="BH304" s="27">
        <f t="shared" si="297"/>
        <v>0</v>
      </c>
      <c r="BI304" s="28">
        <f t="shared" si="297"/>
        <v>0</v>
      </c>
      <c r="BK304" s="448">
        <f t="shared" si="250"/>
        <v>0</v>
      </c>
      <c r="BL304" s="448">
        <f t="shared" si="251"/>
        <v>0</v>
      </c>
      <c r="BM304" s="448">
        <f t="shared" si="252"/>
        <v>0</v>
      </c>
      <c r="BN304" s="448">
        <f t="shared" ca="1" si="253"/>
        <v>0</v>
      </c>
    </row>
    <row r="305" spans="1:66" s="29" customFormat="1" hidden="1" outlineLevel="1" x14ac:dyDescent="0.3">
      <c r="A305" s="22" t="s">
        <v>327</v>
      </c>
      <c r="B305" s="23"/>
      <c r="C305" s="24" t="s">
        <v>328</v>
      </c>
      <c r="D305" s="25">
        <v>-20000</v>
      </c>
      <c r="E305" s="124">
        <v>0</v>
      </c>
      <c r="F305" s="56"/>
      <c r="G305" s="33"/>
      <c r="H305" s="241">
        <v>-17022.639500000001</v>
      </c>
      <c r="I305" s="27">
        <v>-18724.903449999991</v>
      </c>
      <c r="J305" s="28">
        <f>-5%*J8+SUMIFS(Aut_Ajustes_Manuais!$G:$G,Aut_Ajustes_Manuais!$I:$I,DRE!H$4,Aut_Ajustes_Manuais!$F:$F,"Fee Gestão FB")</f>
        <v>-19319.075000000001</v>
      </c>
      <c r="K305" s="241">
        <v>-15448.569</v>
      </c>
      <c r="L305" s="27">
        <v>-17765.854350000001</v>
      </c>
      <c r="M305" s="28">
        <f>-5%*M8+SUMIFS(Aut_Ajustes_Manuais!$G:$G,Aut_Ajustes_Manuais!$I:$I,DRE!K$4,Aut_Ajustes_Manuais!$F:$F,"Fee Gestão FB")</f>
        <v>-15850.438000000002</v>
      </c>
      <c r="N305" s="241">
        <v>-15492.0175</v>
      </c>
      <c r="O305" s="27">
        <v>-14252.656099999989</v>
      </c>
      <c r="P305" s="28">
        <f>-5%*P8+SUMIFS(Aut_Ajustes_Manuais!$G:$G,Aut_Ajustes_Manuais!$I:$I,DRE!N$4,Aut_Ajustes_Manuais!$F:$F,"Fee Gestão FB")</f>
        <v>-16869.471499999996</v>
      </c>
      <c r="Q305" s="241">
        <v>-16480.5995</v>
      </c>
      <c r="R305" s="27">
        <v>-14832.53955</v>
      </c>
      <c r="S305" s="28">
        <f>-5%*S8+SUMIFS(Aut_Ajustes_Manuais!$G:$G,Aut_Ajustes_Manuais!$I:$I,DRE!Q$4,Aut_Ajustes_Manuais!$F:$F,"Fee Gestão FB")</f>
        <v>-18475.435500000003</v>
      </c>
      <c r="T305" s="241">
        <v>-21799.906500000001</v>
      </c>
      <c r="U305" s="27">
        <v>-24197.896215000001</v>
      </c>
      <c r="V305" s="28">
        <f>-5%*V8+SUMIFS(Aut_Ajustes_Manuais!$G:$G,Aut_Ajustes_Manuais!$I:$I,DRE!T$4,Aut_Ajustes_Manuais!$F:$F,"Fee Gestão FB")</f>
        <v>-18640.552</v>
      </c>
      <c r="W305" s="241">
        <v>-16594.7585</v>
      </c>
      <c r="X305" s="27">
        <v>-21573.18605</v>
      </c>
      <c r="Y305" s="28">
        <f>-5%*Y8+SUMIFS(Aut_Ajustes_Manuais!$G:$G,Aut_Ajustes_Manuais!$I:$I,DRE!W$4,Aut_Ajustes_Manuais!$F:$F,"Fee Gestão FB")</f>
        <v>-17974.857</v>
      </c>
      <c r="Z305" s="241">
        <v>-17807.181499999999</v>
      </c>
      <c r="AA305" s="27">
        <v>-21368.6178</v>
      </c>
      <c r="AB305" s="28">
        <f>-5%*AB8+SUMIFS(Aut_Ajustes_Manuais!$G:$G,Aut_Ajustes_Manuais!$I:$I,DRE!Z$4,Aut_Ajustes_Manuais!$F:$F,"Fee Gestão FB")</f>
        <v>-3927.0189999999998</v>
      </c>
      <c r="AC305" s="241">
        <v>-20775.873</v>
      </c>
      <c r="AD305" s="27">
        <v>-23061.21903</v>
      </c>
      <c r="AE305" s="28">
        <f>-5%*AE8+SUMIFS(Aut_Ajustes_Manuais!$G:$G,Aut_Ajustes_Manuais!$I:$I,DRE!AC$4,Aut_Ajustes_Manuais!$F:$F,"Fee Gestão FB")</f>
        <v>0</v>
      </c>
      <c r="AF305" s="241">
        <v>-17626.792000000001</v>
      </c>
      <c r="AG305" s="27">
        <v>-20094.54287999999</v>
      </c>
      <c r="AH305" s="28">
        <f>-5%*AH8+SUMIFS(Aut_Ajustes_Manuais!$G:$G,Aut_Ajustes_Manuais!$I:$I,DRE!AF$4,Aut_Ajustes_Manuais!$F:$F,"Fee Gestão FB")</f>
        <v>0</v>
      </c>
      <c r="AI305" s="241">
        <v>-18145.637999999999</v>
      </c>
      <c r="AJ305" s="27">
        <v>-20221.2984</v>
      </c>
      <c r="AK305" s="28">
        <f>-5%*AK8+SUMIFS(Aut_Ajustes_Manuais!$G:$G,Aut_Ajustes_Manuais!$I:$I,DRE!AI$4,Aut_Ajustes_Manuais!$F:$F,"Fee Gestão FB")</f>
        <v>0</v>
      </c>
      <c r="AL305" s="241">
        <v>-21476.670999999998</v>
      </c>
      <c r="AM305" s="27">
        <v>-23466.672060000001</v>
      </c>
      <c r="AN305" s="28">
        <f>-5%*AN8+SUMIFS(Aut_Ajustes_Manuais!$G:$G,Aut_Ajustes_Manuais!$I:$I,DRE!AL$4,Aut_Ajustes_Manuais!$F:$F,"Fee Gestão FB")</f>
        <v>0</v>
      </c>
      <c r="AO305" s="241">
        <v>-24011.631000000001</v>
      </c>
      <c r="AP305" s="27">
        <v>-21240</v>
      </c>
      <c r="AQ305" s="28">
        <f>-5%*AQ8+SUMIFS(Aut_Ajustes_Manuais!$G:$G,Aut_Ajustes_Manuais!$I:$I,DRE!AO$4,Aut_Ajustes_Manuais!$F:$F,"Fee Gestão FB")</f>
        <v>0</v>
      </c>
      <c r="AR305" s="241">
        <f ca="1">SUMIFS($H305:$AO305,$H$5:$AO$5,"&lt;"&amp;MONTH(TODAY()),$H$6:$AO$6,"REAL 25")</f>
        <v>-102838.4905</v>
      </c>
      <c r="AS305" s="27">
        <f ca="1">SUMIFS($I305:$AP305,$I$5:$AP$5,"&lt;"&amp;MONTH(TODAY()),$I$6:$AP$6,"ORÇADO ")</f>
        <v>-111347.03571499999</v>
      </c>
      <c r="AT305" s="28">
        <f ca="1">SUMIFS($J305:$AQ305,$J$5:$AQ$5,"&lt;"&amp;MONTH(TODAY()),$J$6:$AQ$6,"REAL 26")</f>
        <v>-107129.82900000001</v>
      </c>
      <c r="AU305" s="241">
        <f t="shared" si="293"/>
        <v>-222682.277</v>
      </c>
      <c r="AV305" s="27">
        <f t="shared" si="293"/>
        <v>-240799.385885</v>
      </c>
      <c r="AW305" s="28">
        <f t="shared" si="293"/>
        <v>-111056.84800000001</v>
      </c>
      <c r="AX305" s="241">
        <f t="shared" si="294"/>
        <v>-47963.226000000002</v>
      </c>
      <c r="AY305" s="27">
        <f t="shared" si="294"/>
        <v>-50743.413899999985</v>
      </c>
      <c r="AZ305" s="28">
        <f t="shared" si="294"/>
        <v>-52038.984500000006</v>
      </c>
      <c r="BA305" s="241">
        <f t="shared" si="295"/>
        <v>-54875.264500000005</v>
      </c>
      <c r="BB305" s="27">
        <f t="shared" si="295"/>
        <v>-60603.621815000006</v>
      </c>
      <c r="BC305" s="28">
        <f t="shared" si="295"/>
        <v>-55090.844500000007</v>
      </c>
      <c r="BD305" s="241">
        <f t="shared" si="296"/>
        <v>-56209.8465</v>
      </c>
      <c r="BE305" s="27">
        <f t="shared" si="296"/>
        <v>-64524.379709999994</v>
      </c>
      <c r="BF305" s="28">
        <f t="shared" si="296"/>
        <v>-3927.0189999999998</v>
      </c>
      <c r="BG305" s="241">
        <f t="shared" si="297"/>
        <v>-63633.939999999995</v>
      </c>
      <c r="BH305" s="27">
        <f t="shared" si="297"/>
        <v>-64927.970459999997</v>
      </c>
      <c r="BI305" s="28">
        <f t="shared" si="297"/>
        <v>0</v>
      </c>
      <c r="BK305" s="448">
        <f t="shared" si="250"/>
        <v>-240799.385885</v>
      </c>
      <c r="BL305" s="448">
        <f t="shared" si="251"/>
        <v>0</v>
      </c>
      <c r="BM305" s="448">
        <f t="shared" si="252"/>
        <v>-89154.972000000009</v>
      </c>
      <c r="BN305" s="448">
        <f t="shared" ca="1" si="253"/>
        <v>17974.857000000004</v>
      </c>
    </row>
    <row r="306" spans="1:66" collapsed="1" x14ac:dyDescent="0.3">
      <c r="A306" s="71" t="s">
        <v>46</v>
      </c>
      <c r="B306" s="59"/>
      <c r="C306" s="60"/>
      <c r="D306" s="61"/>
      <c r="E306" s="62"/>
      <c r="F306" s="63"/>
      <c r="G306" s="47"/>
      <c r="H306" s="245">
        <v>-0.05</v>
      </c>
      <c r="I306" s="50">
        <v>-0.05</v>
      </c>
      <c r="J306" s="51">
        <f>IFERROR(J302/J8,0)+SUMIFS(Aut_Ajustes_Manuais!$G:$G,Aut_Ajustes_Manuais!$I:$I,DRE!H$4,Aut_Ajustes_Manuais!$F:$F,"% sobre Receita Bruta")</f>
        <v>-0.05</v>
      </c>
      <c r="K306" s="245">
        <v>-0.05</v>
      </c>
      <c r="L306" s="50">
        <v>-0.05</v>
      </c>
      <c r="M306" s="51">
        <f>IFERROR(M302/M8,0)+SUMIFS(Aut_Ajustes_Manuais!$G:$G,Aut_Ajustes_Manuais!$I:$I,DRE!K$4,Aut_Ajustes_Manuais!$F:$F,"% sobre Receita Bruta")</f>
        <v>-0.05</v>
      </c>
      <c r="N306" s="245">
        <v>-0.05</v>
      </c>
      <c r="O306" s="50">
        <v>-0.05</v>
      </c>
      <c r="P306" s="51">
        <f>IFERROR(P302/P8,0)+SUMIFS(Aut_Ajustes_Manuais!$G:$G,Aut_Ajustes_Manuais!$I:$I,DRE!N$4,Aut_Ajustes_Manuais!$F:$F,"% sobre Receita Bruta")</f>
        <v>-4.9999999999999996E-2</v>
      </c>
      <c r="Q306" s="245">
        <v>-0.05</v>
      </c>
      <c r="R306" s="50">
        <v>-0.05</v>
      </c>
      <c r="S306" s="51">
        <f>IFERROR(S302/S8,0)+SUMIFS(Aut_Ajustes_Manuais!$G:$G,Aut_Ajustes_Manuais!$I:$I,DRE!Q$4,Aut_Ajustes_Manuais!$F:$F,"% sobre Receita Bruta")</f>
        <v>-0.05</v>
      </c>
      <c r="T306" s="245">
        <v>-0.05</v>
      </c>
      <c r="U306" s="50">
        <v>-0.05</v>
      </c>
      <c r="V306" s="51">
        <f>IFERROR(V302/V8,0)+SUMIFS(Aut_Ajustes_Manuais!$G:$G,Aut_Ajustes_Manuais!$I:$I,DRE!T$4,Aut_Ajustes_Manuais!$F:$F,"% sobre Receita Bruta")</f>
        <v>-0.05</v>
      </c>
      <c r="W306" s="245">
        <v>-0.05</v>
      </c>
      <c r="X306" s="50">
        <v>-0.05</v>
      </c>
      <c r="Y306" s="51">
        <f>IFERROR(Y302/Y8,0)+SUMIFS(Aut_Ajustes_Manuais!$G:$G,Aut_Ajustes_Manuais!$I:$I,DRE!W$4,Aut_Ajustes_Manuais!$F:$F,"% sobre Receita Bruta")</f>
        <v>-4.9999999999999996E-2</v>
      </c>
      <c r="Z306" s="245">
        <v>-0.05</v>
      </c>
      <c r="AA306" s="50">
        <v>-0.05</v>
      </c>
      <c r="AB306" s="51">
        <f>IFERROR(AB302/AB8,0)+SUMIFS(Aut_Ajustes_Manuais!$G:$G,Aut_Ajustes_Manuais!$I:$I,DRE!Z$4,Aut_Ajustes_Manuais!$F:$F,"% sobre Receita Bruta")</f>
        <v>-0.05</v>
      </c>
      <c r="AC306" s="245">
        <v>-0.05</v>
      </c>
      <c r="AD306" s="50">
        <v>-0.05</v>
      </c>
      <c r="AE306" s="51">
        <f>IFERROR(AE302/AE8,0)+SUMIFS(Aut_Ajustes_Manuais!$G:$G,Aut_Ajustes_Manuais!$I:$I,DRE!AC$4,Aut_Ajustes_Manuais!$F:$F,"% sobre Receita Bruta")</f>
        <v>0</v>
      </c>
      <c r="AF306" s="245">
        <v>-0.05</v>
      </c>
      <c r="AG306" s="50">
        <v>-0.05</v>
      </c>
      <c r="AH306" s="51">
        <f>IFERROR(AH302/AH8,0)+SUMIFS(Aut_Ajustes_Manuais!$G:$G,Aut_Ajustes_Manuais!$I:$I,DRE!AF$4,Aut_Ajustes_Manuais!$F:$F,"% sobre Receita Bruta")</f>
        <v>0</v>
      </c>
      <c r="AI306" s="245">
        <v>-0.05</v>
      </c>
      <c r="AJ306" s="50">
        <v>-5.000000000000001E-2</v>
      </c>
      <c r="AK306" s="51">
        <f>IFERROR(AK302/AK8,0)+SUMIFS(Aut_Ajustes_Manuais!$G:$G,Aut_Ajustes_Manuais!$I:$I,DRE!AI$4,Aut_Ajustes_Manuais!$F:$F,"% sobre Receita Bruta")</f>
        <v>0</v>
      </c>
      <c r="AL306" s="245">
        <v>-5.000000000000001E-2</v>
      </c>
      <c r="AM306" s="50">
        <v>-0.05</v>
      </c>
      <c r="AN306" s="51">
        <f>IFERROR(AN302/AN8,0)+SUMIFS(Aut_Ajustes_Manuais!$G:$G,Aut_Ajustes_Manuais!$I:$I,DRE!AL$4,Aut_Ajustes_Manuais!$F:$F,"% sobre Receita Bruta")</f>
        <v>0</v>
      </c>
      <c r="AO306" s="245">
        <v>-0.05</v>
      </c>
      <c r="AP306" s="50">
        <v>-5.000000000000001E-2</v>
      </c>
      <c r="AQ306" s="51">
        <f>IFERROR(AQ302/AQ8,0)+SUMIFS(Aut_Ajustes_Manuais!$G:$G,Aut_Ajustes_Manuais!$I:$I,DRE!AO$4,Aut_Ajustes_Manuais!$F:$F,"% sobre Receita Bruta")</f>
        <v>0</v>
      </c>
      <c r="AR306" s="245">
        <f t="shared" ref="AR306:BI306" ca="1" si="298">IFERROR(AR302/AR8,0)</f>
        <v>-0.05</v>
      </c>
      <c r="AS306" s="50">
        <f t="shared" ca="1" si="298"/>
        <v>-5.0000000000000024E-2</v>
      </c>
      <c r="AT306" s="51">
        <f t="shared" ca="1" si="298"/>
        <v>-0.05</v>
      </c>
      <c r="AU306" s="245">
        <f t="shared" si="298"/>
        <v>-0.05</v>
      </c>
      <c r="AV306" s="50">
        <f t="shared" si="298"/>
        <v>-5.000000000000001E-2</v>
      </c>
      <c r="AW306" s="51">
        <f t="shared" si="298"/>
        <v>-5.000000000000001E-2</v>
      </c>
      <c r="AX306" s="245">
        <f t="shared" si="298"/>
        <v>-0.05</v>
      </c>
      <c r="AY306" s="50">
        <f t="shared" si="298"/>
        <v>-0.05</v>
      </c>
      <c r="AZ306" s="51">
        <f t="shared" si="298"/>
        <v>-5.000000000000001E-2</v>
      </c>
      <c r="BA306" s="245">
        <f t="shared" si="298"/>
        <v>-0.05</v>
      </c>
      <c r="BB306" s="50">
        <f t="shared" si="298"/>
        <v>-5.0000000000000017E-2</v>
      </c>
      <c r="BC306" s="51">
        <f t="shared" si="298"/>
        <v>-0.05</v>
      </c>
      <c r="BD306" s="245">
        <f t="shared" si="298"/>
        <v>-0.05</v>
      </c>
      <c r="BE306" s="50">
        <f t="shared" si="298"/>
        <v>-4.9999999999999996E-2</v>
      </c>
      <c r="BF306" s="51">
        <f t="shared" si="298"/>
        <v>-0.05</v>
      </c>
      <c r="BG306" s="245">
        <f t="shared" si="298"/>
        <v>-4.9999999999999982E-2</v>
      </c>
      <c r="BH306" s="50">
        <f t="shared" si="298"/>
        <v>-5.000000000000001E-2</v>
      </c>
      <c r="BI306" s="51">
        <f t="shared" si="298"/>
        <v>0</v>
      </c>
      <c r="BK306" s="448">
        <f t="shared" si="250"/>
        <v>-0.6</v>
      </c>
      <c r="BL306" s="448">
        <f t="shared" si="251"/>
        <v>-0.54999999999999993</v>
      </c>
      <c r="BM306" s="448">
        <f t="shared" si="252"/>
        <v>-0.25</v>
      </c>
      <c r="BN306" s="448">
        <f t="shared" ca="1" si="253"/>
        <v>-0.2</v>
      </c>
    </row>
    <row r="307" spans="1:66" x14ac:dyDescent="0.3">
      <c r="A307" s="18"/>
      <c r="E307" s="16"/>
      <c r="F307" s="17"/>
      <c r="G307" s="47"/>
      <c r="H307" s="247"/>
      <c r="I307" s="17"/>
      <c r="J307" s="57"/>
      <c r="K307" s="247"/>
      <c r="L307" s="17"/>
      <c r="M307" s="57"/>
      <c r="N307" s="247"/>
      <c r="O307" s="17"/>
      <c r="P307" s="57"/>
      <c r="Q307" s="247"/>
      <c r="R307" s="17"/>
      <c r="S307" s="57"/>
      <c r="T307" s="247"/>
      <c r="U307" s="17"/>
      <c r="V307" s="57"/>
      <c r="W307" s="247"/>
      <c r="X307" s="17"/>
      <c r="Y307" s="57"/>
      <c r="Z307" s="247"/>
      <c r="AA307" s="17"/>
      <c r="AB307" s="57"/>
      <c r="AC307" s="247"/>
      <c r="AD307" s="17"/>
      <c r="AE307" s="57"/>
      <c r="AF307" s="247"/>
      <c r="AG307" s="17"/>
      <c r="AH307" s="57"/>
      <c r="AI307" s="247"/>
      <c r="AJ307" s="17"/>
      <c r="AK307" s="57"/>
      <c r="AL307" s="247"/>
      <c r="AM307" s="17"/>
      <c r="AN307" s="57"/>
      <c r="AO307" s="247"/>
      <c r="AP307" s="17"/>
      <c r="AQ307" s="57"/>
      <c r="AR307" s="247"/>
      <c r="AS307" s="17"/>
      <c r="AT307" s="57"/>
      <c r="AU307" s="247"/>
      <c r="AV307" s="17"/>
      <c r="AW307" s="57"/>
      <c r="AX307" s="247"/>
      <c r="AY307" s="17"/>
      <c r="AZ307" s="57"/>
      <c r="BA307" s="247"/>
      <c r="BB307" s="17"/>
      <c r="BC307" s="57"/>
      <c r="BD307" s="247"/>
      <c r="BE307" s="17"/>
      <c r="BF307" s="57"/>
      <c r="BG307" s="247"/>
      <c r="BH307" s="17"/>
      <c r="BI307" s="57"/>
      <c r="BK307" s="448">
        <f t="shared" si="250"/>
        <v>0</v>
      </c>
      <c r="BL307" s="448">
        <f t="shared" si="251"/>
        <v>0</v>
      </c>
      <c r="BM307" s="448">
        <f t="shared" si="252"/>
        <v>0</v>
      </c>
      <c r="BN307" s="448">
        <f t="shared" si="253"/>
        <v>0</v>
      </c>
    </row>
    <row r="308" spans="1:66" x14ac:dyDescent="0.3">
      <c r="A308" s="39" t="s">
        <v>329</v>
      </c>
      <c r="B308" s="59"/>
      <c r="C308" s="60"/>
      <c r="D308" s="125"/>
      <c r="E308" s="62"/>
      <c r="F308" s="63"/>
      <c r="G308" s="47"/>
      <c r="H308" s="244">
        <v>-174267.2770727154</v>
      </c>
      <c r="I308" s="42">
        <f>SUM(I302,I294,I280,I266,I255,I243,I226,I216,I106)</f>
        <v>-189517.35343976924</v>
      </c>
      <c r="J308" s="43">
        <f>SUM(J302,J294,J280,J266,J255,J243,J226,J216,J106)+SUMIFS(Aut_Ajustes_Manuais!$G:$G,Aut_Ajustes_Manuais!$I:$I,DRE!H$4,Aut_Ajustes_Manuais!$F:$F,"TOTAL - DESPESAS OPERATIVAS")</f>
        <v>-178598.73567127009</v>
      </c>
      <c r="K308" s="244">
        <v>-167928.45453399999</v>
      </c>
      <c r="L308" s="42">
        <f>SUM(L302,L294,L280,L266,L255,L243,L226,L216,L106)</f>
        <v>-198082.09915610525</v>
      </c>
      <c r="M308" s="43">
        <f>SUM(M302,M294,M280,M266,M255,M243,M226,M216,M106)+SUMIFS(Aut_Ajustes_Manuais!$G:$G,Aut_Ajustes_Manuais!$I:$I,DRE!K$4,Aut_Ajustes_Manuais!$F:$F,"TOTAL - DESPESAS OPERATIVAS")</f>
        <v>-176447.44182810324</v>
      </c>
      <c r="N308" s="244">
        <v>-174933.24393004939</v>
      </c>
      <c r="O308" s="42">
        <f>SUM(O302,O294,O280,O266,O255,O243,O226,O216,O106)</f>
        <v>-179784.82104795836</v>
      </c>
      <c r="P308" s="43">
        <f>SUM(P302,P294,P280,P266,P255,P243,P226,P216,P106)+SUMIFS(Aut_Ajustes_Manuais!$G:$G,Aut_Ajustes_Manuais!$I:$I,DRE!N$4,Aut_Ajustes_Manuais!$F:$F,"TOTAL - DESPESAS OPERATIVAS")</f>
        <v>-176921.63509560001</v>
      </c>
      <c r="Q308" s="244">
        <v>-165406.7663703532</v>
      </c>
      <c r="R308" s="42">
        <f>SUM(R302,R294,R280,R266,R255,R243,R226,R216,R106)</f>
        <v>-192303.61067041679</v>
      </c>
      <c r="S308" s="43">
        <f>SUM(S302,S294,S280,S266,S255,S243,S226,S216,S106)+SUMIFS(Aut_Ajustes_Manuais!$G:$G,Aut_Ajustes_Manuais!$I:$I,DRE!Q$4,Aut_Ajustes_Manuais!$F:$F,"TOTAL - DESPESAS OPERATIVAS")</f>
        <v>-184343.30125510905</v>
      </c>
      <c r="T308" s="244">
        <v>-180570.1301892807</v>
      </c>
      <c r="U308" s="42">
        <f>SUM(U302,U294,U280,U266,U255,U243,U226,U216,U106)</f>
        <v>-205973.3429245805</v>
      </c>
      <c r="V308" s="43">
        <f>SUM(V302,V294,V280,V266,V255,V243,V226,V216,V106)+SUMIFS(Aut_Ajustes_Manuais!$G:$G,Aut_Ajustes_Manuais!$I:$I,DRE!T$4,Aut_Ajustes_Manuais!$F:$F,"TOTAL - DESPESAS OPERATIVAS")</f>
        <v>-177690.24498209299</v>
      </c>
      <c r="W308" s="244">
        <v>-166434.52130334199</v>
      </c>
      <c r="X308" s="42">
        <f>SUM(X302,X294,X280,X266,X255,X243,X226,X216,X106)</f>
        <v>-210743.45114214183</v>
      </c>
      <c r="Y308" s="43">
        <f>SUM(Y302,Y294,Y280,Y266,Y255,Y243,Y226,Y216,Y106)+SUMIFS(Aut_Ajustes_Manuais!$G:$G,Aut_Ajustes_Manuais!$I:$I,DRE!W$4,Aut_Ajustes_Manuais!$F:$F,"TOTAL - DESPESAS OPERATIVAS")</f>
        <v>-186807.71800314251</v>
      </c>
      <c r="Z308" s="244">
        <v>-168707.38867589529</v>
      </c>
      <c r="AA308" s="42">
        <f>SUM(AA302,AA294,AA280,AA266,AA255,AA243,AA226,AA216,AA106)</f>
        <v>-201157.48785625625</v>
      </c>
      <c r="AB308" s="43">
        <f>SUM(AB302,AB294,AB280,AB266,AB255,AB243,AB226,AB216,AB106)+SUMIFS(Aut_Ajustes_Manuais!$G:$G,Aut_Ajustes_Manuais!$I:$I,DRE!Z$4,Aut_Ajustes_Manuais!$F:$F,"TOTAL - DESPESAS OPERATIVAS")</f>
        <v>-181513.42941772001</v>
      </c>
      <c r="AC308" s="244">
        <v>-171857.9809099095</v>
      </c>
      <c r="AD308" s="42">
        <f>SUM(AD302,AD294,AD280,AD266,AD255,AD243,AD226,AD216,AD106)</f>
        <v>-203795.639649124</v>
      </c>
      <c r="AE308" s="43">
        <f>SUM(AE302,AE294,AE280,AE266,AE255,AE243,AE226,AE216,AE106)+SUMIFS(Aut_Ajustes_Manuais!$G:$G,Aut_Ajustes_Manuais!$I:$I,DRE!AC$4,Aut_Ajustes_Manuais!$F:$F,"TOTAL - DESPESAS OPERATIVAS")</f>
        <v>-175619.76041772001</v>
      </c>
      <c r="AF308" s="244">
        <v>-177570.6451147453</v>
      </c>
      <c r="AG308" s="42">
        <f>SUM(AG302,AG294,AG280,AG266,AG255,AG243,AG226,AG216,AG106)</f>
        <v>-198127.27487949765</v>
      </c>
      <c r="AH308" s="43">
        <f>SUM(AH302,AH294,AH280,AH266,AH255,AH243,AH226,AH216,AH106)+SUMIFS(Aut_Ajustes_Manuais!$G:$G,Aut_Ajustes_Manuais!$I:$I,DRE!AF$4,Aut_Ajustes_Manuais!$F:$F,"TOTAL - DESPESAS OPERATIVAS")</f>
        <v>-159619.76041772001</v>
      </c>
      <c r="AI308" s="244">
        <v>-203171.39795717559</v>
      </c>
      <c r="AJ308" s="42">
        <f>SUM(AJ302,AJ294,AJ280,AJ266,AJ255,AJ243,AJ226,AJ216,AJ106)</f>
        <v>-200878.06292658838</v>
      </c>
      <c r="AK308" s="43">
        <f>SUM(AK302,AK294,AK280,AK266,AK255,AK243,AK226,AK216,AK106)+SUMIFS(Aut_Ajustes_Manuais!$G:$G,Aut_Ajustes_Manuais!$I:$I,DRE!AI$4,Aut_Ajustes_Manuais!$F:$F,"TOTAL - DESPESAS OPERATIVAS")</f>
        <v>-155619.76041772001</v>
      </c>
      <c r="AL308" s="244">
        <v>-193803.89230002489</v>
      </c>
      <c r="AM308" s="42">
        <f>SUM(AM302,AM294,AM280,AM266,AM255,AM243,AM226,AM216,AM106)</f>
        <v>-215064.95443295705</v>
      </c>
      <c r="AN308" s="43">
        <f>SUM(AN302,AN294,AN280,AN266,AN255,AN243,AN226,AN216,AN106)+SUMIFS(Aut_Ajustes_Manuais!$G:$G,Aut_Ajustes_Manuais!$I:$I,DRE!AL$4,Aut_Ajustes_Manuais!$F:$F,"TOTAL - DESPESAS OPERATIVAS")</f>
        <v>-154658.71125105332</v>
      </c>
      <c r="AO308" s="244">
        <v>-203796.00176609209</v>
      </c>
      <c r="AP308" s="42">
        <f>SUM(AP302,AP294,AP280,AP266,AP255,AP243,AP226,AP216,AP106)</f>
        <v>-203042.26677832176</v>
      </c>
      <c r="AQ308" s="43">
        <f>SUM(AQ302,AQ294,AQ280,AQ266,AQ255,AQ243,AQ226,AQ216,AQ106)+SUMIFS(Aut_Ajustes_Manuais!$G:$G,Aut_Ajustes_Manuais!$I:$I,DRE!AO$4,Aut_Ajustes_Manuais!$F:$F,"TOTAL - DESPESAS OPERATIVAS")</f>
        <v>-155273.71125105332</v>
      </c>
      <c r="AR308" s="244">
        <f ca="1">SUM(AR302,AR294,AR280,AR266,AR255,AR243,AR226,AR216,,AR106)</f>
        <v>-1029540.3933997406</v>
      </c>
      <c r="AS308" s="42">
        <f ca="1">SUM(AS302,AS294,AS280,AS266,AS255,AS243,AS226,AS216,,AS106)</f>
        <v>-1176404.678380972</v>
      </c>
      <c r="AT308" s="43">
        <f ca="1">SUM(AT302,AT294,AT280,AT266,AT255,AT243,AT226,AT216,,AT106)</f>
        <v>-1080809.0768353178</v>
      </c>
      <c r="AU308" s="244">
        <f t="shared" ref="AU308:BI308" si="299">SUM(AU302,AU294,AU280,AU266,AU255,AU243,AU226,AU216,AU106)</f>
        <v>-2148403.0301235835</v>
      </c>
      <c r="AV308" s="42">
        <f t="shared" si="299"/>
        <v>-2398470.3649037168</v>
      </c>
      <c r="AW308" s="43">
        <f t="shared" si="299"/>
        <v>-2068739.2100083046</v>
      </c>
      <c r="AX308" s="244">
        <f t="shared" si="299"/>
        <v>-517084.30553676479</v>
      </c>
      <c r="AY308" s="42">
        <f t="shared" si="299"/>
        <v>-567384.27364383289</v>
      </c>
      <c r="AZ308" s="43">
        <f t="shared" si="299"/>
        <v>-535342.81259497337</v>
      </c>
      <c r="BA308" s="244">
        <f t="shared" si="299"/>
        <v>-512411.41786297585</v>
      </c>
      <c r="BB308" s="42">
        <f t="shared" si="299"/>
        <v>-609020.40473713912</v>
      </c>
      <c r="BC308" s="43">
        <f t="shared" si="299"/>
        <v>-551091.26424034452</v>
      </c>
      <c r="BD308" s="244">
        <f t="shared" si="299"/>
        <v>-518136.01470055012</v>
      </c>
      <c r="BE308" s="42">
        <f t="shared" si="299"/>
        <v>-603080.4023848779</v>
      </c>
      <c r="BF308" s="43">
        <f t="shared" si="299"/>
        <v>-516752.95025315997</v>
      </c>
      <c r="BG308" s="244">
        <f t="shared" si="299"/>
        <v>-600771.29202329251</v>
      </c>
      <c r="BH308" s="42">
        <f t="shared" si="299"/>
        <v>-618985.28413786716</v>
      </c>
      <c r="BI308" s="43">
        <f t="shared" si="299"/>
        <v>-465552.18291982665</v>
      </c>
      <c r="BK308" s="448">
        <f t="shared" si="250"/>
        <v>-2398470.3649037173</v>
      </c>
      <c r="BL308" s="448">
        <f t="shared" si="251"/>
        <v>0</v>
      </c>
      <c r="BM308" s="448">
        <f t="shared" si="252"/>
        <v>-894001.35883217538</v>
      </c>
      <c r="BN308" s="448">
        <f t="shared" ca="1" si="253"/>
        <v>186807.71800314239</v>
      </c>
    </row>
    <row r="309" spans="1:66" x14ac:dyDescent="0.3">
      <c r="A309" s="71" t="s">
        <v>46</v>
      </c>
      <c r="B309" s="59"/>
      <c r="C309" s="60"/>
      <c r="D309" s="62"/>
      <c r="E309" s="62"/>
      <c r="F309" s="63"/>
      <c r="G309" s="47"/>
      <c r="H309" s="245">
        <v>-0.51186914071908574</v>
      </c>
      <c r="I309" s="50">
        <v>-0.50605695763886382</v>
      </c>
      <c r="J309" s="51">
        <f>IFERROR(J308/J8,0)+SUMIFS(Aut_Ajustes_Manuais!$G:$G,Aut_Ajustes_Manuais!$I:$I,DRE!H$4,Aut_Ajustes_Manuais!$F:$F,"% sobre Receita Bruta")</f>
        <v>-0.46223417961592383</v>
      </c>
      <c r="K309" s="245">
        <v>-0.54350812212445054</v>
      </c>
      <c r="L309" s="50">
        <v>-0.55747980157257471</v>
      </c>
      <c r="M309" s="51">
        <f>IFERROR(M308/M8,0)+SUMIFS(Aut_Ajustes_Manuais!$G:$G,Aut_Ajustes_Manuais!$I:$I,DRE!K$4,Aut_Ajustes_Manuais!$F:$F,"% sobre Receita Bruta")</f>
        <v>-0.55660115458040726</v>
      </c>
      <c r="N309" s="245">
        <v>-0.56459155152015994</v>
      </c>
      <c r="O309" s="50">
        <v>-0.6307063742594563</v>
      </c>
      <c r="P309" s="51">
        <f>IFERROR(P308/P8,0)+SUMIFS(Aut_Ajustes_Manuais!$G:$G,Aut_Ajustes_Manuais!$I:$I,DRE!N$4,Aut_Ajustes_Manuais!$F:$F,"% sobre Receita Bruta")</f>
        <v>-0.52438404811792727</v>
      </c>
      <c r="Q309" s="245">
        <v>-0.50182266236842055</v>
      </c>
      <c r="R309" s="50">
        <v>-0.64824910805788749</v>
      </c>
      <c r="S309" s="51">
        <f>IFERROR(S308/S8,0)+SUMIFS(Aut_Ajustes_Manuais!$G:$G,Aut_Ajustes_Manuais!$I:$I,DRE!Q$4,Aut_Ajustes_Manuais!$F:$F,"% sobre Receita Bruta")</f>
        <v>-0.4988875668319403</v>
      </c>
      <c r="T309" s="245">
        <v>-0.41415345104640849</v>
      </c>
      <c r="U309" s="50">
        <v>-0.42560175705873948</v>
      </c>
      <c r="V309" s="51">
        <f>IFERROR(V308/V8,0)+SUMIFS(Aut_Ajustes_Manuais!$G:$G,Aut_Ajustes_Manuais!$I:$I,DRE!T$4,Aut_Ajustes_Manuais!$F:$F,"% sobre Receita Bruta")</f>
        <v>-0.4766228086541992</v>
      </c>
      <c r="W309" s="245">
        <v>-0.50146713886599203</v>
      </c>
      <c r="X309" s="50">
        <v>-0.48843840370565439</v>
      </c>
      <c r="Y309" s="51">
        <f>IFERROR(Y308/Y8,0)+SUMIFS(Aut_Ajustes_Manuais!$G:$G,Aut_Ajustes_Manuais!$I:$I,DRE!W$4,Aut_Ajustes_Manuais!$F:$F,"% sobre Receita Bruta")</f>
        <v>-0.51963617291403907</v>
      </c>
      <c r="Z309" s="245">
        <v>-0.47370604010493</v>
      </c>
      <c r="AA309" s="50">
        <v>-0.47068436933776853</v>
      </c>
      <c r="AB309" s="51">
        <f>IFERROR(AB308/AB8,0)+SUMIFS(Aut_Ajustes_Manuais!$G:$G,Aut_Ajustes_Manuais!$I:$I,DRE!Z$4,Aut_Ajustes_Manuais!$F:$F,"% sobre Receita Bruta")</f>
        <v>-2.311084176288936</v>
      </c>
      <c r="AC309" s="245">
        <v>-0.41359990242024852</v>
      </c>
      <c r="AD309" s="50">
        <v>-0.44185790738991132</v>
      </c>
      <c r="AE309" s="51">
        <f>IFERROR(AE308/AE8,0)+SUMIFS(Aut_Ajustes_Manuais!$G:$G,Aut_Ajustes_Manuais!$I:$I,DRE!AC$4,Aut_Ajustes_Manuais!$F:$F,"% sobre Receita Bruta")</f>
        <v>0</v>
      </c>
      <c r="AF309" s="245">
        <v>-0.50369529836950855</v>
      </c>
      <c r="AG309" s="50">
        <v>-0.49298776305255693</v>
      </c>
      <c r="AH309" s="51">
        <f>IFERROR(AH308/AH8,0)+SUMIFS(Aut_Ajustes_Manuais!$G:$G,Aut_Ajustes_Manuais!$I:$I,DRE!AF$4,Aut_Ajustes_Manuais!$F:$F,"% sobre Receita Bruta")</f>
        <v>0</v>
      </c>
      <c r="AI309" s="245">
        <v>-0.5598353663761384</v>
      </c>
      <c r="AJ309" s="50">
        <v>-0.49669922018110468</v>
      </c>
      <c r="AK309" s="51">
        <f>IFERROR(AK308/AK8,0)+SUMIFS(Aut_Ajustes_Manuais!$G:$G,Aut_Ajustes_Manuais!$I:$I,DRE!AI$4,Aut_Ajustes_Manuais!$F:$F,"% sobre Receita Bruta")</f>
        <v>0</v>
      </c>
      <c r="AL309" s="245">
        <v>-0.45119630574967801</v>
      </c>
      <c r="AM309" s="50">
        <v>-0.45823488282248798</v>
      </c>
      <c r="AN309" s="51">
        <f>IFERROR(AN308/AN8,0)+SUMIFS(Aut_Ajustes_Manuais!$G:$G,Aut_Ajustes_Manuais!$I:$I,DRE!AL$4,Aut_Ajustes_Manuais!$F:$F,"% sobre Receita Bruta")</f>
        <v>0</v>
      </c>
      <c r="AO309" s="245">
        <v>-0.42436934368617468</v>
      </c>
      <c r="AP309" s="50">
        <v>-0.47797143780207579</v>
      </c>
      <c r="AQ309" s="51">
        <f>IFERROR(AQ308/AQ8,0)+SUMIFS(Aut_Ajustes_Manuais!$G:$G,Aut_Ajustes_Manuais!$I:$I,DRE!AO$4,Aut_Ajustes_Manuais!$F:$F,"% sobre Receita Bruta")</f>
        <v>0</v>
      </c>
      <c r="AR309" s="245">
        <f t="shared" ref="AR309:BI309" ca="1" si="300">IFERROR(AR308/AR8,0)</f>
        <v>-0.50056179762758213</v>
      </c>
      <c r="AS309" s="50">
        <f t="shared" ca="1" si="300"/>
        <v>-0.52826043855898297</v>
      </c>
      <c r="AT309" s="51">
        <f t="shared" ca="1" si="300"/>
        <v>-0.50443890694314364</v>
      </c>
      <c r="AU309" s="245">
        <f t="shared" si="300"/>
        <v>-0.482392011404568</v>
      </c>
      <c r="AV309" s="50">
        <f t="shared" si="300"/>
        <v>-0.49802252528359214</v>
      </c>
      <c r="AW309" s="51">
        <f t="shared" si="300"/>
        <v>-0.93138750435646467</v>
      </c>
      <c r="AX309" s="245">
        <f t="shared" si="300"/>
        <v>-0.53904245883790713</v>
      </c>
      <c r="AY309" s="50">
        <f t="shared" si="300"/>
        <v>-0.55907183813250794</v>
      </c>
      <c r="AZ309" s="51">
        <f t="shared" si="300"/>
        <v>-0.51436708242738038</v>
      </c>
      <c r="BA309" s="245">
        <f t="shared" si="300"/>
        <v>-0.46688742417175577</v>
      </c>
      <c r="BB309" s="50">
        <f t="shared" si="300"/>
        <v>-0.50246205300753222</v>
      </c>
      <c r="BC309" s="51">
        <f t="shared" si="300"/>
        <v>-0.50016592524765568</v>
      </c>
      <c r="BD309" s="245">
        <f t="shared" si="300"/>
        <v>-0.46089435122416689</v>
      </c>
      <c r="BE309" s="50">
        <f t="shared" si="300"/>
        <v>-0.46732754742887705</v>
      </c>
      <c r="BF309" s="51">
        <f t="shared" si="300"/>
        <v>-6.5794556921313605</v>
      </c>
      <c r="BG309" s="245">
        <f t="shared" si="300"/>
        <v>-0.47205256504885001</v>
      </c>
      <c r="BH309" s="50">
        <f t="shared" si="300"/>
        <v>-0.47667074740862564</v>
      </c>
      <c r="BI309" s="51">
        <f t="shared" si="300"/>
        <v>0</v>
      </c>
      <c r="BK309" s="448">
        <f t="shared" si="250"/>
        <v>-6.0949679828790817</v>
      </c>
      <c r="BL309" s="448">
        <f t="shared" si="251"/>
        <v>-5.5969454575954893</v>
      </c>
      <c r="BM309" s="448">
        <f t="shared" si="252"/>
        <v>-2.518729757800398</v>
      </c>
      <c r="BN309" s="448">
        <f t="shared" ca="1" si="253"/>
        <v>-2.0142908508572543</v>
      </c>
    </row>
    <row r="310" spans="1:66" x14ac:dyDescent="0.3">
      <c r="A310" s="18"/>
      <c r="E310" s="16"/>
      <c r="F310" s="17"/>
      <c r="G310" s="47"/>
      <c r="H310" s="247"/>
      <c r="I310" s="17"/>
      <c r="J310" s="57"/>
      <c r="K310" s="247"/>
      <c r="L310" s="17"/>
      <c r="M310" s="57"/>
      <c r="N310" s="247"/>
      <c r="O310" s="17"/>
      <c r="P310" s="57"/>
      <c r="Q310" s="247"/>
      <c r="R310" s="17"/>
      <c r="S310" s="57"/>
      <c r="T310" s="247"/>
      <c r="U310" s="17"/>
      <c r="V310" s="57"/>
      <c r="W310" s="247"/>
      <c r="X310" s="17"/>
      <c r="Y310" s="57"/>
      <c r="Z310" s="247"/>
      <c r="AA310" s="17"/>
      <c r="AB310" s="57"/>
      <c r="AC310" s="247"/>
      <c r="AD310" s="17"/>
      <c r="AE310" s="57"/>
      <c r="AF310" s="247"/>
      <c r="AG310" s="17"/>
      <c r="AH310" s="57"/>
      <c r="AI310" s="247"/>
      <c r="AJ310" s="17"/>
      <c r="AK310" s="57"/>
      <c r="AL310" s="247"/>
      <c r="AM310" s="17"/>
      <c r="AN310" s="57"/>
      <c r="AO310" s="247"/>
      <c r="AP310" s="17"/>
      <c r="AQ310" s="57"/>
      <c r="AR310" s="247"/>
      <c r="AS310" s="17"/>
      <c r="AT310" s="438"/>
      <c r="AU310" s="247"/>
      <c r="AV310" s="17"/>
      <c r="AW310" s="57"/>
      <c r="AX310" s="247"/>
      <c r="AY310" s="17"/>
      <c r="AZ310" s="57"/>
      <c r="BA310" s="247"/>
      <c r="BB310" s="17"/>
      <c r="BC310" s="57"/>
      <c r="BD310" s="247"/>
      <c r="BE310" s="17"/>
      <c r="BF310" s="57"/>
      <c r="BG310" s="247"/>
      <c r="BH310" s="17"/>
      <c r="BI310" s="57"/>
      <c r="BK310" s="448"/>
      <c r="BL310" s="448"/>
      <c r="BM310" s="448"/>
      <c r="BN310" s="448"/>
    </row>
    <row r="311" spans="1:66" x14ac:dyDescent="0.3">
      <c r="A311" s="58" t="s">
        <v>330</v>
      </c>
      <c r="B311" s="59"/>
      <c r="C311" s="60"/>
      <c r="D311" s="61"/>
      <c r="E311" s="62"/>
      <c r="F311" s="63"/>
      <c r="G311" s="47"/>
      <c r="H311" s="248">
        <v>17674.623548248521</v>
      </c>
      <c r="I311" s="64">
        <v>38223.047459264111</v>
      </c>
      <c r="J311" s="65">
        <f>SUM(J308,J102)+SUMIFS(Aut_Ajustes_Manuais!$G:$G,Aut_Ajustes_Manuais!$I:$I,DRE!H$4,Aut_Ajustes_Manuais!$F:$F,"EBITDA")</f>
        <v>43927.155553729885</v>
      </c>
      <c r="K311" s="248">
        <v>277.97970614343649</v>
      </c>
      <c r="L311" s="64">
        <v>18861.264905557589</v>
      </c>
      <c r="M311" s="65">
        <f>SUM(M308,M102)+SUMIFS(Aut_Ajustes_Manuais!$G:$G,Aut_Ajustes_Manuais!$I:$I,DRE!K$4,Aut_Ajustes_Manuais!$F:$F,"EBITDA")</f>
        <v>-5112.4136981032498</v>
      </c>
      <c r="N311" s="248">
        <v>-7557.820492386847</v>
      </c>
      <c r="O311" s="64">
        <v>-7521.7642533956969</v>
      </c>
      <c r="P311" s="65">
        <f>SUM(P308,P102)+SUMIFS(Aut_Ajustes_Manuais!$G:$G,Aut_Ajustes_Manuais!$I:$I,DRE!N$4,Aut_Ajustes_Manuais!$F:$F,"EBITDA")</f>
        <v>12334.160394399863</v>
      </c>
      <c r="Q311" s="248">
        <v>339.25169993340393</v>
      </c>
      <c r="R311" s="64">
        <v>-12665.686623456309</v>
      </c>
      <c r="S311" s="65">
        <f>SUM(S308,S102)+SUMIFS(Aut_Ajustes_Manuais!$G:$G,Aut_Ajustes_Manuais!$I:$I,DRE!Q$4,Aut_Ajustes_Manuais!$F:$F,"EBITDA")</f>
        <v>18722.14080489098</v>
      </c>
      <c r="T311" s="248">
        <v>67164.583095498005</v>
      </c>
      <c r="U311" s="64">
        <v>91371.726145631721</v>
      </c>
      <c r="V311" s="65">
        <f>SUM(V308,V102)+SUMIFS(Aut_Ajustes_Manuais!$G:$G,Aut_Ajustes_Manuais!$I:$I,DRE!T$4,Aut_Ajustes_Manuais!$F:$F,"EBITDA")</f>
        <v>32250.733162906952</v>
      </c>
      <c r="W311" s="248">
        <v>15176.82929151735</v>
      </c>
      <c r="X311" s="64">
        <v>54620.963517440017</v>
      </c>
      <c r="Y311" s="65">
        <f>SUM(Y308,Y102)+SUMIFS(Aut_Ajustes_Manuais!$G:$G,Aut_Ajustes_Manuais!$I:$I,DRE!W$4,Aut_Ajustes_Manuais!$F:$F,"EBITDA")</f>
        <v>-48897.043508142553</v>
      </c>
      <c r="Z311" s="248">
        <v>34823.216786383877</v>
      </c>
      <c r="AA311" s="64">
        <v>61605.259713489999</v>
      </c>
      <c r="AB311" s="65">
        <f>SUM(AB308,AB102)+SUMIFS(Aut_Ajustes_Manuais!$G:$G,Aut_Ajustes_Manuais!$I:$I,DRE!Z$4,Aut_Ajustes_Manuais!$F:$F,"EBITDA")</f>
        <v>-135078.56498092</v>
      </c>
      <c r="AC311" s="248">
        <v>74725.214622393396</v>
      </c>
      <c r="AD311" s="64">
        <v>79093.346309552202</v>
      </c>
      <c r="AE311" s="65">
        <f>SUM(AE308,AE102)+SUMIFS(Aut_Ajustes_Manuais!$G:$G,Aut_Ajustes_Manuais!$I:$I,DRE!AC$4,Aut_Ajustes_Manuais!$F:$F,"EBITDA")</f>
        <v>-191219.76041772001</v>
      </c>
      <c r="AF311" s="248">
        <v>21072.031982280489</v>
      </c>
      <c r="AG311" s="64">
        <v>48431.986619712727</v>
      </c>
      <c r="AH311" s="65">
        <f>SUM(AH308,AH102)+SUMIFS(Aut_Ajustes_Manuais!$G:$G,Aut_Ajustes_Manuais!$I:$I,DRE!AF$4,Aut_Ajustes_Manuais!$F:$F,"EBITDA")</f>
        <v>-175219.76041772001</v>
      </c>
      <c r="AI311" s="248">
        <v>23658.18122300375</v>
      </c>
      <c r="AJ311" s="64">
        <v>45893.255501490457</v>
      </c>
      <c r="AK311" s="65">
        <f>SUM(AK308,AK102)+SUMIFS(Aut_Ajustes_Manuais!$G:$G,Aut_Ajustes_Manuais!$I:$I,DRE!AI$4,Aut_Ajustes_Manuais!$F:$F,"EBITDA")</f>
        <v>-171219.76041772001</v>
      </c>
      <c r="AL311" s="248">
        <v>42060.031998399121</v>
      </c>
      <c r="AM311" s="64">
        <v>74380.519908570044</v>
      </c>
      <c r="AN311" s="65">
        <f>SUM(AN308,AN102)+SUMIFS(Aut_Ajustes_Manuais!$G:$G,Aut_Ajustes_Manuais!$I:$I,DRE!AL$4,Aut_Ajustes_Manuais!$F:$F,"EBITDA")</f>
        <v>-170258.71125105332</v>
      </c>
      <c r="AO311" s="248">
        <v>58009.854318287536</v>
      </c>
      <c r="AP311" s="64">
        <v>58084.739676040947</v>
      </c>
      <c r="AQ311" s="65">
        <f>SUM(AQ308,AQ102)+SUMIFS(Aut_Ajustes_Manuais!$G:$G,Aut_Ajustes_Manuais!$I:$I,DRE!AO$4,Aut_Ajustes_Manuais!$F:$F,"EBITDA")</f>
        <v>-170873.71125105332</v>
      </c>
      <c r="AR311" s="248">
        <f t="shared" ref="AR311:BI311" ca="1" si="301">SUM(AR308,AR102)</f>
        <v>93075.446848953608</v>
      </c>
      <c r="AS311" s="64">
        <f t="shared" ca="1" si="301"/>
        <v>182889.55115104024</v>
      </c>
      <c r="AT311" s="65">
        <f t="shared" ca="1" si="301"/>
        <v>53224.732709682314</v>
      </c>
      <c r="AU311" s="248">
        <f t="shared" si="301"/>
        <v>347468.64777970174</v>
      </c>
      <c r="AV311" s="64">
        <f t="shared" si="301"/>
        <v>550378.65887989802</v>
      </c>
      <c r="AW311" s="65">
        <f t="shared" si="301"/>
        <v>-966270.53602650482</v>
      </c>
      <c r="AX311" s="248">
        <f t="shared" si="301"/>
        <v>10439.452762005036</v>
      </c>
      <c r="AY311" s="64">
        <f t="shared" si="301"/>
        <v>49562.548111425946</v>
      </c>
      <c r="AZ311" s="65">
        <f t="shared" si="301"/>
        <v>47773.902250026586</v>
      </c>
      <c r="BA311" s="248">
        <f t="shared" si="301"/>
        <v>82680.664086948731</v>
      </c>
      <c r="BB311" s="64">
        <f t="shared" si="301"/>
        <v>133327.00303961523</v>
      </c>
      <c r="BC311" s="65">
        <f t="shared" si="301"/>
        <v>-174.16954034438822</v>
      </c>
      <c r="BD311" s="248">
        <f t="shared" si="301"/>
        <v>130620.4633910578</v>
      </c>
      <c r="BE311" s="64">
        <f t="shared" si="301"/>
        <v>189130.59264275525</v>
      </c>
      <c r="BF311" s="65">
        <f t="shared" si="301"/>
        <v>-501518.08581635996</v>
      </c>
      <c r="BG311" s="248">
        <f t="shared" si="301"/>
        <v>123728.06753969076</v>
      </c>
      <c r="BH311" s="64">
        <f t="shared" si="301"/>
        <v>178358.51508610137</v>
      </c>
      <c r="BI311" s="65">
        <f t="shared" si="301"/>
        <v>-512352.18291982665</v>
      </c>
      <c r="BK311" s="448">
        <f t="shared" ref="BK311:BK342" si="302">SUM(I311,L311,O311,R311,U311,X311,AA311,AD311,AG311,AJ311,AM311,AP311)</f>
        <v>550378.65887989779</v>
      </c>
      <c r="BL311" s="448">
        <f t="shared" ref="BL311:BL342" si="303">BK311-AV311</f>
        <v>0</v>
      </c>
      <c r="BM311" s="448">
        <f t="shared" ref="BM311:BM342" si="304">SUM(J311,M311,P311,S311)</f>
        <v>69871.043054917478</v>
      </c>
      <c r="BN311" s="448">
        <f t="shared" ref="BN311:BN342" ca="1" si="305">BM311-AT311</f>
        <v>16646.310345235164</v>
      </c>
    </row>
    <row r="312" spans="1:66" ht="15" customHeight="1" thickBot="1" x14ac:dyDescent="0.35">
      <c r="A312" s="126" t="s">
        <v>46</v>
      </c>
      <c r="B312" s="127"/>
      <c r="C312" s="128"/>
      <c r="D312" s="129"/>
      <c r="E312" s="130"/>
      <c r="F312" s="131"/>
      <c r="G312" s="132"/>
      <c r="H312" s="262">
        <v>5.1915049802495429E-2</v>
      </c>
      <c r="I312" s="133">
        <v>0.10206473844131921</v>
      </c>
      <c r="J312" s="134">
        <f>IFERROR(J311/J8,0)+SUMIFS(Aut_Ajustes_Manuais!$G:$G,Aut_Ajustes_Manuais!$I:$I,DRE!H$4,Aut_Ajustes_Manuais!$F:$F,"% sobre Receita Bruta")</f>
        <v>0.11368855795044505</v>
      </c>
      <c r="K312" s="262">
        <v>8.9969403037730075E-4</v>
      </c>
      <c r="L312" s="133">
        <v>5.3082909872999143E-2</v>
      </c>
      <c r="M312" s="134">
        <f>IFERROR(M311/M8,0)+SUMIFS(Aut_Ajustes_Manuais!$G:$G,Aut_Ajustes_Manuais!$I:$I,DRE!K$4,Aut_Ajustes_Manuais!$F:$F,"% sobre Receita Bruta")</f>
        <v>-1.6127042350827306E-2</v>
      </c>
      <c r="N312" s="262">
        <v>-2.4392628308052351E-2</v>
      </c>
      <c r="O312" s="133">
        <v>-2.6387236879291929E-2</v>
      </c>
      <c r="P312" s="134">
        <f>IFERROR(P311/P8,0)+SUMIFS(Aut_Ajustes_Manuais!$G:$G,Aut_Ajustes_Manuais!$I:$I,DRE!N$4,Aut_Ajustes_Manuais!$F:$F,"% sobre Receita Bruta")</f>
        <v>3.655763725140964E-2</v>
      </c>
      <c r="Q312" s="262">
        <v>1.0292456288783791E-3</v>
      </c>
      <c r="R312" s="133">
        <v>-4.2695610487875992E-2</v>
      </c>
      <c r="S312" s="134">
        <f>IFERROR(S311/S8,0)+SUMIFS(Aut_Ajustes_Manuais!$G:$G,Aut_Ajustes_Manuais!$I:$I,DRE!Q$4,Aut_Ajustes_Manuais!$F:$F,"% sobre Receita Bruta")</f>
        <v>5.0667657617302117E-2</v>
      </c>
      <c r="T312" s="262">
        <v>0.15404786964452799</v>
      </c>
      <c r="U312" s="133">
        <v>0.18880097123689499</v>
      </c>
      <c r="V312" s="134">
        <f>IFERROR(V311/V8,0)+SUMIFS(Aut_Ajustes_Manuais!$G:$G,Aut_Ajustes_Manuais!$I:$I,DRE!T$4,Aut_Ajustes_Manuais!$F:$F,"% sobre Receita Bruta")</f>
        <v>8.6506915575533805E-2</v>
      </c>
      <c r="W312" s="262">
        <v>4.5727779923755298E-2</v>
      </c>
      <c r="X312" s="133">
        <v>0.12659456834712651</v>
      </c>
      <c r="Y312" s="134">
        <f>IFERROR(Y311/Y8,0)+SUMIFS(Aut_Ajustes_Manuais!$G:$G,Aut_Ajustes_Manuais!$I:$I,DRE!W$4,Aut_Ajustes_Manuais!$F:$F,"% sobre Receita Bruta")</f>
        <v>-0.13601511129724858</v>
      </c>
      <c r="Z312" s="262">
        <v>9.7778575420214259E-2</v>
      </c>
      <c r="AA312" s="133">
        <v>0.14414891101072999</v>
      </c>
      <c r="AB312" s="134">
        <f>IFERROR(AB311/AB8,0)+SUMIFS(Aut_Ajustes_Manuais!$G:$G,Aut_Ajustes_Manuais!$I:$I,DRE!Z$4,Aut_Ajustes_Manuais!$F:$F,"% sobre Receita Bruta")</f>
        <v>-1.719861362790962</v>
      </c>
      <c r="AC312" s="262">
        <v>0.1798365214843039</v>
      </c>
      <c r="AD312" s="133">
        <v>0.1714856144565923</v>
      </c>
      <c r="AE312" s="134">
        <f>IFERROR(AE311/AE8,0)+SUMIFS(Aut_Ajustes_Manuais!$G:$G,Aut_Ajustes_Manuais!$I:$I,DRE!AC$4,Aut_Ajustes_Manuais!$F:$F,"% sobre Receita Bruta")</f>
        <v>0</v>
      </c>
      <c r="AF312" s="262">
        <v>5.9772736815299377E-2</v>
      </c>
      <c r="AG312" s="133">
        <v>0.1205102970217771</v>
      </c>
      <c r="AH312" s="134">
        <f>IFERROR(AH311/AH8,0)+SUMIFS(Aut_Ajustes_Manuais!$G:$G,Aut_Ajustes_Manuais!$I:$I,DRE!AF$4,Aut_Ajustes_Manuais!$F:$F,"% sobre Receita Bruta")</f>
        <v>0</v>
      </c>
      <c r="AI312" s="262">
        <v>6.5189720039063231E-2</v>
      </c>
      <c r="AJ312" s="133">
        <v>0.11347751908327131</v>
      </c>
      <c r="AK312" s="134">
        <f>IFERROR(AK311/AK8,0)+SUMIFS(Aut_Ajustes_Manuais!$G:$G,Aut_Ajustes_Manuais!$I:$I,DRE!AI$4,Aut_Ajustes_Manuais!$F:$F,"% sobre Receita Bruta")</f>
        <v>0</v>
      </c>
      <c r="AL312" s="262">
        <v>9.7920278236788005E-2</v>
      </c>
      <c r="AM312" s="133">
        <v>0.15848118497244229</v>
      </c>
      <c r="AN312" s="134">
        <f>IFERROR(AN311/AN8,0)+SUMIFS(Aut_Ajustes_Manuais!$G:$G,Aut_Ajustes_Manuais!$I:$I,DRE!AL$4,Aut_Ajustes_Manuais!$F:$F,"% sobre Receita Bruta")</f>
        <v>0</v>
      </c>
      <c r="AO312" s="262">
        <v>0.1207953227298211</v>
      </c>
      <c r="AP312" s="133">
        <v>0.13673432127128279</v>
      </c>
      <c r="AQ312" s="134">
        <f>IFERROR(AQ311/AQ8,0)+SUMIFS(Aut_Ajustes_Manuais!$G:$G,Aut_Ajustes_Manuais!$I:$I,DRE!AO$4,Aut_Ajustes_Manuais!$F:$F,"% sobre Receita Bruta")</f>
        <v>0</v>
      </c>
      <c r="AR312" s="262">
        <f t="shared" ref="AR312:BI312" ca="1" si="306">IFERROR(AR311/AR8,0)</f>
        <v>4.5253215209802022E-2</v>
      </c>
      <c r="AS312" s="133">
        <f t="shared" ca="1" si="306"/>
        <v>8.2125918295282721E-2</v>
      </c>
      <c r="AT312" s="134">
        <f t="shared" ca="1" si="306"/>
        <v>2.4841229191956572E-2</v>
      </c>
      <c r="AU312" s="262">
        <f t="shared" si="306"/>
        <v>7.8018927339175204E-2</v>
      </c>
      <c r="AV312" s="133">
        <f t="shared" si="306"/>
        <v>0.11428157444362125</v>
      </c>
      <c r="AW312" s="134">
        <f t="shared" si="306"/>
        <v>-0.4350341979931327</v>
      </c>
      <c r="AX312" s="262">
        <f t="shared" si="306"/>
        <v>1.08827675206887E-2</v>
      </c>
      <c r="AY312" s="133">
        <f t="shared" si="306"/>
        <v>4.8836434427824295E-2</v>
      </c>
      <c r="AZ312" s="134">
        <f t="shared" si="306"/>
        <v>4.5902031629793415E-2</v>
      </c>
      <c r="BA312" s="262">
        <f t="shared" si="306"/>
        <v>7.5335093908247788E-2</v>
      </c>
      <c r="BB312" s="133">
        <f t="shared" si="306"/>
        <v>0.10999920388142173</v>
      </c>
      <c r="BC312" s="134">
        <f t="shared" si="306"/>
        <v>-1.5807485066269788E-4</v>
      </c>
      <c r="BD312" s="262">
        <f t="shared" si="306"/>
        <v>0.11619001965345858</v>
      </c>
      <c r="BE312" s="133">
        <f t="shared" si="306"/>
        <v>0.14655746672249201</v>
      </c>
      <c r="BF312" s="134">
        <f t="shared" si="306"/>
        <v>-6.3854807656438641</v>
      </c>
      <c r="BG312" s="262">
        <f t="shared" si="306"/>
        <v>9.7218612850069261E-2</v>
      </c>
      <c r="BH312" s="133">
        <f t="shared" si="306"/>
        <v>0.13735106289513721</v>
      </c>
      <c r="BI312" s="134">
        <f t="shared" si="306"/>
        <v>0</v>
      </c>
      <c r="BK312" s="448">
        <f t="shared" si="302"/>
        <v>1.2462981883472677</v>
      </c>
      <c r="BL312" s="448">
        <f t="shared" si="303"/>
        <v>1.1320166139036465</v>
      </c>
      <c r="BM312" s="448">
        <f t="shared" si="304"/>
        <v>0.18478681046832951</v>
      </c>
      <c r="BN312" s="448">
        <f t="shared" ca="1" si="305"/>
        <v>0.15994558127637293</v>
      </c>
    </row>
    <row r="313" spans="1:66" x14ac:dyDescent="0.3">
      <c r="A313" s="18"/>
      <c r="E313" s="16"/>
      <c r="F313" s="17"/>
      <c r="G313" s="47"/>
      <c r="H313" s="247"/>
      <c r="I313" s="17"/>
      <c r="J313" s="57"/>
      <c r="K313" s="247"/>
      <c r="L313" s="17"/>
      <c r="M313" s="57"/>
      <c r="N313" s="247"/>
      <c r="O313" s="17"/>
      <c r="P313" s="57"/>
      <c r="Q313" s="247"/>
      <c r="R313" s="17"/>
      <c r="S313" s="57"/>
      <c r="T313" s="247"/>
      <c r="U313" s="17"/>
      <c r="V313" s="57"/>
      <c r="W313" s="247"/>
      <c r="X313" s="17"/>
      <c r="Y313" s="57"/>
      <c r="Z313" s="247"/>
      <c r="AA313" s="17"/>
      <c r="AB313" s="57"/>
      <c r="AC313" s="247"/>
      <c r="AD313" s="17"/>
      <c r="AE313" s="57"/>
      <c r="AF313" s="247"/>
      <c r="AG313" s="17"/>
      <c r="AH313" s="57"/>
      <c r="AI313" s="247"/>
      <c r="AJ313" s="17"/>
      <c r="AK313" s="57"/>
      <c r="AL313" s="247"/>
      <c r="AM313" s="17"/>
      <c r="AN313" s="57"/>
      <c r="AO313" s="247"/>
      <c r="AP313" s="17"/>
      <c r="AQ313" s="57"/>
      <c r="AR313" s="247"/>
      <c r="AS313" s="17"/>
      <c r="AT313" s="250"/>
      <c r="AU313" s="247"/>
      <c r="AV313" s="17"/>
      <c r="AW313" s="57"/>
      <c r="AX313" s="247"/>
      <c r="AY313" s="17"/>
      <c r="AZ313" s="57"/>
      <c r="BA313" s="247"/>
      <c r="BB313" s="17"/>
      <c r="BC313" s="57"/>
      <c r="BD313" s="247"/>
      <c r="BE313" s="17"/>
      <c r="BF313" s="57"/>
      <c r="BG313" s="247"/>
      <c r="BH313" s="17"/>
      <c r="BI313" s="57"/>
      <c r="BK313" s="448">
        <f t="shared" si="302"/>
        <v>0</v>
      </c>
      <c r="BL313" s="448">
        <f t="shared" si="303"/>
        <v>0</v>
      </c>
      <c r="BM313" s="448">
        <f t="shared" si="304"/>
        <v>0</v>
      </c>
      <c r="BN313" s="448">
        <f t="shared" si="305"/>
        <v>0</v>
      </c>
    </row>
    <row r="314" spans="1:66" x14ac:dyDescent="0.3">
      <c r="A314" s="39" t="s">
        <v>331</v>
      </c>
      <c r="B314" s="59"/>
      <c r="C314" s="135" t="s">
        <v>332</v>
      </c>
      <c r="D314" s="61"/>
      <c r="E314" s="62"/>
      <c r="F314" s="63"/>
      <c r="G314" s="47"/>
      <c r="H314" s="244"/>
      <c r="I314" s="42"/>
      <c r="J314" s="43"/>
      <c r="K314" s="244"/>
      <c r="L314" s="42"/>
      <c r="M314" s="43"/>
      <c r="N314" s="244"/>
      <c r="O314" s="42"/>
      <c r="P314" s="43"/>
      <c r="Q314" s="244"/>
      <c r="R314" s="42"/>
      <c r="S314" s="43"/>
      <c r="T314" s="244"/>
      <c r="U314" s="42"/>
      <c r="V314" s="43"/>
      <c r="W314" s="244"/>
      <c r="X314" s="42"/>
      <c r="Y314" s="43"/>
      <c r="Z314" s="244"/>
      <c r="AA314" s="42"/>
      <c r="AB314" s="43"/>
      <c r="AC314" s="244"/>
      <c r="AD314" s="42"/>
      <c r="AE314" s="43"/>
      <c r="AF314" s="244"/>
      <c r="AG314" s="42"/>
      <c r="AH314" s="43"/>
      <c r="AI314" s="244"/>
      <c r="AJ314" s="42"/>
      <c r="AK314" s="43"/>
      <c r="AL314" s="244"/>
      <c r="AM314" s="42"/>
      <c r="AN314" s="43"/>
      <c r="AO314" s="244"/>
      <c r="AP314" s="42"/>
      <c r="AQ314" s="43"/>
      <c r="AR314" s="244">
        <f ca="1">SUMIFS($H314:$AO314,$H$5:$AO$5,"&lt;"&amp;MONTH(TODAY()),$H$6:$AO$6,"REAL 25")</f>
        <v>0</v>
      </c>
      <c r="AS314" s="42">
        <f ca="1">SUMIFS($I314:$AP314,$I$5:$AP$5,"&lt;"&amp;MONTH(TODAY()),$I$6:$AP$6,"ORÇADO ")</f>
        <v>0</v>
      </c>
      <c r="AT314" s="43">
        <f ca="1">SUMIFS($J314:$AQ314,$J$5:$AQ$5,"&lt;"&amp;MONTH(TODAY()),$J$6:$AQ$6,"REAL 26")</f>
        <v>0</v>
      </c>
      <c r="AU314" s="244">
        <f>SUM(H314,K314,N314,Q314,T314,W314,Z314,AC314,AF314,AI314,AL314,AO314)</f>
        <v>0</v>
      </c>
      <c r="AV314" s="42">
        <f>SUM(I314,L314,O314,R314,U314,X314,AA314,AD314,AG314,AJ314,AM314,AP314)</f>
        <v>0</v>
      </c>
      <c r="AW314" s="43">
        <f>SUM(J314,M314,P314,S314,V314,Y314,AB314,AE314,AH314,AK314,AN314,AQ314)</f>
        <v>0</v>
      </c>
      <c r="AX314" s="244">
        <f>SUM(H314,K314,N314)</f>
        <v>0</v>
      </c>
      <c r="AY314" s="42">
        <f>SUM(I314,L314,O314)</f>
        <v>0</v>
      </c>
      <c r="AZ314" s="43">
        <f>SUM(J314,M314,P314)</f>
        <v>0</v>
      </c>
      <c r="BA314" s="244">
        <f>SUM(Q314,T314,W314)</f>
        <v>0</v>
      </c>
      <c r="BB314" s="42">
        <f>SUM(R314,U314,X314)</f>
        <v>0</v>
      </c>
      <c r="BC314" s="43">
        <f>SUM(S314,V314,Y314)</f>
        <v>0</v>
      </c>
      <c r="BD314" s="244">
        <f>SUM(Z314,AC314,AF314)</f>
        <v>0</v>
      </c>
      <c r="BE314" s="42">
        <f>SUM(AA314,AD314,AG314)</f>
        <v>0</v>
      </c>
      <c r="BF314" s="43">
        <f>SUM(AB314,AE314,AH314)</f>
        <v>0</v>
      </c>
      <c r="BG314" s="244">
        <f>SUM(AI314,AL314,AO314)</f>
        <v>0</v>
      </c>
      <c r="BH314" s="42">
        <f>SUM(AJ314,AM314,AP314)</f>
        <v>0</v>
      </c>
      <c r="BI314" s="43">
        <f>SUM(AK314,AN314,AQ314)</f>
        <v>0</v>
      </c>
      <c r="BK314" s="448">
        <f t="shared" si="302"/>
        <v>0</v>
      </c>
      <c r="BL314" s="448">
        <f t="shared" si="303"/>
        <v>0</v>
      </c>
      <c r="BM314" s="448">
        <f t="shared" si="304"/>
        <v>0</v>
      </c>
      <c r="BN314" s="448">
        <f t="shared" ca="1" si="305"/>
        <v>0</v>
      </c>
    </row>
    <row r="315" spans="1:66" x14ac:dyDescent="0.3">
      <c r="A315" s="18"/>
      <c r="E315" s="16"/>
      <c r="F315" s="17"/>
      <c r="G315" s="47"/>
      <c r="H315" s="247"/>
      <c r="I315" s="17"/>
      <c r="J315" s="57"/>
      <c r="K315" s="247"/>
      <c r="L315" s="17"/>
      <c r="M315" s="57"/>
      <c r="N315" s="247"/>
      <c r="O315" s="17"/>
      <c r="P315" s="57"/>
      <c r="Q315" s="247"/>
      <c r="R315" s="17"/>
      <c r="S315" s="57"/>
      <c r="T315" s="247"/>
      <c r="U315" s="17"/>
      <c r="V315" s="57"/>
      <c r="W315" s="247"/>
      <c r="X315" s="17"/>
      <c r="Y315" s="57"/>
      <c r="Z315" s="247"/>
      <c r="AA315" s="17"/>
      <c r="AB315" s="57"/>
      <c r="AC315" s="247"/>
      <c r="AD315" s="17"/>
      <c r="AE315" s="57"/>
      <c r="AF315" s="247"/>
      <c r="AG315" s="17"/>
      <c r="AH315" s="57"/>
      <c r="AI315" s="247"/>
      <c r="AJ315" s="17"/>
      <c r="AK315" s="57"/>
      <c r="AL315" s="247"/>
      <c r="AM315" s="17"/>
      <c r="AN315" s="57"/>
      <c r="AO315" s="247"/>
      <c r="AP315" s="17"/>
      <c r="AQ315" s="57"/>
      <c r="AR315" s="247"/>
      <c r="AS315" s="17"/>
      <c r="AT315" s="57"/>
      <c r="AU315" s="247"/>
      <c r="AV315" s="17"/>
      <c r="AW315" s="57"/>
      <c r="AX315" s="247"/>
      <c r="AY315" s="17"/>
      <c r="AZ315" s="57"/>
      <c r="BA315" s="247"/>
      <c r="BB315" s="17"/>
      <c r="BC315" s="57"/>
      <c r="BD315" s="247"/>
      <c r="BE315" s="17"/>
      <c r="BF315" s="57"/>
      <c r="BG315" s="247"/>
      <c r="BH315" s="17"/>
      <c r="BI315" s="57"/>
      <c r="BK315" s="448">
        <f t="shared" si="302"/>
        <v>0</v>
      </c>
      <c r="BL315" s="448">
        <f t="shared" si="303"/>
        <v>0</v>
      </c>
      <c r="BM315" s="448">
        <f t="shared" si="304"/>
        <v>0</v>
      </c>
      <c r="BN315" s="448">
        <f t="shared" si="305"/>
        <v>0</v>
      </c>
    </row>
    <row r="316" spans="1:66" x14ac:dyDescent="0.3">
      <c r="A316" s="58" t="s">
        <v>333</v>
      </c>
      <c r="B316" s="59"/>
      <c r="C316" s="60"/>
      <c r="D316" s="61"/>
      <c r="E316" s="62"/>
      <c r="F316" s="63"/>
      <c r="G316" s="47"/>
      <c r="H316" s="248">
        <v>17674.623548248521</v>
      </c>
      <c r="I316" s="64">
        <v>38223.047459264111</v>
      </c>
      <c r="J316" s="65">
        <f>SUM(J314,J311)+SUMIFS(Aut_Ajustes_Manuais!$G:$G,Aut_Ajustes_Manuais!$I:$I,DRE!H$4,Aut_Ajustes_Manuais!$F:$F,"EBIT")</f>
        <v>43927.155553729885</v>
      </c>
      <c r="K316" s="248">
        <v>277.97970614343649</v>
      </c>
      <c r="L316" s="64">
        <v>18861.264905557589</v>
      </c>
      <c r="M316" s="65">
        <f>SUM(M314,M311)+SUMIFS(Aut_Ajustes_Manuais!$G:$G,Aut_Ajustes_Manuais!$I:$I,DRE!K$4,Aut_Ajustes_Manuais!$F:$F,"EBIT")</f>
        <v>-5112.4136981032498</v>
      </c>
      <c r="N316" s="248">
        <v>-7557.820492386847</v>
      </c>
      <c r="O316" s="64">
        <v>-7521.7642533956969</v>
      </c>
      <c r="P316" s="65">
        <f>SUM(P314,P311)+SUMIFS(Aut_Ajustes_Manuais!$G:$G,Aut_Ajustes_Manuais!$I:$I,DRE!N$4,Aut_Ajustes_Manuais!$F:$F,"EBIT")</f>
        <v>12334.160394399863</v>
      </c>
      <c r="Q316" s="248">
        <v>339.25169993340393</v>
      </c>
      <c r="R316" s="64">
        <v>-12665.686623456309</v>
      </c>
      <c r="S316" s="65">
        <f>SUM(S314,S311)+SUMIFS(Aut_Ajustes_Manuais!$G:$G,Aut_Ajustes_Manuais!$I:$I,DRE!Q$4,Aut_Ajustes_Manuais!$F:$F,"EBIT")</f>
        <v>18722.14080489098</v>
      </c>
      <c r="T316" s="248">
        <v>67164.583095498005</v>
      </c>
      <c r="U316" s="64">
        <v>91371.726145631721</v>
      </c>
      <c r="V316" s="65">
        <f>SUM(V314,V311)+SUMIFS(Aut_Ajustes_Manuais!$G:$G,Aut_Ajustes_Manuais!$I:$I,DRE!T$4,Aut_Ajustes_Manuais!$F:$F,"EBIT")</f>
        <v>32250.733162906952</v>
      </c>
      <c r="W316" s="248">
        <v>15176.82929151735</v>
      </c>
      <c r="X316" s="64">
        <v>54620.963517440017</v>
      </c>
      <c r="Y316" s="65">
        <f>SUM(Y314,Y311)+SUMIFS(Aut_Ajustes_Manuais!$G:$G,Aut_Ajustes_Manuais!$I:$I,DRE!W$4,Aut_Ajustes_Manuais!$F:$F,"EBIT")</f>
        <v>-48897.043508142553</v>
      </c>
      <c r="Z316" s="248">
        <v>34823.216786383877</v>
      </c>
      <c r="AA316" s="64">
        <v>61605.259713489999</v>
      </c>
      <c r="AB316" s="65">
        <f>SUM(AB314,AB311)+SUMIFS(Aut_Ajustes_Manuais!$G:$G,Aut_Ajustes_Manuais!$I:$I,DRE!Z$4,Aut_Ajustes_Manuais!$F:$F,"EBIT")</f>
        <v>-135078.56498092</v>
      </c>
      <c r="AC316" s="248">
        <v>74725.214622393396</v>
      </c>
      <c r="AD316" s="64">
        <v>79093.346309552202</v>
      </c>
      <c r="AE316" s="65">
        <f>SUM(AE314,AE311)+SUMIFS(Aut_Ajustes_Manuais!$G:$G,Aut_Ajustes_Manuais!$I:$I,DRE!AC$4,Aut_Ajustes_Manuais!$F:$F,"EBIT")</f>
        <v>-191219.76041772001</v>
      </c>
      <c r="AF316" s="248">
        <v>21072.031982280489</v>
      </c>
      <c r="AG316" s="64">
        <v>48431.986619712727</v>
      </c>
      <c r="AH316" s="65">
        <f>SUM(AH314,AH311)+SUMIFS(Aut_Ajustes_Manuais!$G:$G,Aut_Ajustes_Manuais!$I:$I,DRE!AF$4,Aut_Ajustes_Manuais!$F:$F,"EBIT")</f>
        <v>-175219.76041772001</v>
      </c>
      <c r="AI316" s="248">
        <v>23658.18122300375</v>
      </c>
      <c r="AJ316" s="64">
        <v>45893.255501490457</v>
      </c>
      <c r="AK316" s="65">
        <f>SUM(AK314,AK311)+SUMIFS(Aut_Ajustes_Manuais!$G:$G,Aut_Ajustes_Manuais!$I:$I,DRE!AI$4,Aut_Ajustes_Manuais!$F:$F,"EBIT")</f>
        <v>-171219.76041772001</v>
      </c>
      <c r="AL316" s="248">
        <v>42060.031998399121</v>
      </c>
      <c r="AM316" s="64">
        <v>74380.519908570044</v>
      </c>
      <c r="AN316" s="65">
        <f>SUM(AN314,AN311)+SUMIFS(Aut_Ajustes_Manuais!$G:$G,Aut_Ajustes_Manuais!$I:$I,DRE!AL$4,Aut_Ajustes_Manuais!$F:$F,"EBIT")</f>
        <v>-170258.71125105332</v>
      </c>
      <c r="AO316" s="248">
        <v>58009.854318287536</v>
      </c>
      <c r="AP316" s="64">
        <v>58084.739676040947</v>
      </c>
      <c r="AQ316" s="65">
        <f>SUM(AQ314,AQ311)+SUMIFS(Aut_Ajustes_Manuais!$G:$G,Aut_Ajustes_Manuais!$I:$I,DRE!AO$4,Aut_Ajustes_Manuais!$F:$F,"EBIT")</f>
        <v>-170873.71125105332</v>
      </c>
      <c r="AR316" s="248">
        <f t="shared" ref="AR316:BI316" ca="1" si="307">SUM(AR314,AR311)</f>
        <v>93075.446848953608</v>
      </c>
      <c r="AS316" s="64">
        <f t="shared" ca="1" si="307"/>
        <v>182889.55115104024</v>
      </c>
      <c r="AT316" s="65">
        <f t="shared" ca="1" si="307"/>
        <v>53224.732709682314</v>
      </c>
      <c r="AU316" s="248">
        <f t="shared" si="307"/>
        <v>347468.64777970174</v>
      </c>
      <c r="AV316" s="64">
        <f t="shared" si="307"/>
        <v>550378.65887989802</v>
      </c>
      <c r="AW316" s="65">
        <f t="shared" si="307"/>
        <v>-966270.53602650482</v>
      </c>
      <c r="AX316" s="248">
        <f t="shared" si="307"/>
        <v>10439.452762005036</v>
      </c>
      <c r="AY316" s="64">
        <f t="shared" si="307"/>
        <v>49562.548111425946</v>
      </c>
      <c r="AZ316" s="65">
        <f t="shared" si="307"/>
        <v>47773.902250026586</v>
      </c>
      <c r="BA316" s="248">
        <f t="shared" si="307"/>
        <v>82680.664086948731</v>
      </c>
      <c r="BB316" s="64">
        <f t="shared" si="307"/>
        <v>133327.00303961523</v>
      </c>
      <c r="BC316" s="65">
        <f t="shared" si="307"/>
        <v>-174.16954034438822</v>
      </c>
      <c r="BD316" s="248">
        <f t="shared" si="307"/>
        <v>130620.4633910578</v>
      </c>
      <c r="BE316" s="64">
        <f t="shared" si="307"/>
        <v>189130.59264275525</v>
      </c>
      <c r="BF316" s="65">
        <f t="shared" si="307"/>
        <v>-501518.08581635996</v>
      </c>
      <c r="BG316" s="248">
        <f t="shared" si="307"/>
        <v>123728.06753969076</v>
      </c>
      <c r="BH316" s="64">
        <f t="shared" si="307"/>
        <v>178358.51508610137</v>
      </c>
      <c r="BI316" s="65">
        <f t="shared" si="307"/>
        <v>-512352.18291982665</v>
      </c>
      <c r="BK316" s="448">
        <f t="shared" si="302"/>
        <v>550378.65887989779</v>
      </c>
      <c r="BL316" s="448">
        <f t="shared" si="303"/>
        <v>0</v>
      </c>
      <c r="BM316" s="448">
        <f t="shared" si="304"/>
        <v>69871.043054917478</v>
      </c>
      <c r="BN316" s="448">
        <f t="shared" ca="1" si="305"/>
        <v>16646.310345235164</v>
      </c>
    </row>
    <row r="317" spans="1:66" x14ac:dyDescent="0.3">
      <c r="A317" s="18"/>
      <c r="E317" s="16"/>
      <c r="F317" s="17"/>
      <c r="G317" s="47"/>
      <c r="H317" s="247"/>
      <c r="I317" s="17"/>
      <c r="J317" s="57"/>
      <c r="K317" s="247"/>
      <c r="L317" s="17"/>
      <c r="M317" s="57"/>
      <c r="N317" s="247"/>
      <c r="O317" s="17"/>
      <c r="P317" s="57"/>
      <c r="Q317" s="247"/>
      <c r="R317" s="17"/>
      <c r="S317" s="57"/>
      <c r="T317" s="247"/>
      <c r="U317" s="17"/>
      <c r="V317" s="57"/>
      <c r="W317" s="247"/>
      <c r="X317" s="17"/>
      <c r="Y317" s="57"/>
      <c r="Z317" s="247"/>
      <c r="AA317" s="17"/>
      <c r="AB317" s="57"/>
      <c r="AC317" s="247"/>
      <c r="AD317" s="17"/>
      <c r="AE317" s="57"/>
      <c r="AF317" s="247"/>
      <c r="AG317" s="17"/>
      <c r="AH317" s="57"/>
      <c r="AI317" s="247"/>
      <c r="AJ317" s="17"/>
      <c r="AK317" s="57"/>
      <c r="AL317" s="247"/>
      <c r="AM317" s="17"/>
      <c r="AN317" s="57"/>
      <c r="AO317" s="247"/>
      <c r="AP317" s="17"/>
      <c r="AQ317" s="57"/>
      <c r="AR317" s="247"/>
      <c r="AS317" s="17"/>
      <c r="AT317" s="57"/>
      <c r="AU317" s="247"/>
      <c r="AV317" s="17"/>
      <c r="AW317" s="57"/>
      <c r="AX317" s="247"/>
      <c r="AY317" s="17"/>
      <c r="AZ317" s="57"/>
      <c r="BA317" s="247"/>
      <c r="BB317" s="17"/>
      <c r="BC317" s="57"/>
      <c r="BD317" s="247"/>
      <c r="BE317" s="17"/>
      <c r="BF317" s="57"/>
      <c r="BG317" s="247"/>
      <c r="BH317" s="17"/>
      <c r="BI317" s="57"/>
      <c r="BK317" s="448">
        <f t="shared" si="302"/>
        <v>0</v>
      </c>
      <c r="BL317" s="448">
        <f t="shared" si="303"/>
        <v>0</v>
      </c>
      <c r="BM317" s="448">
        <f t="shared" si="304"/>
        <v>0</v>
      </c>
      <c r="BN317" s="448">
        <f t="shared" si="305"/>
        <v>0</v>
      </c>
    </row>
    <row r="318" spans="1:66" x14ac:dyDescent="0.3">
      <c r="A318" s="39" t="s">
        <v>334</v>
      </c>
      <c r="B318" s="59"/>
      <c r="C318" s="136" t="s">
        <v>62</v>
      </c>
      <c r="D318" s="137">
        <v>1.5E-3</v>
      </c>
      <c r="E318" s="62"/>
      <c r="F318" s="63"/>
      <c r="G318" s="47"/>
      <c r="H318" s="244">
        <v>-2678.81</v>
      </c>
      <c r="I318" s="42">
        <v>13171.4828965</v>
      </c>
      <c r="J318" s="67">
        <f>SUMIFS(Aut_BlueMe_Sem_Pedido!$J:$J,Aut_BlueMe_Sem_Pedido!$Q:$Q,DRE!H$4,Aut_BlueMe_Sem_Pedido!$H:$H,"Tarifas Bancárias")+(SUMIFS(Aut_BlueMe_Sem_Pedido!$K:$K,Aut_BlueMe_Sem_Pedido!$Q:$Q,DRE!H4,Aut_BlueMe_Sem_Pedido!$H:$H,"Aluguel de Imoveis")-SUMIFS(Aut_BlueMe_Sem_Pedido!$J:$J,Aut_BlueMe_Sem_Pedido!$Q:$Q,DRE!H4,Aut_BlueMe_Sem_Pedido!$H:$H,"Aluguel de Imoveis"))+SUMIFS(Aut_Ajustes_Manuais!$G:$G,Aut_Ajustes_Manuais!$I:$I,DRE!H$4,Aut_Ajustes_Manuais!$F:$F,"(+/-) Receitas/Despesas Financeiras")</f>
        <v>1186.5999999999999</v>
      </c>
      <c r="K318" s="244">
        <v>-1902.76</v>
      </c>
      <c r="L318" s="42">
        <v>13200.2543695</v>
      </c>
      <c r="M318" s="67">
        <f>SUMIFS(Aut_BlueMe_Sem_Pedido!$J:$J,Aut_BlueMe_Sem_Pedido!$Q:$Q,DRE!K$4,Aut_BlueMe_Sem_Pedido!$H:$H,"Tarifas Bancárias")+(SUMIFS(Aut_BlueMe_Sem_Pedido!$K:$K,Aut_BlueMe_Sem_Pedido!$Q:$Q,DRE!K4,Aut_BlueMe_Sem_Pedido!$H:$H,"Aluguel de Imoveis")-SUMIFS(Aut_BlueMe_Sem_Pedido!$J:$J,Aut_BlueMe_Sem_Pedido!$Q:$Q,DRE!K4,Aut_BlueMe_Sem_Pedido!$H:$H,"Aluguel de Imoveis"))+SUMIFS(Aut_Ajustes_Manuais!$G:$G,Aut_Ajustes_Manuais!$I:$I,DRE!K$4,Aut_Ajustes_Manuais!$F:$F,"(+/-) Receitas/Despesas Financeiras")</f>
        <v>1308</v>
      </c>
      <c r="N318" s="244">
        <v>-2311.329999999999</v>
      </c>
      <c r="O318" s="42">
        <v>13305.650317</v>
      </c>
      <c r="P318" s="67">
        <f>SUMIFS(Aut_BlueMe_Sem_Pedido!$J:$J,Aut_BlueMe_Sem_Pedido!$Q:$Q,DRE!N$4,Aut_BlueMe_Sem_Pedido!$H:$H,"Tarifas Bancárias")+(SUMIFS(Aut_BlueMe_Sem_Pedido!$K:$K,Aut_BlueMe_Sem_Pedido!$Q:$Q,DRE!N4,Aut_BlueMe_Sem_Pedido!$H:$H,"Aluguel de Imoveis")-SUMIFS(Aut_BlueMe_Sem_Pedido!$J:$J,Aut_BlueMe_Sem_Pedido!$Q:$Q,DRE!N4,Aut_BlueMe_Sem_Pedido!$H:$H,"Aluguel de Imoveis")+SUMIFS(Aut_Ajustes_Manuais!$G:$G,Aut_Ajustes_Manuais!$I:$I,DRE!N$4,Aut_Ajustes_Manuais!$F:$F,"(+/-) Receitas/Despesas Financeiras"))</f>
        <v>1192.1800000000017</v>
      </c>
      <c r="Q318" s="244">
        <v>-1169.46</v>
      </c>
      <c r="R318" s="42">
        <v>13288.2538135</v>
      </c>
      <c r="S318" s="67">
        <f>SUMIFS(Aut_BlueMe_Sem_Pedido!$J:$J,Aut_BlueMe_Sem_Pedido!$Q:$Q,DRE!Q$4,Aut_BlueMe_Sem_Pedido!$H:$H,"Tarifas Bancárias")+(SUMIFS(Aut_BlueMe_Sem_Pedido!$K:$K,Aut_BlueMe_Sem_Pedido!$Q:$Q,DRE!Q4,Aut_BlueMe_Sem_Pedido!$H:$H,"Aluguel de Imoveis")-SUMIFS(Aut_BlueMe_Sem_Pedido!$J:$J,Aut_BlueMe_Sem_Pedido!$Q:$Q,DRE!Q4,Aut_BlueMe_Sem_Pedido!$H:$H,"Aluguel de Imoveis"))+SUMIFS(Aut_Ajustes_Manuais!$G:$G,Aut_Ajustes_Manuais!$I:$I,DRE!Q$4,Aut_Ajustes_Manuais!$F:$F,"(+/-) Receitas/Despesas Financeiras")</f>
        <v>1159.1000000000017</v>
      </c>
      <c r="T318" s="244">
        <v>-1188.33</v>
      </c>
      <c r="U318" s="42">
        <v>13007.29311355</v>
      </c>
      <c r="V318" s="43">
        <f>SUMIFS(Aut_BlueMe_Sem_Pedido!$J:$J,Aut_BlueMe_Sem_Pedido!$Q:$Q,DRE!T$4,Aut_BlueMe_Sem_Pedido!$H:$H,"Tarifas Bancárias")+(SUMIFS(Aut_BlueMe_Sem_Pedido!$K:$K,Aut_BlueMe_Sem_Pedido!$Q:$Q,DRE!T4,Aut_BlueMe_Sem_Pedido!$H:$H,"Aluguel de Imoveis")-SUMIFS(Aut_BlueMe_Sem_Pedido!$J:$J,Aut_BlueMe_Sem_Pedido!$Q:$Q,DRE!T4,Aut_BlueMe_Sem_Pedido!$H:$H,"Aluguel de Imoveis"))+SUMIFS(Aut_Ajustes_Manuais!$G:$G,Aut_Ajustes_Manuais!$I:$I,DRE!T$4,Aut_Ajustes_Manuais!$F:$F,"(+/-) Receitas/Despesas Financeiras")</f>
        <v>815.1</v>
      </c>
      <c r="W318" s="244">
        <v>-1167.53</v>
      </c>
      <c r="X318" s="42">
        <v>13086.034418499999</v>
      </c>
      <c r="Y318" s="43">
        <f>SUMIFS(Aut_BlueMe_Sem_Pedido!$J:$J,Aut_BlueMe_Sem_Pedido!$Q:$Q,DRE!W$4,Aut_BlueMe_Sem_Pedido!$H:$H,"Tarifas Bancárias")+(SUMIFS(Aut_BlueMe_Sem_Pedido!$K:$K,Aut_BlueMe_Sem_Pedido!$Q:$Q,DRE!W4,Aut_BlueMe_Sem_Pedido!$H:$H,"Aluguel de Imoveis")-SUMIFS(Aut_BlueMe_Sem_Pedido!$J:$J,Aut_BlueMe_Sem_Pedido!$Q:$Q,DRE!W4,Aut_BlueMe_Sem_Pedido!$H:$H,"Aluguel de Imoveis"))+SUMIFS(Aut_Ajustes_Manuais!$G:$G,Aut_Ajustes_Manuais!$I:$I,DRE!W$4,Aut_Ajustes_Manuais!$F:$F,"(+/-) Receitas/Despesas Financeiras")</f>
        <v>7192.489999999998</v>
      </c>
      <c r="Z318" s="244">
        <v>-1212.75</v>
      </c>
      <c r="AA318" s="42">
        <v>13092.171466</v>
      </c>
      <c r="AB318" s="43">
        <f>SUMIFS(Aut_BlueMe_Sem_Pedido!$J:$J,Aut_BlueMe_Sem_Pedido!$Q:$Q,DRE!Z$4,Aut_BlueMe_Sem_Pedido!$H:$H,"Tarifas Bancárias")+(SUMIFS(Aut_BlueMe_Sem_Pedido!$K:$K,Aut_BlueMe_Sem_Pedido!$Q:$Q,DRE!Z4,Aut_BlueMe_Sem_Pedido!$H:$H,"Aluguel de Imoveis")-SUMIFS(Aut_BlueMe_Sem_Pedido!$J:$J,Aut_BlueMe_Sem_Pedido!$Q:$Q,DRE!Z4,Aut_BlueMe_Sem_Pedido!$H:$H,"Aluguel de Imoveis"))+SUMIFS(Aut_Ajustes_Manuais!$G:$G,Aut_Ajustes_Manuais!$I:$I,DRE!Z$4,Aut_Ajustes_Manuais!$F:$F,"(+/-) Receitas/Despesas Financeiras")</f>
        <v>-402.5</v>
      </c>
      <c r="AC318" s="244">
        <v>-700.71</v>
      </c>
      <c r="AD318" s="42">
        <v>13041.393429100001</v>
      </c>
      <c r="AE318" s="43">
        <f>SUMIFS(Aut_BlueMe_Sem_Pedido!$J:$J,Aut_BlueMe_Sem_Pedido!$Q:$Q,DRE!AC$4,Aut_BlueMe_Sem_Pedido!$H:$H,"Tarifas Bancárias")+(SUMIFS(Aut_BlueMe_Sem_Pedido!$K:$K,Aut_BlueMe_Sem_Pedido!$Q:$Q,DRE!AC4,Aut_BlueMe_Sem_Pedido!$H:$H,"Aluguel de Imoveis")-SUMIFS(Aut_BlueMe_Sem_Pedido!$J:$J,Aut_BlueMe_Sem_Pedido!$Q:$Q,DRE!AC4,Aut_BlueMe_Sem_Pedido!$H:$H,"Aluguel de Imoveis"))+SUMIFS(Aut_Ajustes_Manuais!$G:$G,Aut_Ajustes_Manuais!$I:$I,DRE!AC$4,Aut_Ajustes_Manuais!$F:$F,"(+/-) Receitas/Despesas Financeiras")</f>
        <v>-400</v>
      </c>
      <c r="AF318" s="244">
        <v>-849.23</v>
      </c>
      <c r="AG318" s="42">
        <v>13130.3937136</v>
      </c>
      <c r="AH318" s="43">
        <f>SUMIFS(Aut_BlueMe_Sem_Pedido!$J:$J,Aut_BlueMe_Sem_Pedido!$Q:$Q,DRE!AF$4,Aut_BlueMe_Sem_Pedido!$H:$H,"Tarifas Bancárias")+(SUMIFS(Aut_BlueMe_Sem_Pedido!$K:$K,Aut_BlueMe_Sem_Pedido!$Q:$Q,DRE!AF4,Aut_BlueMe_Sem_Pedido!$H:$H,"Aluguel de Imoveis")-SUMIFS(Aut_BlueMe_Sem_Pedido!$J:$J,Aut_BlueMe_Sem_Pedido!$Q:$Q,DRE!AF4,Aut_BlueMe_Sem_Pedido!$H:$H,"Aluguel de Imoveis"))+SUMIFS(Aut_Ajustes_Manuais!$G:$G,Aut_Ajustes_Manuais!$I:$I,DRE!AF$4,Aut_Ajustes_Manuais!$F:$F,"(+/-) Receitas/Despesas Financeiras")</f>
        <v>-400</v>
      </c>
      <c r="AI318" s="244">
        <v>-620.29999999999995</v>
      </c>
      <c r="AJ318" s="42">
        <v>13571.361048000001</v>
      </c>
      <c r="AK318" s="43">
        <f>SUMIFS(Aut_BlueMe_Sem_Pedido!$J:$J,Aut_BlueMe_Sem_Pedido!$Q:$Q,DRE!AI$4,Aut_BlueMe_Sem_Pedido!$H:$H,"Tarifas Bancárias")+(SUMIFS(Aut_BlueMe_Sem_Pedido!$K:$K,Aut_BlueMe_Sem_Pedido!$Q:$Q,DRE!AI4,Aut_BlueMe_Sem_Pedido!$H:$H,"Aluguel de Imoveis")-SUMIFS(Aut_BlueMe_Sem_Pedido!$J:$J,Aut_BlueMe_Sem_Pedido!$Q:$Q,DRE!AI4,Aut_BlueMe_Sem_Pedido!$H:$H,"Aluguel de Imoveis"))+SUMIFS(Aut_Ajustes_Manuais!$G:$G,Aut_Ajustes_Manuais!$I:$I,DRE!AI$4,Aut_Ajustes_Manuais!$F:$F,"(+/-) Receitas/Despesas Financeiras")</f>
        <v>-400</v>
      </c>
      <c r="AL318" s="244">
        <v>-578.4</v>
      </c>
      <c r="AM318" s="42">
        <v>13473.999838199999</v>
      </c>
      <c r="AN318" s="43">
        <f>SUMIFS(Aut_BlueMe_Sem_Pedido!$J:$J,Aut_BlueMe_Sem_Pedido!$Q:$Q,DRE!AL$4,Aut_BlueMe_Sem_Pedido!$H:$H,"Tarifas Bancárias")+(SUMIFS(Aut_BlueMe_Sem_Pedido!$K:$K,Aut_BlueMe_Sem_Pedido!$Q:$Q,DRE!AL4,Aut_BlueMe_Sem_Pedido!$H:$H,"Aluguel de Imoveis")-SUMIFS(Aut_BlueMe_Sem_Pedido!$J:$J,Aut_BlueMe_Sem_Pedido!$Q:$Q,DRE!AL4,Aut_BlueMe_Sem_Pedido!$H:$H,"Aluguel de Imoveis"))+SUMIFS(Aut_Ajustes_Manuais!$G:$G,Aut_Ajustes_Manuais!$I:$I,DRE!AL$4,Aut_Ajustes_Manuais!$F:$F,"(+/-) Receitas/Despesas Financeiras")</f>
        <v>-400</v>
      </c>
      <c r="AO318" s="244">
        <v>-634.6400000000001</v>
      </c>
      <c r="AP318" s="42">
        <v>13540.8</v>
      </c>
      <c r="AQ318" s="43">
        <f>SUMIFS(Aut_BlueMe_Sem_Pedido!$J:$J,Aut_BlueMe_Sem_Pedido!$Q:$Q,DRE!AO$4,Aut_BlueMe_Sem_Pedido!$H:$H,"Tarifas Bancárias")+(SUMIFS(Aut_BlueMe_Sem_Pedido!$K:$K,Aut_BlueMe_Sem_Pedido!$Q:$Q,DRE!AO4,Aut_BlueMe_Sem_Pedido!$H:$H,"Aluguel de Imoveis")-SUMIFS(Aut_BlueMe_Sem_Pedido!$J:$J,Aut_BlueMe_Sem_Pedido!$Q:$Q,DRE!AO4,Aut_BlueMe_Sem_Pedido!$H:$H,"Aluguel de Imoveis"))+SUMIFS(Aut_Ajustes_Manuais!$G:$G,Aut_Ajustes_Manuais!$I:$I,DRE!AO$4,Aut_Ajustes_Manuais!$F:$F,"(+/-) Receitas/Despesas Financeiras")</f>
        <v>-400</v>
      </c>
      <c r="AR318" s="244">
        <f ca="1">SUMIFS($H318:$AO318,$H$5:$AO$5,"&lt;"&amp;MONTH(TODAY()),$H$6:$AO$6,"REAL 25")</f>
        <v>-10418.219999999999</v>
      </c>
      <c r="AS318" s="42">
        <f ca="1">SUMIFS($I318:$AP318,$I$5:$AP$5,"&lt;"&amp;MONTH(TODAY()),$I$6:$AP$6,"ORÇADO ")</f>
        <v>79058.968928550006</v>
      </c>
      <c r="AT318" s="43">
        <f ca="1">SUMIFS($J318:$AQ318,$J$5:$AQ$5,"&lt;"&amp;MONTH(TODAY()),$J$6:$AQ$6,"REAL 26")</f>
        <v>12853.470000000001</v>
      </c>
      <c r="AU318" s="244">
        <f>SUM(H318,K318,N318,Q318,T318,W318,Z318,AC318,AF318,AI318,AL318,AO318)</f>
        <v>-15014.249999999998</v>
      </c>
      <c r="AV318" s="42">
        <f>SUM(I318,L318,O318,R318,U318,X318,AA318,AD318,AG318,AJ318,AM318,AP318)</f>
        <v>158909.08842344998</v>
      </c>
      <c r="AW318" s="43">
        <f>SUM(J318,M318,P318,S318,V318,Y318,AB318,AE318,AH318,AK318,AN318,AQ318)</f>
        <v>10450.970000000001</v>
      </c>
      <c r="AX318" s="244">
        <f>SUM(H318,K318,N318)</f>
        <v>-6892.8999999999987</v>
      </c>
      <c r="AY318" s="42">
        <f>SUM(I318,L318,O318)</f>
        <v>39677.387583000003</v>
      </c>
      <c r="AZ318" s="43">
        <f>SUM(J318,M318,P318)</f>
        <v>3686.7800000000016</v>
      </c>
      <c r="BA318" s="244">
        <f>SUM(Q318,T318,W318)</f>
        <v>-3525.3199999999997</v>
      </c>
      <c r="BB318" s="42">
        <f>SUM(R318,U318,X318)</f>
        <v>39381.581345550003</v>
      </c>
      <c r="BC318" s="43">
        <f>SUM(S318,V318,Y318)</f>
        <v>9166.6899999999987</v>
      </c>
      <c r="BD318" s="244">
        <f>SUM(Z318,AC318,AF318)</f>
        <v>-2762.69</v>
      </c>
      <c r="BE318" s="42">
        <f>SUM(AA318,AD318,AG318)</f>
        <v>39263.958608699999</v>
      </c>
      <c r="BF318" s="43">
        <f>SUM(AB318,AE318,AH318)</f>
        <v>-1202.5</v>
      </c>
      <c r="BG318" s="244">
        <f>SUM(AI318,AL318,AO318)</f>
        <v>-1833.34</v>
      </c>
      <c r="BH318" s="42">
        <f>SUM(AJ318,AM318,AP318)</f>
        <v>40586.160886199999</v>
      </c>
      <c r="BI318" s="43">
        <f>SUM(AK318,AN318,AQ318)</f>
        <v>-1200</v>
      </c>
      <c r="BK318" s="448">
        <f t="shared" si="302"/>
        <v>158909.08842344998</v>
      </c>
      <c r="BL318" s="448">
        <f t="shared" si="303"/>
        <v>0</v>
      </c>
      <c r="BM318" s="448">
        <f t="shared" si="304"/>
        <v>4845.8800000000028</v>
      </c>
      <c r="BN318" s="448">
        <f t="shared" ca="1" si="305"/>
        <v>-8007.5899999999983</v>
      </c>
    </row>
    <row r="319" spans="1:66" x14ac:dyDescent="0.3">
      <c r="A319" s="18"/>
      <c r="E319" s="16"/>
      <c r="F319" s="17"/>
      <c r="G319" s="47"/>
      <c r="H319" s="247"/>
      <c r="I319" s="17">
        <v>1</v>
      </c>
      <c r="J319" s="57"/>
      <c r="K319" s="247"/>
      <c r="L319" s="17">
        <v>2</v>
      </c>
      <c r="M319" s="57"/>
      <c r="N319" s="247"/>
      <c r="O319" s="17">
        <v>3</v>
      </c>
      <c r="P319" s="57"/>
      <c r="Q319" s="247"/>
      <c r="R319" s="17">
        <v>4</v>
      </c>
      <c r="S319" s="57"/>
      <c r="T319" s="247"/>
      <c r="U319" s="17">
        <v>5</v>
      </c>
      <c r="V319" s="57"/>
      <c r="W319" s="247"/>
      <c r="X319" s="17"/>
      <c r="Y319" s="57"/>
      <c r="Z319" s="247"/>
      <c r="AA319" s="17">
        <v>7</v>
      </c>
      <c r="AB319" s="57"/>
      <c r="AC319" s="247"/>
      <c r="AD319" s="17">
        <v>8</v>
      </c>
      <c r="AE319" s="57"/>
      <c r="AF319" s="247"/>
      <c r="AG319" s="17">
        <v>9</v>
      </c>
      <c r="AH319" s="57"/>
      <c r="AI319" s="247"/>
      <c r="AJ319" s="17">
        <v>10</v>
      </c>
      <c r="AK319" s="57"/>
      <c r="AL319" s="247"/>
      <c r="AM319" s="17">
        <v>11</v>
      </c>
      <c r="AN319" s="57"/>
      <c r="AO319" s="247"/>
      <c r="AP319" s="17">
        <v>12</v>
      </c>
      <c r="AQ319" s="57"/>
      <c r="AR319" s="247"/>
      <c r="AS319" s="17"/>
      <c r="AT319" s="57"/>
      <c r="AU319" s="247"/>
      <c r="AV319" s="17"/>
      <c r="AW319" s="57"/>
      <c r="AX319" s="247"/>
      <c r="AY319" s="17"/>
      <c r="AZ319" s="57"/>
      <c r="BA319" s="247"/>
      <c r="BB319" s="17"/>
      <c r="BC319" s="57"/>
      <c r="BD319" s="247"/>
      <c r="BE319" s="17"/>
      <c r="BF319" s="57"/>
      <c r="BG319" s="247"/>
      <c r="BH319" s="17"/>
      <c r="BI319" s="57"/>
      <c r="BK319" s="448">
        <f t="shared" si="302"/>
        <v>72</v>
      </c>
      <c r="BL319" s="448">
        <f t="shared" si="303"/>
        <v>72</v>
      </c>
      <c r="BM319" s="448">
        <f t="shared" si="304"/>
        <v>0</v>
      </c>
      <c r="BN319" s="448">
        <f t="shared" si="305"/>
        <v>0</v>
      </c>
    </row>
    <row r="320" spans="1:66" x14ac:dyDescent="0.3">
      <c r="A320" s="39" t="s">
        <v>335</v>
      </c>
      <c r="B320" s="59"/>
      <c r="C320" s="136" t="s">
        <v>336</v>
      </c>
      <c r="D320" s="137"/>
      <c r="E320" s="62"/>
      <c r="F320" s="63"/>
      <c r="G320" s="47"/>
      <c r="H320" s="244">
        <v>0</v>
      </c>
      <c r="I320" s="42"/>
      <c r="J320" s="43">
        <f>SUMIFS(Aut_Receitas_Extraord!$L:$L,Aut_Receitas_Extraord!$V:$V,DRE!H$4,Aut_Receitas_Extraord!$D:$D,"Patrocínio")+SUMIFS(Aut_Ajustes_Manuais!$G:$G,Aut_Ajustes_Manuais!$I:$I,DRE!H$4,Aut_Ajustes_Manuais!$F:$F,"(+) Receitas de Patrocínio")</f>
        <v>0</v>
      </c>
      <c r="K320" s="244">
        <v>0</v>
      </c>
      <c r="L320" s="42"/>
      <c r="M320" s="43">
        <f>SUMIFS(Aut_Receitas_Extraord!$L:$L,Aut_Receitas_Extraord!$V:$V,DRE!K$4,Aut_Receitas_Extraord!$D:$D,"Patrocínio")+SUMIFS(Aut_Ajustes_Manuais!$G:$G,Aut_Ajustes_Manuais!$I:$I,DRE!K$4,Aut_Ajustes_Manuais!$F:$F,"(+) Receitas de Patrocínio")</f>
        <v>0</v>
      </c>
      <c r="N320" s="244">
        <v>0</v>
      </c>
      <c r="O320" s="42">
        <v>289</v>
      </c>
      <c r="P320" s="43">
        <f>SUMIFS(Aut_Receitas_Extraord!$L:$L,Aut_Receitas_Extraord!$V:$V,DRE!N$4,Aut_Receitas_Extraord!$D:$D,"Patrocínio")+SUMIFS(Aut_Ajustes_Manuais!$G:$G,Aut_Ajustes_Manuais!$I:$I,DRE!N$4,Aut_Ajustes_Manuais!$F:$F,"(+) Receitas de Patrocínio")</f>
        <v>536.01</v>
      </c>
      <c r="Q320" s="244">
        <v>0</v>
      </c>
      <c r="R320" s="42"/>
      <c r="S320" s="43">
        <f>SUMIFS(Aut_Receitas_Extraord!$L:$L,Aut_Receitas_Extraord!$V:$V,DRE!Q$4,Aut_Receitas_Extraord!$D:$D,"Patrocínio")+SUMIFS(Aut_Ajustes_Manuais!$G:$G,Aut_Ajustes_Manuais!$I:$I,DRE!Q$4,Aut_Ajustes_Manuais!$F:$F,"(+) Receitas de Patrocínio")</f>
        <v>0</v>
      </c>
      <c r="T320" s="244">
        <v>0</v>
      </c>
      <c r="U320" s="42"/>
      <c r="V320" s="43">
        <f>SUMIFS(Aut_Receitas_Extraord!$L:$L,Aut_Receitas_Extraord!$V:$V,DRE!T$4,Aut_Receitas_Extraord!$D:$D,"Patrocínio")+SUMIFS(Aut_Ajustes_Manuais!$G:$G,Aut_Ajustes_Manuais!$I:$I,DRE!T$4,Aut_Ajustes_Manuais!$F:$F,"(+) Receitas de Patrocínio")</f>
        <v>0</v>
      </c>
      <c r="W320" s="244">
        <v>51000</v>
      </c>
      <c r="X320" s="42">
        <v>263.5</v>
      </c>
      <c r="Y320" s="43">
        <f>SUMIFS(Aut_Receitas_Extraord!$L:$L,Aut_Receitas_Extraord!$V:$V,DRE!W$4,Aut_Receitas_Extraord!$D:$D,"Patrocínio")+SUMIFS(Aut_Ajustes_Manuais!$G:$G,Aut_Ajustes_Manuais!$I:$I,DRE!W$4,Aut_Ajustes_Manuais!$F:$F,"(+) Receitas de Patrocínio")</f>
        <v>0</v>
      </c>
      <c r="Z320" s="244">
        <v>0</v>
      </c>
      <c r="AA320" s="42"/>
      <c r="AB320" s="43">
        <f>SUMIFS(Aut_Receitas_Extraord!$L:$L,Aut_Receitas_Extraord!$V:$V,DRE!Z$4,Aut_Receitas_Extraord!$D:$D,"Patrocínio")+SUMIFS(Aut_Ajustes_Manuais!$G:$G,Aut_Ajustes_Manuais!$I:$I,DRE!Z$4,Aut_Ajustes_Manuais!$F:$F,"(+) Receitas de Patrocínio")</f>
        <v>0</v>
      </c>
      <c r="AC320" s="244">
        <v>0</v>
      </c>
      <c r="AD320" s="42"/>
      <c r="AE320" s="43">
        <f>SUMIFS(Aut_Receitas_Extraord!$L:$L,Aut_Receitas_Extraord!$V:$V,DRE!AC$4,Aut_Receitas_Extraord!$D:$D,"Patrocínio")+SUMIFS(Aut_Ajustes_Manuais!$G:$G,Aut_Ajustes_Manuais!$I:$I,DRE!AC$4,Aut_Ajustes_Manuais!$F:$F,"(+) Receitas de Patrocínio")</f>
        <v>0</v>
      </c>
      <c r="AF320" s="244">
        <v>0</v>
      </c>
      <c r="AG320" s="42">
        <v>263.5</v>
      </c>
      <c r="AH320" s="43">
        <f>SUMIFS(Aut_Receitas_Extraord!$L:$L,Aut_Receitas_Extraord!$V:$V,DRE!AF$4,Aut_Receitas_Extraord!$D:$D,"Patrocínio")+SUMIFS(Aut_Ajustes_Manuais!$G:$G,Aut_Ajustes_Manuais!$I:$I,DRE!AF$4,Aut_Ajustes_Manuais!$F:$F,"(+) Receitas de Patrocínio")</f>
        <v>0</v>
      </c>
      <c r="AI320" s="244">
        <v>18908</v>
      </c>
      <c r="AJ320" s="42">
        <v>20128.060124479998</v>
      </c>
      <c r="AK320" s="43">
        <f>SUMIFS(Aut_Receitas_Extraord!$L:$L,Aut_Receitas_Extraord!$V:$V,DRE!AI$4,Aut_Receitas_Extraord!$D:$D,"Patrocínio")+SUMIFS(Aut_Ajustes_Manuais!$G:$G,Aut_Ajustes_Manuais!$I:$I,DRE!AI$4,Aut_Ajustes_Manuais!$F:$F,"(+) Receitas de Patrocínio")</f>
        <v>0</v>
      </c>
      <c r="AL320" s="244">
        <v>0</v>
      </c>
      <c r="AM320" s="42"/>
      <c r="AN320" s="43">
        <f>SUMIFS(Aut_Receitas_Extraord!$L:$L,Aut_Receitas_Extraord!$V:$V,DRE!AL$4,Aut_Receitas_Extraord!$D:$D,"Patrocínio")+SUMIFS(Aut_Ajustes_Manuais!$G:$G,Aut_Ajustes_Manuais!$I:$I,DRE!AL$4,Aut_Ajustes_Manuais!$F:$F,"(+) Receitas de Patrocínio")</f>
        <v>0</v>
      </c>
      <c r="AO320" s="244">
        <v>0</v>
      </c>
      <c r="AP320" s="42">
        <v>306</v>
      </c>
      <c r="AQ320" s="43">
        <f>SUMIFS(Aut_Receitas_Extraord!$L:$L,Aut_Receitas_Extraord!$V:$V,DRE!AO$4,Aut_Receitas_Extraord!$D:$D,"Patrocínio")+SUMIFS(Aut_Ajustes_Manuais!$G:$G,Aut_Ajustes_Manuais!$I:$I,DRE!AO$4,Aut_Ajustes_Manuais!$F:$F,"(+) Receitas de Patrocínio")</f>
        <v>0</v>
      </c>
      <c r="AR320" s="244">
        <f ca="1">SUMIFS($H320:$AO320,$H$5:$AO$5,"&lt;"&amp;MONTH(TODAY()),$H$6:$AO$6,"REAL 25")</f>
        <v>51000</v>
      </c>
      <c r="AS320" s="42">
        <f ca="1">SUMIFS($I320:$AP320,$I$5:$AP$5,"&lt;"&amp;MONTH(TODAY()),$I$6:$AP$6,"ORÇADO ")</f>
        <v>552.5</v>
      </c>
      <c r="AT320" s="43">
        <f ca="1">SUMIFS($J320:$AQ320,$J$5:$AQ$5,"&lt;"&amp;MONTH(TODAY()),$J$6:$AQ$6,"REAL 26")</f>
        <v>536.01</v>
      </c>
      <c r="AU320" s="244">
        <f t="shared" ref="AU320:AW321" si="308">SUM(H320,K320,N320,Q320,T320,W320,Z320,AC320,AF320,AI320,AL320,AO320)</f>
        <v>69908</v>
      </c>
      <c r="AV320" s="42">
        <f t="shared" si="308"/>
        <v>21250.060124479998</v>
      </c>
      <c r="AW320" s="43">
        <f t="shared" si="308"/>
        <v>536.01</v>
      </c>
      <c r="AX320" s="244">
        <f t="shared" ref="AX320:AZ321" si="309">SUM(H320,K320,N320)</f>
        <v>0</v>
      </c>
      <c r="AY320" s="42">
        <f t="shared" si="309"/>
        <v>289</v>
      </c>
      <c r="AZ320" s="43">
        <f t="shared" si="309"/>
        <v>536.01</v>
      </c>
      <c r="BA320" s="244">
        <f t="shared" ref="BA320:BC321" si="310">SUM(Q320,T320,W320)</f>
        <v>51000</v>
      </c>
      <c r="BB320" s="42">
        <f t="shared" si="310"/>
        <v>263.5</v>
      </c>
      <c r="BC320" s="43">
        <f t="shared" si="310"/>
        <v>0</v>
      </c>
      <c r="BD320" s="244">
        <f t="shared" ref="BD320:BF321" si="311">SUM(Z320,AC320,AF320)</f>
        <v>0</v>
      </c>
      <c r="BE320" s="42">
        <f t="shared" si="311"/>
        <v>263.5</v>
      </c>
      <c r="BF320" s="43">
        <f t="shared" si="311"/>
        <v>0</v>
      </c>
      <c r="BG320" s="244">
        <f t="shared" ref="BG320:BI321" si="312">SUM(AI320,AL320,AO320)</f>
        <v>18908</v>
      </c>
      <c r="BH320" s="42">
        <f t="shared" si="312"/>
        <v>20434.060124479998</v>
      </c>
      <c r="BI320" s="43">
        <f t="shared" si="312"/>
        <v>0</v>
      </c>
      <c r="BK320" s="448">
        <f t="shared" si="302"/>
        <v>21250.060124479998</v>
      </c>
      <c r="BL320" s="448">
        <f t="shared" si="303"/>
        <v>0</v>
      </c>
      <c r="BM320" s="448">
        <f t="shared" si="304"/>
        <v>536.01</v>
      </c>
      <c r="BN320" s="448">
        <f t="shared" ca="1" si="305"/>
        <v>0</v>
      </c>
    </row>
    <row r="321" spans="1:66" ht="19.95" customHeight="1" x14ac:dyDescent="0.3">
      <c r="A321" s="39" t="s">
        <v>337</v>
      </c>
      <c r="B321" s="59"/>
      <c r="C321" s="138" t="s">
        <v>338</v>
      </c>
      <c r="D321" s="139">
        <v>0</v>
      </c>
      <c r="E321" s="62"/>
      <c r="F321" s="63"/>
      <c r="G321" s="47"/>
      <c r="H321" s="263">
        <v>0</v>
      </c>
      <c r="I321" s="140"/>
      <c r="J321" s="141">
        <f>SUMIFS(Aut_BlueMe_Sem_Pedido!$J:$J,Aut_BlueMe_Sem_Pedido!$Q:$Q,DRE!H$4,Aut_BlueMe_Sem_Pedido!$H:$H,DRE!$A321)+SUMIFS(Aut_Ajustes_Manuais!$G:$G,Aut_Ajustes_Manuais!$I:$I,DRE!H$4,Aut_Ajustes_Manuais!$F:$F,"(-) Despesas de Patrocínio")</f>
        <v>0</v>
      </c>
      <c r="K321" s="263">
        <v>0</v>
      </c>
      <c r="L321" s="140"/>
      <c r="M321" s="141">
        <f>SUMIFS(Aut_BlueMe_Sem_Pedido!$J:$J,Aut_BlueMe_Sem_Pedido!$Q:$Q,DRE!K$4,Aut_BlueMe_Sem_Pedido!$H:$H,DRE!$A321)+SUMIFS(Aut_Ajustes_Manuais!$G:$G,Aut_Ajustes_Manuais!$I:$I,DRE!K$4,Aut_Ajustes_Manuais!$F:$F,"(-) Despesas de Patrocínio")</f>
        <v>0</v>
      </c>
      <c r="N321" s="263">
        <v>0</v>
      </c>
      <c r="O321" s="140"/>
      <c r="P321" s="141">
        <f>SUMIFS(Aut_BlueMe_Sem_Pedido!$J:$J,Aut_BlueMe_Sem_Pedido!$Q:$Q,DRE!N$4,Aut_BlueMe_Sem_Pedido!$H:$H,DRE!$A321)+SUMIFS(Aut_Ajustes_Manuais!$G:$G,Aut_Ajustes_Manuais!$I:$I,DRE!N$4,Aut_Ajustes_Manuais!$F:$F,"(-) Despesas de Patrocínio")</f>
        <v>0</v>
      </c>
      <c r="Q321" s="263">
        <v>0</v>
      </c>
      <c r="R321" s="140"/>
      <c r="S321" s="141">
        <f>SUMIFS(Aut_BlueMe_Sem_Pedido!$J:$J,Aut_BlueMe_Sem_Pedido!$Q:$Q,DRE!Q$4,Aut_BlueMe_Sem_Pedido!$H:$H,DRE!$A321)+SUMIFS(Aut_Ajustes_Manuais!$G:$G,Aut_Ajustes_Manuais!$I:$I,DRE!Q$4,Aut_Ajustes_Manuais!$F:$F,"(-) Despesas de Patrocínio")</f>
        <v>0</v>
      </c>
      <c r="T321" s="263">
        <v>0</v>
      </c>
      <c r="U321" s="140"/>
      <c r="V321" s="141">
        <f>SUMIFS(Aut_BlueMe_Sem_Pedido!$J:$J,Aut_BlueMe_Sem_Pedido!$Q:$Q,DRE!T$4,Aut_BlueMe_Sem_Pedido!$H:$H,DRE!$A321)+SUMIFS(Aut_Ajustes_Manuais!$G:$G,Aut_Ajustes_Manuais!$I:$I,DRE!T$4,Aut_Ajustes_Manuais!$F:$F,"(-) Despesas de Patrocínio")</f>
        <v>0</v>
      </c>
      <c r="W321" s="263">
        <v>0</v>
      </c>
      <c r="X321" s="140"/>
      <c r="Y321" s="141">
        <f>SUMIFS(Aut_BlueMe_Sem_Pedido!$J:$J,Aut_BlueMe_Sem_Pedido!$Q:$Q,DRE!W$4,Aut_BlueMe_Sem_Pedido!$H:$H,DRE!$A321)+SUMIFS(Aut_Ajustes_Manuais!$G:$G,Aut_Ajustes_Manuais!$I:$I,DRE!W$4,Aut_Ajustes_Manuais!$F:$F,"(-) Despesas de Patrocínio")</f>
        <v>0</v>
      </c>
      <c r="Z321" s="263">
        <v>0</v>
      </c>
      <c r="AA321" s="140"/>
      <c r="AB321" s="141">
        <f>SUMIFS(Aut_BlueMe_Sem_Pedido!$J:$J,Aut_BlueMe_Sem_Pedido!$Q:$Q,DRE!Z$4,Aut_BlueMe_Sem_Pedido!$H:$H,DRE!$A321)+SUMIFS(Aut_Ajustes_Manuais!$G:$G,Aut_Ajustes_Manuais!$I:$I,DRE!Z$4,Aut_Ajustes_Manuais!$F:$F,"(-) Despesas de Patrocínio")</f>
        <v>0</v>
      </c>
      <c r="AC321" s="263">
        <v>0</v>
      </c>
      <c r="AD321" s="140"/>
      <c r="AE321" s="141">
        <f>SUMIFS(Aut_BlueMe_Sem_Pedido!$J:$J,Aut_BlueMe_Sem_Pedido!$Q:$Q,DRE!AC$4,Aut_BlueMe_Sem_Pedido!$H:$H,DRE!$A321)+SUMIFS(Aut_Ajustes_Manuais!$G:$G,Aut_Ajustes_Manuais!$I:$I,DRE!AC$4,Aut_Ajustes_Manuais!$F:$F,"(-) Despesas de Patrocínio")</f>
        <v>0</v>
      </c>
      <c r="AF321" s="263">
        <v>0</v>
      </c>
      <c r="AG321" s="140"/>
      <c r="AH321" s="141">
        <f>SUMIFS(Aut_BlueMe_Sem_Pedido!$J:$J,Aut_BlueMe_Sem_Pedido!$Q:$Q,DRE!AF$4,Aut_BlueMe_Sem_Pedido!$H:$H,DRE!$A321)+SUMIFS(Aut_Ajustes_Manuais!$G:$G,Aut_Ajustes_Manuais!$I:$I,DRE!AF$4,Aut_Ajustes_Manuais!$F:$F,"(-) Despesas de Patrocínio")</f>
        <v>0</v>
      </c>
      <c r="AI321" s="263">
        <v>0</v>
      </c>
      <c r="AJ321" s="140"/>
      <c r="AK321" s="141">
        <f>SUMIFS(Aut_BlueMe_Sem_Pedido!$J:$J,Aut_BlueMe_Sem_Pedido!$Q:$Q,DRE!AI$4,Aut_BlueMe_Sem_Pedido!$H:$H,DRE!$A321)+SUMIFS(Aut_Ajustes_Manuais!$G:$G,Aut_Ajustes_Manuais!$I:$I,DRE!AI$4,Aut_Ajustes_Manuais!$F:$F,"(-) Despesas de Patrocínio")</f>
        <v>0</v>
      </c>
      <c r="AL321" s="263">
        <v>0</v>
      </c>
      <c r="AM321" s="140"/>
      <c r="AN321" s="141">
        <f>SUMIFS(Aut_BlueMe_Sem_Pedido!$J:$J,Aut_BlueMe_Sem_Pedido!$Q:$Q,DRE!AL$4,Aut_BlueMe_Sem_Pedido!$H:$H,DRE!$A321)+SUMIFS(Aut_Ajustes_Manuais!$G:$G,Aut_Ajustes_Manuais!$I:$I,DRE!AL$4,Aut_Ajustes_Manuais!$F:$F,"(-) Despesas de Patrocínio")</f>
        <v>0</v>
      </c>
      <c r="AO321" s="263">
        <v>0</v>
      </c>
      <c r="AP321" s="140"/>
      <c r="AQ321" s="141">
        <f>SUMIFS(Aut_BlueMe_Sem_Pedido!$J:$J,Aut_BlueMe_Sem_Pedido!$Q:$Q,DRE!AO$4,Aut_BlueMe_Sem_Pedido!$H:$H,DRE!$A321)+SUMIFS(Aut_Ajustes_Manuais!$G:$G,Aut_Ajustes_Manuais!$I:$I,DRE!AO$4,Aut_Ajustes_Manuais!$F:$F,"(-) Despesas de Patrocínio")</f>
        <v>0</v>
      </c>
      <c r="AR321" s="263">
        <f ca="1">SUMIFS($H321:$AO321,$H$5:$AO$5,"&lt;"&amp;MONTH(TODAY()),$H$6:$AO$6,"REAL 25")</f>
        <v>0</v>
      </c>
      <c r="AS321" s="140">
        <f ca="1">SUMIFS($I321:$AP321,$I$5:$AP$5,"&lt;"&amp;MONTH(TODAY()),$I$6:$AP$6,"ORÇADO ")</f>
        <v>0</v>
      </c>
      <c r="AT321" s="141">
        <f ca="1">SUMIFS($J321:$AQ321,$J$5:$AQ$5,"&lt;"&amp;MONTH(TODAY()),$J$6:$AQ$6,"REAL 26")</f>
        <v>0</v>
      </c>
      <c r="AU321" s="263">
        <f t="shared" si="308"/>
        <v>0</v>
      </c>
      <c r="AV321" s="140">
        <f t="shared" si="308"/>
        <v>0</v>
      </c>
      <c r="AW321" s="141">
        <f t="shared" si="308"/>
        <v>0</v>
      </c>
      <c r="AX321" s="263">
        <f t="shared" si="309"/>
        <v>0</v>
      </c>
      <c r="AY321" s="140">
        <f t="shared" si="309"/>
        <v>0</v>
      </c>
      <c r="AZ321" s="141">
        <f t="shared" si="309"/>
        <v>0</v>
      </c>
      <c r="BA321" s="263">
        <f t="shared" si="310"/>
        <v>0</v>
      </c>
      <c r="BB321" s="140">
        <f t="shared" si="310"/>
        <v>0</v>
      </c>
      <c r="BC321" s="141">
        <f t="shared" si="310"/>
        <v>0</v>
      </c>
      <c r="BD321" s="263">
        <f t="shared" si="311"/>
        <v>0</v>
      </c>
      <c r="BE321" s="140">
        <f t="shared" si="311"/>
        <v>0</v>
      </c>
      <c r="BF321" s="141">
        <f t="shared" si="311"/>
        <v>0</v>
      </c>
      <c r="BG321" s="263">
        <f t="shared" si="312"/>
        <v>0</v>
      </c>
      <c r="BH321" s="140">
        <f t="shared" si="312"/>
        <v>0</v>
      </c>
      <c r="BI321" s="141">
        <f t="shared" si="312"/>
        <v>0</v>
      </c>
      <c r="BK321" s="448">
        <f t="shared" si="302"/>
        <v>0</v>
      </c>
      <c r="BL321" s="448">
        <f t="shared" si="303"/>
        <v>0</v>
      </c>
      <c r="BM321" s="448">
        <f t="shared" si="304"/>
        <v>0</v>
      </c>
      <c r="BN321" s="448">
        <f t="shared" ca="1" si="305"/>
        <v>0</v>
      </c>
    </row>
    <row r="322" spans="1:66" x14ac:dyDescent="0.3">
      <c r="A322" s="18"/>
      <c r="E322" s="16"/>
      <c r="F322" s="17"/>
      <c r="G322" s="47"/>
      <c r="H322" s="264"/>
      <c r="I322" s="237"/>
      <c r="J322" s="265"/>
      <c r="K322" s="264"/>
      <c r="L322" s="237"/>
      <c r="M322" s="265"/>
      <c r="N322" s="264"/>
      <c r="O322" s="237"/>
      <c r="P322" s="265"/>
      <c r="Q322" s="264"/>
      <c r="R322" s="237"/>
      <c r="S322" s="265"/>
      <c r="T322" s="264"/>
      <c r="U322" s="237"/>
      <c r="V322" s="265"/>
      <c r="W322" s="264"/>
      <c r="X322" s="237"/>
      <c r="Y322" s="265"/>
      <c r="Z322" s="264"/>
      <c r="AA322" s="237"/>
      <c r="AB322" s="265"/>
      <c r="AC322" s="264"/>
      <c r="AD322" s="237"/>
      <c r="AE322" s="265"/>
      <c r="AF322" s="264"/>
      <c r="AG322" s="237"/>
      <c r="AH322" s="265"/>
      <c r="AI322" s="264"/>
      <c r="AJ322" s="237"/>
      <c r="AK322" s="265"/>
      <c r="AL322" s="264"/>
      <c r="AM322" s="237"/>
      <c r="AN322" s="265"/>
      <c r="AO322" s="264"/>
      <c r="AP322" s="237"/>
      <c r="AQ322" s="265"/>
      <c r="AR322" s="264"/>
      <c r="AS322" s="237"/>
      <c r="AT322" s="265"/>
      <c r="AU322" s="264"/>
      <c r="AV322" s="237"/>
      <c r="AW322" s="265"/>
      <c r="AX322" s="264"/>
      <c r="AY322" s="237"/>
      <c r="AZ322" s="265"/>
      <c r="BA322" s="264"/>
      <c r="BB322" s="237"/>
      <c r="BC322" s="265"/>
      <c r="BD322" s="264"/>
      <c r="BE322" s="237"/>
      <c r="BF322" s="265"/>
      <c r="BG322" s="264"/>
      <c r="BH322" s="237"/>
      <c r="BI322" s="265"/>
      <c r="BK322" s="448">
        <f t="shared" si="302"/>
        <v>0</v>
      </c>
      <c r="BL322" s="448">
        <f t="shared" si="303"/>
        <v>0</v>
      </c>
      <c r="BM322" s="448">
        <f t="shared" si="304"/>
        <v>0</v>
      </c>
      <c r="BN322" s="448">
        <f t="shared" si="305"/>
        <v>0</v>
      </c>
    </row>
    <row r="323" spans="1:66" x14ac:dyDescent="0.3">
      <c r="A323" s="58" t="s">
        <v>339</v>
      </c>
      <c r="B323" s="59"/>
      <c r="C323" s="60"/>
      <c r="D323" s="61"/>
      <c r="E323" s="62"/>
      <c r="F323" s="63"/>
      <c r="G323" s="47"/>
      <c r="H323" s="248">
        <v>14995.81354824852</v>
      </c>
      <c r="I323" s="64">
        <v>51394.530355764109</v>
      </c>
      <c r="J323" s="65">
        <f>SUM(J321,J320,J318,J316)+SUMIFS(Aut_Ajustes_Manuais!$G:$G,Aut_Ajustes_Manuais!$I:$I,DRE!H$4,Aut_Ajustes_Manuais!$F:$F,"Resultado Antes do IR")</f>
        <v>45113.755553729883</v>
      </c>
      <c r="K323" s="248">
        <v>-1624.780293856564</v>
      </c>
      <c r="L323" s="64">
        <v>32061.519275057592</v>
      </c>
      <c r="M323" s="65">
        <f>SUM(M321,M320,M318,M316)+SUMIFS(Aut_Ajustes_Manuais!$G:$G,Aut_Ajustes_Manuais!$I:$I,DRE!K$4,Aut_Ajustes_Manuais!$F:$F,"Resultado Antes do IR")</f>
        <v>-3804.4136981032498</v>
      </c>
      <c r="N323" s="248">
        <v>-9869.1504923868451</v>
      </c>
      <c r="O323" s="64">
        <v>6072.8860636043028</v>
      </c>
      <c r="P323" s="65">
        <f>SUM(P321,P320,P318,P316)+SUMIFS(Aut_Ajustes_Manuais!$G:$G,Aut_Ajustes_Manuais!$I:$I,DRE!N$4,Aut_Ajustes_Manuais!$F:$F,"Resultado Antes do IR")</f>
        <v>14062.350394399866</v>
      </c>
      <c r="Q323" s="248">
        <v>-830.20830006659617</v>
      </c>
      <c r="R323" s="64">
        <v>622.5671900436937</v>
      </c>
      <c r="S323" s="65">
        <f>SUM(S321,S320,S318,S316)+SUMIFS(Aut_Ajustes_Manuais!$G:$G,Aut_Ajustes_Manuais!$I:$I,DRE!Q$4,Aut_Ajustes_Manuais!$F:$F,"Resultado Antes do IR")</f>
        <v>19881.240804890982</v>
      </c>
      <c r="T323" s="248">
        <v>65976.253095498003</v>
      </c>
      <c r="U323" s="64">
        <v>104379.0192591817</v>
      </c>
      <c r="V323" s="65">
        <f>SUM(V321,V320,V318,V316)+SUMIFS(Aut_Ajustes_Manuais!$G:$G,Aut_Ajustes_Manuais!$I:$I,DRE!T$4,Aut_Ajustes_Manuais!$F:$F,"Resultado Antes do IR")</f>
        <v>33065.833162906951</v>
      </c>
      <c r="W323" s="248">
        <v>65009.299291517353</v>
      </c>
      <c r="X323" s="64">
        <v>67970.497935940017</v>
      </c>
      <c r="Y323" s="65">
        <f>SUM(Y321,Y320,Y318,Y316)+SUMIFS(Aut_Ajustes_Manuais!$G:$G,Aut_Ajustes_Manuais!$I:$I,DRE!W$4,Aut_Ajustes_Manuais!$F:$F,"Resultado Antes do IR")</f>
        <v>-41704.553508142555</v>
      </c>
      <c r="Z323" s="248">
        <v>33610.466786383877</v>
      </c>
      <c r="AA323" s="64">
        <v>74697.431179489999</v>
      </c>
      <c r="AB323" s="65">
        <f>SUM(AB321,AB320,AB318,AB316)+SUMIFS(Aut_Ajustes_Manuais!$G:$G,Aut_Ajustes_Manuais!$I:$I,DRE!Z$4,Aut_Ajustes_Manuais!$F:$F,"Resultado Antes do IR")</f>
        <v>-135481.06498092</v>
      </c>
      <c r="AC323" s="248">
        <v>74024.50462239339</v>
      </c>
      <c r="AD323" s="64">
        <v>92134.739738652206</v>
      </c>
      <c r="AE323" s="65">
        <f>SUM(AE321,AE320,AE318,AE316)+SUMIFS(Aut_Ajustes_Manuais!$G:$G,Aut_Ajustes_Manuais!$I:$I,DRE!AC$4,Aut_Ajustes_Manuais!$F:$F,"Resultado Antes do IR")</f>
        <v>-191619.76041772001</v>
      </c>
      <c r="AF323" s="248">
        <v>20222.801982280489</v>
      </c>
      <c r="AG323" s="64">
        <v>61825.880333312729</v>
      </c>
      <c r="AH323" s="65">
        <f>SUM(AH321,AH320,AH318,AH316)+SUMIFS(Aut_Ajustes_Manuais!$G:$G,Aut_Ajustes_Manuais!$I:$I,DRE!AF$4,Aut_Ajustes_Manuais!$F:$F,"Resultado Antes do IR")</f>
        <v>-175619.76041772001</v>
      </c>
      <c r="AI323" s="248">
        <v>41945.881223003737</v>
      </c>
      <c r="AJ323" s="64">
        <v>79592.676673970462</v>
      </c>
      <c r="AK323" s="65">
        <f>SUM(AK321,AK320,AK318,AK316)+SUMIFS(Aut_Ajustes_Manuais!$G:$G,Aut_Ajustes_Manuais!$I:$I,DRE!AI$4,Aut_Ajustes_Manuais!$F:$F,"Resultado Antes do IR")</f>
        <v>-171619.76041772001</v>
      </c>
      <c r="AL323" s="248">
        <v>41481.63199839912</v>
      </c>
      <c r="AM323" s="64">
        <v>87854.519746770049</v>
      </c>
      <c r="AN323" s="65">
        <f>SUM(AN321,AN320,AN318,AN316)+SUMIFS(Aut_Ajustes_Manuais!$G:$G,Aut_Ajustes_Manuais!$I:$I,DRE!AL$4,Aut_Ajustes_Manuais!$F:$F,"Resultado Antes do IR")</f>
        <v>-170658.71125105332</v>
      </c>
      <c r="AO323" s="248">
        <v>57375.214318287537</v>
      </c>
      <c r="AP323" s="64">
        <v>71931.539676040949</v>
      </c>
      <c r="AQ323" s="65">
        <f>SUM(AQ321,AQ320,AQ318,AQ316)+SUMIFS(Aut_Ajustes_Manuais!$G:$G,Aut_Ajustes_Manuais!$I:$I,DRE!AO$4,Aut_Ajustes_Manuais!$F:$F,"Resultado Antes do IR")</f>
        <v>-171273.71125105332</v>
      </c>
      <c r="AR323" s="248">
        <f t="shared" ref="AR323:BI323" ca="1" si="313">SUM(AR321,AR320,AR318,AR316)</f>
        <v>133657.22684895361</v>
      </c>
      <c r="AS323" s="64">
        <f t="shared" ca="1" si="313"/>
        <v>262501.02007959026</v>
      </c>
      <c r="AT323" s="65">
        <f t="shared" ca="1" si="313"/>
        <v>66614.21270968231</v>
      </c>
      <c r="AU323" s="248">
        <f t="shared" si="313"/>
        <v>402362.39777970174</v>
      </c>
      <c r="AV323" s="64">
        <f t="shared" si="313"/>
        <v>730537.80742782797</v>
      </c>
      <c r="AW323" s="65">
        <f t="shared" si="313"/>
        <v>-955283.55602650484</v>
      </c>
      <c r="AX323" s="248">
        <f t="shared" si="313"/>
        <v>3546.552762005037</v>
      </c>
      <c r="AY323" s="64">
        <f t="shared" si="313"/>
        <v>89528.935694425949</v>
      </c>
      <c r="AZ323" s="65">
        <f t="shared" si="313"/>
        <v>51996.692250026586</v>
      </c>
      <c r="BA323" s="248">
        <f t="shared" si="313"/>
        <v>130155.34408694872</v>
      </c>
      <c r="BB323" s="64">
        <f t="shared" si="313"/>
        <v>172972.08438516525</v>
      </c>
      <c r="BC323" s="65">
        <f t="shared" si="313"/>
        <v>8992.5204596556105</v>
      </c>
      <c r="BD323" s="248">
        <f t="shared" si="313"/>
        <v>127857.7733910578</v>
      </c>
      <c r="BE323" s="64">
        <f t="shared" si="313"/>
        <v>228658.05125145524</v>
      </c>
      <c r="BF323" s="65">
        <f t="shared" si="313"/>
        <v>-502720.58581635996</v>
      </c>
      <c r="BG323" s="248">
        <f t="shared" si="313"/>
        <v>140802.72753969076</v>
      </c>
      <c r="BH323" s="64">
        <f t="shared" si="313"/>
        <v>239378.73609678136</v>
      </c>
      <c r="BI323" s="65">
        <f t="shared" si="313"/>
        <v>-513552.18291982665</v>
      </c>
      <c r="BK323" s="448">
        <f t="shared" si="302"/>
        <v>730537.80742782785</v>
      </c>
      <c r="BL323" s="448">
        <f t="shared" si="303"/>
        <v>0</v>
      </c>
      <c r="BM323" s="448">
        <f t="shared" si="304"/>
        <v>75252.933054917477</v>
      </c>
      <c r="BN323" s="448">
        <f t="shared" ca="1" si="305"/>
        <v>8638.7203452351678</v>
      </c>
    </row>
    <row r="324" spans="1:66" x14ac:dyDescent="0.3">
      <c r="A324" s="18"/>
      <c r="E324" s="16"/>
      <c r="F324" s="17"/>
      <c r="G324" s="47"/>
      <c r="H324" s="266"/>
      <c r="I324" s="142"/>
      <c r="J324" s="267"/>
      <c r="K324" s="266"/>
      <c r="L324" s="142"/>
      <c r="M324" s="267"/>
      <c r="N324" s="266"/>
      <c r="O324" s="142"/>
      <c r="P324" s="267"/>
      <c r="Q324" s="266"/>
      <c r="R324" s="142"/>
      <c r="S324" s="267"/>
      <c r="T324" s="266"/>
      <c r="U324" s="142"/>
      <c r="V324" s="267"/>
      <c r="W324" s="266"/>
      <c r="X324" s="142"/>
      <c r="Y324" s="267"/>
      <c r="Z324" s="266"/>
      <c r="AA324" s="142"/>
      <c r="AB324" s="267"/>
      <c r="AC324" s="266"/>
      <c r="AD324" s="142"/>
      <c r="AE324" s="267"/>
      <c r="AF324" s="266"/>
      <c r="AG324" s="142"/>
      <c r="AH324" s="267"/>
      <c r="AI324" s="266"/>
      <c r="AJ324" s="142"/>
      <c r="AK324" s="267"/>
      <c r="AL324" s="266"/>
      <c r="AM324" s="142"/>
      <c r="AN324" s="267"/>
      <c r="AO324" s="266"/>
      <c r="AP324" s="142"/>
      <c r="AQ324" s="267"/>
      <c r="AR324" s="266"/>
      <c r="AS324" s="142"/>
      <c r="AT324" s="267"/>
      <c r="AU324" s="266"/>
      <c r="AV324" s="142"/>
      <c r="AW324" s="267"/>
      <c r="AX324" s="266"/>
      <c r="AY324" s="142"/>
      <c r="AZ324" s="267"/>
      <c r="BA324" s="266"/>
      <c r="BB324" s="142"/>
      <c r="BC324" s="267"/>
      <c r="BD324" s="266"/>
      <c r="BE324" s="142"/>
      <c r="BF324" s="267"/>
      <c r="BG324" s="266"/>
      <c r="BH324" s="142"/>
      <c r="BI324" s="267"/>
      <c r="BK324" s="448">
        <f t="shared" si="302"/>
        <v>0</v>
      </c>
      <c r="BL324" s="448">
        <f t="shared" si="303"/>
        <v>0</v>
      </c>
      <c r="BM324" s="448">
        <f t="shared" si="304"/>
        <v>0</v>
      </c>
      <c r="BN324" s="448">
        <f t="shared" si="305"/>
        <v>0</v>
      </c>
    </row>
    <row r="325" spans="1:66" s="444" customFormat="1" ht="16.95" customHeight="1" x14ac:dyDescent="0.3">
      <c r="A325" s="67" t="s">
        <v>340</v>
      </c>
      <c r="B325" s="2"/>
      <c r="C325" s="441" t="s">
        <v>341</v>
      </c>
      <c r="D325" s="441" t="s">
        <v>342</v>
      </c>
      <c r="E325" s="441" t="s">
        <v>203</v>
      </c>
      <c r="F325" s="442"/>
      <c r="G325" s="443"/>
      <c r="H325" s="67">
        <v>-6846.7191600000006</v>
      </c>
      <c r="I325" s="67">
        <v>-14979.922759999999</v>
      </c>
      <c r="J325" s="67">
        <f>SUM(J326:J329)+SUMIFS(Aut_Ajustes_Manuais!$G:$G,Aut_Ajustes_Manuais!$I:$I,DRE!H$4,Aut_Ajustes_Manuais!$F:$F,"(-) Impostos")</f>
        <v>-57367.74500000001</v>
      </c>
      <c r="K325" s="67">
        <v>-6209.8125600000003</v>
      </c>
      <c r="L325" s="67">
        <v>-14212.68348</v>
      </c>
      <c r="M325" s="67">
        <f>SUM(M326:M329)+SUMIFS(Aut_Ajustes_Manuais!$G:$G,Aut_Ajustes_Manuais!$I:$I,DRE!K$4,Aut_Ajustes_Manuais!$F:$F,"(-) Impostos")</f>
        <v>-47067.67199373211</v>
      </c>
      <c r="N325" s="67">
        <v>-7008.9200000000019</v>
      </c>
      <c r="O325" s="67">
        <v>-11402.12487999999</v>
      </c>
      <c r="P325" s="67">
        <f>SUM(P326:P329)+SUMIFS(Aut_Ajustes_Manuais!$G:$G,Aut_Ajustes_Manuais!$I:$I,DRE!N$4,Aut_Ajustes_Manuais!$F:$F,"(-) Impostos")</f>
        <v>-49675.883127226116</v>
      </c>
      <c r="Q325" s="67">
        <v>-6634.4078399999999</v>
      </c>
      <c r="R325" s="67">
        <v>-11866.031639999999</v>
      </c>
      <c r="S325" s="67">
        <f>SUM(S326:S329)+SUMIFS(Aut_Ajustes_Manuais!$G:$G,Aut_Ajustes_Manuais!$I:$I,DRE!Q$4,Aut_Ajustes_Manuais!$F:$F,"(-) Impostos")</f>
        <v>-54073.390660132514</v>
      </c>
      <c r="T325" s="67">
        <v>-8780.7542399999984</v>
      </c>
      <c r="U325" s="67">
        <v>-19358.316972000001</v>
      </c>
      <c r="V325" s="67">
        <f>SUM(V326:V329)+SUMIFS(Aut_Ajustes_Manuais!$G:$G,Aut_Ajustes_Manuais!$I:$I,DRE!T$4,Aut_Ajustes_Manuais!$F:$F,"(-) Impostos")</f>
        <v>-54439.737092787662</v>
      </c>
      <c r="W325" s="67">
        <v>-8443.9348800000007</v>
      </c>
      <c r="X325" s="67">
        <v>-17258.548839999999</v>
      </c>
      <c r="Y325" s="67">
        <f>SUM(Y326:Y329)+SUMIFS(Aut_Ajustes_Manuais!$G:$G,Aut_Ajustes_Manuais!$I:$I,DRE!W$4,Aut_Ajustes_Manuais!$F:$F,"(-) Impostos")</f>
        <v>-61714.74201270083</v>
      </c>
      <c r="Z325" s="67">
        <v>-7183.8217199999999</v>
      </c>
      <c r="AA325" s="67">
        <v>-17094.894240000001</v>
      </c>
      <c r="AB325" s="67">
        <f>SUM(AB326:AB329)+SUMIFS(Aut_Ajustes_Manuais!$G:$G,Aut_Ajustes_Manuais!$I:$I,DRE!Z$4,Aut_Ajustes_Manuais!$F:$F,"(-) Impostos")</f>
        <v>-13003.782437753016</v>
      </c>
      <c r="AC325" s="67">
        <v>-8373.5758799999985</v>
      </c>
      <c r="AD325" s="67">
        <v>-18448.975224000002</v>
      </c>
      <c r="AE325" s="67">
        <f>SUM(AE326:AE329)+SUMIFS(Aut_Ajustes_Manuais!$G:$G,Aut_Ajustes_Manuais!$I:$I,DRE!AC$4,Aut_Ajustes_Manuais!$F:$F,"(-) Impostos")</f>
        <v>0</v>
      </c>
      <c r="AF325" s="67">
        <v>-7103.1005999999998</v>
      </c>
      <c r="AG325" s="67">
        <v>-16075.634303999999</v>
      </c>
      <c r="AH325" s="67">
        <f>SUM(AH326:AH329)+SUMIFS(Aut_Ajustes_Manuais!$G:$G,Aut_Ajustes_Manuais!$I:$I,DRE!AF$4,Aut_Ajustes_Manuais!$F:$F,"(-) Impostos")</f>
        <v>0</v>
      </c>
      <c r="AI325" s="67">
        <v>-9389.2584239999996</v>
      </c>
      <c r="AJ325" s="67">
        <v>-16177.03872</v>
      </c>
      <c r="AK325" s="67">
        <f>SUM(AK326:AK329)+SUMIFS(Aut_Ajustes_Manuais!$G:$G,Aut_Ajustes_Manuais!$I:$I,DRE!AI$4,Aut_Ajustes_Manuais!$F:$F,"(-) Impostos")</f>
        <v>0</v>
      </c>
      <c r="AL325" s="67">
        <v>-8452.2180960000005</v>
      </c>
      <c r="AM325" s="67">
        <v>-18773.337648000001</v>
      </c>
      <c r="AN325" s="67">
        <f>SUM(AN326:AN329)+SUMIFS(Aut_Ajustes_Manuais!$G:$G,Aut_Ajustes_Manuais!$I:$I,DRE!AL$4,Aut_Ajustes_Manuais!$F:$F,"(-) Impostos")</f>
        <v>0</v>
      </c>
      <c r="AO325" s="67">
        <v>-9389.2584239999996</v>
      </c>
      <c r="AP325" s="67">
        <v>-16992</v>
      </c>
      <c r="AQ325" s="67">
        <f>SUM(AQ326:AQ329)+SUMIFS(Aut_Ajustes_Manuais!$G:$G,Aut_Ajustes_Manuais!$I:$I,DRE!AO$4,Aut_Ajustes_Manuais!$F:$F,"(-) Impostos")</f>
        <v>0</v>
      </c>
      <c r="AR325" s="67">
        <f t="shared" ref="AR325:BI325" ca="1" si="314">SUM(AR326:AR329)</f>
        <v>-43924.54868</v>
      </c>
      <c r="AS325" s="67">
        <f t="shared" ca="1" si="314"/>
        <v>-89077.628571999987</v>
      </c>
      <c r="AT325" s="67">
        <f t="shared" ca="1" si="314"/>
        <v>-324339.16988657927</v>
      </c>
      <c r="AU325" s="67">
        <f t="shared" si="314"/>
        <v>-93815.781823999991</v>
      </c>
      <c r="AV325" s="67">
        <f t="shared" si="314"/>
        <v>-192639.50870800001</v>
      </c>
      <c r="AW325" s="67">
        <f t="shared" si="314"/>
        <v>-337342.95232433226</v>
      </c>
      <c r="AX325" s="67">
        <f t="shared" si="314"/>
        <v>-20065.451720000001</v>
      </c>
      <c r="AY325" s="67">
        <f t="shared" si="314"/>
        <v>-40594.731119999989</v>
      </c>
      <c r="AZ325" s="67">
        <f t="shared" si="314"/>
        <v>-154111.30012095824</v>
      </c>
      <c r="BA325" s="67">
        <f t="shared" si="314"/>
        <v>-23859.096959999999</v>
      </c>
      <c r="BB325" s="67">
        <f t="shared" si="314"/>
        <v>-48482.897452000005</v>
      </c>
      <c r="BC325" s="67">
        <f t="shared" si="314"/>
        <v>-170227.869765621</v>
      </c>
      <c r="BD325" s="67">
        <f t="shared" si="314"/>
        <v>-22660.498199999998</v>
      </c>
      <c r="BE325" s="67">
        <f t="shared" si="314"/>
        <v>-51619.503768000002</v>
      </c>
      <c r="BF325" s="67">
        <f t="shared" si="314"/>
        <v>-13003.782437753016</v>
      </c>
      <c r="BG325" s="67">
        <f t="shared" si="314"/>
        <v>-27230.734943999996</v>
      </c>
      <c r="BH325" s="67">
        <f t="shared" si="314"/>
        <v>-51942.376367999997</v>
      </c>
      <c r="BI325" s="67">
        <f t="shared" si="314"/>
        <v>0</v>
      </c>
      <c r="BJ325" s="10"/>
      <c r="BK325" s="448">
        <f t="shared" si="302"/>
        <v>-192639.50870800001</v>
      </c>
      <c r="BL325" s="448">
        <f t="shared" si="303"/>
        <v>0</v>
      </c>
      <c r="BM325" s="448">
        <f t="shared" si="304"/>
        <v>-208184.69078109076</v>
      </c>
      <c r="BN325" s="448">
        <f t="shared" ca="1" si="305"/>
        <v>116154.47910548851</v>
      </c>
    </row>
    <row r="326" spans="1:66" s="29" customFormat="1" hidden="1" outlineLevel="1" x14ac:dyDescent="0.3">
      <c r="A326" s="22" t="s">
        <v>343</v>
      </c>
      <c r="B326" s="59"/>
      <c r="C326" s="24" t="s">
        <v>344</v>
      </c>
      <c r="D326" s="25"/>
      <c r="E326" s="25"/>
      <c r="F326" s="63"/>
      <c r="G326" s="33"/>
      <c r="H326" s="27"/>
      <c r="I326" s="27">
        <v>-14979.922759999999</v>
      </c>
      <c r="J326" s="27">
        <f>-Fiscal!M59+SUMIFS(Aut_Ajustes_Manuais!$G:$G,Aut_Ajustes_Manuais!$I:$I,DRE!H$4,Aut_Ajustes_Manuais!$F:$F,"SIMPLES")</f>
        <v>-57367.74500000001</v>
      </c>
      <c r="K326" s="27">
        <v>0</v>
      </c>
      <c r="L326" s="27">
        <v>-14212.68348</v>
      </c>
      <c r="M326" s="27">
        <f>-Fiscal!M60+SUMIFS(Aut_Ajustes_Manuais!$G:$G,Aut_Ajustes_Manuais!$I:$I,DRE!K$4,Aut_Ajustes_Manuais!$F:$F,"SIMPLES")</f>
        <v>-47067.67199373211</v>
      </c>
      <c r="N326" s="27">
        <v>0</v>
      </c>
      <c r="O326" s="27">
        <v>-11402.12487999999</v>
      </c>
      <c r="P326" s="27">
        <f>-Fiscal!M61+SUMIFS(Aut_Ajustes_Manuais!$G:$G,Aut_Ajustes_Manuais!$I:$I,DRE!N$4,Aut_Ajustes_Manuais!$F:$F,"SIMPLES")</f>
        <v>-49675.883127226116</v>
      </c>
      <c r="Q326" s="27">
        <v>0</v>
      </c>
      <c r="R326" s="27">
        <v>-11866.031639999999</v>
      </c>
      <c r="S326" s="27">
        <f>-Fiscal!M62+SUMIFS(Aut_Ajustes_Manuais!$G:$G,Aut_Ajustes_Manuais!$I:$I,DRE!Q$4,Aut_Ajustes_Manuais!$F:$F,"SIMPLES")</f>
        <v>-54073.390660132514</v>
      </c>
      <c r="T326" s="27">
        <v>0</v>
      </c>
      <c r="U326" s="27">
        <v>-19358.316972000001</v>
      </c>
      <c r="V326" s="27">
        <f>-Fiscal!M63+SUMIFS(Aut_Ajustes_Manuais!$G:$G,Aut_Ajustes_Manuais!$I:$I,DRE!T$4,Aut_Ajustes_Manuais!$F:$F,"SIMPLES")</f>
        <v>-54439.737092787662</v>
      </c>
      <c r="W326" s="241">
        <v>0</v>
      </c>
      <c r="X326" s="27">
        <v>-17258.548839999999</v>
      </c>
      <c r="Y326" s="28">
        <f>-Fiscal!M64+SUMIFS(Aut_Ajustes_Manuais!$G:$G,Aut_Ajustes_Manuais!$I:$I,DRE!W$4,Aut_Ajustes_Manuais!$F:$F,"SIMPLES")</f>
        <v>-52404.28757670083</v>
      </c>
      <c r="Z326" s="241">
        <v>0</v>
      </c>
      <c r="AA326" s="27">
        <v>-17094.894240000001</v>
      </c>
      <c r="AB326" s="28">
        <f>-Fiscal!M65+SUMIFS(Aut_Ajustes_Manuais!$G:$G,Aut_Ajustes_Manuais!$I:$I,DRE!Z$4,Aut_Ajustes_Manuais!$F:$F,"SIMPLES")</f>
        <v>-11409.047513753017</v>
      </c>
      <c r="AC326" s="241">
        <v>0</v>
      </c>
      <c r="AD326" s="27">
        <v>-18448.975224000002</v>
      </c>
      <c r="AE326" s="28">
        <f>-Fiscal!M66+SUMIFS(Aut_Ajustes_Manuais!$G:$G,Aut_Ajustes_Manuais!$I:$I,DRE!AC$4,Aut_Ajustes_Manuais!$F:$F,"SIMPLES")</f>
        <v>0</v>
      </c>
      <c r="AF326" s="241">
        <v>0</v>
      </c>
      <c r="AG326" s="27">
        <v>-16075.634303999999</v>
      </c>
      <c r="AH326" s="28">
        <f>-Fiscal!M67+SUMIFS(Aut_Ajustes_Manuais!$G:$G,Aut_Ajustes_Manuais!$I:$I,DRE!AF$4,Aut_Ajustes_Manuais!$F:$F,"SIMPLES")</f>
        <v>0</v>
      </c>
      <c r="AI326" s="241">
        <v>0</v>
      </c>
      <c r="AJ326" s="27">
        <v>-16177.03872</v>
      </c>
      <c r="AK326" s="28">
        <f>-Fiscal!M68+SUMIFS(Aut_Ajustes_Manuais!$G:$G,Aut_Ajustes_Manuais!$I:$I,DRE!AI$4,Aut_Ajustes_Manuais!$F:$F,"SIMPLES")</f>
        <v>0</v>
      </c>
      <c r="AL326" s="241">
        <v>0</v>
      </c>
      <c r="AM326" s="27">
        <v>-18773.337648000001</v>
      </c>
      <c r="AN326" s="28">
        <f>-Fiscal!M69+SUMIFS(Aut_Ajustes_Manuais!$G:$G,Aut_Ajustes_Manuais!$I:$I,DRE!AL$4,Aut_Ajustes_Manuais!$F:$F,"SIMPLES")</f>
        <v>0</v>
      </c>
      <c r="AO326" s="241">
        <v>0</v>
      </c>
      <c r="AP326" s="27">
        <v>-16992</v>
      </c>
      <c r="AQ326" s="28">
        <f>-Fiscal!M70+SUMIFS(Aut_Ajustes_Manuais!$G:$G,Aut_Ajustes_Manuais!$I:$I,DRE!AO$4,Aut_Ajustes_Manuais!$F:$F,"SIMPLES")</f>
        <v>0</v>
      </c>
      <c r="AR326" s="241">
        <f ca="1">SUMIFS($H326:$AO326,$H$5:$AO$5,"&lt;"&amp;MONTH(TODAY()),$H$6:$AO$6,"REAL 25")</f>
        <v>0</v>
      </c>
      <c r="AS326" s="27">
        <f ca="1">SUMIFS($I326:$AP326,$I$5:$AP$5,"&lt;"&amp;MONTH(TODAY()),$I$6:$AP$6,"ORÇADO ")</f>
        <v>-89077.628571999987</v>
      </c>
      <c r="AT326" s="28">
        <f ca="1">SUMIFS($J326:$AQ326,$J$5:$AQ$5,"&lt;"&amp;MONTH(TODAY()),$J$6:$AQ$6,"REAL 26")</f>
        <v>-315028.71545057924</v>
      </c>
      <c r="AU326" s="241">
        <f t="shared" ref="AU326:AW329" si="315">SUM(H326,K326,N326,Q326,T326,W326,Z326,AC326,AF326,AI326,AL326,AO326)</f>
        <v>0</v>
      </c>
      <c r="AV326" s="27">
        <f t="shared" si="315"/>
        <v>-192639.50870800001</v>
      </c>
      <c r="AW326" s="28">
        <f t="shared" si="315"/>
        <v>-326437.76296433224</v>
      </c>
      <c r="AX326" s="241">
        <f t="shared" ref="AX326:AZ329" si="316">SUM(H326,K326,N326)</f>
        <v>0</v>
      </c>
      <c r="AY326" s="27">
        <f t="shared" si="316"/>
        <v>-40594.731119999989</v>
      </c>
      <c r="AZ326" s="28">
        <f t="shared" si="316"/>
        <v>-154111.30012095824</v>
      </c>
      <c r="BA326" s="241">
        <f t="shared" ref="BA326:BC329" si="317">SUM(Q326,T326,W326)</f>
        <v>0</v>
      </c>
      <c r="BB326" s="27">
        <f t="shared" si="317"/>
        <v>-48482.897452000005</v>
      </c>
      <c r="BC326" s="28">
        <f t="shared" si="317"/>
        <v>-160917.415329621</v>
      </c>
      <c r="BD326" s="241">
        <f t="shared" ref="BD326:BF329" si="318">SUM(Z326,AC326,AF326)</f>
        <v>0</v>
      </c>
      <c r="BE326" s="27">
        <f t="shared" si="318"/>
        <v>-51619.503768000002</v>
      </c>
      <c r="BF326" s="28">
        <f t="shared" si="318"/>
        <v>-11409.047513753017</v>
      </c>
      <c r="BG326" s="241">
        <f t="shared" ref="BG326:BI329" si="319">SUM(AI326,AL326,AO326)</f>
        <v>0</v>
      </c>
      <c r="BH326" s="27">
        <f t="shared" si="319"/>
        <v>-51942.376367999997</v>
      </c>
      <c r="BI326" s="28">
        <f t="shared" si="319"/>
        <v>0</v>
      </c>
      <c r="BK326" s="448">
        <f t="shared" si="302"/>
        <v>-192639.50870800001</v>
      </c>
      <c r="BL326" s="448">
        <f t="shared" si="303"/>
        <v>0</v>
      </c>
      <c r="BM326" s="448">
        <f t="shared" si="304"/>
        <v>-208184.69078109076</v>
      </c>
      <c r="BN326" s="448">
        <f t="shared" ca="1" si="305"/>
        <v>106844.02466948848</v>
      </c>
    </row>
    <row r="327" spans="1:66" s="29" customFormat="1" hidden="1" outlineLevel="1" x14ac:dyDescent="0.3">
      <c r="A327" s="22" t="s">
        <v>345</v>
      </c>
      <c r="B327" s="59"/>
      <c r="C327" s="24" t="s">
        <v>344</v>
      </c>
      <c r="D327" s="25"/>
      <c r="E327" s="25"/>
      <c r="F327" s="63"/>
      <c r="G327" s="33"/>
      <c r="H327" s="27">
        <v>-3603.5364</v>
      </c>
      <c r="I327" s="27"/>
      <c r="J327" s="27"/>
      <c r="K327" s="27">
        <v>-3268.3224</v>
      </c>
      <c r="L327" s="27"/>
      <c r="M327" s="27"/>
      <c r="N327" s="27">
        <v>-4053.7592000000009</v>
      </c>
      <c r="O327" s="27"/>
      <c r="P327" s="27"/>
      <c r="Q327" s="27">
        <v>-3491.7936</v>
      </c>
      <c r="R327" s="27"/>
      <c r="S327" s="27"/>
      <c r="T327" s="27">
        <v>-4621.4495999999999</v>
      </c>
      <c r="U327" s="27"/>
      <c r="V327" s="27"/>
      <c r="W327" s="241">
        <v>-5275.7808000000014</v>
      </c>
      <c r="X327" s="27"/>
      <c r="Y327" s="28">
        <f>-Fiscal!J29+SUMIFS(Aut_Ajustes_Manuais!$G:$G,Aut_Ajustes_Manuais!$I:$I,DRE!W$4,Aut_Ajustes_Manuais!$F:$F,"IRPJ")</f>
        <v>-3866.8724400000001</v>
      </c>
      <c r="Z327" s="241">
        <v>-3780.9587999999999</v>
      </c>
      <c r="AA327" s="27"/>
      <c r="AB327" s="28">
        <f>-Fiscal!L29+SUMIFS(Aut_Ajustes_Manuais!$G:$G,Aut_Ajustes_Manuais!$I:$I,DRE!Z$4,Aut_Ajustes_Manuais!$F:$F,"IRPJ")</f>
        <v>-839.69795999999997</v>
      </c>
      <c r="AC327" s="241">
        <v>-4407.145199999999</v>
      </c>
      <c r="AD327" s="27"/>
      <c r="AE327" s="28">
        <f>-Fiscal!M29+SUMIFS(Aut_Ajustes_Manuais!$G:$G,Aut_Ajustes_Manuais!$I:$I,DRE!AC$4,Aut_Ajustes_Manuais!$F:$F,"IRPJ")</f>
        <v>0</v>
      </c>
      <c r="AF327" s="241">
        <v>-3738.4740000000002</v>
      </c>
      <c r="AG327" s="27"/>
      <c r="AH327" s="28">
        <f>-Fiscal!N29+SUMIFS(Aut_Ajustes_Manuais!$G:$G,Aut_Ajustes_Manuais!$I:$I,DRE!AF$4,Aut_Ajustes_Manuais!$F:$F,"IRPJ")</f>
        <v>0</v>
      </c>
      <c r="AI327" s="241">
        <v>-4941.7149600000002</v>
      </c>
      <c r="AJ327" s="27"/>
      <c r="AK327" s="28">
        <f>-Fiscal!P29+SUMIFS(Aut_Ajustes_Manuais!$G:$G,Aut_Ajustes_Manuais!$I:$I,DRE!AI$4,Aut_Ajustes_Manuais!$F:$F,"IRPJ")</f>
        <v>0</v>
      </c>
      <c r="AL327" s="241">
        <v>-4448.5358399999996</v>
      </c>
      <c r="AM327" s="27"/>
      <c r="AN327" s="28">
        <f>-Fiscal!Q29+SUMIFS(Aut_Ajustes_Manuais!$G:$G,Aut_Ajustes_Manuais!$I:$I,DRE!AL$4,Aut_Ajustes_Manuais!$F:$F,"IRPJ")</f>
        <v>0</v>
      </c>
      <c r="AO327" s="241">
        <v>-4941.7149600000002</v>
      </c>
      <c r="AP327" s="27"/>
      <c r="AQ327" s="28">
        <f>-Fiscal!R29+SUMIFS(Aut_Ajustes_Manuais!$G:$G,Aut_Ajustes_Manuais!$I:$I,DRE!AO$4,Aut_Ajustes_Manuais!$F:$F,"IRPJ")</f>
        <v>0</v>
      </c>
      <c r="AR327" s="241">
        <f ca="1">SUMIFS($H327:$AO327,$H$5:$AO$5,"&lt;"&amp;MONTH(TODAY()),$H$6:$AO$6,"REAL 25")</f>
        <v>-24314.642</v>
      </c>
      <c r="AS327" s="27">
        <f ca="1">SUMIFS($I327:$AP327,$I$5:$AP$5,"&lt;"&amp;MONTH(TODAY()),$I$6:$AP$6,"ORÇADO ")</f>
        <v>0</v>
      </c>
      <c r="AT327" s="28">
        <f ca="1">SUMIFS($J327:$AQ327,$J$5:$AQ$5,"&lt;"&amp;MONTH(TODAY()),$J$6:$AQ$6,"REAL 26")</f>
        <v>-3866.8724400000001</v>
      </c>
      <c r="AU327" s="241">
        <f t="shared" si="315"/>
        <v>-50573.185759999993</v>
      </c>
      <c r="AV327" s="27">
        <f t="shared" si="315"/>
        <v>0</v>
      </c>
      <c r="AW327" s="28">
        <f t="shared" si="315"/>
        <v>-4706.5704000000005</v>
      </c>
      <c r="AX327" s="241">
        <f t="shared" si="316"/>
        <v>-10925.618</v>
      </c>
      <c r="AY327" s="27">
        <f t="shared" si="316"/>
        <v>0</v>
      </c>
      <c r="AZ327" s="28">
        <f t="shared" si="316"/>
        <v>0</v>
      </c>
      <c r="BA327" s="241">
        <f t="shared" si="317"/>
        <v>-13389.024000000001</v>
      </c>
      <c r="BB327" s="27">
        <f t="shared" si="317"/>
        <v>0</v>
      </c>
      <c r="BC327" s="28">
        <f t="shared" si="317"/>
        <v>-3866.8724400000001</v>
      </c>
      <c r="BD327" s="241">
        <f t="shared" si="318"/>
        <v>-11926.578</v>
      </c>
      <c r="BE327" s="27">
        <f t="shared" si="318"/>
        <v>0</v>
      </c>
      <c r="BF327" s="28">
        <f t="shared" si="318"/>
        <v>-839.69795999999997</v>
      </c>
      <c r="BG327" s="241">
        <f t="shared" si="319"/>
        <v>-14331.965759999999</v>
      </c>
      <c r="BH327" s="27">
        <f t="shared" si="319"/>
        <v>0</v>
      </c>
      <c r="BI327" s="28">
        <f t="shared" si="319"/>
        <v>0</v>
      </c>
      <c r="BK327" s="448">
        <f t="shared" si="302"/>
        <v>0</v>
      </c>
      <c r="BL327" s="448">
        <f t="shared" si="303"/>
        <v>0</v>
      </c>
      <c r="BM327" s="448">
        <f t="shared" si="304"/>
        <v>0</v>
      </c>
      <c r="BN327" s="448">
        <f t="shared" ca="1" si="305"/>
        <v>3866.8724400000001</v>
      </c>
    </row>
    <row r="328" spans="1:66" s="29" customFormat="1" hidden="1" outlineLevel="1" x14ac:dyDescent="0.3">
      <c r="A328" s="22" t="s">
        <v>346</v>
      </c>
      <c r="B328" s="59"/>
      <c r="C328" s="24" t="s">
        <v>344</v>
      </c>
      <c r="D328" s="25"/>
      <c r="E328" s="25"/>
      <c r="F328" s="63"/>
      <c r="G328" s="33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41"/>
      <c r="X328" s="27"/>
      <c r="Y328" s="28">
        <f>-Fiscal!K28+SUMIFS(Aut_Ajustes_Manuais!$G:$G,Aut_Ajustes_Manuais!$I:$I,DRE!W$4,Aut_Ajustes_Manuais!$F:$F,"IRPJ 10%")</f>
        <v>-1976.8896000000009</v>
      </c>
      <c r="Z328" s="241"/>
      <c r="AA328" s="27"/>
      <c r="AB328" s="28"/>
      <c r="AC328" s="241"/>
      <c r="AD328" s="27"/>
      <c r="AE328" s="28"/>
      <c r="AF328" s="241"/>
      <c r="AG328" s="27"/>
      <c r="AH328" s="28">
        <f>-Fiscal!O28+SUMIFS(Aut_Ajustes_Manuais!$G:$G,Aut_Ajustes_Manuais!$I:$I,DRE!AF$4,Aut_Ajustes_Manuais!$F:$F,"IRPJ 10%")</f>
        <v>0</v>
      </c>
      <c r="AI328" s="241"/>
      <c r="AJ328" s="27"/>
      <c r="AK328" s="28"/>
      <c r="AL328" s="241"/>
      <c r="AM328" s="27"/>
      <c r="AN328" s="28"/>
      <c r="AO328" s="241"/>
      <c r="AP328" s="27"/>
      <c r="AQ328" s="28">
        <f>-Fiscal!S28+SUMIFS(Aut_Ajustes_Manuais!$G:$G,Aut_Ajustes_Manuais!$I:$I,DRE!AO$4,Aut_Ajustes_Manuais!$F:$F,"IRPJ 10%")</f>
        <v>0</v>
      </c>
      <c r="AR328" s="241">
        <f ca="1">SUMIFS($H328:$AO328,$H$5:$AO$5,"&lt;"&amp;MONTH(TODAY()),$H$6:$AO$6,"REAL 25")</f>
        <v>0</v>
      </c>
      <c r="AS328" s="27">
        <f ca="1">SUMIFS($I328:$AP328,$I$5:$AP$5,"&lt;"&amp;MONTH(TODAY()),$I$6:$AP$6,"ORÇADO ")</f>
        <v>0</v>
      </c>
      <c r="AT328" s="28">
        <f ca="1">SUMIFS($J328:$AQ328,$J$5:$AQ$5,"&lt;"&amp;MONTH(TODAY()),$J$6:$AQ$6,"REAL 26")</f>
        <v>-1976.8896000000009</v>
      </c>
      <c r="AU328" s="241">
        <f t="shared" si="315"/>
        <v>0</v>
      </c>
      <c r="AV328" s="27">
        <f t="shared" si="315"/>
        <v>0</v>
      </c>
      <c r="AW328" s="28">
        <f t="shared" si="315"/>
        <v>-1976.8896000000009</v>
      </c>
      <c r="AX328" s="241">
        <f t="shared" si="316"/>
        <v>0</v>
      </c>
      <c r="AY328" s="27">
        <f t="shared" si="316"/>
        <v>0</v>
      </c>
      <c r="AZ328" s="28">
        <f t="shared" si="316"/>
        <v>0</v>
      </c>
      <c r="BA328" s="241">
        <f t="shared" si="317"/>
        <v>0</v>
      </c>
      <c r="BB328" s="27">
        <f t="shared" si="317"/>
        <v>0</v>
      </c>
      <c r="BC328" s="28">
        <f t="shared" si="317"/>
        <v>-1976.8896000000009</v>
      </c>
      <c r="BD328" s="241">
        <f t="shared" si="318"/>
        <v>0</v>
      </c>
      <c r="BE328" s="27">
        <f t="shared" si="318"/>
        <v>0</v>
      </c>
      <c r="BF328" s="28">
        <f t="shared" si="318"/>
        <v>0</v>
      </c>
      <c r="BG328" s="241">
        <f t="shared" si="319"/>
        <v>0</v>
      </c>
      <c r="BH328" s="27">
        <f t="shared" si="319"/>
        <v>0</v>
      </c>
      <c r="BI328" s="28">
        <f t="shared" si="319"/>
        <v>0</v>
      </c>
      <c r="BK328" s="448">
        <f t="shared" si="302"/>
        <v>0</v>
      </c>
      <c r="BL328" s="448">
        <f t="shared" si="303"/>
        <v>0</v>
      </c>
      <c r="BM328" s="448">
        <f t="shared" si="304"/>
        <v>0</v>
      </c>
      <c r="BN328" s="448">
        <f t="shared" ca="1" si="305"/>
        <v>1976.8896000000009</v>
      </c>
    </row>
    <row r="329" spans="1:66" s="29" customFormat="1" hidden="1" outlineLevel="1" x14ac:dyDescent="0.3">
      <c r="A329" s="22" t="s">
        <v>347</v>
      </c>
      <c r="B329" s="59"/>
      <c r="C329" s="24" t="s">
        <v>344</v>
      </c>
      <c r="D329" s="25"/>
      <c r="E329" s="25"/>
      <c r="F329" s="63"/>
      <c r="G329" s="33"/>
      <c r="H329" s="27">
        <v>-3243.1827600000011</v>
      </c>
      <c r="I329" s="27"/>
      <c r="J329" s="27"/>
      <c r="K329" s="27">
        <v>-2941.4901599999998</v>
      </c>
      <c r="L329" s="27"/>
      <c r="M329" s="27"/>
      <c r="N329" s="27">
        <v>-2955.1608000000001</v>
      </c>
      <c r="O329" s="27"/>
      <c r="P329" s="27"/>
      <c r="Q329" s="27">
        <v>-3142.614239999999</v>
      </c>
      <c r="R329" s="27"/>
      <c r="S329" s="27"/>
      <c r="T329" s="27">
        <v>-4159.3046399999994</v>
      </c>
      <c r="U329" s="27"/>
      <c r="V329" s="27"/>
      <c r="W329" s="241">
        <v>-3168.1540799999998</v>
      </c>
      <c r="X329" s="27"/>
      <c r="Y329" s="28">
        <f>-Fiscal!J34+SUMIFS(Aut_Ajustes_Manuais!$G:$G,Aut_Ajustes_Manuais!$I:$I,DRE!W$4,Aut_Ajustes_Manuais!$F:$F,"CSLL")</f>
        <v>-3466.6923959999995</v>
      </c>
      <c r="Z329" s="241">
        <v>-3402.86292</v>
      </c>
      <c r="AA329" s="27"/>
      <c r="AB329" s="28">
        <f>-Fiscal!L34+SUMIFS(Aut_Ajustes_Manuais!$G:$G,Aut_Ajustes_Manuais!$I:$I,DRE!Z$4,Aut_Ajustes_Manuais!$F:$F,"CSLL")</f>
        <v>-755.0369639999999</v>
      </c>
      <c r="AC329" s="241">
        <v>-3966.430679999999</v>
      </c>
      <c r="AD329" s="27"/>
      <c r="AE329" s="28">
        <f>-Fiscal!M34+SUMIFS(Aut_Ajustes_Manuais!$G:$G,Aut_Ajustes_Manuais!$I:$I,DRE!AC$4,Aut_Ajustes_Manuais!$F:$F,"CSLL")</f>
        <v>0</v>
      </c>
      <c r="AF329" s="241">
        <v>-3364.6266000000001</v>
      </c>
      <c r="AG329" s="27"/>
      <c r="AH329" s="28">
        <f>-Fiscal!N34+SUMIFS(Aut_Ajustes_Manuais!$G:$G,Aut_Ajustes_Manuais!$I:$I,DRE!AF$4,Aut_Ajustes_Manuais!$F:$F,"CSLL")</f>
        <v>0</v>
      </c>
      <c r="AI329" s="241">
        <v>-4447.5434639999994</v>
      </c>
      <c r="AJ329" s="27"/>
      <c r="AK329" s="28">
        <f>-Fiscal!P34+SUMIFS(Aut_Ajustes_Manuais!$G:$G,Aut_Ajustes_Manuais!$I:$I,DRE!AI$4,Aut_Ajustes_Manuais!$F:$F,"CSLL")</f>
        <v>0</v>
      </c>
      <c r="AL329" s="241">
        <v>-4003.6822560000001</v>
      </c>
      <c r="AM329" s="27"/>
      <c r="AN329" s="28">
        <f>-Fiscal!Q34+SUMIFS(Aut_Ajustes_Manuais!$G:$G,Aut_Ajustes_Manuais!$I:$I,DRE!AL$4,Aut_Ajustes_Manuais!$F:$F,"CSLL")</f>
        <v>0</v>
      </c>
      <c r="AO329" s="241">
        <v>-4447.5434639999994</v>
      </c>
      <c r="AP329" s="27"/>
      <c r="AQ329" s="28">
        <f>-Fiscal!R34+SUMIFS(Aut_Ajustes_Manuais!$G:$G,Aut_Ajustes_Manuais!$I:$I,DRE!AO$4,Aut_Ajustes_Manuais!$F:$F,"CSLL")</f>
        <v>0</v>
      </c>
      <c r="AR329" s="241">
        <f ca="1">SUMIFS($H329:$AO329,$H$5:$AO$5,"&lt;"&amp;MONTH(TODAY()),$H$6:$AO$6,"REAL 25")</f>
        <v>-19609.90668</v>
      </c>
      <c r="AS329" s="27">
        <f ca="1">SUMIFS($I329:$AP329,$I$5:$AP$5,"&lt;"&amp;MONTH(TODAY()),$I$6:$AP$6,"ORÇADO ")</f>
        <v>0</v>
      </c>
      <c r="AT329" s="28">
        <f ca="1">SUMIFS($J329:$AQ329,$J$5:$AQ$5,"&lt;"&amp;MONTH(TODAY()),$J$6:$AQ$6,"REAL 26")</f>
        <v>-3466.6923959999995</v>
      </c>
      <c r="AU329" s="241">
        <f t="shared" si="315"/>
        <v>-43242.596063999998</v>
      </c>
      <c r="AV329" s="27">
        <f t="shared" si="315"/>
        <v>0</v>
      </c>
      <c r="AW329" s="28">
        <f t="shared" si="315"/>
        <v>-4221.7293599999994</v>
      </c>
      <c r="AX329" s="241">
        <f t="shared" si="316"/>
        <v>-9139.8337200000005</v>
      </c>
      <c r="AY329" s="27">
        <f t="shared" si="316"/>
        <v>0</v>
      </c>
      <c r="AZ329" s="28">
        <f t="shared" si="316"/>
        <v>0</v>
      </c>
      <c r="BA329" s="241">
        <f t="shared" si="317"/>
        <v>-10470.072959999998</v>
      </c>
      <c r="BB329" s="27">
        <f t="shared" si="317"/>
        <v>0</v>
      </c>
      <c r="BC329" s="28">
        <f t="shared" si="317"/>
        <v>-3466.6923959999995</v>
      </c>
      <c r="BD329" s="241">
        <f t="shared" si="318"/>
        <v>-10733.920199999999</v>
      </c>
      <c r="BE329" s="27">
        <f t="shared" si="318"/>
        <v>0</v>
      </c>
      <c r="BF329" s="28">
        <f t="shared" si="318"/>
        <v>-755.0369639999999</v>
      </c>
      <c r="BG329" s="241">
        <f t="shared" si="319"/>
        <v>-12898.769183999997</v>
      </c>
      <c r="BH329" s="27">
        <f t="shared" si="319"/>
        <v>0</v>
      </c>
      <c r="BI329" s="28">
        <f t="shared" si="319"/>
        <v>0</v>
      </c>
      <c r="BK329" s="448">
        <f t="shared" si="302"/>
        <v>0</v>
      </c>
      <c r="BL329" s="448">
        <f t="shared" si="303"/>
        <v>0</v>
      </c>
      <c r="BM329" s="448">
        <f t="shared" si="304"/>
        <v>0</v>
      </c>
      <c r="BN329" s="448">
        <f t="shared" ca="1" si="305"/>
        <v>3466.6923959999995</v>
      </c>
    </row>
    <row r="330" spans="1:66" collapsed="1" x14ac:dyDescent="0.3">
      <c r="A330" s="18"/>
      <c r="E330" s="16"/>
      <c r="F330" s="17"/>
      <c r="G330" s="47"/>
      <c r="H330" s="246"/>
      <c r="I330" s="53"/>
      <c r="J330" s="54"/>
      <c r="K330" s="246"/>
      <c r="L330" s="53"/>
      <c r="M330" s="54"/>
      <c r="N330" s="246"/>
      <c r="O330" s="53"/>
      <c r="P330" s="54"/>
      <c r="Q330" s="246"/>
      <c r="R330" s="53"/>
      <c r="S330" s="54"/>
      <c r="T330" s="246"/>
      <c r="U330" s="53"/>
      <c r="V330" s="54"/>
      <c r="W330" s="246"/>
      <c r="X330" s="53"/>
      <c r="Y330" s="54"/>
      <c r="Z330" s="246"/>
      <c r="AA330" s="53"/>
      <c r="AB330" s="54"/>
      <c r="AC330" s="246"/>
      <c r="AD330" s="53"/>
      <c r="AE330" s="54"/>
      <c r="AF330" s="246"/>
      <c r="AG330" s="53"/>
      <c r="AH330" s="54"/>
      <c r="AI330" s="246"/>
      <c r="AJ330" s="53"/>
      <c r="AK330" s="54"/>
      <c r="AL330" s="246"/>
      <c r="AM330" s="53"/>
      <c r="AN330" s="54"/>
      <c r="AO330" s="246"/>
      <c r="AP330" s="53"/>
      <c r="AQ330" s="54"/>
      <c r="AR330" s="246"/>
      <c r="AS330" s="53">
        <v>-3.2842365363956037E-2</v>
      </c>
      <c r="AT330" s="54"/>
      <c r="AU330" s="246"/>
      <c r="AV330" s="53"/>
      <c r="AW330" s="54"/>
      <c r="AX330" s="246"/>
      <c r="AY330" s="53"/>
      <c r="AZ330" s="54"/>
      <c r="BA330" s="246"/>
      <c r="BB330" s="53"/>
      <c r="BC330" s="54"/>
      <c r="BD330" s="246"/>
      <c r="BE330" s="53"/>
      <c r="BF330" s="54"/>
      <c r="BG330" s="246"/>
      <c r="BH330" s="53"/>
      <c r="BI330" s="54"/>
      <c r="BK330" s="448">
        <f t="shared" si="302"/>
        <v>0</v>
      </c>
      <c r="BL330" s="448">
        <f t="shared" si="303"/>
        <v>0</v>
      </c>
      <c r="BM330" s="448">
        <f t="shared" si="304"/>
        <v>0</v>
      </c>
      <c r="BN330" s="448">
        <f t="shared" si="305"/>
        <v>0</v>
      </c>
    </row>
    <row r="331" spans="1:66" x14ac:dyDescent="0.3">
      <c r="A331" s="58" t="s">
        <v>348</v>
      </c>
      <c r="B331" s="59"/>
      <c r="C331" s="60"/>
      <c r="D331" s="61"/>
      <c r="E331" s="62"/>
      <c r="F331" s="63"/>
      <c r="G331" s="47"/>
      <c r="H331" s="248">
        <v>8149.0943882485208</v>
      </c>
      <c r="I331" s="64">
        <v>36414.607595764122</v>
      </c>
      <c r="J331" s="65">
        <f>SUM(J325,J323)+SUMIFS(Aut_Ajustes_Manuais!$G:$G,Aut_Ajustes_Manuais!$I:$I,DRE!H$4,Aut_Ajustes_Manuais!$F:$F,"Resultado Líquido")</f>
        <v>-12253.989446270127</v>
      </c>
      <c r="K331" s="248">
        <v>-7834.592853856564</v>
      </c>
      <c r="L331" s="64">
        <v>17848.835795057588</v>
      </c>
      <c r="M331" s="65">
        <f>SUM(M325,M323)+SUMIFS(Aut_Ajustes_Manuais!$G:$G,Aut_Ajustes_Manuais!$I:$I,DRE!K$4,Aut_Ajustes_Manuais!$F:$F,"Resultado Líquido")</f>
        <v>-50872.08569183536</v>
      </c>
      <c r="N331" s="248">
        <v>-16878.070492386851</v>
      </c>
      <c r="O331" s="64">
        <v>-5329.2388163956912</v>
      </c>
      <c r="P331" s="65">
        <f>SUM(P325,P323)+SUMIFS(Aut_Ajustes_Manuais!$G:$G,Aut_Ajustes_Manuais!$I:$I,DRE!N$4,Aut_Ajustes_Manuais!$F:$F,"Resultado Líquido")</f>
        <v>-35613.53273282625</v>
      </c>
      <c r="Q331" s="248">
        <v>-7464.616140066596</v>
      </c>
      <c r="R331" s="64">
        <v>-11243.4644499563</v>
      </c>
      <c r="S331" s="65">
        <f>SUM(S325,S323)+SUMIFS(Aut_Ajustes_Manuais!$G:$G,Aut_Ajustes_Manuais!$I:$I,DRE!Q$4,Aut_Ajustes_Manuais!$F:$F,"Resultado Líquido")</f>
        <v>-34192.149855241529</v>
      </c>
      <c r="T331" s="248">
        <v>57195.498855498008</v>
      </c>
      <c r="U331" s="64">
        <v>85020.702287181717</v>
      </c>
      <c r="V331" s="65">
        <f>SUM(V325,V323)+SUMIFS(Aut_Ajustes_Manuais!$G:$G,Aut_Ajustes_Manuais!$I:$I,DRE!T$4,Aut_Ajustes_Manuais!$F:$F,"Resultado Líquido")</f>
        <v>-21373.903929880711</v>
      </c>
      <c r="W331" s="248">
        <v>56565.364411517352</v>
      </c>
      <c r="X331" s="64">
        <v>50711.949095940006</v>
      </c>
      <c r="Y331" s="65">
        <f>SUM(Y325,Y323)+SUMIFS(Aut_Ajustes_Manuais!$G:$G,Aut_Ajustes_Manuais!$I:$I,DRE!W$4,Aut_Ajustes_Manuais!$F:$F,"Resultado Líquido")</f>
        <v>-103419.29552084339</v>
      </c>
      <c r="Z331" s="248">
        <v>26426.64506638388</v>
      </c>
      <c r="AA331" s="64">
        <v>57602.536939489997</v>
      </c>
      <c r="AB331" s="65">
        <f>SUM(AB325,AB323)+SUMIFS(Aut_Ajustes_Manuais!$G:$G,Aut_Ajustes_Manuais!$I:$I,DRE!Z$4,Aut_Ajustes_Manuais!$F:$F,"Resultado Líquido")</f>
        <v>-148484.84741867302</v>
      </c>
      <c r="AC331" s="248">
        <v>65650.928742393386</v>
      </c>
      <c r="AD331" s="64">
        <v>73685.764514652212</v>
      </c>
      <c r="AE331" s="65">
        <f>SUM(AE325,AE323)+SUMIFS(Aut_Ajustes_Manuais!$G:$G,Aut_Ajustes_Manuais!$I:$I,DRE!AC$4,Aut_Ajustes_Manuais!$F:$F,"Resultado Líquido")</f>
        <v>-191619.76041772001</v>
      </c>
      <c r="AF331" s="248">
        <v>13119.701382280489</v>
      </c>
      <c r="AG331" s="64">
        <v>45750.246029312737</v>
      </c>
      <c r="AH331" s="65">
        <f>SUM(AH325,AH323)+SUMIFS(Aut_Ajustes_Manuais!$G:$G,Aut_Ajustes_Manuais!$I:$I,DRE!AF$4,Aut_Ajustes_Manuais!$F:$F,"Resultado Líquido")</f>
        <v>-175619.76041772001</v>
      </c>
      <c r="AI331" s="248">
        <v>32556.622799003741</v>
      </c>
      <c r="AJ331" s="64">
        <v>63415.637953970458</v>
      </c>
      <c r="AK331" s="65">
        <f>SUM(AK325,AK323)+SUMIFS(Aut_Ajustes_Manuais!$G:$G,Aut_Ajustes_Manuais!$I:$I,DRE!AI$4,Aut_Ajustes_Manuais!$F:$F,"Resultado Líquido")</f>
        <v>-171619.76041772001</v>
      </c>
      <c r="AL331" s="248">
        <v>33029.413902399123</v>
      </c>
      <c r="AM331" s="64">
        <v>69081.182098770048</v>
      </c>
      <c r="AN331" s="65">
        <f>SUM(AN325,AN323)+SUMIFS(Aut_Ajustes_Manuais!$G:$G,Aut_Ajustes_Manuais!$I:$I,DRE!AL$4,Aut_Ajustes_Manuais!$F:$F,"Resultado Líquido")</f>
        <v>-170658.71125105332</v>
      </c>
      <c r="AO331" s="248">
        <v>47985.955894287537</v>
      </c>
      <c r="AP331" s="64">
        <v>54939.539676040949</v>
      </c>
      <c r="AQ331" s="65">
        <f>SUM(AQ325,AQ323)+SUMIFS(Aut_Ajustes_Manuais!$G:$G,Aut_Ajustes_Manuais!$I:$I,DRE!AO$4,Aut_Ajustes_Manuais!$F:$F,"Resultado Líquido")</f>
        <v>-171273.71125105332</v>
      </c>
      <c r="AR331" s="248">
        <f t="shared" ref="AR331:BI331" ca="1" si="320">SUM(AR325,AR323)</f>
        <v>89732.6781689536</v>
      </c>
      <c r="AS331" s="64">
        <f t="shared" ca="1" si="320"/>
        <v>173423.39150759028</v>
      </c>
      <c r="AT331" s="65">
        <f t="shared" ca="1" si="320"/>
        <v>-257724.95717689698</v>
      </c>
      <c r="AU331" s="248">
        <f t="shared" si="320"/>
        <v>308546.61595570174</v>
      </c>
      <c r="AV331" s="64">
        <f t="shared" si="320"/>
        <v>537898.29871982802</v>
      </c>
      <c r="AW331" s="65">
        <f t="shared" si="320"/>
        <v>-1292626.508350837</v>
      </c>
      <c r="AX331" s="248">
        <f t="shared" si="320"/>
        <v>-16518.898957994963</v>
      </c>
      <c r="AY331" s="64">
        <f t="shared" si="320"/>
        <v>48934.204574425959</v>
      </c>
      <c r="AZ331" s="65">
        <f t="shared" si="320"/>
        <v>-102114.60787093165</v>
      </c>
      <c r="BA331" s="248">
        <f t="shared" si="320"/>
        <v>106296.24712694873</v>
      </c>
      <c r="BB331" s="64">
        <f t="shared" si="320"/>
        <v>124489.18693316524</v>
      </c>
      <c r="BC331" s="65">
        <f t="shared" si="320"/>
        <v>-161235.34930596538</v>
      </c>
      <c r="BD331" s="248">
        <f t="shared" si="320"/>
        <v>105197.27519105779</v>
      </c>
      <c r="BE331" s="64">
        <f t="shared" si="320"/>
        <v>177038.54748345524</v>
      </c>
      <c r="BF331" s="65">
        <f t="shared" si="320"/>
        <v>-515724.36825411295</v>
      </c>
      <c r="BG331" s="248">
        <f t="shared" si="320"/>
        <v>113571.99259569077</v>
      </c>
      <c r="BH331" s="64">
        <f t="shared" si="320"/>
        <v>187436.35972878136</v>
      </c>
      <c r="BI331" s="65">
        <f t="shared" si="320"/>
        <v>-513552.18291982665</v>
      </c>
      <c r="BK331" s="448">
        <f t="shared" si="302"/>
        <v>537898.2987198279</v>
      </c>
      <c r="BL331" s="448">
        <f t="shared" si="303"/>
        <v>0</v>
      </c>
      <c r="BM331" s="448">
        <f t="shared" si="304"/>
        <v>-132931.75772617327</v>
      </c>
      <c r="BN331" s="448">
        <f t="shared" ca="1" si="305"/>
        <v>124793.19945072371</v>
      </c>
    </row>
    <row r="332" spans="1:66" x14ac:dyDescent="0.3">
      <c r="A332" s="71" t="s">
        <v>46</v>
      </c>
      <c r="B332" s="59"/>
      <c r="C332" s="60"/>
      <c r="D332" s="61"/>
      <c r="E332" s="62"/>
      <c r="F332" s="63"/>
      <c r="G332" s="47"/>
      <c r="H332" s="245">
        <v>-0.15601208422415841</v>
      </c>
      <c r="I332" s="50">
        <v>9.7235768646284054E-2</v>
      </c>
      <c r="J332" s="51">
        <f>IFERROR(J331/J8,0)+SUMIFS(Aut_Ajustes_Manuais!$G:$G,Aut_Ajustes_Manuais!$I:$I,DRE!H$4,Aut_Ajustes_Manuais!$F:$F,"% sobre Receita Bruta")</f>
        <v>-3.1714741638173997E-2</v>
      </c>
      <c r="K332" s="245">
        <v>-0.15601208422415841</v>
      </c>
      <c r="L332" s="50">
        <v>5.0233541949131183E-2</v>
      </c>
      <c r="M332" s="51">
        <f>IFERROR(M331/M8,0)+SUMIFS(Aut_Ajustes_Manuais!$G:$G,Aut_Ajustes_Manuais!$I:$I,DRE!K$4,Aut_Ajustes_Manuais!$F:$F,"% sobre Receita Bruta")</f>
        <v>-0.16047533100295197</v>
      </c>
      <c r="N332" s="245">
        <v>-0.15601208422415841</v>
      </c>
      <c r="O332" s="50">
        <v>-1.8695598837874489E-2</v>
      </c>
      <c r="P332" s="51">
        <f>IFERROR(P331/P8,0)+SUMIFS(Aut_Ajustes_Manuais!$G:$G,Aut_Ajustes_Manuais!$I:$I,DRE!N$4,Aut_Ajustes_Manuais!$F:$F,"% sobre Receita Bruta")</f>
        <v>-0.10555616022951951</v>
      </c>
      <c r="Q332" s="245">
        <v>-0.15601208422415841</v>
      </c>
      <c r="R332" s="50">
        <v>-3.790134660371193E-2</v>
      </c>
      <c r="S332" s="51">
        <f>IFERROR(S331/S8,0)+SUMIFS(Aut_Ajustes_Manuais!$G:$G,Aut_Ajustes_Manuais!$I:$I,DRE!Q$4,Aut_Ajustes_Manuais!$F:$F,"% sobre Receita Bruta")</f>
        <v>-9.2534083581525123E-2</v>
      </c>
      <c r="T332" s="245">
        <v>-0.15601208422415841</v>
      </c>
      <c r="U332" s="50">
        <v>0.17567788028299411</v>
      </c>
      <c r="V332" s="51">
        <f>IFERROR(V331/V8,0)+SUMIFS(Aut_Ajustes_Manuais!$G:$G,Aut_Ajustes_Manuais!$I:$I,DRE!T$4,Aut_Ajustes_Manuais!$F:$F,"% sobre Receita Bruta")</f>
        <v>-5.7331735481547734E-2</v>
      </c>
      <c r="W332" s="245">
        <v>-0.15601208422415841</v>
      </c>
      <c r="X332" s="50">
        <v>0.1175346770254642</v>
      </c>
      <c r="Y332" s="51">
        <f>IFERROR(Y331/Y8,0)+SUMIFS(Aut_Ajustes_Manuais!$G:$G,Aut_Ajustes_Manuais!$I:$I,DRE!W$4,Aut_Ajustes_Manuais!$F:$F,"% sobre Receita Bruta")</f>
        <v>-0.28767765863406697</v>
      </c>
      <c r="Z332" s="245">
        <v>-0.15601208422415841</v>
      </c>
      <c r="AA332" s="50">
        <v>0.13478302031189399</v>
      </c>
      <c r="AB332" s="51">
        <f>IFERROR(AB331/AB8,0)+SUMIFS(Aut_Ajustes_Manuais!$G:$G,Aut_Ajustes_Manuais!$I:$I,DRE!Z$4,Aut_Ajustes_Manuais!$F:$F,"% sobre Receita Bruta")</f>
        <v>-1.8905542272481115</v>
      </c>
      <c r="AC332" s="245">
        <v>-0.15601208422415841</v>
      </c>
      <c r="AD332" s="50">
        <v>0.15976120867417179</v>
      </c>
      <c r="AE332" s="51">
        <f>IFERROR(AE331/AE8,0)+SUMIFS(Aut_Ajustes_Manuais!$G:$G,Aut_Ajustes_Manuais!$I:$I,DRE!AC$4,Aut_Ajustes_Manuais!$F:$F,"% sobre Receita Bruta")</f>
        <v>0</v>
      </c>
      <c r="AF332" s="245">
        <v>-0.15601208422415841</v>
      </c>
      <c r="AG332" s="50">
        <v>0.1138374888707912</v>
      </c>
      <c r="AH332" s="51">
        <f>IFERROR(AH331/AH8,0)+SUMIFS(Aut_Ajustes_Manuais!$G:$G,Aut_Ajustes_Manuais!$I:$I,DRE!AF$4,Aut_Ajustes_Manuais!$F:$F,"% sobre Receita Bruta")</f>
        <v>0</v>
      </c>
      <c r="AI332" s="245">
        <v>-0.15601208422415841</v>
      </c>
      <c r="AJ332" s="50">
        <v>0.15680407039038219</v>
      </c>
      <c r="AK332" s="51">
        <f>IFERROR(AK331/AK8,0)+SUMIFS(Aut_Ajustes_Manuais!$G:$G,Aut_Ajustes_Manuais!$I:$I,DRE!AI$4,Aut_Ajustes_Manuais!$F:$F,"% sobre Receita Bruta")</f>
        <v>0</v>
      </c>
      <c r="AL332" s="245">
        <v>-0.15601208422415841</v>
      </c>
      <c r="AM332" s="50">
        <v>0.14718998484774931</v>
      </c>
      <c r="AN332" s="51">
        <f>IFERROR(AN331/AN8,0)+SUMIFS(Aut_Ajustes_Manuais!$G:$G,Aut_Ajustes_Manuais!$I:$I,DRE!AL$4,Aut_Ajustes_Manuais!$F:$F,"% sobre Receita Bruta")</f>
        <v>0</v>
      </c>
      <c r="AO332" s="245">
        <v>-0.15601208422415841</v>
      </c>
      <c r="AP332" s="50">
        <v>0.12933036646902299</v>
      </c>
      <c r="AQ332" s="51">
        <f>IFERROR(AQ331/AQ8,0)+SUMIFS(Aut_Ajustes_Manuais!$G:$G,Aut_Ajustes_Manuais!$I:$I,DRE!AO$4,Aut_Ajustes_Manuais!$F:$F,"% sobre Receita Bruta")</f>
        <v>0</v>
      </c>
      <c r="AR332" s="245">
        <f t="shared" ref="AR332:BI332" ca="1" si="321">IFERROR(AR331/AR8,0)</f>
        <v>4.362796348559473E-2</v>
      </c>
      <c r="AS332" s="50">
        <f t="shared" ca="1" si="321"/>
        <v>7.787517215612226E-2</v>
      </c>
      <c r="AT332" s="51">
        <f t="shared" ca="1" si="321"/>
        <v>-0.12028627301220511</v>
      </c>
      <c r="AU332" s="245">
        <f t="shared" si="321"/>
        <v>6.927956281758825E-2</v>
      </c>
      <c r="AV332" s="50">
        <f t="shared" si="321"/>
        <v>0.11169013092431959</v>
      </c>
      <c r="AW332" s="51">
        <f t="shared" si="321"/>
        <v>-0.58196614239890776</v>
      </c>
      <c r="AX332" s="245">
        <f t="shared" si="321"/>
        <v>-1.7220379377728849E-2</v>
      </c>
      <c r="AY332" s="50">
        <f t="shared" si="321"/>
        <v>4.8217296407037737E-2</v>
      </c>
      <c r="AZ332" s="51">
        <f t="shared" si="321"/>
        <v>-9.8113567022941869E-2</v>
      </c>
      <c r="BA332" s="245">
        <f t="shared" si="321"/>
        <v>9.6852605719056462E-2</v>
      </c>
      <c r="BB332" s="50">
        <f t="shared" si="321"/>
        <v>0.10270771218359177</v>
      </c>
      <c r="BC332" s="51">
        <f t="shared" si="321"/>
        <v>-0.14633588463684322</v>
      </c>
      <c r="BD332" s="245">
        <f t="shared" si="321"/>
        <v>9.3575486984346951E-2</v>
      </c>
      <c r="BE332" s="50">
        <f t="shared" si="321"/>
        <v>0.13718733002869751</v>
      </c>
      <c r="BF332" s="51">
        <f t="shared" si="321"/>
        <v>-6.566359473357692</v>
      </c>
      <c r="BG332" s="245">
        <f t="shared" si="321"/>
        <v>8.9238535752847251E-2</v>
      </c>
      <c r="BH332" s="50">
        <f t="shared" si="321"/>
        <v>0.14434176703879481</v>
      </c>
      <c r="BI332" s="51">
        <f t="shared" si="321"/>
        <v>0</v>
      </c>
      <c r="BK332" s="448">
        <f t="shared" si="302"/>
        <v>1.2257910620262986</v>
      </c>
      <c r="BL332" s="448">
        <f t="shared" si="303"/>
        <v>1.1141009311019789</v>
      </c>
      <c r="BM332" s="448">
        <f t="shared" si="304"/>
        <v>-0.39028031645217065</v>
      </c>
      <c r="BN332" s="448">
        <f t="shared" ca="1" si="305"/>
        <v>-0.26999404343996553</v>
      </c>
    </row>
    <row r="333" spans="1:66" x14ac:dyDescent="0.3">
      <c r="A333" s="18"/>
      <c r="E333" s="16"/>
      <c r="F333" s="17"/>
      <c r="G333" s="47"/>
      <c r="H333" s="247"/>
      <c r="I333" s="17"/>
      <c r="J333" s="57"/>
      <c r="K333" s="247"/>
      <c r="L333" s="17"/>
      <c r="M333" s="57"/>
      <c r="N333" s="247"/>
      <c r="O333" s="17"/>
      <c r="P333" s="57"/>
      <c r="Q333" s="247"/>
      <c r="R333" s="17"/>
      <c r="S333" s="57"/>
      <c r="T333" s="247"/>
      <c r="U333" s="17"/>
      <c r="V333" s="57"/>
      <c r="W333" s="247"/>
      <c r="X333" s="17"/>
      <c r="Y333" s="57"/>
      <c r="Z333" s="247"/>
      <c r="AA333" s="17"/>
      <c r="AB333" s="57"/>
      <c r="AC333" s="247"/>
      <c r="AD333" s="17"/>
      <c r="AE333" s="57"/>
      <c r="AF333" s="247"/>
      <c r="AG333" s="17"/>
      <c r="AH333" s="57"/>
      <c r="AI333" s="247"/>
      <c r="AJ333" s="17"/>
      <c r="AK333" s="57"/>
      <c r="AL333" s="247"/>
      <c r="AM333" s="17"/>
      <c r="AN333" s="57"/>
      <c r="AO333" s="247"/>
      <c r="AP333" s="17"/>
      <c r="AQ333" s="57"/>
      <c r="AR333" s="247"/>
      <c r="AS333" s="17"/>
      <c r="AT333" s="57"/>
      <c r="AU333" s="247"/>
      <c r="AV333" s="17"/>
      <c r="AW333" s="57"/>
      <c r="AX333" s="247"/>
      <c r="AY333" s="17"/>
      <c r="AZ333" s="57"/>
      <c r="BA333" s="247"/>
      <c r="BB333" s="17"/>
      <c r="BC333" s="57"/>
      <c r="BD333" s="247"/>
      <c r="BE333" s="17"/>
      <c r="BF333" s="57"/>
      <c r="BG333" s="247"/>
      <c r="BH333" s="17"/>
      <c r="BI333" s="57"/>
      <c r="BK333" s="448">
        <f t="shared" si="302"/>
        <v>0</v>
      </c>
      <c r="BL333" s="448">
        <f t="shared" si="303"/>
        <v>0</v>
      </c>
      <c r="BM333" s="448">
        <f t="shared" si="304"/>
        <v>0</v>
      </c>
      <c r="BN333" s="448">
        <f t="shared" si="305"/>
        <v>0</v>
      </c>
    </row>
    <row r="334" spans="1:66" ht="16.95" customHeight="1" x14ac:dyDescent="0.3">
      <c r="A334" s="39" t="s">
        <v>349</v>
      </c>
      <c r="B334" s="59"/>
      <c r="C334" s="40" t="s">
        <v>341</v>
      </c>
      <c r="D334" s="40" t="s">
        <v>342</v>
      </c>
      <c r="E334" s="40" t="s">
        <v>203</v>
      </c>
      <c r="F334" s="63"/>
      <c r="G334" s="47"/>
      <c r="H334" s="244">
        <v>0</v>
      </c>
      <c r="I334" s="42">
        <v>0</v>
      </c>
      <c r="J334" s="43">
        <f>SUM(J335:J351)+SUMIFS(Aut_Ajustes_Manuais!$G:$G,Aut_Ajustes_Manuais!$I:$I,DRE!H$4,Aut_Ajustes_Manuais!$F:$F,"(-) CAPEX (Investimentos)")</f>
        <v>-260</v>
      </c>
      <c r="K334" s="244">
        <v>0</v>
      </c>
      <c r="L334" s="42">
        <v>-25000</v>
      </c>
      <c r="M334" s="43">
        <f>SUM(M335:M351)+SUMIFS(Aut_Ajustes_Manuais!$G:$G,Aut_Ajustes_Manuais!$I:$I,DRE!K$4,Aut_Ajustes_Manuais!$F:$F,"(-) CAPEX (Investimentos)")</f>
        <v>0</v>
      </c>
      <c r="N334" s="244">
        <v>0</v>
      </c>
      <c r="O334" s="42">
        <v>-110000</v>
      </c>
      <c r="P334" s="43">
        <f>SUM(P335:P351)+SUMIFS(Aut_Ajustes_Manuais!$G:$G,Aut_Ajustes_Manuais!$I:$I,DRE!N$4,Aut_Ajustes_Manuais!$F:$F,"(-) CAPEX (Investimentos)")</f>
        <v>0</v>
      </c>
      <c r="Q334" s="244">
        <v>-4850</v>
      </c>
      <c r="R334" s="42">
        <v>-140000</v>
      </c>
      <c r="S334" s="43">
        <f>SUM(S335:S351)+SUMIFS(Aut_Ajustes_Manuais!$G:$G,Aut_Ajustes_Manuais!$I:$I,DRE!Q$4,Aut_Ajustes_Manuais!$F:$F,"(-) CAPEX (Investimentos)")</f>
        <v>0</v>
      </c>
      <c r="T334" s="244">
        <v>0</v>
      </c>
      <c r="U334" s="42">
        <v>0</v>
      </c>
      <c r="V334" s="43">
        <f>SUM(V335:V351)+SUMIFS(Aut_Ajustes_Manuais!$G:$G,Aut_Ajustes_Manuais!$I:$I,DRE!T$4,Aut_Ajustes_Manuais!$F:$F,"(-) CAPEX (Investimentos)")</f>
        <v>-1863</v>
      </c>
      <c r="W334" s="244">
        <v>0</v>
      </c>
      <c r="X334" s="42">
        <v>0</v>
      </c>
      <c r="Y334" s="43">
        <f>SUM(Y335:Y351)+SUMIFS(Aut_Ajustes_Manuais!$G:$G,Aut_Ajustes_Manuais!$I:$I,DRE!W$4,Aut_Ajustes_Manuais!$F:$F,"(-) CAPEX (Investimentos)")</f>
        <v>-15250</v>
      </c>
      <c r="Z334" s="244">
        <v>0</v>
      </c>
      <c r="AA334" s="42">
        <v>0</v>
      </c>
      <c r="AB334" s="43">
        <f>SUM(AB335:AB351)+SUMIFS(Aut_Ajustes_Manuais!$G:$G,Aut_Ajustes_Manuais!$I:$I,DRE!Z$4,Aut_Ajustes_Manuais!$F:$F,"(-) CAPEX (Investimentos)")</f>
        <v>-4300</v>
      </c>
      <c r="AC334" s="244">
        <v>-22520</v>
      </c>
      <c r="AD334" s="42">
        <v>0</v>
      </c>
      <c r="AE334" s="43">
        <f>SUM(AE335:AE351)+SUMIFS(Aut_Ajustes_Manuais!$G:$G,Aut_Ajustes_Manuais!$I:$I,DRE!AC$4,Aut_Ajustes_Manuais!$F:$F,"(-) CAPEX (Investimentos)")</f>
        <v>-2430</v>
      </c>
      <c r="AF334" s="244">
        <v>0</v>
      </c>
      <c r="AG334" s="42">
        <v>0</v>
      </c>
      <c r="AH334" s="43">
        <f>SUM(AH335:AH351)+SUMIFS(Aut_Ajustes_Manuais!$G:$G,Aut_Ajustes_Manuais!$I:$I,DRE!AF$4,Aut_Ajustes_Manuais!$F:$F,"(-) CAPEX (Investimentos)")</f>
        <v>0</v>
      </c>
      <c r="AI334" s="244">
        <v>0</v>
      </c>
      <c r="AJ334" s="42">
        <v>0</v>
      </c>
      <c r="AK334" s="43">
        <f>SUM(AK335:AK351)+SUMIFS(Aut_Ajustes_Manuais!$G:$G,Aut_Ajustes_Manuais!$I:$I,DRE!AI$4,Aut_Ajustes_Manuais!$F:$F,"(-) CAPEX (Investimentos)")</f>
        <v>0</v>
      </c>
      <c r="AL334" s="244">
        <v>-105000</v>
      </c>
      <c r="AM334" s="42">
        <v>0</v>
      </c>
      <c r="AN334" s="43">
        <f>SUM(AN335:AN351)+SUMIFS(Aut_Ajustes_Manuais!$G:$G,Aut_Ajustes_Manuais!$I:$I,DRE!AL$4,Aut_Ajustes_Manuais!$F:$F,"(-) CAPEX (Investimentos)")</f>
        <v>0</v>
      </c>
      <c r="AO334" s="244">
        <v>0</v>
      </c>
      <c r="AP334" s="42">
        <v>0</v>
      </c>
      <c r="AQ334" s="43">
        <f>SUM(AQ335:AQ351)+SUMIFS(Aut_Ajustes_Manuais!$G:$G,Aut_Ajustes_Manuais!$I:$I,DRE!AO$4,Aut_Ajustes_Manuais!$F:$F,"(-) CAPEX (Investimentos)")</f>
        <v>0</v>
      </c>
      <c r="AR334" s="244">
        <f t="shared" ref="AR334:BI334" ca="1" si="322">SUM(AR335:AR351)</f>
        <v>-4850</v>
      </c>
      <c r="AS334" s="42">
        <f t="shared" ca="1" si="322"/>
        <v>-275000</v>
      </c>
      <c r="AT334" s="43">
        <f t="shared" ca="1" si="322"/>
        <v>-17373</v>
      </c>
      <c r="AU334" s="244">
        <f t="shared" si="322"/>
        <v>-132370</v>
      </c>
      <c r="AV334" s="42">
        <f t="shared" si="322"/>
        <v>-275000</v>
      </c>
      <c r="AW334" s="43">
        <f t="shared" si="322"/>
        <v>-24103</v>
      </c>
      <c r="AX334" s="244">
        <f t="shared" si="322"/>
        <v>0</v>
      </c>
      <c r="AY334" s="42">
        <f t="shared" si="322"/>
        <v>-135000</v>
      </c>
      <c r="AZ334" s="43">
        <f t="shared" si="322"/>
        <v>-260</v>
      </c>
      <c r="BA334" s="244">
        <f t="shared" si="322"/>
        <v>-4850</v>
      </c>
      <c r="BB334" s="42">
        <f t="shared" si="322"/>
        <v>-140000</v>
      </c>
      <c r="BC334" s="43">
        <f t="shared" si="322"/>
        <v>-17113</v>
      </c>
      <c r="BD334" s="244">
        <f t="shared" si="322"/>
        <v>-22520</v>
      </c>
      <c r="BE334" s="42">
        <f t="shared" si="322"/>
        <v>0</v>
      </c>
      <c r="BF334" s="43">
        <f t="shared" si="322"/>
        <v>-6730</v>
      </c>
      <c r="BG334" s="244">
        <f t="shared" si="322"/>
        <v>-105000</v>
      </c>
      <c r="BH334" s="42">
        <f t="shared" si="322"/>
        <v>0</v>
      </c>
      <c r="BI334" s="43">
        <f t="shared" si="322"/>
        <v>0</v>
      </c>
      <c r="BK334" s="448">
        <f t="shared" si="302"/>
        <v>-275000</v>
      </c>
      <c r="BL334" s="448">
        <f t="shared" si="303"/>
        <v>0</v>
      </c>
      <c r="BM334" s="448">
        <f t="shared" si="304"/>
        <v>-260</v>
      </c>
      <c r="BN334" s="448">
        <f t="shared" ca="1" si="305"/>
        <v>17113</v>
      </c>
    </row>
    <row r="335" spans="1:66" s="29" customFormat="1" hidden="1" outlineLevel="1" x14ac:dyDescent="0.3">
      <c r="A335" s="22" t="s">
        <v>350</v>
      </c>
      <c r="B335" s="59"/>
      <c r="C335" s="24" t="s">
        <v>62</v>
      </c>
      <c r="D335" s="25"/>
      <c r="E335" s="25"/>
      <c r="F335" s="63"/>
      <c r="G335" s="33"/>
      <c r="H335" s="241">
        <v>0</v>
      </c>
      <c r="I335" s="81"/>
      <c r="J335" s="82">
        <f>SUMIFS(Aut_BlueMe_Sem_Pedido!$J:$J,Aut_BlueMe_Sem_Pedido!$Q:$Q,DRE!H$4,Aut_BlueMe_Sem_Pedido!$H:$H,DRE!$A335)+SUMIFS(Aut_Ajustes_Manuais!$G:$G,Aut_Ajustes_Manuais!$I:$I,DRE!H$4,Aut_Ajustes_Manuais!$F:$F,"Investimento - Construção - Obra ")</f>
        <v>0</v>
      </c>
      <c r="K335" s="254">
        <v>0</v>
      </c>
      <c r="L335" s="81"/>
      <c r="M335" s="82">
        <f>SUMIFS(Aut_BlueMe_Sem_Pedido!$J:$J,Aut_BlueMe_Sem_Pedido!$Q:$Q,DRE!K$4,Aut_BlueMe_Sem_Pedido!$H:$H,DRE!$A335)+SUMIFS(Aut_Ajustes_Manuais!$G:$G,Aut_Ajustes_Manuais!$I:$I,DRE!K$4,Aut_Ajustes_Manuais!$F:$F,"Investimento - Construção - Obra ")</f>
        <v>0</v>
      </c>
      <c r="N335" s="254">
        <v>0</v>
      </c>
      <c r="O335" s="81">
        <v>-50000</v>
      </c>
      <c r="P335" s="82">
        <f>SUMIFS(Aut_BlueMe_Sem_Pedido!$J:$J,Aut_BlueMe_Sem_Pedido!$Q:$Q,DRE!N$4,Aut_BlueMe_Sem_Pedido!$H:$H,DRE!$A335)+SUMIFS(Aut_Ajustes_Manuais!$G:$G,Aut_Ajustes_Manuais!$I:$I,DRE!N$4,Aut_Ajustes_Manuais!$F:$F,"Investimento - Construção - Obra ")</f>
        <v>0</v>
      </c>
      <c r="Q335" s="241">
        <v>0</v>
      </c>
      <c r="R335" s="81">
        <v>-50000</v>
      </c>
      <c r="S335" s="82">
        <f>SUMIFS(Aut_BlueMe_Sem_Pedido!$J:$J,Aut_BlueMe_Sem_Pedido!$Q:$Q,DRE!Q$4,Aut_BlueMe_Sem_Pedido!$H:$H,DRE!$A335)+SUMIFS(Aut_Ajustes_Manuais!$G:$G,Aut_Ajustes_Manuais!$I:$I,DRE!Q$4,Aut_Ajustes_Manuais!$F:$F,"Investimento - Construção - Obra ")</f>
        <v>0</v>
      </c>
      <c r="T335" s="241">
        <v>0</v>
      </c>
      <c r="U335" s="81"/>
      <c r="V335" s="82">
        <f>SUMIFS(Aut_BlueMe_Sem_Pedido!$J:$J,Aut_BlueMe_Sem_Pedido!$Q:$Q,DRE!T$4,Aut_BlueMe_Sem_Pedido!$H:$H,DRE!$A335)+SUMIFS(Aut_Ajustes_Manuais!$G:$G,Aut_Ajustes_Manuais!$I:$I,DRE!T$4,Aut_Ajustes_Manuais!$F:$F,"Investimento - Construção - Obra ")</f>
        <v>0</v>
      </c>
      <c r="W335" s="241">
        <v>0</v>
      </c>
      <c r="X335" s="81"/>
      <c r="Y335" s="82">
        <f>SUMIFS(Aut_BlueMe_Sem_Pedido!$J:$J,Aut_BlueMe_Sem_Pedido!$Q:$Q,DRE!W$4,Aut_BlueMe_Sem_Pedido!$H:$H,DRE!$A335)+SUMIFS(Aut_Ajustes_Manuais!$G:$G,Aut_Ajustes_Manuais!$I:$I,DRE!W$4,Aut_Ajustes_Manuais!$F:$F,"Investimento - Construção - Obra ")</f>
        <v>-10000</v>
      </c>
      <c r="Z335" s="241">
        <v>0</v>
      </c>
      <c r="AA335" s="81"/>
      <c r="AB335" s="82">
        <f>SUMIFS(Aut_BlueMe_Sem_Pedido!$J:$J,Aut_BlueMe_Sem_Pedido!$Q:$Q,DRE!Z$4,Aut_BlueMe_Sem_Pedido!$H:$H,DRE!$A335)+SUMIFS(Aut_Ajustes_Manuais!$G:$G,Aut_Ajustes_Manuais!$I:$I,DRE!Z$4,Aut_Ajustes_Manuais!$F:$F,"Investimento - Construção - Obra ")</f>
        <v>0</v>
      </c>
      <c r="AC335" s="241">
        <v>0</v>
      </c>
      <c r="AD335" s="81"/>
      <c r="AE335" s="82">
        <f>SUMIFS(Aut_BlueMe_Sem_Pedido!$J:$J,Aut_BlueMe_Sem_Pedido!$Q:$Q,DRE!AC$4,Aut_BlueMe_Sem_Pedido!$H:$H,DRE!$A335)+SUMIFS(Aut_Ajustes_Manuais!$G:$G,Aut_Ajustes_Manuais!$I:$I,DRE!AC$4,Aut_Ajustes_Manuais!$F:$F,"Investimento - Construção - Obra ")</f>
        <v>0</v>
      </c>
      <c r="AF335" s="241">
        <v>0</v>
      </c>
      <c r="AG335" s="81"/>
      <c r="AH335" s="82">
        <f>SUMIFS(Aut_BlueMe_Sem_Pedido!$J:$J,Aut_BlueMe_Sem_Pedido!$Q:$Q,DRE!AF$4,Aut_BlueMe_Sem_Pedido!$H:$H,DRE!$A335)+SUMIFS(Aut_Ajustes_Manuais!$G:$G,Aut_Ajustes_Manuais!$I:$I,DRE!AF$4,Aut_Ajustes_Manuais!$F:$F,"Investimento - Construção - Obra ")</f>
        <v>0</v>
      </c>
      <c r="AI335" s="241">
        <v>0</v>
      </c>
      <c r="AJ335" s="81"/>
      <c r="AK335" s="82">
        <f>SUMIFS(Aut_BlueMe_Sem_Pedido!$J:$J,Aut_BlueMe_Sem_Pedido!$Q:$Q,DRE!AI$4,Aut_BlueMe_Sem_Pedido!$H:$H,DRE!$A335)+SUMIFS(Aut_Ajustes_Manuais!$G:$G,Aut_Ajustes_Manuais!$I:$I,DRE!AI$4,Aut_Ajustes_Manuais!$F:$F,"Investimento - Construção - Obra ")</f>
        <v>0</v>
      </c>
      <c r="AL335" s="241">
        <v>0</v>
      </c>
      <c r="AM335" s="81"/>
      <c r="AN335" s="82">
        <f>SUMIFS(Aut_BlueMe_Sem_Pedido!$J:$J,Aut_BlueMe_Sem_Pedido!$Q:$Q,DRE!AL$4,Aut_BlueMe_Sem_Pedido!$H:$H,DRE!$A335)+SUMIFS(Aut_Ajustes_Manuais!$G:$G,Aut_Ajustes_Manuais!$I:$I,DRE!AL$4,Aut_Ajustes_Manuais!$F:$F,"Investimento - Construção - Obra ")</f>
        <v>0</v>
      </c>
      <c r="AO335" s="241">
        <v>0</v>
      </c>
      <c r="AP335" s="81"/>
      <c r="AQ335" s="82">
        <f>SUMIFS(Aut_BlueMe_Sem_Pedido!$J:$J,Aut_BlueMe_Sem_Pedido!$Q:$Q,DRE!AO$4,Aut_BlueMe_Sem_Pedido!$H:$H,DRE!$A335)+SUMIFS(Aut_Ajustes_Manuais!$G:$G,Aut_Ajustes_Manuais!$I:$I,DRE!AO$4,Aut_Ajustes_Manuais!$F:$F,"Investimento - Construção - Obra ")</f>
        <v>0</v>
      </c>
      <c r="AR335" s="241">
        <f t="shared" ref="AR335:AR351" ca="1" si="323">SUMIFS($H335:$AO335,$H$5:$AO$5,"&lt;"&amp;MONTH(TODAY()),$H$6:$AO$6,"REAL 25")</f>
        <v>0</v>
      </c>
      <c r="AS335" s="81">
        <f t="shared" ref="AS335:AS351" ca="1" si="324">SUMIFS($I335:$AP335,$I$5:$AP$5,"&lt;"&amp;MONTH(TODAY()),$I$6:$AP$6,"ORÇADO ")</f>
        <v>-100000</v>
      </c>
      <c r="AT335" s="82">
        <f t="shared" ref="AT335:AT351" ca="1" si="325">SUMIFS($J335:$AQ335,$J$5:$AQ$5,"&lt;"&amp;MONTH(TODAY()),$J$6:$AQ$6,"REAL 26")</f>
        <v>-10000</v>
      </c>
      <c r="AU335" s="241">
        <f t="shared" ref="AU335:AU351" si="326">SUM(H335,K335,N335,Q335,T335,W335,Z335,AC335,AF335,AI335,AL335,AO335)</f>
        <v>0</v>
      </c>
      <c r="AV335" s="81">
        <f t="shared" ref="AV335:AV351" si="327">SUM(I335,L335,O335,R335,U335,X335,AA335,AD335,AG335,AJ335,AM335,AP335)</f>
        <v>-100000</v>
      </c>
      <c r="AW335" s="82">
        <f t="shared" ref="AW335:AW351" si="328">SUM(J335,M335,P335,S335,V335,Y335,AB335,AE335,AH335,AK335,AN335,AQ335)</f>
        <v>-10000</v>
      </c>
      <c r="AX335" s="241">
        <f t="shared" ref="AX335:AX351" si="329">SUM(H335,K335,N335)</f>
        <v>0</v>
      </c>
      <c r="AY335" s="81">
        <f t="shared" ref="AY335:AY351" si="330">SUM(I335,L335,O335)</f>
        <v>-50000</v>
      </c>
      <c r="AZ335" s="82">
        <f t="shared" ref="AZ335:AZ351" si="331">SUM(J335,M335,P335)</f>
        <v>0</v>
      </c>
      <c r="BA335" s="241">
        <f t="shared" ref="BA335:BA351" si="332">SUM(Q335,T335,W335)</f>
        <v>0</v>
      </c>
      <c r="BB335" s="81">
        <f t="shared" ref="BB335:BB351" si="333">SUM(R335,U335,X335)</f>
        <v>-50000</v>
      </c>
      <c r="BC335" s="82">
        <f t="shared" ref="BC335:BC351" si="334">SUM(S335,V335,Y335)</f>
        <v>-10000</v>
      </c>
      <c r="BD335" s="241">
        <f t="shared" ref="BD335:BD351" si="335">SUM(Z335,AC335,AF335)</f>
        <v>0</v>
      </c>
      <c r="BE335" s="81">
        <f t="shared" ref="BE335:BE351" si="336">SUM(AA335,AD335,AG335)</f>
        <v>0</v>
      </c>
      <c r="BF335" s="82">
        <f t="shared" ref="BF335:BF351" si="337">SUM(AB335,AE335,AH335)</f>
        <v>0</v>
      </c>
      <c r="BG335" s="241">
        <f t="shared" ref="BG335:BG351" si="338">SUM(AI335,AL335,AO335)</f>
        <v>0</v>
      </c>
      <c r="BH335" s="81">
        <f t="shared" ref="BH335:BH351" si="339">SUM(AJ335,AM335,AP335)</f>
        <v>0</v>
      </c>
      <c r="BI335" s="82">
        <f t="shared" ref="BI335:BI351" si="340">SUM(AK335,AN335,AQ335)</f>
        <v>0</v>
      </c>
      <c r="BK335" s="448">
        <f t="shared" si="302"/>
        <v>-100000</v>
      </c>
      <c r="BL335" s="448">
        <f t="shared" si="303"/>
        <v>0</v>
      </c>
      <c r="BM335" s="448">
        <f t="shared" si="304"/>
        <v>0</v>
      </c>
      <c r="BN335" s="448">
        <f t="shared" ca="1" si="305"/>
        <v>10000</v>
      </c>
    </row>
    <row r="336" spans="1:66" s="29" customFormat="1" hidden="1" outlineLevel="1" x14ac:dyDescent="0.3">
      <c r="A336" s="22" t="s">
        <v>351</v>
      </c>
      <c r="B336" s="59"/>
      <c r="C336" s="24" t="s">
        <v>62</v>
      </c>
      <c r="D336" s="25"/>
      <c r="E336" s="55">
        <v>-5.0000000000000001E-3</v>
      </c>
      <c r="F336" s="63"/>
      <c r="G336" s="33"/>
      <c r="H336" s="241">
        <v>0</v>
      </c>
      <c r="I336" s="81"/>
      <c r="J336" s="82">
        <f>SUMIFS(Aut_BlueMe_Sem_Pedido!$J:$J,Aut_BlueMe_Sem_Pedido!$Q:$Q,DRE!H$4,Aut_BlueMe_Sem_Pedido!$H:$H,DRE!$A336)+SUMIFS(Aut_Ajustes_Manuais!$G:$G,Aut_Ajustes_Manuais!$I:$I,DRE!H$4,Aut_Ajustes_Manuais!$F:$F,"Investimento - Equipamentos")</f>
        <v>-260</v>
      </c>
      <c r="K336" s="254">
        <v>0</v>
      </c>
      <c r="L336" s="81"/>
      <c r="M336" s="82">
        <f>SUMIFS(Aut_BlueMe_Sem_Pedido!$J:$J,Aut_BlueMe_Sem_Pedido!$Q:$Q,DRE!K$4,Aut_BlueMe_Sem_Pedido!$H:$H,DRE!$A336)+SUMIFS(Aut_Ajustes_Manuais!$G:$G,Aut_Ajustes_Manuais!$I:$I,DRE!K$4,Aut_Ajustes_Manuais!$F:$F,"Investimento - Equipamentos")</f>
        <v>0</v>
      </c>
      <c r="N336" s="254">
        <v>0</v>
      </c>
      <c r="O336" s="81">
        <v>-25000</v>
      </c>
      <c r="P336" s="82">
        <f>SUMIFS(Aut_BlueMe_Sem_Pedido!$J:$J,Aut_BlueMe_Sem_Pedido!$Q:$Q,DRE!N$4,Aut_BlueMe_Sem_Pedido!$H:$H,DRE!$A336)+SUMIFS(Aut_Ajustes_Manuais!$G:$G,Aut_Ajustes_Manuais!$I:$I,DRE!N$4,Aut_Ajustes_Manuais!$F:$F,"Investimento - Equipamentos")</f>
        <v>0</v>
      </c>
      <c r="Q336" s="241">
        <v>0</v>
      </c>
      <c r="R336" s="81">
        <v>-25000</v>
      </c>
      <c r="S336" s="82">
        <f>SUMIFS(Aut_BlueMe_Sem_Pedido!$J:$J,Aut_BlueMe_Sem_Pedido!$Q:$Q,DRE!Q$4,Aut_BlueMe_Sem_Pedido!$H:$H,DRE!$A336)+SUMIFS(Aut_Ajustes_Manuais!$G:$G,Aut_Ajustes_Manuais!$I:$I,DRE!Q$4,Aut_Ajustes_Manuais!$F:$F,"Investimento - Equipamentos")</f>
        <v>0</v>
      </c>
      <c r="T336" s="241">
        <v>0</v>
      </c>
      <c r="U336" s="81"/>
      <c r="V336" s="82">
        <f>SUMIFS(Aut_BlueMe_Sem_Pedido!$J:$J,Aut_BlueMe_Sem_Pedido!$Q:$Q,DRE!T$4,Aut_BlueMe_Sem_Pedido!$H:$H,DRE!$A336)+SUMIFS(Aut_Ajustes_Manuais!$G:$G,Aut_Ajustes_Manuais!$I:$I,DRE!T$4,Aut_Ajustes_Manuais!$F:$F,"Investimento - Equipamentos")</f>
        <v>0</v>
      </c>
      <c r="W336" s="241">
        <v>0</v>
      </c>
      <c r="X336" s="81"/>
      <c r="Y336" s="82">
        <f>SUMIFS(Aut_BlueMe_Sem_Pedido!$J:$J,Aut_BlueMe_Sem_Pedido!$Q:$Q,DRE!W$4,Aut_BlueMe_Sem_Pedido!$H:$H,DRE!$A336)+SUMIFS(Aut_Ajustes_Manuais!$G:$G,Aut_Ajustes_Manuais!$I:$I,DRE!W$4,Aut_Ajustes_Manuais!$F:$F,"Investimento - Equipamentos")</f>
        <v>-3500</v>
      </c>
      <c r="Z336" s="241">
        <v>0</v>
      </c>
      <c r="AA336" s="81"/>
      <c r="AB336" s="82">
        <f>SUMIFS(Aut_BlueMe_Sem_Pedido!$J:$J,Aut_BlueMe_Sem_Pedido!$Q:$Q,DRE!Z$4,Aut_BlueMe_Sem_Pedido!$H:$H,DRE!$A336)+SUMIFS(Aut_Ajustes_Manuais!$G:$G,Aut_Ajustes_Manuais!$I:$I,DRE!Z$4,Aut_Ajustes_Manuais!$F:$F,"Investimento - Equipamentos")</f>
        <v>-3500</v>
      </c>
      <c r="AC336" s="241">
        <v>-17670</v>
      </c>
      <c r="AD336" s="81"/>
      <c r="AE336" s="82">
        <f>SUMIFS(Aut_BlueMe_Sem_Pedido!$J:$J,Aut_BlueMe_Sem_Pedido!$Q:$Q,DRE!AC$4,Aut_BlueMe_Sem_Pedido!$H:$H,DRE!$A336)+SUMIFS(Aut_Ajustes_Manuais!$G:$G,Aut_Ajustes_Manuais!$I:$I,DRE!AC$4,Aut_Ajustes_Manuais!$F:$F,"Investimento - Equipamentos")</f>
        <v>-2430</v>
      </c>
      <c r="AF336" s="241">
        <v>0</v>
      </c>
      <c r="AG336" s="81"/>
      <c r="AH336" s="82">
        <f>SUMIFS(Aut_BlueMe_Sem_Pedido!$J:$J,Aut_BlueMe_Sem_Pedido!$Q:$Q,DRE!AF$4,Aut_BlueMe_Sem_Pedido!$H:$H,DRE!$A336)+SUMIFS(Aut_Ajustes_Manuais!$G:$G,Aut_Ajustes_Manuais!$I:$I,DRE!AF$4,Aut_Ajustes_Manuais!$F:$F,"Investimento - Equipamentos")</f>
        <v>0</v>
      </c>
      <c r="AI336" s="241">
        <v>0</v>
      </c>
      <c r="AJ336" s="81"/>
      <c r="AK336" s="82">
        <f>SUMIFS(Aut_BlueMe_Sem_Pedido!$J:$J,Aut_BlueMe_Sem_Pedido!$Q:$Q,DRE!AI$4,Aut_BlueMe_Sem_Pedido!$H:$H,DRE!$A336)+SUMIFS(Aut_Ajustes_Manuais!$G:$G,Aut_Ajustes_Manuais!$I:$I,DRE!AI$4,Aut_Ajustes_Manuais!$F:$F,"Investimento - Equipamentos")</f>
        <v>0</v>
      </c>
      <c r="AL336" s="241">
        <v>0</v>
      </c>
      <c r="AM336" s="81"/>
      <c r="AN336" s="82">
        <f>SUMIFS(Aut_BlueMe_Sem_Pedido!$J:$J,Aut_BlueMe_Sem_Pedido!$Q:$Q,DRE!AL$4,Aut_BlueMe_Sem_Pedido!$H:$H,DRE!$A336)+SUMIFS(Aut_Ajustes_Manuais!$G:$G,Aut_Ajustes_Manuais!$I:$I,DRE!AL$4,Aut_Ajustes_Manuais!$F:$F,"Investimento - Equipamentos")</f>
        <v>0</v>
      </c>
      <c r="AO336" s="241">
        <v>0</v>
      </c>
      <c r="AP336" s="81"/>
      <c r="AQ336" s="82">
        <f>SUMIFS(Aut_BlueMe_Sem_Pedido!$J:$J,Aut_BlueMe_Sem_Pedido!$Q:$Q,DRE!AO$4,Aut_BlueMe_Sem_Pedido!$H:$H,DRE!$A336)+SUMIFS(Aut_Ajustes_Manuais!$G:$G,Aut_Ajustes_Manuais!$I:$I,DRE!AO$4,Aut_Ajustes_Manuais!$F:$F,"Investimento - Equipamentos")</f>
        <v>0</v>
      </c>
      <c r="AR336" s="241">
        <f t="shared" ca="1" si="323"/>
        <v>0</v>
      </c>
      <c r="AS336" s="81">
        <f t="shared" ca="1" si="324"/>
        <v>-50000</v>
      </c>
      <c r="AT336" s="82">
        <f t="shared" ca="1" si="325"/>
        <v>-3760</v>
      </c>
      <c r="AU336" s="241">
        <f t="shared" si="326"/>
        <v>-17670</v>
      </c>
      <c r="AV336" s="81">
        <f t="shared" si="327"/>
        <v>-50000</v>
      </c>
      <c r="AW336" s="82">
        <f t="shared" si="328"/>
        <v>-9690</v>
      </c>
      <c r="AX336" s="241">
        <f t="shared" si="329"/>
        <v>0</v>
      </c>
      <c r="AY336" s="81">
        <f t="shared" si="330"/>
        <v>-25000</v>
      </c>
      <c r="AZ336" s="82">
        <f t="shared" si="331"/>
        <v>-260</v>
      </c>
      <c r="BA336" s="241">
        <f t="shared" si="332"/>
        <v>0</v>
      </c>
      <c r="BB336" s="81">
        <f t="shared" si="333"/>
        <v>-25000</v>
      </c>
      <c r="BC336" s="82">
        <f t="shared" si="334"/>
        <v>-3500</v>
      </c>
      <c r="BD336" s="241">
        <f t="shared" si="335"/>
        <v>-17670</v>
      </c>
      <c r="BE336" s="81">
        <f t="shared" si="336"/>
        <v>0</v>
      </c>
      <c r="BF336" s="82">
        <f t="shared" si="337"/>
        <v>-5930</v>
      </c>
      <c r="BG336" s="241">
        <f t="shared" si="338"/>
        <v>0</v>
      </c>
      <c r="BH336" s="81">
        <f t="shared" si="339"/>
        <v>0</v>
      </c>
      <c r="BI336" s="82">
        <f t="shared" si="340"/>
        <v>0</v>
      </c>
      <c r="BK336" s="448">
        <f t="shared" si="302"/>
        <v>-50000</v>
      </c>
      <c r="BL336" s="448">
        <f t="shared" si="303"/>
        <v>0</v>
      </c>
      <c r="BM336" s="448">
        <f t="shared" si="304"/>
        <v>-260</v>
      </c>
      <c r="BN336" s="448">
        <f t="shared" ca="1" si="305"/>
        <v>3500</v>
      </c>
    </row>
    <row r="337" spans="1:66" s="29" customFormat="1" hidden="1" outlineLevel="1" x14ac:dyDescent="0.3">
      <c r="A337" s="22" t="s">
        <v>352</v>
      </c>
      <c r="B337" s="59"/>
      <c r="C337" s="24" t="s">
        <v>62</v>
      </c>
      <c r="D337" s="25"/>
      <c r="E337" s="25"/>
      <c r="F337" s="63"/>
      <c r="G337" s="33"/>
      <c r="H337" s="241">
        <v>0</v>
      </c>
      <c r="I337" s="81"/>
      <c r="J337" s="82">
        <f>SUMIFS(Aut_BlueMe_Sem_Pedido!$J:$J,Aut_BlueMe_Sem_Pedido!$Q:$Q,DRE!H$4,Aut_BlueMe_Sem_Pedido!$H:$H,DRE!$A337)+SUMIFS(Aut_Ajustes_Manuais!$G:$G,Aut_Ajustes_Manuais!$I:$I,DRE!H$4,Aut_Ajustes_Manuais!$F:$F,"Investimento - Utensílios")</f>
        <v>0</v>
      </c>
      <c r="K337" s="254">
        <v>0</v>
      </c>
      <c r="L337" s="81"/>
      <c r="M337" s="82">
        <f>SUMIFS(Aut_BlueMe_Sem_Pedido!$J:$J,Aut_BlueMe_Sem_Pedido!$Q:$Q,DRE!K$4,Aut_BlueMe_Sem_Pedido!$H:$H,DRE!$A337)+SUMIFS(Aut_Ajustes_Manuais!$G:$G,Aut_Ajustes_Manuais!$I:$I,DRE!K$4,Aut_Ajustes_Manuais!$F:$F,"Investimento - Utensílios")</f>
        <v>0</v>
      </c>
      <c r="N337" s="254">
        <v>0</v>
      </c>
      <c r="O337" s="81">
        <v>0</v>
      </c>
      <c r="P337" s="82">
        <f>SUMIFS(Aut_BlueMe_Sem_Pedido!$J:$J,Aut_BlueMe_Sem_Pedido!$Q:$Q,DRE!N$4,Aut_BlueMe_Sem_Pedido!$H:$H,DRE!$A337)+SUMIFS(Aut_Ajustes_Manuais!$G:$G,Aut_Ajustes_Manuais!$I:$I,DRE!N$4,Aut_Ajustes_Manuais!$F:$F,"Investimento - Utensílios")</f>
        <v>0</v>
      </c>
      <c r="Q337" s="241">
        <v>0</v>
      </c>
      <c r="R337" s="81">
        <v>-10000</v>
      </c>
      <c r="S337" s="82">
        <f>SUMIFS(Aut_BlueMe_Sem_Pedido!$J:$J,Aut_BlueMe_Sem_Pedido!$Q:$Q,DRE!Q$4,Aut_BlueMe_Sem_Pedido!$H:$H,DRE!$A337)+SUMIFS(Aut_Ajustes_Manuais!$G:$G,Aut_Ajustes_Manuais!$I:$I,DRE!Q$4,Aut_Ajustes_Manuais!$F:$F,"Investimento - Utensílios")</f>
        <v>0</v>
      </c>
      <c r="T337" s="241">
        <v>0</v>
      </c>
      <c r="U337" s="81"/>
      <c r="V337" s="82">
        <f>SUMIFS(Aut_BlueMe_Sem_Pedido!$J:$J,Aut_BlueMe_Sem_Pedido!$Q:$Q,DRE!T$4,Aut_BlueMe_Sem_Pedido!$H:$H,DRE!$A337)+SUMIFS(Aut_Ajustes_Manuais!$G:$G,Aut_Ajustes_Manuais!$I:$I,DRE!T$4,Aut_Ajustes_Manuais!$F:$F,"Investimento - Utensílios")</f>
        <v>0</v>
      </c>
      <c r="W337" s="241">
        <v>0</v>
      </c>
      <c r="X337" s="81"/>
      <c r="Y337" s="82">
        <f>SUMIFS(Aut_BlueMe_Sem_Pedido!$J:$J,Aut_BlueMe_Sem_Pedido!$Q:$Q,DRE!W$4,Aut_BlueMe_Sem_Pedido!$H:$H,DRE!$A337)+SUMIFS(Aut_Ajustes_Manuais!$G:$G,Aut_Ajustes_Manuais!$I:$I,DRE!W$4,Aut_Ajustes_Manuais!$F:$F,"Investimento - Utensílios")</f>
        <v>0</v>
      </c>
      <c r="Z337" s="241">
        <v>0</v>
      </c>
      <c r="AA337" s="81"/>
      <c r="AB337" s="82">
        <f>SUMIFS(Aut_BlueMe_Sem_Pedido!$J:$J,Aut_BlueMe_Sem_Pedido!$Q:$Q,DRE!Z$4,Aut_BlueMe_Sem_Pedido!$H:$H,DRE!$A337)+SUMIFS(Aut_Ajustes_Manuais!$G:$G,Aut_Ajustes_Manuais!$I:$I,DRE!Z$4,Aut_Ajustes_Manuais!$F:$F,"Investimento - Utensílios")</f>
        <v>0</v>
      </c>
      <c r="AC337" s="241">
        <v>0</v>
      </c>
      <c r="AD337" s="81"/>
      <c r="AE337" s="82">
        <f>SUMIFS(Aut_BlueMe_Sem_Pedido!$J:$J,Aut_BlueMe_Sem_Pedido!$Q:$Q,DRE!AC$4,Aut_BlueMe_Sem_Pedido!$H:$H,DRE!$A337)+SUMIFS(Aut_Ajustes_Manuais!$G:$G,Aut_Ajustes_Manuais!$I:$I,DRE!AC$4,Aut_Ajustes_Manuais!$F:$F,"Investimento - Utensílios")</f>
        <v>0</v>
      </c>
      <c r="AF337" s="241">
        <v>0</v>
      </c>
      <c r="AG337" s="81"/>
      <c r="AH337" s="82">
        <f>SUMIFS(Aut_BlueMe_Sem_Pedido!$J:$J,Aut_BlueMe_Sem_Pedido!$Q:$Q,DRE!AF$4,Aut_BlueMe_Sem_Pedido!$H:$H,DRE!$A337)+SUMIFS(Aut_Ajustes_Manuais!$G:$G,Aut_Ajustes_Manuais!$I:$I,DRE!AF$4,Aut_Ajustes_Manuais!$F:$F,"Investimento - Utensílios")</f>
        <v>0</v>
      </c>
      <c r="AI337" s="241">
        <v>0</v>
      </c>
      <c r="AJ337" s="81"/>
      <c r="AK337" s="82">
        <f>SUMIFS(Aut_BlueMe_Sem_Pedido!$J:$J,Aut_BlueMe_Sem_Pedido!$Q:$Q,DRE!AI$4,Aut_BlueMe_Sem_Pedido!$H:$H,DRE!$A337)+SUMIFS(Aut_Ajustes_Manuais!$G:$G,Aut_Ajustes_Manuais!$I:$I,DRE!AI$4,Aut_Ajustes_Manuais!$F:$F,"Investimento - Utensílios")</f>
        <v>0</v>
      </c>
      <c r="AL337" s="241">
        <v>0</v>
      </c>
      <c r="AM337" s="81"/>
      <c r="AN337" s="82">
        <f>SUMIFS(Aut_BlueMe_Sem_Pedido!$J:$J,Aut_BlueMe_Sem_Pedido!$Q:$Q,DRE!AL$4,Aut_BlueMe_Sem_Pedido!$H:$H,DRE!$A337)+SUMIFS(Aut_Ajustes_Manuais!$G:$G,Aut_Ajustes_Manuais!$I:$I,DRE!AL$4,Aut_Ajustes_Manuais!$F:$F,"Investimento - Utensílios")</f>
        <v>0</v>
      </c>
      <c r="AO337" s="241">
        <v>0</v>
      </c>
      <c r="AP337" s="81"/>
      <c r="AQ337" s="82">
        <f>SUMIFS(Aut_BlueMe_Sem_Pedido!$J:$J,Aut_BlueMe_Sem_Pedido!$Q:$Q,DRE!AO$4,Aut_BlueMe_Sem_Pedido!$H:$H,DRE!$A337)+SUMIFS(Aut_Ajustes_Manuais!$G:$G,Aut_Ajustes_Manuais!$I:$I,DRE!AO$4,Aut_Ajustes_Manuais!$F:$F,"Investimento - Utensílios")</f>
        <v>0</v>
      </c>
      <c r="AR337" s="241">
        <f t="shared" ca="1" si="323"/>
        <v>0</v>
      </c>
      <c r="AS337" s="81">
        <f t="shared" ca="1" si="324"/>
        <v>-10000</v>
      </c>
      <c r="AT337" s="82">
        <f t="shared" ca="1" si="325"/>
        <v>0</v>
      </c>
      <c r="AU337" s="241">
        <f t="shared" si="326"/>
        <v>0</v>
      </c>
      <c r="AV337" s="81">
        <f t="shared" si="327"/>
        <v>-10000</v>
      </c>
      <c r="AW337" s="82">
        <f t="shared" si="328"/>
        <v>0</v>
      </c>
      <c r="AX337" s="241">
        <f t="shared" si="329"/>
        <v>0</v>
      </c>
      <c r="AY337" s="81">
        <f t="shared" si="330"/>
        <v>0</v>
      </c>
      <c r="AZ337" s="82">
        <f t="shared" si="331"/>
        <v>0</v>
      </c>
      <c r="BA337" s="241">
        <f t="shared" si="332"/>
        <v>0</v>
      </c>
      <c r="BB337" s="81">
        <f t="shared" si="333"/>
        <v>-10000</v>
      </c>
      <c r="BC337" s="82">
        <f t="shared" si="334"/>
        <v>0</v>
      </c>
      <c r="BD337" s="241">
        <f t="shared" si="335"/>
        <v>0</v>
      </c>
      <c r="BE337" s="81">
        <f t="shared" si="336"/>
        <v>0</v>
      </c>
      <c r="BF337" s="82">
        <f t="shared" si="337"/>
        <v>0</v>
      </c>
      <c r="BG337" s="241">
        <f t="shared" si="338"/>
        <v>0</v>
      </c>
      <c r="BH337" s="81">
        <f t="shared" si="339"/>
        <v>0</v>
      </c>
      <c r="BI337" s="82">
        <f t="shared" si="340"/>
        <v>0</v>
      </c>
      <c r="BK337" s="448">
        <f t="shared" si="302"/>
        <v>-10000</v>
      </c>
      <c r="BL337" s="448">
        <f t="shared" si="303"/>
        <v>0</v>
      </c>
      <c r="BM337" s="448">
        <f t="shared" si="304"/>
        <v>0</v>
      </c>
      <c r="BN337" s="448">
        <f t="shared" ca="1" si="305"/>
        <v>0</v>
      </c>
    </row>
    <row r="338" spans="1:66" s="29" customFormat="1" hidden="1" outlineLevel="1" x14ac:dyDescent="0.3">
      <c r="A338" s="22" t="s">
        <v>353</v>
      </c>
      <c r="B338" s="59"/>
      <c r="C338" s="24" t="s">
        <v>62</v>
      </c>
      <c r="D338" s="25"/>
      <c r="E338" s="55">
        <v>-5.0000000000000001E-3</v>
      </c>
      <c r="F338" s="63"/>
      <c r="G338" s="33"/>
      <c r="H338" s="241">
        <v>0</v>
      </c>
      <c r="I338" s="81"/>
      <c r="J338" s="82">
        <f>SUMIFS(Aut_BlueMe_Sem_Pedido!$J:$J,Aut_BlueMe_Sem_Pedido!$Q:$Q,DRE!H$4,Aut_BlueMe_Sem_Pedido!$H:$H,DRE!$A338)+SUMIFS(Aut_Ajustes_Manuais!$G:$G,Aut_Ajustes_Manuais!$I:$I,DRE!H$4,Aut_Ajustes_Manuais!$F:$F,"Investimento - Mobiliário e Decoração")</f>
        <v>0</v>
      </c>
      <c r="K338" s="254">
        <v>0</v>
      </c>
      <c r="L338" s="81"/>
      <c r="M338" s="82">
        <f>SUMIFS(Aut_BlueMe_Sem_Pedido!$J:$J,Aut_BlueMe_Sem_Pedido!$Q:$Q,DRE!K$4,Aut_BlueMe_Sem_Pedido!$H:$H,DRE!$A338)+SUMIFS(Aut_Ajustes_Manuais!$G:$G,Aut_Ajustes_Manuais!$I:$I,DRE!K$4,Aut_Ajustes_Manuais!$F:$F,"Investimento - Mobiliário e Decoração")</f>
        <v>0</v>
      </c>
      <c r="N338" s="254">
        <v>0</v>
      </c>
      <c r="O338" s="81">
        <v>-35000</v>
      </c>
      <c r="P338" s="82">
        <f>SUMIFS(Aut_BlueMe_Sem_Pedido!$J:$J,Aut_BlueMe_Sem_Pedido!$Q:$Q,DRE!N$4,Aut_BlueMe_Sem_Pedido!$H:$H,DRE!$A338)+SUMIFS(Aut_Ajustes_Manuais!$G:$G,Aut_Ajustes_Manuais!$I:$I,DRE!N$4,Aut_Ajustes_Manuais!$F:$F,"Investimento - Mobiliário e Decoração")</f>
        <v>0</v>
      </c>
      <c r="Q338" s="241">
        <v>0</v>
      </c>
      <c r="R338" s="81">
        <v>-35000</v>
      </c>
      <c r="S338" s="82">
        <f>SUMIFS(Aut_BlueMe_Sem_Pedido!$J:$J,Aut_BlueMe_Sem_Pedido!$Q:$Q,DRE!Q$4,Aut_BlueMe_Sem_Pedido!$H:$H,DRE!$A338)+SUMIFS(Aut_Ajustes_Manuais!$G:$G,Aut_Ajustes_Manuais!$I:$I,DRE!Q$4,Aut_Ajustes_Manuais!$F:$F,"Investimento - Mobiliário e Decoração")</f>
        <v>0</v>
      </c>
      <c r="T338" s="241">
        <v>0</v>
      </c>
      <c r="U338" s="81"/>
      <c r="V338" s="82">
        <f>SUMIFS(Aut_BlueMe_Sem_Pedido!$J:$J,Aut_BlueMe_Sem_Pedido!$Q:$Q,DRE!T$4,Aut_BlueMe_Sem_Pedido!$H:$H,DRE!$A338)+SUMIFS(Aut_Ajustes_Manuais!$G:$G,Aut_Ajustes_Manuais!$I:$I,DRE!T$4,Aut_Ajustes_Manuais!$F:$F,"Investimento - Mobiliário e Decoração")</f>
        <v>0</v>
      </c>
      <c r="W338" s="241">
        <v>0</v>
      </c>
      <c r="X338" s="81"/>
      <c r="Y338" s="82">
        <f>SUMIFS(Aut_BlueMe_Sem_Pedido!$J:$J,Aut_BlueMe_Sem_Pedido!$Q:$Q,DRE!W$4,Aut_BlueMe_Sem_Pedido!$H:$H,DRE!$A338)+SUMIFS(Aut_Ajustes_Manuais!$G:$G,Aut_Ajustes_Manuais!$I:$I,DRE!W$4,Aut_Ajustes_Manuais!$F:$F,"Investimento - Mobiliário e Decoração")</f>
        <v>0</v>
      </c>
      <c r="Z338" s="241">
        <v>0</v>
      </c>
      <c r="AA338" s="81"/>
      <c r="AB338" s="82">
        <f>SUMIFS(Aut_BlueMe_Sem_Pedido!$J:$J,Aut_BlueMe_Sem_Pedido!$Q:$Q,DRE!Z$4,Aut_BlueMe_Sem_Pedido!$H:$H,DRE!$A338)+SUMIFS(Aut_Ajustes_Manuais!$G:$G,Aut_Ajustes_Manuais!$I:$I,DRE!Z$4,Aut_Ajustes_Manuais!$F:$F,"Investimento - Mobiliário e Decoração")</f>
        <v>0</v>
      </c>
      <c r="AC338" s="241">
        <v>0</v>
      </c>
      <c r="AD338" s="81"/>
      <c r="AE338" s="82">
        <f>SUMIFS(Aut_BlueMe_Sem_Pedido!$J:$J,Aut_BlueMe_Sem_Pedido!$Q:$Q,DRE!AC$4,Aut_BlueMe_Sem_Pedido!$H:$H,DRE!$A338)+SUMIFS(Aut_Ajustes_Manuais!$G:$G,Aut_Ajustes_Manuais!$I:$I,DRE!AC$4,Aut_Ajustes_Manuais!$F:$F,"Investimento - Mobiliário e Decoração")</f>
        <v>0</v>
      </c>
      <c r="AF338" s="241">
        <v>0</v>
      </c>
      <c r="AG338" s="81"/>
      <c r="AH338" s="82">
        <f>SUMIFS(Aut_BlueMe_Sem_Pedido!$J:$J,Aut_BlueMe_Sem_Pedido!$Q:$Q,DRE!AF$4,Aut_BlueMe_Sem_Pedido!$H:$H,DRE!$A338)+SUMIFS(Aut_Ajustes_Manuais!$G:$G,Aut_Ajustes_Manuais!$I:$I,DRE!AF$4,Aut_Ajustes_Manuais!$F:$F,"Investimento - Mobiliário e Decoração")</f>
        <v>0</v>
      </c>
      <c r="AI338" s="241">
        <v>0</v>
      </c>
      <c r="AJ338" s="81"/>
      <c r="AK338" s="82">
        <f>SUMIFS(Aut_BlueMe_Sem_Pedido!$J:$J,Aut_BlueMe_Sem_Pedido!$Q:$Q,DRE!AI$4,Aut_BlueMe_Sem_Pedido!$H:$H,DRE!$A338)+SUMIFS(Aut_Ajustes_Manuais!$G:$G,Aut_Ajustes_Manuais!$I:$I,DRE!AI$4,Aut_Ajustes_Manuais!$F:$F,"Investimento - Mobiliário e Decoração")</f>
        <v>0</v>
      </c>
      <c r="AL338" s="241">
        <v>0</v>
      </c>
      <c r="AM338" s="81"/>
      <c r="AN338" s="82">
        <f>SUMIFS(Aut_BlueMe_Sem_Pedido!$J:$J,Aut_BlueMe_Sem_Pedido!$Q:$Q,DRE!AL$4,Aut_BlueMe_Sem_Pedido!$H:$H,DRE!$A338)+SUMIFS(Aut_Ajustes_Manuais!$G:$G,Aut_Ajustes_Manuais!$I:$I,DRE!AL$4,Aut_Ajustes_Manuais!$F:$F,"Investimento - Mobiliário e Decoração")</f>
        <v>0</v>
      </c>
      <c r="AO338" s="241">
        <v>0</v>
      </c>
      <c r="AP338" s="81"/>
      <c r="AQ338" s="82">
        <f>SUMIFS(Aut_BlueMe_Sem_Pedido!$J:$J,Aut_BlueMe_Sem_Pedido!$Q:$Q,DRE!AO$4,Aut_BlueMe_Sem_Pedido!$H:$H,DRE!$A338)+SUMIFS(Aut_Ajustes_Manuais!$G:$G,Aut_Ajustes_Manuais!$I:$I,DRE!AO$4,Aut_Ajustes_Manuais!$F:$F,"Investimento - Mobiliário e Decoração")</f>
        <v>0</v>
      </c>
      <c r="AR338" s="241">
        <f t="shared" ca="1" si="323"/>
        <v>0</v>
      </c>
      <c r="AS338" s="81">
        <f t="shared" ca="1" si="324"/>
        <v>-70000</v>
      </c>
      <c r="AT338" s="82">
        <f t="shared" ca="1" si="325"/>
        <v>0</v>
      </c>
      <c r="AU338" s="241">
        <f t="shared" si="326"/>
        <v>0</v>
      </c>
      <c r="AV338" s="81">
        <f t="shared" si="327"/>
        <v>-70000</v>
      </c>
      <c r="AW338" s="82">
        <f t="shared" si="328"/>
        <v>0</v>
      </c>
      <c r="AX338" s="241">
        <f t="shared" si="329"/>
        <v>0</v>
      </c>
      <c r="AY338" s="81">
        <f t="shared" si="330"/>
        <v>-35000</v>
      </c>
      <c r="AZ338" s="82">
        <f t="shared" si="331"/>
        <v>0</v>
      </c>
      <c r="BA338" s="241">
        <f t="shared" si="332"/>
        <v>0</v>
      </c>
      <c r="BB338" s="81">
        <f t="shared" si="333"/>
        <v>-35000</v>
      </c>
      <c r="BC338" s="82">
        <f t="shared" si="334"/>
        <v>0</v>
      </c>
      <c r="BD338" s="241">
        <f t="shared" si="335"/>
        <v>0</v>
      </c>
      <c r="BE338" s="81">
        <f t="shared" si="336"/>
        <v>0</v>
      </c>
      <c r="BF338" s="82">
        <f t="shared" si="337"/>
        <v>0</v>
      </c>
      <c r="BG338" s="241">
        <f t="shared" si="338"/>
        <v>0</v>
      </c>
      <c r="BH338" s="81">
        <f t="shared" si="339"/>
        <v>0</v>
      </c>
      <c r="BI338" s="82">
        <f t="shared" si="340"/>
        <v>0</v>
      </c>
      <c r="BK338" s="448">
        <f t="shared" si="302"/>
        <v>-70000</v>
      </c>
      <c r="BL338" s="448">
        <f t="shared" si="303"/>
        <v>0</v>
      </c>
      <c r="BM338" s="448">
        <f t="shared" si="304"/>
        <v>0</v>
      </c>
      <c r="BN338" s="448">
        <f t="shared" ca="1" si="305"/>
        <v>0</v>
      </c>
    </row>
    <row r="339" spans="1:66" s="29" customFormat="1" hidden="1" outlineLevel="1" x14ac:dyDescent="0.3">
      <c r="A339" s="22" t="s">
        <v>354</v>
      </c>
      <c r="B339" s="59"/>
      <c r="C339" s="24" t="s">
        <v>62</v>
      </c>
      <c r="D339" s="25"/>
      <c r="E339" s="55">
        <v>-5.0000000000000001E-3</v>
      </c>
      <c r="F339" s="63"/>
      <c r="G339" s="33"/>
      <c r="H339" s="241">
        <v>0</v>
      </c>
      <c r="I339" s="81"/>
      <c r="J339" s="82">
        <f>SUMIFS(Aut_BlueMe_Sem_Pedido!$J:$J,Aut_BlueMe_Sem_Pedido!$Q:$Q,DRE!H$4,Aut_BlueMe_Sem_Pedido!$H:$H,DRE!$A339)+SUMIFS(Aut_Ajustes_Manuais!$G:$G,Aut_Ajustes_Manuais!$I:$I,DRE!H$4,Aut_Ajustes_Manuais!$F:$F,"Investimento - Projetos")</f>
        <v>0</v>
      </c>
      <c r="K339" s="254">
        <v>0</v>
      </c>
      <c r="L339" s="81">
        <v>-25000</v>
      </c>
      <c r="M339" s="82">
        <f>SUMIFS(Aut_BlueMe_Sem_Pedido!$J:$J,Aut_BlueMe_Sem_Pedido!$Q:$Q,DRE!K$4,Aut_BlueMe_Sem_Pedido!$H:$H,DRE!$A339)+SUMIFS(Aut_Ajustes_Manuais!$G:$G,Aut_Ajustes_Manuais!$I:$I,DRE!K$4,Aut_Ajustes_Manuais!$F:$F,"Investimento - Projetos")</f>
        <v>0</v>
      </c>
      <c r="N339" s="254">
        <v>0</v>
      </c>
      <c r="O339" s="81"/>
      <c r="P339" s="82">
        <f>SUMIFS(Aut_BlueMe_Sem_Pedido!$J:$J,Aut_BlueMe_Sem_Pedido!$Q:$Q,DRE!N$4,Aut_BlueMe_Sem_Pedido!$H:$H,DRE!$A339)+SUMIFS(Aut_Ajustes_Manuais!$G:$G,Aut_Ajustes_Manuais!$I:$I,DRE!N$4,Aut_Ajustes_Manuais!$F:$F,"Investimento - Projetos")</f>
        <v>0</v>
      </c>
      <c r="Q339" s="241">
        <v>-4850</v>
      </c>
      <c r="R339" s="81"/>
      <c r="S339" s="82">
        <f>SUMIFS(Aut_BlueMe_Sem_Pedido!$J:$J,Aut_BlueMe_Sem_Pedido!$Q:$Q,DRE!Q$4,Aut_BlueMe_Sem_Pedido!$H:$H,DRE!$A339)+SUMIFS(Aut_Ajustes_Manuais!$G:$G,Aut_Ajustes_Manuais!$I:$I,DRE!Q$4,Aut_Ajustes_Manuais!$F:$F,"Investimento - Projetos")</f>
        <v>0</v>
      </c>
      <c r="T339" s="241">
        <v>0</v>
      </c>
      <c r="U339" s="81"/>
      <c r="V339" s="82">
        <f>SUMIFS(Aut_BlueMe_Sem_Pedido!$J:$J,Aut_BlueMe_Sem_Pedido!$Q:$Q,DRE!T$4,Aut_BlueMe_Sem_Pedido!$H:$H,DRE!$A339)+SUMIFS(Aut_Ajustes_Manuais!$G:$G,Aut_Ajustes_Manuais!$I:$I,DRE!T$4,Aut_Ajustes_Manuais!$F:$F,"Investimento - Projetos")</f>
        <v>0</v>
      </c>
      <c r="W339" s="241">
        <v>0</v>
      </c>
      <c r="X339" s="81"/>
      <c r="Y339" s="82">
        <f>SUMIFS(Aut_BlueMe_Sem_Pedido!$J:$J,Aut_BlueMe_Sem_Pedido!$Q:$Q,DRE!W$4,Aut_BlueMe_Sem_Pedido!$H:$H,DRE!$A339)+SUMIFS(Aut_Ajustes_Manuais!$G:$G,Aut_Ajustes_Manuais!$I:$I,DRE!W$4,Aut_Ajustes_Manuais!$F:$F,"Investimento - Projetos")</f>
        <v>0</v>
      </c>
      <c r="Z339" s="241">
        <v>0</v>
      </c>
      <c r="AA339" s="81"/>
      <c r="AB339" s="82">
        <f>SUMIFS(Aut_BlueMe_Sem_Pedido!$J:$J,Aut_BlueMe_Sem_Pedido!$Q:$Q,DRE!Z$4,Aut_BlueMe_Sem_Pedido!$H:$H,DRE!$A339)+SUMIFS(Aut_Ajustes_Manuais!$G:$G,Aut_Ajustes_Manuais!$I:$I,DRE!Z$4,Aut_Ajustes_Manuais!$F:$F,"Investimento - Projetos")</f>
        <v>-800</v>
      </c>
      <c r="AC339" s="241">
        <v>-4850</v>
      </c>
      <c r="AD339" s="81"/>
      <c r="AE339" s="82">
        <f>SUMIFS(Aut_BlueMe_Sem_Pedido!$J:$J,Aut_BlueMe_Sem_Pedido!$Q:$Q,DRE!AC$4,Aut_BlueMe_Sem_Pedido!$H:$H,DRE!$A339)+SUMIFS(Aut_Ajustes_Manuais!$G:$G,Aut_Ajustes_Manuais!$I:$I,DRE!AC$4,Aut_Ajustes_Manuais!$F:$F,"Investimento - Projetos")</f>
        <v>0</v>
      </c>
      <c r="AF339" s="241">
        <v>0</v>
      </c>
      <c r="AG339" s="81"/>
      <c r="AH339" s="82">
        <f>SUMIFS(Aut_BlueMe_Sem_Pedido!$J:$J,Aut_BlueMe_Sem_Pedido!$Q:$Q,DRE!AF$4,Aut_BlueMe_Sem_Pedido!$H:$H,DRE!$A339)+SUMIFS(Aut_Ajustes_Manuais!$G:$G,Aut_Ajustes_Manuais!$I:$I,DRE!AF$4,Aut_Ajustes_Manuais!$F:$F,"Investimento - Projetos")</f>
        <v>0</v>
      </c>
      <c r="AI339" s="241">
        <v>0</v>
      </c>
      <c r="AJ339" s="81"/>
      <c r="AK339" s="82">
        <f>SUMIFS(Aut_BlueMe_Sem_Pedido!$J:$J,Aut_BlueMe_Sem_Pedido!$Q:$Q,DRE!AI$4,Aut_BlueMe_Sem_Pedido!$H:$H,DRE!$A339)+SUMIFS(Aut_Ajustes_Manuais!$G:$G,Aut_Ajustes_Manuais!$I:$I,DRE!AI$4,Aut_Ajustes_Manuais!$F:$F,"Investimento - Projetos")</f>
        <v>0</v>
      </c>
      <c r="AL339" s="241">
        <v>0</v>
      </c>
      <c r="AM339" s="81"/>
      <c r="AN339" s="82">
        <f>SUMIFS(Aut_BlueMe_Sem_Pedido!$J:$J,Aut_BlueMe_Sem_Pedido!$Q:$Q,DRE!AL$4,Aut_BlueMe_Sem_Pedido!$H:$H,DRE!$A339)+SUMIFS(Aut_Ajustes_Manuais!$G:$G,Aut_Ajustes_Manuais!$I:$I,DRE!AL$4,Aut_Ajustes_Manuais!$F:$F,"Investimento - Projetos")</f>
        <v>0</v>
      </c>
      <c r="AO339" s="241">
        <v>0</v>
      </c>
      <c r="AP339" s="81"/>
      <c r="AQ339" s="82">
        <f>SUMIFS(Aut_BlueMe_Sem_Pedido!$J:$J,Aut_BlueMe_Sem_Pedido!$Q:$Q,DRE!AO$4,Aut_BlueMe_Sem_Pedido!$H:$H,DRE!$A339)+SUMIFS(Aut_Ajustes_Manuais!$G:$G,Aut_Ajustes_Manuais!$I:$I,DRE!AO$4,Aut_Ajustes_Manuais!$F:$F,"Investimento - Projetos")</f>
        <v>0</v>
      </c>
      <c r="AR339" s="241">
        <f t="shared" ca="1" si="323"/>
        <v>-4850</v>
      </c>
      <c r="AS339" s="81">
        <f t="shared" ca="1" si="324"/>
        <v>-25000</v>
      </c>
      <c r="AT339" s="82">
        <f t="shared" ca="1" si="325"/>
        <v>0</v>
      </c>
      <c r="AU339" s="241">
        <f t="shared" si="326"/>
        <v>-9700</v>
      </c>
      <c r="AV339" s="81">
        <f t="shared" si="327"/>
        <v>-25000</v>
      </c>
      <c r="AW339" s="82">
        <f t="shared" si="328"/>
        <v>-800</v>
      </c>
      <c r="AX339" s="241">
        <f t="shared" si="329"/>
        <v>0</v>
      </c>
      <c r="AY339" s="81">
        <f t="shared" si="330"/>
        <v>-25000</v>
      </c>
      <c r="AZ339" s="82">
        <f t="shared" si="331"/>
        <v>0</v>
      </c>
      <c r="BA339" s="241">
        <f t="shared" si="332"/>
        <v>-4850</v>
      </c>
      <c r="BB339" s="81">
        <f t="shared" si="333"/>
        <v>0</v>
      </c>
      <c r="BC339" s="82">
        <f t="shared" si="334"/>
        <v>0</v>
      </c>
      <c r="BD339" s="241">
        <f t="shared" si="335"/>
        <v>-4850</v>
      </c>
      <c r="BE339" s="81">
        <f t="shared" si="336"/>
        <v>0</v>
      </c>
      <c r="BF339" s="82">
        <f t="shared" si="337"/>
        <v>-800</v>
      </c>
      <c r="BG339" s="241">
        <f t="shared" si="338"/>
        <v>0</v>
      </c>
      <c r="BH339" s="81">
        <f t="shared" si="339"/>
        <v>0</v>
      </c>
      <c r="BI339" s="82">
        <f t="shared" si="340"/>
        <v>0</v>
      </c>
      <c r="BK339" s="448">
        <f t="shared" si="302"/>
        <v>-25000</v>
      </c>
      <c r="BL339" s="448">
        <f t="shared" si="303"/>
        <v>0</v>
      </c>
      <c r="BM339" s="448">
        <f t="shared" si="304"/>
        <v>0</v>
      </c>
      <c r="BN339" s="448">
        <f t="shared" ca="1" si="305"/>
        <v>0</v>
      </c>
    </row>
    <row r="340" spans="1:66" s="29" customFormat="1" hidden="1" outlineLevel="1" x14ac:dyDescent="0.3">
      <c r="A340" s="22" t="s">
        <v>355</v>
      </c>
      <c r="B340" s="59"/>
      <c r="C340" s="24" t="s">
        <v>62</v>
      </c>
      <c r="D340" s="25"/>
      <c r="E340" s="25"/>
      <c r="F340" s="63"/>
      <c r="G340" s="33"/>
      <c r="H340" s="241">
        <v>0</v>
      </c>
      <c r="I340" s="81"/>
      <c r="J340" s="82">
        <f>SUMIFS(Aut_BlueMe_Sem_Pedido!$J:$J,Aut_BlueMe_Sem_Pedido!$Q:$Q,DRE!H$4,Aut_BlueMe_Sem_Pedido!$H:$H,DRE!$A340)+SUMIFS(Aut_Ajustes_Manuais!$G:$G,Aut_Ajustes_Manuais!$I:$I,DRE!H$4,Aut_Ajustes_Manuais!$F:$F,"Investimento - Paisagismo")</f>
        <v>0</v>
      </c>
      <c r="K340" s="254">
        <v>0</v>
      </c>
      <c r="L340" s="81"/>
      <c r="M340" s="82">
        <f>SUMIFS(Aut_BlueMe_Sem_Pedido!$J:$J,Aut_BlueMe_Sem_Pedido!$Q:$Q,DRE!K$4,Aut_BlueMe_Sem_Pedido!$H:$H,DRE!$A340)+SUMIFS(Aut_Ajustes_Manuais!$G:$G,Aut_Ajustes_Manuais!$I:$I,DRE!K$4,Aut_Ajustes_Manuais!$F:$F,"Investimento - Paisagismo")</f>
        <v>0</v>
      </c>
      <c r="N340" s="254">
        <v>0</v>
      </c>
      <c r="O340" s="81"/>
      <c r="P340" s="82">
        <f>SUMIFS(Aut_BlueMe_Sem_Pedido!$J:$J,Aut_BlueMe_Sem_Pedido!$Q:$Q,DRE!N$4,Aut_BlueMe_Sem_Pedido!$H:$H,DRE!$A340)+SUMIFS(Aut_Ajustes_Manuais!$G:$G,Aut_Ajustes_Manuais!$I:$I,DRE!N$4,Aut_Ajustes_Manuais!$F:$F,"Investimento - Paisagismo")</f>
        <v>0</v>
      </c>
      <c r="Q340" s="241">
        <v>0</v>
      </c>
      <c r="R340" s="81"/>
      <c r="S340" s="82">
        <f>SUMIFS(Aut_BlueMe_Sem_Pedido!$J:$J,Aut_BlueMe_Sem_Pedido!$Q:$Q,DRE!Q$4,Aut_BlueMe_Sem_Pedido!$H:$H,DRE!$A340)+SUMIFS(Aut_Ajustes_Manuais!$G:$G,Aut_Ajustes_Manuais!$I:$I,DRE!Q$4,Aut_Ajustes_Manuais!$F:$F,"Investimento - Paisagismo")</f>
        <v>0</v>
      </c>
      <c r="T340" s="241">
        <v>0</v>
      </c>
      <c r="U340" s="81"/>
      <c r="V340" s="82">
        <f>SUMIFS(Aut_BlueMe_Sem_Pedido!$J:$J,Aut_BlueMe_Sem_Pedido!$Q:$Q,DRE!T$4,Aut_BlueMe_Sem_Pedido!$H:$H,DRE!$A340)+SUMIFS(Aut_Ajustes_Manuais!$G:$G,Aut_Ajustes_Manuais!$I:$I,DRE!T$4,Aut_Ajustes_Manuais!$F:$F,"Investimento - Paisagismo")</f>
        <v>0</v>
      </c>
      <c r="W340" s="241">
        <v>0</v>
      </c>
      <c r="X340" s="81"/>
      <c r="Y340" s="82">
        <f>SUMIFS(Aut_BlueMe_Sem_Pedido!$J:$J,Aut_BlueMe_Sem_Pedido!$Q:$Q,DRE!W$4,Aut_BlueMe_Sem_Pedido!$H:$H,DRE!$A340)+SUMIFS(Aut_Ajustes_Manuais!$G:$G,Aut_Ajustes_Manuais!$I:$I,DRE!W$4,Aut_Ajustes_Manuais!$F:$F,"Investimento - Paisagismo")</f>
        <v>0</v>
      </c>
      <c r="Z340" s="241">
        <v>0</v>
      </c>
      <c r="AA340" s="81"/>
      <c r="AB340" s="82">
        <f>SUMIFS(Aut_BlueMe_Sem_Pedido!$J:$J,Aut_BlueMe_Sem_Pedido!$Q:$Q,DRE!Z$4,Aut_BlueMe_Sem_Pedido!$H:$H,DRE!$A340)+SUMIFS(Aut_Ajustes_Manuais!$G:$G,Aut_Ajustes_Manuais!$I:$I,DRE!Z$4,Aut_Ajustes_Manuais!$F:$F,"Investimento - Paisagismo")</f>
        <v>0</v>
      </c>
      <c r="AC340" s="241">
        <v>0</v>
      </c>
      <c r="AD340" s="81"/>
      <c r="AE340" s="82">
        <f>SUMIFS(Aut_BlueMe_Sem_Pedido!$J:$J,Aut_BlueMe_Sem_Pedido!$Q:$Q,DRE!AC$4,Aut_BlueMe_Sem_Pedido!$H:$H,DRE!$A340)+SUMIFS(Aut_Ajustes_Manuais!$G:$G,Aut_Ajustes_Manuais!$I:$I,DRE!AC$4,Aut_Ajustes_Manuais!$F:$F,"Investimento - Paisagismo")</f>
        <v>0</v>
      </c>
      <c r="AF340" s="241">
        <v>0</v>
      </c>
      <c r="AG340" s="81"/>
      <c r="AH340" s="82">
        <f>SUMIFS(Aut_BlueMe_Sem_Pedido!$J:$J,Aut_BlueMe_Sem_Pedido!$Q:$Q,DRE!AF$4,Aut_BlueMe_Sem_Pedido!$H:$H,DRE!$A340)+SUMIFS(Aut_Ajustes_Manuais!$G:$G,Aut_Ajustes_Manuais!$I:$I,DRE!AF$4,Aut_Ajustes_Manuais!$F:$F,"Investimento - Paisagismo")</f>
        <v>0</v>
      </c>
      <c r="AI340" s="241">
        <v>0</v>
      </c>
      <c r="AJ340" s="81"/>
      <c r="AK340" s="82">
        <f>SUMIFS(Aut_BlueMe_Sem_Pedido!$J:$J,Aut_BlueMe_Sem_Pedido!$Q:$Q,DRE!AI$4,Aut_BlueMe_Sem_Pedido!$H:$H,DRE!$A340)+SUMIFS(Aut_Ajustes_Manuais!$G:$G,Aut_Ajustes_Manuais!$I:$I,DRE!AI$4,Aut_Ajustes_Manuais!$F:$F,"Investimento - Paisagismo")</f>
        <v>0</v>
      </c>
      <c r="AL340" s="241">
        <v>0</v>
      </c>
      <c r="AM340" s="81"/>
      <c r="AN340" s="82">
        <f>SUMIFS(Aut_BlueMe_Sem_Pedido!$J:$J,Aut_BlueMe_Sem_Pedido!$Q:$Q,DRE!AL$4,Aut_BlueMe_Sem_Pedido!$H:$H,DRE!$A340)+SUMIFS(Aut_Ajustes_Manuais!$G:$G,Aut_Ajustes_Manuais!$I:$I,DRE!AL$4,Aut_Ajustes_Manuais!$F:$F,"Investimento - Paisagismo")</f>
        <v>0</v>
      </c>
      <c r="AO340" s="241">
        <v>0</v>
      </c>
      <c r="AP340" s="81"/>
      <c r="AQ340" s="82">
        <f>SUMIFS(Aut_BlueMe_Sem_Pedido!$J:$J,Aut_BlueMe_Sem_Pedido!$Q:$Q,DRE!AO$4,Aut_BlueMe_Sem_Pedido!$H:$H,DRE!$A340)+SUMIFS(Aut_Ajustes_Manuais!$G:$G,Aut_Ajustes_Manuais!$I:$I,DRE!AO$4,Aut_Ajustes_Manuais!$F:$F,"Investimento - Paisagismo")</f>
        <v>0</v>
      </c>
      <c r="AR340" s="241">
        <f t="shared" ca="1" si="323"/>
        <v>0</v>
      </c>
      <c r="AS340" s="81">
        <f t="shared" ca="1" si="324"/>
        <v>0</v>
      </c>
      <c r="AT340" s="82">
        <f t="shared" ca="1" si="325"/>
        <v>0</v>
      </c>
      <c r="AU340" s="241">
        <f t="shared" si="326"/>
        <v>0</v>
      </c>
      <c r="AV340" s="81">
        <f t="shared" si="327"/>
        <v>0</v>
      </c>
      <c r="AW340" s="82">
        <f t="shared" si="328"/>
        <v>0</v>
      </c>
      <c r="AX340" s="241">
        <f t="shared" si="329"/>
        <v>0</v>
      </c>
      <c r="AY340" s="81">
        <f t="shared" si="330"/>
        <v>0</v>
      </c>
      <c r="AZ340" s="82">
        <f t="shared" si="331"/>
        <v>0</v>
      </c>
      <c r="BA340" s="241">
        <f t="shared" si="332"/>
        <v>0</v>
      </c>
      <c r="BB340" s="81">
        <f t="shared" si="333"/>
        <v>0</v>
      </c>
      <c r="BC340" s="82">
        <f t="shared" si="334"/>
        <v>0</v>
      </c>
      <c r="BD340" s="241">
        <f t="shared" si="335"/>
        <v>0</v>
      </c>
      <c r="BE340" s="81">
        <f t="shared" si="336"/>
        <v>0</v>
      </c>
      <c r="BF340" s="82">
        <f t="shared" si="337"/>
        <v>0</v>
      </c>
      <c r="BG340" s="241">
        <f t="shared" si="338"/>
        <v>0</v>
      </c>
      <c r="BH340" s="81">
        <f t="shared" si="339"/>
        <v>0</v>
      </c>
      <c r="BI340" s="82">
        <f t="shared" si="340"/>
        <v>0</v>
      </c>
      <c r="BK340" s="448">
        <f t="shared" si="302"/>
        <v>0</v>
      </c>
      <c r="BL340" s="448">
        <f t="shared" si="303"/>
        <v>0</v>
      </c>
      <c r="BM340" s="448">
        <f t="shared" si="304"/>
        <v>0</v>
      </c>
      <c r="BN340" s="448">
        <f t="shared" ca="1" si="305"/>
        <v>0</v>
      </c>
    </row>
    <row r="341" spans="1:66" s="29" customFormat="1" hidden="1" outlineLevel="1" x14ac:dyDescent="0.3">
      <c r="A341" s="22" t="s">
        <v>356</v>
      </c>
      <c r="B341" s="59"/>
      <c r="C341" s="24" t="s">
        <v>62</v>
      </c>
      <c r="D341" s="25"/>
      <c r="E341" s="25"/>
      <c r="F341" s="63"/>
      <c r="G341" s="33"/>
      <c r="H341" s="241">
        <v>0</v>
      </c>
      <c r="I341" s="81"/>
      <c r="J341" s="82">
        <f>SUMIFS(Aut_BlueMe_Sem_Pedido!$J:$J,Aut_BlueMe_Sem_Pedido!$Q:$Q,DRE!H$4,Aut_BlueMe_Sem_Pedido!$H:$H,DRE!$A341)+SUMIFS(Aut_Ajustes_Manuais!$G:$G,Aut_Ajustes_Manuais!$I:$I,DRE!H$4,Aut_Ajustes_Manuais!$F:$F,"Investimento - Sistemas Gerais - Implantação")</f>
        <v>0</v>
      </c>
      <c r="K341" s="254">
        <v>0</v>
      </c>
      <c r="L341" s="81"/>
      <c r="M341" s="82">
        <f>SUMIFS(Aut_BlueMe_Sem_Pedido!$J:$J,Aut_BlueMe_Sem_Pedido!$Q:$Q,DRE!K$4,Aut_BlueMe_Sem_Pedido!$H:$H,DRE!$A341)+SUMIFS(Aut_Ajustes_Manuais!$G:$G,Aut_Ajustes_Manuais!$I:$I,DRE!K$4,Aut_Ajustes_Manuais!$F:$F,"Investimento - Sistemas Gerais - Implantação")</f>
        <v>0</v>
      </c>
      <c r="N341" s="254">
        <v>0</v>
      </c>
      <c r="O341" s="81"/>
      <c r="P341" s="82">
        <f>SUMIFS(Aut_BlueMe_Sem_Pedido!$J:$J,Aut_BlueMe_Sem_Pedido!$Q:$Q,DRE!N$4,Aut_BlueMe_Sem_Pedido!$H:$H,DRE!$A341)+SUMIFS(Aut_Ajustes_Manuais!$G:$G,Aut_Ajustes_Manuais!$I:$I,DRE!N$4,Aut_Ajustes_Manuais!$F:$F,"Investimento - Sistemas Gerais - Implantação")</f>
        <v>0</v>
      </c>
      <c r="Q341" s="241">
        <v>0</v>
      </c>
      <c r="R341" s="81"/>
      <c r="S341" s="82">
        <f>SUMIFS(Aut_BlueMe_Sem_Pedido!$J:$J,Aut_BlueMe_Sem_Pedido!$Q:$Q,DRE!Q$4,Aut_BlueMe_Sem_Pedido!$H:$H,DRE!$A341)+SUMIFS(Aut_Ajustes_Manuais!$G:$G,Aut_Ajustes_Manuais!$I:$I,DRE!Q$4,Aut_Ajustes_Manuais!$F:$F,"Investimento - Sistemas Gerais - Implantação")</f>
        <v>0</v>
      </c>
      <c r="T341" s="241">
        <v>0</v>
      </c>
      <c r="U341" s="81"/>
      <c r="V341" s="82">
        <f>SUMIFS(Aut_BlueMe_Sem_Pedido!$J:$J,Aut_BlueMe_Sem_Pedido!$Q:$Q,DRE!T$4,Aut_BlueMe_Sem_Pedido!$H:$H,DRE!$A341)+SUMIFS(Aut_Ajustes_Manuais!$G:$G,Aut_Ajustes_Manuais!$I:$I,DRE!T$4,Aut_Ajustes_Manuais!$F:$F,"Investimento - Sistemas Gerais - Implantação")</f>
        <v>0</v>
      </c>
      <c r="W341" s="241">
        <v>0</v>
      </c>
      <c r="X341" s="81"/>
      <c r="Y341" s="82">
        <f>SUMIFS(Aut_BlueMe_Sem_Pedido!$J:$J,Aut_BlueMe_Sem_Pedido!$Q:$Q,DRE!W$4,Aut_BlueMe_Sem_Pedido!$H:$H,DRE!$A341)+SUMIFS(Aut_Ajustes_Manuais!$G:$G,Aut_Ajustes_Manuais!$I:$I,DRE!W$4,Aut_Ajustes_Manuais!$F:$F,"Investimento - Sistemas Gerais - Implantação")</f>
        <v>0</v>
      </c>
      <c r="Z341" s="241">
        <v>0</v>
      </c>
      <c r="AA341" s="81"/>
      <c r="AB341" s="82">
        <f>SUMIFS(Aut_BlueMe_Sem_Pedido!$J:$J,Aut_BlueMe_Sem_Pedido!$Q:$Q,DRE!Z$4,Aut_BlueMe_Sem_Pedido!$H:$H,DRE!$A341)+SUMIFS(Aut_Ajustes_Manuais!$G:$G,Aut_Ajustes_Manuais!$I:$I,DRE!Z$4,Aut_Ajustes_Manuais!$F:$F,"Investimento - Sistemas Gerais - Implantação")</f>
        <v>0</v>
      </c>
      <c r="AC341" s="241">
        <v>0</v>
      </c>
      <c r="AD341" s="81"/>
      <c r="AE341" s="82">
        <f>SUMIFS(Aut_BlueMe_Sem_Pedido!$J:$J,Aut_BlueMe_Sem_Pedido!$Q:$Q,DRE!AC$4,Aut_BlueMe_Sem_Pedido!$H:$H,DRE!$A341)+SUMIFS(Aut_Ajustes_Manuais!$G:$G,Aut_Ajustes_Manuais!$I:$I,DRE!AC$4,Aut_Ajustes_Manuais!$F:$F,"Investimento - Sistemas Gerais - Implantação")</f>
        <v>0</v>
      </c>
      <c r="AF341" s="241">
        <v>0</v>
      </c>
      <c r="AG341" s="81"/>
      <c r="AH341" s="82">
        <f>SUMIFS(Aut_BlueMe_Sem_Pedido!$J:$J,Aut_BlueMe_Sem_Pedido!$Q:$Q,DRE!AF$4,Aut_BlueMe_Sem_Pedido!$H:$H,DRE!$A341)+SUMIFS(Aut_Ajustes_Manuais!$G:$G,Aut_Ajustes_Manuais!$I:$I,DRE!AF$4,Aut_Ajustes_Manuais!$F:$F,"Investimento - Sistemas Gerais - Implantação")</f>
        <v>0</v>
      </c>
      <c r="AI341" s="241">
        <v>0</v>
      </c>
      <c r="AJ341" s="81"/>
      <c r="AK341" s="82">
        <f>SUMIFS(Aut_BlueMe_Sem_Pedido!$J:$J,Aut_BlueMe_Sem_Pedido!$Q:$Q,DRE!AI$4,Aut_BlueMe_Sem_Pedido!$H:$H,DRE!$A341)+SUMIFS(Aut_Ajustes_Manuais!$G:$G,Aut_Ajustes_Manuais!$I:$I,DRE!AI$4,Aut_Ajustes_Manuais!$F:$F,"Investimento - Sistemas Gerais - Implantação")</f>
        <v>0</v>
      </c>
      <c r="AL341" s="241">
        <v>0</v>
      </c>
      <c r="AM341" s="81"/>
      <c r="AN341" s="82">
        <f>SUMIFS(Aut_BlueMe_Sem_Pedido!$J:$J,Aut_BlueMe_Sem_Pedido!$Q:$Q,DRE!AL$4,Aut_BlueMe_Sem_Pedido!$H:$H,DRE!$A341)+SUMIFS(Aut_Ajustes_Manuais!$G:$G,Aut_Ajustes_Manuais!$I:$I,DRE!AL$4,Aut_Ajustes_Manuais!$F:$F,"Investimento - Sistemas Gerais - Implantação")</f>
        <v>0</v>
      </c>
      <c r="AO341" s="241">
        <v>0</v>
      </c>
      <c r="AP341" s="81"/>
      <c r="AQ341" s="82">
        <f>SUMIFS(Aut_BlueMe_Sem_Pedido!$J:$J,Aut_BlueMe_Sem_Pedido!$Q:$Q,DRE!AO$4,Aut_BlueMe_Sem_Pedido!$H:$H,DRE!$A341)+SUMIFS(Aut_Ajustes_Manuais!$G:$G,Aut_Ajustes_Manuais!$I:$I,DRE!AO$4,Aut_Ajustes_Manuais!$F:$F,"Investimento - Sistemas Gerais - Implantação")</f>
        <v>0</v>
      </c>
      <c r="AR341" s="241">
        <f t="shared" ca="1" si="323"/>
        <v>0</v>
      </c>
      <c r="AS341" s="81">
        <f t="shared" ca="1" si="324"/>
        <v>0</v>
      </c>
      <c r="AT341" s="82">
        <f t="shared" ca="1" si="325"/>
        <v>0</v>
      </c>
      <c r="AU341" s="241">
        <f t="shared" si="326"/>
        <v>0</v>
      </c>
      <c r="AV341" s="81">
        <f t="shared" si="327"/>
        <v>0</v>
      </c>
      <c r="AW341" s="82">
        <f t="shared" si="328"/>
        <v>0</v>
      </c>
      <c r="AX341" s="241">
        <f t="shared" si="329"/>
        <v>0</v>
      </c>
      <c r="AY341" s="81">
        <f t="shared" si="330"/>
        <v>0</v>
      </c>
      <c r="AZ341" s="82">
        <f t="shared" si="331"/>
        <v>0</v>
      </c>
      <c r="BA341" s="241">
        <f t="shared" si="332"/>
        <v>0</v>
      </c>
      <c r="BB341" s="81">
        <f t="shared" si="333"/>
        <v>0</v>
      </c>
      <c r="BC341" s="82">
        <f t="shared" si="334"/>
        <v>0</v>
      </c>
      <c r="BD341" s="241">
        <f t="shared" si="335"/>
        <v>0</v>
      </c>
      <c r="BE341" s="81">
        <f t="shared" si="336"/>
        <v>0</v>
      </c>
      <c r="BF341" s="82">
        <f t="shared" si="337"/>
        <v>0</v>
      </c>
      <c r="BG341" s="241">
        <f t="shared" si="338"/>
        <v>0</v>
      </c>
      <c r="BH341" s="81">
        <f t="shared" si="339"/>
        <v>0</v>
      </c>
      <c r="BI341" s="82">
        <f t="shared" si="340"/>
        <v>0</v>
      </c>
      <c r="BK341" s="448">
        <f t="shared" si="302"/>
        <v>0</v>
      </c>
      <c r="BL341" s="448">
        <f t="shared" si="303"/>
        <v>0</v>
      </c>
      <c r="BM341" s="448">
        <f t="shared" si="304"/>
        <v>0</v>
      </c>
      <c r="BN341" s="448">
        <f t="shared" ca="1" si="305"/>
        <v>0</v>
      </c>
    </row>
    <row r="342" spans="1:66" s="29" customFormat="1" hidden="1" outlineLevel="1" x14ac:dyDescent="0.3">
      <c r="A342" s="22" t="s">
        <v>357</v>
      </c>
      <c r="B342" s="59"/>
      <c r="C342" s="24" t="s">
        <v>62</v>
      </c>
      <c r="D342" s="25"/>
      <c r="E342" s="25"/>
      <c r="F342" s="63"/>
      <c r="G342" s="33"/>
      <c r="H342" s="241">
        <v>0</v>
      </c>
      <c r="I342" s="81"/>
      <c r="J342" s="82">
        <f>SUMIFS(Aut_BlueMe_Sem_Pedido!$J:$J,Aut_BlueMe_Sem_Pedido!$Q:$Q,DRE!H$4,Aut_BlueMe_Sem_Pedido!$H:$H,DRE!$A342)+SUMIFS(Aut_Ajustes_Manuais!$G:$G,Aut_Ajustes_Manuais!$I:$I,DRE!H$4,Aut_Ajustes_Manuais!$F:$F,"Investimento - Marketing")</f>
        <v>0</v>
      </c>
      <c r="K342" s="254">
        <v>0</v>
      </c>
      <c r="L342" s="81"/>
      <c r="M342" s="82">
        <f>SUMIFS(Aut_BlueMe_Sem_Pedido!$J:$J,Aut_BlueMe_Sem_Pedido!$Q:$Q,DRE!K$4,Aut_BlueMe_Sem_Pedido!$H:$H,DRE!$A342)+SUMIFS(Aut_Ajustes_Manuais!$G:$G,Aut_Ajustes_Manuais!$I:$I,DRE!K$4,Aut_Ajustes_Manuais!$F:$F,"Investimento - Marketing")</f>
        <v>0</v>
      </c>
      <c r="N342" s="254">
        <v>0</v>
      </c>
      <c r="O342" s="81"/>
      <c r="P342" s="82">
        <f>SUMIFS(Aut_BlueMe_Sem_Pedido!$J:$J,Aut_BlueMe_Sem_Pedido!$Q:$Q,DRE!N$4,Aut_BlueMe_Sem_Pedido!$H:$H,DRE!$A342)+SUMIFS(Aut_Ajustes_Manuais!$G:$G,Aut_Ajustes_Manuais!$I:$I,DRE!N$4,Aut_Ajustes_Manuais!$F:$F,"Investimento - Marketing")</f>
        <v>0</v>
      </c>
      <c r="Q342" s="241">
        <v>0</v>
      </c>
      <c r="R342" s="81"/>
      <c r="S342" s="82">
        <f>SUMIFS(Aut_BlueMe_Sem_Pedido!$J:$J,Aut_BlueMe_Sem_Pedido!$Q:$Q,DRE!Q$4,Aut_BlueMe_Sem_Pedido!$H:$H,DRE!$A342)+SUMIFS(Aut_Ajustes_Manuais!$G:$G,Aut_Ajustes_Manuais!$I:$I,DRE!Q$4,Aut_Ajustes_Manuais!$F:$F,"Investimento - Marketing")</f>
        <v>0</v>
      </c>
      <c r="T342" s="241">
        <v>0</v>
      </c>
      <c r="U342" s="81"/>
      <c r="V342" s="82">
        <f>SUMIFS(Aut_BlueMe_Sem_Pedido!$J:$J,Aut_BlueMe_Sem_Pedido!$Q:$Q,DRE!T$4,Aut_BlueMe_Sem_Pedido!$H:$H,DRE!$A342)+SUMIFS(Aut_Ajustes_Manuais!$G:$G,Aut_Ajustes_Manuais!$I:$I,DRE!T$4,Aut_Ajustes_Manuais!$F:$F,"Investimento - Marketing")</f>
        <v>0</v>
      </c>
      <c r="W342" s="241">
        <v>0</v>
      </c>
      <c r="X342" s="81"/>
      <c r="Y342" s="82">
        <f>SUMIFS(Aut_BlueMe_Sem_Pedido!$J:$J,Aut_BlueMe_Sem_Pedido!$Q:$Q,DRE!W$4,Aut_BlueMe_Sem_Pedido!$H:$H,DRE!$A342)+SUMIFS(Aut_Ajustes_Manuais!$G:$G,Aut_Ajustes_Manuais!$I:$I,DRE!W$4,Aut_Ajustes_Manuais!$F:$F,"Investimento - Marketing")</f>
        <v>0</v>
      </c>
      <c r="Z342" s="241">
        <v>0</v>
      </c>
      <c r="AA342" s="81"/>
      <c r="AB342" s="82">
        <f>SUMIFS(Aut_BlueMe_Sem_Pedido!$J:$J,Aut_BlueMe_Sem_Pedido!$Q:$Q,DRE!Z$4,Aut_BlueMe_Sem_Pedido!$H:$H,DRE!$A342)+SUMIFS(Aut_Ajustes_Manuais!$G:$G,Aut_Ajustes_Manuais!$I:$I,DRE!Z$4,Aut_Ajustes_Manuais!$F:$F,"Investimento - Marketing")</f>
        <v>0</v>
      </c>
      <c r="AC342" s="241">
        <v>0</v>
      </c>
      <c r="AD342" s="81"/>
      <c r="AE342" s="82">
        <f>SUMIFS(Aut_BlueMe_Sem_Pedido!$J:$J,Aut_BlueMe_Sem_Pedido!$Q:$Q,DRE!AC$4,Aut_BlueMe_Sem_Pedido!$H:$H,DRE!$A342)+SUMIFS(Aut_Ajustes_Manuais!$G:$G,Aut_Ajustes_Manuais!$I:$I,DRE!AC$4,Aut_Ajustes_Manuais!$F:$F,"Investimento - Marketing")</f>
        <v>0</v>
      </c>
      <c r="AF342" s="241">
        <v>0</v>
      </c>
      <c r="AG342" s="81"/>
      <c r="AH342" s="82">
        <f>SUMIFS(Aut_BlueMe_Sem_Pedido!$J:$J,Aut_BlueMe_Sem_Pedido!$Q:$Q,DRE!AF$4,Aut_BlueMe_Sem_Pedido!$H:$H,DRE!$A342)+SUMIFS(Aut_Ajustes_Manuais!$G:$G,Aut_Ajustes_Manuais!$I:$I,DRE!AF$4,Aut_Ajustes_Manuais!$F:$F,"Investimento - Marketing")</f>
        <v>0</v>
      </c>
      <c r="AI342" s="241">
        <v>0</v>
      </c>
      <c r="AJ342" s="81"/>
      <c r="AK342" s="82">
        <f>SUMIFS(Aut_BlueMe_Sem_Pedido!$J:$J,Aut_BlueMe_Sem_Pedido!$Q:$Q,DRE!AI$4,Aut_BlueMe_Sem_Pedido!$H:$H,DRE!$A342)+SUMIFS(Aut_Ajustes_Manuais!$G:$G,Aut_Ajustes_Manuais!$I:$I,DRE!AI$4,Aut_Ajustes_Manuais!$F:$F,"Investimento - Marketing")</f>
        <v>0</v>
      </c>
      <c r="AL342" s="241">
        <v>0</v>
      </c>
      <c r="AM342" s="81"/>
      <c r="AN342" s="82">
        <f>SUMIFS(Aut_BlueMe_Sem_Pedido!$J:$J,Aut_BlueMe_Sem_Pedido!$Q:$Q,DRE!AL$4,Aut_BlueMe_Sem_Pedido!$H:$H,DRE!$A342)+SUMIFS(Aut_Ajustes_Manuais!$G:$G,Aut_Ajustes_Manuais!$I:$I,DRE!AL$4,Aut_Ajustes_Manuais!$F:$F,"Investimento - Marketing")</f>
        <v>0</v>
      </c>
      <c r="AO342" s="241">
        <v>0</v>
      </c>
      <c r="AP342" s="81"/>
      <c r="AQ342" s="82">
        <f>SUMIFS(Aut_BlueMe_Sem_Pedido!$J:$J,Aut_BlueMe_Sem_Pedido!$Q:$Q,DRE!AO$4,Aut_BlueMe_Sem_Pedido!$H:$H,DRE!$A342)+SUMIFS(Aut_Ajustes_Manuais!$G:$G,Aut_Ajustes_Manuais!$I:$I,DRE!AO$4,Aut_Ajustes_Manuais!$F:$F,"Investimento - Marketing")</f>
        <v>0</v>
      </c>
      <c r="AR342" s="241">
        <f t="shared" ca="1" si="323"/>
        <v>0</v>
      </c>
      <c r="AS342" s="81">
        <f t="shared" ca="1" si="324"/>
        <v>0</v>
      </c>
      <c r="AT342" s="82">
        <f t="shared" ca="1" si="325"/>
        <v>0</v>
      </c>
      <c r="AU342" s="241">
        <f t="shared" si="326"/>
        <v>0</v>
      </c>
      <c r="AV342" s="81">
        <f t="shared" si="327"/>
        <v>0</v>
      </c>
      <c r="AW342" s="82">
        <f t="shared" si="328"/>
        <v>0</v>
      </c>
      <c r="AX342" s="241">
        <f t="shared" si="329"/>
        <v>0</v>
      </c>
      <c r="AY342" s="81">
        <f t="shared" si="330"/>
        <v>0</v>
      </c>
      <c r="AZ342" s="82">
        <f t="shared" si="331"/>
        <v>0</v>
      </c>
      <c r="BA342" s="241">
        <f t="shared" si="332"/>
        <v>0</v>
      </c>
      <c r="BB342" s="81">
        <f t="shared" si="333"/>
        <v>0</v>
      </c>
      <c r="BC342" s="82">
        <f t="shared" si="334"/>
        <v>0</v>
      </c>
      <c r="BD342" s="241">
        <f t="shared" si="335"/>
        <v>0</v>
      </c>
      <c r="BE342" s="81">
        <f t="shared" si="336"/>
        <v>0</v>
      </c>
      <c r="BF342" s="82">
        <f t="shared" si="337"/>
        <v>0</v>
      </c>
      <c r="BG342" s="241">
        <f t="shared" si="338"/>
        <v>0</v>
      </c>
      <c r="BH342" s="81">
        <f t="shared" si="339"/>
        <v>0</v>
      </c>
      <c r="BI342" s="82">
        <f t="shared" si="340"/>
        <v>0</v>
      </c>
      <c r="BK342" s="448">
        <f t="shared" si="302"/>
        <v>0</v>
      </c>
      <c r="BL342" s="448">
        <f t="shared" si="303"/>
        <v>0</v>
      </c>
      <c r="BM342" s="448">
        <f t="shared" si="304"/>
        <v>0</v>
      </c>
      <c r="BN342" s="448">
        <f t="shared" ca="1" si="305"/>
        <v>0</v>
      </c>
    </row>
    <row r="343" spans="1:66" s="29" customFormat="1" hidden="1" outlineLevel="1" x14ac:dyDescent="0.3">
      <c r="A343" s="22" t="s">
        <v>358</v>
      </c>
      <c r="B343" s="59"/>
      <c r="C343" s="24" t="s">
        <v>62</v>
      </c>
      <c r="D343" s="25"/>
      <c r="E343" s="25"/>
      <c r="F343" s="63"/>
      <c r="G343" s="33"/>
      <c r="H343" s="241">
        <v>0</v>
      </c>
      <c r="I343" s="81"/>
      <c r="J343" s="82">
        <f>SUMIFS(Aut_BlueMe_Sem_Pedido!$J:$J,Aut_BlueMe_Sem_Pedido!$Q:$Q,DRE!H$4,Aut_BlueMe_Sem_Pedido!$H:$H,DRE!$A343)+SUMIFS(Aut_Ajustes_Manuais!$G:$G,Aut_Ajustes_Manuais!$I:$I,DRE!H$4,Aut_Ajustes_Manuais!$F:$F,"Investimento - Uniformes")</f>
        <v>0</v>
      </c>
      <c r="K343" s="254">
        <v>0</v>
      </c>
      <c r="L343" s="81"/>
      <c r="M343" s="82">
        <f>SUMIFS(Aut_BlueMe_Sem_Pedido!$J:$J,Aut_BlueMe_Sem_Pedido!$Q:$Q,DRE!K$4,Aut_BlueMe_Sem_Pedido!$H:$H,DRE!$A343)+SUMIFS(Aut_Ajustes_Manuais!$G:$G,Aut_Ajustes_Manuais!$I:$I,DRE!K$4,Aut_Ajustes_Manuais!$F:$F,"Investimento - Uniformes")</f>
        <v>0</v>
      </c>
      <c r="N343" s="254">
        <v>0</v>
      </c>
      <c r="O343" s="81"/>
      <c r="P343" s="82">
        <f>SUMIFS(Aut_BlueMe_Sem_Pedido!$J:$J,Aut_BlueMe_Sem_Pedido!$Q:$Q,DRE!N$4,Aut_BlueMe_Sem_Pedido!$H:$H,DRE!$A343)+SUMIFS(Aut_Ajustes_Manuais!$G:$G,Aut_Ajustes_Manuais!$I:$I,DRE!N$4,Aut_Ajustes_Manuais!$F:$F,"Investimento - Uniformes")</f>
        <v>0</v>
      </c>
      <c r="Q343" s="241">
        <v>0</v>
      </c>
      <c r="R343" s="81">
        <v>-20000</v>
      </c>
      <c r="S343" s="82">
        <f>SUMIFS(Aut_BlueMe_Sem_Pedido!$J:$J,Aut_BlueMe_Sem_Pedido!$Q:$Q,DRE!Q$4,Aut_BlueMe_Sem_Pedido!$H:$H,DRE!$A343)+SUMIFS(Aut_Ajustes_Manuais!$G:$G,Aut_Ajustes_Manuais!$I:$I,DRE!Q$4,Aut_Ajustes_Manuais!$F:$F,"Investimento - Uniformes")</f>
        <v>0</v>
      </c>
      <c r="T343" s="241">
        <v>0</v>
      </c>
      <c r="U343" s="81"/>
      <c r="V343" s="82">
        <f>SUMIFS(Aut_BlueMe_Sem_Pedido!$J:$J,Aut_BlueMe_Sem_Pedido!$Q:$Q,DRE!T$4,Aut_BlueMe_Sem_Pedido!$H:$H,DRE!$A343)+SUMIFS(Aut_Ajustes_Manuais!$G:$G,Aut_Ajustes_Manuais!$I:$I,DRE!T$4,Aut_Ajustes_Manuais!$F:$F,"Investimento - Uniformes")</f>
        <v>-1863</v>
      </c>
      <c r="W343" s="241">
        <v>0</v>
      </c>
      <c r="X343" s="81"/>
      <c r="Y343" s="82">
        <f>SUMIFS(Aut_BlueMe_Sem_Pedido!$J:$J,Aut_BlueMe_Sem_Pedido!$Q:$Q,DRE!W$4,Aut_BlueMe_Sem_Pedido!$H:$H,DRE!$A343)+SUMIFS(Aut_Ajustes_Manuais!$G:$G,Aut_Ajustes_Manuais!$I:$I,DRE!W$4,Aut_Ajustes_Manuais!$F:$F,"Investimento - Uniformes")</f>
        <v>-1750</v>
      </c>
      <c r="Z343" s="241">
        <v>0</v>
      </c>
      <c r="AA343" s="81"/>
      <c r="AB343" s="82">
        <f>SUMIFS(Aut_BlueMe_Sem_Pedido!$J:$J,Aut_BlueMe_Sem_Pedido!$Q:$Q,DRE!Z$4,Aut_BlueMe_Sem_Pedido!$H:$H,DRE!$A343)+SUMIFS(Aut_Ajustes_Manuais!$G:$G,Aut_Ajustes_Manuais!$I:$I,DRE!Z$4,Aut_Ajustes_Manuais!$F:$F,"Investimento - Uniformes")</f>
        <v>0</v>
      </c>
      <c r="AC343" s="241">
        <v>0</v>
      </c>
      <c r="AD343" s="81"/>
      <c r="AE343" s="82">
        <f>SUMIFS(Aut_BlueMe_Sem_Pedido!$J:$J,Aut_BlueMe_Sem_Pedido!$Q:$Q,DRE!AC$4,Aut_BlueMe_Sem_Pedido!$H:$H,DRE!$A343)+SUMIFS(Aut_Ajustes_Manuais!$G:$G,Aut_Ajustes_Manuais!$I:$I,DRE!AC$4,Aut_Ajustes_Manuais!$F:$F,"Investimento - Uniformes")</f>
        <v>0</v>
      </c>
      <c r="AF343" s="241">
        <v>0</v>
      </c>
      <c r="AG343" s="81"/>
      <c r="AH343" s="82">
        <f>SUMIFS(Aut_BlueMe_Sem_Pedido!$J:$J,Aut_BlueMe_Sem_Pedido!$Q:$Q,DRE!AF$4,Aut_BlueMe_Sem_Pedido!$H:$H,DRE!$A343)+SUMIFS(Aut_Ajustes_Manuais!$G:$G,Aut_Ajustes_Manuais!$I:$I,DRE!AF$4,Aut_Ajustes_Manuais!$F:$F,"Investimento - Uniformes")</f>
        <v>0</v>
      </c>
      <c r="AI343" s="241">
        <v>0</v>
      </c>
      <c r="AJ343" s="81"/>
      <c r="AK343" s="82">
        <f>SUMIFS(Aut_BlueMe_Sem_Pedido!$J:$J,Aut_BlueMe_Sem_Pedido!$Q:$Q,DRE!AI$4,Aut_BlueMe_Sem_Pedido!$H:$H,DRE!$A343)+SUMIFS(Aut_Ajustes_Manuais!$G:$G,Aut_Ajustes_Manuais!$I:$I,DRE!AI$4,Aut_Ajustes_Manuais!$F:$F,"Investimento - Uniformes")</f>
        <v>0</v>
      </c>
      <c r="AL343" s="241">
        <v>0</v>
      </c>
      <c r="AM343" s="81"/>
      <c r="AN343" s="82">
        <f>SUMIFS(Aut_BlueMe_Sem_Pedido!$J:$J,Aut_BlueMe_Sem_Pedido!$Q:$Q,DRE!AL$4,Aut_BlueMe_Sem_Pedido!$H:$H,DRE!$A343)+SUMIFS(Aut_Ajustes_Manuais!$G:$G,Aut_Ajustes_Manuais!$I:$I,DRE!AL$4,Aut_Ajustes_Manuais!$F:$F,"Investimento - Uniformes")</f>
        <v>0</v>
      </c>
      <c r="AO343" s="241">
        <v>0</v>
      </c>
      <c r="AP343" s="81"/>
      <c r="AQ343" s="82">
        <f>SUMIFS(Aut_BlueMe_Sem_Pedido!$J:$J,Aut_BlueMe_Sem_Pedido!$Q:$Q,DRE!AO$4,Aut_BlueMe_Sem_Pedido!$H:$H,DRE!$A343)+SUMIFS(Aut_Ajustes_Manuais!$G:$G,Aut_Ajustes_Manuais!$I:$I,DRE!AO$4,Aut_Ajustes_Manuais!$F:$F,"Investimento - Uniformes")</f>
        <v>0</v>
      </c>
      <c r="AR343" s="241">
        <f t="shared" ca="1" si="323"/>
        <v>0</v>
      </c>
      <c r="AS343" s="81">
        <f t="shared" ca="1" si="324"/>
        <v>-20000</v>
      </c>
      <c r="AT343" s="82">
        <f t="shared" ca="1" si="325"/>
        <v>-3613</v>
      </c>
      <c r="AU343" s="241">
        <f t="shared" si="326"/>
        <v>0</v>
      </c>
      <c r="AV343" s="81">
        <f t="shared" si="327"/>
        <v>-20000</v>
      </c>
      <c r="AW343" s="82">
        <f t="shared" si="328"/>
        <v>-3613</v>
      </c>
      <c r="AX343" s="241">
        <f t="shared" si="329"/>
        <v>0</v>
      </c>
      <c r="AY343" s="81">
        <f t="shared" si="330"/>
        <v>0</v>
      </c>
      <c r="AZ343" s="82">
        <f t="shared" si="331"/>
        <v>0</v>
      </c>
      <c r="BA343" s="241">
        <f t="shared" si="332"/>
        <v>0</v>
      </c>
      <c r="BB343" s="81">
        <f t="shared" si="333"/>
        <v>-20000</v>
      </c>
      <c r="BC343" s="82">
        <f t="shared" si="334"/>
        <v>-3613</v>
      </c>
      <c r="BD343" s="241">
        <f t="shared" si="335"/>
        <v>0</v>
      </c>
      <c r="BE343" s="81">
        <f t="shared" si="336"/>
        <v>0</v>
      </c>
      <c r="BF343" s="82">
        <f t="shared" si="337"/>
        <v>0</v>
      </c>
      <c r="BG343" s="241">
        <f t="shared" si="338"/>
        <v>0</v>
      </c>
      <c r="BH343" s="81">
        <f t="shared" si="339"/>
        <v>0</v>
      </c>
      <c r="BI343" s="82">
        <f t="shared" si="340"/>
        <v>0</v>
      </c>
      <c r="BK343" s="448">
        <f t="shared" ref="BK343:BK367" si="341">SUM(I343,L343,O343,R343,U343,X343,AA343,AD343,AG343,AJ343,AM343,AP343)</f>
        <v>-20000</v>
      </c>
      <c r="BL343" s="448">
        <f t="shared" ref="BL343:BL367" si="342">BK343-AV343</f>
        <v>0</v>
      </c>
      <c r="BM343" s="448">
        <f t="shared" ref="BM343:BM367" si="343">SUM(J343,M343,P343,S343)</f>
        <v>0</v>
      </c>
      <c r="BN343" s="448">
        <f t="shared" ref="BN343:BN367" ca="1" si="344">BM343-AT343</f>
        <v>3613</v>
      </c>
    </row>
    <row r="344" spans="1:66" s="29" customFormat="1" hidden="1" outlineLevel="1" x14ac:dyDescent="0.3">
      <c r="A344" s="22" t="s">
        <v>359</v>
      </c>
      <c r="B344" s="59"/>
      <c r="C344" s="24" t="s">
        <v>62</v>
      </c>
      <c r="D344" s="25"/>
      <c r="E344" s="25"/>
      <c r="F344" s="63"/>
      <c r="G344" s="33"/>
      <c r="H344" s="241">
        <v>0</v>
      </c>
      <c r="I344" s="81"/>
      <c r="J344" s="82">
        <f>SUMIFS(Aut_BlueMe_Sem_Pedido!$J:$J,Aut_BlueMe_Sem_Pedido!$Q:$Q,DRE!H$4,Aut_BlueMe_Sem_Pedido!$H:$H,DRE!$A344)+SUMIFS(Aut_Ajustes_Manuais!$G:$G,Aut_Ajustes_Manuais!$I:$I,DRE!H$4,Aut_Ajustes_Manuais!$F:$F,"Investimento - Despesas pré-operacionais")</f>
        <v>0</v>
      </c>
      <c r="K344" s="254">
        <v>0</v>
      </c>
      <c r="L344" s="81"/>
      <c r="M344" s="82">
        <f>SUMIFS(Aut_BlueMe_Sem_Pedido!$J:$J,Aut_BlueMe_Sem_Pedido!$Q:$Q,DRE!K$4,Aut_BlueMe_Sem_Pedido!$H:$H,DRE!$A344)+SUMIFS(Aut_Ajustes_Manuais!$G:$G,Aut_Ajustes_Manuais!$I:$I,DRE!K$4,Aut_Ajustes_Manuais!$F:$F,"Investimento - Despesas pré-operacionais")</f>
        <v>0</v>
      </c>
      <c r="N344" s="254">
        <v>0</v>
      </c>
      <c r="O344" s="81"/>
      <c r="P344" s="82">
        <f>SUMIFS(Aut_BlueMe_Sem_Pedido!$J:$J,Aut_BlueMe_Sem_Pedido!$Q:$Q,DRE!N$4,Aut_BlueMe_Sem_Pedido!$H:$H,DRE!$A344)+SUMIFS(Aut_Ajustes_Manuais!$G:$G,Aut_Ajustes_Manuais!$I:$I,DRE!N$4,Aut_Ajustes_Manuais!$F:$F,"Investimento - Despesas pré-operacionais")</f>
        <v>0</v>
      </c>
      <c r="Q344" s="241">
        <v>0</v>
      </c>
      <c r="R344" s="81"/>
      <c r="S344" s="82">
        <f>SUMIFS(Aut_BlueMe_Sem_Pedido!$J:$J,Aut_BlueMe_Sem_Pedido!$Q:$Q,DRE!Q$4,Aut_BlueMe_Sem_Pedido!$H:$H,DRE!$A344)+SUMIFS(Aut_Ajustes_Manuais!$G:$G,Aut_Ajustes_Manuais!$I:$I,DRE!Q$4,Aut_Ajustes_Manuais!$F:$F,"Investimento - Despesas pré-operacionais")</f>
        <v>0</v>
      </c>
      <c r="T344" s="241">
        <v>0</v>
      </c>
      <c r="U344" s="81"/>
      <c r="V344" s="82">
        <f>SUMIFS(Aut_BlueMe_Sem_Pedido!$J:$J,Aut_BlueMe_Sem_Pedido!$Q:$Q,DRE!T$4,Aut_BlueMe_Sem_Pedido!$H:$H,DRE!$A344)+SUMIFS(Aut_Ajustes_Manuais!$G:$G,Aut_Ajustes_Manuais!$I:$I,DRE!T$4,Aut_Ajustes_Manuais!$F:$F,"Investimento - Despesas pré-operacionais")</f>
        <v>0</v>
      </c>
      <c r="W344" s="241">
        <v>0</v>
      </c>
      <c r="X344" s="81"/>
      <c r="Y344" s="82">
        <f>SUMIFS(Aut_BlueMe_Sem_Pedido!$J:$J,Aut_BlueMe_Sem_Pedido!$Q:$Q,DRE!W$4,Aut_BlueMe_Sem_Pedido!$H:$H,DRE!$A344)+SUMIFS(Aut_Ajustes_Manuais!$G:$G,Aut_Ajustes_Manuais!$I:$I,DRE!W$4,Aut_Ajustes_Manuais!$F:$F,"Investimento - Despesas pré-operacionais")</f>
        <v>0</v>
      </c>
      <c r="Z344" s="241">
        <v>0</v>
      </c>
      <c r="AA344" s="81"/>
      <c r="AB344" s="82">
        <f>SUMIFS(Aut_BlueMe_Sem_Pedido!$J:$J,Aut_BlueMe_Sem_Pedido!$Q:$Q,DRE!Z$4,Aut_BlueMe_Sem_Pedido!$H:$H,DRE!$A344)+SUMIFS(Aut_Ajustes_Manuais!$G:$G,Aut_Ajustes_Manuais!$I:$I,DRE!Z$4,Aut_Ajustes_Manuais!$F:$F,"Investimento - Despesas pré-operacionais")</f>
        <v>0</v>
      </c>
      <c r="AC344" s="241">
        <v>0</v>
      </c>
      <c r="AD344" s="81"/>
      <c r="AE344" s="82">
        <f>SUMIFS(Aut_BlueMe_Sem_Pedido!$J:$J,Aut_BlueMe_Sem_Pedido!$Q:$Q,DRE!AC$4,Aut_BlueMe_Sem_Pedido!$H:$H,DRE!$A344)+SUMIFS(Aut_Ajustes_Manuais!$G:$G,Aut_Ajustes_Manuais!$I:$I,DRE!AC$4,Aut_Ajustes_Manuais!$F:$F,"Investimento - Despesas pré-operacionais")</f>
        <v>0</v>
      </c>
      <c r="AF344" s="241">
        <v>0</v>
      </c>
      <c r="AG344" s="81"/>
      <c r="AH344" s="82">
        <f>SUMIFS(Aut_BlueMe_Sem_Pedido!$J:$J,Aut_BlueMe_Sem_Pedido!$Q:$Q,DRE!AF$4,Aut_BlueMe_Sem_Pedido!$H:$H,DRE!$A344)+SUMIFS(Aut_Ajustes_Manuais!$G:$G,Aut_Ajustes_Manuais!$I:$I,DRE!AF$4,Aut_Ajustes_Manuais!$F:$F,"Investimento - Despesas pré-operacionais")</f>
        <v>0</v>
      </c>
      <c r="AI344" s="241">
        <v>0</v>
      </c>
      <c r="AJ344" s="81"/>
      <c r="AK344" s="82">
        <f>SUMIFS(Aut_BlueMe_Sem_Pedido!$J:$J,Aut_BlueMe_Sem_Pedido!$Q:$Q,DRE!AI$4,Aut_BlueMe_Sem_Pedido!$H:$H,DRE!$A344)+SUMIFS(Aut_Ajustes_Manuais!$G:$G,Aut_Ajustes_Manuais!$I:$I,DRE!AI$4,Aut_Ajustes_Manuais!$F:$F,"Investimento - Despesas pré-operacionais")</f>
        <v>0</v>
      </c>
      <c r="AL344" s="241">
        <v>0</v>
      </c>
      <c r="AM344" s="81"/>
      <c r="AN344" s="82">
        <f>SUMIFS(Aut_BlueMe_Sem_Pedido!$J:$J,Aut_BlueMe_Sem_Pedido!$Q:$Q,DRE!AL$4,Aut_BlueMe_Sem_Pedido!$H:$H,DRE!$A344)+SUMIFS(Aut_Ajustes_Manuais!$G:$G,Aut_Ajustes_Manuais!$I:$I,DRE!AL$4,Aut_Ajustes_Manuais!$F:$F,"Investimento - Despesas pré-operacionais")</f>
        <v>0</v>
      </c>
      <c r="AO344" s="241">
        <v>0</v>
      </c>
      <c r="AP344" s="81"/>
      <c r="AQ344" s="82">
        <f>SUMIFS(Aut_BlueMe_Sem_Pedido!$J:$J,Aut_BlueMe_Sem_Pedido!$Q:$Q,DRE!AO$4,Aut_BlueMe_Sem_Pedido!$H:$H,DRE!$A344)+SUMIFS(Aut_Ajustes_Manuais!$G:$G,Aut_Ajustes_Manuais!$I:$I,DRE!AO$4,Aut_Ajustes_Manuais!$F:$F,"Investimento - Despesas pré-operacionais")</f>
        <v>0</v>
      </c>
      <c r="AR344" s="241">
        <f t="shared" ca="1" si="323"/>
        <v>0</v>
      </c>
      <c r="AS344" s="81">
        <f t="shared" ca="1" si="324"/>
        <v>0</v>
      </c>
      <c r="AT344" s="82">
        <f t="shared" ca="1" si="325"/>
        <v>0</v>
      </c>
      <c r="AU344" s="241">
        <f t="shared" si="326"/>
        <v>0</v>
      </c>
      <c r="AV344" s="81">
        <f t="shared" si="327"/>
        <v>0</v>
      </c>
      <c r="AW344" s="82">
        <f t="shared" si="328"/>
        <v>0</v>
      </c>
      <c r="AX344" s="241">
        <f t="shared" si="329"/>
        <v>0</v>
      </c>
      <c r="AY344" s="81">
        <f t="shared" si="330"/>
        <v>0</v>
      </c>
      <c r="AZ344" s="82">
        <f t="shared" si="331"/>
        <v>0</v>
      </c>
      <c r="BA344" s="241">
        <f t="shared" si="332"/>
        <v>0</v>
      </c>
      <c r="BB344" s="81">
        <f t="shared" si="333"/>
        <v>0</v>
      </c>
      <c r="BC344" s="82">
        <f t="shared" si="334"/>
        <v>0</v>
      </c>
      <c r="BD344" s="241">
        <f t="shared" si="335"/>
        <v>0</v>
      </c>
      <c r="BE344" s="81">
        <f t="shared" si="336"/>
        <v>0</v>
      </c>
      <c r="BF344" s="82">
        <f t="shared" si="337"/>
        <v>0</v>
      </c>
      <c r="BG344" s="241">
        <f t="shared" si="338"/>
        <v>0</v>
      </c>
      <c r="BH344" s="81">
        <f t="shared" si="339"/>
        <v>0</v>
      </c>
      <c r="BI344" s="82">
        <f t="shared" si="340"/>
        <v>0</v>
      </c>
      <c r="BK344" s="448">
        <f t="shared" si="341"/>
        <v>0</v>
      </c>
      <c r="BL344" s="448">
        <f t="shared" si="342"/>
        <v>0</v>
      </c>
      <c r="BM344" s="448">
        <f t="shared" si="343"/>
        <v>0</v>
      </c>
      <c r="BN344" s="448">
        <f t="shared" ca="1" si="344"/>
        <v>0</v>
      </c>
    </row>
    <row r="345" spans="1:66" s="29" customFormat="1" hidden="1" outlineLevel="1" x14ac:dyDescent="0.3">
      <c r="A345" s="22" t="s">
        <v>360</v>
      </c>
      <c r="B345" s="59"/>
      <c r="C345" s="24" t="s">
        <v>62</v>
      </c>
      <c r="D345" s="25"/>
      <c r="E345" s="25"/>
      <c r="F345" s="63"/>
      <c r="G345" s="33"/>
      <c r="H345" s="241">
        <v>0</v>
      </c>
      <c r="I345" s="81"/>
      <c r="J345" s="82">
        <f>SUMIFS(Aut_BlueMe_Sem_Pedido!$J:$J,Aut_BlueMe_Sem_Pedido!$Q:$Q,DRE!H$4,Aut_BlueMe_Sem_Pedido!$H:$H,DRE!$A345)+SUMIFS(Aut_Ajustes_Manuais!$G:$G,Aut_Ajustes_Manuais!$I:$I,DRE!H$4,Aut_Ajustes_Manuais!$F:$F,"Investimento - Taxa de Licença")</f>
        <v>0</v>
      </c>
      <c r="K345" s="254">
        <v>0</v>
      </c>
      <c r="L345" s="81"/>
      <c r="M345" s="82">
        <f>SUMIFS(Aut_BlueMe_Sem_Pedido!$J:$J,Aut_BlueMe_Sem_Pedido!$Q:$Q,DRE!K$4,Aut_BlueMe_Sem_Pedido!$H:$H,DRE!$A345)+SUMIFS(Aut_Ajustes_Manuais!$G:$G,Aut_Ajustes_Manuais!$I:$I,DRE!K$4,Aut_Ajustes_Manuais!$F:$F,"Investimento - Taxa de Licença")</f>
        <v>0</v>
      </c>
      <c r="N345" s="254">
        <v>0</v>
      </c>
      <c r="O345" s="81"/>
      <c r="P345" s="82">
        <f>SUMIFS(Aut_BlueMe_Sem_Pedido!$J:$J,Aut_BlueMe_Sem_Pedido!$Q:$Q,DRE!N$4,Aut_BlueMe_Sem_Pedido!$H:$H,DRE!$A345)+SUMIFS(Aut_Ajustes_Manuais!$G:$G,Aut_Ajustes_Manuais!$I:$I,DRE!N$4,Aut_Ajustes_Manuais!$F:$F,"Investimento - Taxa de Licença")</f>
        <v>0</v>
      </c>
      <c r="Q345" s="241">
        <v>0</v>
      </c>
      <c r="R345" s="81"/>
      <c r="S345" s="82">
        <f>SUMIFS(Aut_BlueMe_Sem_Pedido!$J:$J,Aut_BlueMe_Sem_Pedido!$Q:$Q,DRE!Q$4,Aut_BlueMe_Sem_Pedido!$H:$H,DRE!$A345)+SUMIFS(Aut_Ajustes_Manuais!$G:$G,Aut_Ajustes_Manuais!$I:$I,DRE!Q$4,Aut_Ajustes_Manuais!$F:$F,"Investimento - Taxa de Licença")</f>
        <v>0</v>
      </c>
      <c r="T345" s="241">
        <v>0</v>
      </c>
      <c r="U345" s="81"/>
      <c r="V345" s="82">
        <f>SUMIFS(Aut_BlueMe_Sem_Pedido!$J:$J,Aut_BlueMe_Sem_Pedido!$Q:$Q,DRE!T$4,Aut_BlueMe_Sem_Pedido!$H:$H,DRE!$A345)+SUMIFS(Aut_Ajustes_Manuais!$G:$G,Aut_Ajustes_Manuais!$I:$I,DRE!T$4,Aut_Ajustes_Manuais!$F:$F,"Investimento - Taxa de Licença")</f>
        <v>0</v>
      </c>
      <c r="W345" s="241">
        <v>0</v>
      </c>
      <c r="X345" s="81"/>
      <c r="Y345" s="82">
        <f>SUMIFS(Aut_BlueMe_Sem_Pedido!$J:$J,Aut_BlueMe_Sem_Pedido!$Q:$Q,DRE!W$4,Aut_BlueMe_Sem_Pedido!$H:$H,DRE!$A345)+SUMIFS(Aut_Ajustes_Manuais!$G:$G,Aut_Ajustes_Manuais!$I:$I,DRE!W$4,Aut_Ajustes_Manuais!$F:$F,"Investimento - Taxa de Licença")</f>
        <v>0</v>
      </c>
      <c r="Z345" s="241">
        <v>0</v>
      </c>
      <c r="AA345" s="81"/>
      <c r="AB345" s="82">
        <f>SUMIFS(Aut_BlueMe_Sem_Pedido!$J:$J,Aut_BlueMe_Sem_Pedido!$Q:$Q,DRE!Z$4,Aut_BlueMe_Sem_Pedido!$H:$H,DRE!$A345)+SUMIFS(Aut_Ajustes_Manuais!$G:$G,Aut_Ajustes_Manuais!$I:$I,DRE!Z$4,Aut_Ajustes_Manuais!$F:$F,"Investimento - Taxa de Licença")</f>
        <v>0</v>
      </c>
      <c r="AC345" s="241">
        <v>0</v>
      </c>
      <c r="AD345" s="81"/>
      <c r="AE345" s="82">
        <f>SUMIFS(Aut_BlueMe_Sem_Pedido!$J:$J,Aut_BlueMe_Sem_Pedido!$Q:$Q,DRE!AC$4,Aut_BlueMe_Sem_Pedido!$H:$H,DRE!$A345)+SUMIFS(Aut_Ajustes_Manuais!$G:$G,Aut_Ajustes_Manuais!$I:$I,DRE!AC$4,Aut_Ajustes_Manuais!$F:$F,"Investimento - Taxa de Licença")</f>
        <v>0</v>
      </c>
      <c r="AF345" s="241">
        <v>0</v>
      </c>
      <c r="AG345" s="81"/>
      <c r="AH345" s="82">
        <f>SUMIFS(Aut_BlueMe_Sem_Pedido!$J:$J,Aut_BlueMe_Sem_Pedido!$Q:$Q,DRE!AF$4,Aut_BlueMe_Sem_Pedido!$H:$H,DRE!$A345)+SUMIFS(Aut_Ajustes_Manuais!$G:$G,Aut_Ajustes_Manuais!$I:$I,DRE!AF$4,Aut_Ajustes_Manuais!$F:$F,"Investimento - Taxa de Licença")</f>
        <v>0</v>
      </c>
      <c r="AI345" s="241">
        <v>0</v>
      </c>
      <c r="AJ345" s="81"/>
      <c r="AK345" s="82">
        <f>SUMIFS(Aut_BlueMe_Sem_Pedido!$J:$J,Aut_BlueMe_Sem_Pedido!$Q:$Q,DRE!AI$4,Aut_BlueMe_Sem_Pedido!$H:$H,DRE!$A345)+SUMIFS(Aut_Ajustes_Manuais!$G:$G,Aut_Ajustes_Manuais!$I:$I,DRE!AI$4,Aut_Ajustes_Manuais!$F:$F,"Investimento - Taxa de Licença")</f>
        <v>0</v>
      </c>
      <c r="AL345" s="241">
        <v>0</v>
      </c>
      <c r="AM345" s="81"/>
      <c r="AN345" s="82">
        <f>SUMIFS(Aut_BlueMe_Sem_Pedido!$J:$J,Aut_BlueMe_Sem_Pedido!$Q:$Q,DRE!AL$4,Aut_BlueMe_Sem_Pedido!$H:$H,DRE!$A345)+SUMIFS(Aut_Ajustes_Manuais!$G:$G,Aut_Ajustes_Manuais!$I:$I,DRE!AL$4,Aut_Ajustes_Manuais!$F:$F,"Investimento - Taxa de Licença")</f>
        <v>0</v>
      </c>
      <c r="AO345" s="241">
        <v>0</v>
      </c>
      <c r="AP345" s="81"/>
      <c r="AQ345" s="82">
        <f>SUMIFS(Aut_BlueMe_Sem_Pedido!$J:$J,Aut_BlueMe_Sem_Pedido!$Q:$Q,DRE!AO$4,Aut_BlueMe_Sem_Pedido!$H:$H,DRE!$A345)+SUMIFS(Aut_Ajustes_Manuais!$G:$G,Aut_Ajustes_Manuais!$I:$I,DRE!AO$4,Aut_Ajustes_Manuais!$F:$F,"Investimento - Taxa de Licença")</f>
        <v>0</v>
      </c>
      <c r="AR345" s="241">
        <f t="shared" ca="1" si="323"/>
        <v>0</v>
      </c>
      <c r="AS345" s="81">
        <f t="shared" ca="1" si="324"/>
        <v>0</v>
      </c>
      <c r="AT345" s="82">
        <f t="shared" ca="1" si="325"/>
        <v>0</v>
      </c>
      <c r="AU345" s="241">
        <f t="shared" si="326"/>
        <v>0</v>
      </c>
      <c r="AV345" s="81">
        <f t="shared" si="327"/>
        <v>0</v>
      </c>
      <c r="AW345" s="82">
        <f t="shared" si="328"/>
        <v>0</v>
      </c>
      <c r="AX345" s="241">
        <f t="shared" si="329"/>
        <v>0</v>
      </c>
      <c r="AY345" s="81">
        <f t="shared" si="330"/>
        <v>0</v>
      </c>
      <c r="AZ345" s="82">
        <f t="shared" si="331"/>
        <v>0</v>
      </c>
      <c r="BA345" s="241">
        <f t="shared" si="332"/>
        <v>0</v>
      </c>
      <c r="BB345" s="81">
        <f t="shared" si="333"/>
        <v>0</v>
      </c>
      <c r="BC345" s="82">
        <f t="shared" si="334"/>
        <v>0</v>
      </c>
      <c r="BD345" s="241">
        <f t="shared" si="335"/>
        <v>0</v>
      </c>
      <c r="BE345" s="81">
        <f t="shared" si="336"/>
        <v>0</v>
      </c>
      <c r="BF345" s="82">
        <f t="shared" si="337"/>
        <v>0</v>
      </c>
      <c r="BG345" s="241">
        <f t="shared" si="338"/>
        <v>0</v>
      </c>
      <c r="BH345" s="81">
        <f t="shared" si="339"/>
        <v>0</v>
      </c>
      <c r="BI345" s="82">
        <f t="shared" si="340"/>
        <v>0</v>
      </c>
      <c r="BK345" s="448">
        <f t="shared" si="341"/>
        <v>0</v>
      </c>
      <c r="BL345" s="448">
        <f t="shared" si="342"/>
        <v>0</v>
      </c>
      <c r="BM345" s="448">
        <f t="shared" si="343"/>
        <v>0</v>
      </c>
      <c r="BN345" s="448">
        <f t="shared" ca="1" si="344"/>
        <v>0</v>
      </c>
    </row>
    <row r="346" spans="1:66" s="29" customFormat="1" hidden="1" outlineLevel="1" x14ac:dyDescent="0.3">
      <c r="A346" s="22" t="s">
        <v>361</v>
      </c>
      <c r="B346" s="59"/>
      <c r="C346" s="24" t="s">
        <v>62</v>
      </c>
      <c r="D346" s="25"/>
      <c r="E346" s="25"/>
      <c r="F346" s="63"/>
      <c r="G346" s="33"/>
      <c r="H346" s="241">
        <v>0</v>
      </c>
      <c r="I346" s="81"/>
      <c r="J346" s="82">
        <f>SUMIFS(Aut_BlueMe_Sem_Pedido!$J:$J,Aut_BlueMe_Sem_Pedido!$Q:$Q,DRE!H$4,Aut_BlueMe_Sem_Pedido!$H:$H,DRE!$A346)+SUMIFS(Aut_Ajustes_Manuais!$G:$G,Aut_Ajustes_Manuais!$I:$I,DRE!H$4,Aut_Ajustes_Manuais!$F:$F,"Investimento - Outros luvas")</f>
        <v>0</v>
      </c>
      <c r="K346" s="254">
        <v>0</v>
      </c>
      <c r="L346" s="81"/>
      <c r="M346" s="82">
        <f>SUMIFS(Aut_BlueMe_Sem_Pedido!$J:$J,Aut_BlueMe_Sem_Pedido!$Q:$Q,DRE!K$4,Aut_BlueMe_Sem_Pedido!$H:$H,DRE!$A346)+SUMIFS(Aut_Ajustes_Manuais!$G:$G,Aut_Ajustes_Manuais!$I:$I,DRE!K$4,Aut_Ajustes_Manuais!$F:$F,"Investimento - Outros luvas")</f>
        <v>0</v>
      </c>
      <c r="N346" s="254">
        <v>0</v>
      </c>
      <c r="O346" s="81"/>
      <c r="P346" s="82">
        <f>SUMIFS(Aut_BlueMe_Sem_Pedido!$J:$J,Aut_BlueMe_Sem_Pedido!$Q:$Q,DRE!N$4,Aut_BlueMe_Sem_Pedido!$H:$H,DRE!$A346)+SUMIFS(Aut_Ajustes_Manuais!$G:$G,Aut_Ajustes_Manuais!$I:$I,DRE!N$4,Aut_Ajustes_Manuais!$F:$F,"Investimento - Outros luvas")</f>
        <v>0</v>
      </c>
      <c r="Q346" s="241">
        <v>0</v>
      </c>
      <c r="R346" s="81"/>
      <c r="S346" s="82">
        <f>SUMIFS(Aut_BlueMe_Sem_Pedido!$J:$J,Aut_BlueMe_Sem_Pedido!$Q:$Q,DRE!Q$4,Aut_BlueMe_Sem_Pedido!$H:$H,DRE!$A346)+SUMIFS(Aut_Ajustes_Manuais!$G:$G,Aut_Ajustes_Manuais!$I:$I,DRE!Q$4,Aut_Ajustes_Manuais!$F:$F,"Investimento - Outros luvas")</f>
        <v>0</v>
      </c>
      <c r="T346" s="241">
        <v>0</v>
      </c>
      <c r="U346" s="81"/>
      <c r="V346" s="82">
        <f>SUMIFS(Aut_BlueMe_Sem_Pedido!$J:$J,Aut_BlueMe_Sem_Pedido!$Q:$Q,DRE!T$4,Aut_BlueMe_Sem_Pedido!$H:$H,DRE!$A346)+SUMIFS(Aut_Ajustes_Manuais!$G:$G,Aut_Ajustes_Manuais!$I:$I,DRE!T$4,Aut_Ajustes_Manuais!$F:$F,"Investimento - Outros luvas")</f>
        <v>0</v>
      </c>
      <c r="W346" s="241">
        <v>0</v>
      </c>
      <c r="X346" s="81"/>
      <c r="Y346" s="82">
        <f>SUMIFS(Aut_BlueMe_Sem_Pedido!$J:$J,Aut_BlueMe_Sem_Pedido!$Q:$Q,DRE!W$4,Aut_BlueMe_Sem_Pedido!$H:$H,DRE!$A346)+SUMIFS(Aut_Ajustes_Manuais!$G:$G,Aut_Ajustes_Manuais!$I:$I,DRE!W$4,Aut_Ajustes_Manuais!$F:$F,"Investimento - Outros luvas")</f>
        <v>0</v>
      </c>
      <c r="Z346" s="241">
        <v>0</v>
      </c>
      <c r="AA346" s="81"/>
      <c r="AB346" s="82">
        <f>SUMIFS(Aut_BlueMe_Sem_Pedido!$J:$J,Aut_BlueMe_Sem_Pedido!$Q:$Q,DRE!Z$4,Aut_BlueMe_Sem_Pedido!$H:$H,DRE!$A346)+SUMIFS(Aut_Ajustes_Manuais!$G:$G,Aut_Ajustes_Manuais!$I:$I,DRE!Z$4,Aut_Ajustes_Manuais!$F:$F,"Investimento - Outros luvas")</f>
        <v>0</v>
      </c>
      <c r="AC346" s="241">
        <v>0</v>
      </c>
      <c r="AD346" s="81"/>
      <c r="AE346" s="82">
        <f>SUMIFS(Aut_BlueMe_Sem_Pedido!$J:$J,Aut_BlueMe_Sem_Pedido!$Q:$Q,DRE!AC$4,Aut_BlueMe_Sem_Pedido!$H:$H,DRE!$A346)+SUMIFS(Aut_Ajustes_Manuais!$G:$G,Aut_Ajustes_Manuais!$I:$I,DRE!AC$4,Aut_Ajustes_Manuais!$F:$F,"Investimento - Outros luvas")</f>
        <v>0</v>
      </c>
      <c r="AF346" s="241">
        <v>0</v>
      </c>
      <c r="AG346" s="81"/>
      <c r="AH346" s="82">
        <f>SUMIFS(Aut_BlueMe_Sem_Pedido!$J:$J,Aut_BlueMe_Sem_Pedido!$Q:$Q,DRE!AF$4,Aut_BlueMe_Sem_Pedido!$H:$H,DRE!$A346)+SUMIFS(Aut_Ajustes_Manuais!$G:$G,Aut_Ajustes_Manuais!$I:$I,DRE!AF$4,Aut_Ajustes_Manuais!$F:$F,"Investimento - Outros luvas")</f>
        <v>0</v>
      </c>
      <c r="AI346" s="241">
        <v>0</v>
      </c>
      <c r="AJ346" s="81"/>
      <c r="AK346" s="82">
        <f>SUMIFS(Aut_BlueMe_Sem_Pedido!$J:$J,Aut_BlueMe_Sem_Pedido!$Q:$Q,DRE!AI$4,Aut_BlueMe_Sem_Pedido!$H:$H,DRE!$A346)+SUMIFS(Aut_Ajustes_Manuais!$G:$G,Aut_Ajustes_Manuais!$I:$I,DRE!AI$4,Aut_Ajustes_Manuais!$F:$F,"Investimento - Outros luvas")</f>
        <v>0</v>
      </c>
      <c r="AL346" s="241">
        <v>-105000</v>
      </c>
      <c r="AM346" s="81"/>
      <c r="AN346" s="82">
        <f>SUMIFS(Aut_BlueMe_Sem_Pedido!$J:$J,Aut_BlueMe_Sem_Pedido!$Q:$Q,DRE!AL$4,Aut_BlueMe_Sem_Pedido!$H:$H,DRE!$A346)+SUMIFS(Aut_Ajustes_Manuais!$G:$G,Aut_Ajustes_Manuais!$I:$I,DRE!AL$4,Aut_Ajustes_Manuais!$F:$F,"Investimento - Outros luvas")</f>
        <v>0</v>
      </c>
      <c r="AO346" s="241">
        <v>0</v>
      </c>
      <c r="AP346" s="81"/>
      <c r="AQ346" s="82">
        <f>SUMIFS(Aut_BlueMe_Sem_Pedido!$J:$J,Aut_BlueMe_Sem_Pedido!$Q:$Q,DRE!AO$4,Aut_BlueMe_Sem_Pedido!$H:$H,DRE!$A346)+SUMIFS(Aut_Ajustes_Manuais!$G:$G,Aut_Ajustes_Manuais!$I:$I,DRE!AO$4,Aut_Ajustes_Manuais!$F:$F,"Investimento - Outros luvas")</f>
        <v>0</v>
      </c>
      <c r="AR346" s="241">
        <f t="shared" ca="1" si="323"/>
        <v>0</v>
      </c>
      <c r="AS346" s="81">
        <f t="shared" ca="1" si="324"/>
        <v>0</v>
      </c>
      <c r="AT346" s="82">
        <f t="shared" ca="1" si="325"/>
        <v>0</v>
      </c>
      <c r="AU346" s="241">
        <f t="shared" si="326"/>
        <v>-105000</v>
      </c>
      <c r="AV346" s="81">
        <f t="shared" si="327"/>
        <v>0</v>
      </c>
      <c r="AW346" s="82">
        <f t="shared" si="328"/>
        <v>0</v>
      </c>
      <c r="AX346" s="241">
        <f t="shared" si="329"/>
        <v>0</v>
      </c>
      <c r="AY346" s="81">
        <f t="shared" si="330"/>
        <v>0</v>
      </c>
      <c r="AZ346" s="82">
        <f t="shared" si="331"/>
        <v>0</v>
      </c>
      <c r="BA346" s="241">
        <f t="shared" si="332"/>
        <v>0</v>
      </c>
      <c r="BB346" s="81">
        <f t="shared" si="333"/>
        <v>0</v>
      </c>
      <c r="BC346" s="82">
        <f t="shared" si="334"/>
        <v>0</v>
      </c>
      <c r="BD346" s="241">
        <f t="shared" si="335"/>
        <v>0</v>
      </c>
      <c r="BE346" s="81">
        <f t="shared" si="336"/>
        <v>0</v>
      </c>
      <c r="BF346" s="82">
        <f t="shared" si="337"/>
        <v>0</v>
      </c>
      <c r="BG346" s="241">
        <f t="shared" si="338"/>
        <v>-105000</v>
      </c>
      <c r="BH346" s="81">
        <f t="shared" si="339"/>
        <v>0</v>
      </c>
      <c r="BI346" s="82">
        <f t="shared" si="340"/>
        <v>0</v>
      </c>
      <c r="BK346" s="448">
        <f t="shared" si="341"/>
        <v>0</v>
      </c>
      <c r="BL346" s="448">
        <f t="shared" si="342"/>
        <v>0</v>
      </c>
      <c r="BM346" s="448">
        <f t="shared" si="343"/>
        <v>0</v>
      </c>
      <c r="BN346" s="448">
        <f t="shared" ca="1" si="344"/>
        <v>0</v>
      </c>
    </row>
    <row r="347" spans="1:66" s="29" customFormat="1" hidden="1" outlineLevel="1" x14ac:dyDescent="0.3">
      <c r="A347" s="22" t="s">
        <v>362</v>
      </c>
      <c r="B347" s="59"/>
      <c r="C347" s="24" t="s">
        <v>62</v>
      </c>
      <c r="D347" s="25"/>
      <c r="E347" s="25"/>
      <c r="F347" s="63"/>
      <c r="G347" s="33"/>
      <c r="H347" s="241">
        <v>0</v>
      </c>
      <c r="I347" s="81"/>
      <c r="J347" s="82">
        <f>SUMIFS(Aut_BlueMe_Sem_Pedido!$J:$J,Aut_BlueMe_Sem_Pedido!$Q:$Q,DRE!H$4,Aut_BlueMe_Sem_Pedido!$H:$H,DRE!$A347)+SUMIFS(Aut_Ajustes_Manuais!$G:$G,Aut_Ajustes_Manuais!$I:$I,DRE!H$4,Aut_Ajustes_Manuais!$F:$F,"Investimento - Ativos AMBEV")</f>
        <v>0</v>
      </c>
      <c r="K347" s="254">
        <v>0</v>
      </c>
      <c r="L347" s="81"/>
      <c r="M347" s="82">
        <f>SUMIFS(Aut_BlueMe_Sem_Pedido!$J:$J,Aut_BlueMe_Sem_Pedido!$Q:$Q,DRE!K$4,Aut_BlueMe_Sem_Pedido!$H:$H,DRE!$A347)+SUMIFS(Aut_Ajustes_Manuais!$G:$G,Aut_Ajustes_Manuais!$I:$I,DRE!K$4,Aut_Ajustes_Manuais!$F:$F,"Investimento - Ativos AMBEV")</f>
        <v>0</v>
      </c>
      <c r="N347" s="254">
        <v>0</v>
      </c>
      <c r="O347" s="81"/>
      <c r="P347" s="82">
        <f>SUMIFS(Aut_BlueMe_Sem_Pedido!$J:$J,Aut_BlueMe_Sem_Pedido!$Q:$Q,DRE!N$4,Aut_BlueMe_Sem_Pedido!$H:$H,DRE!$A347)+SUMIFS(Aut_Ajustes_Manuais!$G:$G,Aut_Ajustes_Manuais!$I:$I,DRE!N$4,Aut_Ajustes_Manuais!$F:$F,"Investimento - Ativos AMBEV")</f>
        <v>0</v>
      </c>
      <c r="Q347" s="241">
        <v>0</v>
      </c>
      <c r="R347" s="81"/>
      <c r="S347" s="82">
        <f>SUMIFS(Aut_BlueMe_Sem_Pedido!$J:$J,Aut_BlueMe_Sem_Pedido!$Q:$Q,DRE!Q$4,Aut_BlueMe_Sem_Pedido!$H:$H,DRE!$A347)+SUMIFS(Aut_Ajustes_Manuais!$G:$G,Aut_Ajustes_Manuais!$I:$I,DRE!Q$4,Aut_Ajustes_Manuais!$F:$F,"Investimento - Ativos AMBEV")</f>
        <v>0</v>
      </c>
      <c r="T347" s="241">
        <v>0</v>
      </c>
      <c r="U347" s="81"/>
      <c r="V347" s="82">
        <f>SUMIFS(Aut_BlueMe_Sem_Pedido!$J:$J,Aut_BlueMe_Sem_Pedido!$Q:$Q,DRE!T$4,Aut_BlueMe_Sem_Pedido!$H:$H,DRE!$A347)+SUMIFS(Aut_Ajustes_Manuais!$G:$G,Aut_Ajustes_Manuais!$I:$I,DRE!T$4,Aut_Ajustes_Manuais!$F:$F,"Investimento - Ativos AMBEV")</f>
        <v>0</v>
      </c>
      <c r="W347" s="241">
        <v>0</v>
      </c>
      <c r="X347" s="81"/>
      <c r="Y347" s="82">
        <f>SUMIFS(Aut_BlueMe_Sem_Pedido!$J:$J,Aut_BlueMe_Sem_Pedido!$Q:$Q,DRE!W$4,Aut_BlueMe_Sem_Pedido!$H:$H,DRE!$A347)+SUMIFS(Aut_Ajustes_Manuais!$G:$G,Aut_Ajustes_Manuais!$I:$I,DRE!W$4,Aut_Ajustes_Manuais!$F:$F,"Investimento - Ativos AMBEV")</f>
        <v>0</v>
      </c>
      <c r="Z347" s="241">
        <v>0</v>
      </c>
      <c r="AA347" s="81"/>
      <c r="AB347" s="82">
        <f>SUMIFS(Aut_BlueMe_Sem_Pedido!$J:$J,Aut_BlueMe_Sem_Pedido!$Q:$Q,DRE!Z$4,Aut_BlueMe_Sem_Pedido!$H:$H,DRE!$A347)+SUMIFS(Aut_Ajustes_Manuais!$G:$G,Aut_Ajustes_Manuais!$I:$I,DRE!Z$4,Aut_Ajustes_Manuais!$F:$F,"Investimento - Ativos AMBEV")</f>
        <v>0</v>
      </c>
      <c r="AC347" s="241">
        <v>0</v>
      </c>
      <c r="AD347" s="81"/>
      <c r="AE347" s="82">
        <f>SUMIFS(Aut_BlueMe_Sem_Pedido!$J:$J,Aut_BlueMe_Sem_Pedido!$Q:$Q,DRE!AC$4,Aut_BlueMe_Sem_Pedido!$H:$H,DRE!$A347)+SUMIFS(Aut_Ajustes_Manuais!$G:$G,Aut_Ajustes_Manuais!$I:$I,DRE!AC$4,Aut_Ajustes_Manuais!$F:$F,"Investimento - Ativos AMBEV")</f>
        <v>0</v>
      </c>
      <c r="AF347" s="241">
        <v>0</v>
      </c>
      <c r="AG347" s="81"/>
      <c r="AH347" s="82">
        <f>SUMIFS(Aut_BlueMe_Sem_Pedido!$J:$J,Aut_BlueMe_Sem_Pedido!$Q:$Q,DRE!AF$4,Aut_BlueMe_Sem_Pedido!$H:$H,DRE!$A347)+SUMIFS(Aut_Ajustes_Manuais!$G:$G,Aut_Ajustes_Manuais!$I:$I,DRE!AF$4,Aut_Ajustes_Manuais!$F:$F,"Investimento - Ativos AMBEV")</f>
        <v>0</v>
      </c>
      <c r="AI347" s="241">
        <v>0</v>
      </c>
      <c r="AJ347" s="81"/>
      <c r="AK347" s="82">
        <f>SUMIFS(Aut_BlueMe_Sem_Pedido!$J:$J,Aut_BlueMe_Sem_Pedido!$Q:$Q,DRE!AI$4,Aut_BlueMe_Sem_Pedido!$H:$H,DRE!$A347)+SUMIFS(Aut_Ajustes_Manuais!$G:$G,Aut_Ajustes_Manuais!$I:$I,DRE!AI$4,Aut_Ajustes_Manuais!$F:$F,"Investimento - Ativos AMBEV")</f>
        <v>0</v>
      </c>
      <c r="AL347" s="241">
        <v>0</v>
      </c>
      <c r="AM347" s="81"/>
      <c r="AN347" s="82">
        <f>SUMIFS(Aut_BlueMe_Sem_Pedido!$J:$J,Aut_BlueMe_Sem_Pedido!$Q:$Q,DRE!AL$4,Aut_BlueMe_Sem_Pedido!$H:$H,DRE!$A347)+SUMIFS(Aut_Ajustes_Manuais!$G:$G,Aut_Ajustes_Manuais!$I:$I,DRE!AL$4,Aut_Ajustes_Manuais!$F:$F,"Investimento - Ativos AMBEV")</f>
        <v>0</v>
      </c>
      <c r="AO347" s="241">
        <v>0</v>
      </c>
      <c r="AP347" s="81"/>
      <c r="AQ347" s="82">
        <f>SUMIFS(Aut_BlueMe_Sem_Pedido!$J:$J,Aut_BlueMe_Sem_Pedido!$Q:$Q,DRE!AO$4,Aut_BlueMe_Sem_Pedido!$H:$H,DRE!$A347)+SUMIFS(Aut_Ajustes_Manuais!$G:$G,Aut_Ajustes_Manuais!$I:$I,DRE!AO$4,Aut_Ajustes_Manuais!$F:$F,"Investimento - Ativos AMBEV")</f>
        <v>0</v>
      </c>
      <c r="AR347" s="241">
        <f t="shared" ca="1" si="323"/>
        <v>0</v>
      </c>
      <c r="AS347" s="81">
        <f t="shared" ca="1" si="324"/>
        <v>0</v>
      </c>
      <c r="AT347" s="82">
        <f t="shared" ca="1" si="325"/>
        <v>0</v>
      </c>
      <c r="AU347" s="241">
        <f t="shared" si="326"/>
        <v>0</v>
      </c>
      <c r="AV347" s="81">
        <f t="shared" si="327"/>
        <v>0</v>
      </c>
      <c r="AW347" s="82">
        <f t="shared" si="328"/>
        <v>0</v>
      </c>
      <c r="AX347" s="241">
        <f t="shared" si="329"/>
        <v>0</v>
      </c>
      <c r="AY347" s="81">
        <f t="shared" si="330"/>
        <v>0</v>
      </c>
      <c r="AZ347" s="82">
        <f t="shared" si="331"/>
        <v>0</v>
      </c>
      <c r="BA347" s="241">
        <f t="shared" si="332"/>
        <v>0</v>
      </c>
      <c r="BB347" s="81">
        <f t="shared" si="333"/>
        <v>0</v>
      </c>
      <c r="BC347" s="82">
        <f t="shared" si="334"/>
        <v>0</v>
      </c>
      <c r="BD347" s="241">
        <f t="shared" si="335"/>
        <v>0</v>
      </c>
      <c r="BE347" s="81">
        <f t="shared" si="336"/>
        <v>0</v>
      </c>
      <c r="BF347" s="82">
        <f t="shared" si="337"/>
        <v>0</v>
      </c>
      <c r="BG347" s="241">
        <f t="shared" si="338"/>
        <v>0</v>
      </c>
      <c r="BH347" s="81">
        <f t="shared" si="339"/>
        <v>0</v>
      </c>
      <c r="BI347" s="82">
        <f t="shared" si="340"/>
        <v>0</v>
      </c>
      <c r="BK347" s="448">
        <f t="shared" si="341"/>
        <v>0</v>
      </c>
      <c r="BL347" s="448">
        <f t="shared" si="342"/>
        <v>0</v>
      </c>
      <c r="BM347" s="448">
        <f t="shared" si="343"/>
        <v>0</v>
      </c>
      <c r="BN347" s="448">
        <f t="shared" ca="1" si="344"/>
        <v>0</v>
      </c>
    </row>
    <row r="348" spans="1:66" s="29" customFormat="1" hidden="1" outlineLevel="1" x14ac:dyDescent="0.3">
      <c r="A348" s="22" t="s">
        <v>363</v>
      </c>
      <c r="B348" s="59"/>
      <c r="C348" s="24" t="s">
        <v>62</v>
      </c>
      <c r="D348" s="25"/>
      <c r="E348" s="25"/>
      <c r="F348" s="63"/>
      <c r="G348" s="33"/>
      <c r="H348" s="241">
        <v>0</v>
      </c>
      <c r="I348" s="81"/>
      <c r="J348" s="82">
        <f>SUMIFS(Aut_BlueMe_Sem_Pedido!$J:$J,Aut_BlueMe_Sem_Pedido!$Q:$Q,DRE!H$4,Aut_BlueMe_Sem_Pedido!$H:$H,DRE!$A348)+SUMIFS(Aut_Ajustes_Manuais!$G:$G,Aut_Ajustes_Manuais!$I:$I,DRE!H$4,Aut_Ajustes_Manuais!$F:$F,"Investimento - Estrutura Chopp - Balcão")</f>
        <v>0</v>
      </c>
      <c r="K348" s="254">
        <v>0</v>
      </c>
      <c r="L348" s="81"/>
      <c r="M348" s="82">
        <f>SUMIFS(Aut_BlueMe_Sem_Pedido!$J:$J,Aut_BlueMe_Sem_Pedido!$Q:$Q,DRE!K$4,Aut_BlueMe_Sem_Pedido!$H:$H,DRE!$A348)+SUMIFS(Aut_Ajustes_Manuais!$G:$G,Aut_Ajustes_Manuais!$I:$I,DRE!K$4,Aut_Ajustes_Manuais!$F:$F,"Investimento - Estrutura Chopp - Balcão")</f>
        <v>0</v>
      </c>
      <c r="N348" s="254">
        <v>0</v>
      </c>
      <c r="O348" s="81"/>
      <c r="P348" s="82">
        <f>SUMIFS(Aut_BlueMe_Sem_Pedido!$J:$J,Aut_BlueMe_Sem_Pedido!$Q:$Q,DRE!N$4,Aut_BlueMe_Sem_Pedido!$H:$H,DRE!$A348)+SUMIFS(Aut_Ajustes_Manuais!$G:$G,Aut_Ajustes_Manuais!$I:$I,DRE!N$4,Aut_Ajustes_Manuais!$F:$F,"Investimento - Estrutura Chopp - Balcão")</f>
        <v>0</v>
      </c>
      <c r="Q348" s="241">
        <v>0</v>
      </c>
      <c r="R348" s="81"/>
      <c r="S348" s="82">
        <f>SUMIFS(Aut_BlueMe_Sem_Pedido!$J:$J,Aut_BlueMe_Sem_Pedido!$Q:$Q,DRE!Q$4,Aut_BlueMe_Sem_Pedido!$H:$H,DRE!$A348)+SUMIFS(Aut_Ajustes_Manuais!$G:$G,Aut_Ajustes_Manuais!$I:$I,DRE!Q$4,Aut_Ajustes_Manuais!$F:$F,"Investimento - Estrutura Chopp - Balcão")</f>
        <v>0</v>
      </c>
      <c r="T348" s="241">
        <v>0</v>
      </c>
      <c r="U348" s="81"/>
      <c r="V348" s="82">
        <f>SUMIFS(Aut_BlueMe_Sem_Pedido!$J:$J,Aut_BlueMe_Sem_Pedido!$Q:$Q,DRE!T$4,Aut_BlueMe_Sem_Pedido!$H:$H,DRE!$A348)+SUMIFS(Aut_Ajustes_Manuais!$G:$G,Aut_Ajustes_Manuais!$I:$I,DRE!T$4,Aut_Ajustes_Manuais!$F:$F,"Investimento - Estrutura Chopp - Balcão")</f>
        <v>0</v>
      </c>
      <c r="W348" s="241">
        <v>0</v>
      </c>
      <c r="X348" s="81"/>
      <c r="Y348" s="82">
        <f>SUMIFS(Aut_BlueMe_Sem_Pedido!$J:$J,Aut_BlueMe_Sem_Pedido!$Q:$Q,DRE!W$4,Aut_BlueMe_Sem_Pedido!$H:$H,DRE!$A348)+SUMIFS(Aut_Ajustes_Manuais!$G:$G,Aut_Ajustes_Manuais!$I:$I,DRE!W$4,Aut_Ajustes_Manuais!$F:$F,"Investimento - Estrutura Chopp - Balcão")</f>
        <v>0</v>
      </c>
      <c r="Z348" s="241">
        <v>0</v>
      </c>
      <c r="AA348" s="81"/>
      <c r="AB348" s="82">
        <f>SUMIFS(Aut_BlueMe_Sem_Pedido!$J:$J,Aut_BlueMe_Sem_Pedido!$Q:$Q,DRE!Z$4,Aut_BlueMe_Sem_Pedido!$H:$H,DRE!$A348)+SUMIFS(Aut_Ajustes_Manuais!$G:$G,Aut_Ajustes_Manuais!$I:$I,DRE!Z$4,Aut_Ajustes_Manuais!$F:$F,"Investimento - Estrutura Chopp - Balcão")</f>
        <v>0</v>
      </c>
      <c r="AC348" s="241">
        <v>0</v>
      </c>
      <c r="AD348" s="81"/>
      <c r="AE348" s="82">
        <f>SUMIFS(Aut_BlueMe_Sem_Pedido!$J:$J,Aut_BlueMe_Sem_Pedido!$Q:$Q,DRE!AC$4,Aut_BlueMe_Sem_Pedido!$H:$H,DRE!$A348)+SUMIFS(Aut_Ajustes_Manuais!$G:$G,Aut_Ajustes_Manuais!$I:$I,DRE!AC$4,Aut_Ajustes_Manuais!$F:$F,"Investimento - Estrutura Chopp - Balcão")</f>
        <v>0</v>
      </c>
      <c r="AF348" s="241">
        <v>0</v>
      </c>
      <c r="AG348" s="81"/>
      <c r="AH348" s="82">
        <f>SUMIFS(Aut_BlueMe_Sem_Pedido!$J:$J,Aut_BlueMe_Sem_Pedido!$Q:$Q,DRE!AF$4,Aut_BlueMe_Sem_Pedido!$H:$H,DRE!$A348)+SUMIFS(Aut_Ajustes_Manuais!$G:$G,Aut_Ajustes_Manuais!$I:$I,DRE!AF$4,Aut_Ajustes_Manuais!$F:$F,"Investimento - Estrutura Chopp - Balcão")</f>
        <v>0</v>
      </c>
      <c r="AI348" s="241">
        <v>0</v>
      </c>
      <c r="AJ348" s="81"/>
      <c r="AK348" s="82">
        <f>SUMIFS(Aut_BlueMe_Sem_Pedido!$J:$J,Aut_BlueMe_Sem_Pedido!$Q:$Q,DRE!AI$4,Aut_BlueMe_Sem_Pedido!$H:$H,DRE!$A348)+SUMIFS(Aut_Ajustes_Manuais!$G:$G,Aut_Ajustes_Manuais!$I:$I,DRE!AI$4,Aut_Ajustes_Manuais!$F:$F,"Investimento - Estrutura Chopp - Balcão")</f>
        <v>0</v>
      </c>
      <c r="AL348" s="241">
        <v>0</v>
      </c>
      <c r="AM348" s="81"/>
      <c r="AN348" s="82">
        <f>SUMIFS(Aut_BlueMe_Sem_Pedido!$J:$J,Aut_BlueMe_Sem_Pedido!$Q:$Q,DRE!AL$4,Aut_BlueMe_Sem_Pedido!$H:$H,DRE!$A348)+SUMIFS(Aut_Ajustes_Manuais!$G:$G,Aut_Ajustes_Manuais!$I:$I,DRE!AL$4,Aut_Ajustes_Manuais!$F:$F,"Investimento - Estrutura Chopp - Balcão")</f>
        <v>0</v>
      </c>
      <c r="AO348" s="241">
        <v>0</v>
      </c>
      <c r="AP348" s="81"/>
      <c r="AQ348" s="82">
        <f>SUMIFS(Aut_BlueMe_Sem_Pedido!$J:$J,Aut_BlueMe_Sem_Pedido!$Q:$Q,DRE!AO$4,Aut_BlueMe_Sem_Pedido!$H:$H,DRE!$A348)+SUMIFS(Aut_Ajustes_Manuais!$G:$G,Aut_Ajustes_Manuais!$I:$I,DRE!AO$4,Aut_Ajustes_Manuais!$F:$F,"Investimento - Estrutura Chopp - Balcão")</f>
        <v>0</v>
      </c>
      <c r="AR348" s="241">
        <f t="shared" ca="1" si="323"/>
        <v>0</v>
      </c>
      <c r="AS348" s="81">
        <f t="shared" ca="1" si="324"/>
        <v>0</v>
      </c>
      <c r="AT348" s="82">
        <f t="shared" ca="1" si="325"/>
        <v>0</v>
      </c>
      <c r="AU348" s="241">
        <f t="shared" si="326"/>
        <v>0</v>
      </c>
      <c r="AV348" s="81">
        <f t="shared" si="327"/>
        <v>0</v>
      </c>
      <c r="AW348" s="82">
        <f t="shared" si="328"/>
        <v>0</v>
      </c>
      <c r="AX348" s="241">
        <f t="shared" si="329"/>
        <v>0</v>
      </c>
      <c r="AY348" s="81">
        <f t="shared" si="330"/>
        <v>0</v>
      </c>
      <c r="AZ348" s="82">
        <f t="shared" si="331"/>
        <v>0</v>
      </c>
      <c r="BA348" s="241">
        <f t="shared" si="332"/>
        <v>0</v>
      </c>
      <c r="BB348" s="81">
        <f t="shared" si="333"/>
        <v>0</v>
      </c>
      <c r="BC348" s="82">
        <f t="shared" si="334"/>
        <v>0</v>
      </c>
      <c r="BD348" s="241">
        <f t="shared" si="335"/>
        <v>0</v>
      </c>
      <c r="BE348" s="81">
        <f t="shared" si="336"/>
        <v>0</v>
      </c>
      <c r="BF348" s="82">
        <f t="shared" si="337"/>
        <v>0</v>
      </c>
      <c r="BG348" s="241">
        <f t="shared" si="338"/>
        <v>0</v>
      </c>
      <c r="BH348" s="81">
        <f t="shared" si="339"/>
        <v>0</v>
      </c>
      <c r="BI348" s="82">
        <f t="shared" si="340"/>
        <v>0</v>
      </c>
      <c r="BK348" s="448">
        <f t="shared" si="341"/>
        <v>0</v>
      </c>
      <c r="BL348" s="448">
        <f t="shared" si="342"/>
        <v>0</v>
      </c>
      <c r="BM348" s="448">
        <f t="shared" si="343"/>
        <v>0</v>
      </c>
      <c r="BN348" s="448">
        <f t="shared" ca="1" si="344"/>
        <v>0</v>
      </c>
    </row>
    <row r="349" spans="1:66" s="29" customFormat="1" hidden="1" outlineLevel="1" x14ac:dyDescent="0.3">
      <c r="A349" s="22" t="s">
        <v>364</v>
      </c>
      <c r="B349" s="59"/>
      <c r="C349" s="24" t="s">
        <v>62</v>
      </c>
      <c r="D349" s="25"/>
      <c r="E349" s="25"/>
      <c r="F349" s="63"/>
      <c r="G349" s="33"/>
      <c r="H349" s="241">
        <v>0</v>
      </c>
      <c r="I349" s="81"/>
      <c r="J349" s="82">
        <f>SUMIFS(Aut_BlueMe_Sem_Pedido!$J:$J,Aut_BlueMe_Sem_Pedido!$Q:$Q,DRE!H$4,Aut_BlueMe_Sem_Pedido!$H:$H,DRE!$A349)+SUMIFS(Aut_Ajustes_Manuais!$G:$G,Aut_Ajustes_Manuais!$I:$I,DRE!H$4,Aut_Ajustes_Manuais!$F:$F,"Investimento - Estrutura Chopp - Camara Refrigerada")</f>
        <v>0</v>
      </c>
      <c r="K349" s="254">
        <v>0</v>
      </c>
      <c r="L349" s="81"/>
      <c r="M349" s="82">
        <f>SUMIFS(Aut_BlueMe_Sem_Pedido!$J:$J,Aut_BlueMe_Sem_Pedido!$Q:$Q,DRE!K$4,Aut_BlueMe_Sem_Pedido!$H:$H,DRE!$A349)+SUMIFS(Aut_Ajustes_Manuais!$G:$G,Aut_Ajustes_Manuais!$I:$I,DRE!K$4,Aut_Ajustes_Manuais!$F:$F,"Investimento - Estrutura Chopp - Camara Refrigerada")</f>
        <v>0</v>
      </c>
      <c r="N349" s="254">
        <v>0</v>
      </c>
      <c r="O349" s="81"/>
      <c r="P349" s="82">
        <f>SUMIFS(Aut_BlueMe_Sem_Pedido!$J:$J,Aut_BlueMe_Sem_Pedido!$Q:$Q,DRE!N$4,Aut_BlueMe_Sem_Pedido!$H:$H,DRE!$A349)+SUMIFS(Aut_Ajustes_Manuais!$G:$G,Aut_Ajustes_Manuais!$I:$I,DRE!N$4,Aut_Ajustes_Manuais!$F:$F,"Investimento - Estrutura Chopp - Camara Refrigerada")</f>
        <v>0</v>
      </c>
      <c r="Q349" s="241">
        <v>0</v>
      </c>
      <c r="R349" s="81"/>
      <c r="S349" s="82">
        <f>SUMIFS(Aut_BlueMe_Sem_Pedido!$J:$J,Aut_BlueMe_Sem_Pedido!$Q:$Q,DRE!Q$4,Aut_BlueMe_Sem_Pedido!$H:$H,DRE!$A349)+SUMIFS(Aut_Ajustes_Manuais!$G:$G,Aut_Ajustes_Manuais!$I:$I,DRE!Q$4,Aut_Ajustes_Manuais!$F:$F,"Investimento - Estrutura Chopp - Camara Refrigerada")</f>
        <v>0</v>
      </c>
      <c r="T349" s="241">
        <v>0</v>
      </c>
      <c r="U349" s="81"/>
      <c r="V349" s="82">
        <f>SUMIFS(Aut_BlueMe_Sem_Pedido!$J:$J,Aut_BlueMe_Sem_Pedido!$Q:$Q,DRE!T$4,Aut_BlueMe_Sem_Pedido!$H:$H,DRE!$A349)+SUMIFS(Aut_Ajustes_Manuais!$G:$G,Aut_Ajustes_Manuais!$I:$I,DRE!T$4,Aut_Ajustes_Manuais!$F:$F,"Investimento - Estrutura Chopp - Camara Refrigerada")</f>
        <v>0</v>
      </c>
      <c r="W349" s="241">
        <v>0</v>
      </c>
      <c r="X349" s="81"/>
      <c r="Y349" s="82">
        <f>SUMIFS(Aut_BlueMe_Sem_Pedido!$J:$J,Aut_BlueMe_Sem_Pedido!$Q:$Q,DRE!W$4,Aut_BlueMe_Sem_Pedido!$H:$H,DRE!$A349)+SUMIFS(Aut_Ajustes_Manuais!$G:$G,Aut_Ajustes_Manuais!$I:$I,DRE!W$4,Aut_Ajustes_Manuais!$F:$F,"Investimento - Estrutura Chopp - Camara Refrigerada")</f>
        <v>0</v>
      </c>
      <c r="Z349" s="241">
        <v>0</v>
      </c>
      <c r="AA349" s="81"/>
      <c r="AB349" s="82">
        <f>SUMIFS(Aut_BlueMe_Sem_Pedido!$J:$J,Aut_BlueMe_Sem_Pedido!$Q:$Q,DRE!Z$4,Aut_BlueMe_Sem_Pedido!$H:$H,DRE!$A349)+SUMIFS(Aut_Ajustes_Manuais!$G:$G,Aut_Ajustes_Manuais!$I:$I,DRE!Z$4,Aut_Ajustes_Manuais!$F:$F,"Investimento - Estrutura Chopp - Camara Refrigerada")</f>
        <v>0</v>
      </c>
      <c r="AC349" s="241">
        <v>0</v>
      </c>
      <c r="AD349" s="81"/>
      <c r="AE349" s="82">
        <f>SUMIFS(Aut_BlueMe_Sem_Pedido!$J:$J,Aut_BlueMe_Sem_Pedido!$Q:$Q,DRE!AC$4,Aut_BlueMe_Sem_Pedido!$H:$H,DRE!$A349)+SUMIFS(Aut_Ajustes_Manuais!$G:$G,Aut_Ajustes_Manuais!$I:$I,DRE!AC$4,Aut_Ajustes_Manuais!$F:$F,"Investimento - Estrutura Chopp - Camara Refrigerada")</f>
        <v>0</v>
      </c>
      <c r="AF349" s="241">
        <v>0</v>
      </c>
      <c r="AG349" s="81"/>
      <c r="AH349" s="82">
        <f>SUMIFS(Aut_BlueMe_Sem_Pedido!$J:$J,Aut_BlueMe_Sem_Pedido!$Q:$Q,DRE!AF$4,Aut_BlueMe_Sem_Pedido!$H:$H,DRE!$A349)+SUMIFS(Aut_Ajustes_Manuais!$G:$G,Aut_Ajustes_Manuais!$I:$I,DRE!AF$4,Aut_Ajustes_Manuais!$F:$F,"Investimento - Estrutura Chopp - Camara Refrigerada")</f>
        <v>0</v>
      </c>
      <c r="AI349" s="241">
        <v>0</v>
      </c>
      <c r="AJ349" s="81"/>
      <c r="AK349" s="82">
        <f>SUMIFS(Aut_BlueMe_Sem_Pedido!$J:$J,Aut_BlueMe_Sem_Pedido!$Q:$Q,DRE!AI$4,Aut_BlueMe_Sem_Pedido!$H:$H,DRE!$A349)+SUMIFS(Aut_Ajustes_Manuais!$G:$G,Aut_Ajustes_Manuais!$I:$I,DRE!AI$4,Aut_Ajustes_Manuais!$F:$F,"Investimento - Estrutura Chopp - Camara Refrigerada")</f>
        <v>0</v>
      </c>
      <c r="AL349" s="241">
        <v>0</v>
      </c>
      <c r="AM349" s="81"/>
      <c r="AN349" s="82">
        <f>SUMIFS(Aut_BlueMe_Sem_Pedido!$J:$J,Aut_BlueMe_Sem_Pedido!$Q:$Q,DRE!AL$4,Aut_BlueMe_Sem_Pedido!$H:$H,DRE!$A349)+SUMIFS(Aut_Ajustes_Manuais!$G:$G,Aut_Ajustes_Manuais!$I:$I,DRE!AL$4,Aut_Ajustes_Manuais!$F:$F,"Investimento - Estrutura Chopp - Camara Refrigerada")</f>
        <v>0</v>
      </c>
      <c r="AO349" s="241">
        <v>0</v>
      </c>
      <c r="AP349" s="81"/>
      <c r="AQ349" s="82">
        <f>SUMIFS(Aut_BlueMe_Sem_Pedido!$J:$J,Aut_BlueMe_Sem_Pedido!$Q:$Q,DRE!AO$4,Aut_BlueMe_Sem_Pedido!$H:$H,DRE!$A349)+SUMIFS(Aut_Ajustes_Manuais!$G:$G,Aut_Ajustes_Manuais!$I:$I,DRE!AO$4,Aut_Ajustes_Manuais!$F:$F,"Investimento - Estrutura Chopp - Camara Refrigerada")</f>
        <v>0</v>
      </c>
      <c r="AR349" s="241">
        <f t="shared" ca="1" si="323"/>
        <v>0</v>
      </c>
      <c r="AS349" s="81">
        <f t="shared" ca="1" si="324"/>
        <v>0</v>
      </c>
      <c r="AT349" s="82">
        <f t="shared" ca="1" si="325"/>
        <v>0</v>
      </c>
      <c r="AU349" s="241">
        <f t="shared" si="326"/>
        <v>0</v>
      </c>
      <c r="AV349" s="81">
        <f t="shared" si="327"/>
        <v>0</v>
      </c>
      <c r="AW349" s="82">
        <f t="shared" si="328"/>
        <v>0</v>
      </c>
      <c r="AX349" s="241">
        <f t="shared" si="329"/>
        <v>0</v>
      </c>
      <c r="AY349" s="81">
        <f t="shared" si="330"/>
        <v>0</v>
      </c>
      <c r="AZ349" s="82">
        <f t="shared" si="331"/>
        <v>0</v>
      </c>
      <c r="BA349" s="241">
        <f t="shared" si="332"/>
        <v>0</v>
      </c>
      <c r="BB349" s="81">
        <f t="shared" si="333"/>
        <v>0</v>
      </c>
      <c r="BC349" s="82">
        <f t="shared" si="334"/>
        <v>0</v>
      </c>
      <c r="BD349" s="241">
        <f t="shared" si="335"/>
        <v>0</v>
      </c>
      <c r="BE349" s="81">
        <f t="shared" si="336"/>
        <v>0</v>
      </c>
      <c r="BF349" s="82">
        <f t="shared" si="337"/>
        <v>0</v>
      </c>
      <c r="BG349" s="241">
        <f t="shared" si="338"/>
        <v>0</v>
      </c>
      <c r="BH349" s="81">
        <f t="shared" si="339"/>
        <v>0</v>
      </c>
      <c r="BI349" s="82">
        <f t="shared" si="340"/>
        <v>0</v>
      </c>
      <c r="BK349" s="448">
        <f t="shared" si="341"/>
        <v>0</v>
      </c>
      <c r="BL349" s="448">
        <f t="shared" si="342"/>
        <v>0</v>
      </c>
      <c r="BM349" s="448">
        <f t="shared" si="343"/>
        <v>0</v>
      </c>
      <c r="BN349" s="448">
        <f t="shared" ca="1" si="344"/>
        <v>0</v>
      </c>
    </row>
    <row r="350" spans="1:66" s="29" customFormat="1" hidden="1" outlineLevel="1" x14ac:dyDescent="0.3">
      <c r="A350" s="22" t="s">
        <v>365</v>
      </c>
      <c r="B350" s="59"/>
      <c r="C350" s="24" t="s">
        <v>62</v>
      </c>
      <c r="D350" s="25"/>
      <c r="E350" s="25"/>
      <c r="F350" s="63"/>
      <c r="G350" s="33"/>
      <c r="H350" s="241">
        <v>0</v>
      </c>
      <c r="I350" s="81"/>
      <c r="J350" s="82">
        <f>SUMIFS(Aut_BlueMe_Sem_Pedido!$J:$J,Aut_BlueMe_Sem_Pedido!$Q:$Q,DRE!H$4,Aut_BlueMe_Sem_Pedido!$H:$H,DRE!$A350)+SUMIFS(Aut_Ajustes_Manuais!$G:$G,Aut_Ajustes_Manuais!$I:$I,DRE!H$4,Aut_Ajustes_Manuais!$F:$F,"Investimento - Estrutura Chopp - Chopeira")</f>
        <v>0</v>
      </c>
      <c r="K350" s="254">
        <v>0</v>
      </c>
      <c r="L350" s="81"/>
      <c r="M350" s="82">
        <f>SUMIFS(Aut_BlueMe_Sem_Pedido!$J:$J,Aut_BlueMe_Sem_Pedido!$Q:$Q,DRE!K$4,Aut_BlueMe_Sem_Pedido!$H:$H,DRE!$A350)+SUMIFS(Aut_Ajustes_Manuais!$G:$G,Aut_Ajustes_Manuais!$I:$I,DRE!K$4,Aut_Ajustes_Manuais!$F:$F,"Investimento - Estrutura Chopp - Chopeira")</f>
        <v>0</v>
      </c>
      <c r="N350" s="254">
        <v>0</v>
      </c>
      <c r="O350" s="81"/>
      <c r="P350" s="82">
        <f>SUMIFS(Aut_BlueMe_Sem_Pedido!$J:$J,Aut_BlueMe_Sem_Pedido!$Q:$Q,DRE!N$4,Aut_BlueMe_Sem_Pedido!$H:$H,DRE!$A350)+SUMIFS(Aut_Ajustes_Manuais!$G:$G,Aut_Ajustes_Manuais!$I:$I,DRE!N$4,Aut_Ajustes_Manuais!$F:$F,"Investimento - Estrutura Chopp - Chopeira")</f>
        <v>0</v>
      </c>
      <c r="Q350" s="241">
        <v>0</v>
      </c>
      <c r="R350" s="81"/>
      <c r="S350" s="82">
        <f>SUMIFS(Aut_BlueMe_Sem_Pedido!$J:$J,Aut_BlueMe_Sem_Pedido!$Q:$Q,DRE!Q$4,Aut_BlueMe_Sem_Pedido!$H:$H,DRE!$A350)+SUMIFS(Aut_Ajustes_Manuais!$G:$G,Aut_Ajustes_Manuais!$I:$I,DRE!Q$4,Aut_Ajustes_Manuais!$F:$F,"Investimento - Estrutura Chopp - Chopeira")</f>
        <v>0</v>
      </c>
      <c r="T350" s="241">
        <v>0</v>
      </c>
      <c r="U350" s="81"/>
      <c r="V350" s="82">
        <f>SUMIFS(Aut_BlueMe_Sem_Pedido!$J:$J,Aut_BlueMe_Sem_Pedido!$Q:$Q,DRE!T$4,Aut_BlueMe_Sem_Pedido!$H:$H,DRE!$A350)+SUMIFS(Aut_Ajustes_Manuais!$G:$G,Aut_Ajustes_Manuais!$I:$I,DRE!T$4,Aut_Ajustes_Manuais!$F:$F,"Investimento - Estrutura Chopp - Chopeira")</f>
        <v>0</v>
      </c>
      <c r="W350" s="241">
        <v>0</v>
      </c>
      <c r="X350" s="81"/>
      <c r="Y350" s="82">
        <f>SUMIFS(Aut_BlueMe_Sem_Pedido!$J:$J,Aut_BlueMe_Sem_Pedido!$Q:$Q,DRE!W$4,Aut_BlueMe_Sem_Pedido!$H:$H,DRE!$A350)+SUMIFS(Aut_Ajustes_Manuais!$G:$G,Aut_Ajustes_Manuais!$I:$I,DRE!W$4,Aut_Ajustes_Manuais!$F:$F,"Investimento - Estrutura Chopp - Chopeira")</f>
        <v>0</v>
      </c>
      <c r="Z350" s="241">
        <v>0</v>
      </c>
      <c r="AA350" s="81"/>
      <c r="AB350" s="82">
        <f>SUMIFS(Aut_BlueMe_Sem_Pedido!$J:$J,Aut_BlueMe_Sem_Pedido!$Q:$Q,DRE!Z$4,Aut_BlueMe_Sem_Pedido!$H:$H,DRE!$A350)+SUMIFS(Aut_Ajustes_Manuais!$G:$G,Aut_Ajustes_Manuais!$I:$I,DRE!Z$4,Aut_Ajustes_Manuais!$F:$F,"Investimento - Estrutura Chopp - Chopeira")</f>
        <v>0</v>
      </c>
      <c r="AC350" s="241">
        <v>0</v>
      </c>
      <c r="AD350" s="81"/>
      <c r="AE350" s="82">
        <f>SUMIFS(Aut_BlueMe_Sem_Pedido!$J:$J,Aut_BlueMe_Sem_Pedido!$Q:$Q,DRE!AC$4,Aut_BlueMe_Sem_Pedido!$H:$H,DRE!$A350)+SUMIFS(Aut_Ajustes_Manuais!$G:$G,Aut_Ajustes_Manuais!$I:$I,DRE!AC$4,Aut_Ajustes_Manuais!$F:$F,"Investimento - Estrutura Chopp - Chopeira")</f>
        <v>0</v>
      </c>
      <c r="AF350" s="241">
        <v>0</v>
      </c>
      <c r="AG350" s="81"/>
      <c r="AH350" s="82">
        <f>SUMIFS(Aut_BlueMe_Sem_Pedido!$J:$J,Aut_BlueMe_Sem_Pedido!$Q:$Q,DRE!AF$4,Aut_BlueMe_Sem_Pedido!$H:$H,DRE!$A350)+SUMIFS(Aut_Ajustes_Manuais!$G:$G,Aut_Ajustes_Manuais!$I:$I,DRE!AF$4,Aut_Ajustes_Manuais!$F:$F,"Investimento - Estrutura Chopp - Chopeira")</f>
        <v>0</v>
      </c>
      <c r="AI350" s="241">
        <v>0</v>
      </c>
      <c r="AJ350" s="81"/>
      <c r="AK350" s="82">
        <f>SUMIFS(Aut_BlueMe_Sem_Pedido!$J:$J,Aut_BlueMe_Sem_Pedido!$Q:$Q,DRE!AI$4,Aut_BlueMe_Sem_Pedido!$H:$H,DRE!$A350)+SUMIFS(Aut_Ajustes_Manuais!$G:$G,Aut_Ajustes_Manuais!$I:$I,DRE!AI$4,Aut_Ajustes_Manuais!$F:$F,"Investimento - Estrutura Chopp - Chopeira")</f>
        <v>0</v>
      </c>
      <c r="AL350" s="241">
        <v>0</v>
      </c>
      <c r="AM350" s="81"/>
      <c r="AN350" s="82">
        <f>SUMIFS(Aut_BlueMe_Sem_Pedido!$J:$J,Aut_BlueMe_Sem_Pedido!$Q:$Q,DRE!AL$4,Aut_BlueMe_Sem_Pedido!$H:$H,DRE!$A350)+SUMIFS(Aut_Ajustes_Manuais!$G:$G,Aut_Ajustes_Manuais!$I:$I,DRE!AL$4,Aut_Ajustes_Manuais!$F:$F,"Investimento - Estrutura Chopp - Chopeira")</f>
        <v>0</v>
      </c>
      <c r="AO350" s="241">
        <v>0</v>
      </c>
      <c r="AP350" s="81"/>
      <c r="AQ350" s="82">
        <f>SUMIFS(Aut_BlueMe_Sem_Pedido!$J:$J,Aut_BlueMe_Sem_Pedido!$Q:$Q,DRE!AO$4,Aut_BlueMe_Sem_Pedido!$H:$H,DRE!$A350)+SUMIFS(Aut_Ajustes_Manuais!$G:$G,Aut_Ajustes_Manuais!$I:$I,DRE!AO$4,Aut_Ajustes_Manuais!$F:$F,"Investimento - Estrutura Chopp - Chopeira")</f>
        <v>0</v>
      </c>
      <c r="AR350" s="241">
        <f t="shared" ca="1" si="323"/>
        <v>0</v>
      </c>
      <c r="AS350" s="81">
        <f t="shared" ca="1" si="324"/>
        <v>0</v>
      </c>
      <c r="AT350" s="82">
        <f t="shared" ca="1" si="325"/>
        <v>0</v>
      </c>
      <c r="AU350" s="241">
        <f t="shared" si="326"/>
        <v>0</v>
      </c>
      <c r="AV350" s="81">
        <f t="shared" si="327"/>
        <v>0</v>
      </c>
      <c r="AW350" s="82">
        <f t="shared" si="328"/>
        <v>0</v>
      </c>
      <c r="AX350" s="241">
        <f t="shared" si="329"/>
        <v>0</v>
      </c>
      <c r="AY350" s="81">
        <f t="shared" si="330"/>
        <v>0</v>
      </c>
      <c r="AZ350" s="82">
        <f t="shared" si="331"/>
        <v>0</v>
      </c>
      <c r="BA350" s="241">
        <f t="shared" si="332"/>
        <v>0</v>
      </c>
      <c r="BB350" s="81">
        <f t="shared" si="333"/>
        <v>0</v>
      </c>
      <c r="BC350" s="82">
        <f t="shared" si="334"/>
        <v>0</v>
      </c>
      <c r="BD350" s="241">
        <f t="shared" si="335"/>
        <v>0</v>
      </c>
      <c r="BE350" s="81">
        <f t="shared" si="336"/>
        <v>0</v>
      </c>
      <c r="BF350" s="82">
        <f t="shared" si="337"/>
        <v>0</v>
      </c>
      <c r="BG350" s="241">
        <f t="shared" si="338"/>
        <v>0</v>
      </c>
      <c r="BH350" s="81">
        <f t="shared" si="339"/>
        <v>0</v>
      </c>
      <c r="BI350" s="82">
        <f t="shared" si="340"/>
        <v>0</v>
      </c>
      <c r="BK350" s="448">
        <f t="shared" si="341"/>
        <v>0</v>
      </c>
      <c r="BL350" s="448">
        <f t="shared" si="342"/>
        <v>0</v>
      </c>
      <c r="BM350" s="448">
        <f t="shared" si="343"/>
        <v>0</v>
      </c>
      <c r="BN350" s="448">
        <f t="shared" ca="1" si="344"/>
        <v>0</v>
      </c>
    </row>
    <row r="351" spans="1:66" s="29" customFormat="1" hidden="1" outlineLevel="1" x14ac:dyDescent="0.3">
      <c r="A351" s="22"/>
      <c r="B351" s="59"/>
      <c r="C351" s="24" t="s">
        <v>62</v>
      </c>
      <c r="D351" s="25"/>
      <c r="E351" s="25"/>
      <c r="F351" s="63"/>
      <c r="G351" s="33"/>
      <c r="H351" s="254">
        <v>0</v>
      </c>
      <c r="I351" s="81"/>
      <c r="J351" s="82">
        <f>SUMIFS(Aut_BlueMe_Sem_Pedido!$J:$J,Aut_BlueMe_Sem_Pedido!$Q:$Q,DRE!H$4,Aut_BlueMe_Sem_Pedido!$H:$H,DRE!$A351)</f>
        <v>0</v>
      </c>
      <c r="K351" s="254">
        <v>0</v>
      </c>
      <c r="L351" s="81"/>
      <c r="M351" s="82">
        <f>SUMIFS(Aut_BlueMe_Sem_Pedido!$J:$J,Aut_BlueMe_Sem_Pedido!$Q:$Q,DRE!K$4,Aut_BlueMe_Sem_Pedido!$H:$H,DRE!$A351)</f>
        <v>0</v>
      </c>
      <c r="N351" s="254">
        <v>0</v>
      </c>
      <c r="O351" s="81"/>
      <c r="P351" s="82">
        <f>SUMIFS(Aut_BlueMe_Sem_Pedido!$J:$J,Aut_BlueMe_Sem_Pedido!$Q:$Q,DRE!N$4,Aut_BlueMe_Sem_Pedido!$H:$H,DRE!$A351)</f>
        <v>0</v>
      </c>
      <c r="Q351" s="254">
        <v>0</v>
      </c>
      <c r="R351" s="81"/>
      <c r="S351" s="82">
        <f>SUMIFS(Aut_BlueMe_Sem_Pedido!$J:$J,Aut_BlueMe_Sem_Pedido!$Q:$Q,DRE!Q$4,Aut_BlueMe_Sem_Pedido!$H:$H,DRE!$A351)</f>
        <v>0</v>
      </c>
      <c r="T351" s="254">
        <v>0</v>
      </c>
      <c r="U351" s="81"/>
      <c r="V351" s="82">
        <f>SUMIFS(Aut_BlueMe_Sem_Pedido!$J:$J,Aut_BlueMe_Sem_Pedido!$Q:$Q,DRE!T$4,Aut_BlueMe_Sem_Pedido!$H:$H,DRE!$A351)</f>
        <v>0</v>
      </c>
      <c r="W351" s="254">
        <v>0</v>
      </c>
      <c r="X351" s="81"/>
      <c r="Y351" s="82">
        <f>SUMIFS(Aut_BlueMe_Sem_Pedido!$J:$J,Aut_BlueMe_Sem_Pedido!$Q:$Q,DRE!W$4,Aut_BlueMe_Sem_Pedido!$H:$H,DRE!$A351)</f>
        <v>0</v>
      </c>
      <c r="Z351" s="254">
        <v>0</v>
      </c>
      <c r="AA351" s="81"/>
      <c r="AB351" s="82">
        <f>SUMIFS(Aut_BlueMe_Sem_Pedido!$J:$J,Aut_BlueMe_Sem_Pedido!$Q:$Q,DRE!Z$4,Aut_BlueMe_Sem_Pedido!$H:$H,DRE!$A351)</f>
        <v>0</v>
      </c>
      <c r="AC351" s="254">
        <v>0</v>
      </c>
      <c r="AD351" s="81"/>
      <c r="AE351" s="82">
        <f>SUMIFS(Aut_BlueMe_Sem_Pedido!$J:$J,Aut_BlueMe_Sem_Pedido!$Q:$Q,DRE!AC$4,Aut_BlueMe_Sem_Pedido!$H:$H,DRE!$A351)</f>
        <v>0</v>
      </c>
      <c r="AF351" s="254">
        <v>0</v>
      </c>
      <c r="AG351" s="81"/>
      <c r="AH351" s="82">
        <f>SUMIFS(Aut_BlueMe_Sem_Pedido!$J:$J,Aut_BlueMe_Sem_Pedido!$Q:$Q,DRE!AF$4,Aut_BlueMe_Sem_Pedido!$H:$H,DRE!$A351)</f>
        <v>0</v>
      </c>
      <c r="AI351" s="254">
        <v>0</v>
      </c>
      <c r="AJ351" s="81"/>
      <c r="AK351" s="82">
        <f>SUMIFS(Aut_BlueMe_Sem_Pedido!$J:$J,Aut_BlueMe_Sem_Pedido!$Q:$Q,DRE!AI$4,Aut_BlueMe_Sem_Pedido!$H:$H,DRE!$A351)</f>
        <v>0</v>
      </c>
      <c r="AL351" s="254">
        <v>0</v>
      </c>
      <c r="AM351" s="81"/>
      <c r="AN351" s="82">
        <f>SUMIFS(Aut_BlueMe_Sem_Pedido!$J:$J,Aut_BlueMe_Sem_Pedido!$Q:$Q,DRE!AL$4,Aut_BlueMe_Sem_Pedido!$H:$H,DRE!$A351)</f>
        <v>0</v>
      </c>
      <c r="AO351" s="254">
        <v>0</v>
      </c>
      <c r="AP351" s="81"/>
      <c r="AQ351" s="82">
        <f>SUMIFS(Aut_BlueMe_Sem_Pedido!$J:$J,Aut_BlueMe_Sem_Pedido!$Q:$Q,DRE!AO$4,Aut_BlueMe_Sem_Pedido!$H:$H,DRE!$A351)</f>
        <v>0</v>
      </c>
      <c r="AR351" s="241">
        <f t="shared" ca="1" si="323"/>
        <v>0</v>
      </c>
      <c r="AS351" s="81">
        <f t="shared" ca="1" si="324"/>
        <v>0</v>
      </c>
      <c r="AT351" s="82">
        <f t="shared" ca="1" si="325"/>
        <v>0</v>
      </c>
      <c r="AU351" s="254">
        <f t="shared" si="326"/>
        <v>0</v>
      </c>
      <c r="AV351" s="81">
        <f t="shared" si="327"/>
        <v>0</v>
      </c>
      <c r="AW351" s="82">
        <f t="shared" si="328"/>
        <v>0</v>
      </c>
      <c r="AX351" s="254">
        <f t="shared" si="329"/>
        <v>0</v>
      </c>
      <c r="AY351" s="81">
        <f t="shared" si="330"/>
        <v>0</v>
      </c>
      <c r="AZ351" s="82">
        <f t="shared" si="331"/>
        <v>0</v>
      </c>
      <c r="BA351" s="254">
        <f t="shared" si="332"/>
        <v>0</v>
      </c>
      <c r="BB351" s="81">
        <f t="shared" si="333"/>
        <v>0</v>
      </c>
      <c r="BC351" s="82">
        <f t="shared" si="334"/>
        <v>0</v>
      </c>
      <c r="BD351" s="254">
        <f t="shared" si="335"/>
        <v>0</v>
      </c>
      <c r="BE351" s="81">
        <f t="shared" si="336"/>
        <v>0</v>
      </c>
      <c r="BF351" s="82">
        <f t="shared" si="337"/>
        <v>0</v>
      </c>
      <c r="BG351" s="254">
        <f t="shared" si="338"/>
        <v>0</v>
      </c>
      <c r="BH351" s="81">
        <f t="shared" si="339"/>
        <v>0</v>
      </c>
      <c r="BI351" s="82">
        <f t="shared" si="340"/>
        <v>0</v>
      </c>
      <c r="BK351" s="448">
        <f t="shared" si="341"/>
        <v>0</v>
      </c>
      <c r="BL351" s="448">
        <f t="shared" si="342"/>
        <v>0</v>
      </c>
      <c r="BM351" s="448">
        <f t="shared" si="343"/>
        <v>0</v>
      </c>
      <c r="BN351" s="448">
        <f t="shared" ca="1" si="344"/>
        <v>0</v>
      </c>
    </row>
    <row r="352" spans="1:66" collapsed="1" x14ac:dyDescent="0.3">
      <c r="A352" s="18"/>
      <c r="E352" s="16"/>
      <c r="F352" s="17"/>
      <c r="G352" s="47"/>
      <c r="H352" s="249"/>
      <c r="I352" s="66"/>
      <c r="J352" s="250"/>
      <c r="K352" s="249"/>
      <c r="L352" s="66"/>
      <c r="M352" s="250"/>
      <c r="N352" s="249"/>
      <c r="O352" s="66"/>
      <c r="P352" s="250"/>
      <c r="Q352" s="249"/>
      <c r="R352" s="66"/>
      <c r="S352" s="250"/>
      <c r="T352" s="249"/>
      <c r="U352" s="66"/>
      <c r="V352" s="250"/>
      <c r="W352" s="249"/>
      <c r="X352" s="66"/>
      <c r="Y352" s="250"/>
      <c r="Z352" s="249"/>
      <c r="AA352" s="66"/>
      <c r="AB352" s="250"/>
      <c r="AC352" s="249"/>
      <c r="AD352" s="66"/>
      <c r="AE352" s="250"/>
      <c r="AF352" s="249"/>
      <c r="AG352" s="66"/>
      <c r="AH352" s="250"/>
      <c r="AI352" s="249"/>
      <c r="AJ352" s="66"/>
      <c r="AK352" s="250"/>
      <c r="AL352" s="249"/>
      <c r="AM352" s="66"/>
      <c r="AN352" s="250"/>
      <c r="AO352" s="249"/>
      <c r="AP352" s="66"/>
      <c r="AQ352" s="250"/>
      <c r="AR352" s="249"/>
      <c r="AS352" s="66"/>
      <c r="AT352" s="250"/>
      <c r="AU352" s="249"/>
      <c r="AV352" s="66"/>
      <c r="AW352" s="250"/>
      <c r="AX352" s="249"/>
      <c r="AY352" s="66"/>
      <c r="AZ352" s="250"/>
      <c r="BA352" s="249"/>
      <c r="BB352" s="66"/>
      <c r="BC352" s="250"/>
      <c r="BD352" s="249"/>
      <c r="BE352" s="66"/>
      <c r="BF352" s="250"/>
      <c r="BG352" s="249"/>
      <c r="BH352" s="66"/>
      <c r="BI352" s="250"/>
      <c r="BK352" s="448">
        <f t="shared" si="341"/>
        <v>0</v>
      </c>
      <c r="BL352" s="448">
        <f t="shared" si="342"/>
        <v>0</v>
      </c>
      <c r="BM352" s="448">
        <f t="shared" si="343"/>
        <v>0</v>
      </c>
      <c r="BN352" s="448">
        <f t="shared" si="344"/>
        <v>0</v>
      </c>
    </row>
    <row r="353" spans="1:66" x14ac:dyDescent="0.3">
      <c r="A353" s="39" t="s">
        <v>366</v>
      </c>
      <c r="B353" s="59"/>
      <c r="C353" s="40" t="s">
        <v>341</v>
      </c>
      <c r="D353" s="40" t="s">
        <v>342</v>
      </c>
      <c r="E353" s="40" t="s">
        <v>203</v>
      </c>
      <c r="F353" s="63"/>
      <c r="G353" s="47"/>
      <c r="H353" s="244">
        <v>-30707.69</v>
      </c>
      <c r="I353" s="42">
        <v>-220609.21</v>
      </c>
      <c r="J353" s="43">
        <f>SUM(J354:J360)+SUMIFS(Aut_Ajustes_Manuais!$G:$G,Aut_Ajustes_Manuais!$I:$I,DRE!H$4,Aut_Ajustes_Manuais!$F:$F,"(+/-) Outras variações no fluxo de caixa")</f>
        <v>-102296.57</v>
      </c>
      <c r="K353" s="244">
        <v>-30707.69</v>
      </c>
      <c r="L353" s="42">
        <v>-220609.21</v>
      </c>
      <c r="M353" s="43">
        <f>SUM(M354:M360)+SUMIFS(Aut_Ajustes_Manuais!$G:$G,Aut_Ajustes_Manuais!$I:$I,DRE!K$4,Aut_Ajustes_Manuais!$F:$F,"(+/-) Outras variações no fluxo de caixa")</f>
        <v>-170430.84</v>
      </c>
      <c r="N353" s="244">
        <v>-31207.69</v>
      </c>
      <c r="O353" s="42">
        <v>-220609.21</v>
      </c>
      <c r="P353" s="43">
        <f>SUM(P354:P360)+SUMIFS(Aut_Ajustes_Manuais!$G:$G,Aut_Ajustes_Manuais!$I:$I,DRE!N$4,Aut_Ajustes_Manuais!$F:$F,"(+/-) Outras variações no fluxo de caixa")</f>
        <v>-123182.71</v>
      </c>
      <c r="Q353" s="244">
        <v>-20000</v>
      </c>
      <c r="R353" s="42">
        <v>-45592.21</v>
      </c>
      <c r="S353" s="43">
        <f>SUM(S354:S360)+SUMIFS(Aut_Ajustes_Manuais!$G:$G,Aut_Ajustes_Manuais!$I:$I,DRE!Q$4,Aut_Ajustes_Manuais!$F:$F,"(+/-) Outras variações no fluxo de caixa")</f>
        <v>-41455.9</v>
      </c>
      <c r="T353" s="244">
        <v>-28244.07</v>
      </c>
      <c r="U353" s="42">
        <v>-25792.21</v>
      </c>
      <c r="V353" s="43">
        <f>SUM(V354:V360)+SUMIFS(Aut_Ajustes_Manuais!$G:$G,Aut_Ajustes_Manuais!$I:$I,DRE!T$4,Aut_Ajustes_Manuais!$F:$F,"(+/-) Outras variações no fluxo de caixa")</f>
        <v>-41592.520000000004</v>
      </c>
      <c r="W353" s="244">
        <v>-20000</v>
      </c>
      <c r="X353" s="42">
        <v>-25792.21</v>
      </c>
      <c r="Y353" s="43">
        <f>SUM(Y354:Y360)+SUMIFS(Aut_Ajustes_Manuais!$G:$G,Aut_Ajustes_Manuais!$I:$I,DRE!W$4,Aut_Ajustes_Manuais!$F:$F,"(+/-) Outras variações no fluxo de caixa")</f>
        <v>-41738.720000000001</v>
      </c>
      <c r="Z353" s="244">
        <v>-20000</v>
      </c>
      <c r="AA353" s="42">
        <v>-125592.21</v>
      </c>
      <c r="AB353" s="43">
        <f>SUM(AB354:AB360)+SUMIFS(Aut_Ajustes_Manuais!$G:$G,Aut_Ajustes_Manuais!$I:$I,DRE!Z$4,Aut_Ajustes_Manuais!$F:$F,"(+/-) Outras variações no fluxo de caixa")</f>
        <v>0</v>
      </c>
      <c r="AC353" s="244">
        <v>-20000</v>
      </c>
      <c r="AD353" s="42">
        <v>-25792.21</v>
      </c>
      <c r="AE353" s="43">
        <f>SUM(AE354:AE360)+SUMIFS(Aut_Ajustes_Manuais!$G:$G,Aut_Ajustes_Manuais!$I:$I,DRE!AC$4,Aut_Ajustes_Manuais!$F:$F,"(+/-) Outras variações no fluxo de caixa")</f>
        <v>0</v>
      </c>
      <c r="AF353" s="244">
        <v>-100000</v>
      </c>
      <c r="AG353" s="42">
        <v>-25792.21</v>
      </c>
      <c r="AH353" s="43">
        <f>SUM(AH354:AH360)+SUMIFS(Aut_Ajustes_Manuais!$G:$G,Aut_Ajustes_Manuais!$I:$I,DRE!AF$4,Aut_Ajustes_Manuais!$F:$F,"(+/-) Outras variações no fluxo de caixa")</f>
        <v>0</v>
      </c>
      <c r="AI353" s="244">
        <v>-20000</v>
      </c>
      <c r="AJ353" s="42">
        <v>-45592.21</v>
      </c>
      <c r="AK353" s="43">
        <f>SUM(AK354:AK360)+SUMIFS(Aut_Ajustes_Manuais!$G:$G,Aut_Ajustes_Manuais!$I:$I,DRE!AI$4,Aut_Ajustes_Manuais!$F:$F,"(+/-) Outras variações no fluxo de caixa")</f>
        <v>0</v>
      </c>
      <c r="AL353" s="244">
        <v>-20000</v>
      </c>
      <c r="AM353" s="42">
        <v>-25792.21</v>
      </c>
      <c r="AN353" s="43">
        <f>SUM(AN354:AN360)+SUMIFS(Aut_Ajustes_Manuais!$G:$G,Aut_Ajustes_Manuais!$I:$I,DRE!AL$4,Aut_Ajustes_Manuais!$F:$F,"(+/-) Outras variações no fluxo de caixa")</f>
        <v>0</v>
      </c>
      <c r="AO353" s="244">
        <v>-99570.38</v>
      </c>
      <c r="AP353" s="42">
        <v>-25792.21</v>
      </c>
      <c r="AQ353" s="43">
        <f>SUM(AQ354:AQ360)+SUMIFS(Aut_Ajustes_Manuais!$G:$G,Aut_Ajustes_Manuais!$I:$I,DRE!AO$4,Aut_Ajustes_Manuais!$F:$F,"(+/-) Outras variações no fluxo de caixa")</f>
        <v>0</v>
      </c>
      <c r="AR353" s="244">
        <f t="shared" ref="AR353:BI353" ca="1" si="345">SUM(AR354:AR360)</f>
        <v>-160867.13999999998</v>
      </c>
      <c r="AS353" s="42">
        <f t="shared" ca="1" si="345"/>
        <v>-759004.25999999989</v>
      </c>
      <c r="AT353" s="43">
        <f t="shared" ca="1" si="345"/>
        <v>-520697.26000000013</v>
      </c>
      <c r="AU353" s="244">
        <f t="shared" si="345"/>
        <v>-440437.52</v>
      </c>
      <c r="AV353" s="42">
        <f t="shared" si="345"/>
        <v>-1033357.5199999997</v>
      </c>
      <c r="AW353" s="43">
        <f t="shared" si="345"/>
        <v>-520697.26000000013</v>
      </c>
      <c r="AX353" s="244">
        <f t="shared" si="345"/>
        <v>-92623.069999999992</v>
      </c>
      <c r="AY353" s="42">
        <f t="shared" si="345"/>
        <v>-661827.63</v>
      </c>
      <c r="AZ353" s="43">
        <f t="shared" si="345"/>
        <v>-395910.12000000005</v>
      </c>
      <c r="BA353" s="244">
        <f t="shared" si="345"/>
        <v>-68244.070000000007</v>
      </c>
      <c r="BB353" s="42">
        <f t="shared" si="345"/>
        <v>-97176.63</v>
      </c>
      <c r="BC353" s="43">
        <f t="shared" si="345"/>
        <v>-124787.14000000001</v>
      </c>
      <c r="BD353" s="244">
        <f t="shared" si="345"/>
        <v>-140000</v>
      </c>
      <c r="BE353" s="42">
        <f t="shared" si="345"/>
        <v>-177176.63</v>
      </c>
      <c r="BF353" s="43">
        <f t="shared" si="345"/>
        <v>0</v>
      </c>
      <c r="BG353" s="244">
        <f t="shared" si="345"/>
        <v>-139570.38</v>
      </c>
      <c r="BH353" s="42">
        <f t="shared" si="345"/>
        <v>-97176.63</v>
      </c>
      <c r="BI353" s="43">
        <f t="shared" si="345"/>
        <v>0</v>
      </c>
      <c r="BK353" s="448">
        <f t="shared" si="341"/>
        <v>-1033357.5199999997</v>
      </c>
      <c r="BL353" s="448">
        <f t="shared" si="342"/>
        <v>0</v>
      </c>
      <c r="BM353" s="448">
        <f t="shared" si="343"/>
        <v>-437366.02000000008</v>
      </c>
      <c r="BN353" s="448">
        <f t="shared" ca="1" si="344"/>
        <v>83331.240000000049</v>
      </c>
    </row>
    <row r="354" spans="1:66" s="29" customFormat="1" hidden="1" outlineLevel="1" x14ac:dyDescent="0.3">
      <c r="A354" s="22" t="s">
        <v>367</v>
      </c>
      <c r="B354" s="59"/>
      <c r="C354" s="24" t="s">
        <v>62</v>
      </c>
      <c r="D354" s="25"/>
      <c r="E354" s="25"/>
      <c r="F354" s="63"/>
      <c r="G354" s="33"/>
      <c r="H354" s="241">
        <v>0</v>
      </c>
      <c r="I354" s="27"/>
      <c r="J354" s="28">
        <f>SUMIFS(Aut_BlueMe_Sem_Pedido!$J:$J,Aut_BlueMe_Sem_Pedido!$Q:$Q,DRE!H$4,Aut_BlueMe_Sem_Pedido!$H:$H,DRE!$A354)+SUMIFS(Aut_Ajustes_Manuais!$G:$G,Aut_Ajustes_Manuais!$I:$I,DRE!H$4,Aut_Ajustes_Manuais!$F:$F,"Remuneração Variável")</f>
        <v>0</v>
      </c>
      <c r="K354" s="241">
        <v>0</v>
      </c>
      <c r="L354" s="27"/>
      <c r="M354" s="28">
        <f>SUMIFS(Aut_BlueMe_Sem_Pedido!$J:$J,Aut_BlueMe_Sem_Pedido!$Q:$Q,DRE!K$4,Aut_BlueMe_Sem_Pedido!$H:$H,DRE!$A354)+SUMIFS(Aut_Ajustes_Manuais!$G:$G,Aut_Ajustes_Manuais!$I:$I,DRE!K$4,Aut_Ajustes_Manuais!$F:$F,"Remuneração Variável")</f>
        <v>0</v>
      </c>
      <c r="N354" s="241">
        <v>0</v>
      </c>
      <c r="O354" s="27"/>
      <c r="P354" s="28">
        <f>SUMIFS(Aut_BlueMe_Sem_Pedido!$J:$J,Aut_BlueMe_Sem_Pedido!$Q:$Q,DRE!N$4,Aut_BlueMe_Sem_Pedido!$H:$H,DRE!$A354)+SUMIFS(Aut_Ajustes_Manuais!$G:$G,Aut_Ajustes_Manuais!$I:$I,DRE!N$4,Aut_Ajustes_Manuais!$F:$F,"Remuneração Variável")</f>
        <v>0</v>
      </c>
      <c r="Q354" s="241">
        <v>0</v>
      </c>
      <c r="R354" s="27">
        <v>-19800</v>
      </c>
      <c r="S354" s="28">
        <f>SUMIFS(Aut_BlueMe_Sem_Pedido!$J:$J,Aut_BlueMe_Sem_Pedido!$Q:$Q,DRE!Q$4,Aut_BlueMe_Sem_Pedido!$H:$H,DRE!$A354)+SUMIFS(Aut_Ajustes_Manuais!$G:$G,Aut_Ajustes_Manuais!$I:$I,DRE!Q$4,Aut_Ajustes_Manuais!$F:$F,"Remuneração Variável")</f>
        <v>0</v>
      </c>
      <c r="T354" s="241">
        <v>0</v>
      </c>
      <c r="U354" s="27"/>
      <c r="V354" s="27">
        <f>SUMIFS(Aut_BlueMe_Sem_Pedido!$J:$J,Aut_BlueMe_Sem_Pedido!$Q:$Q,DRE!T$4,Aut_BlueMe_Sem_Pedido!$H:$H,DRE!$A354)+SUMIFS(Aut_Ajustes_Manuais!$G:$G,Aut_Ajustes_Manuais!$I:$I,DRE!T$4,Aut_Ajustes_Manuais!$F:$F,"Remuneração Variável")</f>
        <v>0</v>
      </c>
      <c r="W354" s="241">
        <v>0</v>
      </c>
      <c r="X354" s="27"/>
      <c r="Y354" s="28">
        <f>SUMIFS(Aut_BlueMe_Sem_Pedido!$J:$J,Aut_BlueMe_Sem_Pedido!$Q:$Q,DRE!W$4,Aut_BlueMe_Sem_Pedido!$H:$H,DRE!$A354)+SUMIFS(Aut_Ajustes_Manuais!$G:$G,Aut_Ajustes_Manuais!$I:$I,DRE!W$4,Aut_Ajustes_Manuais!$F:$F,"Remuneração Variável")</f>
        <v>0</v>
      </c>
      <c r="Z354" s="241">
        <v>0</v>
      </c>
      <c r="AA354" s="27">
        <v>-19800</v>
      </c>
      <c r="AB354" s="28">
        <f>SUMIFS(Aut_BlueMe_Sem_Pedido!$J:$J,Aut_BlueMe_Sem_Pedido!$Q:$Q,DRE!Z$4,Aut_BlueMe_Sem_Pedido!$H:$H,DRE!$A354)+SUMIFS(Aut_Ajustes_Manuais!$G:$G,Aut_Ajustes_Manuais!$I:$I,DRE!Z$4,Aut_Ajustes_Manuais!$F:$F,"Remuneração Variável")</f>
        <v>0</v>
      </c>
      <c r="AC354" s="241">
        <v>0</v>
      </c>
      <c r="AD354" s="27"/>
      <c r="AE354" s="28">
        <f>SUMIFS(Aut_BlueMe_Sem_Pedido!$J:$J,Aut_BlueMe_Sem_Pedido!$Q:$Q,DRE!AC$4,Aut_BlueMe_Sem_Pedido!$H:$H,DRE!$A354)+SUMIFS(Aut_Ajustes_Manuais!$G:$G,Aut_Ajustes_Manuais!$I:$I,DRE!AC$4,Aut_Ajustes_Manuais!$F:$F,"Remuneração Variável")</f>
        <v>0</v>
      </c>
      <c r="AF354" s="241">
        <v>0</v>
      </c>
      <c r="AG354" s="27"/>
      <c r="AH354" s="28">
        <f>SUMIFS(Aut_BlueMe_Sem_Pedido!$J:$J,Aut_BlueMe_Sem_Pedido!$Q:$Q,DRE!AF$4,Aut_BlueMe_Sem_Pedido!$H:$H,DRE!$A354)+SUMIFS(Aut_Ajustes_Manuais!$G:$G,Aut_Ajustes_Manuais!$I:$I,DRE!AF$4,Aut_Ajustes_Manuais!$F:$F,"Remuneração Variável")</f>
        <v>0</v>
      </c>
      <c r="AI354" s="241">
        <v>0</v>
      </c>
      <c r="AJ354" s="27">
        <v>-19800</v>
      </c>
      <c r="AK354" s="28">
        <f>SUMIFS(Aut_BlueMe_Sem_Pedido!$J:$J,Aut_BlueMe_Sem_Pedido!$Q:$Q,DRE!AI$4,Aut_BlueMe_Sem_Pedido!$H:$H,DRE!$A354)+SUMIFS(Aut_Ajustes_Manuais!$G:$G,Aut_Ajustes_Manuais!$I:$I,DRE!AI$4,Aut_Ajustes_Manuais!$F:$F,"Remuneração Variável")</f>
        <v>0</v>
      </c>
      <c r="AL354" s="241">
        <v>0</v>
      </c>
      <c r="AM354" s="27"/>
      <c r="AN354" s="28">
        <f>SUMIFS(Aut_BlueMe_Sem_Pedido!$J:$J,Aut_BlueMe_Sem_Pedido!$Q:$Q,DRE!AL$4,Aut_BlueMe_Sem_Pedido!$H:$H,DRE!$A354)+SUMIFS(Aut_Ajustes_Manuais!$G:$G,Aut_Ajustes_Manuais!$I:$I,DRE!AL$4,Aut_Ajustes_Manuais!$F:$F,"Remuneração Variável")</f>
        <v>0</v>
      </c>
      <c r="AO354" s="241">
        <v>0</v>
      </c>
      <c r="AP354" s="27"/>
      <c r="AQ354" s="28">
        <f>SUMIFS(Aut_BlueMe_Sem_Pedido!$J:$J,Aut_BlueMe_Sem_Pedido!$Q:$Q,DRE!AO$4,Aut_BlueMe_Sem_Pedido!$H:$H,DRE!$A354)+SUMIFS(Aut_Ajustes_Manuais!$G:$G,Aut_Ajustes_Manuais!$I:$I,DRE!AO$4,Aut_Ajustes_Manuais!$F:$F,"Remuneração Variável")</f>
        <v>0</v>
      </c>
      <c r="AR354" s="241">
        <f t="shared" ref="AR354:AR361" ca="1" si="346">SUMIFS($H354:$AO354,$H$5:$AO$5,"&lt;"&amp;MONTH(TODAY()),$H$6:$AO$6,"REAL 25")</f>
        <v>0</v>
      </c>
      <c r="AS354" s="27">
        <f t="shared" ref="AS354:AS361" ca="1" si="347">SUMIFS($I354:$AP354,$I$5:$AP$5,"&lt;"&amp;MONTH(TODAY()),$I$6:$AP$6,"ORÇADO ")</f>
        <v>-19800</v>
      </c>
      <c r="AT354" s="28">
        <f t="shared" ref="AT354:AT361" ca="1" si="348">SUMIFS($J354:$AQ354,$J$5:$AQ$5,"&lt;"&amp;MONTH(TODAY()),$J$6:$AQ$6,"REAL 26")</f>
        <v>0</v>
      </c>
      <c r="AU354" s="241">
        <f t="shared" ref="AU354:AW361" si="349">SUM(H354,K354,N354,Q354,T354,W354,Z354,AC354,AF354,AI354,AL354,AO354)</f>
        <v>0</v>
      </c>
      <c r="AV354" s="27">
        <f t="shared" si="349"/>
        <v>-59400</v>
      </c>
      <c r="AW354" s="28">
        <f t="shared" si="349"/>
        <v>0</v>
      </c>
      <c r="AX354" s="241">
        <f t="shared" ref="AX354:AZ361" si="350">SUM(H354,K354,N354)</f>
        <v>0</v>
      </c>
      <c r="AY354" s="27">
        <f t="shared" si="350"/>
        <v>0</v>
      </c>
      <c r="AZ354" s="28">
        <f t="shared" si="350"/>
        <v>0</v>
      </c>
      <c r="BA354" s="241">
        <f t="shared" ref="BA354:BC361" si="351">SUM(Q354,T354,W354)</f>
        <v>0</v>
      </c>
      <c r="BB354" s="27">
        <f t="shared" si="351"/>
        <v>-19800</v>
      </c>
      <c r="BC354" s="28">
        <f t="shared" si="351"/>
        <v>0</v>
      </c>
      <c r="BD354" s="241">
        <f t="shared" ref="BD354:BF361" si="352">SUM(Z354,AC354,AF354)</f>
        <v>0</v>
      </c>
      <c r="BE354" s="27">
        <f t="shared" si="352"/>
        <v>-19800</v>
      </c>
      <c r="BF354" s="28">
        <f t="shared" si="352"/>
        <v>0</v>
      </c>
      <c r="BG354" s="241">
        <f t="shared" ref="BG354:BI361" si="353">SUM(AI354,AL354,AO354)</f>
        <v>0</v>
      </c>
      <c r="BH354" s="27">
        <f t="shared" si="353"/>
        <v>-19800</v>
      </c>
      <c r="BI354" s="28">
        <f t="shared" si="353"/>
        <v>0</v>
      </c>
      <c r="BK354" s="448">
        <f t="shared" si="341"/>
        <v>-59400</v>
      </c>
      <c r="BL354" s="448">
        <f t="shared" si="342"/>
        <v>0</v>
      </c>
      <c r="BM354" s="448">
        <f t="shared" si="343"/>
        <v>0</v>
      </c>
      <c r="BN354" s="448">
        <f t="shared" ca="1" si="344"/>
        <v>0</v>
      </c>
    </row>
    <row r="355" spans="1:66" s="29" customFormat="1" hidden="1" outlineLevel="1" x14ac:dyDescent="0.3">
      <c r="A355" s="22" t="s">
        <v>368</v>
      </c>
      <c r="B355" s="59"/>
      <c r="C355" s="24" t="s">
        <v>62</v>
      </c>
      <c r="D355" s="25"/>
      <c r="E355" s="25"/>
      <c r="F355" s="63"/>
      <c r="G355" s="33"/>
      <c r="H355" s="241">
        <v>0</v>
      </c>
      <c r="I355" s="27"/>
      <c r="J355" s="28">
        <f>SUMIFS(Aut_BlueMe_Sem_Pedido!$J:$J,Aut_BlueMe_Sem_Pedido!$Q:$Q,DRE!H$4,Aut_BlueMe_Sem_Pedido!$H:$H,DRE!$A355)+SUMIFS(Aut_Ajustes_Manuais!$G:$G,Aut_Ajustes_Manuais!$I:$I,DRE!H$4,Aut_Ajustes_Manuais!$F:$F,"Dividendos")</f>
        <v>0</v>
      </c>
      <c r="K355" s="241">
        <v>0</v>
      </c>
      <c r="L355" s="27"/>
      <c r="M355" s="28">
        <f>SUMIFS(Aut_BlueMe_Sem_Pedido!$J:$J,Aut_BlueMe_Sem_Pedido!$Q:$Q,DRE!K$4,Aut_BlueMe_Sem_Pedido!$H:$H,DRE!$A355)+SUMIFS(Aut_Ajustes_Manuais!$G:$G,Aut_Ajustes_Manuais!$I:$I,DRE!K$4,Aut_Ajustes_Manuais!$F:$F,"Dividendos")</f>
        <v>0</v>
      </c>
      <c r="N355" s="241">
        <v>0</v>
      </c>
      <c r="O355" s="27"/>
      <c r="P355" s="28">
        <f>SUMIFS(Aut_BlueMe_Sem_Pedido!$J:$J,Aut_BlueMe_Sem_Pedido!$Q:$Q,DRE!N$4,Aut_BlueMe_Sem_Pedido!$H:$H,DRE!$A355)+SUMIFS(Aut_Ajustes_Manuais!$G:$G,Aut_Ajustes_Manuais!$I:$I,DRE!N$4,Aut_Ajustes_Manuais!$F:$F,"Dividendos")</f>
        <v>0</v>
      </c>
      <c r="Q355" s="241">
        <v>0</v>
      </c>
      <c r="R355" s="27"/>
      <c r="S355" s="28">
        <f>SUMIFS(Aut_BlueMe_Sem_Pedido!$J:$J,Aut_BlueMe_Sem_Pedido!$Q:$Q,DRE!Q$4,Aut_BlueMe_Sem_Pedido!$H:$H,DRE!$A355)+SUMIFS(Aut_Ajustes_Manuais!$G:$G,Aut_Ajustes_Manuais!$I:$I,DRE!Q$4,Aut_Ajustes_Manuais!$F:$F,"Dividendos")</f>
        <v>0</v>
      </c>
      <c r="T355" s="241">
        <v>0</v>
      </c>
      <c r="U355" s="27"/>
      <c r="V355" s="28">
        <f>SUMIFS(Aut_BlueMe_Sem_Pedido!$J:$J,Aut_BlueMe_Sem_Pedido!$Q:$Q,DRE!T$4,Aut_BlueMe_Sem_Pedido!$H:$H,DRE!$A355)+SUMIFS(Aut_Ajustes_Manuais!$G:$G,Aut_Ajustes_Manuais!$I:$I,DRE!T$4,Aut_Ajustes_Manuais!$F:$F,"Dividendos")</f>
        <v>0</v>
      </c>
      <c r="W355" s="241">
        <v>0</v>
      </c>
      <c r="X355" s="27"/>
      <c r="Y355" s="28">
        <f>SUMIFS(Aut_BlueMe_Sem_Pedido!$J:$J,Aut_BlueMe_Sem_Pedido!$Q:$Q,DRE!W$4,Aut_BlueMe_Sem_Pedido!$H:$H,DRE!$A355)+SUMIFS(Aut_Ajustes_Manuais!$G:$G,Aut_Ajustes_Manuais!$I:$I,DRE!W$4,Aut_Ajustes_Manuais!$F:$F,"Dividendos")</f>
        <v>0</v>
      </c>
      <c r="Z355" s="241">
        <v>0</v>
      </c>
      <c r="AA355" s="27"/>
      <c r="AB355" s="28">
        <f>SUMIFS(Aut_BlueMe_Sem_Pedido!$J:$J,Aut_BlueMe_Sem_Pedido!$Q:$Q,DRE!Z$4,Aut_BlueMe_Sem_Pedido!$H:$H,DRE!$A355)+SUMIFS(Aut_Ajustes_Manuais!$G:$G,Aut_Ajustes_Manuais!$I:$I,DRE!Z$4,Aut_Ajustes_Manuais!$F:$F,"Dividendos")</f>
        <v>0</v>
      </c>
      <c r="AC355" s="241">
        <v>0</v>
      </c>
      <c r="AD355" s="27"/>
      <c r="AE355" s="28">
        <f>SUMIFS(Aut_BlueMe_Sem_Pedido!$J:$J,Aut_BlueMe_Sem_Pedido!$Q:$Q,DRE!AC$4,Aut_BlueMe_Sem_Pedido!$H:$H,DRE!$A355)+SUMIFS(Aut_Ajustes_Manuais!$G:$G,Aut_Ajustes_Manuais!$I:$I,DRE!AC$4,Aut_Ajustes_Manuais!$F:$F,"Dividendos")</f>
        <v>0</v>
      </c>
      <c r="AF355" s="241">
        <v>0</v>
      </c>
      <c r="AG355" s="27"/>
      <c r="AH355" s="28">
        <f>SUMIFS(Aut_BlueMe_Sem_Pedido!$J:$J,Aut_BlueMe_Sem_Pedido!$Q:$Q,DRE!AF$4,Aut_BlueMe_Sem_Pedido!$H:$H,DRE!$A355)+SUMIFS(Aut_Ajustes_Manuais!$G:$G,Aut_Ajustes_Manuais!$I:$I,DRE!AF$4,Aut_Ajustes_Manuais!$F:$F,"Dividendos")</f>
        <v>0</v>
      </c>
      <c r="AI355" s="241">
        <v>0</v>
      </c>
      <c r="AJ355" s="27"/>
      <c r="AK355" s="28">
        <f>SUMIFS(Aut_BlueMe_Sem_Pedido!$J:$J,Aut_BlueMe_Sem_Pedido!$Q:$Q,DRE!AI$4,Aut_BlueMe_Sem_Pedido!$H:$H,DRE!$A355)+SUMIFS(Aut_Ajustes_Manuais!$G:$G,Aut_Ajustes_Manuais!$I:$I,DRE!AI$4,Aut_Ajustes_Manuais!$F:$F,"Dividendos")</f>
        <v>0</v>
      </c>
      <c r="AL355" s="241">
        <v>0</v>
      </c>
      <c r="AM355" s="27"/>
      <c r="AN355" s="28">
        <f>SUMIFS(Aut_BlueMe_Sem_Pedido!$J:$J,Aut_BlueMe_Sem_Pedido!$Q:$Q,DRE!AL$4,Aut_BlueMe_Sem_Pedido!$H:$H,DRE!$A355)+SUMIFS(Aut_Ajustes_Manuais!$G:$G,Aut_Ajustes_Manuais!$I:$I,DRE!AL$4,Aut_Ajustes_Manuais!$F:$F,"Dividendos")</f>
        <v>0</v>
      </c>
      <c r="AO355" s="241">
        <v>0</v>
      </c>
      <c r="AP355" s="27"/>
      <c r="AQ355" s="28">
        <f>SUMIFS(Aut_BlueMe_Sem_Pedido!$J:$J,Aut_BlueMe_Sem_Pedido!$Q:$Q,DRE!AO$4,Aut_BlueMe_Sem_Pedido!$H:$H,DRE!$A355)+SUMIFS(Aut_Ajustes_Manuais!$G:$G,Aut_Ajustes_Manuais!$I:$I,DRE!AO$4,Aut_Ajustes_Manuais!$F:$F,"Dividendos")</f>
        <v>0</v>
      </c>
      <c r="AR355" s="241">
        <f t="shared" ca="1" si="346"/>
        <v>0</v>
      </c>
      <c r="AS355" s="27">
        <f t="shared" ca="1" si="347"/>
        <v>0</v>
      </c>
      <c r="AT355" s="28">
        <f t="shared" ca="1" si="348"/>
        <v>0</v>
      </c>
      <c r="AU355" s="241">
        <f t="shared" si="349"/>
        <v>0</v>
      </c>
      <c r="AV355" s="27">
        <f t="shared" si="349"/>
        <v>0</v>
      </c>
      <c r="AW355" s="28">
        <f t="shared" si="349"/>
        <v>0</v>
      </c>
      <c r="AX355" s="241">
        <f t="shared" si="350"/>
        <v>0</v>
      </c>
      <c r="AY355" s="27">
        <f t="shared" si="350"/>
        <v>0</v>
      </c>
      <c r="AZ355" s="28">
        <f t="shared" si="350"/>
        <v>0</v>
      </c>
      <c r="BA355" s="241">
        <f t="shared" si="351"/>
        <v>0</v>
      </c>
      <c r="BB355" s="27">
        <f t="shared" si="351"/>
        <v>0</v>
      </c>
      <c r="BC355" s="28">
        <f t="shared" si="351"/>
        <v>0</v>
      </c>
      <c r="BD355" s="241">
        <f t="shared" si="352"/>
        <v>0</v>
      </c>
      <c r="BE355" s="27">
        <f t="shared" si="352"/>
        <v>0</v>
      </c>
      <c r="BF355" s="28">
        <f t="shared" si="352"/>
        <v>0</v>
      </c>
      <c r="BG355" s="241">
        <f t="shared" si="353"/>
        <v>0</v>
      </c>
      <c r="BH355" s="27">
        <f t="shared" si="353"/>
        <v>0</v>
      </c>
      <c r="BI355" s="28">
        <f t="shared" si="353"/>
        <v>0</v>
      </c>
      <c r="BK355" s="448">
        <f t="shared" si="341"/>
        <v>0</v>
      </c>
      <c r="BL355" s="448">
        <f t="shared" si="342"/>
        <v>0</v>
      </c>
      <c r="BM355" s="448">
        <f t="shared" si="343"/>
        <v>0</v>
      </c>
      <c r="BN355" s="448">
        <f t="shared" ca="1" si="344"/>
        <v>0</v>
      </c>
    </row>
    <row r="356" spans="1:66" s="29" customFormat="1" hidden="1" outlineLevel="1" x14ac:dyDescent="0.3">
      <c r="A356" s="22" t="s">
        <v>369</v>
      </c>
      <c r="B356" s="59"/>
      <c r="C356" s="24" t="s">
        <v>62</v>
      </c>
      <c r="D356" s="25"/>
      <c r="E356" s="25"/>
      <c r="F356" s="63"/>
      <c r="G356" s="33"/>
      <c r="H356" s="241">
        <v>-21907.69</v>
      </c>
      <c r="I356" s="27">
        <v>-220609.21</v>
      </c>
      <c r="J356" s="28">
        <f>-SUMIFS(Aut_Endividamentos!$N:$N,Aut_Endividamentos!$S:$S,DRE!H$4,Aut_Endividamentos!$G:$G,$A356)+SUMIFS(Aut_Ajustes_Manuais!$G:$G,Aut_Ajustes_Manuais!$I:$I,DRE!H$4,Aut_Ajustes_Manuais!$F:$F,"Endividamento Geral")</f>
        <v>-102296.57</v>
      </c>
      <c r="K356" s="241">
        <v>-21907.69</v>
      </c>
      <c r="L356" s="27">
        <v>-220609.21</v>
      </c>
      <c r="M356" s="28">
        <f>-SUMIFS(Aut_Endividamentos!$N:$N,Aut_Endividamentos!$S:$S,DRE!K$4,Aut_Endividamentos!$G:$G,$A356)+SUMIFS(Aut_Ajustes_Manuais!$G:$G,Aut_Ajustes_Manuais!$I:$I,DRE!K$4,Aut_Ajustes_Manuais!$F:$F,"Endividamento Geral")</f>
        <v>-170430.84</v>
      </c>
      <c r="N356" s="241">
        <v>-21907.69</v>
      </c>
      <c r="O356" s="27">
        <v>-220609.21</v>
      </c>
      <c r="P356" s="28">
        <f>-SUMIFS(Aut_Endividamentos!$N:$N,Aut_Endividamentos!$S:$S,DRE!N$4,Aut_Endividamentos!$G:$G,$A356)+SUMIFS(Aut_Ajustes_Manuais!$G:$G,Aut_Ajustes_Manuais!$I:$I,DRE!N$4,Aut_Ajustes_Manuais!$F:$F,"Endividamento Geral")</f>
        <v>-123182.71</v>
      </c>
      <c r="Q356" s="241">
        <v>-20000</v>
      </c>
      <c r="R356" s="27">
        <v>-25792.21</v>
      </c>
      <c r="S356" s="28">
        <f>-SUMIFS(Aut_Endividamentos!$N:$N,Aut_Endividamentos!$S:$S,DRE!Q$4,Aut_Endividamentos!$G:$G,$A356)+SUMIFS(Aut_Ajustes_Manuais!$G:$G,Aut_Ajustes_Manuais!$I:$I,DRE!Q$4,Aut_Ajustes_Manuais!$F:$F,"Endividamento Geral")</f>
        <v>-39455.15</v>
      </c>
      <c r="T356" s="241">
        <v>-20000</v>
      </c>
      <c r="U356" s="27">
        <v>-25792.21</v>
      </c>
      <c r="V356" s="28">
        <f>-SUMIFS(Aut_Endividamentos!$N:$N,Aut_Endividamentos!$S:$S,DRE!T$4,Aut_Endividamentos!$G:$G,$A356)+SUMIFS(Aut_Ajustes_Manuais!$G:$G,Aut_Ajustes_Manuais!$I:$I,DRE!T$4,Aut_Ajustes_Manuais!$F:$F,"Endividamento Geral")</f>
        <v>-39591.770000000004</v>
      </c>
      <c r="W356" s="241">
        <v>-20000</v>
      </c>
      <c r="X356" s="27">
        <v>-25792.21</v>
      </c>
      <c r="Y356" s="28">
        <f>-SUMIFS(Aut_Endividamentos!$N:$N,Aut_Endividamentos!$S:$S,DRE!W$4,Aut_Endividamentos!$G:$G,$A356)+SUMIFS(Aut_Ajustes_Manuais!$G:$G,Aut_Ajustes_Manuais!$I:$I,DRE!W$4,Aut_Ajustes_Manuais!$F:$F,"Endividamento Geral")</f>
        <v>-39737.97</v>
      </c>
      <c r="Z356" s="241">
        <v>-20000</v>
      </c>
      <c r="AA356" s="27">
        <v>-105792.21</v>
      </c>
      <c r="AB356" s="28">
        <f>-SUMIFS(Aut_Endividamentos!$N:$N,Aut_Endividamentos!$S:$S,DRE!Z$4,Aut_Endividamentos!$G:$G,$A356)+SUMIFS(Aut_Ajustes_Manuais!$G:$G,Aut_Ajustes_Manuais!$I:$I,DRE!Z$4,Aut_Ajustes_Manuais!$F:$F,"Endividamento Geral")</f>
        <v>0</v>
      </c>
      <c r="AC356" s="241">
        <v>-20000</v>
      </c>
      <c r="AD356" s="27">
        <v>-25792.21</v>
      </c>
      <c r="AE356" s="28">
        <f>-SUMIFS(Aut_Endividamentos!$N:$N,Aut_Endividamentos!$S:$S,DRE!AC$4,Aut_Endividamentos!$G:$G,$A356)+SUMIFS(Aut_Ajustes_Manuais!$G:$G,Aut_Ajustes_Manuais!$I:$I,DRE!AC$4,Aut_Ajustes_Manuais!$F:$F,"Endividamento Geral")</f>
        <v>0</v>
      </c>
      <c r="AF356" s="241">
        <v>-100000</v>
      </c>
      <c r="AG356" s="27">
        <v>-25792.21</v>
      </c>
      <c r="AH356" s="28">
        <f>-SUMIFS(Aut_Endividamentos!$N:$N,Aut_Endividamentos!$S:$S,DRE!AF$4,Aut_Endividamentos!$G:$G,$A356)+SUMIFS(Aut_Ajustes_Manuais!$G:$G,Aut_Ajustes_Manuais!$I:$I,DRE!AF$4,Aut_Ajustes_Manuais!$F:$F,"Endividamento Geral")</f>
        <v>0</v>
      </c>
      <c r="AI356" s="241">
        <v>-20000</v>
      </c>
      <c r="AJ356" s="27">
        <v>-25792.21</v>
      </c>
      <c r="AK356" s="28">
        <f>-SUMIFS(Aut_Endividamentos!$N:$N,Aut_Endividamentos!$S:$S,DRE!AI$4,Aut_Endividamentos!$G:$G,$A356)+SUMIFS(Aut_Ajustes_Manuais!$G:$G,Aut_Ajustes_Manuais!$I:$I,DRE!AI$4,Aut_Ajustes_Manuais!$F:$F,"Endividamento Geral")</f>
        <v>0</v>
      </c>
      <c r="AL356" s="241">
        <v>-20000</v>
      </c>
      <c r="AM356" s="27">
        <v>-25792.21</v>
      </c>
      <c r="AN356" s="28">
        <f>-SUMIFS(Aut_Endividamentos!$N:$N,Aut_Endividamentos!$S:$S,DRE!AL$4,Aut_Endividamentos!$G:$G,$A356)+SUMIFS(Aut_Ajustes_Manuais!$G:$G,Aut_Ajustes_Manuais!$I:$I,DRE!AL$4,Aut_Ajustes_Manuais!$F:$F,"Endividamento Geral")</f>
        <v>0</v>
      </c>
      <c r="AO356" s="241">
        <v>-99570.38</v>
      </c>
      <c r="AP356" s="27">
        <v>-25792.21</v>
      </c>
      <c r="AQ356" s="28">
        <f>-SUMIFS(Aut_Endividamentos!$N:$N,Aut_Endividamentos!$S:$S,DRE!AO$4,Aut_Endividamentos!$G:$G,$A356)+SUMIFS(Aut_Ajustes_Manuais!$G:$G,Aut_Ajustes_Manuais!$I:$I,DRE!AO$4,Aut_Ajustes_Manuais!$F:$F,"Endividamento Geral")</f>
        <v>0</v>
      </c>
      <c r="AR356" s="241">
        <f t="shared" ca="1" si="346"/>
        <v>-125723.06999999999</v>
      </c>
      <c r="AS356" s="27">
        <f t="shared" ca="1" si="347"/>
        <v>-739204.25999999989</v>
      </c>
      <c r="AT356" s="28">
        <f t="shared" ca="1" si="348"/>
        <v>-514695.01000000013</v>
      </c>
      <c r="AU356" s="241">
        <f t="shared" si="349"/>
        <v>-405293.45</v>
      </c>
      <c r="AV356" s="27">
        <f t="shared" si="349"/>
        <v>-973957.51999999967</v>
      </c>
      <c r="AW356" s="28">
        <f t="shared" si="349"/>
        <v>-514695.01000000013</v>
      </c>
      <c r="AX356" s="241">
        <f t="shared" si="350"/>
        <v>-65723.069999999992</v>
      </c>
      <c r="AY356" s="27">
        <f t="shared" si="350"/>
        <v>-661827.63</v>
      </c>
      <c r="AZ356" s="28">
        <f t="shared" si="350"/>
        <v>-395910.12000000005</v>
      </c>
      <c r="BA356" s="241">
        <f t="shared" si="351"/>
        <v>-60000</v>
      </c>
      <c r="BB356" s="27">
        <f t="shared" si="351"/>
        <v>-77376.63</v>
      </c>
      <c r="BC356" s="28">
        <f t="shared" si="351"/>
        <v>-118784.89000000001</v>
      </c>
      <c r="BD356" s="241">
        <f t="shared" si="352"/>
        <v>-140000</v>
      </c>
      <c r="BE356" s="27">
        <f t="shared" si="352"/>
        <v>-157376.63</v>
      </c>
      <c r="BF356" s="28">
        <f t="shared" si="352"/>
        <v>0</v>
      </c>
      <c r="BG356" s="241">
        <f t="shared" si="353"/>
        <v>-139570.38</v>
      </c>
      <c r="BH356" s="27">
        <f t="shared" si="353"/>
        <v>-77376.63</v>
      </c>
      <c r="BI356" s="28">
        <f t="shared" si="353"/>
        <v>0</v>
      </c>
      <c r="BK356" s="448">
        <f t="shared" si="341"/>
        <v>-973957.51999999967</v>
      </c>
      <c r="BL356" s="448">
        <f t="shared" si="342"/>
        <v>0</v>
      </c>
      <c r="BM356" s="448">
        <f t="shared" si="343"/>
        <v>-435365.27000000008</v>
      </c>
      <c r="BN356" s="448">
        <f t="shared" ca="1" si="344"/>
        <v>79329.740000000049</v>
      </c>
    </row>
    <row r="357" spans="1:66" s="29" customFormat="1" hidden="1" outlineLevel="1" x14ac:dyDescent="0.3">
      <c r="A357" s="22" t="s">
        <v>370</v>
      </c>
      <c r="B357" s="59"/>
      <c r="C357" s="24" t="s">
        <v>62</v>
      </c>
      <c r="D357" s="25"/>
      <c r="E357" s="25"/>
      <c r="F357" s="63"/>
      <c r="G357" s="33"/>
      <c r="H357" s="241">
        <v>-8800</v>
      </c>
      <c r="I357" s="27"/>
      <c r="J357" s="28">
        <f>-SUMIFS(Aut_Endividamentos!$N:$N,Aut_Endividamentos!$S:$S,DRE!H$4,Aut_Endividamentos!$G:$G,$A357)+SUMIFS(Aut_Ajustes_Manuais!$G:$G,Aut_Ajustes_Manuais!$I:$I,DRE!H$4,Aut_Ajustes_Manuais!$F:$F,"Processo Judicial")</f>
        <v>0</v>
      </c>
      <c r="K357" s="241">
        <v>-8800</v>
      </c>
      <c r="L357" s="27"/>
      <c r="M357" s="28">
        <f>-SUMIFS(Aut_Endividamentos!$N:$N,Aut_Endividamentos!$S:$S,DRE!K$4,Aut_Endividamentos!$G:$G,$A357)+SUMIFS(Aut_Ajustes_Manuais!$G:$G,Aut_Ajustes_Manuais!$I:$I,DRE!K$4,Aut_Ajustes_Manuais!$F:$F,"Processo Judicial")</f>
        <v>0</v>
      </c>
      <c r="N357" s="241">
        <v>-9300</v>
      </c>
      <c r="O357" s="27"/>
      <c r="P357" s="28">
        <f>-SUMIFS(Aut_Endividamentos!$N:$N,Aut_Endividamentos!$S:$S,DRE!N$4,Aut_Endividamentos!$G:$G,$A357)+SUMIFS(Aut_Ajustes_Manuais!$G:$G,Aut_Ajustes_Manuais!$I:$I,DRE!N$4,Aut_Ajustes_Manuais!$F:$F,"Processo Judicial")</f>
        <v>0</v>
      </c>
      <c r="Q357" s="241">
        <v>0</v>
      </c>
      <c r="R357" s="27"/>
      <c r="S357" s="28">
        <f>-SUMIFS(Aut_Endividamentos!$N:$N,Aut_Endividamentos!$S:$S,DRE!Q$4,Aut_Endividamentos!$G:$G,$A357)+SUMIFS(Aut_Ajustes_Manuais!$G:$G,Aut_Ajustes_Manuais!$I:$I,DRE!Q$4,Aut_Ajustes_Manuais!$F:$F,"Processo Judicial")</f>
        <v>-2000.75</v>
      </c>
      <c r="T357" s="241">
        <v>-8244.07</v>
      </c>
      <c r="U357" s="27"/>
      <c r="V357" s="28">
        <f>-SUMIFS(Aut_Endividamentos!$N:$N,Aut_Endividamentos!$S:$S,DRE!T$4,Aut_Endividamentos!$G:$G,$A357)+SUMIFS(Aut_Ajustes_Manuais!$G:$G,Aut_Ajustes_Manuais!$I:$I,DRE!T$4,Aut_Ajustes_Manuais!$F:$F,"Processo Judicial")</f>
        <v>-2000.75</v>
      </c>
      <c r="W357" s="241">
        <v>0</v>
      </c>
      <c r="X357" s="27"/>
      <c r="Y357" s="28">
        <f>-SUMIFS(Aut_Endividamentos!$N:$N,Aut_Endividamentos!$S:$S,DRE!W$4,Aut_Endividamentos!$G:$G,$A357)+SUMIFS(Aut_Ajustes_Manuais!$G:$G,Aut_Ajustes_Manuais!$I:$I,DRE!W$4,Aut_Ajustes_Manuais!$F:$F,"Processo Judicial")</f>
        <v>-2000.75</v>
      </c>
      <c r="Z357" s="241">
        <v>0</v>
      </c>
      <c r="AA357" s="27"/>
      <c r="AB357" s="28">
        <f>-SUMIFS(Aut_Endividamentos!$N:$N,Aut_Endividamentos!$S:$S,DRE!Z$4,Aut_Endividamentos!$G:$G,$A357)+SUMIFS(Aut_Ajustes_Manuais!$G:$G,Aut_Ajustes_Manuais!$I:$I,DRE!Z$4,Aut_Ajustes_Manuais!$F:$F,"Processo Judicial")</f>
        <v>0</v>
      </c>
      <c r="AC357" s="241">
        <v>0</v>
      </c>
      <c r="AD357" s="27"/>
      <c r="AE357" s="28">
        <f>-SUMIFS(Aut_Endividamentos!$N:$N,Aut_Endividamentos!$S:$S,DRE!AC$4,Aut_Endividamentos!$G:$G,$A357)+SUMIFS(Aut_Ajustes_Manuais!$G:$G,Aut_Ajustes_Manuais!$I:$I,DRE!AC$4,Aut_Ajustes_Manuais!$F:$F,"Processo Judicial")</f>
        <v>0</v>
      </c>
      <c r="AF357" s="241">
        <v>0</v>
      </c>
      <c r="AG357" s="27"/>
      <c r="AH357" s="28">
        <f>-SUMIFS(Aut_Endividamentos!$N:$N,Aut_Endividamentos!$S:$S,DRE!AF$4,Aut_Endividamentos!$G:$G,$A357)+SUMIFS(Aut_Ajustes_Manuais!$G:$G,Aut_Ajustes_Manuais!$I:$I,DRE!AF$4,Aut_Ajustes_Manuais!$F:$F,"Processo Judicial")</f>
        <v>0</v>
      </c>
      <c r="AI357" s="241">
        <v>0</v>
      </c>
      <c r="AJ357" s="27"/>
      <c r="AK357" s="28">
        <f>-SUMIFS(Aut_Endividamentos!$N:$N,Aut_Endividamentos!$S:$S,DRE!AI$4,Aut_Endividamentos!$G:$G,$A357)+SUMIFS(Aut_Ajustes_Manuais!$G:$G,Aut_Ajustes_Manuais!$I:$I,DRE!AI$4,Aut_Ajustes_Manuais!$F:$F,"Processo Judicial")</f>
        <v>0</v>
      </c>
      <c r="AL357" s="241">
        <v>0</v>
      </c>
      <c r="AM357" s="27"/>
      <c r="AN357" s="28">
        <f>-SUMIFS(Aut_Endividamentos!$N:$N,Aut_Endividamentos!$S:$S,DRE!AL$4,Aut_Endividamentos!$G:$G,$A357)+SUMIFS(Aut_Ajustes_Manuais!$G:$G,Aut_Ajustes_Manuais!$I:$I,DRE!AL$4,Aut_Ajustes_Manuais!$F:$F,"Processo Judicial")</f>
        <v>0</v>
      </c>
      <c r="AO357" s="241">
        <v>0</v>
      </c>
      <c r="AP357" s="27"/>
      <c r="AQ357" s="28">
        <f>-SUMIFS(Aut_Endividamentos!$N:$N,Aut_Endividamentos!$S:$S,DRE!AO$4,Aut_Endividamentos!$G:$G,$A357)+SUMIFS(Aut_Ajustes_Manuais!$G:$G,Aut_Ajustes_Manuais!$I:$I,DRE!AO$4,Aut_Ajustes_Manuais!$F:$F,"Processo Judicial")</f>
        <v>0</v>
      </c>
      <c r="AR357" s="241">
        <f t="shared" ca="1" si="346"/>
        <v>-35144.07</v>
      </c>
      <c r="AS357" s="27">
        <f t="shared" ca="1" si="347"/>
        <v>0</v>
      </c>
      <c r="AT357" s="28">
        <f t="shared" ca="1" si="348"/>
        <v>-6002.25</v>
      </c>
      <c r="AU357" s="241">
        <f t="shared" si="349"/>
        <v>-35144.07</v>
      </c>
      <c r="AV357" s="27">
        <f t="shared" si="349"/>
        <v>0</v>
      </c>
      <c r="AW357" s="28">
        <f t="shared" si="349"/>
        <v>-6002.25</v>
      </c>
      <c r="AX357" s="241">
        <f t="shared" si="350"/>
        <v>-26900</v>
      </c>
      <c r="AY357" s="27">
        <f t="shared" si="350"/>
        <v>0</v>
      </c>
      <c r="AZ357" s="28">
        <f t="shared" si="350"/>
        <v>0</v>
      </c>
      <c r="BA357" s="241">
        <f t="shared" si="351"/>
        <v>-8244.07</v>
      </c>
      <c r="BB357" s="27">
        <f t="shared" si="351"/>
        <v>0</v>
      </c>
      <c r="BC357" s="28">
        <f t="shared" si="351"/>
        <v>-6002.25</v>
      </c>
      <c r="BD357" s="241">
        <f t="shared" si="352"/>
        <v>0</v>
      </c>
      <c r="BE357" s="27">
        <f t="shared" si="352"/>
        <v>0</v>
      </c>
      <c r="BF357" s="28">
        <f t="shared" si="352"/>
        <v>0</v>
      </c>
      <c r="BG357" s="241">
        <f t="shared" si="353"/>
        <v>0</v>
      </c>
      <c r="BH357" s="27">
        <f t="shared" si="353"/>
        <v>0</v>
      </c>
      <c r="BI357" s="28">
        <f t="shared" si="353"/>
        <v>0</v>
      </c>
      <c r="BK357" s="448">
        <f t="shared" si="341"/>
        <v>0</v>
      </c>
      <c r="BL357" s="448">
        <f t="shared" si="342"/>
        <v>0</v>
      </c>
      <c r="BM357" s="448">
        <f t="shared" si="343"/>
        <v>-2000.75</v>
      </c>
      <c r="BN357" s="448">
        <f t="shared" ca="1" si="344"/>
        <v>4001.5</v>
      </c>
    </row>
    <row r="358" spans="1:66" s="29" customFormat="1" hidden="1" outlineLevel="1" x14ac:dyDescent="0.3">
      <c r="A358" s="22" t="s">
        <v>371</v>
      </c>
      <c r="B358" s="59"/>
      <c r="C358" s="24" t="s">
        <v>62</v>
      </c>
      <c r="D358" s="25"/>
      <c r="E358" s="25"/>
      <c r="F358" s="63"/>
      <c r="G358" s="33"/>
      <c r="H358" s="241">
        <v>0</v>
      </c>
      <c r="I358" s="27"/>
      <c r="J358" s="28">
        <f>-SUMIFS(Aut_Endividamentos!$N:$N,Aut_Endividamentos!$S:$S,DRE!H$4,Aut_Endividamentos!$G:$G,$A358)+SUMIFS(Aut_Ajustes_Manuais!$G:$G,Aut_Ajustes_Manuais!$I:$I,DRE!H$4,Aut_Ajustes_Manuais!$F:$F,"Processo Civil")</f>
        <v>0</v>
      </c>
      <c r="K358" s="241">
        <v>0</v>
      </c>
      <c r="L358" s="27"/>
      <c r="M358" s="28">
        <f>-SUMIFS(Aut_Endividamentos!$N:$N,Aut_Endividamentos!$S:$S,DRE!K$4,Aut_Endividamentos!$G:$G,$A358)+SUMIFS(Aut_Ajustes_Manuais!$G:$G,Aut_Ajustes_Manuais!$I:$I,DRE!K$4,Aut_Ajustes_Manuais!$F:$F,"Processo Civil")</f>
        <v>0</v>
      </c>
      <c r="N358" s="241">
        <v>0</v>
      </c>
      <c r="O358" s="27"/>
      <c r="P358" s="28">
        <f>-SUMIFS(Aut_Endividamentos!$N:$N,Aut_Endividamentos!$S:$S,DRE!N$4,Aut_Endividamentos!$G:$G,$A358)+SUMIFS(Aut_Ajustes_Manuais!$G:$G,Aut_Ajustes_Manuais!$I:$I,DRE!N$4,Aut_Ajustes_Manuais!$F:$F,"Processo Civil")</f>
        <v>0</v>
      </c>
      <c r="Q358" s="241">
        <v>0</v>
      </c>
      <c r="R358" s="27"/>
      <c r="S358" s="28">
        <f>-SUMIFS(Aut_Endividamentos!$N:$N,Aut_Endividamentos!$S:$S,DRE!Q$4,Aut_Endividamentos!$G:$G,$A358)+SUMIFS(Aut_Ajustes_Manuais!$G:$G,Aut_Ajustes_Manuais!$I:$I,DRE!Q$4,Aut_Ajustes_Manuais!$F:$F,"Processo Civil")</f>
        <v>0</v>
      </c>
      <c r="T358" s="241">
        <v>0</v>
      </c>
      <c r="U358" s="27"/>
      <c r="V358" s="28">
        <f>-SUMIFS(Aut_Endividamentos!$N:$N,Aut_Endividamentos!$S:$S,DRE!T$4,Aut_Endividamentos!$G:$G,$A358)+SUMIFS(Aut_Ajustes_Manuais!$G:$G,Aut_Ajustes_Manuais!$I:$I,DRE!T$4,Aut_Ajustes_Manuais!$F:$F,"Processo Civil")</f>
        <v>0</v>
      </c>
      <c r="W358" s="241">
        <v>0</v>
      </c>
      <c r="X358" s="27"/>
      <c r="Y358" s="28">
        <f>-SUMIFS(Aut_Endividamentos!$N:$N,Aut_Endividamentos!$S:$S,DRE!W$4,Aut_Endividamentos!$G:$G,$A358)+SUMIFS(Aut_Ajustes_Manuais!$G:$G,Aut_Ajustes_Manuais!$I:$I,DRE!W$4,Aut_Ajustes_Manuais!$F:$F,"Processo Civil")</f>
        <v>0</v>
      </c>
      <c r="Z358" s="241">
        <v>0</v>
      </c>
      <c r="AA358" s="27"/>
      <c r="AB358" s="28">
        <f>-SUMIFS(Aut_Endividamentos!$N:$N,Aut_Endividamentos!$S:$S,DRE!Z$4,Aut_Endividamentos!$G:$G,$A358)+SUMIFS(Aut_Ajustes_Manuais!$G:$G,Aut_Ajustes_Manuais!$I:$I,DRE!Z$4,Aut_Ajustes_Manuais!$F:$F,"Processo Civil")</f>
        <v>0</v>
      </c>
      <c r="AC358" s="241">
        <v>0</v>
      </c>
      <c r="AD358" s="27"/>
      <c r="AE358" s="28">
        <f>-SUMIFS(Aut_Endividamentos!$N:$N,Aut_Endividamentos!$S:$S,DRE!AC$4,Aut_Endividamentos!$G:$G,$A358)+SUMIFS(Aut_Ajustes_Manuais!$G:$G,Aut_Ajustes_Manuais!$I:$I,DRE!AC$4,Aut_Ajustes_Manuais!$F:$F,"Processo Civil")</f>
        <v>0</v>
      </c>
      <c r="AF358" s="241">
        <v>0</v>
      </c>
      <c r="AG358" s="27"/>
      <c r="AH358" s="28">
        <f>-SUMIFS(Aut_Endividamentos!$N:$N,Aut_Endividamentos!$S:$S,DRE!AF$4,Aut_Endividamentos!$G:$G,$A358)+SUMIFS(Aut_Ajustes_Manuais!$G:$G,Aut_Ajustes_Manuais!$I:$I,DRE!AF$4,Aut_Ajustes_Manuais!$F:$F,"Processo Civil")</f>
        <v>0</v>
      </c>
      <c r="AI358" s="241">
        <v>0</v>
      </c>
      <c r="AJ358" s="27"/>
      <c r="AK358" s="28">
        <f>-SUMIFS(Aut_Endividamentos!$N:$N,Aut_Endividamentos!$S:$S,DRE!AI$4,Aut_Endividamentos!$G:$G,$A358)+SUMIFS(Aut_Ajustes_Manuais!$G:$G,Aut_Ajustes_Manuais!$I:$I,DRE!AI$4,Aut_Ajustes_Manuais!$F:$F,"Processo Civil")</f>
        <v>0</v>
      </c>
      <c r="AL358" s="241">
        <v>0</v>
      </c>
      <c r="AM358" s="27"/>
      <c r="AN358" s="28">
        <f>-SUMIFS(Aut_Endividamentos!$N:$N,Aut_Endividamentos!$S:$S,DRE!AL$4,Aut_Endividamentos!$G:$G,$A358)+SUMIFS(Aut_Ajustes_Manuais!$G:$G,Aut_Ajustes_Manuais!$I:$I,DRE!AL$4,Aut_Ajustes_Manuais!$F:$F,"Processo Civil")</f>
        <v>0</v>
      </c>
      <c r="AO358" s="241">
        <v>0</v>
      </c>
      <c r="AP358" s="27"/>
      <c r="AQ358" s="28">
        <f>-SUMIFS(Aut_Endividamentos!$N:$N,Aut_Endividamentos!$S:$S,DRE!AO$4,Aut_Endividamentos!$G:$G,$A358)+SUMIFS(Aut_Ajustes_Manuais!$G:$G,Aut_Ajustes_Manuais!$I:$I,DRE!AO$4,Aut_Ajustes_Manuais!$F:$F,"Processo Civil")</f>
        <v>0</v>
      </c>
      <c r="AR358" s="241">
        <f t="shared" ca="1" si="346"/>
        <v>0</v>
      </c>
      <c r="AS358" s="27">
        <f t="shared" ca="1" si="347"/>
        <v>0</v>
      </c>
      <c r="AT358" s="28">
        <f t="shared" ca="1" si="348"/>
        <v>0</v>
      </c>
      <c r="AU358" s="241">
        <f t="shared" si="349"/>
        <v>0</v>
      </c>
      <c r="AV358" s="27">
        <f t="shared" si="349"/>
        <v>0</v>
      </c>
      <c r="AW358" s="28">
        <f t="shared" si="349"/>
        <v>0</v>
      </c>
      <c r="AX358" s="241">
        <f t="shared" si="350"/>
        <v>0</v>
      </c>
      <c r="AY358" s="27">
        <f t="shared" si="350"/>
        <v>0</v>
      </c>
      <c r="AZ358" s="28">
        <f t="shared" si="350"/>
        <v>0</v>
      </c>
      <c r="BA358" s="241">
        <f t="shared" si="351"/>
        <v>0</v>
      </c>
      <c r="BB358" s="27">
        <f t="shared" si="351"/>
        <v>0</v>
      </c>
      <c r="BC358" s="28">
        <f t="shared" si="351"/>
        <v>0</v>
      </c>
      <c r="BD358" s="241">
        <f t="shared" si="352"/>
        <v>0</v>
      </c>
      <c r="BE358" s="27">
        <f t="shared" si="352"/>
        <v>0</v>
      </c>
      <c r="BF358" s="28">
        <f t="shared" si="352"/>
        <v>0</v>
      </c>
      <c r="BG358" s="241">
        <f t="shared" si="353"/>
        <v>0</v>
      </c>
      <c r="BH358" s="27">
        <f t="shared" si="353"/>
        <v>0</v>
      </c>
      <c r="BI358" s="28">
        <f t="shared" si="353"/>
        <v>0</v>
      </c>
      <c r="BK358" s="448">
        <f t="shared" si="341"/>
        <v>0</v>
      </c>
      <c r="BL358" s="448">
        <f t="shared" si="342"/>
        <v>0</v>
      </c>
      <c r="BM358" s="448">
        <f t="shared" si="343"/>
        <v>0</v>
      </c>
      <c r="BN358" s="448">
        <f t="shared" ca="1" si="344"/>
        <v>0</v>
      </c>
    </row>
    <row r="359" spans="1:66" s="29" customFormat="1" hidden="1" outlineLevel="1" x14ac:dyDescent="0.3">
      <c r="A359" s="22" t="s">
        <v>372</v>
      </c>
      <c r="B359" s="59"/>
      <c r="C359" s="24" t="s">
        <v>62</v>
      </c>
      <c r="D359" s="25"/>
      <c r="E359" s="25"/>
      <c r="F359" s="63"/>
      <c r="G359" s="33"/>
      <c r="H359" s="241">
        <v>0</v>
      </c>
      <c r="I359" s="27"/>
      <c r="J359" s="28">
        <f>-SUMIFS(Aut_Endividamentos!$N:$N,Aut_Endividamentos!$S:$S,DRE!H$4,Aut_Endividamentos!$G:$G,$A359)+SUMIFS(Aut_Ajustes_Manuais!$G:$G,Aut_Ajustes_Manuais!$I:$I,DRE!H$4,Aut_Ajustes_Manuais!$F:$F,"Recurso Processual")</f>
        <v>0</v>
      </c>
      <c r="K359" s="241">
        <v>0</v>
      </c>
      <c r="L359" s="27"/>
      <c r="M359" s="28">
        <f>-SUMIFS(Aut_Endividamentos!$N:$N,Aut_Endividamentos!$S:$S,DRE!K$4,Aut_Endividamentos!$G:$G,$A359)+SUMIFS(Aut_Ajustes_Manuais!$G:$G,Aut_Ajustes_Manuais!$I:$I,DRE!K$4,Aut_Ajustes_Manuais!$F:$F,"Recurso Processual")</f>
        <v>0</v>
      </c>
      <c r="N359" s="241">
        <v>0</v>
      </c>
      <c r="O359" s="27"/>
      <c r="P359" s="28">
        <f>-SUMIFS(Aut_Endividamentos!$N:$N,Aut_Endividamentos!$S:$S,DRE!N$4,Aut_Endividamentos!$G:$G,$A359)+SUMIFS(Aut_Ajustes_Manuais!$G:$G,Aut_Ajustes_Manuais!$I:$I,DRE!N$4,Aut_Ajustes_Manuais!$F:$F,"Recurso Processual")</f>
        <v>0</v>
      </c>
      <c r="Q359" s="241">
        <v>0</v>
      </c>
      <c r="R359" s="27"/>
      <c r="S359" s="28">
        <f>-SUMIFS(Aut_Endividamentos!$N:$N,Aut_Endividamentos!$S:$S,DRE!Q$4,Aut_Endividamentos!$G:$G,$A359)+SUMIFS(Aut_Ajustes_Manuais!$G:$G,Aut_Ajustes_Manuais!$I:$I,DRE!Q$4,Aut_Ajustes_Manuais!$F:$F,"Recurso Processual")</f>
        <v>0</v>
      </c>
      <c r="T359" s="241">
        <v>0</v>
      </c>
      <c r="U359" s="27"/>
      <c r="V359" s="28">
        <f>-SUMIFS(Aut_Endividamentos!$N:$N,Aut_Endividamentos!$S:$S,DRE!T$4,Aut_Endividamentos!$G:$G,$A359)+SUMIFS(Aut_Ajustes_Manuais!$G:$G,Aut_Ajustes_Manuais!$I:$I,DRE!T$4,Aut_Ajustes_Manuais!$F:$F,"Recurso Processual")</f>
        <v>0</v>
      </c>
      <c r="W359" s="241">
        <v>0</v>
      </c>
      <c r="X359" s="27"/>
      <c r="Y359" s="28">
        <f>-SUMIFS(Aut_Endividamentos!$N:$N,Aut_Endividamentos!$S:$S,DRE!W$4,Aut_Endividamentos!$G:$G,$A359)+SUMIFS(Aut_Ajustes_Manuais!$G:$G,Aut_Ajustes_Manuais!$I:$I,DRE!W$4,Aut_Ajustes_Manuais!$F:$F,"Recurso Processual")</f>
        <v>0</v>
      </c>
      <c r="Z359" s="241">
        <v>0</v>
      </c>
      <c r="AA359" s="27"/>
      <c r="AB359" s="28">
        <f>-SUMIFS(Aut_Endividamentos!$N:$N,Aut_Endividamentos!$S:$S,DRE!Z$4,Aut_Endividamentos!$G:$G,$A359)+SUMIFS(Aut_Ajustes_Manuais!$G:$G,Aut_Ajustes_Manuais!$I:$I,DRE!Z$4,Aut_Ajustes_Manuais!$F:$F,"Recurso Processual")</f>
        <v>0</v>
      </c>
      <c r="AC359" s="241">
        <v>0</v>
      </c>
      <c r="AD359" s="27"/>
      <c r="AE359" s="28">
        <f>-SUMIFS(Aut_Endividamentos!$N:$N,Aut_Endividamentos!$S:$S,DRE!AC$4,Aut_Endividamentos!$G:$G,$A359)+SUMIFS(Aut_Ajustes_Manuais!$G:$G,Aut_Ajustes_Manuais!$I:$I,DRE!AC$4,Aut_Ajustes_Manuais!$F:$F,"Recurso Processual")</f>
        <v>0</v>
      </c>
      <c r="AF359" s="241">
        <v>0</v>
      </c>
      <c r="AG359" s="27"/>
      <c r="AH359" s="28">
        <f>-SUMIFS(Aut_Endividamentos!$N:$N,Aut_Endividamentos!$S:$S,DRE!AF$4,Aut_Endividamentos!$G:$G,$A359)+SUMIFS(Aut_Ajustes_Manuais!$G:$G,Aut_Ajustes_Manuais!$I:$I,DRE!AF$4,Aut_Ajustes_Manuais!$F:$F,"Recurso Processual")</f>
        <v>0</v>
      </c>
      <c r="AI359" s="241">
        <v>0</v>
      </c>
      <c r="AJ359" s="27"/>
      <c r="AK359" s="28">
        <f>-SUMIFS(Aut_Endividamentos!$N:$N,Aut_Endividamentos!$S:$S,DRE!AI$4,Aut_Endividamentos!$G:$G,$A359)+SUMIFS(Aut_Ajustes_Manuais!$G:$G,Aut_Ajustes_Manuais!$I:$I,DRE!AI$4,Aut_Ajustes_Manuais!$F:$F,"Recurso Processual")</f>
        <v>0</v>
      </c>
      <c r="AL359" s="241">
        <v>0</v>
      </c>
      <c r="AM359" s="27"/>
      <c r="AN359" s="28">
        <f>-SUMIFS(Aut_Endividamentos!$N:$N,Aut_Endividamentos!$S:$S,DRE!AL$4,Aut_Endividamentos!$G:$G,$A359)+SUMIFS(Aut_Ajustes_Manuais!$G:$G,Aut_Ajustes_Manuais!$I:$I,DRE!AL$4,Aut_Ajustes_Manuais!$F:$F,"Recurso Processual")</f>
        <v>0</v>
      </c>
      <c r="AO359" s="241">
        <v>0</v>
      </c>
      <c r="AP359" s="27"/>
      <c r="AQ359" s="28">
        <f>-SUMIFS(Aut_Endividamentos!$N:$N,Aut_Endividamentos!$S:$S,DRE!AO$4,Aut_Endividamentos!$G:$G,$A359)+SUMIFS(Aut_Ajustes_Manuais!$G:$G,Aut_Ajustes_Manuais!$I:$I,DRE!AO$4,Aut_Ajustes_Manuais!$F:$F,"Recurso Processual")</f>
        <v>0</v>
      </c>
      <c r="AR359" s="241">
        <f t="shared" ca="1" si="346"/>
        <v>0</v>
      </c>
      <c r="AS359" s="27">
        <f t="shared" ca="1" si="347"/>
        <v>0</v>
      </c>
      <c r="AT359" s="28">
        <f t="shared" ca="1" si="348"/>
        <v>0</v>
      </c>
      <c r="AU359" s="241">
        <f t="shared" si="349"/>
        <v>0</v>
      </c>
      <c r="AV359" s="27">
        <f t="shared" si="349"/>
        <v>0</v>
      </c>
      <c r="AW359" s="28">
        <f t="shared" si="349"/>
        <v>0</v>
      </c>
      <c r="AX359" s="241">
        <f t="shared" si="350"/>
        <v>0</v>
      </c>
      <c r="AY359" s="27">
        <f t="shared" si="350"/>
        <v>0</v>
      </c>
      <c r="AZ359" s="28">
        <f t="shared" si="350"/>
        <v>0</v>
      </c>
      <c r="BA359" s="241">
        <f t="shared" si="351"/>
        <v>0</v>
      </c>
      <c r="BB359" s="27">
        <f t="shared" si="351"/>
        <v>0</v>
      </c>
      <c r="BC359" s="28">
        <f t="shared" si="351"/>
        <v>0</v>
      </c>
      <c r="BD359" s="241">
        <f t="shared" si="352"/>
        <v>0</v>
      </c>
      <c r="BE359" s="27">
        <f t="shared" si="352"/>
        <v>0</v>
      </c>
      <c r="BF359" s="28">
        <f t="shared" si="352"/>
        <v>0</v>
      </c>
      <c r="BG359" s="241">
        <f t="shared" si="353"/>
        <v>0</v>
      </c>
      <c r="BH359" s="27">
        <f t="shared" si="353"/>
        <v>0</v>
      </c>
      <c r="BI359" s="28">
        <f t="shared" si="353"/>
        <v>0</v>
      </c>
      <c r="BK359" s="448">
        <f t="shared" si="341"/>
        <v>0</v>
      </c>
      <c r="BL359" s="448">
        <f t="shared" si="342"/>
        <v>0</v>
      </c>
      <c r="BM359" s="448">
        <f t="shared" si="343"/>
        <v>0</v>
      </c>
      <c r="BN359" s="448">
        <f t="shared" ca="1" si="344"/>
        <v>0</v>
      </c>
    </row>
    <row r="360" spans="1:66" s="29" customFormat="1" hidden="1" outlineLevel="1" x14ac:dyDescent="0.3">
      <c r="A360" s="22" t="s">
        <v>373</v>
      </c>
      <c r="B360" s="59"/>
      <c r="C360" s="24" t="s">
        <v>62</v>
      </c>
      <c r="D360" s="25"/>
      <c r="E360" s="25"/>
      <c r="F360" s="63"/>
      <c r="G360" s="33"/>
      <c r="H360" s="241">
        <v>0</v>
      </c>
      <c r="I360" s="27"/>
      <c r="J360" s="28">
        <f>-SUMIFS(Aut_Endividamentos!$N:$N,Aut_Endividamentos!$S:$S,DRE!H$4,Aut_Endividamentos!$G:$G,$A360)+SUMIFS(Aut_Ajustes_Manuais!$G:$G,Aut_Ajustes_Manuais!$I:$I,DRE!H$4,Aut_Ajustes_Manuais!$F:$F,"Empréstimos Gerais")</f>
        <v>0</v>
      </c>
      <c r="K360" s="241">
        <v>0</v>
      </c>
      <c r="L360" s="27"/>
      <c r="M360" s="28">
        <f>-SUMIFS(Aut_Endividamentos!$N:$N,Aut_Endividamentos!$S:$S,DRE!K$4,Aut_Endividamentos!$G:$G,$A360)+SUMIFS(Aut_Ajustes_Manuais!$G:$G,Aut_Ajustes_Manuais!$I:$I,DRE!K$4,Aut_Ajustes_Manuais!$F:$F,"Empréstimos Gerais")</f>
        <v>0</v>
      </c>
      <c r="N360" s="241">
        <v>0</v>
      </c>
      <c r="O360" s="27"/>
      <c r="P360" s="28">
        <f>-SUMIFS(Aut_Endividamentos!$N:$N,Aut_Endividamentos!$S:$S,DRE!N$4,Aut_Endividamentos!$G:$G,$A360)+SUMIFS(Aut_Ajustes_Manuais!$G:$G,Aut_Ajustes_Manuais!$I:$I,DRE!N$4,Aut_Ajustes_Manuais!$F:$F,"Empréstimos Gerais")</f>
        <v>0</v>
      </c>
      <c r="Q360" s="241">
        <v>0</v>
      </c>
      <c r="R360" s="27"/>
      <c r="S360" s="28">
        <f>-SUMIFS(Aut_Endividamentos!$N:$N,Aut_Endividamentos!$S:$S,DRE!Q$4,Aut_Endividamentos!$G:$G,$A360)+SUMIFS(Aut_Ajustes_Manuais!$G:$G,Aut_Ajustes_Manuais!$I:$I,DRE!Q$4,Aut_Ajustes_Manuais!$F:$F,"Empréstimos Gerais")</f>
        <v>0</v>
      </c>
      <c r="T360" s="241">
        <v>0</v>
      </c>
      <c r="U360" s="27"/>
      <c r="V360" s="28">
        <f>-SUMIFS(Aut_Endividamentos!$N:$N,Aut_Endividamentos!$S:$S,DRE!T$4,Aut_Endividamentos!$G:$G,$A360)+SUMIFS(Aut_Ajustes_Manuais!$G:$G,Aut_Ajustes_Manuais!$I:$I,DRE!T$4,Aut_Ajustes_Manuais!$F:$F,"Empréstimos Gerais")</f>
        <v>0</v>
      </c>
      <c r="W360" s="241">
        <v>0</v>
      </c>
      <c r="X360" s="27"/>
      <c r="Y360" s="28">
        <f>-SUMIFS(Aut_Endividamentos!$N:$N,Aut_Endividamentos!$S:$S,DRE!W$4,Aut_Endividamentos!$G:$G,$A360)+SUMIFS(Aut_Ajustes_Manuais!$G:$G,Aut_Ajustes_Manuais!$I:$I,DRE!W$4,Aut_Ajustes_Manuais!$F:$F,"Empréstimos Gerais")</f>
        <v>0</v>
      </c>
      <c r="Z360" s="241">
        <v>0</v>
      </c>
      <c r="AA360" s="27"/>
      <c r="AB360" s="28">
        <f>-SUMIFS(Aut_Endividamentos!$N:$N,Aut_Endividamentos!$S:$S,DRE!Z$4,Aut_Endividamentos!$G:$G,$A360)+SUMIFS(Aut_Ajustes_Manuais!$G:$G,Aut_Ajustes_Manuais!$I:$I,DRE!Z$4,Aut_Ajustes_Manuais!$F:$F,"Empréstimos Gerais")</f>
        <v>0</v>
      </c>
      <c r="AC360" s="241">
        <v>0</v>
      </c>
      <c r="AD360" s="27"/>
      <c r="AE360" s="28">
        <f>-SUMIFS(Aut_Endividamentos!$N:$N,Aut_Endividamentos!$S:$S,DRE!AC$4,Aut_Endividamentos!$G:$G,$A360)+SUMIFS(Aut_Ajustes_Manuais!$G:$G,Aut_Ajustes_Manuais!$I:$I,DRE!AC$4,Aut_Ajustes_Manuais!$F:$F,"Empréstimos Gerais")</f>
        <v>0</v>
      </c>
      <c r="AF360" s="241">
        <v>0</v>
      </c>
      <c r="AG360" s="27"/>
      <c r="AH360" s="28">
        <f>-SUMIFS(Aut_Endividamentos!$N:$N,Aut_Endividamentos!$S:$S,DRE!AF$4,Aut_Endividamentos!$G:$G,$A360)+SUMIFS(Aut_Ajustes_Manuais!$G:$G,Aut_Ajustes_Manuais!$I:$I,DRE!AF$4,Aut_Ajustes_Manuais!$F:$F,"Empréstimos Gerais")</f>
        <v>0</v>
      </c>
      <c r="AI360" s="241">
        <v>0</v>
      </c>
      <c r="AJ360" s="27"/>
      <c r="AK360" s="28">
        <f>-SUMIFS(Aut_Endividamentos!$N:$N,Aut_Endividamentos!$S:$S,DRE!AI$4,Aut_Endividamentos!$G:$G,$A360)+SUMIFS(Aut_Ajustes_Manuais!$G:$G,Aut_Ajustes_Manuais!$I:$I,DRE!AI$4,Aut_Ajustes_Manuais!$F:$F,"Empréstimos Gerais")</f>
        <v>0</v>
      </c>
      <c r="AL360" s="241">
        <v>0</v>
      </c>
      <c r="AM360" s="27"/>
      <c r="AN360" s="28">
        <f>-SUMIFS(Aut_Endividamentos!$N:$N,Aut_Endividamentos!$S:$S,DRE!AL$4,Aut_Endividamentos!$G:$G,$A360)+SUMIFS(Aut_Ajustes_Manuais!$G:$G,Aut_Ajustes_Manuais!$I:$I,DRE!AL$4,Aut_Ajustes_Manuais!$F:$F,"Empréstimos Gerais")</f>
        <v>0</v>
      </c>
      <c r="AO360" s="241">
        <v>0</v>
      </c>
      <c r="AP360" s="27"/>
      <c r="AQ360" s="28">
        <f>-SUMIFS(Aut_Endividamentos!$N:$N,Aut_Endividamentos!$S:$S,DRE!AO$4,Aut_Endividamentos!$G:$G,$A360)+SUMIFS(Aut_Ajustes_Manuais!$G:$G,Aut_Ajustes_Manuais!$I:$I,DRE!AO$4,Aut_Ajustes_Manuais!$F:$F,"Empréstimos Gerais")</f>
        <v>0</v>
      </c>
      <c r="AR360" s="241">
        <f t="shared" ca="1" si="346"/>
        <v>0</v>
      </c>
      <c r="AS360" s="27">
        <f t="shared" ca="1" si="347"/>
        <v>0</v>
      </c>
      <c r="AT360" s="28">
        <f t="shared" ca="1" si="348"/>
        <v>0</v>
      </c>
      <c r="AU360" s="241">
        <f t="shared" si="349"/>
        <v>0</v>
      </c>
      <c r="AV360" s="27">
        <f t="shared" si="349"/>
        <v>0</v>
      </c>
      <c r="AW360" s="28">
        <f t="shared" si="349"/>
        <v>0</v>
      </c>
      <c r="AX360" s="241">
        <f t="shared" si="350"/>
        <v>0</v>
      </c>
      <c r="AY360" s="27">
        <f t="shared" si="350"/>
        <v>0</v>
      </c>
      <c r="AZ360" s="28">
        <f t="shared" si="350"/>
        <v>0</v>
      </c>
      <c r="BA360" s="241">
        <f t="shared" si="351"/>
        <v>0</v>
      </c>
      <c r="BB360" s="27">
        <f t="shared" si="351"/>
        <v>0</v>
      </c>
      <c r="BC360" s="28">
        <f t="shared" si="351"/>
        <v>0</v>
      </c>
      <c r="BD360" s="241">
        <f t="shared" si="352"/>
        <v>0</v>
      </c>
      <c r="BE360" s="27">
        <f t="shared" si="352"/>
        <v>0</v>
      </c>
      <c r="BF360" s="28">
        <f t="shared" si="352"/>
        <v>0</v>
      </c>
      <c r="BG360" s="241">
        <f t="shared" si="353"/>
        <v>0</v>
      </c>
      <c r="BH360" s="27">
        <f t="shared" si="353"/>
        <v>0</v>
      </c>
      <c r="BI360" s="28">
        <f t="shared" si="353"/>
        <v>0</v>
      </c>
      <c r="BK360" s="448">
        <f t="shared" si="341"/>
        <v>0</v>
      </c>
      <c r="BL360" s="448">
        <f t="shared" si="342"/>
        <v>0</v>
      </c>
      <c r="BM360" s="448">
        <f t="shared" si="343"/>
        <v>0</v>
      </c>
      <c r="BN360" s="448">
        <f t="shared" ca="1" si="344"/>
        <v>0</v>
      </c>
    </row>
    <row r="361" spans="1:66" s="29" customFormat="1" hidden="1" outlineLevel="1" x14ac:dyDescent="0.3">
      <c r="A361" s="143"/>
      <c r="B361" s="59"/>
      <c r="C361" s="144"/>
      <c r="D361" s="145"/>
      <c r="E361" s="145"/>
      <c r="F361" s="63"/>
      <c r="G361" s="33"/>
      <c r="H361" s="268">
        <v>0</v>
      </c>
      <c r="I361" s="146"/>
      <c r="J361" s="147"/>
      <c r="K361" s="268">
        <v>0</v>
      </c>
      <c r="L361" s="146"/>
      <c r="M361" s="147"/>
      <c r="N361" s="268">
        <v>0</v>
      </c>
      <c r="O361" s="146"/>
      <c r="P361" s="147"/>
      <c r="Q361" s="268">
        <v>0</v>
      </c>
      <c r="R361" s="167"/>
      <c r="S361" s="168"/>
      <c r="T361" s="268">
        <v>0</v>
      </c>
      <c r="U361" s="146"/>
      <c r="V361" s="147"/>
      <c r="W361" s="268">
        <v>0</v>
      </c>
      <c r="X361" s="146"/>
      <c r="Y361" s="147"/>
      <c r="Z361" s="268">
        <v>0</v>
      </c>
      <c r="AA361" s="146"/>
      <c r="AB361" s="147"/>
      <c r="AC361" s="268">
        <v>0</v>
      </c>
      <c r="AD361" s="146"/>
      <c r="AE361" s="147"/>
      <c r="AF361" s="268">
        <v>0</v>
      </c>
      <c r="AG361" s="146"/>
      <c r="AH361" s="147"/>
      <c r="AI361" s="268">
        <v>0</v>
      </c>
      <c r="AJ361" s="146"/>
      <c r="AK361" s="147"/>
      <c r="AL361" s="268">
        <v>0</v>
      </c>
      <c r="AM361" s="146"/>
      <c r="AN361" s="147"/>
      <c r="AO361" s="268">
        <v>0</v>
      </c>
      <c r="AP361" s="146"/>
      <c r="AQ361" s="147"/>
      <c r="AR361" s="241">
        <f t="shared" ca="1" si="346"/>
        <v>0</v>
      </c>
      <c r="AS361" s="27">
        <f t="shared" ca="1" si="347"/>
        <v>0</v>
      </c>
      <c r="AT361" s="28">
        <f t="shared" ca="1" si="348"/>
        <v>0</v>
      </c>
      <c r="AU361" s="268">
        <f t="shared" si="349"/>
        <v>0</v>
      </c>
      <c r="AV361" s="146">
        <f t="shared" si="349"/>
        <v>0</v>
      </c>
      <c r="AW361" s="147">
        <f t="shared" si="349"/>
        <v>0</v>
      </c>
      <c r="AX361" s="268">
        <f t="shared" si="350"/>
        <v>0</v>
      </c>
      <c r="AY361" s="146">
        <f t="shared" si="350"/>
        <v>0</v>
      </c>
      <c r="AZ361" s="147">
        <f t="shared" si="350"/>
        <v>0</v>
      </c>
      <c r="BA361" s="268">
        <f t="shared" si="351"/>
        <v>0</v>
      </c>
      <c r="BB361" s="146">
        <f t="shared" si="351"/>
        <v>0</v>
      </c>
      <c r="BC361" s="147">
        <f t="shared" si="351"/>
        <v>0</v>
      </c>
      <c r="BD361" s="268">
        <f t="shared" si="352"/>
        <v>0</v>
      </c>
      <c r="BE361" s="146">
        <f t="shared" si="352"/>
        <v>0</v>
      </c>
      <c r="BF361" s="147">
        <f t="shared" si="352"/>
        <v>0</v>
      </c>
      <c r="BG361" s="268">
        <f t="shared" si="353"/>
        <v>0</v>
      </c>
      <c r="BH361" s="146">
        <f t="shared" si="353"/>
        <v>0</v>
      </c>
      <c r="BI361" s="147">
        <f t="shared" si="353"/>
        <v>0</v>
      </c>
      <c r="BK361" s="448">
        <f t="shared" si="341"/>
        <v>0</v>
      </c>
      <c r="BL361" s="448">
        <f t="shared" si="342"/>
        <v>0</v>
      </c>
      <c r="BM361" s="448">
        <f t="shared" si="343"/>
        <v>0</v>
      </c>
      <c r="BN361" s="448">
        <f t="shared" ca="1" si="344"/>
        <v>0</v>
      </c>
    </row>
    <row r="362" spans="1:66" s="29" customFormat="1" collapsed="1" x14ac:dyDescent="0.3">
      <c r="A362" s="148"/>
      <c r="B362" s="23"/>
      <c r="C362" s="3"/>
      <c r="D362" s="4"/>
      <c r="E362" s="16"/>
      <c r="F362" s="117"/>
      <c r="G362" s="33"/>
      <c r="H362" s="269"/>
      <c r="I362" s="117"/>
      <c r="J362" s="149"/>
      <c r="K362" s="269"/>
      <c r="L362" s="117"/>
      <c r="M362" s="149"/>
      <c r="N362" s="269"/>
      <c r="O362" s="117"/>
      <c r="P362" s="117"/>
      <c r="Q362" s="269"/>
      <c r="R362" s="117"/>
      <c r="S362" s="117"/>
      <c r="T362" s="117"/>
      <c r="U362" s="117"/>
      <c r="V362" s="149"/>
      <c r="W362" s="269"/>
      <c r="X362" s="117"/>
      <c r="Y362" s="149"/>
      <c r="Z362" s="269"/>
      <c r="AA362" s="117"/>
      <c r="AB362" s="149"/>
      <c r="AC362" s="269"/>
      <c r="AD362" s="117"/>
      <c r="AE362" s="149"/>
      <c r="AF362" s="269"/>
      <c r="AG362" s="117"/>
      <c r="AH362" s="149"/>
      <c r="AI362" s="269"/>
      <c r="AJ362" s="117"/>
      <c r="AK362" s="149"/>
      <c r="AL362" s="269"/>
      <c r="AM362" s="117"/>
      <c r="AN362" s="149"/>
      <c r="AO362" s="269"/>
      <c r="AP362" s="117"/>
      <c r="AQ362" s="149"/>
      <c r="AR362" s="269"/>
      <c r="AS362" s="117"/>
      <c r="AT362" s="149"/>
      <c r="AU362" s="269"/>
      <c r="AV362" s="117"/>
      <c r="AW362" s="149"/>
      <c r="AX362" s="269"/>
      <c r="AY362" s="117"/>
      <c r="AZ362" s="149"/>
      <c r="BA362" s="269"/>
      <c r="BB362" s="117"/>
      <c r="BC362" s="149"/>
      <c r="BD362" s="269"/>
      <c r="BE362" s="117"/>
      <c r="BF362" s="149"/>
      <c r="BG362" s="269"/>
      <c r="BH362" s="117"/>
      <c r="BI362" s="149"/>
      <c r="BK362" s="448">
        <f t="shared" si="341"/>
        <v>0</v>
      </c>
      <c r="BL362" s="448">
        <f t="shared" si="342"/>
        <v>0</v>
      </c>
      <c r="BM362" s="448">
        <f t="shared" si="343"/>
        <v>0</v>
      </c>
      <c r="BN362" s="448">
        <f t="shared" si="344"/>
        <v>0</v>
      </c>
    </row>
    <row r="363" spans="1:66" x14ac:dyDescent="0.3">
      <c r="A363" s="39" t="s">
        <v>374</v>
      </c>
      <c r="B363" s="59"/>
      <c r="C363" s="60"/>
      <c r="D363" s="61"/>
      <c r="E363" s="62"/>
      <c r="F363" s="63"/>
      <c r="G363" s="47"/>
      <c r="H363" s="244">
        <v>-30707.69</v>
      </c>
      <c r="I363" s="42">
        <v>-220609.21</v>
      </c>
      <c r="J363" s="43">
        <f>SUM(J353,J334)+SUMIFS(Aut_Ajustes_Manuais!$G:$G,Aut_Ajustes_Manuais!$I:$I,DRE!H$4,Aut_Ajustes_Manuais!$F:$F,"Total - Variações s/ Resultado Líquido")</f>
        <v>-102556.57</v>
      </c>
      <c r="K363" s="244">
        <v>-30707.69</v>
      </c>
      <c r="L363" s="42">
        <v>-245609.21</v>
      </c>
      <c r="M363" s="43">
        <f>SUM(M353,M334)+SUMIFS(Aut_Ajustes_Manuais!$G:$G,Aut_Ajustes_Manuais!$I:$I,DRE!K$4,Aut_Ajustes_Manuais!$F:$F,"Total - Variações s/ Resultado Líquido")</f>
        <v>-170430.84</v>
      </c>
      <c r="N363" s="244">
        <v>-31207.69</v>
      </c>
      <c r="O363" s="42">
        <v>-330609.21000000002</v>
      </c>
      <c r="P363" s="43">
        <f>SUM(P353,P334)+SUMIFS(Aut_Ajustes_Manuais!$G:$G,Aut_Ajustes_Manuais!$I:$I,DRE!N$4,Aut_Ajustes_Manuais!$F:$F,"Total - Variações s/ Resultado Líquido")</f>
        <v>-123182.71</v>
      </c>
      <c r="Q363" s="439">
        <v>-24850</v>
      </c>
      <c r="R363" s="440">
        <v>-185592.21</v>
      </c>
      <c r="S363" s="43">
        <f>SUM(S353,S334)+SUMIFS(Aut_Ajustes_Manuais!$G:$G,Aut_Ajustes_Manuais!$I:$I,DRE!Q$4,Aut_Ajustes_Manuais!$F:$F,"Total - Variações s/ Resultado Líquido")</f>
        <v>-41455.9</v>
      </c>
      <c r="T363" s="244">
        <v>-28244.07</v>
      </c>
      <c r="U363" s="42">
        <v>-25792.21</v>
      </c>
      <c r="V363" s="43">
        <f>SUM(V353,V334)+SUMIFS(Aut_Ajustes_Manuais!$G:$G,Aut_Ajustes_Manuais!$I:$I,DRE!T$4,Aut_Ajustes_Manuais!$F:$F,"Total - Variações s/ Resultado Líquido")</f>
        <v>-43455.520000000004</v>
      </c>
      <c r="W363" s="244">
        <v>-20000</v>
      </c>
      <c r="X363" s="42">
        <v>-25792.21</v>
      </c>
      <c r="Y363" s="43">
        <f>SUM(Y353,Y334)+SUMIFS(Aut_Ajustes_Manuais!$G:$G,Aut_Ajustes_Manuais!$I:$I,DRE!W$4,Aut_Ajustes_Manuais!$F:$F,"Total - Variações s/ Resultado Líquido")</f>
        <v>-56988.72</v>
      </c>
      <c r="Z363" s="244">
        <v>-20000</v>
      </c>
      <c r="AA363" s="42">
        <v>-125592.21</v>
      </c>
      <c r="AB363" s="43">
        <f>SUM(AB353,AB334)+SUMIFS(Aut_Ajustes_Manuais!$G:$G,Aut_Ajustes_Manuais!$I:$I,DRE!Z$4,Aut_Ajustes_Manuais!$F:$F,"Total - Variações s/ Resultado Líquido")</f>
        <v>-4300</v>
      </c>
      <c r="AC363" s="244">
        <v>-42520</v>
      </c>
      <c r="AD363" s="42">
        <v>-25792.21</v>
      </c>
      <c r="AE363" s="43">
        <f>SUM(AE353,AE334)+SUMIFS(Aut_Ajustes_Manuais!$G:$G,Aut_Ajustes_Manuais!$I:$I,DRE!AC$4,Aut_Ajustes_Manuais!$F:$F,"Total - Variações s/ Resultado Líquido")</f>
        <v>-2430</v>
      </c>
      <c r="AF363" s="244">
        <v>-100000</v>
      </c>
      <c r="AG363" s="42">
        <v>-25792.21</v>
      </c>
      <c r="AH363" s="43">
        <f>SUM(AH353,AH334)+SUMIFS(Aut_Ajustes_Manuais!$G:$G,Aut_Ajustes_Manuais!$I:$I,DRE!AF$4,Aut_Ajustes_Manuais!$F:$F,"Total - Variações s/ Resultado Líquido")</f>
        <v>0</v>
      </c>
      <c r="AI363" s="244">
        <v>-20000</v>
      </c>
      <c r="AJ363" s="42">
        <v>-45592.21</v>
      </c>
      <c r="AK363" s="43">
        <f>SUM(AK353,AK334)+SUMIFS(Aut_Ajustes_Manuais!$G:$G,Aut_Ajustes_Manuais!$I:$I,DRE!AI$4,Aut_Ajustes_Manuais!$F:$F,"Total - Variações s/ Resultado Líquido")</f>
        <v>0</v>
      </c>
      <c r="AL363" s="244">
        <v>-125000</v>
      </c>
      <c r="AM363" s="42">
        <v>-25792.21</v>
      </c>
      <c r="AN363" s="43">
        <f>SUM(AN353,AN334)+SUMIFS(Aut_Ajustes_Manuais!$G:$G,Aut_Ajustes_Manuais!$I:$I,DRE!AL$4,Aut_Ajustes_Manuais!$F:$F,"Total - Variações s/ Resultado Líquido")</f>
        <v>0</v>
      </c>
      <c r="AO363" s="244">
        <v>-99570.38</v>
      </c>
      <c r="AP363" s="42">
        <v>-25792.21</v>
      </c>
      <c r="AQ363" s="43">
        <f>SUM(AQ353,AQ334)+SUMIFS(Aut_Ajustes_Manuais!$G:$G,Aut_Ajustes_Manuais!$I:$I,DRE!AO$4,Aut_Ajustes_Manuais!$F:$F,"Total - Variações s/ Resultado Líquido")</f>
        <v>0</v>
      </c>
      <c r="AR363" s="244">
        <f t="shared" ref="AR363:BI363" ca="1" si="354">SUM(AR353,AR334)</f>
        <v>-165717.13999999998</v>
      </c>
      <c r="AS363" s="42">
        <f t="shared" ca="1" si="354"/>
        <v>-1034004.2599999999</v>
      </c>
      <c r="AT363" s="43">
        <f t="shared" ca="1" si="354"/>
        <v>-538070.26000000013</v>
      </c>
      <c r="AU363" s="244">
        <f t="shared" si="354"/>
        <v>-572807.52</v>
      </c>
      <c r="AV363" s="42">
        <f t="shared" si="354"/>
        <v>-1308357.5199999996</v>
      </c>
      <c r="AW363" s="43">
        <f t="shared" si="354"/>
        <v>-544800.26000000013</v>
      </c>
      <c r="AX363" s="244">
        <f t="shared" si="354"/>
        <v>-92623.069999999992</v>
      </c>
      <c r="AY363" s="42">
        <f t="shared" si="354"/>
        <v>-796827.63</v>
      </c>
      <c r="AZ363" s="43">
        <f t="shared" si="354"/>
        <v>-396170.12000000005</v>
      </c>
      <c r="BA363" s="244">
        <f t="shared" si="354"/>
        <v>-73094.070000000007</v>
      </c>
      <c r="BB363" s="42">
        <f t="shared" si="354"/>
        <v>-237176.63</v>
      </c>
      <c r="BC363" s="43">
        <f t="shared" si="354"/>
        <v>-141900.14000000001</v>
      </c>
      <c r="BD363" s="244">
        <f t="shared" si="354"/>
        <v>-162520</v>
      </c>
      <c r="BE363" s="42">
        <f t="shared" si="354"/>
        <v>-177176.63</v>
      </c>
      <c r="BF363" s="43">
        <f t="shared" si="354"/>
        <v>-6730</v>
      </c>
      <c r="BG363" s="244">
        <f t="shared" si="354"/>
        <v>-244570.38</v>
      </c>
      <c r="BH363" s="42">
        <f t="shared" si="354"/>
        <v>-97176.63</v>
      </c>
      <c r="BI363" s="43">
        <f t="shared" si="354"/>
        <v>0</v>
      </c>
      <c r="BK363" s="448">
        <f t="shared" si="341"/>
        <v>-1308357.5199999998</v>
      </c>
      <c r="BL363" s="448">
        <f t="shared" si="342"/>
        <v>0</v>
      </c>
      <c r="BM363" s="448">
        <f t="shared" si="343"/>
        <v>-437626.02000000008</v>
      </c>
      <c r="BN363" s="448">
        <f t="shared" ca="1" si="344"/>
        <v>100444.24000000005</v>
      </c>
    </row>
    <row r="364" spans="1:66" s="29" customFormat="1" x14ac:dyDescent="0.3">
      <c r="A364" s="148"/>
      <c r="B364" s="23"/>
      <c r="C364" s="3"/>
      <c r="D364" s="4"/>
      <c r="E364" s="16"/>
      <c r="F364" s="117"/>
      <c r="G364" s="33"/>
      <c r="H364" s="269"/>
      <c r="I364" s="117"/>
      <c r="J364" s="149"/>
      <c r="K364" s="269"/>
      <c r="L364" s="117"/>
      <c r="M364" s="149"/>
      <c r="N364" s="269"/>
      <c r="O364" s="117"/>
      <c r="P364" s="149"/>
      <c r="Q364" s="269"/>
      <c r="R364" s="117"/>
      <c r="S364" s="149"/>
      <c r="T364" s="269"/>
      <c r="U364" s="117"/>
      <c r="V364" s="149"/>
      <c r="W364" s="269"/>
      <c r="X364" s="117"/>
      <c r="Y364" s="149"/>
      <c r="Z364" s="269"/>
      <c r="AA364" s="117"/>
      <c r="AB364" s="149"/>
      <c r="AC364" s="269"/>
      <c r="AD364" s="117"/>
      <c r="AE364" s="149"/>
      <c r="AF364" s="269"/>
      <c r="AG364" s="117"/>
      <c r="AH364" s="149"/>
      <c r="AI364" s="269"/>
      <c r="AJ364" s="117"/>
      <c r="AK364" s="149"/>
      <c r="AL364" s="269"/>
      <c r="AM364" s="117"/>
      <c r="AN364" s="149"/>
      <c r="AO364" s="269"/>
      <c r="AP364" s="117"/>
      <c r="AQ364" s="149"/>
      <c r="AR364" s="269"/>
      <c r="AS364" s="117"/>
      <c r="AT364" s="149"/>
      <c r="AU364" s="269"/>
      <c r="AV364" s="117"/>
      <c r="AW364" s="149"/>
      <c r="AX364" s="269"/>
      <c r="AY364" s="117"/>
      <c r="AZ364" s="149"/>
      <c r="BA364" s="269"/>
      <c r="BB364" s="117"/>
      <c r="BC364" s="149"/>
      <c r="BD364" s="269"/>
      <c r="BE364" s="117"/>
      <c r="BF364" s="149"/>
      <c r="BG364" s="269"/>
      <c r="BH364" s="117"/>
      <c r="BI364" s="149"/>
      <c r="BK364" s="448">
        <f t="shared" si="341"/>
        <v>0</v>
      </c>
      <c r="BL364" s="448">
        <f t="shared" si="342"/>
        <v>0</v>
      </c>
      <c r="BM364" s="448">
        <f t="shared" si="343"/>
        <v>0</v>
      </c>
      <c r="BN364" s="448">
        <f t="shared" si="344"/>
        <v>0</v>
      </c>
    </row>
    <row r="365" spans="1:66" x14ac:dyDescent="0.3">
      <c r="A365" s="150" t="s">
        <v>375</v>
      </c>
      <c r="B365" s="59"/>
      <c r="C365" s="60"/>
      <c r="D365" s="61"/>
      <c r="E365" s="62"/>
      <c r="F365" s="63"/>
      <c r="G365" s="47"/>
      <c r="H365" s="294">
        <v>-22558.59561175148</v>
      </c>
      <c r="I365" s="295">
        <v>-184194.60240423589</v>
      </c>
      <c r="J365" s="296">
        <f>SUM(J363,J331)+SUMIFS(Aut_Ajustes_Manuais!$G:$G,Aut_Ajustes_Manuais!$I:$I,DRE!H$4,Aut_Ajustes_Manuais!$F:$F,"FCF")</f>
        <v>-114810.55944627014</v>
      </c>
      <c r="K365" s="294">
        <v>-38542.282853856566</v>
      </c>
      <c r="L365" s="295">
        <v>-227760.3742049424</v>
      </c>
      <c r="M365" s="296">
        <f>SUM(M363,M331)+SUMIFS(Aut_Ajustes_Manuais!$G:$G,Aut_Ajustes_Manuais!$I:$I,DRE!K$4,Aut_Ajustes_Manuais!$F:$F,"FCF")</f>
        <v>-221302.92569183535</v>
      </c>
      <c r="N365" s="294">
        <v>-48085.760492386849</v>
      </c>
      <c r="O365" s="295">
        <v>-335938.44881639571</v>
      </c>
      <c r="P365" s="296">
        <f>SUM(P363,P331)+SUMIFS(Aut_Ajustes_Manuais!$G:$G,Aut_Ajustes_Manuais!$I:$I,DRE!N$4,Aut_Ajustes_Manuais!$F:$F,"FCF")</f>
        <v>-158796.24273282627</v>
      </c>
      <c r="Q365" s="294">
        <v>-32314.616140066599</v>
      </c>
      <c r="R365" s="295">
        <v>-196835.67444995631</v>
      </c>
      <c r="S365" s="296">
        <f>SUM(S363,S331)+SUMIFS(Aut_Ajustes_Manuais!$G:$G,Aut_Ajustes_Manuais!$I:$I,DRE!Q$4,Aut_Ajustes_Manuais!$F:$F,"FCF")</f>
        <v>-75648.049855241523</v>
      </c>
      <c r="T365" s="294">
        <v>28951.428855498008</v>
      </c>
      <c r="U365" s="295">
        <v>59228.492287181718</v>
      </c>
      <c r="V365" s="296">
        <f>SUM(V363,V331)+SUMIFS(Aut_Ajustes_Manuais!$G:$G,Aut_Ajustes_Manuais!$I:$I,DRE!T$4,Aut_Ajustes_Manuais!$F:$F,"FCF")</f>
        <v>-64829.423929880715</v>
      </c>
      <c r="W365" s="294">
        <v>36565.364411517352</v>
      </c>
      <c r="X365" s="295">
        <v>24919.739095940011</v>
      </c>
      <c r="Y365" s="296">
        <f>SUM(Y363,Y331)+SUMIFS(Aut_Ajustes_Manuais!$G:$G,Aut_Ajustes_Manuais!$I:$I,DRE!W$4,Aut_Ajustes_Manuais!$F:$F,"FCF")</f>
        <v>-160408.01552084339</v>
      </c>
      <c r="Z365" s="294">
        <v>6426.6450663838841</v>
      </c>
      <c r="AA365" s="295">
        <v>-67989.673060510002</v>
      </c>
      <c r="AB365" s="296">
        <f>SUM(AB363,AB331)+SUMIFS(Aut_Ajustes_Manuais!$G:$G,Aut_Ajustes_Manuais!$I:$I,DRE!Z$4,Aut_Ajustes_Manuais!$F:$F,"FCF")</f>
        <v>-152784.84741867302</v>
      </c>
      <c r="AC365" s="294">
        <v>23130.928742393389</v>
      </c>
      <c r="AD365" s="295">
        <v>47893.554514652213</v>
      </c>
      <c r="AE365" s="296">
        <f>SUM(AE363,AE331)+SUMIFS(Aut_Ajustes_Manuais!$G:$G,Aut_Ajustes_Manuais!$I:$I,DRE!AC$4,Aut_Ajustes_Manuais!$F:$F,"FCF")</f>
        <v>-194049.76041772001</v>
      </c>
      <c r="AF365" s="294">
        <v>-86880.298617719513</v>
      </c>
      <c r="AG365" s="295">
        <v>19958.036029312741</v>
      </c>
      <c r="AH365" s="296">
        <f>SUM(AH363,AH331)+SUMIFS(Aut_Ajustes_Manuais!$G:$G,Aut_Ajustes_Manuais!$I:$I,DRE!AF$4,Aut_Ajustes_Manuais!$F:$F,"FCF")</f>
        <v>-175619.76041772001</v>
      </c>
      <c r="AI365" s="294">
        <v>12556.622799003741</v>
      </c>
      <c r="AJ365" s="295">
        <v>17823.427953970469</v>
      </c>
      <c r="AK365" s="296">
        <f>SUM(AK363,AK331)+SUMIFS(Aut_Ajustes_Manuais!$G:$G,Aut_Ajustes_Manuais!$I:$I,DRE!AI$4,Aut_Ajustes_Manuais!$F:$F,"FCF")</f>
        <v>-171619.76041772001</v>
      </c>
      <c r="AL365" s="294">
        <v>-91970.586097600884</v>
      </c>
      <c r="AM365" s="295">
        <v>43288.972098770049</v>
      </c>
      <c r="AN365" s="296">
        <f>SUM(AN363,AN331)+SUMIFS(Aut_Ajustes_Manuais!$G:$G,Aut_Ajustes_Manuais!$I:$I,DRE!AL$4,Aut_Ajustes_Manuais!$F:$F,"FCF")</f>
        <v>-170658.71125105332</v>
      </c>
      <c r="AO365" s="294">
        <v>-51584.42410571246</v>
      </c>
      <c r="AP365" s="295">
        <v>29147.32967604095</v>
      </c>
      <c r="AQ365" s="296">
        <f>SUM(AQ363,AQ331)+SUMIFS(Aut_Ajustes_Manuais!$G:$G,Aut_Ajustes_Manuais!$I:$I,DRE!AO$4,Aut_Ajustes_Manuais!$F:$F,"FCF")</f>
        <v>-171273.71125105332</v>
      </c>
      <c r="AR365" s="294">
        <f t="shared" ref="AR365:BI365" ca="1" si="355">SUM(AR363,AR331)</f>
        <v>-75984.461831046385</v>
      </c>
      <c r="AS365" s="295">
        <f t="shared" ca="1" si="355"/>
        <v>-860580.86849240959</v>
      </c>
      <c r="AT365" s="296">
        <f t="shared" ca="1" si="355"/>
        <v>-795795.2171768971</v>
      </c>
      <c r="AU365" s="294">
        <f t="shared" si="355"/>
        <v>-264260.90404429828</v>
      </c>
      <c r="AV365" s="295">
        <f t="shared" si="355"/>
        <v>-770459.22128017154</v>
      </c>
      <c r="AW365" s="296">
        <f t="shared" si="355"/>
        <v>-1837426.7683508373</v>
      </c>
      <c r="AX365" s="294">
        <f t="shared" si="355"/>
        <v>-109141.96895799495</v>
      </c>
      <c r="AY365" s="295">
        <f t="shared" si="355"/>
        <v>-747893.42542557407</v>
      </c>
      <c r="AZ365" s="296">
        <f t="shared" si="355"/>
        <v>-498284.72787093173</v>
      </c>
      <c r="BA365" s="294">
        <f t="shared" si="355"/>
        <v>33202.177126948722</v>
      </c>
      <c r="BB365" s="295">
        <f t="shared" si="355"/>
        <v>-112687.44306683476</v>
      </c>
      <c r="BC365" s="296">
        <f t="shared" si="355"/>
        <v>-303135.48930596537</v>
      </c>
      <c r="BD365" s="294">
        <f t="shared" si="355"/>
        <v>-57322.724808942206</v>
      </c>
      <c r="BE365" s="295">
        <f t="shared" si="355"/>
        <v>-138.08251654476044</v>
      </c>
      <c r="BF365" s="296">
        <f t="shared" si="355"/>
        <v>-522454.36825411295</v>
      </c>
      <c r="BG365" s="294">
        <f t="shared" si="355"/>
        <v>-130998.38740430924</v>
      </c>
      <c r="BH365" s="295">
        <f t="shared" si="355"/>
        <v>90259.729728781356</v>
      </c>
      <c r="BI365" s="296">
        <f t="shared" si="355"/>
        <v>-513552.18291982665</v>
      </c>
      <c r="BK365" s="448">
        <f t="shared" si="341"/>
        <v>-770459.221280172</v>
      </c>
      <c r="BL365" s="448">
        <f t="shared" si="342"/>
        <v>0</v>
      </c>
      <c r="BM365" s="448">
        <f t="shared" si="343"/>
        <v>-570557.77772617328</v>
      </c>
      <c r="BN365" s="448">
        <f t="shared" ca="1" si="344"/>
        <v>225237.43945072382</v>
      </c>
    </row>
    <row r="366" spans="1:66" s="29" customFormat="1" x14ac:dyDescent="0.3">
      <c r="A366" s="148"/>
      <c r="B366" s="23"/>
      <c r="C366" s="3"/>
      <c r="D366" s="4"/>
      <c r="E366" s="16"/>
      <c r="F366" s="117"/>
      <c r="G366" s="33"/>
      <c r="H366" s="269"/>
      <c r="I366" s="117"/>
      <c r="J366" s="149"/>
      <c r="K366" s="269"/>
      <c r="L366" s="117"/>
      <c r="M366" s="149"/>
      <c r="N366" s="269"/>
      <c r="O366" s="117"/>
      <c r="P366" s="149"/>
      <c r="Q366" s="269"/>
      <c r="R366" s="117"/>
      <c r="S366" s="149"/>
      <c r="T366" s="269"/>
      <c r="U366" s="117"/>
      <c r="V366" s="149"/>
      <c r="W366" s="269"/>
      <c r="X366" s="117"/>
      <c r="Y366" s="149"/>
      <c r="Z366" s="269"/>
      <c r="AA366" s="117"/>
      <c r="AB366" s="149"/>
      <c r="AC366" s="269"/>
      <c r="AD366" s="117"/>
      <c r="AE366" s="149"/>
      <c r="AF366" s="269"/>
      <c r="AG366" s="117"/>
      <c r="AH366" s="149"/>
      <c r="AI366" s="269"/>
      <c r="AJ366" s="117"/>
      <c r="AK366" s="149"/>
      <c r="AL366" s="269"/>
      <c r="AM366" s="117"/>
      <c r="AN366" s="149"/>
      <c r="AO366" s="269"/>
      <c r="AP366" s="117"/>
      <c r="AQ366" s="149"/>
      <c r="AR366" s="269"/>
      <c r="AS366" s="117"/>
      <c r="AT366" s="149"/>
      <c r="AU366" s="269"/>
      <c r="AV366" s="117"/>
      <c r="AW366" s="149"/>
      <c r="AX366" s="269"/>
      <c r="AY366" s="117"/>
      <c r="AZ366" s="149"/>
      <c r="BA366" s="269"/>
      <c r="BB366" s="117"/>
      <c r="BC366" s="149"/>
      <c r="BD366" s="269"/>
      <c r="BE366" s="117"/>
      <c r="BF366" s="149"/>
      <c r="BG366" s="269"/>
      <c r="BH366" s="117"/>
      <c r="BI366" s="149"/>
      <c r="BK366" s="448">
        <f t="shared" si="341"/>
        <v>0</v>
      </c>
      <c r="BL366" s="448">
        <f t="shared" si="342"/>
        <v>0</v>
      </c>
      <c r="BM366" s="448">
        <f t="shared" si="343"/>
        <v>0</v>
      </c>
      <c r="BN366" s="448">
        <f t="shared" si="344"/>
        <v>0</v>
      </c>
    </row>
    <row r="367" spans="1:66" s="29" customFormat="1" x14ac:dyDescent="0.3">
      <c r="A367" s="150" t="s">
        <v>376</v>
      </c>
      <c r="B367" s="59"/>
      <c r="C367" s="60"/>
      <c r="D367" s="61"/>
      <c r="E367" s="62"/>
      <c r="F367" s="63"/>
      <c r="G367" s="33"/>
      <c r="H367" s="270"/>
      <c r="I367" s="151"/>
      <c r="J367" s="152"/>
      <c r="K367" s="270"/>
      <c r="L367" s="151"/>
      <c r="M367" s="152"/>
      <c r="N367" s="270"/>
      <c r="O367" s="151"/>
      <c r="P367" s="152"/>
      <c r="Q367" s="270"/>
      <c r="R367" s="151"/>
      <c r="S367" s="152"/>
      <c r="T367" s="270"/>
      <c r="U367" s="151"/>
      <c r="V367" s="152"/>
      <c r="W367" s="270"/>
      <c r="X367" s="151"/>
      <c r="Y367" s="152"/>
      <c r="Z367" s="270"/>
      <c r="AA367" s="151"/>
      <c r="AB367" s="152"/>
      <c r="AC367" s="270"/>
      <c r="AD367" s="151"/>
      <c r="AE367" s="152"/>
      <c r="AF367" s="270"/>
      <c r="AG367" s="151"/>
      <c r="AH367" s="152"/>
      <c r="AI367" s="270"/>
      <c r="AJ367" s="151"/>
      <c r="AK367" s="152"/>
      <c r="AL367" s="270"/>
      <c r="AM367" s="151"/>
      <c r="AN367" s="152"/>
      <c r="AO367" s="270"/>
      <c r="AP367" s="151"/>
      <c r="AQ367" s="152"/>
      <c r="AR367" s="270"/>
      <c r="AS367" s="151"/>
      <c r="AT367" s="152"/>
      <c r="AU367" s="270"/>
      <c r="AV367" s="151"/>
      <c r="AW367" s="152"/>
      <c r="AX367" s="270"/>
      <c r="AY367" s="151"/>
      <c r="AZ367" s="152"/>
      <c r="BA367" s="270"/>
      <c r="BB367" s="151"/>
      <c r="BC367" s="152"/>
      <c r="BD367" s="270"/>
      <c r="BE367" s="151"/>
      <c r="BF367" s="152"/>
      <c r="BG367" s="270"/>
      <c r="BH367" s="151"/>
      <c r="BI367" s="152"/>
      <c r="BK367" s="448">
        <f t="shared" si="341"/>
        <v>0</v>
      </c>
      <c r="BL367" s="448">
        <f t="shared" si="342"/>
        <v>0</v>
      </c>
      <c r="BM367" s="448">
        <f t="shared" si="343"/>
        <v>0</v>
      </c>
      <c r="BN367" s="448">
        <f t="shared" si="344"/>
        <v>0</v>
      </c>
    </row>
    <row r="368" spans="1:66" ht="15" customHeight="1" thickBot="1" x14ac:dyDescent="0.35">
      <c r="A368" s="153"/>
      <c r="C368" s="60"/>
      <c r="D368" s="61"/>
      <c r="E368" s="61"/>
      <c r="G368" s="47"/>
      <c r="H368" s="271"/>
      <c r="I368" s="154"/>
      <c r="J368" s="155"/>
      <c r="K368" s="271"/>
      <c r="L368" s="154"/>
      <c r="M368" s="155"/>
      <c r="N368" s="271"/>
      <c r="O368" s="154"/>
      <c r="P368" s="155"/>
      <c r="Q368" s="271"/>
      <c r="R368" s="154"/>
      <c r="S368" s="155"/>
      <c r="T368" s="271"/>
      <c r="U368" s="154"/>
      <c r="V368" s="155"/>
      <c r="W368" s="271"/>
      <c r="X368" s="154"/>
      <c r="Y368" s="155"/>
      <c r="Z368" s="271"/>
      <c r="AA368" s="154"/>
      <c r="AB368" s="155"/>
      <c r="AC368" s="271"/>
      <c r="AD368" s="154"/>
      <c r="AE368" s="155"/>
      <c r="AF368" s="271"/>
      <c r="AG368" s="154"/>
      <c r="AH368" s="155"/>
      <c r="AI368" s="271"/>
      <c r="AJ368" s="154"/>
      <c r="AK368" s="155"/>
      <c r="AL368" s="271"/>
      <c r="AM368" s="154"/>
      <c r="AN368" s="155"/>
      <c r="AO368" s="271"/>
      <c r="AP368" s="154"/>
      <c r="AQ368" s="155"/>
      <c r="AR368" s="271"/>
      <c r="AS368" s="154"/>
      <c r="AT368" s="155"/>
      <c r="AU368" s="271"/>
      <c r="AV368" s="154"/>
      <c r="AW368" s="155"/>
      <c r="AX368" s="271"/>
      <c r="AY368" s="154"/>
      <c r="AZ368" s="155"/>
      <c r="BA368" s="271"/>
      <c r="BB368" s="154"/>
      <c r="BC368" s="155"/>
      <c r="BD368" s="271"/>
      <c r="BE368" s="154"/>
      <c r="BF368" s="155"/>
      <c r="BG368" s="271"/>
      <c r="BH368" s="154"/>
      <c r="BI368" s="155"/>
    </row>
    <row r="369" spans="1:66" s="14" customFormat="1" ht="30.45" customHeight="1" thickBot="1" x14ac:dyDescent="0.35">
      <c r="A369" s="156" t="s">
        <v>377</v>
      </c>
      <c r="B369" s="157"/>
      <c r="C369" s="158"/>
      <c r="D369" s="159"/>
      <c r="E369" s="160"/>
      <c r="F369" s="161"/>
      <c r="G369" s="157"/>
      <c r="H369" s="272"/>
      <c r="I369" s="161"/>
      <c r="J369" s="162"/>
      <c r="K369" s="272"/>
      <c r="L369" s="161"/>
      <c r="M369" s="162"/>
      <c r="N369" s="272"/>
      <c r="O369" s="161"/>
      <c r="P369" s="162"/>
      <c r="Q369" s="272"/>
      <c r="R369" s="161"/>
      <c r="S369" s="162"/>
      <c r="T369" s="272"/>
      <c r="U369" s="161"/>
      <c r="V369" s="162"/>
      <c r="W369" s="272"/>
      <c r="X369" s="161"/>
      <c r="Y369" s="162"/>
      <c r="Z369" s="272"/>
      <c r="AA369" s="161"/>
      <c r="AB369" s="162"/>
      <c r="AC369" s="272"/>
      <c r="AD369" s="161"/>
      <c r="AE369" s="162"/>
      <c r="AF369" s="272"/>
      <c r="AG369" s="161"/>
      <c r="AH369" s="162"/>
      <c r="AI369" s="272"/>
      <c r="AJ369" s="161"/>
      <c r="AK369" s="162"/>
      <c r="AL369" s="272"/>
      <c r="AM369" s="161"/>
      <c r="AN369" s="162"/>
      <c r="AO369" s="272"/>
      <c r="AP369" s="161"/>
      <c r="AQ369" s="162"/>
      <c r="AR369" s="272"/>
      <c r="AS369" s="161"/>
      <c r="AT369" s="162"/>
      <c r="AU369" s="272"/>
      <c r="AV369" s="161"/>
      <c r="AW369" s="162"/>
      <c r="AX369" s="272"/>
      <c r="AY369" s="161"/>
      <c r="AZ369" s="162"/>
      <c r="BA369" s="272"/>
      <c r="BB369" s="161"/>
      <c r="BC369" s="162"/>
      <c r="BD369" s="272"/>
      <c r="BE369" s="161"/>
      <c r="BF369" s="162"/>
      <c r="BG369" s="272"/>
      <c r="BH369" s="161"/>
      <c r="BI369" s="162"/>
      <c r="BK369" s="446"/>
      <c r="BL369" s="446"/>
      <c r="BM369" s="446"/>
      <c r="BN369" s="446"/>
    </row>
    <row r="370" spans="1:66" s="29" customFormat="1" ht="14.4" hidden="1" customHeight="1" outlineLevel="1" x14ac:dyDescent="0.3">
      <c r="A370" s="163"/>
      <c r="B370" s="23"/>
      <c r="C370" s="3"/>
      <c r="D370" s="4"/>
      <c r="E370" s="4"/>
      <c r="F370" s="23"/>
      <c r="G370" s="56"/>
      <c r="H370" s="273"/>
      <c r="I370" s="23"/>
      <c r="J370" s="164"/>
      <c r="K370" s="273"/>
      <c r="L370" s="23"/>
      <c r="M370" s="164"/>
      <c r="N370" s="273"/>
      <c r="O370" s="23"/>
      <c r="P370" s="164"/>
      <c r="Q370" s="273"/>
      <c r="R370" s="23"/>
      <c r="S370" s="164"/>
      <c r="T370" s="273"/>
      <c r="U370" s="23"/>
      <c r="V370" s="164"/>
      <c r="W370" s="273"/>
      <c r="X370" s="23"/>
      <c r="Y370" s="164"/>
      <c r="Z370" s="273"/>
      <c r="AA370" s="23"/>
      <c r="AB370" s="164"/>
      <c r="AC370" s="273"/>
      <c r="AD370" s="23"/>
      <c r="AE370" s="164"/>
      <c r="AF370" s="273"/>
      <c r="AG370" s="23"/>
      <c r="AH370" s="164"/>
      <c r="AI370" s="273"/>
      <c r="AJ370" s="23"/>
      <c r="AK370" s="164"/>
      <c r="AL370" s="273"/>
      <c r="AM370" s="23"/>
      <c r="AN370" s="164"/>
      <c r="AO370" s="273"/>
      <c r="AP370" s="23"/>
      <c r="AQ370" s="164"/>
      <c r="AR370" s="273"/>
      <c r="AS370" s="23"/>
      <c r="AT370" s="164"/>
      <c r="AU370" s="273"/>
      <c r="AV370" s="23"/>
      <c r="AW370" s="164"/>
      <c r="AX370" s="273"/>
      <c r="AY370" s="23"/>
      <c r="AZ370" s="164"/>
      <c r="BA370" s="273"/>
      <c r="BB370" s="23"/>
      <c r="BC370" s="164"/>
      <c r="BD370" s="273"/>
      <c r="BE370" s="23"/>
      <c r="BF370" s="164"/>
      <c r="BG370" s="273"/>
      <c r="BH370" s="23"/>
      <c r="BI370" s="164"/>
      <c r="BK370" s="449"/>
      <c r="BL370" s="449"/>
      <c r="BM370" s="449"/>
      <c r="BN370" s="449"/>
    </row>
    <row r="371" spans="1:66" s="29" customFormat="1" ht="14.4" hidden="1" customHeight="1" outlineLevel="1" x14ac:dyDescent="0.3">
      <c r="A371" s="165" t="s">
        <v>378</v>
      </c>
      <c r="B371" s="2"/>
      <c r="C371" s="3"/>
      <c r="D371" s="4"/>
      <c r="E371" s="16"/>
      <c r="F371" s="117"/>
      <c r="G371" s="56"/>
      <c r="H371" s="274"/>
      <c r="I371" s="166" t="s">
        <v>379</v>
      </c>
      <c r="J371" s="275"/>
      <c r="K371" s="274"/>
      <c r="L371" s="166" t="s">
        <v>380</v>
      </c>
      <c r="M371" s="275"/>
      <c r="N371" s="274"/>
      <c r="O371" s="166" t="s">
        <v>381</v>
      </c>
      <c r="P371" s="275"/>
      <c r="Q371" s="274"/>
      <c r="R371" s="166" t="s">
        <v>382</v>
      </c>
      <c r="S371" s="275"/>
      <c r="T371" s="274"/>
      <c r="U371" s="166" t="s">
        <v>383</v>
      </c>
      <c r="V371" s="275"/>
      <c r="W371" s="274"/>
      <c r="X371" s="166" t="s">
        <v>384</v>
      </c>
      <c r="Y371" s="275"/>
      <c r="Z371" s="274"/>
      <c r="AA371" s="166" t="s">
        <v>385</v>
      </c>
      <c r="AB371" s="275"/>
      <c r="AC371" s="274"/>
      <c r="AD371" s="166" t="s">
        <v>386</v>
      </c>
      <c r="AE371" s="275"/>
      <c r="AF371" s="274"/>
      <c r="AG371" s="166" t="s">
        <v>387</v>
      </c>
      <c r="AH371" s="275"/>
      <c r="AI371" s="274"/>
      <c r="AJ371" s="166" t="s">
        <v>388</v>
      </c>
      <c r="AK371" s="275"/>
      <c r="AL371" s="274"/>
      <c r="AM371" s="166" t="s">
        <v>389</v>
      </c>
      <c r="AN371" s="275"/>
      <c r="AO371" s="274"/>
      <c r="AP371" s="166" t="s">
        <v>390</v>
      </c>
      <c r="AQ371" s="275"/>
      <c r="AR371" s="274"/>
      <c r="AS371" s="166" t="s">
        <v>391</v>
      </c>
      <c r="AT371" s="275"/>
      <c r="AU371" s="274"/>
      <c r="AV371" s="166"/>
      <c r="AW371" s="275"/>
      <c r="AX371" s="274"/>
      <c r="AY371" s="166" t="s">
        <v>3</v>
      </c>
      <c r="AZ371" s="275"/>
      <c r="BA371" s="274"/>
      <c r="BB371" s="166" t="s">
        <v>4</v>
      </c>
      <c r="BC371" s="275"/>
      <c r="BD371" s="274"/>
      <c r="BE371" s="166" t="s">
        <v>5</v>
      </c>
      <c r="BF371" s="275"/>
      <c r="BG371" s="274"/>
      <c r="BH371" s="166" t="s">
        <v>6</v>
      </c>
      <c r="BI371" s="275"/>
      <c r="BK371" s="449"/>
      <c r="BL371" s="449"/>
      <c r="BM371" s="449"/>
      <c r="BN371" s="449"/>
    </row>
    <row r="372" spans="1:66" s="29" customFormat="1" ht="14.4" hidden="1" customHeight="1" outlineLevel="1" x14ac:dyDescent="0.3">
      <c r="A372" s="148"/>
      <c r="B372" s="23"/>
      <c r="C372" s="3"/>
      <c r="D372" s="4"/>
      <c r="E372" s="16"/>
      <c r="F372" s="117"/>
      <c r="G372" s="56"/>
      <c r="H372" s="269"/>
      <c r="I372" s="117"/>
      <c r="J372" s="149"/>
      <c r="K372" s="269"/>
      <c r="L372" s="117"/>
      <c r="M372" s="149"/>
      <c r="N372" s="269"/>
      <c r="O372" s="117"/>
      <c r="P372" s="149"/>
      <c r="Q372" s="269"/>
      <c r="R372" s="117"/>
      <c r="S372" s="149"/>
      <c r="T372" s="269"/>
      <c r="U372" s="117"/>
      <c r="V372" s="149"/>
      <c r="W372" s="269"/>
      <c r="X372" s="117"/>
      <c r="Y372" s="149"/>
      <c r="Z372" s="269"/>
      <c r="AA372" s="117"/>
      <c r="AB372" s="149"/>
      <c r="AC372" s="269"/>
      <c r="AD372" s="117"/>
      <c r="AE372" s="149"/>
      <c r="AF372" s="269"/>
      <c r="AG372" s="117"/>
      <c r="AH372" s="149"/>
      <c r="AI372" s="269"/>
      <c r="AJ372" s="117"/>
      <c r="AK372" s="149"/>
      <c r="AL372" s="269"/>
      <c r="AM372" s="117"/>
      <c r="AN372" s="149"/>
      <c r="AO372" s="269"/>
      <c r="AP372" s="117"/>
      <c r="AQ372" s="149"/>
      <c r="AR372" s="269"/>
      <c r="AS372" s="117"/>
      <c r="AT372" s="149"/>
      <c r="AU372" s="269"/>
      <c r="AV372" s="117"/>
      <c r="AW372" s="149"/>
      <c r="AX372" s="269"/>
      <c r="AY372" s="117"/>
      <c r="AZ372" s="149"/>
      <c r="BA372" s="269"/>
      <c r="BB372" s="117"/>
      <c r="BC372" s="149"/>
      <c r="BD372" s="269"/>
      <c r="BE372" s="117"/>
      <c r="BF372" s="149"/>
      <c r="BG372" s="269"/>
      <c r="BH372" s="117"/>
      <c r="BI372" s="149"/>
      <c r="BK372" s="449"/>
      <c r="BL372" s="449"/>
      <c r="BM372" s="449"/>
      <c r="BN372" s="449"/>
    </row>
    <row r="373" spans="1:66" s="29" customFormat="1" ht="14.4" hidden="1" customHeight="1" outlineLevel="2" x14ac:dyDescent="0.3">
      <c r="A373" s="71" t="s">
        <v>392</v>
      </c>
      <c r="B373" s="2"/>
      <c r="C373" s="60"/>
      <c r="D373" s="61"/>
      <c r="E373" s="61"/>
      <c r="F373" s="41"/>
      <c r="G373" s="56"/>
      <c r="H373" s="276"/>
      <c r="I373" s="167"/>
      <c r="J373" s="168"/>
      <c r="K373" s="276"/>
      <c r="L373" s="167"/>
      <c r="M373" s="168"/>
      <c r="N373" s="276"/>
      <c r="O373" s="167"/>
      <c r="P373" s="168"/>
      <c r="Q373" s="276"/>
      <c r="R373" s="167"/>
      <c r="S373" s="168"/>
      <c r="T373" s="276"/>
      <c r="U373" s="167"/>
      <c r="V373" s="168"/>
      <c r="W373" s="276"/>
      <c r="X373" s="167"/>
      <c r="Y373" s="168"/>
      <c r="Z373" s="276"/>
      <c r="AA373" s="167"/>
      <c r="AB373" s="168"/>
      <c r="AC373" s="276"/>
      <c r="AD373" s="167"/>
      <c r="AE373" s="168"/>
      <c r="AF373" s="276"/>
      <c r="AG373" s="167"/>
      <c r="AH373" s="168"/>
      <c r="AI373" s="276"/>
      <c r="AJ373" s="167"/>
      <c r="AK373" s="168"/>
      <c r="AL373" s="276"/>
      <c r="AM373" s="167"/>
      <c r="AN373" s="168"/>
      <c r="AO373" s="276"/>
      <c r="AP373" s="167"/>
      <c r="AQ373" s="168"/>
      <c r="AR373" s="276"/>
      <c r="AS373" s="167"/>
      <c r="AT373" s="168"/>
      <c r="AU373" s="276"/>
      <c r="AV373" s="167"/>
      <c r="AW373" s="168"/>
      <c r="AX373" s="276"/>
      <c r="AY373" s="167"/>
      <c r="AZ373" s="168"/>
      <c r="BA373" s="276"/>
      <c r="BB373" s="167"/>
      <c r="BC373" s="168"/>
      <c r="BD373" s="276"/>
      <c r="BE373" s="167"/>
      <c r="BF373" s="168"/>
      <c r="BG373" s="276"/>
      <c r="BH373" s="167"/>
      <c r="BI373" s="168"/>
      <c r="BK373" s="449"/>
      <c r="BL373" s="449"/>
      <c r="BM373" s="449"/>
      <c r="BN373" s="449"/>
    </row>
    <row r="374" spans="1:66" s="29" customFormat="1" ht="14.4" hidden="1" customHeight="1" outlineLevel="2" x14ac:dyDescent="0.3">
      <c r="A374" s="22" t="s">
        <v>393</v>
      </c>
      <c r="B374" s="23"/>
      <c r="C374" s="3"/>
      <c r="D374" s="4"/>
      <c r="E374" s="4"/>
      <c r="F374" s="56"/>
      <c r="G374" s="56"/>
      <c r="H374" s="277"/>
      <c r="I374" s="169"/>
      <c r="J374" s="170"/>
      <c r="K374" s="277"/>
      <c r="L374" s="169"/>
      <c r="M374" s="170"/>
      <c r="N374" s="277"/>
      <c r="O374" s="169"/>
      <c r="P374" s="170"/>
      <c r="Q374" s="277"/>
      <c r="R374" s="169"/>
      <c r="S374" s="170"/>
      <c r="T374" s="277"/>
      <c r="U374" s="169"/>
      <c r="V374" s="170"/>
      <c r="W374" s="277"/>
      <c r="X374" s="169"/>
      <c r="Y374" s="170"/>
      <c r="Z374" s="277"/>
      <c r="AA374" s="169"/>
      <c r="AB374" s="170"/>
      <c r="AC374" s="277"/>
      <c r="AD374" s="169"/>
      <c r="AE374" s="170"/>
      <c r="AF374" s="277"/>
      <c r="AG374" s="169"/>
      <c r="AH374" s="170"/>
      <c r="AI374" s="277"/>
      <c r="AJ374" s="169"/>
      <c r="AK374" s="170"/>
      <c r="AL374" s="277"/>
      <c r="AM374" s="169"/>
      <c r="AN374" s="170"/>
      <c r="AO374" s="277"/>
      <c r="AP374" s="169"/>
      <c r="AQ374" s="170"/>
      <c r="AR374" s="277"/>
      <c r="AS374" s="169"/>
      <c r="AT374" s="170"/>
      <c r="AU374" s="277"/>
      <c r="AV374" s="169"/>
      <c r="AW374" s="170"/>
      <c r="AX374" s="277"/>
      <c r="AY374" s="169"/>
      <c r="AZ374" s="170"/>
      <c r="BA374" s="277"/>
      <c r="BB374" s="169"/>
      <c r="BC374" s="170"/>
      <c r="BD374" s="277"/>
      <c r="BE374" s="169"/>
      <c r="BF374" s="170"/>
      <c r="BG374" s="277"/>
      <c r="BH374" s="169"/>
      <c r="BI374" s="170"/>
      <c r="BK374" s="449"/>
      <c r="BL374" s="449"/>
      <c r="BM374" s="449"/>
      <c r="BN374" s="449"/>
    </row>
    <row r="375" spans="1:66" s="29" customFormat="1" ht="14.4" hidden="1" customHeight="1" outlineLevel="2" x14ac:dyDescent="0.3">
      <c r="A375" s="71" t="s">
        <v>394</v>
      </c>
      <c r="B375" s="23"/>
      <c r="C375" s="3"/>
      <c r="D375" s="4"/>
      <c r="E375" s="4"/>
      <c r="F375" s="56"/>
      <c r="G375" s="56"/>
      <c r="H375" s="241"/>
      <c r="I375" s="27"/>
      <c r="J375" s="28"/>
      <c r="K375" s="241"/>
      <c r="L375" s="27"/>
      <c r="M375" s="28"/>
      <c r="N375" s="241"/>
      <c r="O375" s="27"/>
      <c r="P375" s="28"/>
      <c r="Q375" s="241"/>
      <c r="R375" s="27"/>
      <c r="S375" s="28"/>
      <c r="T375" s="241"/>
      <c r="U375" s="27"/>
      <c r="V375" s="28"/>
      <c r="W375" s="241"/>
      <c r="X375" s="27"/>
      <c r="Y375" s="28"/>
      <c r="Z375" s="241"/>
      <c r="AA375" s="27"/>
      <c r="AB375" s="28"/>
      <c r="AC375" s="241"/>
      <c r="AD375" s="27"/>
      <c r="AE375" s="28"/>
      <c r="AF375" s="241"/>
      <c r="AG375" s="27"/>
      <c r="AH375" s="28"/>
      <c r="AI375" s="241"/>
      <c r="AJ375" s="27"/>
      <c r="AK375" s="28"/>
      <c r="AL375" s="241"/>
      <c r="AM375" s="27"/>
      <c r="AN375" s="28"/>
      <c r="AO375" s="241"/>
      <c r="AP375" s="27"/>
      <c r="AQ375" s="28"/>
      <c r="AR375" s="241"/>
      <c r="AS375" s="27"/>
      <c r="AT375" s="28"/>
      <c r="AU375" s="241"/>
      <c r="AV375" s="27"/>
      <c r="AW375" s="28"/>
      <c r="AX375" s="241"/>
      <c r="AY375" s="27"/>
      <c r="AZ375" s="28"/>
      <c r="BA375" s="241"/>
      <c r="BB375" s="27"/>
      <c r="BC375" s="28"/>
      <c r="BD375" s="241"/>
      <c r="BE375" s="27"/>
      <c r="BF375" s="28"/>
      <c r="BG375" s="241"/>
      <c r="BH375" s="27"/>
      <c r="BI375" s="28"/>
      <c r="BK375" s="449"/>
      <c r="BL375" s="449"/>
      <c r="BM375" s="449"/>
      <c r="BN375" s="449"/>
    </row>
    <row r="376" spans="1:66" s="29" customFormat="1" ht="14.4" hidden="1" customHeight="1" outlineLevel="2" x14ac:dyDescent="0.3">
      <c r="A376" s="165" t="s">
        <v>395</v>
      </c>
      <c r="B376" s="2"/>
      <c r="C376" s="60"/>
      <c r="D376" s="61"/>
      <c r="E376" s="61"/>
      <c r="F376" s="41"/>
      <c r="G376" s="56"/>
      <c r="H376" s="241"/>
      <c r="I376" s="27"/>
      <c r="J376" s="28"/>
      <c r="K376" s="241"/>
      <c r="L376" s="27"/>
      <c r="M376" s="28"/>
      <c r="N376" s="241"/>
      <c r="O376" s="27"/>
      <c r="P376" s="28"/>
      <c r="Q376" s="241"/>
      <c r="R376" s="27"/>
      <c r="S376" s="28"/>
      <c r="T376" s="241"/>
      <c r="U376" s="27"/>
      <c r="V376" s="28"/>
      <c r="W376" s="241"/>
      <c r="X376" s="27"/>
      <c r="Y376" s="28"/>
      <c r="Z376" s="241"/>
      <c r="AA376" s="27"/>
      <c r="AB376" s="28"/>
      <c r="AC376" s="241"/>
      <c r="AD376" s="27"/>
      <c r="AE376" s="28"/>
      <c r="AF376" s="241"/>
      <c r="AG376" s="27"/>
      <c r="AH376" s="28"/>
      <c r="AI376" s="241"/>
      <c r="AJ376" s="27"/>
      <c r="AK376" s="28"/>
      <c r="AL376" s="241"/>
      <c r="AM376" s="27"/>
      <c r="AN376" s="28"/>
      <c r="AO376" s="241"/>
      <c r="AP376" s="27"/>
      <c r="AQ376" s="28"/>
      <c r="AR376" s="241"/>
      <c r="AS376" s="27"/>
      <c r="AT376" s="28"/>
      <c r="AU376" s="241"/>
      <c r="AV376" s="27"/>
      <c r="AW376" s="28"/>
      <c r="AX376" s="241"/>
      <c r="AY376" s="27"/>
      <c r="AZ376" s="28"/>
      <c r="BA376" s="241"/>
      <c r="BB376" s="27"/>
      <c r="BC376" s="28"/>
      <c r="BD376" s="241"/>
      <c r="BE376" s="27"/>
      <c r="BF376" s="28"/>
      <c r="BG376" s="241"/>
      <c r="BH376" s="27"/>
      <c r="BI376" s="28"/>
      <c r="BK376" s="449"/>
      <c r="BL376" s="449"/>
      <c r="BM376" s="449"/>
      <c r="BN376" s="449"/>
    </row>
    <row r="377" spans="1:66" s="29" customFormat="1" ht="14.4" hidden="1" customHeight="1" outlineLevel="1" x14ac:dyDescent="0.3">
      <c r="A377" s="148"/>
      <c r="B377" s="23"/>
      <c r="C377" s="3"/>
      <c r="D377" s="4"/>
      <c r="E377" s="16"/>
      <c r="F377" s="117"/>
      <c r="G377" s="56"/>
      <c r="H377" s="269"/>
      <c r="I377" s="117"/>
      <c r="J377" s="149"/>
      <c r="K377" s="269"/>
      <c r="L377" s="117"/>
      <c r="M377" s="149"/>
      <c r="N377" s="269"/>
      <c r="O377" s="117"/>
      <c r="P377" s="149"/>
      <c r="Q377" s="269"/>
      <c r="R377" s="117"/>
      <c r="S377" s="149"/>
      <c r="T377" s="269"/>
      <c r="U377" s="117"/>
      <c r="V377" s="149"/>
      <c r="W377" s="269"/>
      <c r="X377" s="117"/>
      <c r="Y377" s="149"/>
      <c r="Z377" s="269"/>
      <c r="AA377" s="117"/>
      <c r="AB377" s="149"/>
      <c r="AC377" s="269"/>
      <c r="AD377" s="117"/>
      <c r="AE377" s="149"/>
      <c r="AF377" s="269"/>
      <c r="AG377" s="117"/>
      <c r="AH377" s="149"/>
      <c r="AI377" s="269"/>
      <c r="AJ377" s="117"/>
      <c r="AK377" s="149"/>
      <c r="AL377" s="269"/>
      <c r="AM377" s="117"/>
      <c r="AN377" s="149"/>
      <c r="AO377" s="269"/>
      <c r="AP377" s="117"/>
      <c r="AQ377" s="149"/>
      <c r="AR377" s="269"/>
      <c r="AS377" s="117"/>
      <c r="AT377" s="149"/>
      <c r="AU377" s="269"/>
      <c r="AV377" s="117"/>
      <c r="AW377" s="149"/>
      <c r="AX377" s="269"/>
      <c r="AY377" s="117"/>
      <c r="AZ377" s="149"/>
      <c r="BA377" s="269"/>
      <c r="BB377" s="117"/>
      <c r="BC377" s="149"/>
      <c r="BD377" s="269"/>
      <c r="BE377" s="117"/>
      <c r="BF377" s="149"/>
      <c r="BG377" s="269"/>
      <c r="BH377" s="117"/>
      <c r="BI377" s="149"/>
      <c r="BK377" s="449"/>
      <c r="BL377" s="449"/>
      <c r="BM377" s="449"/>
      <c r="BN377" s="449"/>
    </row>
    <row r="378" spans="1:66" s="29" customFormat="1" ht="14.4" hidden="1" customHeight="1" outlineLevel="1" x14ac:dyDescent="0.3">
      <c r="A378" s="171" t="s">
        <v>396</v>
      </c>
      <c r="B378" s="172"/>
      <c r="C378" s="172"/>
      <c r="D378" s="172"/>
      <c r="E378" s="172"/>
      <c r="F378" s="172"/>
      <c r="G378" s="172"/>
      <c r="H378" s="171"/>
      <c r="I378" s="172"/>
      <c r="J378" s="173"/>
      <c r="K378" s="171"/>
      <c r="L378" s="172"/>
      <c r="M378" s="173"/>
      <c r="N378" s="171"/>
      <c r="O378" s="172"/>
      <c r="P378" s="173"/>
      <c r="Q378" s="171"/>
      <c r="R378" s="172"/>
      <c r="S378" s="173"/>
      <c r="T378" s="171"/>
      <c r="U378" s="172"/>
      <c r="V378" s="173"/>
      <c r="W378" s="171"/>
      <c r="X378" s="172"/>
      <c r="Y378" s="173"/>
      <c r="Z378" s="171"/>
      <c r="AA378" s="172"/>
      <c r="AB378" s="173"/>
      <c r="AC378" s="171"/>
      <c r="AD378" s="172"/>
      <c r="AE378" s="173"/>
      <c r="AF378" s="171"/>
      <c r="AG378" s="172"/>
      <c r="AH378" s="173"/>
      <c r="AI378" s="171"/>
      <c r="AJ378" s="172"/>
      <c r="AK378" s="173"/>
      <c r="AL378" s="171"/>
      <c r="AM378" s="172"/>
      <c r="AN378" s="173"/>
      <c r="AO378" s="171"/>
      <c r="AP378" s="172"/>
      <c r="AQ378" s="173"/>
      <c r="AR378" s="171"/>
      <c r="AS378" s="172"/>
      <c r="AT378" s="173"/>
      <c r="AU378" s="171"/>
      <c r="AV378" s="172"/>
      <c r="AW378" s="173"/>
      <c r="AX378" s="171"/>
      <c r="AY378" s="172"/>
      <c r="AZ378" s="173"/>
      <c r="BA378" s="171"/>
      <c r="BB378" s="172"/>
      <c r="BC378" s="173"/>
      <c r="BD378" s="171"/>
      <c r="BE378" s="172"/>
      <c r="BF378" s="173"/>
      <c r="BG378" s="171"/>
      <c r="BH378" s="172"/>
      <c r="BI378" s="173"/>
      <c r="BK378" s="449"/>
      <c r="BL378" s="449"/>
      <c r="BM378" s="449"/>
      <c r="BN378" s="449"/>
    </row>
    <row r="379" spans="1:66" s="29" customFormat="1" ht="14.4" hidden="1" customHeight="1" outlineLevel="2" x14ac:dyDescent="0.3">
      <c r="A379" s="22" t="s">
        <v>397</v>
      </c>
      <c r="B379" s="23"/>
      <c r="C379" s="3"/>
      <c r="D379" s="4"/>
      <c r="E379" s="4"/>
      <c r="F379" s="56"/>
      <c r="G379" s="56"/>
      <c r="H379" s="278"/>
      <c r="I379" s="124"/>
      <c r="J379" s="174"/>
      <c r="K379" s="278"/>
      <c r="L379" s="124"/>
      <c r="M379" s="174"/>
      <c r="N379" s="278"/>
      <c r="O379" s="124"/>
      <c r="P379" s="174"/>
      <c r="Q379" s="278"/>
      <c r="R379" s="124"/>
      <c r="S379" s="174"/>
      <c r="T379" s="278"/>
      <c r="U379" s="124"/>
      <c r="V379" s="174"/>
      <c r="W379" s="278"/>
      <c r="X379" s="124"/>
      <c r="Y379" s="174"/>
      <c r="Z379" s="278"/>
      <c r="AA379" s="124"/>
      <c r="AB379" s="174"/>
      <c r="AC379" s="278"/>
      <c r="AD379" s="124"/>
      <c r="AE379" s="174"/>
      <c r="AF379" s="278"/>
      <c r="AG379" s="124"/>
      <c r="AH379" s="174"/>
      <c r="AI379" s="278"/>
      <c r="AJ379" s="124"/>
      <c r="AK379" s="174"/>
      <c r="AL379" s="278"/>
      <c r="AM379" s="124"/>
      <c r="AN379" s="174"/>
      <c r="AO379" s="278"/>
      <c r="AP379" s="124"/>
      <c r="AQ379" s="174"/>
      <c r="AR379" s="278"/>
      <c r="AS379" s="124"/>
      <c r="AT379" s="174"/>
      <c r="AU379" s="278"/>
      <c r="AV379" s="124"/>
      <c r="AW379" s="174"/>
      <c r="AX379" s="278"/>
      <c r="AY379" s="124"/>
      <c r="AZ379" s="174"/>
      <c r="BA379" s="278"/>
      <c r="BB379" s="124"/>
      <c r="BC379" s="174"/>
      <c r="BD379" s="278"/>
      <c r="BE379" s="124"/>
      <c r="BF379" s="174"/>
      <c r="BG379" s="278"/>
      <c r="BH379" s="124"/>
      <c r="BI379" s="174"/>
      <c r="BK379" s="449"/>
      <c r="BL379" s="449"/>
      <c r="BM379" s="449"/>
      <c r="BN379" s="449"/>
    </row>
    <row r="380" spans="1:66" s="29" customFormat="1" ht="14.4" hidden="1" customHeight="1" outlineLevel="2" x14ac:dyDescent="0.3">
      <c r="A380" s="22" t="s">
        <v>398</v>
      </c>
      <c r="B380" s="23"/>
      <c r="C380" s="3"/>
      <c r="D380" s="4"/>
      <c r="E380" s="4"/>
      <c r="F380" s="56"/>
      <c r="G380" s="56"/>
      <c r="H380" s="278">
        <v>0.03</v>
      </c>
      <c r="I380" s="124"/>
      <c r="J380" s="174"/>
      <c r="K380" s="278">
        <v>0.03</v>
      </c>
      <c r="L380" s="124"/>
      <c r="M380" s="174"/>
      <c r="N380" s="278">
        <v>0.03</v>
      </c>
      <c r="O380" s="124"/>
      <c r="P380" s="174"/>
      <c r="Q380" s="278">
        <v>0.03</v>
      </c>
      <c r="R380" s="124"/>
      <c r="S380" s="174"/>
      <c r="T380" s="278">
        <v>0.03</v>
      </c>
      <c r="U380" s="124"/>
      <c r="V380" s="174"/>
      <c r="W380" s="278">
        <v>0.03</v>
      </c>
      <c r="X380" s="124"/>
      <c r="Y380" s="174"/>
      <c r="Z380" s="278">
        <v>0.03</v>
      </c>
      <c r="AA380" s="124"/>
      <c r="AB380" s="174"/>
      <c r="AC380" s="278">
        <v>0.03</v>
      </c>
      <c r="AD380" s="124"/>
      <c r="AE380" s="174"/>
      <c r="AF380" s="278">
        <v>0.03</v>
      </c>
      <c r="AG380" s="124"/>
      <c r="AH380" s="174"/>
      <c r="AI380" s="278">
        <v>0.03</v>
      </c>
      <c r="AJ380" s="124"/>
      <c r="AK380" s="174"/>
      <c r="AL380" s="278">
        <v>0.03</v>
      </c>
      <c r="AM380" s="124"/>
      <c r="AN380" s="174"/>
      <c r="AO380" s="278">
        <v>0.03</v>
      </c>
      <c r="AP380" s="124"/>
      <c r="AQ380" s="174"/>
      <c r="AR380" s="278"/>
      <c r="AS380" s="124"/>
      <c r="AT380" s="174"/>
      <c r="AU380" s="278"/>
      <c r="AV380" s="124"/>
      <c r="AW380" s="174"/>
      <c r="AX380" s="278"/>
      <c r="AY380" s="124"/>
      <c r="AZ380" s="174"/>
      <c r="BA380" s="278"/>
      <c r="BB380" s="124"/>
      <c r="BC380" s="174"/>
      <c r="BD380" s="278"/>
      <c r="BE380" s="124"/>
      <c r="BF380" s="174"/>
      <c r="BG380" s="278"/>
      <c r="BH380" s="124"/>
      <c r="BI380" s="174"/>
      <c r="BK380" s="449"/>
      <c r="BL380" s="449"/>
      <c r="BM380" s="449"/>
      <c r="BN380" s="449"/>
    </row>
    <row r="381" spans="1:66" s="29" customFormat="1" ht="14.4" hidden="1" customHeight="1" outlineLevel="2" x14ac:dyDescent="0.3">
      <c r="A381" s="22" t="s">
        <v>399</v>
      </c>
      <c r="B381" s="23"/>
      <c r="C381" s="3"/>
      <c r="D381" s="4"/>
      <c r="E381" s="4"/>
      <c r="F381" s="56"/>
      <c r="G381" s="56"/>
      <c r="H381" s="278">
        <v>7.0000000000000007E-2</v>
      </c>
      <c r="I381" s="124"/>
      <c r="J381" s="174"/>
      <c r="K381" s="278">
        <v>7.0000000000000007E-2</v>
      </c>
      <c r="L381" s="124"/>
      <c r="M381" s="174"/>
      <c r="N381" s="278">
        <v>7.0000000000000007E-2</v>
      </c>
      <c r="O381" s="124"/>
      <c r="P381" s="174"/>
      <c r="Q381" s="278">
        <v>7.0000000000000007E-2</v>
      </c>
      <c r="R381" s="124"/>
      <c r="S381" s="174"/>
      <c r="T381" s="278">
        <v>7.0000000000000007E-2</v>
      </c>
      <c r="U381" s="124"/>
      <c r="V381" s="174"/>
      <c r="W381" s="278">
        <v>7.0000000000000007E-2</v>
      </c>
      <c r="X381" s="124"/>
      <c r="Y381" s="174"/>
      <c r="Z381" s="278">
        <v>7.0000000000000007E-2</v>
      </c>
      <c r="AA381" s="124"/>
      <c r="AB381" s="174"/>
      <c r="AC381" s="278">
        <v>7.0000000000000007E-2</v>
      </c>
      <c r="AD381" s="124"/>
      <c r="AE381" s="174"/>
      <c r="AF381" s="278">
        <v>7.0000000000000007E-2</v>
      </c>
      <c r="AG381" s="124"/>
      <c r="AH381" s="174"/>
      <c r="AI381" s="278">
        <v>7.0000000000000007E-2</v>
      </c>
      <c r="AJ381" s="124"/>
      <c r="AK381" s="174"/>
      <c r="AL381" s="278">
        <v>7.0000000000000007E-2</v>
      </c>
      <c r="AM381" s="124"/>
      <c r="AN381" s="174"/>
      <c r="AO381" s="278">
        <v>7.0000000000000007E-2</v>
      </c>
      <c r="AP381" s="124"/>
      <c r="AQ381" s="174"/>
      <c r="AR381" s="278"/>
      <c r="AS381" s="124"/>
      <c r="AT381" s="174"/>
      <c r="AU381" s="278"/>
      <c r="AV381" s="124"/>
      <c r="AW381" s="174"/>
      <c r="AX381" s="278"/>
      <c r="AY381" s="124"/>
      <c r="AZ381" s="174"/>
      <c r="BA381" s="278"/>
      <c r="BB381" s="124"/>
      <c r="BC381" s="174"/>
      <c r="BD381" s="278"/>
      <c r="BE381" s="124"/>
      <c r="BF381" s="174"/>
      <c r="BG381" s="278"/>
      <c r="BH381" s="124"/>
      <c r="BI381" s="174"/>
      <c r="BK381" s="449"/>
      <c r="BL381" s="449"/>
      <c r="BM381" s="449"/>
      <c r="BN381" s="449"/>
    </row>
    <row r="382" spans="1:66" s="29" customFormat="1" ht="14.4" hidden="1" customHeight="1" outlineLevel="2" x14ac:dyDescent="0.3">
      <c r="A382" s="22" t="s">
        <v>400</v>
      </c>
      <c r="B382" s="23"/>
      <c r="C382" s="3"/>
      <c r="D382" s="4"/>
      <c r="E382" s="4"/>
      <c r="F382" s="56"/>
      <c r="G382" s="56"/>
      <c r="H382" s="277">
        <v>3.6499999999999998E-2</v>
      </c>
      <c r="I382" s="169"/>
      <c r="J382" s="170"/>
      <c r="K382" s="277">
        <v>3.6499999999999998E-2</v>
      </c>
      <c r="L382" s="169"/>
      <c r="M382" s="170"/>
      <c r="N382" s="277">
        <v>3.6499999999999998E-2</v>
      </c>
      <c r="O382" s="169"/>
      <c r="P382" s="170"/>
      <c r="Q382" s="277">
        <v>3.6499999999999998E-2</v>
      </c>
      <c r="R382" s="169"/>
      <c r="S382" s="170"/>
      <c r="T382" s="277">
        <v>3.6499999999999998E-2</v>
      </c>
      <c r="U382" s="169"/>
      <c r="V382" s="170"/>
      <c r="W382" s="277">
        <v>3.6499999999999998E-2</v>
      </c>
      <c r="X382" s="169"/>
      <c r="Y382" s="170"/>
      <c r="Z382" s="277">
        <v>3.6499999999999998E-2</v>
      </c>
      <c r="AA382" s="169"/>
      <c r="AB382" s="170"/>
      <c r="AC382" s="277">
        <v>3.6499999999999998E-2</v>
      </c>
      <c r="AD382" s="169"/>
      <c r="AE382" s="170"/>
      <c r="AF382" s="277">
        <v>3.6499999999999998E-2</v>
      </c>
      <c r="AG382" s="169"/>
      <c r="AH382" s="170"/>
      <c r="AI382" s="277">
        <v>3.6499999999999998E-2</v>
      </c>
      <c r="AJ382" s="169"/>
      <c r="AK382" s="170"/>
      <c r="AL382" s="277">
        <v>3.6499999999999998E-2</v>
      </c>
      <c r="AM382" s="169"/>
      <c r="AN382" s="170"/>
      <c r="AO382" s="277">
        <v>3.6499999999999998E-2</v>
      </c>
      <c r="AP382" s="169"/>
      <c r="AQ382" s="170"/>
      <c r="AR382" s="277"/>
      <c r="AS382" s="169"/>
      <c r="AT382" s="170"/>
      <c r="AU382" s="277"/>
      <c r="AV382" s="169"/>
      <c r="AW382" s="170"/>
      <c r="AX382" s="277"/>
      <c r="AY382" s="169"/>
      <c r="AZ382" s="170"/>
      <c r="BA382" s="277"/>
      <c r="BB382" s="169"/>
      <c r="BC382" s="170"/>
      <c r="BD382" s="277"/>
      <c r="BE382" s="169"/>
      <c r="BF382" s="170"/>
      <c r="BG382" s="277"/>
      <c r="BH382" s="169"/>
      <c r="BI382" s="170"/>
      <c r="BK382" s="449"/>
      <c r="BL382" s="449"/>
      <c r="BM382" s="449"/>
      <c r="BN382" s="449"/>
    </row>
    <row r="383" spans="1:66" s="29" customFormat="1" ht="14.4" hidden="1" customHeight="1" outlineLevel="2" x14ac:dyDescent="0.3">
      <c r="A383" s="22" t="s">
        <v>401</v>
      </c>
      <c r="B383" s="23"/>
      <c r="C383" s="175" t="s">
        <v>402</v>
      </c>
      <c r="D383" s="176" t="s">
        <v>403</v>
      </c>
      <c r="E383" s="4"/>
      <c r="F383" s="56"/>
      <c r="G383" s="56"/>
      <c r="H383" s="277">
        <v>1.2E-2</v>
      </c>
      <c r="I383" s="169"/>
      <c r="J383" s="170"/>
      <c r="K383" s="277">
        <v>1.2E-2</v>
      </c>
      <c r="L383" s="169"/>
      <c r="M383" s="170"/>
      <c r="N383" s="277">
        <v>1.2E-2</v>
      </c>
      <c r="O383" s="169"/>
      <c r="P383" s="170"/>
      <c r="Q383" s="277">
        <v>1.2E-2</v>
      </c>
      <c r="R383" s="169"/>
      <c r="S383" s="170"/>
      <c r="T383" s="277">
        <v>1.2E-2</v>
      </c>
      <c r="U383" s="169"/>
      <c r="V383" s="170"/>
      <c r="W383" s="277">
        <v>1.2E-2</v>
      </c>
      <c r="X383" s="169"/>
      <c r="Y383" s="170"/>
      <c r="Z383" s="277">
        <v>1.2E-2</v>
      </c>
      <c r="AA383" s="169"/>
      <c r="AB383" s="170"/>
      <c r="AC383" s="277">
        <v>1.2E-2</v>
      </c>
      <c r="AD383" s="169"/>
      <c r="AE383" s="170"/>
      <c r="AF383" s="277">
        <v>1.2E-2</v>
      </c>
      <c r="AG383" s="169"/>
      <c r="AH383" s="170"/>
      <c r="AI383" s="277">
        <v>1.2E-2</v>
      </c>
      <c r="AJ383" s="169"/>
      <c r="AK383" s="170"/>
      <c r="AL383" s="277">
        <v>1.2E-2</v>
      </c>
      <c r="AM383" s="169"/>
      <c r="AN383" s="170"/>
      <c r="AO383" s="277">
        <v>1.2E-2</v>
      </c>
      <c r="AP383" s="169"/>
      <c r="AQ383" s="170"/>
      <c r="AR383" s="277"/>
      <c r="AS383" s="169"/>
      <c r="AT383" s="170"/>
      <c r="AU383" s="277"/>
      <c r="AV383" s="169"/>
      <c r="AW383" s="170"/>
      <c r="AX383" s="277"/>
      <c r="AY383" s="169"/>
      <c r="AZ383" s="170"/>
      <c r="BA383" s="277"/>
      <c r="BB383" s="169"/>
      <c r="BC383" s="170"/>
      <c r="BD383" s="277"/>
      <c r="BE383" s="169"/>
      <c r="BF383" s="170"/>
      <c r="BG383" s="277"/>
      <c r="BH383" s="169"/>
      <c r="BI383" s="170"/>
      <c r="BK383" s="449"/>
      <c r="BL383" s="449"/>
      <c r="BM383" s="449"/>
      <c r="BN383" s="449"/>
    </row>
    <row r="384" spans="1:66" s="29" customFormat="1" ht="14.4" hidden="1" customHeight="1" outlineLevel="2" x14ac:dyDescent="0.3">
      <c r="A384" s="22" t="s">
        <v>404</v>
      </c>
      <c r="B384" s="23"/>
      <c r="C384" s="3"/>
      <c r="D384" s="4"/>
      <c r="E384" s="4"/>
      <c r="F384" s="56"/>
      <c r="G384" s="56"/>
      <c r="H384" s="277">
        <v>1.0800000000000001E-2</v>
      </c>
      <c r="I384" s="169"/>
      <c r="J384" s="170"/>
      <c r="K384" s="277">
        <v>1.0800000000000001E-2</v>
      </c>
      <c r="L384" s="169"/>
      <c r="M384" s="170"/>
      <c r="N384" s="277">
        <v>1.0800000000000001E-2</v>
      </c>
      <c r="O384" s="169"/>
      <c r="P384" s="170"/>
      <c r="Q384" s="277">
        <v>1.0800000000000001E-2</v>
      </c>
      <c r="R384" s="169"/>
      <c r="S384" s="170"/>
      <c r="T384" s="277">
        <v>1.0800000000000001E-2</v>
      </c>
      <c r="U384" s="169"/>
      <c r="V384" s="170"/>
      <c r="W384" s="277">
        <v>1.0800000000000001E-2</v>
      </c>
      <c r="X384" s="169"/>
      <c r="Y384" s="170"/>
      <c r="Z384" s="277">
        <v>1.0800000000000001E-2</v>
      </c>
      <c r="AA384" s="169"/>
      <c r="AB384" s="170"/>
      <c r="AC384" s="277">
        <v>1.0800000000000001E-2</v>
      </c>
      <c r="AD384" s="169"/>
      <c r="AE384" s="170"/>
      <c r="AF384" s="277">
        <v>1.0800000000000001E-2</v>
      </c>
      <c r="AG384" s="169"/>
      <c r="AH384" s="170"/>
      <c r="AI384" s="277">
        <v>1.0800000000000001E-2</v>
      </c>
      <c r="AJ384" s="169"/>
      <c r="AK384" s="170"/>
      <c r="AL384" s="277">
        <v>1.0800000000000001E-2</v>
      </c>
      <c r="AM384" s="169"/>
      <c r="AN384" s="170"/>
      <c r="AO384" s="277">
        <v>1.0800000000000001E-2</v>
      </c>
      <c r="AP384" s="169"/>
      <c r="AQ384" s="170"/>
      <c r="AR384" s="277"/>
      <c r="AS384" s="169"/>
      <c r="AT384" s="170"/>
      <c r="AU384" s="277"/>
      <c r="AV384" s="169"/>
      <c r="AW384" s="170"/>
      <c r="AX384" s="277"/>
      <c r="AY384" s="169"/>
      <c r="AZ384" s="170"/>
      <c r="BA384" s="277"/>
      <c r="BB384" s="169"/>
      <c r="BC384" s="170"/>
      <c r="BD384" s="277"/>
      <c r="BE384" s="169"/>
      <c r="BF384" s="170"/>
      <c r="BG384" s="277"/>
      <c r="BH384" s="169"/>
      <c r="BI384" s="170"/>
      <c r="BK384" s="449"/>
      <c r="BL384" s="449"/>
      <c r="BM384" s="449"/>
      <c r="BN384" s="449"/>
    </row>
    <row r="385" spans="1:66" s="29" customFormat="1" ht="14.4" hidden="1" customHeight="1" outlineLevel="2" x14ac:dyDescent="0.3">
      <c r="A385" s="22" t="s">
        <v>405</v>
      </c>
      <c r="B385" s="23"/>
      <c r="C385" s="3"/>
      <c r="D385" s="4"/>
      <c r="E385" s="4"/>
      <c r="F385" s="56"/>
      <c r="G385" s="56"/>
      <c r="H385" s="277">
        <v>0</v>
      </c>
      <c r="I385" s="169"/>
      <c r="J385" s="170"/>
      <c r="K385" s="277">
        <v>0</v>
      </c>
      <c r="L385" s="169"/>
      <c r="M385" s="170"/>
      <c r="N385" s="277">
        <v>0</v>
      </c>
      <c r="O385" s="169"/>
      <c r="P385" s="170"/>
      <c r="Q385" s="277">
        <v>0</v>
      </c>
      <c r="R385" s="169"/>
      <c r="S385" s="170"/>
      <c r="T385" s="277">
        <v>0</v>
      </c>
      <c r="U385" s="169"/>
      <c r="V385" s="170"/>
      <c r="W385" s="277">
        <v>0</v>
      </c>
      <c r="X385" s="169"/>
      <c r="Y385" s="170"/>
      <c r="Z385" s="277">
        <v>0</v>
      </c>
      <c r="AA385" s="169"/>
      <c r="AB385" s="170"/>
      <c r="AC385" s="277">
        <v>0</v>
      </c>
      <c r="AD385" s="169"/>
      <c r="AE385" s="170"/>
      <c r="AF385" s="277">
        <v>0</v>
      </c>
      <c r="AG385" s="169"/>
      <c r="AH385" s="170"/>
      <c r="AI385" s="277">
        <v>0</v>
      </c>
      <c r="AJ385" s="169"/>
      <c r="AK385" s="170"/>
      <c r="AL385" s="277">
        <v>0</v>
      </c>
      <c r="AM385" s="169"/>
      <c r="AN385" s="170"/>
      <c r="AO385" s="277">
        <v>0</v>
      </c>
      <c r="AP385" s="169"/>
      <c r="AQ385" s="170"/>
      <c r="AR385" s="277"/>
      <c r="AS385" s="169"/>
      <c r="AT385" s="170"/>
      <c r="AU385" s="277"/>
      <c r="AV385" s="169"/>
      <c r="AW385" s="170"/>
      <c r="AX385" s="277"/>
      <c r="AY385" s="169"/>
      <c r="AZ385" s="170"/>
      <c r="BA385" s="277"/>
      <c r="BB385" s="169"/>
      <c r="BC385" s="170"/>
      <c r="BD385" s="277"/>
      <c r="BE385" s="169"/>
      <c r="BF385" s="170"/>
      <c r="BG385" s="277"/>
      <c r="BH385" s="169"/>
      <c r="BI385" s="170"/>
      <c r="BK385" s="449"/>
      <c r="BL385" s="449"/>
      <c r="BM385" s="449"/>
      <c r="BN385" s="449"/>
    </row>
    <row r="386" spans="1:66" s="29" customFormat="1" ht="14.4" hidden="1" customHeight="1" outlineLevel="2" x14ac:dyDescent="0.3">
      <c r="A386" s="22" t="s">
        <v>406</v>
      </c>
      <c r="B386" s="23"/>
      <c r="C386" s="3"/>
      <c r="D386" s="4"/>
      <c r="E386" s="4"/>
      <c r="F386" s="56"/>
      <c r="G386" s="56"/>
      <c r="H386" s="277">
        <v>3.2000000000000001E-2</v>
      </c>
      <c r="I386" s="169"/>
      <c r="J386" s="170"/>
      <c r="K386" s="277">
        <v>3.2000000000000001E-2</v>
      </c>
      <c r="L386" s="169"/>
      <c r="M386" s="170"/>
      <c r="N386" s="277">
        <v>3.2000000000000001E-2</v>
      </c>
      <c r="O386" s="169"/>
      <c r="P386" s="170"/>
      <c r="Q386" s="277">
        <v>3.2000000000000001E-2</v>
      </c>
      <c r="R386" s="169"/>
      <c r="S386" s="170"/>
      <c r="T386" s="277">
        <v>3.2000000000000001E-2</v>
      </c>
      <c r="U386" s="169"/>
      <c r="V386" s="170"/>
      <c r="W386" s="277">
        <v>3.2000000000000001E-2</v>
      </c>
      <c r="X386" s="169"/>
      <c r="Y386" s="170"/>
      <c r="Z386" s="277">
        <v>3.2000000000000001E-2</v>
      </c>
      <c r="AA386" s="169"/>
      <c r="AB386" s="170"/>
      <c r="AC386" s="277">
        <v>3.2000000000000001E-2</v>
      </c>
      <c r="AD386" s="169"/>
      <c r="AE386" s="170"/>
      <c r="AF386" s="277">
        <v>3.2000000000000001E-2</v>
      </c>
      <c r="AG386" s="169"/>
      <c r="AH386" s="170"/>
      <c r="AI386" s="277">
        <v>3.2000000000000001E-2</v>
      </c>
      <c r="AJ386" s="169"/>
      <c r="AK386" s="170"/>
      <c r="AL386" s="277">
        <v>3.2000000000000001E-2</v>
      </c>
      <c r="AM386" s="169"/>
      <c r="AN386" s="170"/>
      <c r="AO386" s="277">
        <v>3.2000000000000001E-2</v>
      </c>
      <c r="AP386" s="169"/>
      <c r="AQ386" s="170"/>
      <c r="AR386" s="277"/>
      <c r="AS386" s="169"/>
      <c r="AT386" s="170"/>
      <c r="AU386" s="277"/>
      <c r="AV386" s="169"/>
      <c r="AW386" s="170"/>
      <c r="AX386" s="277"/>
      <c r="AY386" s="169"/>
      <c r="AZ386" s="170"/>
      <c r="BA386" s="277"/>
      <c r="BB386" s="169"/>
      <c r="BC386" s="170"/>
      <c r="BD386" s="277"/>
      <c r="BE386" s="169"/>
      <c r="BF386" s="170"/>
      <c r="BG386" s="277"/>
      <c r="BH386" s="169"/>
      <c r="BI386" s="170"/>
      <c r="BK386" s="449"/>
      <c r="BL386" s="449"/>
      <c r="BM386" s="449"/>
      <c r="BN386" s="449"/>
    </row>
    <row r="387" spans="1:66" s="29" customFormat="1" ht="14.4" hidden="1" customHeight="1" outlineLevel="2" x14ac:dyDescent="0.3">
      <c r="A387" s="22" t="s">
        <v>407</v>
      </c>
      <c r="B387" s="23"/>
      <c r="C387" s="3"/>
      <c r="D387" s="4"/>
      <c r="E387" s="4"/>
      <c r="F387" s="56"/>
      <c r="G387" s="56"/>
      <c r="H387" s="277">
        <v>0.05</v>
      </c>
      <c r="I387" s="169"/>
      <c r="J387" s="170"/>
      <c r="K387" s="277">
        <v>0.05</v>
      </c>
      <c r="L387" s="169"/>
      <c r="M387" s="170"/>
      <c r="N387" s="277">
        <v>0.05</v>
      </c>
      <c r="O387" s="169"/>
      <c r="P387" s="170"/>
      <c r="Q387" s="277">
        <v>0.05</v>
      </c>
      <c r="R387" s="169"/>
      <c r="S387" s="170"/>
      <c r="T387" s="277">
        <v>0.05</v>
      </c>
      <c r="U387" s="169"/>
      <c r="V387" s="170"/>
      <c r="W387" s="277">
        <v>0.05</v>
      </c>
      <c r="X387" s="169"/>
      <c r="Y387" s="170"/>
      <c r="Z387" s="277">
        <v>0.05</v>
      </c>
      <c r="AA387" s="169"/>
      <c r="AB387" s="170"/>
      <c r="AC387" s="277">
        <v>0.05</v>
      </c>
      <c r="AD387" s="169"/>
      <c r="AE387" s="170"/>
      <c r="AF387" s="277">
        <v>0.05</v>
      </c>
      <c r="AG387" s="169"/>
      <c r="AH387" s="170"/>
      <c r="AI387" s="277">
        <v>0.05</v>
      </c>
      <c r="AJ387" s="169"/>
      <c r="AK387" s="170"/>
      <c r="AL387" s="277">
        <v>0.05</v>
      </c>
      <c r="AM387" s="169"/>
      <c r="AN387" s="170"/>
      <c r="AO387" s="277">
        <v>0.05</v>
      </c>
      <c r="AP387" s="169"/>
      <c r="AQ387" s="170"/>
      <c r="AR387" s="277"/>
      <c r="AS387" s="169"/>
      <c r="AT387" s="170"/>
      <c r="AU387" s="277"/>
      <c r="AV387" s="169"/>
      <c r="AW387" s="170"/>
      <c r="AX387" s="277"/>
      <c r="AY387" s="169"/>
      <c r="AZ387" s="170"/>
      <c r="BA387" s="277"/>
      <c r="BB387" s="169"/>
      <c r="BC387" s="170"/>
      <c r="BD387" s="277"/>
      <c r="BE387" s="169"/>
      <c r="BF387" s="170"/>
      <c r="BG387" s="277"/>
      <c r="BH387" s="169"/>
      <c r="BI387" s="170"/>
      <c r="BK387" s="449"/>
      <c r="BL387" s="449"/>
      <c r="BM387" s="449"/>
      <c r="BN387" s="449"/>
    </row>
    <row r="388" spans="1:66" s="29" customFormat="1" ht="14.4" hidden="1" customHeight="1" outlineLevel="2" x14ac:dyDescent="0.3">
      <c r="A388" s="177" t="s">
        <v>408</v>
      </c>
      <c r="B388" s="23"/>
      <c r="C388" s="178" t="s">
        <v>409</v>
      </c>
      <c r="D388" s="179">
        <v>4800000</v>
      </c>
      <c r="E388" s="4"/>
      <c r="F388" s="56"/>
      <c r="G388" s="56"/>
      <c r="H388" s="279" t="s">
        <v>403</v>
      </c>
      <c r="I388" s="180"/>
      <c r="J388" s="181"/>
      <c r="K388" s="279" t="s">
        <v>403</v>
      </c>
      <c r="L388" s="180"/>
      <c r="M388" s="181"/>
      <c r="N388" s="279" t="s">
        <v>403</v>
      </c>
      <c r="O388" s="180"/>
      <c r="P388" s="181"/>
      <c r="Q388" s="279" t="s">
        <v>403</v>
      </c>
      <c r="R388" s="180"/>
      <c r="S388" s="181"/>
      <c r="T388" s="279" t="s">
        <v>403</v>
      </c>
      <c r="U388" s="180"/>
      <c r="V388" s="181"/>
      <c r="W388" s="279" t="s">
        <v>403</v>
      </c>
      <c r="X388" s="180"/>
      <c r="Y388" s="181"/>
      <c r="Z388" s="279" t="s">
        <v>403</v>
      </c>
      <c r="AA388" s="180"/>
      <c r="AB388" s="181"/>
      <c r="AC388" s="279" t="s">
        <v>403</v>
      </c>
      <c r="AD388" s="180"/>
      <c r="AE388" s="181"/>
      <c r="AF388" s="279" t="s">
        <v>403</v>
      </c>
      <c r="AG388" s="180"/>
      <c r="AH388" s="181"/>
      <c r="AI388" s="279" t="s">
        <v>403</v>
      </c>
      <c r="AJ388" s="180"/>
      <c r="AK388" s="181"/>
      <c r="AL388" s="279" t="s">
        <v>403</v>
      </c>
      <c r="AM388" s="180"/>
      <c r="AN388" s="181"/>
      <c r="AO388" s="279" t="s">
        <v>403</v>
      </c>
      <c r="AP388" s="180"/>
      <c r="AQ388" s="181"/>
      <c r="AR388" s="279"/>
      <c r="AS388" s="180"/>
      <c r="AT388" s="181"/>
      <c r="AU388" s="279"/>
      <c r="AV388" s="180"/>
      <c r="AW388" s="181"/>
      <c r="AX388" s="279"/>
      <c r="AY388" s="180"/>
      <c r="AZ388" s="181"/>
      <c r="BA388" s="279"/>
      <c r="BB388" s="180"/>
      <c r="BC388" s="181"/>
      <c r="BD388" s="279"/>
      <c r="BE388" s="180"/>
      <c r="BF388" s="181"/>
      <c r="BG388" s="279"/>
      <c r="BH388" s="180"/>
      <c r="BI388" s="181"/>
      <c r="BK388" s="449"/>
      <c r="BL388" s="449"/>
      <c r="BM388" s="449"/>
      <c r="BN388" s="449"/>
    </row>
    <row r="389" spans="1:66" s="29" customFormat="1" ht="14.4" hidden="1" customHeight="1" outlineLevel="2" x14ac:dyDescent="0.3">
      <c r="A389" s="22" t="s">
        <v>410</v>
      </c>
      <c r="B389" s="23"/>
      <c r="C389" s="182" t="s">
        <v>411</v>
      </c>
      <c r="D389" s="183" t="s">
        <v>412</v>
      </c>
      <c r="E389" s="4"/>
      <c r="F389" s="56"/>
      <c r="G389" s="56"/>
      <c r="H389" s="279">
        <v>4.8000000000000001E-2</v>
      </c>
      <c r="I389" s="180"/>
      <c r="J389" s="181"/>
      <c r="K389" s="279">
        <v>4.8000000000000001E-2</v>
      </c>
      <c r="L389" s="180"/>
      <c r="M389" s="181"/>
      <c r="N389" s="279">
        <v>4.8000000000000001E-2</v>
      </c>
      <c r="O389" s="180"/>
      <c r="P389" s="181"/>
      <c r="Q389" s="279">
        <v>4.8000000000000001E-2</v>
      </c>
      <c r="R389" s="180"/>
      <c r="S389" s="181"/>
      <c r="T389" s="279">
        <v>4.8000000000000001E-2</v>
      </c>
      <c r="U389" s="180"/>
      <c r="V389" s="181"/>
      <c r="W389" s="279">
        <v>4.8000000000000001E-2</v>
      </c>
      <c r="X389" s="180"/>
      <c r="Y389" s="181"/>
      <c r="Z389" s="279">
        <v>4.8000000000000001E-2</v>
      </c>
      <c r="AA389" s="180"/>
      <c r="AB389" s="181"/>
      <c r="AC389" s="279">
        <v>4.8000000000000001E-2</v>
      </c>
      <c r="AD389" s="180"/>
      <c r="AE389" s="181"/>
      <c r="AF389" s="279">
        <v>4.8000000000000001E-2</v>
      </c>
      <c r="AG389" s="180"/>
      <c r="AH389" s="181"/>
      <c r="AI389" s="279">
        <v>4.8000000000000001E-2</v>
      </c>
      <c r="AJ389" s="180"/>
      <c r="AK389" s="181"/>
      <c r="AL389" s="279">
        <v>4.8000000000000001E-2</v>
      </c>
      <c r="AM389" s="180"/>
      <c r="AN389" s="181"/>
      <c r="AO389" s="279">
        <v>4.8000000000000001E-2</v>
      </c>
      <c r="AP389" s="180"/>
      <c r="AQ389" s="181"/>
      <c r="AR389" s="279"/>
      <c r="AS389" s="180"/>
      <c r="AT389" s="181"/>
      <c r="AU389" s="279"/>
      <c r="AV389" s="180"/>
      <c r="AW389" s="181"/>
      <c r="AX389" s="279"/>
      <c r="AY389" s="180"/>
      <c r="AZ389" s="181"/>
      <c r="BA389" s="279"/>
      <c r="BB389" s="180"/>
      <c r="BC389" s="181"/>
      <c r="BD389" s="279"/>
      <c r="BE389" s="180"/>
      <c r="BF389" s="181"/>
      <c r="BG389" s="279"/>
      <c r="BH389" s="180"/>
      <c r="BI389" s="181"/>
      <c r="BK389" s="449"/>
      <c r="BL389" s="449"/>
      <c r="BM389" s="449"/>
      <c r="BN389" s="449"/>
    </row>
    <row r="390" spans="1:66" s="29" customFormat="1" ht="14.4" hidden="1" customHeight="1" outlineLevel="2" x14ac:dyDescent="0.3">
      <c r="A390" s="148"/>
      <c r="B390" s="23"/>
      <c r="C390" s="3"/>
      <c r="D390" s="4"/>
      <c r="E390" s="4"/>
      <c r="F390" s="56"/>
      <c r="G390" s="56"/>
      <c r="H390" s="280"/>
      <c r="I390" s="56"/>
      <c r="J390" s="184"/>
      <c r="K390" s="280"/>
      <c r="L390" s="56"/>
      <c r="M390" s="184"/>
      <c r="N390" s="280"/>
      <c r="O390" s="56"/>
      <c r="P390" s="184"/>
      <c r="Q390" s="280"/>
      <c r="R390" s="56"/>
      <c r="S390" s="184"/>
      <c r="T390" s="280"/>
      <c r="U390" s="56"/>
      <c r="V390" s="184"/>
      <c r="W390" s="280"/>
      <c r="X390" s="56"/>
      <c r="Y390" s="184"/>
      <c r="Z390" s="280"/>
      <c r="AA390" s="56"/>
      <c r="AB390" s="184"/>
      <c r="AC390" s="280"/>
      <c r="AD390" s="56"/>
      <c r="AE390" s="184"/>
      <c r="AF390" s="280"/>
      <c r="AG390" s="56"/>
      <c r="AH390" s="184"/>
      <c r="AI390" s="280"/>
      <c r="AJ390" s="56"/>
      <c r="AK390" s="184"/>
      <c r="AL390" s="280"/>
      <c r="AM390" s="56"/>
      <c r="AN390" s="184"/>
      <c r="AO390" s="280"/>
      <c r="AP390" s="56"/>
      <c r="AQ390" s="184"/>
      <c r="AR390" s="280"/>
      <c r="AS390" s="56"/>
      <c r="AT390" s="184"/>
      <c r="AU390" s="280"/>
      <c r="AV390" s="56"/>
      <c r="AW390" s="184"/>
      <c r="AX390" s="280"/>
      <c r="AY390" s="56"/>
      <c r="AZ390" s="184"/>
      <c r="BA390" s="280"/>
      <c r="BB390" s="56"/>
      <c r="BC390" s="184"/>
      <c r="BD390" s="280"/>
      <c r="BE390" s="56"/>
      <c r="BF390" s="184"/>
      <c r="BG390" s="280"/>
      <c r="BH390" s="56"/>
      <c r="BI390" s="184"/>
      <c r="BK390" s="449"/>
      <c r="BL390" s="449"/>
      <c r="BM390" s="449"/>
      <c r="BN390" s="449"/>
    </row>
    <row r="391" spans="1:66" s="29" customFormat="1" ht="14.4" hidden="1" customHeight="1" outlineLevel="2" x14ac:dyDescent="0.3">
      <c r="A391" s="171" t="s">
        <v>413</v>
      </c>
      <c r="B391" s="172"/>
      <c r="C391" s="172"/>
      <c r="D391" s="172"/>
      <c r="E391" s="172"/>
      <c r="F391" s="172"/>
      <c r="G391" s="172"/>
      <c r="H391" s="171"/>
      <c r="I391" s="172"/>
      <c r="J391" s="173"/>
      <c r="K391" s="171"/>
      <c r="L391" s="172"/>
      <c r="M391" s="173"/>
      <c r="N391" s="171"/>
      <c r="O391" s="172"/>
      <c r="P391" s="173"/>
      <c r="Q391" s="171"/>
      <c r="R391" s="172"/>
      <c r="S391" s="173"/>
      <c r="T391" s="171"/>
      <c r="U391" s="172"/>
      <c r="V391" s="173"/>
      <c r="W391" s="171"/>
      <c r="X391" s="172"/>
      <c r="Y391" s="173"/>
      <c r="Z391" s="171"/>
      <c r="AA391" s="172"/>
      <c r="AB391" s="173"/>
      <c r="AC391" s="171"/>
      <c r="AD391" s="172"/>
      <c r="AE391" s="173"/>
      <c r="AF391" s="171"/>
      <c r="AG391" s="172"/>
      <c r="AH391" s="173"/>
      <c r="AI391" s="171"/>
      <c r="AJ391" s="172"/>
      <c r="AK391" s="173"/>
      <c r="AL391" s="171"/>
      <c r="AM391" s="172"/>
      <c r="AN391" s="173"/>
      <c r="AO391" s="171"/>
      <c r="AP391" s="172"/>
      <c r="AQ391" s="173"/>
      <c r="AR391" s="171"/>
      <c r="AS391" s="172"/>
      <c r="AT391" s="173"/>
      <c r="AU391" s="171"/>
      <c r="AV391" s="172"/>
      <c r="AW391" s="173"/>
      <c r="AX391" s="171"/>
      <c r="AY391" s="172"/>
      <c r="AZ391" s="173"/>
      <c r="BA391" s="171"/>
      <c r="BB391" s="172"/>
      <c r="BC391" s="173"/>
      <c r="BD391" s="171"/>
      <c r="BE391" s="172"/>
      <c r="BF391" s="173"/>
      <c r="BG391" s="171"/>
      <c r="BH391" s="172"/>
      <c r="BI391" s="173"/>
      <c r="BK391" s="449"/>
      <c r="BL391" s="449"/>
      <c r="BM391" s="449"/>
      <c r="BN391" s="449"/>
    </row>
    <row r="392" spans="1:66" s="29" customFormat="1" ht="14.4" hidden="1" customHeight="1" outlineLevel="2" x14ac:dyDescent="0.3">
      <c r="A392" s="22" t="s">
        <v>414</v>
      </c>
      <c r="B392" s="23"/>
      <c r="C392" s="3"/>
      <c r="D392" s="4"/>
      <c r="E392" s="4"/>
      <c r="F392" s="56"/>
      <c r="G392" s="56"/>
      <c r="H392" s="241"/>
      <c r="I392" s="27"/>
      <c r="J392" s="28"/>
      <c r="K392" s="241"/>
      <c r="L392" s="27"/>
      <c r="M392" s="28"/>
      <c r="N392" s="241"/>
      <c r="O392" s="27"/>
      <c r="P392" s="28"/>
      <c r="Q392" s="241"/>
      <c r="R392" s="27"/>
      <c r="S392" s="28"/>
      <c r="T392" s="241"/>
      <c r="U392" s="27"/>
      <c r="V392" s="28"/>
      <c r="W392" s="241"/>
      <c r="X392" s="27"/>
      <c r="Y392" s="28"/>
      <c r="Z392" s="241"/>
      <c r="AA392" s="27"/>
      <c r="AB392" s="28"/>
      <c r="AC392" s="241"/>
      <c r="AD392" s="27"/>
      <c r="AE392" s="28"/>
      <c r="AF392" s="241"/>
      <c r="AG392" s="27"/>
      <c r="AH392" s="28"/>
      <c r="AI392" s="241"/>
      <c r="AJ392" s="27"/>
      <c r="AK392" s="28"/>
      <c r="AL392" s="241"/>
      <c r="AM392" s="27"/>
      <c r="AN392" s="28"/>
      <c r="AO392" s="241"/>
      <c r="AP392" s="27"/>
      <c r="AQ392" s="28"/>
      <c r="AR392" s="241"/>
      <c r="AS392" s="27"/>
      <c r="AT392" s="28"/>
      <c r="AU392" s="241"/>
      <c r="AV392" s="27"/>
      <c r="AW392" s="28"/>
      <c r="AX392" s="241"/>
      <c r="AY392" s="27"/>
      <c r="AZ392" s="28"/>
      <c r="BA392" s="241"/>
      <c r="BB392" s="27"/>
      <c r="BC392" s="28"/>
      <c r="BD392" s="241"/>
      <c r="BE392" s="27"/>
      <c r="BF392" s="28"/>
      <c r="BG392" s="241"/>
      <c r="BH392" s="27"/>
      <c r="BI392" s="28"/>
      <c r="BK392" s="449"/>
      <c r="BL392" s="449"/>
      <c r="BM392" s="449"/>
      <c r="BN392" s="449"/>
    </row>
    <row r="393" spans="1:66" s="29" customFormat="1" ht="14.4" hidden="1" customHeight="1" outlineLevel="2" x14ac:dyDescent="0.3">
      <c r="A393" s="22" t="s">
        <v>415</v>
      </c>
      <c r="B393" s="23"/>
      <c r="C393" s="185" t="s">
        <v>416</v>
      </c>
      <c r="D393" s="186"/>
      <c r="E393" s="187">
        <v>0</v>
      </c>
      <c r="F393" s="56"/>
      <c r="G393" s="56"/>
      <c r="H393" s="281"/>
      <c r="I393" s="234"/>
      <c r="J393" s="188"/>
      <c r="K393" s="281"/>
      <c r="L393" s="234"/>
      <c r="M393" s="188"/>
      <c r="N393" s="281"/>
      <c r="O393" s="234"/>
      <c r="P393" s="188"/>
      <c r="Q393" s="281"/>
      <c r="R393" s="234"/>
      <c r="S393" s="188"/>
      <c r="T393" s="281"/>
      <c r="U393" s="234"/>
      <c r="V393" s="188"/>
      <c r="W393" s="281"/>
      <c r="X393" s="234"/>
      <c r="Y393" s="188"/>
      <c r="Z393" s="281"/>
      <c r="AA393" s="234"/>
      <c r="AB393" s="188"/>
      <c r="AC393" s="281"/>
      <c r="AD393" s="234"/>
      <c r="AE393" s="188"/>
      <c r="AF393" s="281"/>
      <c r="AG393" s="234"/>
      <c r="AH393" s="188"/>
      <c r="AI393" s="281"/>
      <c r="AJ393" s="234"/>
      <c r="AK393" s="188"/>
      <c r="AL393" s="281"/>
      <c r="AM393" s="234"/>
      <c r="AN393" s="188"/>
      <c r="AO393" s="281"/>
      <c r="AP393" s="234"/>
      <c r="AQ393" s="188"/>
      <c r="AR393" s="281"/>
      <c r="AS393" s="234"/>
      <c r="AT393" s="188"/>
      <c r="AU393" s="281"/>
      <c r="AV393" s="234"/>
      <c r="AW393" s="188"/>
      <c r="AX393" s="281"/>
      <c r="AY393" s="234"/>
      <c r="AZ393" s="188"/>
      <c r="BA393" s="281"/>
      <c r="BB393" s="234"/>
      <c r="BC393" s="188"/>
      <c r="BD393" s="281"/>
      <c r="BE393" s="234"/>
      <c r="BF393" s="188"/>
      <c r="BG393" s="281"/>
      <c r="BH393" s="234"/>
      <c r="BI393" s="188"/>
      <c r="BK393" s="449"/>
      <c r="BL393" s="449"/>
      <c r="BM393" s="449"/>
      <c r="BN393" s="449"/>
    </row>
    <row r="394" spans="1:66" s="29" customFormat="1" ht="14.4" hidden="1" customHeight="1" outlineLevel="2" x14ac:dyDescent="0.3">
      <c r="A394" s="22" t="s">
        <v>417</v>
      </c>
      <c r="B394" s="23"/>
      <c r="C394" s="189" t="s">
        <v>418</v>
      </c>
      <c r="D394" s="190"/>
      <c r="E394" s="191">
        <v>0.3</v>
      </c>
      <c r="F394" s="56"/>
      <c r="G394" s="56"/>
      <c r="H394" s="281"/>
      <c r="I394" s="234"/>
      <c r="J394" s="188"/>
      <c r="K394" s="281"/>
      <c r="L394" s="234"/>
      <c r="M394" s="188"/>
      <c r="N394" s="281"/>
      <c r="O394" s="234"/>
      <c r="P394" s="188"/>
      <c r="Q394" s="281"/>
      <c r="R394" s="234"/>
      <c r="S394" s="188"/>
      <c r="T394" s="281"/>
      <c r="U394" s="234"/>
      <c r="V394" s="188"/>
      <c r="W394" s="281"/>
      <c r="X394" s="234"/>
      <c r="Y394" s="188"/>
      <c r="Z394" s="281"/>
      <c r="AA394" s="234"/>
      <c r="AB394" s="188"/>
      <c r="AC394" s="281"/>
      <c r="AD394" s="234"/>
      <c r="AE394" s="188"/>
      <c r="AF394" s="281"/>
      <c r="AG394" s="234"/>
      <c r="AH394" s="188"/>
      <c r="AI394" s="281"/>
      <c r="AJ394" s="234"/>
      <c r="AK394" s="188"/>
      <c r="AL394" s="281"/>
      <c r="AM394" s="234"/>
      <c r="AN394" s="188"/>
      <c r="AO394" s="281"/>
      <c r="AP394" s="234"/>
      <c r="AQ394" s="188"/>
      <c r="AR394" s="281"/>
      <c r="AS394" s="234"/>
      <c r="AT394" s="188"/>
      <c r="AU394" s="281"/>
      <c r="AV394" s="234"/>
      <c r="AW394" s="188"/>
      <c r="AX394" s="281"/>
      <c r="AY394" s="234"/>
      <c r="AZ394" s="188"/>
      <c r="BA394" s="281"/>
      <c r="BB394" s="234"/>
      <c r="BC394" s="188"/>
      <c r="BD394" s="281"/>
      <c r="BE394" s="234"/>
      <c r="BF394" s="188"/>
      <c r="BG394" s="281"/>
      <c r="BH394" s="234"/>
      <c r="BI394" s="188"/>
      <c r="BK394" s="449"/>
      <c r="BL394" s="449"/>
      <c r="BM394" s="449"/>
      <c r="BN394" s="449"/>
    </row>
    <row r="395" spans="1:66" s="29" customFormat="1" ht="14.4" hidden="1" customHeight="1" outlineLevel="2" x14ac:dyDescent="0.3">
      <c r="A395" s="22" t="s">
        <v>419</v>
      </c>
      <c r="B395" s="23"/>
      <c r="C395" s="192" t="s">
        <v>420</v>
      </c>
      <c r="D395" s="193">
        <v>240000</v>
      </c>
      <c r="E395" s="194"/>
      <c r="F395" s="56"/>
      <c r="G395" s="56"/>
      <c r="H395" s="281"/>
      <c r="I395" s="234"/>
      <c r="J395" s="188"/>
      <c r="K395" s="281"/>
      <c r="L395" s="234"/>
      <c r="M395" s="188"/>
      <c r="N395" s="281"/>
      <c r="O395" s="234"/>
      <c r="P395" s="188"/>
      <c r="Q395" s="281"/>
      <c r="R395" s="234"/>
      <c r="S395" s="188"/>
      <c r="T395" s="281"/>
      <c r="U395" s="234"/>
      <c r="V395" s="188"/>
      <c r="W395" s="281"/>
      <c r="X395" s="234"/>
      <c r="Y395" s="188"/>
      <c r="Z395" s="281"/>
      <c r="AA395" s="234"/>
      <c r="AB395" s="188"/>
      <c r="AC395" s="281"/>
      <c r="AD395" s="234"/>
      <c r="AE395" s="188"/>
      <c r="AF395" s="281"/>
      <c r="AG395" s="234"/>
      <c r="AH395" s="188"/>
      <c r="AI395" s="281"/>
      <c r="AJ395" s="234"/>
      <c r="AK395" s="188"/>
      <c r="AL395" s="281"/>
      <c r="AM395" s="234"/>
      <c r="AN395" s="188"/>
      <c r="AO395" s="281"/>
      <c r="AP395" s="234"/>
      <c r="AQ395" s="188"/>
      <c r="AR395" s="281"/>
      <c r="AS395" s="234"/>
      <c r="AT395" s="188"/>
      <c r="AU395" s="281"/>
      <c r="AV395" s="234"/>
      <c r="AW395" s="188"/>
      <c r="AX395" s="281"/>
      <c r="AY395" s="234"/>
      <c r="AZ395" s="188"/>
      <c r="BA395" s="281"/>
      <c r="BB395" s="234"/>
      <c r="BC395" s="188"/>
      <c r="BD395" s="281"/>
      <c r="BE395" s="234"/>
      <c r="BF395" s="188"/>
      <c r="BG395" s="281"/>
      <c r="BH395" s="234"/>
      <c r="BI395" s="188"/>
      <c r="BK395" s="449"/>
      <c r="BL395" s="449"/>
      <c r="BM395" s="449"/>
      <c r="BN395" s="449"/>
    </row>
    <row r="396" spans="1:66" s="29" customFormat="1" ht="14.4" hidden="1" customHeight="1" outlineLevel="2" x14ac:dyDescent="0.3">
      <c r="A396" s="22" t="s">
        <v>421</v>
      </c>
      <c r="B396" s="23"/>
      <c r="C396" s="192" t="s">
        <v>422</v>
      </c>
      <c r="D396" s="55">
        <v>0.15</v>
      </c>
      <c r="E396" s="191">
        <v>0.25</v>
      </c>
      <c r="F396" s="56"/>
      <c r="G396" s="56"/>
      <c r="H396" s="241"/>
      <c r="I396" s="27"/>
      <c r="J396" s="28"/>
      <c r="K396" s="241"/>
      <c r="L396" s="27"/>
      <c r="M396" s="28"/>
      <c r="N396" s="241"/>
      <c r="O396" s="27"/>
      <c r="P396" s="28"/>
      <c r="Q396" s="241"/>
      <c r="R396" s="27"/>
      <c r="S396" s="28"/>
      <c r="T396" s="241"/>
      <c r="U396" s="27"/>
      <c r="V396" s="28"/>
      <c r="W396" s="241"/>
      <c r="X396" s="27"/>
      <c r="Y396" s="28"/>
      <c r="Z396" s="241"/>
      <c r="AA396" s="27"/>
      <c r="AB396" s="28"/>
      <c r="AC396" s="241"/>
      <c r="AD396" s="27"/>
      <c r="AE396" s="28"/>
      <c r="AF396" s="241"/>
      <c r="AG396" s="27"/>
      <c r="AH396" s="28"/>
      <c r="AI396" s="241"/>
      <c r="AJ396" s="27"/>
      <c r="AK396" s="28"/>
      <c r="AL396" s="241"/>
      <c r="AM396" s="27"/>
      <c r="AN396" s="28"/>
      <c r="AO396" s="241"/>
      <c r="AP396" s="27"/>
      <c r="AQ396" s="28"/>
      <c r="AR396" s="241"/>
      <c r="AS396" s="27"/>
      <c r="AT396" s="28"/>
      <c r="AU396" s="241"/>
      <c r="AV396" s="27"/>
      <c r="AW396" s="28"/>
      <c r="AX396" s="241"/>
      <c r="AY396" s="27"/>
      <c r="AZ396" s="28"/>
      <c r="BA396" s="241"/>
      <c r="BB396" s="27"/>
      <c r="BC396" s="28"/>
      <c r="BD396" s="241"/>
      <c r="BE396" s="27"/>
      <c r="BF396" s="28"/>
      <c r="BG396" s="241"/>
      <c r="BH396" s="27"/>
      <c r="BI396" s="28"/>
      <c r="BK396" s="449"/>
      <c r="BL396" s="449"/>
      <c r="BM396" s="449"/>
      <c r="BN396" s="449"/>
    </row>
    <row r="397" spans="1:66" s="29" customFormat="1" ht="14.4" hidden="1" customHeight="1" outlineLevel="2" x14ac:dyDescent="0.3">
      <c r="A397" s="22" t="s">
        <v>423</v>
      </c>
      <c r="B397" s="23"/>
      <c r="C397" s="195" t="s">
        <v>424</v>
      </c>
      <c r="D397" s="196" t="s">
        <v>424</v>
      </c>
      <c r="E397" s="197">
        <v>0.09</v>
      </c>
      <c r="F397" s="56"/>
      <c r="G397" s="56"/>
      <c r="H397" s="241"/>
      <c r="I397" s="27"/>
      <c r="J397" s="28"/>
      <c r="K397" s="241"/>
      <c r="L397" s="27"/>
      <c r="M397" s="28"/>
      <c r="N397" s="241"/>
      <c r="O397" s="27"/>
      <c r="P397" s="28"/>
      <c r="Q397" s="241"/>
      <c r="R397" s="27"/>
      <c r="S397" s="28"/>
      <c r="T397" s="241"/>
      <c r="U397" s="27"/>
      <c r="V397" s="28"/>
      <c r="W397" s="241"/>
      <c r="X397" s="27"/>
      <c r="Y397" s="28"/>
      <c r="Z397" s="241"/>
      <c r="AA397" s="27"/>
      <c r="AB397" s="28"/>
      <c r="AC397" s="241"/>
      <c r="AD397" s="27"/>
      <c r="AE397" s="28"/>
      <c r="AF397" s="241"/>
      <c r="AG397" s="27"/>
      <c r="AH397" s="28"/>
      <c r="AI397" s="241"/>
      <c r="AJ397" s="27"/>
      <c r="AK397" s="28"/>
      <c r="AL397" s="241"/>
      <c r="AM397" s="27"/>
      <c r="AN397" s="28"/>
      <c r="AO397" s="241"/>
      <c r="AP397" s="27"/>
      <c r="AQ397" s="28"/>
      <c r="AR397" s="241"/>
      <c r="AS397" s="27"/>
      <c r="AT397" s="28"/>
      <c r="AU397" s="241"/>
      <c r="AV397" s="27"/>
      <c r="AW397" s="28"/>
      <c r="AX397" s="241"/>
      <c r="AY397" s="27"/>
      <c r="AZ397" s="28"/>
      <c r="BA397" s="241"/>
      <c r="BB397" s="27"/>
      <c r="BC397" s="28"/>
      <c r="BD397" s="241"/>
      <c r="BE397" s="27"/>
      <c r="BF397" s="28"/>
      <c r="BG397" s="241"/>
      <c r="BH397" s="27"/>
      <c r="BI397" s="28"/>
      <c r="BK397" s="449"/>
      <c r="BL397" s="449"/>
      <c r="BM397" s="449"/>
      <c r="BN397" s="449"/>
    </row>
    <row r="398" spans="1:66" s="29" customFormat="1" ht="14.4" hidden="1" customHeight="1" outlineLevel="1" x14ac:dyDescent="0.3">
      <c r="A398" s="163"/>
      <c r="B398" s="23"/>
      <c r="C398" s="3"/>
      <c r="D398" s="4"/>
      <c r="E398" s="4"/>
      <c r="F398" s="56"/>
      <c r="G398" s="56"/>
      <c r="H398" s="280"/>
      <c r="I398" s="56"/>
      <c r="J398" s="184"/>
      <c r="K398" s="280"/>
      <c r="L398" s="56"/>
      <c r="M398" s="184"/>
      <c r="N398" s="280"/>
      <c r="O398" s="56"/>
      <c r="P398" s="184"/>
      <c r="Q398" s="280"/>
      <c r="R398" s="56"/>
      <c r="S398" s="184"/>
      <c r="T398" s="280"/>
      <c r="U398" s="56"/>
      <c r="V398" s="184"/>
      <c r="W398" s="280"/>
      <c r="X398" s="56"/>
      <c r="Y398" s="184"/>
      <c r="Z398" s="280"/>
      <c r="AA398" s="56"/>
      <c r="AB398" s="184"/>
      <c r="AC398" s="280"/>
      <c r="AD398" s="56"/>
      <c r="AE398" s="184"/>
      <c r="AF398" s="280"/>
      <c r="AG398" s="56"/>
      <c r="AH398" s="184"/>
      <c r="AI398" s="280"/>
      <c r="AJ398" s="56"/>
      <c r="AK398" s="184"/>
      <c r="AL398" s="280"/>
      <c r="AM398" s="56"/>
      <c r="AN398" s="184"/>
      <c r="AO398" s="280"/>
      <c r="AP398" s="56"/>
      <c r="AQ398" s="184"/>
      <c r="AR398" s="280"/>
      <c r="AS398" s="56"/>
      <c r="AT398" s="184"/>
      <c r="AU398" s="280"/>
      <c r="AV398" s="56"/>
      <c r="AW398" s="184"/>
      <c r="AX398" s="280"/>
      <c r="AY398" s="56"/>
      <c r="AZ398" s="184"/>
      <c r="BA398" s="280"/>
      <c r="BB398" s="56"/>
      <c r="BC398" s="184"/>
      <c r="BD398" s="280"/>
      <c r="BE398" s="56"/>
      <c r="BF398" s="184"/>
      <c r="BG398" s="280"/>
      <c r="BH398" s="56"/>
      <c r="BI398" s="184"/>
      <c r="BK398" s="449"/>
      <c r="BL398" s="449"/>
      <c r="BM398" s="449"/>
      <c r="BN398" s="449"/>
    </row>
    <row r="399" spans="1:66" s="29" customFormat="1" ht="14.4" hidden="1" customHeight="1" outlineLevel="1" x14ac:dyDescent="0.3">
      <c r="A399" s="171" t="s">
        <v>425</v>
      </c>
      <c r="B399" s="172"/>
      <c r="C399" s="172"/>
      <c r="D399" s="172"/>
      <c r="E399" s="172"/>
      <c r="F399" s="172"/>
      <c r="G399" s="172"/>
      <c r="H399" s="171"/>
      <c r="I399" s="172"/>
      <c r="J399" s="173"/>
      <c r="K399" s="171"/>
      <c r="L399" s="172"/>
      <c r="M399" s="173"/>
      <c r="N399" s="171"/>
      <c r="O399" s="172"/>
      <c r="P399" s="173"/>
      <c r="Q399" s="171"/>
      <c r="R399" s="172"/>
      <c r="S399" s="173"/>
      <c r="T399" s="171"/>
      <c r="U399" s="172"/>
      <c r="V399" s="173"/>
      <c r="W399" s="171"/>
      <c r="X399" s="172"/>
      <c r="Y399" s="173"/>
      <c r="Z399" s="171"/>
      <c r="AA399" s="172"/>
      <c r="AB399" s="173"/>
      <c r="AC399" s="171"/>
      <c r="AD399" s="172"/>
      <c r="AE399" s="173"/>
      <c r="AF399" s="171"/>
      <c r="AG399" s="172"/>
      <c r="AH399" s="173"/>
      <c r="AI399" s="171"/>
      <c r="AJ399" s="172"/>
      <c r="AK399" s="173"/>
      <c r="AL399" s="171"/>
      <c r="AM399" s="172"/>
      <c r="AN399" s="173"/>
      <c r="AO399" s="171"/>
      <c r="AP399" s="172"/>
      <c r="AQ399" s="173"/>
      <c r="AR399" s="171"/>
      <c r="AS399" s="172"/>
      <c r="AT399" s="173"/>
      <c r="AU399" s="171"/>
      <c r="AV399" s="172"/>
      <c r="AW399" s="173"/>
      <c r="AX399" s="171"/>
      <c r="AY399" s="172"/>
      <c r="AZ399" s="173"/>
      <c r="BA399" s="171"/>
      <c r="BB399" s="172"/>
      <c r="BC399" s="173"/>
      <c r="BD399" s="171"/>
      <c r="BE399" s="172"/>
      <c r="BF399" s="173"/>
      <c r="BG399" s="171"/>
      <c r="BH399" s="172"/>
      <c r="BI399" s="173"/>
      <c r="BK399" s="449"/>
      <c r="BL399" s="449"/>
      <c r="BM399" s="449"/>
      <c r="BN399" s="449"/>
    </row>
    <row r="400" spans="1:66" s="29" customFormat="1" ht="14.4" hidden="1" customHeight="1" outlineLevel="1" x14ac:dyDescent="0.3">
      <c r="A400" s="163"/>
      <c r="B400" s="23"/>
      <c r="C400" s="3"/>
      <c r="D400" s="4"/>
      <c r="E400" s="198"/>
      <c r="F400" s="56"/>
      <c r="G400" s="56"/>
      <c r="H400" s="282"/>
      <c r="I400" s="235"/>
      <c r="J400" s="199"/>
      <c r="K400" s="282"/>
      <c r="L400" s="235"/>
      <c r="M400" s="199"/>
      <c r="N400" s="282"/>
      <c r="O400" s="235"/>
      <c r="P400" s="199"/>
      <c r="Q400" s="282"/>
      <c r="R400" s="235"/>
      <c r="S400" s="199"/>
      <c r="T400" s="282"/>
      <c r="U400" s="235"/>
      <c r="V400" s="199"/>
      <c r="W400" s="282"/>
      <c r="X400" s="235"/>
      <c r="Y400" s="199"/>
      <c r="Z400" s="282"/>
      <c r="AA400" s="235"/>
      <c r="AB400" s="199"/>
      <c r="AC400" s="282"/>
      <c r="AD400" s="235"/>
      <c r="AE400" s="199"/>
      <c r="AF400" s="282"/>
      <c r="AG400" s="235"/>
      <c r="AH400" s="199"/>
      <c r="AI400" s="282"/>
      <c r="AJ400" s="235"/>
      <c r="AK400" s="199"/>
      <c r="AL400" s="282"/>
      <c r="AM400" s="235"/>
      <c r="AN400" s="199"/>
      <c r="AO400" s="282"/>
      <c r="AP400" s="235"/>
      <c r="AQ400" s="199"/>
      <c r="AR400" s="282"/>
      <c r="AS400" s="235"/>
      <c r="AT400" s="199"/>
      <c r="AU400" s="282"/>
      <c r="AV400" s="235"/>
      <c r="AW400" s="199"/>
      <c r="AX400" s="282"/>
      <c r="AY400" s="235"/>
      <c r="AZ400" s="199"/>
      <c r="BA400" s="282"/>
      <c r="BB400" s="235"/>
      <c r="BC400" s="199"/>
      <c r="BD400" s="282"/>
      <c r="BE400" s="235"/>
      <c r="BF400" s="199"/>
      <c r="BG400" s="282"/>
      <c r="BH400" s="235"/>
      <c r="BI400" s="199"/>
      <c r="BK400" s="449"/>
      <c r="BL400" s="449"/>
      <c r="BM400" s="449"/>
      <c r="BN400" s="449"/>
    </row>
    <row r="401" spans="1:66" s="29" customFormat="1" ht="14.4" hidden="1" customHeight="1" outlineLevel="2" x14ac:dyDescent="0.3">
      <c r="A401" s="200" t="s">
        <v>130</v>
      </c>
      <c r="B401" s="59"/>
      <c r="C401" s="201"/>
      <c r="D401" s="41"/>
      <c r="E401" s="41"/>
      <c r="F401" s="63"/>
      <c r="G401" s="56"/>
      <c r="H401" s="211"/>
      <c r="I401" s="202">
        <v>9</v>
      </c>
      <c r="J401" s="203"/>
      <c r="K401" s="211"/>
      <c r="L401" s="202">
        <v>10</v>
      </c>
      <c r="M401" s="203"/>
      <c r="N401" s="211"/>
      <c r="O401" s="202">
        <v>10</v>
      </c>
      <c r="P401" s="203"/>
      <c r="Q401" s="211"/>
      <c r="R401" s="202">
        <v>10</v>
      </c>
      <c r="S401" s="203"/>
      <c r="T401" s="211"/>
      <c r="U401" s="202">
        <v>10</v>
      </c>
      <c r="V401" s="203"/>
      <c r="W401" s="211"/>
      <c r="X401" s="202">
        <v>10</v>
      </c>
      <c r="Y401" s="203"/>
      <c r="Z401" s="211"/>
      <c r="AA401" s="202">
        <v>10</v>
      </c>
      <c r="AB401" s="203"/>
      <c r="AC401" s="211"/>
      <c r="AD401" s="202">
        <v>10</v>
      </c>
      <c r="AE401" s="203"/>
      <c r="AF401" s="211"/>
      <c r="AG401" s="202">
        <v>10</v>
      </c>
      <c r="AH401" s="203"/>
      <c r="AI401" s="211"/>
      <c r="AJ401" s="202">
        <v>10</v>
      </c>
      <c r="AK401" s="203"/>
      <c r="AL401" s="211"/>
      <c r="AM401" s="202">
        <v>10</v>
      </c>
      <c r="AN401" s="203"/>
      <c r="AO401" s="211"/>
      <c r="AP401" s="202">
        <v>10</v>
      </c>
      <c r="AQ401" s="203"/>
      <c r="AR401" s="211"/>
      <c r="AS401" s="202"/>
      <c r="AT401" s="203"/>
      <c r="AU401" s="211"/>
      <c r="AV401" s="202"/>
      <c r="AW401" s="203"/>
      <c r="AX401" s="211"/>
      <c r="AY401" s="202"/>
      <c r="AZ401" s="203"/>
      <c r="BA401" s="211"/>
      <c r="BB401" s="202"/>
      <c r="BC401" s="203"/>
      <c r="BD401" s="211"/>
      <c r="BE401" s="202"/>
      <c r="BF401" s="203"/>
      <c r="BG401" s="211"/>
      <c r="BH401" s="202"/>
      <c r="BI401" s="203"/>
      <c r="BK401" s="449"/>
      <c r="BL401" s="449"/>
      <c r="BM401" s="449"/>
      <c r="BN401" s="449"/>
    </row>
    <row r="402" spans="1:66" s="29" customFormat="1" ht="14.4" hidden="1" customHeight="1" outlineLevel="2" x14ac:dyDescent="0.3">
      <c r="A402" s="204" t="s">
        <v>131</v>
      </c>
      <c r="B402" s="2"/>
      <c r="C402" s="201"/>
      <c r="D402" s="41"/>
      <c r="E402" s="41"/>
      <c r="F402" s="41"/>
      <c r="G402" s="56"/>
      <c r="H402" s="241"/>
      <c r="I402" s="27">
        <v>1</v>
      </c>
      <c r="J402" s="28"/>
      <c r="K402" s="241"/>
      <c r="L402" s="27">
        <v>1</v>
      </c>
      <c r="M402" s="28"/>
      <c r="N402" s="241"/>
      <c r="O402" s="27">
        <v>1</v>
      </c>
      <c r="P402" s="28"/>
      <c r="Q402" s="241"/>
      <c r="R402" s="27">
        <v>1</v>
      </c>
      <c r="S402" s="28"/>
      <c r="T402" s="241"/>
      <c r="U402" s="27">
        <v>1</v>
      </c>
      <c r="V402" s="28"/>
      <c r="W402" s="241"/>
      <c r="X402" s="27">
        <v>1</v>
      </c>
      <c r="Y402" s="28"/>
      <c r="Z402" s="241"/>
      <c r="AA402" s="27">
        <v>1</v>
      </c>
      <c r="AB402" s="28"/>
      <c r="AC402" s="241"/>
      <c r="AD402" s="27">
        <v>1</v>
      </c>
      <c r="AE402" s="28"/>
      <c r="AF402" s="241"/>
      <c r="AG402" s="27">
        <v>1</v>
      </c>
      <c r="AH402" s="28"/>
      <c r="AI402" s="241"/>
      <c r="AJ402" s="27">
        <v>1</v>
      </c>
      <c r="AK402" s="28"/>
      <c r="AL402" s="241"/>
      <c r="AM402" s="27">
        <v>1</v>
      </c>
      <c r="AN402" s="28"/>
      <c r="AO402" s="241"/>
      <c r="AP402" s="27">
        <v>1</v>
      </c>
      <c r="AQ402" s="28"/>
      <c r="AR402" s="241"/>
      <c r="AS402" s="27"/>
      <c r="AT402" s="28"/>
      <c r="AU402" s="241"/>
      <c r="AV402" s="27"/>
      <c r="AW402" s="28"/>
      <c r="AX402" s="241"/>
      <c r="AY402" s="27"/>
      <c r="AZ402" s="28"/>
      <c r="BA402" s="241"/>
      <c r="BB402" s="27"/>
      <c r="BC402" s="28"/>
      <c r="BD402" s="241"/>
      <c r="BE402" s="27"/>
      <c r="BF402" s="28"/>
      <c r="BG402" s="241"/>
      <c r="BH402" s="27"/>
      <c r="BI402" s="28"/>
      <c r="BK402" s="449"/>
      <c r="BL402" s="449"/>
      <c r="BM402" s="449"/>
      <c r="BN402" s="449"/>
    </row>
    <row r="403" spans="1:66" s="29" customFormat="1" ht="14.4" hidden="1" customHeight="1" outlineLevel="2" x14ac:dyDescent="0.3">
      <c r="A403" s="204" t="s">
        <v>132</v>
      </c>
      <c r="B403" s="2"/>
      <c r="C403" s="201"/>
      <c r="D403" s="41"/>
      <c r="E403" s="41"/>
      <c r="F403" s="41"/>
      <c r="G403" s="56"/>
      <c r="H403" s="241"/>
      <c r="I403" s="27">
        <v>1</v>
      </c>
      <c r="J403" s="28"/>
      <c r="K403" s="241"/>
      <c r="L403" s="27">
        <v>1</v>
      </c>
      <c r="M403" s="28"/>
      <c r="N403" s="241"/>
      <c r="O403" s="27">
        <v>1</v>
      </c>
      <c r="P403" s="28"/>
      <c r="Q403" s="241"/>
      <c r="R403" s="27">
        <v>1</v>
      </c>
      <c r="S403" s="28"/>
      <c r="T403" s="241"/>
      <c r="U403" s="27">
        <v>1</v>
      </c>
      <c r="V403" s="28"/>
      <c r="W403" s="241"/>
      <c r="X403" s="27">
        <v>1</v>
      </c>
      <c r="Y403" s="28"/>
      <c r="Z403" s="241"/>
      <c r="AA403" s="27">
        <v>1</v>
      </c>
      <c r="AB403" s="28"/>
      <c r="AC403" s="241"/>
      <c r="AD403" s="27">
        <v>1</v>
      </c>
      <c r="AE403" s="28"/>
      <c r="AF403" s="241"/>
      <c r="AG403" s="27">
        <v>1</v>
      </c>
      <c r="AH403" s="28"/>
      <c r="AI403" s="241"/>
      <c r="AJ403" s="27">
        <v>1</v>
      </c>
      <c r="AK403" s="28"/>
      <c r="AL403" s="241"/>
      <c r="AM403" s="27">
        <v>1</v>
      </c>
      <c r="AN403" s="28"/>
      <c r="AO403" s="241"/>
      <c r="AP403" s="27">
        <v>1</v>
      </c>
      <c r="AQ403" s="28"/>
      <c r="AR403" s="241"/>
      <c r="AS403" s="27"/>
      <c r="AT403" s="28"/>
      <c r="AU403" s="241"/>
      <c r="AV403" s="27"/>
      <c r="AW403" s="28"/>
      <c r="AX403" s="241"/>
      <c r="AY403" s="27"/>
      <c r="AZ403" s="28"/>
      <c r="BA403" s="241"/>
      <c r="BB403" s="27"/>
      <c r="BC403" s="28"/>
      <c r="BD403" s="241"/>
      <c r="BE403" s="27"/>
      <c r="BF403" s="28"/>
      <c r="BG403" s="241"/>
      <c r="BH403" s="27"/>
      <c r="BI403" s="28"/>
      <c r="BK403" s="449"/>
      <c r="BL403" s="449"/>
      <c r="BM403" s="449"/>
      <c r="BN403" s="449"/>
    </row>
    <row r="404" spans="1:66" s="29" customFormat="1" ht="14.4" hidden="1" customHeight="1" outlineLevel="2" x14ac:dyDescent="0.3">
      <c r="A404" s="204" t="s">
        <v>133</v>
      </c>
      <c r="B404" s="2"/>
      <c r="C404" s="201"/>
      <c r="D404" s="41"/>
      <c r="E404" s="41"/>
      <c r="F404" s="41"/>
      <c r="G404" s="56"/>
      <c r="H404" s="241"/>
      <c r="I404" s="27">
        <v>0</v>
      </c>
      <c r="J404" s="28"/>
      <c r="K404" s="241"/>
      <c r="L404" s="27">
        <v>0</v>
      </c>
      <c r="M404" s="28"/>
      <c r="N404" s="241"/>
      <c r="O404" s="27">
        <v>0</v>
      </c>
      <c r="P404" s="28"/>
      <c r="Q404" s="241"/>
      <c r="R404" s="27">
        <v>0</v>
      </c>
      <c r="S404" s="28"/>
      <c r="T404" s="241"/>
      <c r="U404" s="27">
        <v>0</v>
      </c>
      <c r="V404" s="28"/>
      <c r="W404" s="241"/>
      <c r="X404" s="27">
        <v>0</v>
      </c>
      <c r="Y404" s="28"/>
      <c r="Z404" s="241"/>
      <c r="AA404" s="27">
        <v>0</v>
      </c>
      <c r="AB404" s="28"/>
      <c r="AC404" s="241"/>
      <c r="AD404" s="27">
        <v>0</v>
      </c>
      <c r="AE404" s="28"/>
      <c r="AF404" s="241"/>
      <c r="AG404" s="27">
        <v>0</v>
      </c>
      <c r="AH404" s="28"/>
      <c r="AI404" s="241"/>
      <c r="AJ404" s="27">
        <v>0</v>
      </c>
      <c r="AK404" s="28"/>
      <c r="AL404" s="241"/>
      <c r="AM404" s="27">
        <v>0</v>
      </c>
      <c r="AN404" s="28"/>
      <c r="AO404" s="241"/>
      <c r="AP404" s="27">
        <v>0</v>
      </c>
      <c r="AQ404" s="28"/>
      <c r="AR404" s="241"/>
      <c r="AS404" s="27"/>
      <c r="AT404" s="28"/>
      <c r="AU404" s="241"/>
      <c r="AV404" s="27"/>
      <c r="AW404" s="28"/>
      <c r="AX404" s="241"/>
      <c r="AY404" s="27"/>
      <c r="AZ404" s="28"/>
      <c r="BA404" s="241"/>
      <c r="BB404" s="27"/>
      <c r="BC404" s="28"/>
      <c r="BD404" s="241"/>
      <c r="BE404" s="27"/>
      <c r="BF404" s="28"/>
      <c r="BG404" s="241"/>
      <c r="BH404" s="27"/>
      <c r="BI404" s="28"/>
      <c r="BK404" s="449"/>
      <c r="BL404" s="449"/>
      <c r="BM404" s="449"/>
      <c r="BN404" s="449"/>
    </row>
    <row r="405" spans="1:66" s="29" customFormat="1" ht="14.4" hidden="1" customHeight="1" outlineLevel="2" x14ac:dyDescent="0.3">
      <c r="A405" s="204" t="s">
        <v>134</v>
      </c>
      <c r="B405" s="2"/>
      <c r="C405" s="201"/>
      <c r="D405" s="41"/>
      <c r="E405" s="41"/>
      <c r="F405" s="41"/>
      <c r="G405" s="56"/>
      <c r="H405" s="241"/>
      <c r="I405" s="27">
        <v>2</v>
      </c>
      <c r="J405" s="28"/>
      <c r="K405" s="241"/>
      <c r="L405" s="27">
        <v>2</v>
      </c>
      <c r="M405" s="28"/>
      <c r="N405" s="241"/>
      <c r="O405" s="27">
        <v>2</v>
      </c>
      <c r="P405" s="28"/>
      <c r="Q405" s="241"/>
      <c r="R405" s="27">
        <v>2</v>
      </c>
      <c r="S405" s="28"/>
      <c r="T405" s="241"/>
      <c r="U405" s="27">
        <v>2</v>
      </c>
      <c r="V405" s="28"/>
      <c r="W405" s="241"/>
      <c r="X405" s="27">
        <v>2</v>
      </c>
      <c r="Y405" s="28"/>
      <c r="Z405" s="241"/>
      <c r="AA405" s="27">
        <v>2</v>
      </c>
      <c r="AB405" s="28"/>
      <c r="AC405" s="241"/>
      <c r="AD405" s="27">
        <v>2</v>
      </c>
      <c r="AE405" s="28"/>
      <c r="AF405" s="241"/>
      <c r="AG405" s="27">
        <v>2</v>
      </c>
      <c r="AH405" s="28"/>
      <c r="AI405" s="241"/>
      <c r="AJ405" s="27">
        <v>2</v>
      </c>
      <c r="AK405" s="28"/>
      <c r="AL405" s="241"/>
      <c r="AM405" s="27">
        <v>2</v>
      </c>
      <c r="AN405" s="28"/>
      <c r="AO405" s="241"/>
      <c r="AP405" s="27">
        <v>2</v>
      </c>
      <c r="AQ405" s="28"/>
      <c r="AR405" s="241"/>
      <c r="AS405" s="27"/>
      <c r="AT405" s="28"/>
      <c r="AU405" s="241"/>
      <c r="AV405" s="27"/>
      <c r="AW405" s="28"/>
      <c r="AX405" s="241"/>
      <c r="AY405" s="27"/>
      <c r="AZ405" s="28"/>
      <c r="BA405" s="241"/>
      <c r="BB405" s="27"/>
      <c r="BC405" s="28"/>
      <c r="BD405" s="241"/>
      <c r="BE405" s="27"/>
      <c r="BF405" s="28"/>
      <c r="BG405" s="241"/>
      <c r="BH405" s="27"/>
      <c r="BI405" s="28"/>
      <c r="BK405" s="449"/>
      <c r="BL405" s="449"/>
      <c r="BM405" s="449"/>
      <c r="BN405" s="449"/>
    </row>
    <row r="406" spans="1:66" s="29" customFormat="1" ht="14.4" hidden="1" customHeight="1" outlineLevel="2" x14ac:dyDescent="0.3">
      <c r="A406" s="204" t="s">
        <v>135</v>
      </c>
      <c r="B406" s="2"/>
      <c r="C406" s="201"/>
      <c r="D406" s="41"/>
      <c r="E406" s="41"/>
      <c r="F406" s="41"/>
      <c r="G406" s="56"/>
      <c r="H406" s="241"/>
      <c r="I406" s="27">
        <v>0</v>
      </c>
      <c r="J406" s="28"/>
      <c r="K406" s="241"/>
      <c r="L406" s="27">
        <v>0</v>
      </c>
      <c r="M406" s="28"/>
      <c r="N406" s="241"/>
      <c r="O406" s="27">
        <v>0</v>
      </c>
      <c r="P406" s="28"/>
      <c r="Q406" s="241"/>
      <c r="R406" s="27">
        <v>0</v>
      </c>
      <c r="S406" s="28"/>
      <c r="T406" s="241"/>
      <c r="U406" s="27">
        <v>0</v>
      </c>
      <c r="V406" s="28"/>
      <c r="W406" s="241"/>
      <c r="X406" s="27">
        <v>0</v>
      </c>
      <c r="Y406" s="28"/>
      <c r="Z406" s="241"/>
      <c r="AA406" s="27">
        <v>0</v>
      </c>
      <c r="AB406" s="28"/>
      <c r="AC406" s="241"/>
      <c r="AD406" s="27">
        <v>0</v>
      </c>
      <c r="AE406" s="28"/>
      <c r="AF406" s="241"/>
      <c r="AG406" s="27">
        <v>0</v>
      </c>
      <c r="AH406" s="28"/>
      <c r="AI406" s="241"/>
      <c r="AJ406" s="27">
        <v>0</v>
      </c>
      <c r="AK406" s="28"/>
      <c r="AL406" s="241"/>
      <c r="AM406" s="27">
        <v>0</v>
      </c>
      <c r="AN406" s="28"/>
      <c r="AO406" s="241"/>
      <c r="AP406" s="27">
        <v>0</v>
      </c>
      <c r="AQ406" s="28"/>
      <c r="AR406" s="241"/>
      <c r="AS406" s="27"/>
      <c r="AT406" s="28"/>
      <c r="AU406" s="241"/>
      <c r="AV406" s="27"/>
      <c r="AW406" s="28"/>
      <c r="AX406" s="241"/>
      <c r="AY406" s="27"/>
      <c r="AZ406" s="28"/>
      <c r="BA406" s="241"/>
      <c r="BB406" s="27"/>
      <c r="BC406" s="28"/>
      <c r="BD406" s="241"/>
      <c r="BE406" s="27"/>
      <c r="BF406" s="28"/>
      <c r="BG406" s="241"/>
      <c r="BH406" s="27"/>
      <c r="BI406" s="28"/>
      <c r="BK406" s="449"/>
      <c r="BL406" s="449"/>
      <c r="BM406" s="449"/>
      <c r="BN406" s="449"/>
    </row>
    <row r="407" spans="1:66" s="29" customFormat="1" ht="14.4" hidden="1" customHeight="1" outlineLevel="2" x14ac:dyDescent="0.3">
      <c r="A407" s="204" t="s">
        <v>136</v>
      </c>
      <c r="B407" s="2"/>
      <c r="C407" s="201"/>
      <c r="D407" s="41"/>
      <c r="E407" s="41"/>
      <c r="F407" s="41"/>
      <c r="G407" s="56"/>
      <c r="H407" s="241"/>
      <c r="I407" s="27">
        <v>2</v>
      </c>
      <c r="J407" s="28"/>
      <c r="K407" s="241"/>
      <c r="L407" s="27">
        <v>2</v>
      </c>
      <c r="M407" s="28"/>
      <c r="N407" s="241"/>
      <c r="O407" s="27">
        <v>2</v>
      </c>
      <c r="P407" s="28"/>
      <c r="Q407" s="241"/>
      <c r="R407" s="27">
        <v>2</v>
      </c>
      <c r="S407" s="28"/>
      <c r="T407" s="241"/>
      <c r="U407" s="27">
        <v>2</v>
      </c>
      <c r="V407" s="28"/>
      <c r="W407" s="241"/>
      <c r="X407" s="27">
        <v>2</v>
      </c>
      <c r="Y407" s="28"/>
      <c r="Z407" s="241"/>
      <c r="AA407" s="27">
        <v>2</v>
      </c>
      <c r="AB407" s="28"/>
      <c r="AC407" s="241"/>
      <c r="AD407" s="27">
        <v>2</v>
      </c>
      <c r="AE407" s="28"/>
      <c r="AF407" s="241"/>
      <c r="AG407" s="27">
        <v>2</v>
      </c>
      <c r="AH407" s="28"/>
      <c r="AI407" s="241"/>
      <c r="AJ407" s="27">
        <v>2</v>
      </c>
      <c r="AK407" s="28"/>
      <c r="AL407" s="241"/>
      <c r="AM407" s="27">
        <v>2</v>
      </c>
      <c r="AN407" s="28"/>
      <c r="AO407" s="241"/>
      <c r="AP407" s="27">
        <v>2</v>
      </c>
      <c r="AQ407" s="28"/>
      <c r="AR407" s="241"/>
      <c r="AS407" s="27"/>
      <c r="AT407" s="28"/>
      <c r="AU407" s="241"/>
      <c r="AV407" s="27"/>
      <c r="AW407" s="28"/>
      <c r="AX407" s="241"/>
      <c r="AY407" s="27"/>
      <c r="AZ407" s="28"/>
      <c r="BA407" s="241"/>
      <c r="BB407" s="27"/>
      <c r="BC407" s="28"/>
      <c r="BD407" s="241"/>
      <c r="BE407" s="27"/>
      <c r="BF407" s="28"/>
      <c r="BG407" s="241"/>
      <c r="BH407" s="27"/>
      <c r="BI407" s="28"/>
      <c r="BK407" s="449"/>
      <c r="BL407" s="449"/>
      <c r="BM407" s="449"/>
      <c r="BN407" s="449"/>
    </row>
    <row r="408" spans="1:66" s="29" customFormat="1" ht="14.4" hidden="1" customHeight="1" outlineLevel="2" x14ac:dyDescent="0.3">
      <c r="A408" s="204" t="s">
        <v>137</v>
      </c>
      <c r="B408" s="2"/>
      <c r="C408" s="201"/>
      <c r="D408" s="41"/>
      <c r="E408" s="41"/>
      <c r="F408" s="41"/>
      <c r="G408" s="56"/>
      <c r="H408" s="241"/>
      <c r="I408" s="27">
        <v>2</v>
      </c>
      <c r="J408" s="28"/>
      <c r="K408" s="241"/>
      <c r="L408" s="27">
        <v>2</v>
      </c>
      <c r="M408" s="28"/>
      <c r="N408" s="241"/>
      <c r="O408" s="27">
        <v>2</v>
      </c>
      <c r="P408" s="28"/>
      <c r="Q408" s="241"/>
      <c r="R408" s="27">
        <v>2</v>
      </c>
      <c r="S408" s="28"/>
      <c r="T408" s="241"/>
      <c r="U408" s="27">
        <v>2</v>
      </c>
      <c r="V408" s="28"/>
      <c r="W408" s="241"/>
      <c r="X408" s="27">
        <v>2</v>
      </c>
      <c r="Y408" s="28"/>
      <c r="Z408" s="241"/>
      <c r="AA408" s="27">
        <v>2</v>
      </c>
      <c r="AB408" s="28"/>
      <c r="AC408" s="241"/>
      <c r="AD408" s="27">
        <v>2</v>
      </c>
      <c r="AE408" s="28"/>
      <c r="AF408" s="241"/>
      <c r="AG408" s="27">
        <v>2</v>
      </c>
      <c r="AH408" s="28"/>
      <c r="AI408" s="241"/>
      <c r="AJ408" s="27">
        <v>2</v>
      </c>
      <c r="AK408" s="28"/>
      <c r="AL408" s="241"/>
      <c r="AM408" s="27">
        <v>2</v>
      </c>
      <c r="AN408" s="28"/>
      <c r="AO408" s="241"/>
      <c r="AP408" s="27">
        <v>2</v>
      </c>
      <c r="AQ408" s="28"/>
      <c r="AR408" s="241"/>
      <c r="AS408" s="27"/>
      <c r="AT408" s="28"/>
      <c r="AU408" s="241"/>
      <c r="AV408" s="27"/>
      <c r="AW408" s="28"/>
      <c r="AX408" s="241"/>
      <c r="AY408" s="27"/>
      <c r="AZ408" s="28"/>
      <c r="BA408" s="241"/>
      <c r="BB408" s="27"/>
      <c r="BC408" s="28"/>
      <c r="BD408" s="241"/>
      <c r="BE408" s="27"/>
      <c r="BF408" s="28"/>
      <c r="BG408" s="241"/>
      <c r="BH408" s="27"/>
      <c r="BI408" s="28"/>
      <c r="BK408" s="449"/>
      <c r="BL408" s="449"/>
      <c r="BM408" s="449"/>
      <c r="BN408" s="449"/>
    </row>
    <row r="409" spans="1:66" s="29" customFormat="1" ht="14.4" hidden="1" customHeight="1" outlineLevel="2" x14ac:dyDescent="0.3">
      <c r="A409" s="204" t="s">
        <v>138</v>
      </c>
      <c r="B409" s="2"/>
      <c r="C409" s="201"/>
      <c r="D409" s="41"/>
      <c r="E409" s="41"/>
      <c r="F409" s="41"/>
      <c r="G409" s="56"/>
      <c r="H409" s="241"/>
      <c r="I409" s="27">
        <v>1</v>
      </c>
      <c r="J409" s="28"/>
      <c r="K409" s="241"/>
      <c r="L409" s="27">
        <v>1</v>
      </c>
      <c r="M409" s="28"/>
      <c r="N409" s="241"/>
      <c r="O409" s="27">
        <v>1</v>
      </c>
      <c r="P409" s="28"/>
      <c r="Q409" s="241"/>
      <c r="R409" s="27">
        <v>1</v>
      </c>
      <c r="S409" s="28"/>
      <c r="T409" s="241"/>
      <c r="U409" s="27">
        <v>1</v>
      </c>
      <c r="V409" s="28"/>
      <c r="W409" s="241"/>
      <c r="X409" s="27">
        <v>1</v>
      </c>
      <c r="Y409" s="28"/>
      <c r="Z409" s="241"/>
      <c r="AA409" s="27">
        <v>1</v>
      </c>
      <c r="AB409" s="28"/>
      <c r="AC409" s="241"/>
      <c r="AD409" s="27">
        <v>1</v>
      </c>
      <c r="AE409" s="28"/>
      <c r="AF409" s="241"/>
      <c r="AG409" s="27">
        <v>1</v>
      </c>
      <c r="AH409" s="28"/>
      <c r="AI409" s="241"/>
      <c r="AJ409" s="27">
        <v>1</v>
      </c>
      <c r="AK409" s="28"/>
      <c r="AL409" s="241"/>
      <c r="AM409" s="27">
        <v>1</v>
      </c>
      <c r="AN409" s="28"/>
      <c r="AO409" s="241"/>
      <c r="AP409" s="27">
        <v>1</v>
      </c>
      <c r="AQ409" s="28"/>
      <c r="AR409" s="241"/>
      <c r="AS409" s="27"/>
      <c r="AT409" s="28"/>
      <c r="AU409" s="241"/>
      <c r="AV409" s="27"/>
      <c r="AW409" s="28"/>
      <c r="AX409" s="241"/>
      <c r="AY409" s="27"/>
      <c r="AZ409" s="28"/>
      <c r="BA409" s="241"/>
      <c r="BB409" s="27"/>
      <c r="BC409" s="28"/>
      <c r="BD409" s="241"/>
      <c r="BE409" s="27"/>
      <c r="BF409" s="28"/>
      <c r="BG409" s="241"/>
      <c r="BH409" s="27"/>
      <c r="BI409" s="28"/>
      <c r="BK409" s="449"/>
      <c r="BL409" s="449"/>
      <c r="BM409" s="449"/>
      <c r="BN409" s="449"/>
    </row>
    <row r="410" spans="1:66" s="29" customFormat="1" ht="14.4" hidden="1" customHeight="1" outlineLevel="2" x14ac:dyDescent="0.3">
      <c r="A410" s="204" t="s">
        <v>139</v>
      </c>
      <c r="B410" s="2"/>
      <c r="C410" s="201"/>
      <c r="D410" s="41"/>
      <c r="E410" s="41"/>
      <c r="F410" s="41"/>
      <c r="G410" s="56"/>
      <c r="H410" s="241"/>
      <c r="I410" s="27">
        <v>0</v>
      </c>
      <c r="J410" s="28"/>
      <c r="K410" s="241"/>
      <c r="L410" s="27">
        <v>1</v>
      </c>
      <c r="M410" s="28"/>
      <c r="N410" s="241"/>
      <c r="O410" s="27">
        <v>1</v>
      </c>
      <c r="P410" s="28"/>
      <c r="Q410" s="241"/>
      <c r="R410" s="27">
        <v>1</v>
      </c>
      <c r="S410" s="28"/>
      <c r="T410" s="241"/>
      <c r="U410" s="27">
        <v>1</v>
      </c>
      <c r="V410" s="28"/>
      <c r="W410" s="241"/>
      <c r="X410" s="27">
        <v>1</v>
      </c>
      <c r="Y410" s="28"/>
      <c r="Z410" s="241"/>
      <c r="AA410" s="27">
        <v>1</v>
      </c>
      <c r="AB410" s="28"/>
      <c r="AC410" s="241"/>
      <c r="AD410" s="27">
        <v>1</v>
      </c>
      <c r="AE410" s="28"/>
      <c r="AF410" s="241"/>
      <c r="AG410" s="27">
        <v>1</v>
      </c>
      <c r="AH410" s="28"/>
      <c r="AI410" s="241"/>
      <c r="AJ410" s="27">
        <v>1</v>
      </c>
      <c r="AK410" s="28"/>
      <c r="AL410" s="241"/>
      <c r="AM410" s="27">
        <v>1</v>
      </c>
      <c r="AN410" s="28"/>
      <c r="AO410" s="241"/>
      <c r="AP410" s="27">
        <v>1</v>
      </c>
      <c r="AQ410" s="28"/>
      <c r="AR410" s="241"/>
      <c r="AS410" s="27"/>
      <c r="AT410" s="28"/>
      <c r="AU410" s="241"/>
      <c r="AV410" s="27"/>
      <c r="AW410" s="28"/>
      <c r="AX410" s="241"/>
      <c r="AY410" s="27"/>
      <c r="AZ410" s="28"/>
      <c r="BA410" s="241"/>
      <c r="BB410" s="27"/>
      <c r="BC410" s="28"/>
      <c r="BD410" s="241"/>
      <c r="BE410" s="27"/>
      <c r="BF410" s="28"/>
      <c r="BG410" s="241"/>
      <c r="BH410" s="27"/>
      <c r="BI410" s="28"/>
      <c r="BK410" s="449"/>
      <c r="BL410" s="449"/>
      <c r="BM410" s="449"/>
      <c r="BN410" s="449"/>
    </row>
    <row r="411" spans="1:66" s="29" customFormat="1" ht="14.4" hidden="1" customHeight="1" outlineLevel="2" x14ac:dyDescent="0.3">
      <c r="A411" s="204" t="s">
        <v>140</v>
      </c>
      <c r="B411" s="2"/>
      <c r="C411" s="201"/>
      <c r="D411" s="41"/>
      <c r="E411" s="41"/>
      <c r="F411" s="41"/>
      <c r="G411" s="56"/>
      <c r="H411" s="241"/>
      <c r="I411" s="27">
        <v>0</v>
      </c>
      <c r="J411" s="28"/>
      <c r="K411" s="241"/>
      <c r="L411" s="27">
        <v>0</v>
      </c>
      <c r="M411" s="28"/>
      <c r="N411" s="241"/>
      <c r="O411" s="27">
        <v>0</v>
      </c>
      <c r="P411" s="28"/>
      <c r="Q411" s="241"/>
      <c r="R411" s="27">
        <v>0</v>
      </c>
      <c r="S411" s="28"/>
      <c r="T411" s="241"/>
      <c r="U411" s="27">
        <v>0</v>
      </c>
      <c r="V411" s="28"/>
      <c r="W411" s="241"/>
      <c r="X411" s="27">
        <v>0</v>
      </c>
      <c r="Y411" s="28"/>
      <c r="Z411" s="241"/>
      <c r="AA411" s="27">
        <v>0</v>
      </c>
      <c r="AB411" s="28"/>
      <c r="AC411" s="241"/>
      <c r="AD411" s="27">
        <v>0</v>
      </c>
      <c r="AE411" s="28"/>
      <c r="AF411" s="241"/>
      <c r="AG411" s="27">
        <v>0</v>
      </c>
      <c r="AH411" s="28"/>
      <c r="AI411" s="241"/>
      <c r="AJ411" s="27">
        <v>0</v>
      </c>
      <c r="AK411" s="28"/>
      <c r="AL411" s="241"/>
      <c r="AM411" s="27">
        <v>0</v>
      </c>
      <c r="AN411" s="28"/>
      <c r="AO411" s="241"/>
      <c r="AP411" s="27">
        <v>0</v>
      </c>
      <c r="AQ411" s="28"/>
      <c r="AR411" s="241"/>
      <c r="AS411" s="27"/>
      <c r="AT411" s="28"/>
      <c r="AU411" s="241"/>
      <c r="AV411" s="27"/>
      <c r="AW411" s="28"/>
      <c r="AX411" s="241"/>
      <c r="AY411" s="27"/>
      <c r="AZ411" s="28"/>
      <c r="BA411" s="241"/>
      <c r="BB411" s="27"/>
      <c r="BC411" s="28"/>
      <c r="BD411" s="241"/>
      <c r="BE411" s="27"/>
      <c r="BF411" s="28"/>
      <c r="BG411" s="241"/>
      <c r="BH411" s="27"/>
      <c r="BI411" s="28"/>
      <c r="BK411" s="449"/>
      <c r="BL411" s="449"/>
      <c r="BM411" s="449"/>
      <c r="BN411" s="449"/>
    </row>
    <row r="412" spans="1:66" s="29" customFormat="1" ht="14.4" hidden="1" customHeight="1" outlineLevel="2" x14ac:dyDescent="0.3">
      <c r="A412" s="204" t="s">
        <v>141</v>
      </c>
      <c r="B412" s="2"/>
      <c r="C412" s="201"/>
      <c r="D412" s="41"/>
      <c r="E412" s="41"/>
      <c r="F412" s="41"/>
      <c r="G412" s="56"/>
      <c r="H412" s="241"/>
      <c r="I412" s="27">
        <v>0</v>
      </c>
      <c r="J412" s="28"/>
      <c r="K412" s="241"/>
      <c r="L412" s="27">
        <v>0</v>
      </c>
      <c r="M412" s="28"/>
      <c r="N412" s="241"/>
      <c r="O412" s="27">
        <v>0</v>
      </c>
      <c r="P412" s="28"/>
      <c r="Q412" s="241"/>
      <c r="R412" s="27">
        <v>0</v>
      </c>
      <c r="S412" s="28"/>
      <c r="T412" s="241"/>
      <c r="U412" s="27">
        <v>0</v>
      </c>
      <c r="V412" s="28"/>
      <c r="W412" s="241"/>
      <c r="X412" s="27">
        <v>0</v>
      </c>
      <c r="Y412" s="28"/>
      <c r="Z412" s="241"/>
      <c r="AA412" s="27">
        <v>0</v>
      </c>
      <c r="AB412" s="28"/>
      <c r="AC412" s="241"/>
      <c r="AD412" s="27">
        <v>0</v>
      </c>
      <c r="AE412" s="28"/>
      <c r="AF412" s="241"/>
      <c r="AG412" s="27">
        <v>0</v>
      </c>
      <c r="AH412" s="28"/>
      <c r="AI412" s="241"/>
      <c r="AJ412" s="27">
        <v>0</v>
      </c>
      <c r="AK412" s="28"/>
      <c r="AL412" s="241"/>
      <c r="AM412" s="27">
        <v>0</v>
      </c>
      <c r="AN412" s="28"/>
      <c r="AO412" s="241"/>
      <c r="AP412" s="27">
        <v>0</v>
      </c>
      <c r="AQ412" s="28"/>
      <c r="AR412" s="241"/>
      <c r="AS412" s="27"/>
      <c r="AT412" s="28"/>
      <c r="AU412" s="241"/>
      <c r="AV412" s="27"/>
      <c r="AW412" s="28"/>
      <c r="AX412" s="241"/>
      <c r="AY412" s="27"/>
      <c r="AZ412" s="28"/>
      <c r="BA412" s="241"/>
      <c r="BB412" s="27"/>
      <c r="BC412" s="28"/>
      <c r="BD412" s="241"/>
      <c r="BE412" s="27"/>
      <c r="BF412" s="28"/>
      <c r="BG412" s="241"/>
      <c r="BH412" s="27"/>
      <c r="BI412" s="28"/>
      <c r="BK412" s="449"/>
      <c r="BL412" s="449"/>
      <c r="BM412" s="449"/>
      <c r="BN412" s="449"/>
    </row>
    <row r="413" spans="1:66" s="29" customFormat="1" ht="14.4" hidden="1" customHeight="1" outlineLevel="2" x14ac:dyDescent="0.3">
      <c r="A413" s="204" t="s">
        <v>142</v>
      </c>
      <c r="B413" s="2"/>
      <c r="C413" s="201"/>
      <c r="D413" s="41"/>
      <c r="E413" s="41"/>
      <c r="F413" s="41"/>
      <c r="G413" s="56"/>
      <c r="H413" s="241"/>
      <c r="I413" s="27">
        <v>1</v>
      </c>
      <c r="J413" s="28"/>
      <c r="K413" s="241"/>
      <c r="L413" s="27">
        <v>1</v>
      </c>
      <c r="M413" s="28"/>
      <c r="N413" s="241"/>
      <c r="O413" s="27">
        <v>1</v>
      </c>
      <c r="P413" s="28"/>
      <c r="Q413" s="241"/>
      <c r="R413" s="27">
        <v>1</v>
      </c>
      <c r="S413" s="28"/>
      <c r="T413" s="241"/>
      <c r="U413" s="27">
        <v>1</v>
      </c>
      <c r="V413" s="28"/>
      <c r="W413" s="241"/>
      <c r="X413" s="27">
        <v>1</v>
      </c>
      <c r="Y413" s="28"/>
      <c r="Z413" s="241"/>
      <c r="AA413" s="27">
        <v>1</v>
      </c>
      <c r="AB413" s="28"/>
      <c r="AC413" s="241"/>
      <c r="AD413" s="27">
        <v>1</v>
      </c>
      <c r="AE413" s="28"/>
      <c r="AF413" s="241"/>
      <c r="AG413" s="27">
        <v>1</v>
      </c>
      <c r="AH413" s="28"/>
      <c r="AI413" s="241"/>
      <c r="AJ413" s="27">
        <v>1</v>
      </c>
      <c r="AK413" s="28"/>
      <c r="AL413" s="241"/>
      <c r="AM413" s="27">
        <v>1</v>
      </c>
      <c r="AN413" s="28"/>
      <c r="AO413" s="241"/>
      <c r="AP413" s="27">
        <v>1</v>
      </c>
      <c r="AQ413" s="28"/>
      <c r="AR413" s="241"/>
      <c r="AS413" s="27"/>
      <c r="AT413" s="28"/>
      <c r="AU413" s="241"/>
      <c r="AV413" s="27"/>
      <c r="AW413" s="28"/>
      <c r="AX413" s="241"/>
      <c r="AY413" s="27"/>
      <c r="AZ413" s="28"/>
      <c r="BA413" s="241"/>
      <c r="BB413" s="27"/>
      <c r="BC413" s="28"/>
      <c r="BD413" s="241"/>
      <c r="BE413" s="27"/>
      <c r="BF413" s="28"/>
      <c r="BG413" s="241"/>
      <c r="BH413" s="27"/>
      <c r="BI413" s="28"/>
      <c r="BK413" s="449"/>
      <c r="BL413" s="449"/>
      <c r="BM413" s="449"/>
      <c r="BN413" s="449"/>
    </row>
    <row r="414" spans="1:66" s="29" customFormat="1" ht="14.4" hidden="1" customHeight="1" outlineLevel="2" x14ac:dyDescent="0.3">
      <c r="A414" s="205"/>
      <c r="B414" s="23"/>
      <c r="C414" s="3"/>
      <c r="D414" s="4"/>
      <c r="E414" s="198"/>
      <c r="F414" s="56"/>
      <c r="G414" s="56"/>
      <c r="H414" s="282"/>
      <c r="I414" s="235"/>
      <c r="J414" s="199"/>
      <c r="K414" s="282"/>
      <c r="L414" s="235"/>
      <c r="M414" s="199"/>
      <c r="N414" s="282"/>
      <c r="O414" s="235"/>
      <c r="P414" s="199"/>
      <c r="Q414" s="282"/>
      <c r="R414" s="235"/>
      <c r="S414" s="199"/>
      <c r="T414" s="282"/>
      <c r="U414" s="235"/>
      <c r="V414" s="199"/>
      <c r="W414" s="282"/>
      <c r="X414" s="235"/>
      <c r="Y414" s="199"/>
      <c r="Z414" s="282"/>
      <c r="AA414" s="235"/>
      <c r="AB414" s="199"/>
      <c r="AC414" s="282"/>
      <c r="AD414" s="235"/>
      <c r="AE414" s="199"/>
      <c r="AF414" s="282"/>
      <c r="AG414" s="235"/>
      <c r="AH414" s="199"/>
      <c r="AI414" s="282"/>
      <c r="AJ414" s="235"/>
      <c r="AK414" s="199"/>
      <c r="AL414" s="282"/>
      <c r="AM414" s="235"/>
      <c r="AN414" s="199"/>
      <c r="AO414" s="282"/>
      <c r="AP414" s="235"/>
      <c r="AQ414" s="199"/>
      <c r="AR414" s="282"/>
      <c r="AS414" s="235"/>
      <c r="AT414" s="199"/>
      <c r="AU414" s="282"/>
      <c r="AV414" s="235"/>
      <c r="AW414" s="199"/>
      <c r="AX414" s="282"/>
      <c r="AY414" s="235"/>
      <c r="AZ414" s="199"/>
      <c r="BA414" s="282"/>
      <c r="BB414" s="235"/>
      <c r="BC414" s="199"/>
      <c r="BD414" s="282"/>
      <c r="BE414" s="235"/>
      <c r="BF414" s="199"/>
      <c r="BG414" s="282"/>
      <c r="BH414" s="235"/>
      <c r="BI414" s="199"/>
      <c r="BK414" s="449"/>
      <c r="BL414" s="449"/>
      <c r="BM414" s="449"/>
      <c r="BN414" s="449"/>
    </row>
    <row r="415" spans="1:66" s="29" customFormat="1" ht="14.4" hidden="1" customHeight="1" outlineLevel="2" x14ac:dyDescent="0.3">
      <c r="A415" s="200" t="s">
        <v>426</v>
      </c>
      <c r="B415" s="59"/>
      <c r="C415" s="60"/>
      <c r="D415" s="61"/>
      <c r="E415" s="62"/>
      <c r="F415" s="63"/>
      <c r="G415" s="56"/>
      <c r="H415" s="211"/>
      <c r="I415" s="202">
        <v>27</v>
      </c>
      <c r="J415" s="203"/>
      <c r="K415" s="211"/>
      <c r="L415" s="202">
        <v>25</v>
      </c>
      <c r="M415" s="203"/>
      <c r="N415" s="211"/>
      <c r="O415" s="202">
        <v>25</v>
      </c>
      <c r="P415" s="203"/>
      <c r="Q415" s="211"/>
      <c r="R415" s="202">
        <v>25</v>
      </c>
      <c r="S415" s="203"/>
      <c r="T415" s="211"/>
      <c r="U415" s="202">
        <v>25</v>
      </c>
      <c r="V415" s="203"/>
      <c r="W415" s="211"/>
      <c r="X415" s="202">
        <v>25</v>
      </c>
      <c r="Y415" s="203"/>
      <c r="Z415" s="211"/>
      <c r="AA415" s="202">
        <v>25</v>
      </c>
      <c r="AB415" s="203"/>
      <c r="AC415" s="211"/>
      <c r="AD415" s="202">
        <v>25</v>
      </c>
      <c r="AE415" s="203"/>
      <c r="AF415" s="211"/>
      <c r="AG415" s="202">
        <v>25</v>
      </c>
      <c r="AH415" s="203"/>
      <c r="AI415" s="211"/>
      <c r="AJ415" s="202">
        <v>25</v>
      </c>
      <c r="AK415" s="203"/>
      <c r="AL415" s="211"/>
      <c r="AM415" s="202">
        <v>25</v>
      </c>
      <c r="AN415" s="203"/>
      <c r="AO415" s="211"/>
      <c r="AP415" s="202">
        <v>25</v>
      </c>
      <c r="AQ415" s="203"/>
      <c r="AR415" s="211"/>
      <c r="AS415" s="202"/>
      <c r="AT415" s="203"/>
      <c r="AU415" s="211"/>
      <c r="AV415" s="202"/>
      <c r="AW415" s="203"/>
      <c r="AX415" s="211"/>
      <c r="AY415" s="202"/>
      <c r="AZ415" s="203"/>
      <c r="BA415" s="211"/>
      <c r="BB415" s="202"/>
      <c r="BC415" s="203"/>
      <c r="BD415" s="211"/>
      <c r="BE415" s="202"/>
      <c r="BF415" s="203"/>
      <c r="BG415" s="211"/>
      <c r="BH415" s="202"/>
      <c r="BI415" s="203"/>
      <c r="BK415" s="449"/>
      <c r="BL415" s="449"/>
      <c r="BM415" s="449"/>
      <c r="BN415" s="449"/>
    </row>
    <row r="416" spans="1:66" s="29" customFormat="1" ht="14.4" hidden="1" customHeight="1" outlineLevel="2" x14ac:dyDescent="0.3">
      <c r="A416" s="204" t="s">
        <v>144</v>
      </c>
      <c r="B416" s="2"/>
      <c r="C416" s="60"/>
      <c r="D416" s="61"/>
      <c r="E416" s="62"/>
      <c r="F416" s="41"/>
      <c r="G416" s="56"/>
      <c r="H416" s="241"/>
      <c r="I416" s="27">
        <v>1</v>
      </c>
      <c r="J416" s="28"/>
      <c r="K416" s="241"/>
      <c r="L416" s="27">
        <v>1</v>
      </c>
      <c r="M416" s="28"/>
      <c r="N416" s="241"/>
      <c r="O416" s="27">
        <v>1</v>
      </c>
      <c r="P416" s="28"/>
      <c r="Q416" s="241"/>
      <c r="R416" s="27">
        <v>1</v>
      </c>
      <c r="S416" s="28"/>
      <c r="T416" s="241"/>
      <c r="U416" s="27">
        <v>1</v>
      </c>
      <c r="V416" s="28"/>
      <c r="W416" s="241"/>
      <c r="X416" s="27">
        <v>1</v>
      </c>
      <c r="Y416" s="28"/>
      <c r="Z416" s="241"/>
      <c r="AA416" s="27">
        <v>1</v>
      </c>
      <c r="AB416" s="28"/>
      <c r="AC416" s="241"/>
      <c r="AD416" s="27">
        <v>1</v>
      </c>
      <c r="AE416" s="28"/>
      <c r="AF416" s="241"/>
      <c r="AG416" s="27">
        <v>1</v>
      </c>
      <c r="AH416" s="28"/>
      <c r="AI416" s="241"/>
      <c r="AJ416" s="27">
        <v>1</v>
      </c>
      <c r="AK416" s="28"/>
      <c r="AL416" s="241"/>
      <c r="AM416" s="27">
        <v>1</v>
      </c>
      <c r="AN416" s="28"/>
      <c r="AO416" s="241"/>
      <c r="AP416" s="27">
        <v>1</v>
      </c>
      <c r="AQ416" s="28"/>
      <c r="AR416" s="241"/>
      <c r="AS416" s="27"/>
      <c r="AT416" s="28"/>
      <c r="AU416" s="241"/>
      <c r="AV416" s="27"/>
      <c r="AW416" s="28"/>
      <c r="AX416" s="241"/>
      <c r="AY416" s="27"/>
      <c r="AZ416" s="28"/>
      <c r="BA416" s="241"/>
      <c r="BB416" s="27"/>
      <c r="BC416" s="28"/>
      <c r="BD416" s="241"/>
      <c r="BE416" s="27"/>
      <c r="BF416" s="28"/>
      <c r="BG416" s="241"/>
      <c r="BH416" s="27"/>
      <c r="BI416" s="28"/>
      <c r="BK416" s="449"/>
      <c r="BL416" s="449"/>
      <c r="BM416" s="449"/>
      <c r="BN416" s="449"/>
    </row>
    <row r="417" spans="1:66" s="29" customFormat="1" ht="14.4" hidden="1" customHeight="1" outlineLevel="2" x14ac:dyDescent="0.3">
      <c r="A417" s="204" t="s">
        <v>146</v>
      </c>
      <c r="B417" s="2"/>
      <c r="C417" s="60"/>
      <c r="D417" s="61"/>
      <c r="E417" s="62"/>
      <c r="F417" s="41"/>
      <c r="G417" s="56"/>
      <c r="H417" s="241"/>
      <c r="I417" s="27">
        <v>6</v>
      </c>
      <c r="J417" s="28"/>
      <c r="K417" s="241"/>
      <c r="L417" s="27">
        <v>2</v>
      </c>
      <c r="M417" s="28"/>
      <c r="N417" s="241"/>
      <c r="O417" s="27">
        <v>2</v>
      </c>
      <c r="P417" s="28"/>
      <c r="Q417" s="241"/>
      <c r="R417" s="27">
        <v>2</v>
      </c>
      <c r="S417" s="28"/>
      <c r="T417" s="241"/>
      <c r="U417" s="27">
        <v>2</v>
      </c>
      <c r="V417" s="28"/>
      <c r="W417" s="241"/>
      <c r="X417" s="27">
        <v>2</v>
      </c>
      <c r="Y417" s="28"/>
      <c r="Z417" s="241"/>
      <c r="AA417" s="27">
        <v>2</v>
      </c>
      <c r="AB417" s="28"/>
      <c r="AC417" s="241"/>
      <c r="AD417" s="27">
        <v>2</v>
      </c>
      <c r="AE417" s="28"/>
      <c r="AF417" s="241"/>
      <c r="AG417" s="27">
        <v>2</v>
      </c>
      <c r="AH417" s="28"/>
      <c r="AI417" s="241"/>
      <c r="AJ417" s="27">
        <v>2</v>
      </c>
      <c r="AK417" s="28"/>
      <c r="AL417" s="241"/>
      <c r="AM417" s="27">
        <v>2</v>
      </c>
      <c r="AN417" s="28"/>
      <c r="AO417" s="241"/>
      <c r="AP417" s="27">
        <v>2</v>
      </c>
      <c r="AQ417" s="28"/>
      <c r="AR417" s="241"/>
      <c r="AS417" s="27"/>
      <c r="AT417" s="28"/>
      <c r="AU417" s="241"/>
      <c r="AV417" s="27"/>
      <c r="AW417" s="28"/>
      <c r="AX417" s="241"/>
      <c r="AY417" s="27"/>
      <c r="AZ417" s="28"/>
      <c r="BA417" s="241"/>
      <c r="BB417" s="27"/>
      <c r="BC417" s="28"/>
      <c r="BD417" s="241"/>
      <c r="BE417" s="27"/>
      <c r="BF417" s="28"/>
      <c r="BG417" s="241"/>
      <c r="BH417" s="27"/>
      <c r="BI417" s="28"/>
      <c r="BK417" s="449"/>
      <c r="BL417" s="449"/>
      <c r="BM417" s="449"/>
      <c r="BN417" s="449"/>
    </row>
    <row r="418" spans="1:66" s="29" customFormat="1" ht="14.4" hidden="1" customHeight="1" outlineLevel="2" x14ac:dyDescent="0.3">
      <c r="A418" s="204" t="s">
        <v>147</v>
      </c>
      <c r="B418" s="2"/>
      <c r="C418" s="60"/>
      <c r="D418" s="61"/>
      <c r="E418" s="62"/>
      <c r="F418" s="41"/>
      <c r="G418" s="56"/>
      <c r="H418" s="241"/>
      <c r="I418" s="27">
        <v>0</v>
      </c>
      <c r="J418" s="28"/>
      <c r="K418" s="241"/>
      <c r="L418" s="27">
        <v>2</v>
      </c>
      <c r="M418" s="28"/>
      <c r="N418" s="241"/>
      <c r="O418" s="27">
        <v>2</v>
      </c>
      <c r="P418" s="28"/>
      <c r="Q418" s="241"/>
      <c r="R418" s="27">
        <v>2</v>
      </c>
      <c r="S418" s="28"/>
      <c r="T418" s="241"/>
      <c r="U418" s="27">
        <v>2</v>
      </c>
      <c r="V418" s="28"/>
      <c r="W418" s="241"/>
      <c r="X418" s="27">
        <v>2</v>
      </c>
      <c r="Y418" s="28"/>
      <c r="Z418" s="241"/>
      <c r="AA418" s="27">
        <v>2</v>
      </c>
      <c r="AB418" s="28"/>
      <c r="AC418" s="241"/>
      <c r="AD418" s="27">
        <v>2</v>
      </c>
      <c r="AE418" s="28"/>
      <c r="AF418" s="241"/>
      <c r="AG418" s="27">
        <v>2</v>
      </c>
      <c r="AH418" s="28"/>
      <c r="AI418" s="241"/>
      <c r="AJ418" s="27">
        <v>2</v>
      </c>
      <c r="AK418" s="28"/>
      <c r="AL418" s="241"/>
      <c r="AM418" s="27">
        <v>2</v>
      </c>
      <c r="AN418" s="28"/>
      <c r="AO418" s="241"/>
      <c r="AP418" s="27">
        <v>2</v>
      </c>
      <c r="AQ418" s="28"/>
      <c r="AR418" s="241"/>
      <c r="AS418" s="27"/>
      <c r="AT418" s="28"/>
      <c r="AU418" s="241"/>
      <c r="AV418" s="27"/>
      <c r="AW418" s="28"/>
      <c r="AX418" s="241"/>
      <c r="AY418" s="27"/>
      <c r="AZ418" s="28"/>
      <c r="BA418" s="241"/>
      <c r="BB418" s="27"/>
      <c r="BC418" s="28"/>
      <c r="BD418" s="241"/>
      <c r="BE418" s="27"/>
      <c r="BF418" s="28"/>
      <c r="BG418" s="241"/>
      <c r="BH418" s="27"/>
      <c r="BI418" s="28"/>
      <c r="BK418" s="449"/>
      <c r="BL418" s="449"/>
      <c r="BM418" s="449"/>
      <c r="BN418" s="449"/>
    </row>
    <row r="419" spans="1:66" s="29" customFormat="1" ht="14.4" hidden="1" customHeight="1" outlineLevel="2" x14ac:dyDescent="0.3">
      <c r="A419" s="204" t="s">
        <v>148</v>
      </c>
      <c r="B419" s="2"/>
      <c r="C419" s="60"/>
      <c r="D419" s="61"/>
      <c r="E419" s="62"/>
      <c r="F419" s="41"/>
      <c r="G419" s="56"/>
      <c r="H419" s="241"/>
      <c r="I419" s="27">
        <v>1</v>
      </c>
      <c r="J419" s="28"/>
      <c r="K419" s="241"/>
      <c r="L419" s="27">
        <v>2</v>
      </c>
      <c r="M419" s="28"/>
      <c r="N419" s="241"/>
      <c r="O419" s="27">
        <v>2</v>
      </c>
      <c r="P419" s="28"/>
      <c r="Q419" s="241"/>
      <c r="R419" s="27">
        <v>2</v>
      </c>
      <c r="S419" s="28"/>
      <c r="T419" s="241"/>
      <c r="U419" s="27">
        <v>2</v>
      </c>
      <c r="V419" s="28"/>
      <c r="W419" s="241"/>
      <c r="X419" s="27">
        <v>2</v>
      </c>
      <c r="Y419" s="28"/>
      <c r="Z419" s="241"/>
      <c r="AA419" s="27">
        <v>2</v>
      </c>
      <c r="AB419" s="28"/>
      <c r="AC419" s="241"/>
      <c r="AD419" s="27">
        <v>2</v>
      </c>
      <c r="AE419" s="28"/>
      <c r="AF419" s="241"/>
      <c r="AG419" s="27">
        <v>2</v>
      </c>
      <c r="AH419" s="28"/>
      <c r="AI419" s="241"/>
      <c r="AJ419" s="27">
        <v>2</v>
      </c>
      <c r="AK419" s="28"/>
      <c r="AL419" s="241"/>
      <c r="AM419" s="27">
        <v>2</v>
      </c>
      <c r="AN419" s="28"/>
      <c r="AO419" s="241"/>
      <c r="AP419" s="27">
        <v>2</v>
      </c>
      <c r="AQ419" s="28"/>
      <c r="AR419" s="241"/>
      <c r="AS419" s="27"/>
      <c r="AT419" s="28"/>
      <c r="AU419" s="241"/>
      <c r="AV419" s="27"/>
      <c r="AW419" s="28"/>
      <c r="AX419" s="241"/>
      <c r="AY419" s="27"/>
      <c r="AZ419" s="28"/>
      <c r="BA419" s="241"/>
      <c r="BB419" s="27"/>
      <c r="BC419" s="28"/>
      <c r="BD419" s="241"/>
      <c r="BE419" s="27"/>
      <c r="BF419" s="28"/>
      <c r="BG419" s="241"/>
      <c r="BH419" s="27"/>
      <c r="BI419" s="28"/>
      <c r="BK419" s="449"/>
      <c r="BL419" s="449"/>
      <c r="BM419" s="449"/>
      <c r="BN419" s="449"/>
    </row>
    <row r="420" spans="1:66" s="29" customFormat="1" ht="14.4" hidden="1" customHeight="1" outlineLevel="2" x14ac:dyDescent="0.3">
      <c r="A420" s="204" t="s">
        <v>149</v>
      </c>
      <c r="B420" s="2"/>
      <c r="C420" s="60"/>
      <c r="D420" s="61"/>
      <c r="E420" s="206"/>
      <c r="F420" s="41"/>
      <c r="G420" s="56"/>
      <c r="H420" s="241"/>
      <c r="I420" s="27">
        <v>0</v>
      </c>
      <c r="J420" s="28"/>
      <c r="K420" s="241"/>
      <c r="L420" s="27">
        <v>0</v>
      </c>
      <c r="M420" s="28"/>
      <c r="N420" s="241"/>
      <c r="O420" s="27">
        <v>0</v>
      </c>
      <c r="P420" s="28"/>
      <c r="Q420" s="241"/>
      <c r="R420" s="27">
        <v>0</v>
      </c>
      <c r="S420" s="28"/>
      <c r="T420" s="241"/>
      <c r="U420" s="27">
        <v>0</v>
      </c>
      <c r="V420" s="28"/>
      <c r="W420" s="241"/>
      <c r="X420" s="27">
        <v>0</v>
      </c>
      <c r="Y420" s="28"/>
      <c r="Z420" s="241"/>
      <c r="AA420" s="27">
        <v>0</v>
      </c>
      <c r="AB420" s="28"/>
      <c r="AC420" s="241"/>
      <c r="AD420" s="27">
        <v>0</v>
      </c>
      <c r="AE420" s="28"/>
      <c r="AF420" s="241"/>
      <c r="AG420" s="27">
        <v>0</v>
      </c>
      <c r="AH420" s="28"/>
      <c r="AI420" s="241"/>
      <c r="AJ420" s="27">
        <v>0</v>
      </c>
      <c r="AK420" s="28"/>
      <c r="AL420" s="241"/>
      <c r="AM420" s="27">
        <v>0</v>
      </c>
      <c r="AN420" s="28"/>
      <c r="AO420" s="241"/>
      <c r="AP420" s="27">
        <v>0</v>
      </c>
      <c r="AQ420" s="28"/>
      <c r="AR420" s="241"/>
      <c r="AS420" s="27"/>
      <c r="AT420" s="28"/>
      <c r="AU420" s="241"/>
      <c r="AV420" s="27"/>
      <c r="AW420" s="28"/>
      <c r="AX420" s="241"/>
      <c r="AY420" s="27"/>
      <c r="AZ420" s="28"/>
      <c r="BA420" s="241"/>
      <c r="BB420" s="27"/>
      <c r="BC420" s="28"/>
      <c r="BD420" s="241"/>
      <c r="BE420" s="27"/>
      <c r="BF420" s="28"/>
      <c r="BG420" s="241"/>
      <c r="BH420" s="27"/>
      <c r="BI420" s="28"/>
      <c r="BK420" s="449"/>
      <c r="BL420" s="449"/>
      <c r="BM420" s="449"/>
      <c r="BN420" s="449"/>
    </row>
    <row r="421" spans="1:66" s="29" customFormat="1" ht="14.4" hidden="1" customHeight="1" outlineLevel="2" x14ac:dyDescent="0.3">
      <c r="A421" s="204" t="s">
        <v>150</v>
      </c>
      <c r="B421" s="2"/>
      <c r="C421" s="60"/>
      <c r="D421" s="61"/>
      <c r="E421" s="62"/>
      <c r="F421" s="41"/>
      <c r="G421" s="56"/>
      <c r="H421" s="241"/>
      <c r="I421" s="27">
        <v>1</v>
      </c>
      <c r="J421" s="28"/>
      <c r="K421" s="241"/>
      <c r="L421" s="27">
        <v>0</v>
      </c>
      <c r="M421" s="28"/>
      <c r="N421" s="241"/>
      <c r="O421" s="27">
        <v>0</v>
      </c>
      <c r="P421" s="28"/>
      <c r="Q421" s="241"/>
      <c r="R421" s="27">
        <v>0</v>
      </c>
      <c r="S421" s="28"/>
      <c r="T421" s="241"/>
      <c r="U421" s="27">
        <v>0</v>
      </c>
      <c r="V421" s="28"/>
      <c r="W421" s="241"/>
      <c r="X421" s="27">
        <v>0</v>
      </c>
      <c r="Y421" s="28"/>
      <c r="Z421" s="241"/>
      <c r="AA421" s="27">
        <v>0</v>
      </c>
      <c r="AB421" s="28"/>
      <c r="AC421" s="241"/>
      <c r="AD421" s="27">
        <v>0</v>
      </c>
      <c r="AE421" s="28"/>
      <c r="AF421" s="241"/>
      <c r="AG421" s="27">
        <v>0</v>
      </c>
      <c r="AH421" s="28"/>
      <c r="AI421" s="241"/>
      <c r="AJ421" s="27">
        <v>0</v>
      </c>
      <c r="AK421" s="28"/>
      <c r="AL421" s="241"/>
      <c r="AM421" s="27">
        <v>0</v>
      </c>
      <c r="AN421" s="28"/>
      <c r="AO421" s="241"/>
      <c r="AP421" s="27">
        <v>0</v>
      </c>
      <c r="AQ421" s="28"/>
      <c r="AR421" s="241"/>
      <c r="AS421" s="27"/>
      <c r="AT421" s="28"/>
      <c r="AU421" s="241"/>
      <c r="AV421" s="27"/>
      <c r="AW421" s="28"/>
      <c r="AX421" s="241"/>
      <c r="AY421" s="27"/>
      <c r="AZ421" s="28"/>
      <c r="BA421" s="241"/>
      <c r="BB421" s="27"/>
      <c r="BC421" s="28"/>
      <c r="BD421" s="241"/>
      <c r="BE421" s="27"/>
      <c r="BF421" s="28"/>
      <c r="BG421" s="241"/>
      <c r="BH421" s="27"/>
      <c r="BI421" s="28"/>
      <c r="BK421" s="449"/>
      <c r="BL421" s="449"/>
      <c r="BM421" s="449"/>
      <c r="BN421" s="449"/>
    </row>
    <row r="422" spans="1:66" s="29" customFormat="1" ht="14.4" hidden="1" customHeight="1" outlineLevel="2" x14ac:dyDescent="0.3">
      <c r="A422" s="204" t="s">
        <v>151</v>
      </c>
      <c r="B422" s="2"/>
      <c r="C422" s="60"/>
      <c r="D422" s="61"/>
      <c r="E422" s="62"/>
      <c r="F422" s="41"/>
      <c r="G422" s="56"/>
      <c r="H422" s="241"/>
      <c r="I422" s="27">
        <v>0</v>
      </c>
      <c r="J422" s="28"/>
      <c r="K422" s="241"/>
      <c r="L422" s="27">
        <v>0</v>
      </c>
      <c r="M422" s="28"/>
      <c r="N422" s="241"/>
      <c r="O422" s="27">
        <v>0</v>
      </c>
      <c r="P422" s="28"/>
      <c r="Q422" s="241"/>
      <c r="R422" s="27">
        <v>0</v>
      </c>
      <c r="S422" s="28"/>
      <c r="T422" s="241"/>
      <c r="U422" s="27">
        <v>0</v>
      </c>
      <c r="V422" s="28"/>
      <c r="W422" s="241"/>
      <c r="X422" s="27">
        <v>0</v>
      </c>
      <c r="Y422" s="28"/>
      <c r="Z422" s="241"/>
      <c r="AA422" s="27">
        <v>0</v>
      </c>
      <c r="AB422" s="28"/>
      <c r="AC422" s="241"/>
      <c r="AD422" s="27">
        <v>0</v>
      </c>
      <c r="AE422" s="28"/>
      <c r="AF422" s="241"/>
      <c r="AG422" s="27">
        <v>0</v>
      </c>
      <c r="AH422" s="28"/>
      <c r="AI422" s="241"/>
      <c r="AJ422" s="27">
        <v>0</v>
      </c>
      <c r="AK422" s="28"/>
      <c r="AL422" s="241"/>
      <c r="AM422" s="27">
        <v>0</v>
      </c>
      <c r="AN422" s="28"/>
      <c r="AO422" s="241"/>
      <c r="AP422" s="27">
        <v>0</v>
      </c>
      <c r="AQ422" s="28"/>
      <c r="AR422" s="241"/>
      <c r="AS422" s="27"/>
      <c r="AT422" s="28"/>
      <c r="AU422" s="241"/>
      <c r="AV422" s="27"/>
      <c r="AW422" s="28"/>
      <c r="AX422" s="241"/>
      <c r="AY422" s="27"/>
      <c r="AZ422" s="28"/>
      <c r="BA422" s="241"/>
      <c r="BB422" s="27"/>
      <c r="BC422" s="28"/>
      <c r="BD422" s="241"/>
      <c r="BE422" s="27"/>
      <c r="BF422" s="28"/>
      <c r="BG422" s="241"/>
      <c r="BH422" s="27"/>
      <c r="BI422" s="28"/>
      <c r="BK422" s="449"/>
      <c r="BL422" s="449"/>
      <c r="BM422" s="449"/>
      <c r="BN422" s="449"/>
    </row>
    <row r="423" spans="1:66" s="29" customFormat="1" ht="14.4" hidden="1" customHeight="1" outlineLevel="2" x14ac:dyDescent="0.3">
      <c r="A423" s="204" t="s">
        <v>152</v>
      </c>
      <c r="B423" s="2"/>
      <c r="C423" s="60"/>
      <c r="D423" s="61"/>
      <c r="E423" s="62"/>
      <c r="F423" s="41"/>
      <c r="G423" s="56"/>
      <c r="H423" s="241"/>
      <c r="I423" s="27">
        <v>4</v>
      </c>
      <c r="J423" s="28"/>
      <c r="K423" s="241"/>
      <c r="L423" s="27">
        <v>2</v>
      </c>
      <c r="M423" s="28"/>
      <c r="N423" s="241"/>
      <c r="O423" s="27">
        <v>2</v>
      </c>
      <c r="P423" s="28"/>
      <c r="Q423" s="241"/>
      <c r="R423" s="27">
        <v>2</v>
      </c>
      <c r="S423" s="28"/>
      <c r="T423" s="241"/>
      <c r="U423" s="27">
        <v>2</v>
      </c>
      <c r="V423" s="28"/>
      <c r="W423" s="241"/>
      <c r="X423" s="27">
        <v>2</v>
      </c>
      <c r="Y423" s="28"/>
      <c r="Z423" s="241"/>
      <c r="AA423" s="27">
        <v>2</v>
      </c>
      <c r="AB423" s="28"/>
      <c r="AC423" s="241"/>
      <c r="AD423" s="27">
        <v>2</v>
      </c>
      <c r="AE423" s="28"/>
      <c r="AF423" s="241"/>
      <c r="AG423" s="27">
        <v>2</v>
      </c>
      <c r="AH423" s="28"/>
      <c r="AI423" s="241"/>
      <c r="AJ423" s="27">
        <v>2</v>
      </c>
      <c r="AK423" s="28"/>
      <c r="AL423" s="241"/>
      <c r="AM423" s="27">
        <v>2</v>
      </c>
      <c r="AN423" s="28"/>
      <c r="AO423" s="241"/>
      <c r="AP423" s="27">
        <v>2</v>
      </c>
      <c r="AQ423" s="28"/>
      <c r="AR423" s="241"/>
      <c r="AS423" s="27"/>
      <c r="AT423" s="28"/>
      <c r="AU423" s="241"/>
      <c r="AV423" s="27"/>
      <c r="AW423" s="28"/>
      <c r="AX423" s="241"/>
      <c r="AY423" s="27"/>
      <c r="AZ423" s="28"/>
      <c r="BA423" s="241"/>
      <c r="BB423" s="27"/>
      <c r="BC423" s="28"/>
      <c r="BD423" s="241"/>
      <c r="BE423" s="27"/>
      <c r="BF423" s="28"/>
      <c r="BG423" s="241"/>
      <c r="BH423" s="27"/>
      <c r="BI423" s="28"/>
      <c r="BK423" s="449"/>
      <c r="BL423" s="449"/>
      <c r="BM423" s="449"/>
      <c r="BN423" s="449"/>
    </row>
    <row r="424" spans="1:66" s="29" customFormat="1" ht="14.4" hidden="1" customHeight="1" outlineLevel="2" x14ac:dyDescent="0.3">
      <c r="A424" s="204" t="s">
        <v>153</v>
      </c>
      <c r="B424" s="2"/>
      <c r="C424" s="60"/>
      <c r="D424" s="61"/>
      <c r="E424" s="62"/>
      <c r="F424" s="41"/>
      <c r="G424" s="56"/>
      <c r="H424" s="241"/>
      <c r="I424" s="27">
        <v>0</v>
      </c>
      <c r="J424" s="28"/>
      <c r="K424" s="241"/>
      <c r="L424" s="27">
        <v>2</v>
      </c>
      <c r="M424" s="28"/>
      <c r="N424" s="241"/>
      <c r="O424" s="27">
        <v>2</v>
      </c>
      <c r="P424" s="28"/>
      <c r="Q424" s="241"/>
      <c r="R424" s="27">
        <v>2</v>
      </c>
      <c r="S424" s="28"/>
      <c r="T424" s="241"/>
      <c r="U424" s="27">
        <v>2</v>
      </c>
      <c r="V424" s="28"/>
      <c r="W424" s="241"/>
      <c r="X424" s="27">
        <v>2</v>
      </c>
      <c r="Y424" s="28"/>
      <c r="Z424" s="241"/>
      <c r="AA424" s="27">
        <v>2</v>
      </c>
      <c r="AB424" s="28"/>
      <c r="AC424" s="241"/>
      <c r="AD424" s="27">
        <v>2</v>
      </c>
      <c r="AE424" s="28"/>
      <c r="AF424" s="241"/>
      <c r="AG424" s="27">
        <v>2</v>
      </c>
      <c r="AH424" s="28"/>
      <c r="AI424" s="241"/>
      <c r="AJ424" s="27">
        <v>2</v>
      </c>
      <c r="AK424" s="28"/>
      <c r="AL424" s="241"/>
      <c r="AM424" s="27">
        <v>2</v>
      </c>
      <c r="AN424" s="28"/>
      <c r="AO424" s="241"/>
      <c r="AP424" s="27">
        <v>2</v>
      </c>
      <c r="AQ424" s="28"/>
      <c r="AR424" s="241"/>
      <c r="AS424" s="27"/>
      <c r="AT424" s="28"/>
      <c r="AU424" s="241"/>
      <c r="AV424" s="27"/>
      <c r="AW424" s="28"/>
      <c r="AX424" s="241"/>
      <c r="AY424" s="27"/>
      <c r="AZ424" s="28"/>
      <c r="BA424" s="241"/>
      <c r="BB424" s="27"/>
      <c r="BC424" s="28"/>
      <c r="BD424" s="241"/>
      <c r="BE424" s="27"/>
      <c r="BF424" s="28"/>
      <c r="BG424" s="241"/>
      <c r="BH424" s="27"/>
      <c r="BI424" s="28"/>
      <c r="BK424" s="449"/>
      <c r="BL424" s="449"/>
      <c r="BM424" s="449"/>
      <c r="BN424" s="449"/>
    </row>
    <row r="425" spans="1:66" s="29" customFormat="1" ht="14.4" hidden="1" customHeight="1" outlineLevel="2" x14ac:dyDescent="0.3">
      <c r="A425" s="204" t="s">
        <v>154</v>
      </c>
      <c r="B425" s="2"/>
      <c r="C425" s="60"/>
      <c r="D425" s="61"/>
      <c r="E425" s="206"/>
      <c r="F425" s="41"/>
      <c r="G425" s="56"/>
      <c r="H425" s="241"/>
      <c r="I425" s="27">
        <v>1</v>
      </c>
      <c r="J425" s="28"/>
      <c r="K425" s="241"/>
      <c r="L425" s="27">
        <v>1</v>
      </c>
      <c r="M425" s="28"/>
      <c r="N425" s="241"/>
      <c r="O425" s="27">
        <v>1</v>
      </c>
      <c r="P425" s="28"/>
      <c r="Q425" s="241"/>
      <c r="R425" s="27">
        <v>1</v>
      </c>
      <c r="S425" s="28"/>
      <c r="T425" s="241"/>
      <c r="U425" s="27">
        <v>1</v>
      </c>
      <c r="V425" s="28"/>
      <c r="W425" s="241"/>
      <c r="X425" s="27">
        <v>1</v>
      </c>
      <c r="Y425" s="28"/>
      <c r="Z425" s="241"/>
      <c r="AA425" s="27">
        <v>1</v>
      </c>
      <c r="AB425" s="28"/>
      <c r="AC425" s="241"/>
      <c r="AD425" s="27">
        <v>1</v>
      </c>
      <c r="AE425" s="28"/>
      <c r="AF425" s="241"/>
      <c r="AG425" s="27">
        <v>1</v>
      </c>
      <c r="AH425" s="28"/>
      <c r="AI425" s="241"/>
      <c r="AJ425" s="27">
        <v>1</v>
      </c>
      <c r="AK425" s="28"/>
      <c r="AL425" s="241"/>
      <c r="AM425" s="27">
        <v>1</v>
      </c>
      <c r="AN425" s="28"/>
      <c r="AO425" s="241"/>
      <c r="AP425" s="27">
        <v>1</v>
      </c>
      <c r="AQ425" s="28"/>
      <c r="AR425" s="241"/>
      <c r="AS425" s="27"/>
      <c r="AT425" s="28"/>
      <c r="AU425" s="241"/>
      <c r="AV425" s="27"/>
      <c r="AW425" s="28"/>
      <c r="AX425" s="241"/>
      <c r="AY425" s="27"/>
      <c r="AZ425" s="28"/>
      <c r="BA425" s="241"/>
      <c r="BB425" s="27"/>
      <c r="BC425" s="28"/>
      <c r="BD425" s="241"/>
      <c r="BE425" s="27"/>
      <c r="BF425" s="28"/>
      <c r="BG425" s="241"/>
      <c r="BH425" s="27"/>
      <c r="BI425" s="28"/>
      <c r="BK425" s="449"/>
      <c r="BL425" s="449"/>
      <c r="BM425" s="449"/>
      <c r="BN425" s="449"/>
    </row>
    <row r="426" spans="1:66" s="29" customFormat="1" ht="14.4" hidden="1" customHeight="1" outlineLevel="2" x14ac:dyDescent="0.3">
      <c r="A426" s="204" t="s">
        <v>155</v>
      </c>
      <c r="B426" s="2"/>
      <c r="C426" s="60"/>
      <c r="D426" s="61"/>
      <c r="E426" s="206"/>
      <c r="F426" s="41"/>
      <c r="G426" s="56"/>
      <c r="H426" s="241"/>
      <c r="I426" s="27">
        <v>2</v>
      </c>
      <c r="J426" s="28"/>
      <c r="K426" s="241"/>
      <c r="L426" s="27">
        <v>2</v>
      </c>
      <c r="M426" s="28"/>
      <c r="N426" s="241"/>
      <c r="O426" s="27">
        <v>2</v>
      </c>
      <c r="P426" s="28"/>
      <c r="Q426" s="241"/>
      <c r="R426" s="27">
        <v>2</v>
      </c>
      <c r="S426" s="28"/>
      <c r="T426" s="241"/>
      <c r="U426" s="27">
        <v>2</v>
      </c>
      <c r="V426" s="28"/>
      <c r="W426" s="241"/>
      <c r="X426" s="27">
        <v>2</v>
      </c>
      <c r="Y426" s="28"/>
      <c r="Z426" s="241"/>
      <c r="AA426" s="27">
        <v>2</v>
      </c>
      <c r="AB426" s="28"/>
      <c r="AC426" s="241"/>
      <c r="AD426" s="27">
        <v>2</v>
      </c>
      <c r="AE426" s="28"/>
      <c r="AF426" s="241"/>
      <c r="AG426" s="27">
        <v>2</v>
      </c>
      <c r="AH426" s="28"/>
      <c r="AI426" s="241"/>
      <c r="AJ426" s="27">
        <v>2</v>
      </c>
      <c r="AK426" s="28"/>
      <c r="AL426" s="241"/>
      <c r="AM426" s="27">
        <v>2</v>
      </c>
      <c r="AN426" s="28"/>
      <c r="AO426" s="241"/>
      <c r="AP426" s="27">
        <v>2</v>
      </c>
      <c r="AQ426" s="28"/>
      <c r="AR426" s="241"/>
      <c r="AS426" s="27"/>
      <c r="AT426" s="28"/>
      <c r="AU426" s="241"/>
      <c r="AV426" s="27"/>
      <c r="AW426" s="28"/>
      <c r="AX426" s="241"/>
      <c r="AY426" s="27"/>
      <c r="AZ426" s="28"/>
      <c r="BA426" s="241"/>
      <c r="BB426" s="27"/>
      <c r="BC426" s="28"/>
      <c r="BD426" s="241"/>
      <c r="BE426" s="27"/>
      <c r="BF426" s="28"/>
      <c r="BG426" s="241"/>
      <c r="BH426" s="27"/>
      <c r="BI426" s="28"/>
      <c r="BK426" s="449"/>
      <c r="BL426" s="449"/>
      <c r="BM426" s="449"/>
      <c r="BN426" s="449"/>
    </row>
    <row r="427" spans="1:66" s="29" customFormat="1" ht="14.4" hidden="1" customHeight="1" outlineLevel="2" x14ac:dyDescent="0.3">
      <c r="A427" s="204" t="s">
        <v>156</v>
      </c>
      <c r="B427" s="2"/>
      <c r="C427" s="60"/>
      <c r="D427" s="61"/>
      <c r="E427" s="206"/>
      <c r="F427" s="41"/>
      <c r="G427" s="56"/>
      <c r="H427" s="241"/>
      <c r="I427" s="27">
        <v>1</v>
      </c>
      <c r="J427" s="28"/>
      <c r="K427" s="241"/>
      <c r="L427" s="27">
        <v>0</v>
      </c>
      <c r="M427" s="28"/>
      <c r="N427" s="241"/>
      <c r="O427" s="27">
        <v>0</v>
      </c>
      <c r="P427" s="28"/>
      <c r="Q427" s="241"/>
      <c r="R427" s="27">
        <v>0</v>
      </c>
      <c r="S427" s="28"/>
      <c r="T427" s="241"/>
      <c r="U427" s="27">
        <v>0</v>
      </c>
      <c r="V427" s="28"/>
      <c r="W427" s="241"/>
      <c r="X427" s="27">
        <v>0</v>
      </c>
      <c r="Y427" s="28"/>
      <c r="Z427" s="241"/>
      <c r="AA427" s="27">
        <v>0</v>
      </c>
      <c r="AB427" s="28"/>
      <c r="AC427" s="241"/>
      <c r="AD427" s="27">
        <v>0</v>
      </c>
      <c r="AE427" s="28"/>
      <c r="AF427" s="241"/>
      <c r="AG427" s="27">
        <v>0</v>
      </c>
      <c r="AH427" s="28"/>
      <c r="AI427" s="241"/>
      <c r="AJ427" s="27">
        <v>0</v>
      </c>
      <c r="AK427" s="28"/>
      <c r="AL427" s="241"/>
      <c r="AM427" s="27">
        <v>0</v>
      </c>
      <c r="AN427" s="28"/>
      <c r="AO427" s="241"/>
      <c r="AP427" s="27">
        <v>0</v>
      </c>
      <c r="AQ427" s="28"/>
      <c r="AR427" s="241"/>
      <c r="AS427" s="27"/>
      <c r="AT427" s="28"/>
      <c r="AU427" s="241"/>
      <c r="AV427" s="27"/>
      <c r="AW427" s="28"/>
      <c r="AX427" s="241"/>
      <c r="AY427" s="27"/>
      <c r="AZ427" s="28"/>
      <c r="BA427" s="241"/>
      <c r="BB427" s="27"/>
      <c r="BC427" s="28"/>
      <c r="BD427" s="241"/>
      <c r="BE427" s="27"/>
      <c r="BF427" s="28"/>
      <c r="BG427" s="241"/>
      <c r="BH427" s="27"/>
      <c r="BI427" s="28"/>
      <c r="BK427" s="449"/>
      <c r="BL427" s="449"/>
      <c r="BM427" s="449"/>
      <c r="BN427" s="449"/>
    </row>
    <row r="428" spans="1:66" s="29" customFormat="1" ht="14.4" hidden="1" customHeight="1" outlineLevel="2" x14ac:dyDescent="0.3">
      <c r="A428" s="204" t="s">
        <v>157</v>
      </c>
      <c r="B428" s="2"/>
      <c r="C428" s="60"/>
      <c r="D428" s="61"/>
      <c r="E428" s="206"/>
      <c r="F428" s="41"/>
      <c r="G428" s="56"/>
      <c r="H428" s="241"/>
      <c r="I428" s="27">
        <v>0</v>
      </c>
      <c r="J428" s="28"/>
      <c r="K428" s="241"/>
      <c r="L428" s="27">
        <v>1</v>
      </c>
      <c r="M428" s="28"/>
      <c r="N428" s="241"/>
      <c r="O428" s="27">
        <v>1</v>
      </c>
      <c r="P428" s="28"/>
      <c r="Q428" s="241"/>
      <c r="R428" s="27">
        <v>1</v>
      </c>
      <c r="S428" s="28"/>
      <c r="T428" s="241"/>
      <c r="U428" s="27">
        <v>1</v>
      </c>
      <c r="V428" s="28"/>
      <c r="W428" s="241"/>
      <c r="X428" s="27">
        <v>1</v>
      </c>
      <c r="Y428" s="28"/>
      <c r="Z428" s="241"/>
      <c r="AA428" s="27">
        <v>1</v>
      </c>
      <c r="AB428" s="28"/>
      <c r="AC428" s="241"/>
      <c r="AD428" s="27">
        <v>1</v>
      </c>
      <c r="AE428" s="28"/>
      <c r="AF428" s="241"/>
      <c r="AG428" s="27">
        <v>1</v>
      </c>
      <c r="AH428" s="28"/>
      <c r="AI428" s="241"/>
      <c r="AJ428" s="27">
        <v>1</v>
      </c>
      <c r="AK428" s="28"/>
      <c r="AL428" s="241"/>
      <c r="AM428" s="27">
        <v>1</v>
      </c>
      <c r="AN428" s="28"/>
      <c r="AO428" s="241"/>
      <c r="AP428" s="27">
        <v>1</v>
      </c>
      <c r="AQ428" s="28"/>
      <c r="AR428" s="241"/>
      <c r="AS428" s="27"/>
      <c r="AT428" s="28"/>
      <c r="AU428" s="241"/>
      <c r="AV428" s="27"/>
      <c r="AW428" s="28"/>
      <c r="AX428" s="241"/>
      <c r="AY428" s="27"/>
      <c r="AZ428" s="28"/>
      <c r="BA428" s="241"/>
      <c r="BB428" s="27"/>
      <c r="BC428" s="28"/>
      <c r="BD428" s="241"/>
      <c r="BE428" s="27"/>
      <c r="BF428" s="28"/>
      <c r="BG428" s="241"/>
      <c r="BH428" s="27"/>
      <c r="BI428" s="28"/>
      <c r="BK428" s="449"/>
      <c r="BL428" s="449"/>
      <c r="BM428" s="449"/>
      <c r="BN428" s="449"/>
    </row>
    <row r="429" spans="1:66" s="29" customFormat="1" ht="14.4" hidden="1" customHeight="1" outlineLevel="2" x14ac:dyDescent="0.3">
      <c r="A429" s="204" t="s">
        <v>158</v>
      </c>
      <c r="B429" s="2"/>
      <c r="C429" s="60"/>
      <c r="D429" s="61"/>
      <c r="E429" s="206"/>
      <c r="F429" s="41"/>
      <c r="G429" s="56"/>
      <c r="H429" s="241"/>
      <c r="I429" s="27">
        <v>0</v>
      </c>
      <c r="J429" s="28"/>
      <c r="K429" s="241"/>
      <c r="L429" s="27">
        <v>0</v>
      </c>
      <c r="M429" s="28"/>
      <c r="N429" s="241"/>
      <c r="O429" s="27">
        <v>0</v>
      </c>
      <c r="P429" s="28"/>
      <c r="Q429" s="241"/>
      <c r="R429" s="27">
        <v>0</v>
      </c>
      <c r="S429" s="28"/>
      <c r="T429" s="241"/>
      <c r="U429" s="27">
        <v>0</v>
      </c>
      <c r="V429" s="28"/>
      <c r="W429" s="241"/>
      <c r="X429" s="27">
        <v>0</v>
      </c>
      <c r="Y429" s="28"/>
      <c r="Z429" s="241"/>
      <c r="AA429" s="27">
        <v>0</v>
      </c>
      <c r="AB429" s="28"/>
      <c r="AC429" s="241"/>
      <c r="AD429" s="27">
        <v>0</v>
      </c>
      <c r="AE429" s="28"/>
      <c r="AF429" s="241"/>
      <c r="AG429" s="27">
        <v>0</v>
      </c>
      <c r="AH429" s="28"/>
      <c r="AI429" s="241"/>
      <c r="AJ429" s="27">
        <v>0</v>
      </c>
      <c r="AK429" s="28"/>
      <c r="AL429" s="241"/>
      <c r="AM429" s="27">
        <v>0</v>
      </c>
      <c r="AN429" s="28"/>
      <c r="AO429" s="241"/>
      <c r="AP429" s="27">
        <v>0</v>
      </c>
      <c r="AQ429" s="28"/>
      <c r="AR429" s="241"/>
      <c r="AS429" s="27"/>
      <c r="AT429" s="28"/>
      <c r="AU429" s="241"/>
      <c r="AV429" s="27"/>
      <c r="AW429" s="28"/>
      <c r="AX429" s="241"/>
      <c r="AY429" s="27"/>
      <c r="AZ429" s="28"/>
      <c r="BA429" s="241"/>
      <c r="BB429" s="27"/>
      <c r="BC429" s="28"/>
      <c r="BD429" s="241"/>
      <c r="BE429" s="27"/>
      <c r="BF429" s="28"/>
      <c r="BG429" s="241"/>
      <c r="BH429" s="27"/>
      <c r="BI429" s="28"/>
      <c r="BK429" s="449"/>
      <c r="BL429" s="449"/>
      <c r="BM429" s="449"/>
      <c r="BN429" s="449"/>
    </row>
    <row r="430" spans="1:66" s="29" customFormat="1" ht="14.4" hidden="1" customHeight="1" outlineLevel="2" x14ac:dyDescent="0.3">
      <c r="A430" s="204" t="s">
        <v>159</v>
      </c>
      <c r="B430" s="2"/>
      <c r="C430" s="60"/>
      <c r="D430" s="61"/>
      <c r="E430" s="206"/>
      <c r="F430" s="41"/>
      <c r="G430" s="56"/>
      <c r="H430" s="241"/>
      <c r="I430" s="27">
        <v>0</v>
      </c>
      <c r="J430" s="28"/>
      <c r="K430" s="241"/>
      <c r="L430" s="27">
        <v>0</v>
      </c>
      <c r="M430" s="28"/>
      <c r="N430" s="241"/>
      <c r="O430" s="27">
        <v>0</v>
      </c>
      <c r="P430" s="28"/>
      <c r="Q430" s="241"/>
      <c r="R430" s="27">
        <v>0</v>
      </c>
      <c r="S430" s="28"/>
      <c r="T430" s="241"/>
      <c r="U430" s="27">
        <v>0</v>
      </c>
      <c r="V430" s="28"/>
      <c r="W430" s="241"/>
      <c r="X430" s="27">
        <v>0</v>
      </c>
      <c r="Y430" s="28"/>
      <c r="Z430" s="241"/>
      <c r="AA430" s="27">
        <v>0</v>
      </c>
      <c r="AB430" s="28"/>
      <c r="AC430" s="241"/>
      <c r="AD430" s="27">
        <v>0</v>
      </c>
      <c r="AE430" s="28"/>
      <c r="AF430" s="241"/>
      <c r="AG430" s="27">
        <v>0</v>
      </c>
      <c r="AH430" s="28"/>
      <c r="AI430" s="241"/>
      <c r="AJ430" s="27">
        <v>0</v>
      </c>
      <c r="AK430" s="28"/>
      <c r="AL430" s="241"/>
      <c r="AM430" s="27">
        <v>0</v>
      </c>
      <c r="AN430" s="28"/>
      <c r="AO430" s="241"/>
      <c r="AP430" s="27">
        <v>0</v>
      </c>
      <c r="AQ430" s="28"/>
      <c r="AR430" s="241"/>
      <c r="AS430" s="27"/>
      <c r="AT430" s="28"/>
      <c r="AU430" s="241"/>
      <c r="AV430" s="27"/>
      <c r="AW430" s="28"/>
      <c r="AX430" s="241"/>
      <c r="AY430" s="27"/>
      <c r="AZ430" s="28"/>
      <c r="BA430" s="241"/>
      <c r="BB430" s="27"/>
      <c r="BC430" s="28"/>
      <c r="BD430" s="241"/>
      <c r="BE430" s="27"/>
      <c r="BF430" s="28"/>
      <c r="BG430" s="241"/>
      <c r="BH430" s="27"/>
      <c r="BI430" s="28"/>
      <c r="BK430" s="449"/>
      <c r="BL430" s="449"/>
      <c r="BM430" s="449"/>
      <c r="BN430" s="449"/>
    </row>
    <row r="431" spans="1:66" s="29" customFormat="1" ht="14.4" hidden="1" customHeight="1" outlineLevel="2" x14ac:dyDescent="0.3">
      <c r="A431" s="204" t="s">
        <v>160</v>
      </c>
      <c r="B431" s="2"/>
      <c r="C431" s="60"/>
      <c r="D431" s="61"/>
      <c r="E431" s="206"/>
      <c r="F431" s="41"/>
      <c r="G431" s="56"/>
      <c r="H431" s="241"/>
      <c r="I431" s="27">
        <v>0</v>
      </c>
      <c r="J431" s="28"/>
      <c r="K431" s="241"/>
      <c r="L431" s="27">
        <v>0</v>
      </c>
      <c r="M431" s="28"/>
      <c r="N431" s="241"/>
      <c r="O431" s="27">
        <v>0</v>
      </c>
      <c r="P431" s="28"/>
      <c r="Q431" s="241"/>
      <c r="R431" s="27">
        <v>0</v>
      </c>
      <c r="S431" s="28"/>
      <c r="T431" s="241"/>
      <c r="U431" s="27">
        <v>0</v>
      </c>
      <c r="V431" s="28"/>
      <c r="W431" s="241"/>
      <c r="X431" s="27">
        <v>0</v>
      </c>
      <c r="Y431" s="28"/>
      <c r="Z431" s="241"/>
      <c r="AA431" s="27">
        <v>0</v>
      </c>
      <c r="AB431" s="28"/>
      <c r="AC431" s="241"/>
      <c r="AD431" s="27">
        <v>0</v>
      </c>
      <c r="AE431" s="28"/>
      <c r="AF431" s="241"/>
      <c r="AG431" s="27">
        <v>0</v>
      </c>
      <c r="AH431" s="28"/>
      <c r="AI431" s="241"/>
      <c r="AJ431" s="27">
        <v>0</v>
      </c>
      <c r="AK431" s="28"/>
      <c r="AL431" s="241"/>
      <c r="AM431" s="27">
        <v>0</v>
      </c>
      <c r="AN431" s="28"/>
      <c r="AO431" s="241"/>
      <c r="AP431" s="27">
        <v>0</v>
      </c>
      <c r="AQ431" s="28"/>
      <c r="AR431" s="241"/>
      <c r="AS431" s="27"/>
      <c r="AT431" s="28"/>
      <c r="AU431" s="241"/>
      <c r="AV431" s="27"/>
      <c r="AW431" s="28"/>
      <c r="AX431" s="241"/>
      <c r="AY431" s="27"/>
      <c r="AZ431" s="28"/>
      <c r="BA431" s="241"/>
      <c r="BB431" s="27"/>
      <c r="BC431" s="28"/>
      <c r="BD431" s="241"/>
      <c r="BE431" s="27"/>
      <c r="BF431" s="28"/>
      <c r="BG431" s="241"/>
      <c r="BH431" s="27"/>
      <c r="BI431" s="28"/>
      <c r="BK431" s="449"/>
      <c r="BL431" s="449"/>
      <c r="BM431" s="449"/>
      <c r="BN431" s="449"/>
    </row>
    <row r="432" spans="1:66" s="29" customFormat="1" ht="14.4" hidden="1" customHeight="1" outlineLevel="2" x14ac:dyDescent="0.3">
      <c r="A432" s="204" t="s">
        <v>161</v>
      </c>
      <c r="B432" s="2"/>
      <c r="C432" s="60"/>
      <c r="D432" s="61"/>
      <c r="E432" s="206"/>
      <c r="F432" s="41"/>
      <c r="G432" s="56"/>
      <c r="H432" s="241"/>
      <c r="I432" s="27">
        <v>0</v>
      </c>
      <c r="J432" s="28"/>
      <c r="K432" s="241"/>
      <c r="L432" s="27">
        <v>0</v>
      </c>
      <c r="M432" s="28"/>
      <c r="N432" s="241"/>
      <c r="O432" s="27">
        <v>0</v>
      </c>
      <c r="P432" s="28"/>
      <c r="Q432" s="241"/>
      <c r="R432" s="27">
        <v>0</v>
      </c>
      <c r="S432" s="28"/>
      <c r="T432" s="241"/>
      <c r="U432" s="27">
        <v>0</v>
      </c>
      <c r="V432" s="28"/>
      <c r="W432" s="241"/>
      <c r="X432" s="27">
        <v>0</v>
      </c>
      <c r="Y432" s="28"/>
      <c r="Z432" s="241"/>
      <c r="AA432" s="27">
        <v>0</v>
      </c>
      <c r="AB432" s="28"/>
      <c r="AC432" s="241"/>
      <c r="AD432" s="27">
        <v>0</v>
      </c>
      <c r="AE432" s="28"/>
      <c r="AF432" s="241"/>
      <c r="AG432" s="27">
        <v>0</v>
      </c>
      <c r="AH432" s="28"/>
      <c r="AI432" s="241"/>
      <c r="AJ432" s="27">
        <v>0</v>
      </c>
      <c r="AK432" s="28"/>
      <c r="AL432" s="241"/>
      <c r="AM432" s="27">
        <v>0</v>
      </c>
      <c r="AN432" s="28"/>
      <c r="AO432" s="241"/>
      <c r="AP432" s="27">
        <v>0</v>
      </c>
      <c r="AQ432" s="28"/>
      <c r="AR432" s="241"/>
      <c r="AS432" s="27"/>
      <c r="AT432" s="28"/>
      <c r="AU432" s="241"/>
      <c r="AV432" s="27"/>
      <c r="AW432" s="28"/>
      <c r="AX432" s="241"/>
      <c r="AY432" s="27"/>
      <c r="AZ432" s="28"/>
      <c r="BA432" s="241"/>
      <c r="BB432" s="27"/>
      <c r="BC432" s="28"/>
      <c r="BD432" s="241"/>
      <c r="BE432" s="27"/>
      <c r="BF432" s="28"/>
      <c r="BG432" s="241"/>
      <c r="BH432" s="27"/>
      <c r="BI432" s="28"/>
      <c r="BK432" s="449"/>
      <c r="BL432" s="449"/>
      <c r="BM432" s="449"/>
      <c r="BN432" s="449"/>
    </row>
    <row r="433" spans="1:66" s="29" customFormat="1" ht="14.4" hidden="1" customHeight="1" outlineLevel="2" x14ac:dyDescent="0.3">
      <c r="A433" s="204" t="s">
        <v>162</v>
      </c>
      <c r="B433" s="2"/>
      <c r="C433" s="60"/>
      <c r="D433" s="61"/>
      <c r="E433" s="206"/>
      <c r="F433" s="41"/>
      <c r="G433" s="56"/>
      <c r="H433" s="241"/>
      <c r="I433" s="27">
        <v>0</v>
      </c>
      <c r="J433" s="28"/>
      <c r="K433" s="241"/>
      <c r="L433" s="27">
        <v>0</v>
      </c>
      <c r="M433" s="28"/>
      <c r="N433" s="241"/>
      <c r="O433" s="27">
        <v>0</v>
      </c>
      <c r="P433" s="28"/>
      <c r="Q433" s="241"/>
      <c r="R433" s="27">
        <v>0</v>
      </c>
      <c r="S433" s="28"/>
      <c r="T433" s="241"/>
      <c r="U433" s="27">
        <v>0</v>
      </c>
      <c r="V433" s="28"/>
      <c r="W433" s="241"/>
      <c r="X433" s="27">
        <v>0</v>
      </c>
      <c r="Y433" s="28"/>
      <c r="Z433" s="241"/>
      <c r="AA433" s="27">
        <v>0</v>
      </c>
      <c r="AB433" s="28"/>
      <c r="AC433" s="241"/>
      <c r="AD433" s="27">
        <v>0</v>
      </c>
      <c r="AE433" s="28"/>
      <c r="AF433" s="241"/>
      <c r="AG433" s="27">
        <v>0</v>
      </c>
      <c r="AH433" s="28"/>
      <c r="AI433" s="241"/>
      <c r="AJ433" s="27">
        <v>0</v>
      </c>
      <c r="AK433" s="28"/>
      <c r="AL433" s="241"/>
      <c r="AM433" s="27">
        <v>0</v>
      </c>
      <c r="AN433" s="28"/>
      <c r="AO433" s="241"/>
      <c r="AP433" s="27">
        <v>0</v>
      </c>
      <c r="AQ433" s="28"/>
      <c r="AR433" s="241"/>
      <c r="AS433" s="27"/>
      <c r="AT433" s="28"/>
      <c r="AU433" s="241"/>
      <c r="AV433" s="27"/>
      <c r="AW433" s="28"/>
      <c r="AX433" s="241"/>
      <c r="AY433" s="27"/>
      <c r="AZ433" s="28"/>
      <c r="BA433" s="241"/>
      <c r="BB433" s="27"/>
      <c r="BC433" s="28"/>
      <c r="BD433" s="241"/>
      <c r="BE433" s="27"/>
      <c r="BF433" s="28"/>
      <c r="BG433" s="241"/>
      <c r="BH433" s="27"/>
      <c r="BI433" s="28"/>
      <c r="BK433" s="449"/>
      <c r="BL433" s="449"/>
      <c r="BM433" s="449"/>
      <c r="BN433" s="449"/>
    </row>
    <row r="434" spans="1:66" s="29" customFormat="1" ht="14.4" hidden="1" customHeight="1" outlineLevel="2" x14ac:dyDescent="0.3">
      <c r="A434" s="204" t="s">
        <v>163</v>
      </c>
      <c r="B434" s="2"/>
      <c r="C434" s="60"/>
      <c r="D434" s="61"/>
      <c r="E434" s="206"/>
      <c r="F434" s="41"/>
      <c r="G434" s="56"/>
      <c r="H434" s="241"/>
      <c r="I434" s="27">
        <v>0</v>
      </c>
      <c r="J434" s="28"/>
      <c r="K434" s="241"/>
      <c r="L434" s="27">
        <v>0</v>
      </c>
      <c r="M434" s="28"/>
      <c r="N434" s="241"/>
      <c r="O434" s="27">
        <v>0</v>
      </c>
      <c r="P434" s="28"/>
      <c r="Q434" s="241"/>
      <c r="R434" s="27">
        <v>0</v>
      </c>
      <c r="S434" s="28"/>
      <c r="T434" s="241"/>
      <c r="U434" s="27">
        <v>0</v>
      </c>
      <c r="V434" s="28"/>
      <c r="W434" s="241"/>
      <c r="X434" s="27">
        <v>0</v>
      </c>
      <c r="Y434" s="28"/>
      <c r="Z434" s="241"/>
      <c r="AA434" s="27">
        <v>0</v>
      </c>
      <c r="AB434" s="28"/>
      <c r="AC434" s="241"/>
      <c r="AD434" s="27">
        <v>0</v>
      </c>
      <c r="AE434" s="28"/>
      <c r="AF434" s="241"/>
      <c r="AG434" s="27">
        <v>0</v>
      </c>
      <c r="AH434" s="28"/>
      <c r="AI434" s="241"/>
      <c r="AJ434" s="27">
        <v>0</v>
      </c>
      <c r="AK434" s="28"/>
      <c r="AL434" s="241"/>
      <c r="AM434" s="27">
        <v>0</v>
      </c>
      <c r="AN434" s="28"/>
      <c r="AO434" s="241"/>
      <c r="AP434" s="27">
        <v>0</v>
      </c>
      <c r="AQ434" s="28"/>
      <c r="AR434" s="241"/>
      <c r="AS434" s="27"/>
      <c r="AT434" s="28"/>
      <c r="AU434" s="241"/>
      <c r="AV434" s="27"/>
      <c r="AW434" s="28"/>
      <c r="AX434" s="241"/>
      <c r="AY434" s="27"/>
      <c r="AZ434" s="28"/>
      <c r="BA434" s="241"/>
      <c r="BB434" s="27"/>
      <c r="BC434" s="28"/>
      <c r="BD434" s="241"/>
      <c r="BE434" s="27"/>
      <c r="BF434" s="28"/>
      <c r="BG434" s="241"/>
      <c r="BH434" s="27"/>
      <c r="BI434" s="28"/>
      <c r="BK434" s="449"/>
      <c r="BL434" s="449"/>
      <c r="BM434" s="449"/>
      <c r="BN434" s="449"/>
    </row>
    <row r="435" spans="1:66" s="29" customFormat="1" ht="14.4" hidden="1" customHeight="1" outlineLevel="2" x14ac:dyDescent="0.3">
      <c r="A435" s="204" t="s">
        <v>164</v>
      </c>
      <c r="B435" s="2"/>
      <c r="C435" s="60"/>
      <c r="D435" s="61"/>
      <c r="E435" s="206"/>
      <c r="F435" s="41"/>
      <c r="G435" s="56"/>
      <c r="H435" s="241"/>
      <c r="I435" s="27">
        <v>4</v>
      </c>
      <c r="J435" s="28"/>
      <c r="K435" s="241"/>
      <c r="L435" s="27">
        <v>4</v>
      </c>
      <c r="M435" s="28"/>
      <c r="N435" s="241"/>
      <c r="O435" s="27">
        <v>4</v>
      </c>
      <c r="P435" s="28"/>
      <c r="Q435" s="241"/>
      <c r="R435" s="27">
        <v>4</v>
      </c>
      <c r="S435" s="28"/>
      <c r="T435" s="241"/>
      <c r="U435" s="27">
        <v>4</v>
      </c>
      <c r="V435" s="28"/>
      <c r="W435" s="241"/>
      <c r="X435" s="27">
        <v>4</v>
      </c>
      <c r="Y435" s="28"/>
      <c r="Z435" s="241"/>
      <c r="AA435" s="27">
        <v>4</v>
      </c>
      <c r="AB435" s="28"/>
      <c r="AC435" s="241"/>
      <c r="AD435" s="27">
        <v>4</v>
      </c>
      <c r="AE435" s="28"/>
      <c r="AF435" s="241"/>
      <c r="AG435" s="27">
        <v>4</v>
      </c>
      <c r="AH435" s="28"/>
      <c r="AI435" s="241"/>
      <c r="AJ435" s="27">
        <v>4</v>
      </c>
      <c r="AK435" s="28"/>
      <c r="AL435" s="241"/>
      <c r="AM435" s="27">
        <v>4</v>
      </c>
      <c r="AN435" s="28"/>
      <c r="AO435" s="241"/>
      <c r="AP435" s="27">
        <v>4</v>
      </c>
      <c r="AQ435" s="28"/>
      <c r="AR435" s="241"/>
      <c r="AS435" s="27"/>
      <c r="AT435" s="28"/>
      <c r="AU435" s="241"/>
      <c r="AV435" s="27"/>
      <c r="AW435" s="28"/>
      <c r="AX435" s="241"/>
      <c r="AY435" s="27"/>
      <c r="AZ435" s="28"/>
      <c r="BA435" s="241"/>
      <c r="BB435" s="27"/>
      <c r="BC435" s="28"/>
      <c r="BD435" s="241"/>
      <c r="BE435" s="27"/>
      <c r="BF435" s="28"/>
      <c r="BG435" s="241"/>
      <c r="BH435" s="27"/>
      <c r="BI435" s="28"/>
      <c r="BK435" s="449"/>
      <c r="BL435" s="449"/>
      <c r="BM435" s="449"/>
      <c r="BN435" s="449"/>
    </row>
    <row r="436" spans="1:66" s="29" customFormat="1" ht="14.4" hidden="1" customHeight="1" outlineLevel="2" x14ac:dyDescent="0.3">
      <c r="A436" s="204" t="s">
        <v>165</v>
      </c>
      <c r="B436" s="2"/>
      <c r="C436" s="60"/>
      <c r="D436" s="61"/>
      <c r="E436" s="206"/>
      <c r="F436" s="41"/>
      <c r="G436" s="56"/>
      <c r="H436" s="241"/>
      <c r="I436" s="27">
        <v>1</v>
      </c>
      <c r="J436" s="28"/>
      <c r="K436" s="241"/>
      <c r="L436" s="27">
        <v>1</v>
      </c>
      <c r="M436" s="28"/>
      <c r="N436" s="241"/>
      <c r="O436" s="27">
        <v>1</v>
      </c>
      <c r="P436" s="28"/>
      <c r="Q436" s="241"/>
      <c r="R436" s="27">
        <v>1</v>
      </c>
      <c r="S436" s="28"/>
      <c r="T436" s="241"/>
      <c r="U436" s="27">
        <v>1</v>
      </c>
      <c r="V436" s="28"/>
      <c r="W436" s="241"/>
      <c r="X436" s="27">
        <v>1</v>
      </c>
      <c r="Y436" s="28"/>
      <c r="Z436" s="241"/>
      <c r="AA436" s="27">
        <v>1</v>
      </c>
      <c r="AB436" s="28"/>
      <c r="AC436" s="241"/>
      <c r="AD436" s="27">
        <v>1</v>
      </c>
      <c r="AE436" s="28"/>
      <c r="AF436" s="241"/>
      <c r="AG436" s="27">
        <v>1</v>
      </c>
      <c r="AH436" s="28"/>
      <c r="AI436" s="241"/>
      <c r="AJ436" s="27">
        <v>1</v>
      </c>
      <c r="AK436" s="28"/>
      <c r="AL436" s="241"/>
      <c r="AM436" s="27">
        <v>1</v>
      </c>
      <c r="AN436" s="28"/>
      <c r="AO436" s="241"/>
      <c r="AP436" s="27">
        <v>1</v>
      </c>
      <c r="AQ436" s="28"/>
      <c r="AR436" s="241"/>
      <c r="AS436" s="27"/>
      <c r="AT436" s="28"/>
      <c r="AU436" s="241"/>
      <c r="AV436" s="27"/>
      <c r="AW436" s="28"/>
      <c r="AX436" s="241"/>
      <c r="AY436" s="27"/>
      <c r="AZ436" s="28"/>
      <c r="BA436" s="241"/>
      <c r="BB436" s="27"/>
      <c r="BC436" s="28"/>
      <c r="BD436" s="241"/>
      <c r="BE436" s="27"/>
      <c r="BF436" s="28"/>
      <c r="BG436" s="241"/>
      <c r="BH436" s="27"/>
      <c r="BI436" s="28"/>
      <c r="BK436" s="449"/>
      <c r="BL436" s="449"/>
      <c r="BM436" s="449"/>
      <c r="BN436" s="449"/>
    </row>
    <row r="437" spans="1:66" s="29" customFormat="1" ht="14.4" hidden="1" customHeight="1" outlineLevel="2" x14ac:dyDescent="0.3">
      <c r="A437" s="204" t="s">
        <v>166</v>
      </c>
      <c r="B437" s="2"/>
      <c r="C437" s="60"/>
      <c r="D437" s="61"/>
      <c r="E437" s="206"/>
      <c r="F437" s="41"/>
      <c r="G437" s="56"/>
      <c r="H437" s="241"/>
      <c r="I437" s="27">
        <v>1</v>
      </c>
      <c r="J437" s="28"/>
      <c r="K437" s="241"/>
      <c r="L437" s="27">
        <v>1</v>
      </c>
      <c r="M437" s="28"/>
      <c r="N437" s="241"/>
      <c r="O437" s="27">
        <v>1</v>
      </c>
      <c r="P437" s="28"/>
      <c r="Q437" s="241"/>
      <c r="R437" s="27">
        <v>1</v>
      </c>
      <c r="S437" s="28"/>
      <c r="T437" s="241"/>
      <c r="U437" s="27">
        <v>1</v>
      </c>
      <c r="V437" s="28"/>
      <c r="W437" s="241"/>
      <c r="X437" s="27">
        <v>1</v>
      </c>
      <c r="Y437" s="28"/>
      <c r="Z437" s="241"/>
      <c r="AA437" s="27">
        <v>1</v>
      </c>
      <c r="AB437" s="28"/>
      <c r="AC437" s="241"/>
      <c r="AD437" s="27">
        <v>1</v>
      </c>
      <c r="AE437" s="28"/>
      <c r="AF437" s="241"/>
      <c r="AG437" s="27">
        <v>1</v>
      </c>
      <c r="AH437" s="28"/>
      <c r="AI437" s="241"/>
      <c r="AJ437" s="27">
        <v>1</v>
      </c>
      <c r="AK437" s="28"/>
      <c r="AL437" s="241"/>
      <c r="AM437" s="27">
        <v>1</v>
      </c>
      <c r="AN437" s="28"/>
      <c r="AO437" s="241"/>
      <c r="AP437" s="27">
        <v>1</v>
      </c>
      <c r="AQ437" s="28"/>
      <c r="AR437" s="241"/>
      <c r="AS437" s="27"/>
      <c r="AT437" s="28"/>
      <c r="AU437" s="241"/>
      <c r="AV437" s="27"/>
      <c r="AW437" s="28"/>
      <c r="AX437" s="241"/>
      <c r="AY437" s="27"/>
      <c r="AZ437" s="28"/>
      <c r="BA437" s="241"/>
      <c r="BB437" s="27"/>
      <c r="BC437" s="28"/>
      <c r="BD437" s="241"/>
      <c r="BE437" s="27"/>
      <c r="BF437" s="28"/>
      <c r="BG437" s="241"/>
      <c r="BH437" s="27"/>
      <c r="BI437" s="28"/>
      <c r="BK437" s="449"/>
      <c r="BL437" s="449"/>
      <c r="BM437" s="449"/>
      <c r="BN437" s="449"/>
    </row>
    <row r="438" spans="1:66" s="29" customFormat="1" ht="14.4" hidden="1" customHeight="1" outlineLevel="2" x14ac:dyDescent="0.3">
      <c r="A438" s="204" t="s">
        <v>167</v>
      </c>
      <c r="B438" s="2"/>
      <c r="C438" s="60"/>
      <c r="D438" s="61"/>
      <c r="E438" s="206"/>
      <c r="F438" s="41"/>
      <c r="G438" s="56"/>
      <c r="H438" s="241"/>
      <c r="I438" s="27">
        <v>0</v>
      </c>
      <c r="J438" s="28"/>
      <c r="K438" s="241"/>
      <c r="L438" s="27">
        <v>0</v>
      </c>
      <c r="M438" s="28"/>
      <c r="N438" s="241"/>
      <c r="O438" s="27">
        <v>0</v>
      </c>
      <c r="P438" s="28"/>
      <c r="Q438" s="241"/>
      <c r="R438" s="27">
        <v>0</v>
      </c>
      <c r="S438" s="28"/>
      <c r="T438" s="241"/>
      <c r="U438" s="27">
        <v>0</v>
      </c>
      <c r="V438" s="28"/>
      <c r="W438" s="241"/>
      <c r="X438" s="27">
        <v>0</v>
      </c>
      <c r="Y438" s="28"/>
      <c r="Z438" s="241"/>
      <c r="AA438" s="27">
        <v>0</v>
      </c>
      <c r="AB438" s="28"/>
      <c r="AC438" s="241"/>
      <c r="AD438" s="27">
        <v>0</v>
      </c>
      <c r="AE438" s="28"/>
      <c r="AF438" s="241"/>
      <c r="AG438" s="27">
        <v>0</v>
      </c>
      <c r="AH438" s="28"/>
      <c r="AI438" s="241"/>
      <c r="AJ438" s="27">
        <v>0</v>
      </c>
      <c r="AK438" s="28"/>
      <c r="AL438" s="241"/>
      <c r="AM438" s="27">
        <v>0</v>
      </c>
      <c r="AN438" s="28"/>
      <c r="AO438" s="241"/>
      <c r="AP438" s="27">
        <v>0</v>
      </c>
      <c r="AQ438" s="28"/>
      <c r="AR438" s="241"/>
      <c r="AS438" s="27"/>
      <c r="AT438" s="28"/>
      <c r="AU438" s="241"/>
      <c r="AV438" s="27"/>
      <c r="AW438" s="28"/>
      <c r="AX438" s="241"/>
      <c r="AY438" s="27"/>
      <c r="AZ438" s="28"/>
      <c r="BA438" s="241"/>
      <c r="BB438" s="27"/>
      <c r="BC438" s="28"/>
      <c r="BD438" s="241"/>
      <c r="BE438" s="27"/>
      <c r="BF438" s="28"/>
      <c r="BG438" s="241"/>
      <c r="BH438" s="27"/>
      <c r="BI438" s="28"/>
      <c r="BK438" s="449"/>
      <c r="BL438" s="449"/>
      <c r="BM438" s="449"/>
      <c r="BN438" s="449"/>
    </row>
    <row r="439" spans="1:66" s="29" customFormat="1" ht="14.4" hidden="1" customHeight="1" outlineLevel="2" x14ac:dyDescent="0.3">
      <c r="A439" s="204" t="s">
        <v>168</v>
      </c>
      <c r="B439" s="2"/>
      <c r="C439" s="60"/>
      <c r="D439" s="61"/>
      <c r="E439" s="206"/>
      <c r="F439" s="41"/>
      <c r="G439" s="56"/>
      <c r="H439" s="241"/>
      <c r="I439" s="27">
        <v>0</v>
      </c>
      <c r="J439" s="28"/>
      <c r="K439" s="241"/>
      <c r="L439" s="27">
        <v>0</v>
      </c>
      <c r="M439" s="28"/>
      <c r="N439" s="241"/>
      <c r="O439" s="27">
        <v>0</v>
      </c>
      <c r="P439" s="28"/>
      <c r="Q439" s="241"/>
      <c r="R439" s="27">
        <v>0</v>
      </c>
      <c r="S439" s="28"/>
      <c r="T439" s="241"/>
      <c r="U439" s="27">
        <v>0</v>
      </c>
      <c r="V439" s="28"/>
      <c r="W439" s="241"/>
      <c r="X439" s="27">
        <v>0</v>
      </c>
      <c r="Y439" s="28"/>
      <c r="Z439" s="241"/>
      <c r="AA439" s="27">
        <v>0</v>
      </c>
      <c r="AB439" s="28"/>
      <c r="AC439" s="241"/>
      <c r="AD439" s="27">
        <v>0</v>
      </c>
      <c r="AE439" s="28"/>
      <c r="AF439" s="241"/>
      <c r="AG439" s="27">
        <v>0</v>
      </c>
      <c r="AH439" s="28"/>
      <c r="AI439" s="241"/>
      <c r="AJ439" s="27">
        <v>0</v>
      </c>
      <c r="AK439" s="28"/>
      <c r="AL439" s="241"/>
      <c r="AM439" s="27">
        <v>0</v>
      </c>
      <c r="AN439" s="28"/>
      <c r="AO439" s="241"/>
      <c r="AP439" s="27">
        <v>0</v>
      </c>
      <c r="AQ439" s="28"/>
      <c r="AR439" s="241"/>
      <c r="AS439" s="27"/>
      <c r="AT439" s="28"/>
      <c r="AU439" s="241"/>
      <c r="AV439" s="27"/>
      <c r="AW439" s="28"/>
      <c r="AX439" s="241"/>
      <c r="AY439" s="27"/>
      <c r="AZ439" s="28"/>
      <c r="BA439" s="241"/>
      <c r="BB439" s="27"/>
      <c r="BC439" s="28"/>
      <c r="BD439" s="241"/>
      <c r="BE439" s="27"/>
      <c r="BF439" s="28"/>
      <c r="BG439" s="241"/>
      <c r="BH439" s="27"/>
      <c r="BI439" s="28"/>
      <c r="BK439" s="449"/>
      <c r="BL439" s="449"/>
      <c r="BM439" s="449"/>
      <c r="BN439" s="449"/>
    </row>
    <row r="440" spans="1:66" s="29" customFormat="1" ht="14.4" hidden="1" customHeight="1" outlineLevel="2" x14ac:dyDescent="0.3">
      <c r="A440" s="204" t="s">
        <v>169</v>
      </c>
      <c r="B440" s="2"/>
      <c r="C440" s="60"/>
      <c r="D440" s="61"/>
      <c r="E440" s="206"/>
      <c r="F440" s="41"/>
      <c r="G440" s="56"/>
      <c r="H440" s="241"/>
      <c r="I440" s="27">
        <v>0</v>
      </c>
      <c r="J440" s="28"/>
      <c r="K440" s="241"/>
      <c r="L440" s="27">
        <v>0</v>
      </c>
      <c r="M440" s="28"/>
      <c r="N440" s="241"/>
      <c r="O440" s="27">
        <v>0</v>
      </c>
      <c r="P440" s="28"/>
      <c r="Q440" s="241"/>
      <c r="R440" s="27">
        <v>0</v>
      </c>
      <c r="S440" s="28"/>
      <c r="T440" s="241"/>
      <c r="U440" s="27">
        <v>0</v>
      </c>
      <c r="V440" s="28"/>
      <c r="W440" s="241"/>
      <c r="X440" s="27">
        <v>0</v>
      </c>
      <c r="Y440" s="28"/>
      <c r="Z440" s="241"/>
      <c r="AA440" s="27">
        <v>0</v>
      </c>
      <c r="AB440" s="28"/>
      <c r="AC440" s="241"/>
      <c r="AD440" s="27">
        <v>0</v>
      </c>
      <c r="AE440" s="28"/>
      <c r="AF440" s="241"/>
      <c r="AG440" s="27">
        <v>0</v>
      </c>
      <c r="AH440" s="28"/>
      <c r="AI440" s="241"/>
      <c r="AJ440" s="27">
        <v>0</v>
      </c>
      <c r="AK440" s="28"/>
      <c r="AL440" s="241"/>
      <c r="AM440" s="27">
        <v>0</v>
      </c>
      <c r="AN440" s="28"/>
      <c r="AO440" s="241"/>
      <c r="AP440" s="27">
        <v>0</v>
      </c>
      <c r="AQ440" s="28"/>
      <c r="AR440" s="241"/>
      <c r="AS440" s="27"/>
      <c r="AT440" s="28"/>
      <c r="AU440" s="241"/>
      <c r="AV440" s="27"/>
      <c r="AW440" s="28"/>
      <c r="AX440" s="241"/>
      <c r="AY440" s="27"/>
      <c r="AZ440" s="28"/>
      <c r="BA440" s="241"/>
      <c r="BB440" s="27"/>
      <c r="BC440" s="28"/>
      <c r="BD440" s="241"/>
      <c r="BE440" s="27"/>
      <c r="BF440" s="28"/>
      <c r="BG440" s="241"/>
      <c r="BH440" s="27"/>
      <c r="BI440" s="28"/>
      <c r="BK440" s="449"/>
      <c r="BL440" s="449"/>
      <c r="BM440" s="449"/>
      <c r="BN440" s="449"/>
    </row>
    <row r="441" spans="1:66" s="29" customFormat="1" ht="14.4" hidden="1" customHeight="1" outlineLevel="2" x14ac:dyDescent="0.3">
      <c r="A441" s="204" t="s">
        <v>170</v>
      </c>
      <c r="B441" s="2"/>
      <c r="C441" s="60"/>
      <c r="D441" s="61"/>
      <c r="E441" s="206"/>
      <c r="F441" s="41"/>
      <c r="G441" s="56"/>
      <c r="H441" s="241"/>
      <c r="I441" s="27">
        <v>0</v>
      </c>
      <c r="J441" s="28"/>
      <c r="K441" s="241"/>
      <c r="L441" s="27">
        <v>0</v>
      </c>
      <c r="M441" s="28"/>
      <c r="N441" s="241"/>
      <c r="O441" s="27">
        <v>0</v>
      </c>
      <c r="P441" s="28"/>
      <c r="Q441" s="241"/>
      <c r="R441" s="27">
        <v>0</v>
      </c>
      <c r="S441" s="28"/>
      <c r="T441" s="241"/>
      <c r="U441" s="27">
        <v>0</v>
      </c>
      <c r="V441" s="28"/>
      <c r="W441" s="241"/>
      <c r="X441" s="27">
        <v>0</v>
      </c>
      <c r="Y441" s="28"/>
      <c r="Z441" s="241"/>
      <c r="AA441" s="27">
        <v>0</v>
      </c>
      <c r="AB441" s="28"/>
      <c r="AC441" s="241"/>
      <c r="AD441" s="27">
        <v>0</v>
      </c>
      <c r="AE441" s="28"/>
      <c r="AF441" s="241"/>
      <c r="AG441" s="27">
        <v>0</v>
      </c>
      <c r="AH441" s="28"/>
      <c r="AI441" s="241"/>
      <c r="AJ441" s="27">
        <v>0</v>
      </c>
      <c r="AK441" s="28"/>
      <c r="AL441" s="241"/>
      <c r="AM441" s="27">
        <v>0</v>
      </c>
      <c r="AN441" s="28"/>
      <c r="AO441" s="241"/>
      <c r="AP441" s="27">
        <v>0</v>
      </c>
      <c r="AQ441" s="28"/>
      <c r="AR441" s="241"/>
      <c r="AS441" s="27"/>
      <c r="AT441" s="28"/>
      <c r="AU441" s="241"/>
      <c r="AV441" s="27"/>
      <c r="AW441" s="28"/>
      <c r="AX441" s="241"/>
      <c r="AY441" s="27"/>
      <c r="AZ441" s="28"/>
      <c r="BA441" s="241"/>
      <c r="BB441" s="27"/>
      <c r="BC441" s="28"/>
      <c r="BD441" s="241"/>
      <c r="BE441" s="27"/>
      <c r="BF441" s="28"/>
      <c r="BG441" s="241"/>
      <c r="BH441" s="27"/>
      <c r="BI441" s="28"/>
      <c r="BK441" s="449"/>
      <c r="BL441" s="449"/>
      <c r="BM441" s="449"/>
      <c r="BN441" s="449"/>
    </row>
    <row r="442" spans="1:66" s="29" customFormat="1" ht="14.4" hidden="1" customHeight="1" outlineLevel="2" x14ac:dyDescent="0.3">
      <c r="A442" s="204" t="s">
        <v>171</v>
      </c>
      <c r="B442" s="2"/>
      <c r="C442" s="60"/>
      <c r="D442" s="61"/>
      <c r="E442" s="206"/>
      <c r="F442" s="41"/>
      <c r="G442" s="56"/>
      <c r="H442" s="241"/>
      <c r="I442" s="27">
        <v>0</v>
      </c>
      <c r="J442" s="28"/>
      <c r="K442" s="241"/>
      <c r="L442" s="27">
        <v>0</v>
      </c>
      <c r="M442" s="28"/>
      <c r="N442" s="241"/>
      <c r="O442" s="27">
        <v>0</v>
      </c>
      <c r="P442" s="28"/>
      <c r="Q442" s="241"/>
      <c r="R442" s="27">
        <v>0</v>
      </c>
      <c r="S442" s="28"/>
      <c r="T442" s="241"/>
      <c r="U442" s="27">
        <v>0</v>
      </c>
      <c r="V442" s="28"/>
      <c r="W442" s="241"/>
      <c r="X442" s="27">
        <v>0</v>
      </c>
      <c r="Y442" s="28"/>
      <c r="Z442" s="241"/>
      <c r="AA442" s="27">
        <v>0</v>
      </c>
      <c r="AB442" s="28"/>
      <c r="AC442" s="241"/>
      <c r="AD442" s="27">
        <v>0</v>
      </c>
      <c r="AE442" s="28"/>
      <c r="AF442" s="241"/>
      <c r="AG442" s="27">
        <v>0</v>
      </c>
      <c r="AH442" s="28"/>
      <c r="AI442" s="241"/>
      <c r="AJ442" s="27">
        <v>0</v>
      </c>
      <c r="AK442" s="28"/>
      <c r="AL442" s="241"/>
      <c r="AM442" s="27">
        <v>0</v>
      </c>
      <c r="AN442" s="28"/>
      <c r="AO442" s="241"/>
      <c r="AP442" s="27">
        <v>0</v>
      </c>
      <c r="AQ442" s="28"/>
      <c r="AR442" s="241"/>
      <c r="AS442" s="27"/>
      <c r="AT442" s="28"/>
      <c r="AU442" s="241"/>
      <c r="AV442" s="27"/>
      <c r="AW442" s="28"/>
      <c r="AX442" s="241"/>
      <c r="AY442" s="27"/>
      <c r="AZ442" s="28"/>
      <c r="BA442" s="241"/>
      <c r="BB442" s="27"/>
      <c r="BC442" s="28"/>
      <c r="BD442" s="241"/>
      <c r="BE442" s="27"/>
      <c r="BF442" s="28"/>
      <c r="BG442" s="241"/>
      <c r="BH442" s="27"/>
      <c r="BI442" s="28"/>
      <c r="BK442" s="449"/>
      <c r="BL442" s="449"/>
      <c r="BM442" s="449"/>
      <c r="BN442" s="449"/>
    </row>
    <row r="443" spans="1:66" s="29" customFormat="1" ht="14.4" hidden="1" customHeight="1" outlineLevel="2" x14ac:dyDescent="0.3">
      <c r="A443" s="204" t="s">
        <v>172</v>
      </c>
      <c r="B443" s="2"/>
      <c r="C443" s="60"/>
      <c r="D443" s="61"/>
      <c r="E443" s="206"/>
      <c r="F443" s="41"/>
      <c r="G443" s="56"/>
      <c r="H443" s="241"/>
      <c r="I443" s="27">
        <v>0</v>
      </c>
      <c r="J443" s="28"/>
      <c r="K443" s="241"/>
      <c r="L443" s="27">
        <v>0</v>
      </c>
      <c r="M443" s="28"/>
      <c r="N443" s="241"/>
      <c r="O443" s="27">
        <v>0</v>
      </c>
      <c r="P443" s="28"/>
      <c r="Q443" s="241"/>
      <c r="R443" s="27">
        <v>0</v>
      </c>
      <c r="S443" s="28"/>
      <c r="T443" s="241"/>
      <c r="U443" s="27">
        <v>0</v>
      </c>
      <c r="V443" s="28"/>
      <c r="W443" s="241"/>
      <c r="X443" s="27">
        <v>0</v>
      </c>
      <c r="Y443" s="28"/>
      <c r="Z443" s="241"/>
      <c r="AA443" s="27">
        <v>0</v>
      </c>
      <c r="AB443" s="28"/>
      <c r="AC443" s="241"/>
      <c r="AD443" s="27">
        <v>0</v>
      </c>
      <c r="AE443" s="28"/>
      <c r="AF443" s="241"/>
      <c r="AG443" s="27">
        <v>0</v>
      </c>
      <c r="AH443" s="28"/>
      <c r="AI443" s="241"/>
      <c r="AJ443" s="27">
        <v>0</v>
      </c>
      <c r="AK443" s="28"/>
      <c r="AL443" s="241"/>
      <c r="AM443" s="27">
        <v>0</v>
      </c>
      <c r="AN443" s="28"/>
      <c r="AO443" s="241"/>
      <c r="AP443" s="27">
        <v>0</v>
      </c>
      <c r="AQ443" s="28"/>
      <c r="AR443" s="241"/>
      <c r="AS443" s="27"/>
      <c r="AT443" s="28"/>
      <c r="AU443" s="241"/>
      <c r="AV443" s="27"/>
      <c r="AW443" s="28"/>
      <c r="AX443" s="241"/>
      <c r="AY443" s="27"/>
      <c r="AZ443" s="28"/>
      <c r="BA443" s="241"/>
      <c r="BB443" s="27"/>
      <c r="BC443" s="28"/>
      <c r="BD443" s="241"/>
      <c r="BE443" s="27"/>
      <c r="BF443" s="28"/>
      <c r="BG443" s="241"/>
      <c r="BH443" s="27"/>
      <c r="BI443" s="28"/>
      <c r="BK443" s="449"/>
      <c r="BL443" s="449"/>
      <c r="BM443" s="449"/>
      <c r="BN443" s="449"/>
    </row>
    <row r="444" spans="1:66" s="29" customFormat="1" ht="14.4" hidden="1" customHeight="1" outlineLevel="2" x14ac:dyDescent="0.3">
      <c r="A444" s="204" t="s">
        <v>173</v>
      </c>
      <c r="B444" s="2"/>
      <c r="C444" s="60"/>
      <c r="D444" s="61"/>
      <c r="E444" s="206"/>
      <c r="F444" s="41"/>
      <c r="G444" s="56"/>
      <c r="H444" s="241"/>
      <c r="I444" s="27">
        <v>1</v>
      </c>
      <c r="J444" s="28"/>
      <c r="K444" s="241"/>
      <c r="L444" s="27">
        <v>1</v>
      </c>
      <c r="M444" s="28"/>
      <c r="N444" s="241"/>
      <c r="O444" s="27">
        <v>1</v>
      </c>
      <c r="P444" s="28"/>
      <c r="Q444" s="241"/>
      <c r="R444" s="27">
        <v>1</v>
      </c>
      <c r="S444" s="28"/>
      <c r="T444" s="241"/>
      <c r="U444" s="27">
        <v>1</v>
      </c>
      <c r="V444" s="28"/>
      <c r="W444" s="241"/>
      <c r="X444" s="27">
        <v>1</v>
      </c>
      <c r="Y444" s="28"/>
      <c r="Z444" s="241"/>
      <c r="AA444" s="27">
        <v>1</v>
      </c>
      <c r="AB444" s="28"/>
      <c r="AC444" s="241"/>
      <c r="AD444" s="27">
        <v>1</v>
      </c>
      <c r="AE444" s="28"/>
      <c r="AF444" s="241"/>
      <c r="AG444" s="27">
        <v>1</v>
      </c>
      <c r="AH444" s="28"/>
      <c r="AI444" s="241"/>
      <c r="AJ444" s="27">
        <v>1</v>
      </c>
      <c r="AK444" s="28"/>
      <c r="AL444" s="241"/>
      <c r="AM444" s="27">
        <v>1</v>
      </c>
      <c r="AN444" s="28"/>
      <c r="AO444" s="241"/>
      <c r="AP444" s="27">
        <v>1</v>
      </c>
      <c r="AQ444" s="28"/>
      <c r="AR444" s="241"/>
      <c r="AS444" s="27"/>
      <c r="AT444" s="28"/>
      <c r="AU444" s="241"/>
      <c r="AV444" s="27"/>
      <c r="AW444" s="28"/>
      <c r="AX444" s="241"/>
      <c r="AY444" s="27"/>
      <c r="AZ444" s="28"/>
      <c r="BA444" s="241"/>
      <c r="BB444" s="27"/>
      <c r="BC444" s="28"/>
      <c r="BD444" s="241"/>
      <c r="BE444" s="27"/>
      <c r="BF444" s="28"/>
      <c r="BG444" s="241"/>
      <c r="BH444" s="27"/>
      <c r="BI444" s="28"/>
      <c r="BK444" s="449"/>
      <c r="BL444" s="449"/>
      <c r="BM444" s="449"/>
      <c r="BN444" s="449"/>
    </row>
    <row r="445" spans="1:66" s="29" customFormat="1" ht="14.4" hidden="1" customHeight="1" outlineLevel="2" x14ac:dyDescent="0.3">
      <c r="A445" s="204" t="s">
        <v>174</v>
      </c>
      <c r="B445" s="2"/>
      <c r="C445" s="60"/>
      <c r="D445" s="61"/>
      <c r="E445" s="206"/>
      <c r="F445" s="41"/>
      <c r="G445" s="56"/>
      <c r="H445" s="241"/>
      <c r="I445" s="27">
        <v>0</v>
      </c>
      <c r="J445" s="28"/>
      <c r="K445" s="241"/>
      <c r="L445" s="27">
        <v>0</v>
      </c>
      <c r="M445" s="28"/>
      <c r="N445" s="241"/>
      <c r="O445" s="27">
        <v>0</v>
      </c>
      <c r="P445" s="28"/>
      <c r="Q445" s="241"/>
      <c r="R445" s="27">
        <v>0</v>
      </c>
      <c r="S445" s="28"/>
      <c r="T445" s="241"/>
      <c r="U445" s="27">
        <v>0</v>
      </c>
      <c r="V445" s="28"/>
      <c r="W445" s="241"/>
      <c r="X445" s="27">
        <v>0</v>
      </c>
      <c r="Y445" s="28"/>
      <c r="Z445" s="241"/>
      <c r="AA445" s="27">
        <v>0</v>
      </c>
      <c r="AB445" s="28"/>
      <c r="AC445" s="241"/>
      <c r="AD445" s="27">
        <v>0</v>
      </c>
      <c r="AE445" s="28"/>
      <c r="AF445" s="241"/>
      <c r="AG445" s="27">
        <v>0</v>
      </c>
      <c r="AH445" s="28"/>
      <c r="AI445" s="241"/>
      <c r="AJ445" s="27">
        <v>0</v>
      </c>
      <c r="AK445" s="28"/>
      <c r="AL445" s="241"/>
      <c r="AM445" s="27">
        <v>0</v>
      </c>
      <c r="AN445" s="28"/>
      <c r="AO445" s="241"/>
      <c r="AP445" s="27">
        <v>0</v>
      </c>
      <c r="AQ445" s="28"/>
      <c r="AR445" s="241"/>
      <c r="AS445" s="27"/>
      <c r="AT445" s="28"/>
      <c r="AU445" s="241"/>
      <c r="AV445" s="27"/>
      <c r="AW445" s="28"/>
      <c r="AX445" s="241"/>
      <c r="AY445" s="27"/>
      <c r="AZ445" s="28"/>
      <c r="BA445" s="241"/>
      <c r="BB445" s="27"/>
      <c r="BC445" s="28"/>
      <c r="BD445" s="241"/>
      <c r="BE445" s="27"/>
      <c r="BF445" s="28"/>
      <c r="BG445" s="241"/>
      <c r="BH445" s="27"/>
      <c r="BI445" s="28"/>
      <c r="BK445" s="449"/>
      <c r="BL445" s="449"/>
      <c r="BM445" s="449"/>
      <c r="BN445" s="449"/>
    </row>
    <row r="446" spans="1:66" s="29" customFormat="1" ht="14.4" hidden="1" customHeight="1" outlineLevel="2" x14ac:dyDescent="0.3">
      <c r="A446" s="204" t="s">
        <v>175</v>
      </c>
      <c r="B446" s="2"/>
      <c r="C446" s="60"/>
      <c r="D446" s="61"/>
      <c r="E446" s="206"/>
      <c r="F446" s="41"/>
      <c r="G446" s="56"/>
      <c r="H446" s="241"/>
      <c r="I446" s="27">
        <v>0</v>
      </c>
      <c r="J446" s="28"/>
      <c r="K446" s="241"/>
      <c r="L446" s="27">
        <v>0</v>
      </c>
      <c r="M446" s="28"/>
      <c r="N446" s="241"/>
      <c r="O446" s="27">
        <v>0</v>
      </c>
      <c r="P446" s="28"/>
      <c r="Q446" s="241"/>
      <c r="R446" s="27">
        <v>0</v>
      </c>
      <c r="S446" s="28"/>
      <c r="T446" s="241"/>
      <c r="U446" s="27">
        <v>0</v>
      </c>
      <c r="V446" s="28"/>
      <c r="W446" s="241"/>
      <c r="X446" s="27">
        <v>0</v>
      </c>
      <c r="Y446" s="28"/>
      <c r="Z446" s="241"/>
      <c r="AA446" s="27">
        <v>0</v>
      </c>
      <c r="AB446" s="28"/>
      <c r="AC446" s="241"/>
      <c r="AD446" s="27">
        <v>0</v>
      </c>
      <c r="AE446" s="28"/>
      <c r="AF446" s="241"/>
      <c r="AG446" s="27">
        <v>0</v>
      </c>
      <c r="AH446" s="28"/>
      <c r="AI446" s="241"/>
      <c r="AJ446" s="27">
        <v>0</v>
      </c>
      <c r="AK446" s="28"/>
      <c r="AL446" s="241"/>
      <c r="AM446" s="27">
        <v>0</v>
      </c>
      <c r="AN446" s="28"/>
      <c r="AO446" s="241"/>
      <c r="AP446" s="27">
        <v>0</v>
      </c>
      <c r="AQ446" s="28"/>
      <c r="AR446" s="241"/>
      <c r="AS446" s="27"/>
      <c r="AT446" s="28"/>
      <c r="AU446" s="241"/>
      <c r="AV446" s="27"/>
      <c r="AW446" s="28"/>
      <c r="AX446" s="241"/>
      <c r="AY446" s="27"/>
      <c r="AZ446" s="28"/>
      <c r="BA446" s="241"/>
      <c r="BB446" s="27"/>
      <c r="BC446" s="28"/>
      <c r="BD446" s="241"/>
      <c r="BE446" s="27"/>
      <c r="BF446" s="28"/>
      <c r="BG446" s="241"/>
      <c r="BH446" s="27"/>
      <c r="BI446" s="28"/>
      <c r="BK446" s="449"/>
      <c r="BL446" s="449"/>
      <c r="BM446" s="449"/>
      <c r="BN446" s="449"/>
    </row>
    <row r="447" spans="1:66" s="29" customFormat="1" ht="14.4" hidden="1" customHeight="1" outlineLevel="2" x14ac:dyDescent="0.3">
      <c r="A447" s="204" t="s">
        <v>176</v>
      </c>
      <c r="B447" s="2"/>
      <c r="C447" s="60"/>
      <c r="D447" s="61"/>
      <c r="E447" s="206"/>
      <c r="F447" s="41"/>
      <c r="G447" s="56"/>
      <c r="H447" s="241"/>
      <c r="I447" s="27">
        <v>0</v>
      </c>
      <c r="J447" s="28"/>
      <c r="K447" s="241"/>
      <c r="L447" s="27">
        <v>0</v>
      </c>
      <c r="M447" s="28"/>
      <c r="N447" s="241"/>
      <c r="O447" s="27">
        <v>0</v>
      </c>
      <c r="P447" s="28"/>
      <c r="Q447" s="241"/>
      <c r="R447" s="27">
        <v>0</v>
      </c>
      <c r="S447" s="28"/>
      <c r="T447" s="241"/>
      <c r="U447" s="27">
        <v>0</v>
      </c>
      <c r="V447" s="28"/>
      <c r="W447" s="241"/>
      <c r="X447" s="27">
        <v>0</v>
      </c>
      <c r="Y447" s="28"/>
      <c r="Z447" s="241"/>
      <c r="AA447" s="27">
        <v>0</v>
      </c>
      <c r="AB447" s="28"/>
      <c r="AC447" s="241"/>
      <c r="AD447" s="27">
        <v>0</v>
      </c>
      <c r="AE447" s="28"/>
      <c r="AF447" s="241"/>
      <c r="AG447" s="27">
        <v>0</v>
      </c>
      <c r="AH447" s="28"/>
      <c r="AI447" s="241"/>
      <c r="AJ447" s="27">
        <v>0</v>
      </c>
      <c r="AK447" s="28"/>
      <c r="AL447" s="241"/>
      <c r="AM447" s="27">
        <v>0</v>
      </c>
      <c r="AN447" s="28"/>
      <c r="AO447" s="241"/>
      <c r="AP447" s="27">
        <v>0</v>
      </c>
      <c r="AQ447" s="28"/>
      <c r="AR447" s="241"/>
      <c r="AS447" s="27"/>
      <c r="AT447" s="28"/>
      <c r="AU447" s="241"/>
      <c r="AV447" s="27"/>
      <c r="AW447" s="28"/>
      <c r="AX447" s="241"/>
      <c r="AY447" s="27"/>
      <c r="AZ447" s="28"/>
      <c r="BA447" s="241"/>
      <c r="BB447" s="27"/>
      <c r="BC447" s="28"/>
      <c r="BD447" s="241"/>
      <c r="BE447" s="27"/>
      <c r="BF447" s="28"/>
      <c r="BG447" s="241"/>
      <c r="BH447" s="27"/>
      <c r="BI447" s="28"/>
      <c r="BK447" s="449"/>
      <c r="BL447" s="449"/>
      <c r="BM447" s="449"/>
      <c r="BN447" s="449"/>
    </row>
    <row r="448" spans="1:66" s="29" customFormat="1" ht="14.4" hidden="1" customHeight="1" outlineLevel="2" x14ac:dyDescent="0.3">
      <c r="A448" s="204" t="s">
        <v>177</v>
      </c>
      <c r="B448" s="2"/>
      <c r="C448" s="60"/>
      <c r="D448" s="61"/>
      <c r="E448" s="206"/>
      <c r="F448" s="41"/>
      <c r="G448" s="56"/>
      <c r="H448" s="241"/>
      <c r="I448" s="27">
        <v>0</v>
      </c>
      <c r="J448" s="28"/>
      <c r="K448" s="241"/>
      <c r="L448" s="27">
        <v>0</v>
      </c>
      <c r="M448" s="28"/>
      <c r="N448" s="241"/>
      <c r="O448" s="27">
        <v>0</v>
      </c>
      <c r="P448" s="28"/>
      <c r="Q448" s="241"/>
      <c r="R448" s="27">
        <v>0</v>
      </c>
      <c r="S448" s="28"/>
      <c r="T448" s="241"/>
      <c r="U448" s="27">
        <v>0</v>
      </c>
      <c r="V448" s="28"/>
      <c r="W448" s="241"/>
      <c r="X448" s="27">
        <v>0</v>
      </c>
      <c r="Y448" s="28"/>
      <c r="Z448" s="241"/>
      <c r="AA448" s="27">
        <v>0</v>
      </c>
      <c r="AB448" s="28"/>
      <c r="AC448" s="241"/>
      <c r="AD448" s="27">
        <v>0</v>
      </c>
      <c r="AE448" s="28"/>
      <c r="AF448" s="241"/>
      <c r="AG448" s="27">
        <v>0</v>
      </c>
      <c r="AH448" s="28"/>
      <c r="AI448" s="241"/>
      <c r="AJ448" s="27">
        <v>0</v>
      </c>
      <c r="AK448" s="28"/>
      <c r="AL448" s="241"/>
      <c r="AM448" s="27">
        <v>0</v>
      </c>
      <c r="AN448" s="28"/>
      <c r="AO448" s="241"/>
      <c r="AP448" s="27">
        <v>0</v>
      </c>
      <c r="AQ448" s="28"/>
      <c r="AR448" s="241"/>
      <c r="AS448" s="27"/>
      <c r="AT448" s="28"/>
      <c r="AU448" s="241"/>
      <c r="AV448" s="27"/>
      <c r="AW448" s="28"/>
      <c r="AX448" s="241"/>
      <c r="AY448" s="27"/>
      <c r="AZ448" s="28"/>
      <c r="BA448" s="241"/>
      <c r="BB448" s="27"/>
      <c r="BC448" s="28"/>
      <c r="BD448" s="241"/>
      <c r="BE448" s="27"/>
      <c r="BF448" s="28"/>
      <c r="BG448" s="241"/>
      <c r="BH448" s="27"/>
      <c r="BI448" s="28"/>
      <c r="BK448" s="449"/>
      <c r="BL448" s="449"/>
      <c r="BM448" s="449"/>
      <c r="BN448" s="449"/>
    </row>
    <row r="449" spans="1:66" s="29" customFormat="1" ht="14.4" hidden="1" customHeight="1" outlineLevel="2" x14ac:dyDescent="0.3">
      <c r="A449" s="204" t="s">
        <v>178</v>
      </c>
      <c r="B449" s="2"/>
      <c r="C449" s="60"/>
      <c r="D449" s="61"/>
      <c r="E449" s="206"/>
      <c r="F449" s="41"/>
      <c r="G449" s="56"/>
      <c r="H449" s="241"/>
      <c r="I449" s="27">
        <v>0</v>
      </c>
      <c r="J449" s="28"/>
      <c r="K449" s="241"/>
      <c r="L449" s="27">
        <v>0</v>
      </c>
      <c r="M449" s="28"/>
      <c r="N449" s="241"/>
      <c r="O449" s="27">
        <v>0</v>
      </c>
      <c r="P449" s="28"/>
      <c r="Q449" s="241"/>
      <c r="R449" s="27">
        <v>0</v>
      </c>
      <c r="S449" s="28"/>
      <c r="T449" s="241"/>
      <c r="U449" s="27">
        <v>0</v>
      </c>
      <c r="V449" s="28"/>
      <c r="W449" s="241"/>
      <c r="X449" s="27">
        <v>0</v>
      </c>
      <c r="Y449" s="28"/>
      <c r="Z449" s="241"/>
      <c r="AA449" s="27">
        <v>0</v>
      </c>
      <c r="AB449" s="28"/>
      <c r="AC449" s="241"/>
      <c r="AD449" s="27">
        <v>0</v>
      </c>
      <c r="AE449" s="28"/>
      <c r="AF449" s="241"/>
      <c r="AG449" s="27">
        <v>0</v>
      </c>
      <c r="AH449" s="28"/>
      <c r="AI449" s="241"/>
      <c r="AJ449" s="27">
        <v>0</v>
      </c>
      <c r="AK449" s="28"/>
      <c r="AL449" s="241"/>
      <c r="AM449" s="27">
        <v>0</v>
      </c>
      <c r="AN449" s="28"/>
      <c r="AO449" s="241"/>
      <c r="AP449" s="27">
        <v>0</v>
      </c>
      <c r="AQ449" s="28"/>
      <c r="AR449" s="241"/>
      <c r="AS449" s="27"/>
      <c r="AT449" s="28"/>
      <c r="AU449" s="241"/>
      <c r="AV449" s="27"/>
      <c r="AW449" s="28"/>
      <c r="AX449" s="241"/>
      <c r="AY449" s="27"/>
      <c r="AZ449" s="28"/>
      <c r="BA449" s="241"/>
      <c r="BB449" s="27"/>
      <c r="BC449" s="28"/>
      <c r="BD449" s="241"/>
      <c r="BE449" s="27"/>
      <c r="BF449" s="28"/>
      <c r="BG449" s="241"/>
      <c r="BH449" s="27"/>
      <c r="BI449" s="28"/>
      <c r="BK449" s="449"/>
      <c r="BL449" s="449"/>
      <c r="BM449" s="449"/>
      <c r="BN449" s="449"/>
    </row>
    <row r="450" spans="1:66" s="29" customFormat="1" ht="14.4" hidden="1" customHeight="1" outlineLevel="2" x14ac:dyDescent="0.3">
      <c r="A450" s="204" t="s">
        <v>179</v>
      </c>
      <c r="B450" s="2"/>
      <c r="C450" s="60"/>
      <c r="D450" s="61"/>
      <c r="E450" s="206"/>
      <c r="F450" s="41"/>
      <c r="G450" s="56"/>
      <c r="H450" s="241"/>
      <c r="I450" s="27">
        <v>0</v>
      </c>
      <c r="J450" s="28"/>
      <c r="K450" s="241"/>
      <c r="L450" s="27">
        <v>0</v>
      </c>
      <c r="M450" s="28"/>
      <c r="N450" s="241"/>
      <c r="O450" s="27">
        <v>0</v>
      </c>
      <c r="P450" s="28"/>
      <c r="Q450" s="241"/>
      <c r="R450" s="27">
        <v>0</v>
      </c>
      <c r="S450" s="28"/>
      <c r="T450" s="241"/>
      <c r="U450" s="27">
        <v>0</v>
      </c>
      <c r="V450" s="28"/>
      <c r="W450" s="241"/>
      <c r="X450" s="27">
        <v>0</v>
      </c>
      <c r="Y450" s="28"/>
      <c r="Z450" s="241"/>
      <c r="AA450" s="27">
        <v>0</v>
      </c>
      <c r="AB450" s="28"/>
      <c r="AC450" s="241"/>
      <c r="AD450" s="27">
        <v>0</v>
      </c>
      <c r="AE450" s="28"/>
      <c r="AF450" s="241"/>
      <c r="AG450" s="27">
        <v>0</v>
      </c>
      <c r="AH450" s="28"/>
      <c r="AI450" s="241"/>
      <c r="AJ450" s="27">
        <v>0</v>
      </c>
      <c r="AK450" s="28"/>
      <c r="AL450" s="241"/>
      <c r="AM450" s="27">
        <v>0</v>
      </c>
      <c r="AN450" s="28"/>
      <c r="AO450" s="241"/>
      <c r="AP450" s="27">
        <v>0</v>
      </c>
      <c r="AQ450" s="28"/>
      <c r="AR450" s="241"/>
      <c r="AS450" s="27"/>
      <c r="AT450" s="28"/>
      <c r="AU450" s="241"/>
      <c r="AV450" s="27"/>
      <c r="AW450" s="28"/>
      <c r="AX450" s="241"/>
      <c r="AY450" s="27"/>
      <c r="AZ450" s="28"/>
      <c r="BA450" s="241"/>
      <c r="BB450" s="27"/>
      <c r="BC450" s="28"/>
      <c r="BD450" s="241"/>
      <c r="BE450" s="27"/>
      <c r="BF450" s="28"/>
      <c r="BG450" s="241"/>
      <c r="BH450" s="27"/>
      <c r="BI450" s="28"/>
      <c r="BK450" s="449"/>
      <c r="BL450" s="449"/>
      <c r="BM450" s="449"/>
      <c r="BN450" s="449"/>
    </row>
    <row r="451" spans="1:66" s="29" customFormat="1" ht="14.4" hidden="1" customHeight="1" outlineLevel="2" x14ac:dyDescent="0.3">
      <c r="A451" s="204" t="s">
        <v>180</v>
      </c>
      <c r="B451" s="2"/>
      <c r="C451" s="60"/>
      <c r="D451" s="61"/>
      <c r="E451" s="206"/>
      <c r="F451" s="41"/>
      <c r="G451" s="56"/>
      <c r="H451" s="241"/>
      <c r="I451" s="27">
        <v>0</v>
      </c>
      <c r="J451" s="28"/>
      <c r="K451" s="241"/>
      <c r="L451" s="27">
        <v>0</v>
      </c>
      <c r="M451" s="28"/>
      <c r="N451" s="241"/>
      <c r="O451" s="27">
        <v>0</v>
      </c>
      <c r="P451" s="28"/>
      <c r="Q451" s="241"/>
      <c r="R451" s="27">
        <v>0</v>
      </c>
      <c r="S451" s="28"/>
      <c r="T451" s="241"/>
      <c r="U451" s="27">
        <v>0</v>
      </c>
      <c r="V451" s="28"/>
      <c r="W451" s="241"/>
      <c r="X451" s="27">
        <v>0</v>
      </c>
      <c r="Y451" s="28"/>
      <c r="Z451" s="241"/>
      <c r="AA451" s="27">
        <v>0</v>
      </c>
      <c r="AB451" s="28"/>
      <c r="AC451" s="241"/>
      <c r="AD451" s="27">
        <v>0</v>
      </c>
      <c r="AE451" s="28"/>
      <c r="AF451" s="241"/>
      <c r="AG451" s="27">
        <v>0</v>
      </c>
      <c r="AH451" s="28"/>
      <c r="AI451" s="241"/>
      <c r="AJ451" s="27">
        <v>0</v>
      </c>
      <c r="AK451" s="28"/>
      <c r="AL451" s="241"/>
      <c r="AM451" s="27">
        <v>0</v>
      </c>
      <c r="AN451" s="28"/>
      <c r="AO451" s="241"/>
      <c r="AP451" s="27">
        <v>0</v>
      </c>
      <c r="AQ451" s="28"/>
      <c r="AR451" s="241"/>
      <c r="AS451" s="27"/>
      <c r="AT451" s="28"/>
      <c r="AU451" s="241"/>
      <c r="AV451" s="27"/>
      <c r="AW451" s="28"/>
      <c r="AX451" s="241"/>
      <c r="AY451" s="27"/>
      <c r="AZ451" s="28"/>
      <c r="BA451" s="241"/>
      <c r="BB451" s="27"/>
      <c r="BC451" s="28"/>
      <c r="BD451" s="241"/>
      <c r="BE451" s="27"/>
      <c r="BF451" s="28"/>
      <c r="BG451" s="241"/>
      <c r="BH451" s="27"/>
      <c r="BI451" s="28"/>
      <c r="BK451" s="449"/>
      <c r="BL451" s="449"/>
      <c r="BM451" s="449"/>
      <c r="BN451" s="449"/>
    </row>
    <row r="452" spans="1:66" s="29" customFormat="1" ht="14.4" hidden="1" customHeight="1" outlineLevel="2" x14ac:dyDescent="0.3">
      <c r="A452" s="204" t="s">
        <v>181</v>
      </c>
      <c r="B452" s="2"/>
      <c r="C452" s="60"/>
      <c r="D452" s="61"/>
      <c r="E452" s="206"/>
      <c r="F452" s="41"/>
      <c r="G452" s="56"/>
      <c r="H452" s="241"/>
      <c r="I452" s="27">
        <v>2</v>
      </c>
      <c r="J452" s="28"/>
      <c r="K452" s="241"/>
      <c r="L452" s="27">
        <v>2</v>
      </c>
      <c r="M452" s="28"/>
      <c r="N452" s="241"/>
      <c r="O452" s="27">
        <v>2</v>
      </c>
      <c r="P452" s="28"/>
      <c r="Q452" s="241"/>
      <c r="R452" s="27">
        <v>2</v>
      </c>
      <c r="S452" s="28"/>
      <c r="T452" s="241"/>
      <c r="U452" s="27">
        <v>2</v>
      </c>
      <c r="V452" s="28"/>
      <c r="W452" s="241"/>
      <c r="X452" s="27">
        <v>2</v>
      </c>
      <c r="Y452" s="28"/>
      <c r="Z452" s="241"/>
      <c r="AA452" s="27">
        <v>2</v>
      </c>
      <c r="AB452" s="28"/>
      <c r="AC452" s="241"/>
      <c r="AD452" s="27">
        <v>2</v>
      </c>
      <c r="AE452" s="28"/>
      <c r="AF452" s="241"/>
      <c r="AG452" s="27">
        <v>2</v>
      </c>
      <c r="AH452" s="28"/>
      <c r="AI452" s="241"/>
      <c r="AJ452" s="27">
        <v>2</v>
      </c>
      <c r="AK452" s="28"/>
      <c r="AL452" s="241"/>
      <c r="AM452" s="27">
        <v>2</v>
      </c>
      <c r="AN452" s="28"/>
      <c r="AO452" s="241"/>
      <c r="AP452" s="27">
        <v>2</v>
      </c>
      <c r="AQ452" s="28"/>
      <c r="AR452" s="241"/>
      <c r="AS452" s="27"/>
      <c r="AT452" s="28"/>
      <c r="AU452" s="241"/>
      <c r="AV452" s="27"/>
      <c r="AW452" s="28"/>
      <c r="AX452" s="241"/>
      <c r="AY452" s="27"/>
      <c r="AZ452" s="28"/>
      <c r="BA452" s="241"/>
      <c r="BB452" s="27"/>
      <c r="BC452" s="28"/>
      <c r="BD452" s="241"/>
      <c r="BE452" s="27"/>
      <c r="BF452" s="28"/>
      <c r="BG452" s="241"/>
      <c r="BH452" s="27"/>
      <c r="BI452" s="28"/>
      <c r="BK452" s="449"/>
      <c r="BL452" s="449"/>
      <c r="BM452" s="449"/>
      <c r="BN452" s="449"/>
    </row>
    <row r="453" spans="1:66" s="29" customFormat="1" ht="14.4" hidden="1" customHeight="1" outlineLevel="2" x14ac:dyDescent="0.3">
      <c r="A453" s="204" t="s">
        <v>182</v>
      </c>
      <c r="B453" s="2"/>
      <c r="C453" s="60"/>
      <c r="D453" s="61"/>
      <c r="E453" s="206"/>
      <c r="F453" s="41"/>
      <c r="G453" s="56"/>
      <c r="H453" s="241"/>
      <c r="I453" s="27">
        <v>0</v>
      </c>
      <c r="J453" s="28"/>
      <c r="K453" s="241"/>
      <c r="L453" s="27">
        <v>0</v>
      </c>
      <c r="M453" s="28"/>
      <c r="N453" s="241"/>
      <c r="O453" s="27">
        <v>0</v>
      </c>
      <c r="P453" s="28"/>
      <c r="Q453" s="241"/>
      <c r="R453" s="27">
        <v>0</v>
      </c>
      <c r="S453" s="28"/>
      <c r="T453" s="241"/>
      <c r="U453" s="27">
        <v>0</v>
      </c>
      <c r="V453" s="28"/>
      <c r="W453" s="241"/>
      <c r="X453" s="27">
        <v>0</v>
      </c>
      <c r="Y453" s="28"/>
      <c r="Z453" s="241"/>
      <c r="AA453" s="27">
        <v>0</v>
      </c>
      <c r="AB453" s="28"/>
      <c r="AC453" s="241"/>
      <c r="AD453" s="27">
        <v>0</v>
      </c>
      <c r="AE453" s="28"/>
      <c r="AF453" s="241"/>
      <c r="AG453" s="27">
        <v>0</v>
      </c>
      <c r="AH453" s="28"/>
      <c r="AI453" s="241"/>
      <c r="AJ453" s="27">
        <v>0</v>
      </c>
      <c r="AK453" s="28"/>
      <c r="AL453" s="241"/>
      <c r="AM453" s="27">
        <v>0</v>
      </c>
      <c r="AN453" s="28"/>
      <c r="AO453" s="241"/>
      <c r="AP453" s="27">
        <v>0</v>
      </c>
      <c r="AQ453" s="28"/>
      <c r="AR453" s="241"/>
      <c r="AS453" s="27"/>
      <c r="AT453" s="28"/>
      <c r="AU453" s="241"/>
      <c r="AV453" s="27"/>
      <c r="AW453" s="28"/>
      <c r="AX453" s="241"/>
      <c r="AY453" s="27"/>
      <c r="AZ453" s="28"/>
      <c r="BA453" s="241"/>
      <c r="BB453" s="27"/>
      <c r="BC453" s="28"/>
      <c r="BD453" s="241"/>
      <c r="BE453" s="27"/>
      <c r="BF453" s="28"/>
      <c r="BG453" s="241"/>
      <c r="BH453" s="27"/>
      <c r="BI453" s="28"/>
      <c r="BK453" s="449"/>
      <c r="BL453" s="449"/>
      <c r="BM453" s="449"/>
      <c r="BN453" s="449"/>
    </row>
    <row r="454" spans="1:66" s="29" customFormat="1" ht="14.4" hidden="1" customHeight="1" outlineLevel="2" x14ac:dyDescent="0.3">
      <c r="A454" s="204" t="s">
        <v>183</v>
      </c>
      <c r="B454" s="2"/>
      <c r="C454" s="60"/>
      <c r="D454" s="61"/>
      <c r="E454" s="206"/>
      <c r="F454" s="41"/>
      <c r="G454" s="56"/>
      <c r="H454" s="241"/>
      <c r="I454" s="27">
        <v>1</v>
      </c>
      <c r="J454" s="28"/>
      <c r="K454" s="241"/>
      <c r="L454" s="27">
        <v>1</v>
      </c>
      <c r="M454" s="28"/>
      <c r="N454" s="241"/>
      <c r="O454" s="27">
        <v>1</v>
      </c>
      <c r="P454" s="28"/>
      <c r="Q454" s="241"/>
      <c r="R454" s="27">
        <v>1</v>
      </c>
      <c r="S454" s="28"/>
      <c r="T454" s="241"/>
      <c r="U454" s="27">
        <v>1</v>
      </c>
      <c r="V454" s="28"/>
      <c r="W454" s="241"/>
      <c r="X454" s="27">
        <v>1</v>
      </c>
      <c r="Y454" s="28"/>
      <c r="Z454" s="241"/>
      <c r="AA454" s="27">
        <v>1</v>
      </c>
      <c r="AB454" s="28"/>
      <c r="AC454" s="241"/>
      <c r="AD454" s="27">
        <v>1</v>
      </c>
      <c r="AE454" s="28"/>
      <c r="AF454" s="241"/>
      <c r="AG454" s="27">
        <v>1</v>
      </c>
      <c r="AH454" s="28"/>
      <c r="AI454" s="241"/>
      <c r="AJ454" s="27">
        <v>1</v>
      </c>
      <c r="AK454" s="28"/>
      <c r="AL454" s="241"/>
      <c r="AM454" s="27">
        <v>1</v>
      </c>
      <c r="AN454" s="28"/>
      <c r="AO454" s="241"/>
      <c r="AP454" s="27">
        <v>1</v>
      </c>
      <c r="AQ454" s="28"/>
      <c r="AR454" s="241"/>
      <c r="AS454" s="27"/>
      <c r="AT454" s="28"/>
      <c r="AU454" s="241"/>
      <c r="AV454" s="27"/>
      <c r="AW454" s="28"/>
      <c r="AX454" s="241"/>
      <c r="AY454" s="27"/>
      <c r="AZ454" s="28"/>
      <c r="BA454" s="241"/>
      <c r="BB454" s="27"/>
      <c r="BC454" s="28"/>
      <c r="BD454" s="241"/>
      <c r="BE454" s="27"/>
      <c r="BF454" s="28"/>
      <c r="BG454" s="241"/>
      <c r="BH454" s="27"/>
      <c r="BI454" s="28"/>
      <c r="BK454" s="449"/>
      <c r="BL454" s="449"/>
      <c r="BM454" s="449"/>
      <c r="BN454" s="449"/>
    </row>
    <row r="455" spans="1:66" s="29" customFormat="1" ht="14.4" hidden="1" customHeight="1" outlineLevel="2" x14ac:dyDescent="0.3">
      <c r="A455" s="204" t="s">
        <v>184</v>
      </c>
      <c r="B455" s="2"/>
      <c r="C455" s="60"/>
      <c r="D455" s="61"/>
      <c r="E455" s="206"/>
      <c r="F455" s="41"/>
      <c r="G455" s="56"/>
      <c r="H455" s="241"/>
      <c r="I455" s="27">
        <v>0</v>
      </c>
      <c r="J455" s="28"/>
      <c r="K455" s="241"/>
      <c r="L455" s="27">
        <v>0</v>
      </c>
      <c r="M455" s="28"/>
      <c r="N455" s="241"/>
      <c r="O455" s="27">
        <v>0</v>
      </c>
      <c r="P455" s="28"/>
      <c r="Q455" s="241"/>
      <c r="R455" s="27">
        <v>0</v>
      </c>
      <c r="S455" s="28"/>
      <c r="T455" s="241"/>
      <c r="U455" s="27">
        <v>0</v>
      </c>
      <c r="V455" s="28"/>
      <c r="W455" s="241"/>
      <c r="X455" s="27">
        <v>0</v>
      </c>
      <c r="Y455" s="28"/>
      <c r="Z455" s="241"/>
      <c r="AA455" s="27">
        <v>0</v>
      </c>
      <c r="AB455" s="28"/>
      <c r="AC455" s="241"/>
      <c r="AD455" s="27">
        <v>0</v>
      </c>
      <c r="AE455" s="28"/>
      <c r="AF455" s="241"/>
      <c r="AG455" s="27">
        <v>0</v>
      </c>
      <c r="AH455" s="28"/>
      <c r="AI455" s="241"/>
      <c r="AJ455" s="27">
        <v>0</v>
      </c>
      <c r="AK455" s="28"/>
      <c r="AL455" s="241"/>
      <c r="AM455" s="27">
        <v>0</v>
      </c>
      <c r="AN455" s="28"/>
      <c r="AO455" s="241"/>
      <c r="AP455" s="27">
        <v>0</v>
      </c>
      <c r="AQ455" s="28"/>
      <c r="AR455" s="241"/>
      <c r="AS455" s="27"/>
      <c r="AT455" s="28"/>
      <c r="AU455" s="241"/>
      <c r="AV455" s="27"/>
      <c r="AW455" s="28"/>
      <c r="AX455" s="241"/>
      <c r="AY455" s="27"/>
      <c r="AZ455" s="28"/>
      <c r="BA455" s="241"/>
      <c r="BB455" s="27"/>
      <c r="BC455" s="28"/>
      <c r="BD455" s="241"/>
      <c r="BE455" s="27"/>
      <c r="BF455" s="28"/>
      <c r="BG455" s="241"/>
      <c r="BH455" s="27"/>
      <c r="BI455" s="28"/>
      <c r="BK455" s="449"/>
      <c r="BL455" s="449"/>
      <c r="BM455" s="449"/>
      <c r="BN455" s="449"/>
    </row>
    <row r="456" spans="1:66" s="29" customFormat="1" ht="14.4" hidden="1" customHeight="1" outlineLevel="2" x14ac:dyDescent="0.3">
      <c r="A456" s="204" t="s">
        <v>185</v>
      </c>
      <c r="B456" s="2"/>
      <c r="C456" s="60"/>
      <c r="D456" s="61"/>
      <c r="E456" s="206"/>
      <c r="F456" s="41"/>
      <c r="G456" s="56"/>
      <c r="H456" s="241"/>
      <c r="I456" s="27">
        <v>0</v>
      </c>
      <c r="J456" s="28"/>
      <c r="K456" s="241"/>
      <c r="L456" s="27">
        <v>0</v>
      </c>
      <c r="M456" s="28"/>
      <c r="N456" s="241"/>
      <c r="O456" s="27">
        <v>0</v>
      </c>
      <c r="P456" s="28"/>
      <c r="Q456" s="241"/>
      <c r="R456" s="27">
        <v>0</v>
      </c>
      <c r="S456" s="28"/>
      <c r="T456" s="241"/>
      <c r="U456" s="27">
        <v>0</v>
      </c>
      <c r="V456" s="28"/>
      <c r="W456" s="241"/>
      <c r="X456" s="27">
        <v>0</v>
      </c>
      <c r="Y456" s="28"/>
      <c r="Z456" s="241"/>
      <c r="AA456" s="27">
        <v>0</v>
      </c>
      <c r="AB456" s="28"/>
      <c r="AC456" s="241"/>
      <c r="AD456" s="27">
        <v>0</v>
      </c>
      <c r="AE456" s="28"/>
      <c r="AF456" s="241"/>
      <c r="AG456" s="27">
        <v>0</v>
      </c>
      <c r="AH456" s="28"/>
      <c r="AI456" s="241"/>
      <c r="AJ456" s="27">
        <v>0</v>
      </c>
      <c r="AK456" s="28"/>
      <c r="AL456" s="241"/>
      <c r="AM456" s="27">
        <v>0</v>
      </c>
      <c r="AN456" s="28"/>
      <c r="AO456" s="241"/>
      <c r="AP456" s="27">
        <v>0</v>
      </c>
      <c r="AQ456" s="28"/>
      <c r="AR456" s="241"/>
      <c r="AS456" s="27"/>
      <c r="AT456" s="28"/>
      <c r="AU456" s="241"/>
      <c r="AV456" s="27"/>
      <c r="AW456" s="28"/>
      <c r="AX456" s="241"/>
      <c r="AY456" s="27"/>
      <c r="AZ456" s="28"/>
      <c r="BA456" s="241"/>
      <c r="BB456" s="27"/>
      <c r="BC456" s="28"/>
      <c r="BD456" s="241"/>
      <c r="BE456" s="27"/>
      <c r="BF456" s="28"/>
      <c r="BG456" s="241"/>
      <c r="BH456" s="27"/>
      <c r="BI456" s="28"/>
      <c r="BK456" s="449"/>
      <c r="BL456" s="449"/>
      <c r="BM456" s="449"/>
      <c r="BN456" s="449"/>
    </row>
    <row r="457" spans="1:66" s="29" customFormat="1" ht="14.4" hidden="1" customHeight="1" outlineLevel="2" x14ac:dyDescent="0.3">
      <c r="A457" s="204" t="s">
        <v>186</v>
      </c>
      <c r="B457" s="2"/>
      <c r="C457" s="60"/>
      <c r="D457" s="61"/>
      <c r="E457" s="206"/>
      <c r="F457" s="41"/>
      <c r="G457" s="56"/>
      <c r="H457" s="241"/>
      <c r="I457" s="27">
        <v>0</v>
      </c>
      <c r="J457" s="28"/>
      <c r="K457" s="241"/>
      <c r="L457" s="27">
        <v>0</v>
      </c>
      <c r="M457" s="28"/>
      <c r="N457" s="241"/>
      <c r="O457" s="27">
        <v>0</v>
      </c>
      <c r="P457" s="28"/>
      <c r="Q457" s="241"/>
      <c r="R457" s="27">
        <v>0</v>
      </c>
      <c r="S457" s="28"/>
      <c r="T457" s="241"/>
      <c r="U457" s="27">
        <v>0</v>
      </c>
      <c r="V457" s="28"/>
      <c r="W457" s="241"/>
      <c r="X457" s="27">
        <v>0</v>
      </c>
      <c r="Y457" s="28"/>
      <c r="Z457" s="241"/>
      <c r="AA457" s="27">
        <v>0</v>
      </c>
      <c r="AB457" s="28"/>
      <c r="AC457" s="241"/>
      <c r="AD457" s="27">
        <v>0</v>
      </c>
      <c r="AE457" s="28"/>
      <c r="AF457" s="241"/>
      <c r="AG457" s="27">
        <v>0</v>
      </c>
      <c r="AH457" s="28"/>
      <c r="AI457" s="241"/>
      <c r="AJ457" s="27">
        <v>0</v>
      </c>
      <c r="AK457" s="28"/>
      <c r="AL457" s="241"/>
      <c r="AM457" s="27">
        <v>0</v>
      </c>
      <c r="AN457" s="28"/>
      <c r="AO457" s="241"/>
      <c r="AP457" s="27">
        <v>0</v>
      </c>
      <c r="AQ457" s="28"/>
      <c r="AR457" s="241"/>
      <c r="AS457" s="27"/>
      <c r="AT457" s="28"/>
      <c r="AU457" s="241"/>
      <c r="AV457" s="27"/>
      <c r="AW457" s="28"/>
      <c r="AX457" s="241"/>
      <c r="AY457" s="27"/>
      <c r="AZ457" s="28"/>
      <c r="BA457" s="241"/>
      <c r="BB457" s="27"/>
      <c r="BC457" s="28"/>
      <c r="BD457" s="241"/>
      <c r="BE457" s="27"/>
      <c r="BF457" s="28"/>
      <c r="BG457" s="241"/>
      <c r="BH457" s="27"/>
      <c r="BI457" s="28"/>
      <c r="BK457" s="449"/>
      <c r="BL457" s="449"/>
      <c r="BM457" s="449"/>
      <c r="BN457" s="449"/>
    </row>
    <row r="458" spans="1:66" s="29" customFormat="1" ht="14.4" hidden="1" customHeight="1" outlineLevel="2" x14ac:dyDescent="0.3">
      <c r="A458" s="204" t="s">
        <v>187</v>
      </c>
      <c r="B458" s="2"/>
      <c r="C458" s="60"/>
      <c r="D458" s="61"/>
      <c r="E458" s="206"/>
      <c r="F458" s="41"/>
      <c r="G458" s="56"/>
      <c r="H458" s="241"/>
      <c r="I458" s="27">
        <v>0</v>
      </c>
      <c r="J458" s="28"/>
      <c r="K458" s="241"/>
      <c r="L458" s="27">
        <v>0</v>
      </c>
      <c r="M458" s="28"/>
      <c r="N458" s="241"/>
      <c r="O458" s="27">
        <v>0</v>
      </c>
      <c r="P458" s="28"/>
      <c r="Q458" s="241"/>
      <c r="R458" s="27">
        <v>0</v>
      </c>
      <c r="S458" s="28"/>
      <c r="T458" s="241"/>
      <c r="U458" s="27">
        <v>0</v>
      </c>
      <c r="V458" s="28"/>
      <c r="W458" s="241"/>
      <c r="X458" s="27">
        <v>0</v>
      </c>
      <c r="Y458" s="28"/>
      <c r="Z458" s="241"/>
      <c r="AA458" s="27">
        <v>0</v>
      </c>
      <c r="AB458" s="28"/>
      <c r="AC458" s="241"/>
      <c r="AD458" s="27">
        <v>0</v>
      </c>
      <c r="AE458" s="28"/>
      <c r="AF458" s="241"/>
      <c r="AG458" s="27">
        <v>0</v>
      </c>
      <c r="AH458" s="28"/>
      <c r="AI458" s="241"/>
      <c r="AJ458" s="27">
        <v>0</v>
      </c>
      <c r="AK458" s="28"/>
      <c r="AL458" s="241"/>
      <c r="AM458" s="27">
        <v>0</v>
      </c>
      <c r="AN458" s="28"/>
      <c r="AO458" s="241"/>
      <c r="AP458" s="27">
        <v>0</v>
      </c>
      <c r="AQ458" s="28"/>
      <c r="AR458" s="241"/>
      <c r="AS458" s="27"/>
      <c r="AT458" s="28"/>
      <c r="AU458" s="241"/>
      <c r="AV458" s="27"/>
      <c r="AW458" s="28"/>
      <c r="AX458" s="241"/>
      <c r="AY458" s="27"/>
      <c r="AZ458" s="28"/>
      <c r="BA458" s="241"/>
      <c r="BB458" s="27"/>
      <c r="BC458" s="28"/>
      <c r="BD458" s="241"/>
      <c r="BE458" s="27"/>
      <c r="BF458" s="28"/>
      <c r="BG458" s="241"/>
      <c r="BH458" s="27"/>
      <c r="BI458" s="28"/>
      <c r="BK458" s="449"/>
      <c r="BL458" s="449"/>
      <c r="BM458" s="449"/>
      <c r="BN458" s="449"/>
    </row>
    <row r="459" spans="1:66" s="29" customFormat="1" ht="14.4" hidden="1" customHeight="1" outlineLevel="2" x14ac:dyDescent="0.3">
      <c r="A459" s="204" t="s">
        <v>188</v>
      </c>
      <c r="B459" s="2"/>
      <c r="C459" s="60"/>
      <c r="D459" s="61"/>
      <c r="E459" s="206"/>
      <c r="F459" s="41"/>
      <c r="G459" s="56"/>
      <c r="H459" s="241"/>
      <c r="I459" s="27">
        <v>0</v>
      </c>
      <c r="J459" s="28"/>
      <c r="K459" s="241"/>
      <c r="L459" s="27">
        <v>0</v>
      </c>
      <c r="M459" s="28"/>
      <c r="N459" s="241"/>
      <c r="O459" s="27">
        <v>0</v>
      </c>
      <c r="P459" s="28"/>
      <c r="Q459" s="241"/>
      <c r="R459" s="27">
        <v>0</v>
      </c>
      <c r="S459" s="28"/>
      <c r="T459" s="241"/>
      <c r="U459" s="27">
        <v>0</v>
      </c>
      <c r="V459" s="28"/>
      <c r="W459" s="241"/>
      <c r="X459" s="27">
        <v>0</v>
      </c>
      <c r="Y459" s="28"/>
      <c r="Z459" s="241"/>
      <c r="AA459" s="27">
        <v>0</v>
      </c>
      <c r="AB459" s="28"/>
      <c r="AC459" s="241"/>
      <c r="AD459" s="27">
        <v>0</v>
      </c>
      <c r="AE459" s="28"/>
      <c r="AF459" s="241"/>
      <c r="AG459" s="27">
        <v>0</v>
      </c>
      <c r="AH459" s="28"/>
      <c r="AI459" s="241"/>
      <c r="AJ459" s="27">
        <v>0</v>
      </c>
      <c r="AK459" s="28"/>
      <c r="AL459" s="241"/>
      <c r="AM459" s="27">
        <v>0</v>
      </c>
      <c r="AN459" s="28"/>
      <c r="AO459" s="241"/>
      <c r="AP459" s="27">
        <v>0</v>
      </c>
      <c r="AQ459" s="28"/>
      <c r="AR459" s="241"/>
      <c r="AS459" s="27"/>
      <c r="AT459" s="28"/>
      <c r="AU459" s="241"/>
      <c r="AV459" s="27"/>
      <c r="AW459" s="28"/>
      <c r="AX459" s="241"/>
      <c r="AY459" s="27"/>
      <c r="AZ459" s="28"/>
      <c r="BA459" s="241"/>
      <c r="BB459" s="27"/>
      <c r="BC459" s="28"/>
      <c r="BD459" s="241"/>
      <c r="BE459" s="27"/>
      <c r="BF459" s="28"/>
      <c r="BG459" s="241"/>
      <c r="BH459" s="27"/>
      <c r="BI459" s="28"/>
      <c r="BK459" s="449"/>
      <c r="BL459" s="449"/>
      <c r="BM459" s="449"/>
      <c r="BN459" s="449"/>
    </row>
    <row r="460" spans="1:66" s="29" customFormat="1" ht="14.4" hidden="1" customHeight="1" outlineLevel="2" x14ac:dyDescent="0.3">
      <c r="A460" s="204" t="s">
        <v>189</v>
      </c>
      <c r="B460" s="2"/>
      <c r="C460" s="60"/>
      <c r="D460" s="61"/>
      <c r="E460" s="206"/>
      <c r="F460" s="41"/>
      <c r="G460" s="56"/>
      <c r="H460" s="241"/>
      <c r="I460" s="27">
        <v>0</v>
      </c>
      <c r="J460" s="28"/>
      <c r="K460" s="241"/>
      <c r="L460" s="27">
        <v>0</v>
      </c>
      <c r="M460" s="28"/>
      <c r="N460" s="241"/>
      <c r="O460" s="27">
        <v>0</v>
      </c>
      <c r="P460" s="28"/>
      <c r="Q460" s="241"/>
      <c r="R460" s="27">
        <v>0</v>
      </c>
      <c r="S460" s="28"/>
      <c r="T460" s="241"/>
      <c r="U460" s="27">
        <v>0</v>
      </c>
      <c r="V460" s="28"/>
      <c r="W460" s="241"/>
      <c r="X460" s="27">
        <v>0</v>
      </c>
      <c r="Y460" s="28"/>
      <c r="Z460" s="241"/>
      <c r="AA460" s="27">
        <v>0</v>
      </c>
      <c r="AB460" s="28"/>
      <c r="AC460" s="241"/>
      <c r="AD460" s="27">
        <v>0</v>
      </c>
      <c r="AE460" s="28"/>
      <c r="AF460" s="241"/>
      <c r="AG460" s="27">
        <v>0</v>
      </c>
      <c r="AH460" s="28"/>
      <c r="AI460" s="241"/>
      <c r="AJ460" s="27">
        <v>0</v>
      </c>
      <c r="AK460" s="28"/>
      <c r="AL460" s="241"/>
      <c r="AM460" s="27">
        <v>0</v>
      </c>
      <c r="AN460" s="28"/>
      <c r="AO460" s="241"/>
      <c r="AP460" s="27">
        <v>0</v>
      </c>
      <c r="AQ460" s="28"/>
      <c r="AR460" s="241"/>
      <c r="AS460" s="27"/>
      <c r="AT460" s="28"/>
      <c r="AU460" s="241"/>
      <c r="AV460" s="27"/>
      <c r="AW460" s="28"/>
      <c r="AX460" s="241"/>
      <c r="AY460" s="27"/>
      <c r="AZ460" s="28"/>
      <c r="BA460" s="241"/>
      <c r="BB460" s="27"/>
      <c r="BC460" s="28"/>
      <c r="BD460" s="241"/>
      <c r="BE460" s="27"/>
      <c r="BF460" s="28"/>
      <c r="BG460" s="241"/>
      <c r="BH460" s="27"/>
      <c r="BI460" s="28"/>
      <c r="BK460" s="449"/>
      <c r="BL460" s="449"/>
      <c r="BM460" s="449"/>
      <c r="BN460" s="449"/>
    </row>
    <row r="461" spans="1:66" s="29" customFormat="1" ht="14.4" hidden="1" customHeight="1" outlineLevel="2" x14ac:dyDescent="0.3">
      <c r="A461" s="204" t="s">
        <v>190</v>
      </c>
      <c r="B461" s="2"/>
      <c r="C461" s="60"/>
      <c r="D461" s="61"/>
      <c r="E461" s="206"/>
      <c r="F461" s="41"/>
      <c r="G461" s="56"/>
      <c r="H461" s="241"/>
      <c r="I461" s="27">
        <v>0</v>
      </c>
      <c r="J461" s="28"/>
      <c r="K461" s="241"/>
      <c r="L461" s="27">
        <v>0</v>
      </c>
      <c r="M461" s="28"/>
      <c r="N461" s="241"/>
      <c r="O461" s="27">
        <v>0</v>
      </c>
      <c r="P461" s="28"/>
      <c r="Q461" s="241"/>
      <c r="R461" s="27">
        <v>0</v>
      </c>
      <c r="S461" s="28"/>
      <c r="T461" s="241"/>
      <c r="U461" s="27">
        <v>0</v>
      </c>
      <c r="V461" s="28"/>
      <c r="W461" s="241"/>
      <c r="X461" s="27">
        <v>0</v>
      </c>
      <c r="Y461" s="28"/>
      <c r="Z461" s="241"/>
      <c r="AA461" s="27">
        <v>0</v>
      </c>
      <c r="AB461" s="28"/>
      <c r="AC461" s="241"/>
      <c r="AD461" s="27">
        <v>0</v>
      </c>
      <c r="AE461" s="28"/>
      <c r="AF461" s="241"/>
      <c r="AG461" s="27">
        <v>0</v>
      </c>
      <c r="AH461" s="28"/>
      <c r="AI461" s="241"/>
      <c r="AJ461" s="27">
        <v>0</v>
      </c>
      <c r="AK461" s="28"/>
      <c r="AL461" s="241"/>
      <c r="AM461" s="27">
        <v>0</v>
      </c>
      <c r="AN461" s="28"/>
      <c r="AO461" s="241"/>
      <c r="AP461" s="27">
        <v>0</v>
      </c>
      <c r="AQ461" s="28"/>
      <c r="AR461" s="241"/>
      <c r="AS461" s="27"/>
      <c r="AT461" s="28"/>
      <c r="AU461" s="241"/>
      <c r="AV461" s="27"/>
      <c r="AW461" s="28"/>
      <c r="AX461" s="241"/>
      <c r="AY461" s="27"/>
      <c r="AZ461" s="28"/>
      <c r="BA461" s="241"/>
      <c r="BB461" s="27"/>
      <c r="BC461" s="28"/>
      <c r="BD461" s="241"/>
      <c r="BE461" s="27"/>
      <c r="BF461" s="28"/>
      <c r="BG461" s="241"/>
      <c r="BH461" s="27"/>
      <c r="BI461" s="28"/>
      <c r="BK461" s="449"/>
      <c r="BL461" s="449"/>
      <c r="BM461" s="449"/>
      <c r="BN461" s="449"/>
    </row>
    <row r="462" spans="1:66" s="29" customFormat="1" ht="14.4" hidden="1" customHeight="1" outlineLevel="2" x14ac:dyDescent="0.3">
      <c r="A462" s="204" t="s">
        <v>191</v>
      </c>
      <c r="B462" s="2"/>
      <c r="C462" s="60"/>
      <c r="D462" s="61"/>
      <c r="E462" s="206"/>
      <c r="F462" s="41"/>
      <c r="G462" s="56"/>
      <c r="H462" s="241"/>
      <c r="I462" s="27">
        <v>0</v>
      </c>
      <c r="J462" s="28"/>
      <c r="K462" s="241"/>
      <c r="L462" s="27">
        <v>0</v>
      </c>
      <c r="M462" s="28"/>
      <c r="N462" s="241"/>
      <c r="O462" s="27">
        <v>0</v>
      </c>
      <c r="P462" s="28"/>
      <c r="Q462" s="241"/>
      <c r="R462" s="27">
        <v>0</v>
      </c>
      <c r="S462" s="28"/>
      <c r="T462" s="241"/>
      <c r="U462" s="27">
        <v>0</v>
      </c>
      <c r="V462" s="28"/>
      <c r="W462" s="241"/>
      <c r="X462" s="27">
        <v>0</v>
      </c>
      <c r="Y462" s="28"/>
      <c r="Z462" s="241"/>
      <c r="AA462" s="27">
        <v>0</v>
      </c>
      <c r="AB462" s="28"/>
      <c r="AC462" s="241"/>
      <c r="AD462" s="27">
        <v>0</v>
      </c>
      <c r="AE462" s="28"/>
      <c r="AF462" s="241"/>
      <c r="AG462" s="27">
        <v>0</v>
      </c>
      <c r="AH462" s="28"/>
      <c r="AI462" s="241"/>
      <c r="AJ462" s="27">
        <v>0</v>
      </c>
      <c r="AK462" s="28"/>
      <c r="AL462" s="241"/>
      <c r="AM462" s="27">
        <v>0</v>
      </c>
      <c r="AN462" s="28"/>
      <c r="AO462" s="241"/>
      <c r="AP462" s="27">
        <v>0</v>
      </c>
      <c r="AQ462" s="28"/>
      <c r="AR462" s="241"/>
      <c r="AS462" s="27"/>
      <c r="AT462" s="28"/>
      <c r="AU462" s="241"/>
      <c r="AV462" s="27"/>
      <c r="AW462" s="28"/>
      <c r="AX462" s="241"/>
      <c r="AY462" s="27"/>
      <c r="AZ462" s="28"/>
      <c r="BA462" s="241"/>
      <c r="BB462" s="27"/>
      <c r="BC462" s="28"/>
      <c r="BD462" s="241"/>
      <c r="BE462" s="27"/>
      <c r="BF462" s="28"/>
      <c r="BG462" s="241"/>
      <c r="BH462" s="27"/>
      <c r="BI462" s="28"/>
      <c r="BK462" s="449"/>
      <c r="BL462" s="449"/>
      <c r="BM462" s="449"/>
      <c r="BN462" s="449"/>
    </row>
    <row r="463" spans="1:66" s="29" customFormat="1" ht="14.4" hidden="1" customHeight="1" outlineLevel="2" x14ac:dyDescent="0.3">
      <c r="A463" s="204" t="s">
        <v>192</v>
      </c>
      <c r="B463" s="2"/>
      <c r="C463" s="60"/>
      <c r="D463" s="61"/>
      <c r="E463" s="206"/>
      <c r="F463" s="41"/>
      <c r="G463" s="56"/>
      <c r="H463" s="241"/>
      <c r="I463" s="27">
        <v>0</v>
      </c>
      <c r="J463" s="28"/>
      <c r="K463" s="241"/>
      <c r="L463" s="27">
        <v>0</v>
      </c>
      <c r="M463" s="28"/>
      <c r="N463" s="241"/>
      <c r="O463" s="27">
        <v>0</v>
      </c>
      <c r="P463" s="28"/>
      <c r="Q463" s="241"/>
      <c r="R463" s="27">
        <v>0</v>
      </c>
      <c r="S463" s="28"/>
      <c r="T463" s="241"/>
      <c r="U463" s="27">
        <v>0</v>
      </c>
      <c r="V463" s="28"/>
      <c r="W463" s="241"/>
      <c r="X463" s="27">
        <v>0</v>
      </c>
      <c r="Y463" s="28"/>
      <c r="Z463" s="241"/>
      <c r="AA463" s="27">
        <v>0</v>
      </c>
      <c r="AB463" s="28"/>
      <c r="AC463" s="241"/>
      <c r="AD463" s="27">
        <v>0</v>
      </c>
      <c r="AE463" s="28"/>
      <c r="AF463" s="241"/>
      <c r="AG463" s="27">
        <v>0</v>
      </c>
      <c r="AH463" s="28"/>
      <c r="AI463" s="241"/>
      <c r="AJ463" s="27">
        <v>0</v>
      </c>
      <c r="AK463" s="28"/>
      <c r="AL463" s="241"/>
      <c r="AM463" s="27">
        <v>0</v>
      </c>
      <c r="AN463" s="28"/>
      <c r="AO463" s="241"/>
      <c r="AP463" s="27">
        <v>0</v>
      </c>
      <c r="AQ463" s="28"/>
      <c r="AR463" s="241"/>
      <c r="AS463" s="27"/>
      <c r="AT463" s="28"/>
      <c r="AU463" s="241"/>
      <c r="AV463" s="27"/>
      <c r="AW463" s="28"/>
      <c r="AX463" s="241"/>
      <c r="AY463" s="27"/>
      <c r="AZ463" s="28"/>
      <c r="BA463" s="241"/>
      <c r="BB463" s="27"/>
      <c r="BC463" s="28"/>
      <c r="BD463" s="241"/>
      <c r="BE463" s="27"/>
      <c r="BF463" s="28"/>
      <c r="BG463" s="241"/>
      <c r="BH463" s="27"/>
      <c r="BI463" s="28"/>
      <c r="BK463" s="449"/>
      <c r="BL463" s="449"/>
      <c r="BM463" s="449"/>
      <c r="BN463" s="449"/>
    </row>
    <row r="464" spans="1:66" s="29" customFormat="1" ht="14.4" hidden="1" customHeight="1" outlineLevel="2" x14ac:dyDescent="0.3">
      <c r="A464" s="204" t="s">
        <v>193</v>
      </c>
      <c r="B464" s="2"/>
      <c r="C464" s="60"/>
      <c r="D464" s="61"/>
      <c r="E464" s="206"/>
      <c r="F464" s="41"/>
      <c r="G464" s="56"/>
      <c r="H464" s="241"/>
      <c r="I464" s="27">
        <v>0</v>
      </c>
      <c r="J464" s="28"/>
      <c r="K464" s="241"/>
      <c r="L464" s="27">
        <v>0</v>
      </c>
      <c r="M464" s="28"/>
      <c r="N464" s="241"/>
      <c r="O464" s="27">
        <v>0</v>
      </c>
      <c r="P464" s="28"/>
      <c r="Q464" s="241"/>
      <c r="R464" s="27">
        <v>0</v>
      </c>
      <c r="S464" s="28"/>
      <c r="T464" s="241"/>
      <c r="U464" s="27">
        <v>0</v>
      </c>
      <c r="V464" s="28"/>
      <c r="W464" s="241"/>
      <c r="X464" s="27">
        <v>0</v>
      </c>
      <c r="Y464" s="28"/>
      <c r="Z464" s="241"/>
      <c r="AA464" s="27">
        <v>0</v>
      </c>
      <c r="AB464" s="28"/>
      <c r="AC464" s="241"/>
      <c r="AD464" s="27">
        <v>0</v>
      </c>
      <c r="AE464" s="28"/>
      <c r="AF464" s="241"/>
      <c r="AG464" s="27">
        <v>0</v>
      </c>
      <c r="AH464" s="28"/>
      <c r="AI464" s="241"/>
      <c r="AJ464" s="27">
        <v>0</v>
      </c>
      <c r="AK464" s="28"/>
      <c r="AL464" s="241"/>
      <c r="AM464" s="27">
        <v>0</v>
      </c>
      <c r="AN464" s="28"/>
      <c r="AO464" s="241"/>
      <c r="AP464" s="27">
        <v>0</v>
      </c>
      <c r="AQ464" s="28"/>
      <c r="AR464" s="241"/>
      <c r="AS464" s="27"/>
      <c r="AT464" s="28"/>
      <c r="AU464" s="241"/>
      <c r="AV464" s="27"/>
      <c r="AW464" s="28"/>
      <c r="AX464" s="241"/>
      <c r="AY464" s="27"/>
      <c r="AZ464" s="28"/>
      <c r="BA464" s="241"/>
      <c r="BB464" s="27"/>
      <c r="BC464" s="28"/>
      <c r="BD464" s="241"/>
      <c r="BE464" s="27"/>
      <c r="BF464" s="28"/>
      <c r="BG464" s="241"/>
      <c r="BH464" s="27"/>
      <c r="BI464" s="28"/>
      <c r="BK464" s="449"/>
      <c r="BL464" s="449"/>
      <c r="BM464" s="449"/>
      <c r="BN464" s="449"/>
    </row>
    <row r="465" spans="1:66" s="29" customFormat="1" ht="14.4" hidden="1" customHeight="1" outlineLevel="2" x14ac:dyDescent="0.3">
      <c r="A465" s="204" t="s">
        <v>194</v>
      </c>
      <c r="B465" s="2"/>
      <c r="C465" s="60"/>
      <c r="D465" s="61"/>
      <c r="E465" s="206"/>
      <c r="F465" s="41"/>
      <c r="G465" s="56"/>
      <c r="H465" s="241"/>
      <c r="I465" s="27">
        <v>0</v>
      </c>
      <c r="J465" s="28"/>
      <c r="K465" s="241"/>
      <c r="L465" s="27">
        <v>0</v>
      </c>
      <c r="M465" s="28"/>
      <c r="N465" s="241"/>
      <c r="O465" s="27">
        <v>0</v>
      </c>
      <c r="P465" s="28"/>
      <c r="Q465" s="241"/>
      <c r="R465" s="27">
        <v>0</v>
      </c>
      <c r="S465" s="28"/>
      <c r="T465" s="241"/>
      <c r="U465" s="27">
        <v>0</v>
      </c>
      <c r="V465" s="28"/>
      <c r="W465" s="241"/>
      <c r="X465" s="27">
        <v>0</v>
      </c>
      <c r="Y465" s="28"/>
      <c r="Z465" s="241"/>
      <c r="AA465" s="27">
        <v>0</v>
      </c>
      <c r="AB465" s="28"/>
      <c r="AC465" s="241"/>
      <c r="AD465" s="27">
        <v>0</v>
      </c>
      <c r="AE465" s="28"/>
      <c r="AF465" s="241"/>
      <c r="AG465" s="27">
        <v>0</v>
      </c>
      <c r="AH465" s="28"/>
      <c r="AI465" s="241"/>
      <c r="AJ465" s="27">
        <v>0</v>
      </c>
      <c r="AK465" s="28"/>
      <c r="AL465" s="241"/>
      <c r="AM465" s="27">
        <v>0</v>
      </c>
      <c r="AN465" s="28"/>
      <c r="AO465" s="241"/>
      <c r="AP465" s="27">
        <v>0</v>
      </c>
      <c r="AQ465" s="28"/>
      <c r="AR465" s="241"/>
      <c r="AS465" s="27"/>
      <c r="AT465" s="28"/>
      <c r="AU465" s="241"/>
      <c r="AV465" s="27"/>
      <c r="AW465" s="28"/>
      <c r="AX465" s="241"/>
      <c r="AY465" s="27"/>
      <c r="AZ465" s="28"/>
      <c r="BA465" s="241"/>
      <c r="BB465" s="27"/>
      <c r="BC465" s="28"/>
      <c r="BD465" s="241"/>
      <c r="BE465" s="27"/>
      <c r="BF465" s="28"/>
      <c r="BG465" s="241"/>
      <c r="BH465" s="27"/>
      <c r="BI465" s="28"/>
      <c r="BK465" s="449"/>
      <c r="BL465" s="449"/>
      <c r="BM465" s="449"/>
      <c r="BN465" s="449"/>
    </row>
    <row r="466" spans="1:66" s="29" customFormat="1" ht="14.4" hidden="1" customHeight="1" outlineLevel="2" x14ac:dyDescent="0.3">
      <c r="A466" s="204" t="s">
        <v>195</v>
      </c>
      <c r="B466" s="2"/>
      <c r="C466" s="60"/>
      <c r="D466" s="61"/>
      <c r="E466" s="206"/>
      <c r="F466" s="41"/>
      <c r="G466" s="56"/>
      <c r="H466" s="241"/>
      <c r="I466" s="27">
        <v>0</v>
      </c>
      <c r="J466" s="28"/>
      <c r="K466" s="241"/>
      <c r="L466" s="27">
        <v>0</v>
      </c>
      <c r="M466" s="28"/>
      <c r="N466" s="241"/>
      <c r="O466" s="27">
        <v>0</v>
      </c>
      <c r="P466" s="28"/>
      <c r="Q466" s="241"/>
      <c r="R466" s="27">
        <v>0</v>
      </c>
      <c r="S466" s="28"/>
      <c r="T466" s="241"/>
      <c r="U466" s="27">
        <v>0</v>
      </c>
      <c r="V466" s="28"/>
      <c r="W466" s="241"/>
      <c r="X466" s="27">
        <v>0</v>
      </c>
      <c r="Y466" s="28"/>
      <c r="Z466" s="241"/>
      <c r="AA466" s="27">
        <v>0</v>
      </c>
      <c r="AB466" s="28"/>
      <c r="AC466" s="241"/>
      <c r="AD466" s="27">
        <v>0</v>
      </c>
      <c r="AE466" s="28"/>
      <c r="AF466" s="241"/>
      <c r="AG466" s="27">
        <v>0</v>
      </c>
      <c r="AH466" s="28"/>
      <c r="AI466" s="241"/>
      <c r="AJ466" s="27">
        <v>0</v>
      </c>
      <c r="AK466" s="28"/>
      <c r="AL466" s="241"/>
      <c r="AM466" s="27">
        <v>0</v>
      </c>
      <c r="AN466" s="28"/>
      <c r="AO466" s="241"/>
      <c r="AP466" s="27">
        <v>0</v>
      </c>
      <c r="AQ466" s="28"/>
      <c r="AR466" s="241"/>
      <c r="AS466" s="27"/>
      <c r="AT466" s="28"/>
      <c r="AU466" s="241"/>
      <c r="AV466" s="27"/>
      <c r="AW466" s="28"/>
      <c r="AX466" s="241"/>
      <c r="AY466" s="27"/>
      <c r="AZ466" s="28"/>
      <c r="BA466" s="241"/>
      <c r="BB466" s="27"/>
      <c r="BC466" s="28"/>
      <c r="BD466" s="241"/>
      <c r="BE466" s="27"/>
      <c r="BF466" s="28"/>
      <c r="BG466" s="241"/>
      <c r="BH466" s="27"/>
      <c r="BI466" s="28"/>
      <c r="BK466" s="449"/>
      <c r="BL466" s="449"/>
      <c r="BM466" s="449"/>
      <c r="BN466" s="449"/>
    </row>
    <row r="467" spans="1:66" s="29" customFormat="1" ht="14.4" hidden="1" customHeight="1" outlineLevel="2" x14ac:dyDescent="0.3">
      <c r="A467" s="204" t="s">
        <v>196</v>
      </c>
      <c r="B467" s="2"/>
      <c r="C467" s="60"/>
      <c r="D467" s="61"/>
      <c r="E467" s="206"/>
      <c r="F467" s="41"/>
      <c r="G467" s="56"/>
      <c r="H467" s="241"/>
      <c r="I467" s="27">
        <v>0</v>
      </c>
      <c r="J467" s="28"/>
      <c r="K467" s="241"/>
      <c r="L467" s="27">
        <v>0</v>
      </c>
      <c r="M467" s="28"/>
      <c r="N467" s="241"/>
      <c r="O467" s="27">
        <v>0</v>
      </c>
      <c r="P467" s="28"/>
      <c r="Q467" s="241"/>
      <c r="R467" s="27">
        <v>0</v>
      </c>
      <c r="S467" s="28"/>
      <c r="T467" s="241"/>
      <c r="U467" s="27">
        <v>0</v>
      </c>
      <c r="V467" s="28"/>
      <c r="W467" s="241"/>
      <c r="X467" s="27">
        <v>0</v>
      </c>
      <c r="Y467" s="28"/>
      <c r="Z467" s="241"/>
      <c r="AA467" s="27">
        <v>0</v>
      </c>
      <c r="AB467" s="28"/>
      <c r="AC467" s="241"/>
      <c r="AD467" s="27">
        <v>0</v>
      </c>
      <c r="AE467" s="28"/>
      <c r="AF467" s="241"/>
      <c r="AG467" s="27">
        <v>0</v>
      </c>
      <c r="AH467" s="28"/>
      <c r="AI467" s="241"/>
      <c r="AJ467" s="27">
        <v>0</v>
      </c>
      <c r="AK467" s="28"/>
      <c r="AL467" s="241"/>
      <c r="AM467" s="27">
        <v>0</v>
      </c>
      <c r="AN467" s="28"/>
      <c r="AO467" s="241"/>
      <c r="AP467" s="27">
        <v>0</v>
      </c>
      <c r="AQ467" s="28"/>
      <c r="AR467" s="241"/>
      <c r="AS467" s="27"/>
      <c r="AT467" s="28"/>
      <c r="AU467" s="241"/>
      <c r="AV467" s="27"/>
      <c r="AW467" s="28"/>
      <c r="AX467" s="241"/>
      <c r="AY467" s="27"/>
      <c r="AZ467" s="28"/>
      <c r="BA467" s="241"/>
      <c r="BB467" s="27"/>
      <c r="BC467" s="28"/>
      <c r="BD467" s="241"/>
      <c r="BE467" s="27"/>
      <c r="BF467" s="28"/>
      <c r="BG467" s="241"/>
      <c r="BH467" s="27"/>
      <c r="BI467" s="28"/>
      <c r="BK467" s="449"/>
      <c r="BL467" s="449"/>
      <c r="BM467" s="449"/>
      <c r="BN467" s="449"/>
    </row>
    <row r="468" spans="1:66" s="29" customFormat="1" ht="14.4" hidden="1" customHeight="1" outlineLevel="2" x14ac:dyDescent="0.3">
      <c r="A468" s="204" t="s">
        <v>197</v>
      </c>
      <c r="B468" s="2"/>
      <c r="C468" s="60"/>
      <c r="D468" s="61"/>
      <c r="E468" s="206"/>
      <c r="F468" s="41"/>
      <c r="G468" s="56"/>
      <c r="H468" s="241"/>
      <c r="I468" s="27">
        <v>0</v>
      </c>
      <c r="J468" s="28"/>
      <c r="K468" s="241"/>
      <c r="L468" s="27">
        <v>0</v>
      </c>
      <c r="M468" s="28"/>
      <c r="N468" s="241"/>
      <c r="O468" s="27">
        <v>0</v>
      </c>
      <c r="P468" s="28"/>
      <c r="Q468" s="241"/>
      <c r="R468" s="27">
        <v>0</v>
      </c>
      <c r="S468" s="28"/>
      <c r="T468" s="241"/>
      <c r="U468" s="27">
        <v>0</v>
      </c>
      <c r="V468" s="28"/>
      <c r="W468" s="241"/>
      <c r="X468" s="27">
        <v>0</v>
      </c>
      <c r="Y468" s="28"/>
      <c r="Z468" s="241"/>
      <c r="AA468" s="27">
        <v>0</v>
      </c>
      <c r="AB468" s="28"/>
      <c r="AC468" s="241"/>
      <c r="AD468" s="27">
        <v>0</v>
      </c>
      <c r="AE468" s="28"/>
      <c r="AF468" s="241"/>
      <c r="AG468" s="27">
        <v>0</v>
      </c>
      <c r="AH468" s="28"/>
      <c r="AI468" s="241"/>
      <c r="AJ468" s="27">
        <v>0</v>
      </c>
      <c r="AK468" s="28"/>
      <c r="AL468" s="241"/>
      <c r="AM468" s="27">
        <v>0</v>
      </c>
      <c r="AN468" s="28"/>
      <c r="AO468" s="241"/>
      <c r="AP468" s="27">
        <v>0</v>
      </c>
      <c r="AQ468" s="28"/>
      <c r="AR468" s="241"/>
      <c r="AS468" s="27"/>
      <c r="AT468" s="28"/>
      <c r="AU468" s="241"/>
      <c r="AV468" s="27"/>
      <c r="AW468" s="28"/>
      <c r="AX468" s="241"/>
      <c r="AY468" s="27"/>
      <c r="AZ468" s="28"/>
      <c r="BA468" s="241"/>
      <c r="BB468" s="27"/>
      <c r="BC468" s="28"/>
      <c r="BD468" s="241"/>
      <c r="BE468" s="27"/>
      <c r="BF468" s="28"/>
      <c r="BG468" s="241"/>
      <c r="BH468" s="27"/>
      <c r="BI468" s="28"/>
      <c r="BK468" s="449"/>
      <c r="BL468" s="449"/>
      <c r="BM468" s="449"/>
      <c r="BN468" s="449"/>
    </row>
    <row r="469" spans="1:66" s="29" customFormat="1" ht="14.4" hidden="1" customHeight="1" outlineLevel="2" x14ac:dyDescent="0.3">
      <c r="A469" s="204" t="s">
        <v>198</v>
      </c>
      <c r="B469" s="2"/>
      <c r="C469" s="60"/>
      <c r="D469" s="61"/>
      <c r="E469" s="206"/>
      <c r="F469" s="41"/>
      <c r="G469" s="56"/>
      <c r="H469" s="241"/>
      <c r="I469" s="27">
        <v>0</v>
      </c>
      <c r="J469" s="28"/>
      <c r="K469" s="241"/>
      <c r="L469" s="27">
        <v>0</v>
      </c>
      <c r="M469" s="28"/>
      <c r="N469" s="241"/>
      <c r="O469" s="27">
        <v>0</v>
      </c>
      <c r="P469" s="28"/>
      <c r="Q469" s="241"/>
      <c r="R469" s="27">
        <v>0</v>
      </c>
      <c r="S469" s="28"/>
      <c r="T469" s="241"/>
      <c r="U469" s="27">
        <v>0</v>
      </c>
      <c r="V469" s="28"/>
      <c r="W469" s="241"/>
      <c r="X469" s="27">
        <v>0</v>
      </c>
      <c r="Y469" s="28"/>
      <c r="Z469" s="241"/>
      <c r="AA469" s="27">
        <v>0</v>
      </c>
      <c r="AB469" s="28"/>
      <c r="AC469" s="241"/>
      <c r="AD469" s="27">
        <v>0</v>
      </c>
      <c r="AE469" s="28"/>
      <c r="AF469" s="241"/>
      <c r="AG469" s="27">
        <v>0</v>
      </c>
      <c r="AH469" s="28"/>
      <c r="AI469" s="241"/>
      <c r="AJ469" s="27">
        <v>0</v>
      </c>
      <c r="AK469" s="28"/>
      <c r="AL469" s="241"/>
      <c r="AM469" s="27">
        <v>0</v>
      </c>
      <c r="AN469" s="28"/>
      <c r="AO469" s="241"/>
      <c r="AP469" s="27">
        <v>0</v>
      </c>
      <c r="AQ469" s="28"/>
      <c r="AR469" s="241"/>
      <c r="AS469" s="27"/>
      <c r="AT469" s="28"/>
      <c r="AU469" s="241"/>
      <c r="AV469" s="27"/>
      <c r="AW469" s="28"/>
      <c r="AX469" s="241"/>
      <c r="AY469" s="27"/>
      <c r="AZ469" s="28"/>
      <c r="BA469" s="241"/>
      <c r="BB469" s="27"/>
      <c r="BC469" s="28"/>
      <c r="BD469" s="241"/>
      <c r="BE469" s="27"/>
      <c r="BF469" s="28"/>
      <c r="BG469" s="241"/>
      <c r="BH469" s="27"/>
      <c r="BI469" s="28"/>
      <c r="BK469" s="449"/>
      <c r="BL469" s="449"/>
      <c r="BM469" s="449"/>
      <c r="BN469" s="449"/>
    </row>
    <row r="470" spans="1:66" s="29" customFormat="1" ht="14.4" hidden="1" customHeight="1" outlineLevel="2" x14ac:dyDescent="0.3">
      <c r="A470" s="204" t="s">
        <v>199</v>
      </c>
      <c r="B470" s="2"/>
      <c r="C470" s="60"/>
      <c r="D470" s="61"/>
      <c r="E470" s="206"/>
      <c r="F470" s="41"/>
      <c r="G470" s="56"/>
      <c r="H470" s="241"/>
      <c r="I470" s="27">
        <v>0</v>
      </c>
      <c r="J470" s="28"/>
      <c r="K470" s="241"/>
      <c r="L470" s="27">
        <v>0</v>
      </c>
      <c r="M470" s="28"/>
      <c r="N470" s="241"/>
      <c r="O470" s="27">
        <v>0</v>
      </c>
      <c r="P470" s="28"/>
      <c r="Q470" s="241"/>
      <c r="R470" s="27">
        <v>0</v>
      </c>
      <c r="S470" s="28"/>
      <c r="T470" s="241"/>
      <c r="U470" s="27">
        <v>0</v>
      </c>
      <c r="V470" s="28"/>
      <c r="W470" s="241"/>
      <c r="X470" s="27">
        <v>0</v>
      </c>
      <c r="Y470" s="28"/>
      <c r="Z470" s="241"/>
      <c r="AA470" s="27">
        <v>0</v>
      </c>
      <c r="AB470" s="28"/>
      <c r="AC470" s="241"/>
      <c r="AD470" s="27">
        <v>0</v>
      </c>
      <c r="AE470" s="28"/>
      <c r="AF470" s="241"/>
      <c r="AG470" s="27">
        <v>0</v>
      </c>
      <c r="AH470" s="28"/>
      <c r="AI470" s="241"/>
      <c r="AJ470" s="27">
        <v>0</v>
      </c>
      <c r="AK470" s="28"/>
      <c r="AL470" s="241"/>
      <c r="AM470" s="27">
        <v>0</v>
      </c>
      <c r="AN470" s="28"/>
      <c r="AO470" s="241"/>
      <c r="AP470" s="27">
        <v>0</v>
      </c>
      <c r="AQ470" s="28"/>
      <c r="AR470" s="241"/>
      <c r="AS470" s="27"/>
      <c r="AT470" s="28"/>
      <c r="AU470" s="241"/>
      <c r="AV470" s="27"/>
      <c r="AW470" s="28"/>
      <c r="AX470" s="241"/>
      <c r="AY470" s="27"/>
      <c r="AZ470" s="28"/>
      <c r="BA470" s="241"/>
      <c r="BB470" s="27"/>
      <c r="BC470" s="28"/>
      <c r="BD470" s="241"/>
      <c r="BE470" s="27"/>
      <c r="BF470" s="28"/>
      <c r="BG470" s="241"/>
      <c r="BH470" s="27"/>
      <c r="BI470" s="28"/>
      <c r="BK470" s="449"/>
      <c r="BL470" s="449"/>
      <c r="BM470" s="449"/>
      <c r="BN470" s="449"/>
    </row>
    <row r="471" spans="1:66" s="29" customFormat="1" ht="14.4" hidden="1" customHeight="1" outlineLevel="2" x14ac:dyDescent="0.3">
      <c r="A471" s="204" t="s">
        <v>200</v>
      </c>
      <c r="B471" s="2"/>
      <c r="C471" s="60"/>
      <c r="D471" s="61"/>
      <c r="E471" s="206"/>
      <c r="F471" s="41"/>
      <c r="G471" s="56"/>
      <c r="H471" s="241"/>
      <c r="I471" s="27">
        <v>0</v>
      </c>
      <c r="J471" s="28"/>
      <c r="K471" s="241"/>
      <c r="L471" s="27">
        <v>0</v>
      </c>
      <c r="M471" s="28"/>
      <c r="N471" s="241"/>
      <c r="O471" s="27">
        <v>0</v>
      </c>
      <c r="P471" s="28"/>
      <c r="Q471" s="241"/>
      <c r="R471" s="27">
        <v>0</v>
      </c>
      <c r="S471" s="28"/>
      <c r="T471" s="241"/>
      <c r="U471" s="27">
        <v>0</v>
      </c>
      <c r="V471" s="28"/>
      <c r="W471" s="241"/>
      <c r="X471" s="27">
        <v>0</v>
      </c>
      <c r="Y471" s="28"/>
      <c r="Z471" s="241"/>
      <c r="AA471" s="27">
        <v>0</v>
      </c>
      <c r="AB471" s="28"/>
      <c r="AC471" s="241"/>
      <c r="AD471" s="27">
        <v>0</v>
      </c>
      <c r="AE471" s="28"/>
      <c r="AF471" s="241"/>
      <c r="AG471" s="27">
        <v>0</v>
      </c>
      <c r="AH471" s="28"/>
      <c r="AI471" s="241"/>
      <c r="AJ471" s="27">
        <v>0</v>
      </c>
      <c r="AK471" s="28"/>
      <c r="AL471" s="241"/>
      <c r="AM471" s="27">
        <v>0</v>
      </c>
      <c r="AN471" s="28"/>
      <c r="AO471" s="241"/>
      <c r="AP471" s="27">
        <v>0</v>
      </c>
      <c r="AQ471" s="28"/>
      <c r="AR471" s="241"/>
      <c r="AS471" s="27"/>
      <c r="AT471" s="28"/>
      <c r="AU471" s="241"/>
      <c r="AV471" s="27"/>
      <c r="AW471" s="28"/>
      <c r="AX471" s="241"/>
      <c r="AY471" s="27"/>
      <c r="AZ471" s="28"/>
      <c r="BA471" s="241"/>
      <c r="BB471" s="27"/>
      <c r="BC471" s="28"/>
      <c r="BD471" s="241"/>
      <c r="BE471" s="27"/>
      <c r="BF471" s="28"/>
      <c r="BG471" s="241"/>
      <c r="BH471" s="27"/>
      <c r="BI471" s="28"/>
      <c r="BK471" s="449"/>
      <c r="BL471" s="449"/>
      <c r="BM471" s="449"/>
      <c r="BN471" s="449"/>
    </row>
    <row r="472" spans="1:66" s="29" customFormat="1" ht="14.4" hidden="1" customHeight="1" outlineLevel="2" x14ac:dyDescent="0.3">
      <c r="A472" s="204" t="s">
        <v>201</v>
      </c>
      <c r="B472" s="2"/>
      <c r="C472" s="60"/>
      <c r="D472" s="61"/>
      <c r="E472" s="206"/>
      <c r="F472" s="41"/>
      <c r="G472" s="56"/>
      <c r="H472" s="241"/>
      <c r="I472" s="27">
        <v>0</v>
      </c>
      <c r="J472" s="28"/>
      <c r="K472" s="241"/>
      <c r="L472" s="27">
        <v>0</v>
      </c>
      <c r="M472" s="28"/>
      <c r="N472" s="241"/>
      <c r="O472" s="27">
        <v>0</v>
      </c>
      <c r="P472" s="28"/>
      <c r="Q472" s="241"/>
      <c r="R472" s="27">
        <v>0</v>
      </c>
      <c r="S472" s="28"/>
      <c r="T472" s="241"/>
      <c r="U472" s="27">
        <v>0</v>
      </c>
      <c r="V472" s="28"/>
      <c r="W472" s="241"/>
      <c r="X472" s="27">
        <v>0</v>
      </c>
      <c r="Y472" s="28"/>
      <c r="Z472" s="241"/>
      <c r="AA472" s="27">
        <v>0</v>
      </c>
      <c r="AB472" s="28"/>
      <c r="AC472" s="241"/>
      <c r="AD472" s="27">
        <v>0</v>
      </c>
      <c r="AE472" s="28"/>
      <c r="AF472" s="241"/>
      <c r="AG472" s="27">
        <v>0</v>
      </c>
      <c r="AH472" s="28"/>
      <c r="AI472" s="241"/>
      <c r="AJ472" s="27">
        <v>0</v>
      </c>
      <c r="AK472" s="28"/>
      <c r="AL472" s="241"/>
      <c r="AM472" s="27">
        <v>0</v>
      </c>
      <c r="AN472" s="28"/>
      <c r="AO472" s="241"/>
      <c r="AP472" s="27">
        <v>0</v>
      </c>
      <c r="AQ472" s="28"/>
      <c r="AR472" s="241"/>
      <c r="AS472" s="27"/>
      <c r="AT472" s="28"/>
      <c r="AU472" s="241"/>
      <c r="AV472" s="27"/>
      <c r="AW472" s="28"/>
      <c r="AX472" s="241"/>
      <c r="AY472" s="27"/>
      <c r="AZ472" s="28"/>
      <c r="BA472" s="241"/>
      <c r="BB472" s="27"/>
      <c r="BC472" s="28"/>
      <c r="BD472" s="241"/>
      <c r="BE472" s="27"/>
      <c r="BF472" s="28"/>
      <c r="BG472" s="241"/>
      <c r="BH472" s="27"/>
      <c r="BI472" s="28"/>
      <c r="BK472" s="449"/>
      <c r="BL472" s="449"/>
      <c r="BM472" s="449"/>
      <c r="BN472" s="449"/>
    </row>
    <row r="473" spans="1:66" s="29" customFormat="1" ht="14.4" hidden="1" customHeight="1" outlineLevel="2" x14ac:dyDescent="0.3">
      <c r="A473" s="163"/>
      <c r="B473" s="23"/>
      <c r="C473" s="3"/>
      <c r="D473" s="4"/>
      <c r="E473" s="4"/>
      <c r="F473" s="23"/>
      <c r="G473" s="56"/>
      <c r="H473" s="273"/>
      <c r="I473" s="23"/>
      <c r="J473" s="164"/>
      <c r="K473" s="273"/>
      <c r="L473" s="23"/>
      <c r="M473" s="164"/>
      <c r="N473" s="273"/>
      <c r="O473" s="23"/>
      <c r="P473" s="164"/>
      <c r="Q473" s="273"/>
      <c r="R473" s="23"/>
      <c r="S473" s="164"/>
      <c r="T473" s="273"/>
      <c r="U473" s="23"/>
      <c r="V473" s="164"/>
      <c r="W473" s="273"/>
      <c r="X473" s="23"/>
      <c r="Y473" s="164"/>
      <c r="Z473" s="273"/>
      <c r="AA473" s="23"/>
      <c r="AB473" s="164"/>
      <c r="AC473" s="273"/>
      <c r="AD473" s="23"/>
      <c r="AE473" s="164"/>
      <c r="AF473" s="273"/>
      <c r="AG473" s="23"/>
      <c r="AH473" s="164"/>
      <c r="AI473" s="273"/>
      <c r="AJ473" s="23"/>
      <c r="AK473" s="164"/>
      <c r="AL473" s="273"/>
      <c r="AM473" s="23"/>
      <c r="AN473" s="164"/>
      <c r="AO473" s="273"/>
      <c r="AP473" s="23"/>
      <c r="AQ473" s="164"/>
      <c r="AR473" s="273"/>
      <c r="AS473" s="23"/>
      <c r="AT473" s="164"/>
      <c r="AU473" s="273"/>
      <c r="AV473" s="23"/>
      <c r="AW473" s="164"/>
      <c r="AX473" s="273"/>
      <c r="AY473" s="23"/>
      <c r="AZ473" s="164"/>
      <c r="BA473" s="273"/>
      <c r="BB473" s="23"/>
      <c r="BC473" s="164"/>
      <c r="BD473" s="273"/>
      <c r="BE473" s="23"/>
      <c r="BF473" s="164"/>
      <c r="BG473" s="273"/>
      <c r="BH473" s="23"/>
      <c r="BI473" s="164"/>
      <c r="BK473" s="449"/>
      <c r="BL473" s="449"/>
      <c r="BM473" s="449"/>
      <c r="BN473" s="449"/>
    </row>
    <row r="474" spans="1:66" s="29" customFormat="1" ht="14.4" hidden="1" customHeight="1" outlineLevel="2" x14ac:dyDescent="0.3">
      <c r="A474" s="200" t="s">
        <v>427</v>
      </c>
      <c r="B474" s="59"/>
      <c r="C474" s="201"/>
      <c r="D474" s="41"/>
      <c r="E474" s="41"/>
      <c r="F474" s="63"/>
      <c r="G474" s="56"/>
      <c r="H474" s="211"/>
      <c r="I474" s="202"/>
      <c r="J474" s="203"/>
      <c r="K474" s="211"/>
      <c r="L474" s="202"/>
      <c r="M474" s="203"/>
      <c r="N474" s="211"/>
      <c r="O474" s="202"/>
      <c r="P474" s="203"/>
      <c r="Q474" s="211"/>
      <c r="R474" s="202"/>
      <c r="S474" s="203"/>
      <c r="T474" s="211"/>
      <c r="U474" s="202"/>
      <c r="V474" s="203"/>
      <c r="W474" s="211"/>
      <c r="X474" s="202"/>
      <c r="Y474" s="203"/>
      <c r="Z474" s="211"/>
      <c r="AA474" s="202"/>
      <c r="AB474" s="203"/>
      <c r="AC474" s="211"/>
      <c r="AD474" s="202"/>
      <c r="AE474" s="203"/>
      <c r="AF474" s="211"/>
      <c r="AG474" s="202"/>
      <c r="AH474" s="203"/>
      <c r="AI474" s="211"/>
      <c r="AJ474" s="202"/>
      <c r="AK474" s="203"/>
      <c r="AL474" s="211"/>
      <c r="AM474" s="202"/>
      <c r="AN474" s="203"/>
      <c r="AO474" s="211"/>
      <c r="AP474" s="202"/>
      <c r="AQ474" s="203"/>
      <c r="AR474" s="211"/>
      <c r="AS474" s="202"/>
      <c r="AT474" s="203"/>
      <c r="AU474" s="211"/>
      <c r="AV474" s="202"/>
      <c r="AW474" s="203"/>
      <c r="AX474" s="211"/>
      <c r="AY474" s="202"/>
      <c r="AZ474" s="203"/>
      <c r="BA474" s="211"/>
      <c r="BB474" s="202"/>
      <c r="BC474" s="203"/>
      <c r="BD474" s="211"/>
      <c r="BE474" s="202"/>
      <c r="BF474" s="203"/>
      <c r="BG474" s="211"/>
      <c r="BH474" s="202"/>
      <c r="BI474" s="203"/>
      <c r="BK474" s="449"/>
      <c r="BL474" s="449"/>
      <c r="BM474" s="449"/>
      <c r="BN474" s="449"/>
    </row>
    <row r="475" spans="1:66" s="29" customFormat="1" ht="14.4" hidden="1" customHeight="1" outlineLevel="2" x14ac:dyDescent="0.3">
      <c r="A475" s="200" t="s">
        <v>130</v>
      </c>
      <c r="B475" s="59"/>
      <c r="C475" s="201"/>
      <c r="D475" s="41"/>
      <c r="E475" s="41"/>
      <c r="F475" s="63"/>
      <c r="G475" s="56"/>
      <c r="H475" s="211"/>
      <c r="I475" s="202"/>
      <c r="J475" s="203"/>
      <c r="K475" s="211"/>
      <c r="L475" s="202"/>
      <c r="M475" s="203"/>
      <c r="N475" s="211"/>
      <c r="O475" s="202"/>
      <c r="P475" s="203"/>
      <c r="Q475" s="211"/>
      <c r="R475" s="202"/>
      <c r="S475" s="203"/>
      <c r="T475" s="211"/>
      <c r="U475" s="202"/>
      <c r="V475" s="203"/>
      <c r="W475" s="211"/>
      <c r="X475" s="202"/>
      <c r="Y475" s="203"/>
      <c r="Z475" s="211"/>
      <c r="AA475" s="202"/>
      <c r="AB475" s="203"/>
      <c r="AC475" s="211"/>
      <c r="AD475" s="202"/>
      <c r="AE475" s="203"/>
      <c r="AF475" s="211"/>
      <c r="AG475" s="202"/>
      <c r="AH475" s="203"/>
      <c r="AI475" s="211"/>
      <c r="AJ475" s="202"/>
      <c r="AK475" s="203"/>
      <c r="AL475" s="211"/>
      <c r="AM475" s="202"/>
      <c r="AN475" s="203"/>
      <c r="AO475" s="211"/>
      <c r="AP475" s="202"/>
      <c r="AQ475" s="203"/>
      <c r="AR475" s="211"/>
      <c r="AS475" s="202"/>
      <c r="AT475" s="203"/>
      <c r="AU475" s="211"/>
      <c r="AV475" s="202"/>
      <c r="AW475" s="203"/>
      <c r="AX475" s="211"/>
      <c r="AY475" s="202"/>
      <c r="AZ475" s="203"/>
      <c r="BA475" s="211"/>
      <c r="BB475" s="202"/>
      <c r="BC475" s="203"/>
      <c r="BD475" s="211"/>
      <c r="BE475" s="202"/>
      <c r="BF475" s="203"/>
      <c r="BG475" s="211"/>
      <c r="BH475" s="202"/>
      <c r="BI475" s="203"/>
      <c r="BK475" s="449"/>
      <c r="BL475" s="449"/>
      <c r="BM475" s="449"/>
      <c r="BN475" s="449"/>
    </row>
    <row r="476" spans="1:66" s="29" customFormat="1" ht="14.4" hidden="1" customHeight="1" outlineLevel="2" x14ac:dyDescent="0.3">
      <c r="A476" s="204" t="s">
        <v>131</v>
      </c>
      <c r="B476" s="2"/>
      <c r="C476" s="201"/>
      <c r="D476" s="41"/>
      <c r="E476" s="41"/>
      <c r="F476" s="41"/>
      <c r="G476" s="56"/>
      <c r="H476" s="241"/>
      <c r="I476" s="27">
        <v>-10000</v>
      </c>
      <c r="J476" s="28"/>
      <c r="K476" s="241"/>
      <c r="L476" s="27">
        <v>-10000</v>
      </c>
      <c r="M476" s="28"/>
      <c r="N476" s="241"/>
      <c r="O476" s="27">
        <v>-10000</v>
      </c>
      <c r="P476" s="28"/>
      <c r="Q476" s="241"/>
      <c r="R476" s="27">
        <v>-10000</v>
      </c>
      <c r="S476" s="28"/>
      <c r="T476" s="241"/>
      <c r="U476" s="27">
        <v>-10000</v>
      </c>
      <c r="V476" s="28"/>
      <c r="W476" s="241"/>
      <c r="X476" s="27">
        <v>-10000</v>
      </c>
      <c r="Y476" s="28"/>
      <c r="Z476" s="241"/>
      <c r="AA476" s="27">
        <v>-10000</v>
      </c>
      <c r="AB476" s="28"/>
      <c r="AC476" s="241"/>
      <c r="AD476" s="27">
        <v>-10000</v>
      </c>
      <c r="AE476" s="28"/>
      <c r="AF476" s="241"/>
      <c r="AG476" s="27">
        <v>-10000</v>
      </c>
      <c r="AH476" s="28"/>
      <c r="AI476" s="241"/>
      <c r="AJ476" s="27">
        <v>-10000</v>
      </c>
      <c r="AK476" s="28"/>
      <c r="AL476" s="241"/>
      <c r="AM476" s="27">
        <v>-10000</v>
      </c>
      <c r="AN476" s="28"/>
      <c r="AO476" s="241"/>
      <c r="AP476" s="27">
        <v>-10000</v>
      </c>
      <c r="AQ476" s="28"/>
      <c r="AR476" s="241"/>
      <c r="AS476" s="27"/>
      <c r="AT476" s="28"/>
      <c r="AU476" s="241"/>
      <c r="AV476" s="27"/>
      <c r="AW476" s="28"/>
      <c r="AX476" s="241"/>
      <c r="AY476" s="27"/>
      <c r="AZ476" s="28"/>
      <c r="BA476" s="241"/>
      <c r="BB476" s="27"/>
      <c r="BC476" s="28"/>
      <c r="BD476" s="241"/>
      <c r="BE476" s="27"/>
      <c r="BF476" s="28"/>
      <c r="BG476" s="241"/>
      <c r="BH476" s="27"/>
      <c r="BI476" s="28"/>
      <c r="BK476" s="449"/>
      <c r="BL476" s="449"/>
      <c r="BM476" s="449"/>
      <c r="BN476" s="449"/>
    </row>
    <row r="477" spans="1:66" s="29" customFormat="1" ht="14.4" hidden="1" customHeight="1" outlineLevel="2" x14ac:dyDescent="0.3">
      <c r="A477" s="204" t="s">
        <v>132</v>
      </c>
      <c r="B477" s="2"/>
      <c r="C477" s="201"/>
      <c r="D477" s="41"/>
      <c r="E477" s="41"/>
      <c r="F477" s="41"/>
      <c r="G477" s="56"/>
      <c r="H477" s="241"/>
      <c r="I477" s="27">
        <v>-6600</v>
      </c>
      <c r="J477" s="28"/>
      <c r="K477" s="241"/>
      <c r="L477" s="27">
        <v>-6600</v>
      </c>
      <c r="M477" s="28"/>
      <c r="N477" s="241"/>
      <c r="O477" s="27">
        <v>-6600</v>
      </c>
      <c r="P477" s="28"/>
      <c r="Q477" s="241"/>
      <c r="R477" s="27">
        <v>-6600</v>
      </c>
      <c r="S477" s="28"/>
      <c r="T477" s="241"/>
      <c r="U477" s="27">
        <v>-6600</v>
      </c>
      <c r="V477" s="28"/>
      <c r="W477" s="241"/>
      <c r="X477" s="27">
        <v>-6600</v>
      </c>
      <c r="Y477" s="28"/>
      <c r="Z477" s="241"/>
      <c r="AA477" s="27">
        <v>-6600</v>
      </c>
      <c r="AB477" s="28"/>
      <c r="AC477" s="241"/>
      <c r="AD477" s="27">
        <v>-6600</v>
      </c>
      <c r="AE477" s="28"/>
      <c r="AF477" s="241"/>
      <c r="AG477" s="27">
        <v>-6600</v>
      </c>
      <c r="AH477" s="28"/>
      <c r="AI477" s="241"/>
      <c r="AJ477" s="27">
        <v>-6600</v>
      </c>
      <c r="AK477" s="28"/>
      <c r="AL477" s="241"/>
      <c r="AM477" s="27">
        <v>-6600</v>
      </c>
      <c r="AN477" s="28"/>
      <c r="AO477" s="241"/>
      <c r="AP477" s="27">
        <v>-6600</v>
      </c>
      <c r="AQ477" s="28"/>
      <c r="AR477" s="241"/>
      <c r="AS477" s="27"/>
      <c r="AT477" s="28"/>
      <c r="AU477" s="241"/>
      <c r="AV477" s="27"/>
      <c r="AW477" s="28"/>
      <c r="AX477" s="241"/>
      <c r="AY477" s="27"/>
      <c r="AZ477" s="28"/>
      <c r="BA477" s="241"/>
      <c r="BB477" s="27"/>
      <c r="BC477" s="28"/>
      <c r="BD477" s="241"/>
      <c r="BE477" s="27"/>
      <c r="BF477" s="28"/>
      <c r="BG477" s="241"/>
      <c r="BH477" s="27"/>
      <c r="BI477" s="28"/>
      <c r="BK477" s="449"/>
      <c r="BL477" s="449"/>
      <c r="BM477" s="449"/>
      <c r="BN477" s="449"/>
    </row>
    <row r="478" spans="1:66" s="29" customFormat="1" ht="14.4" hidden="1" customHeight="1" outlineLevel="2" x14ac:dyDescent="0.3">
      <c r="A478" s="204" t="s">
        <v>133</v>
      </c>
      <c r="B478" s="2"/>
      <c r="C478" s="201"/>
      <c r="D478" s="41"/>
      <c r="E478" s="41"/>
      <c r="F478" s="41"/>
      <c r="G478" s="56"/>
      <c r="H478" s="241"/>
      <c r="I478" s="27">
        <v>0</v>
      </c>
      <c r="J478" s="28"/>
      <c r="K478" s="241"/>
      <c r="L478" s="27">
        <v>0</v>
      </c>
      <c r="M478" s="28"/>
      <c r="N478" s="241"/>
      <c r="O478" s="27">
        <v>0</v>
      </c>
      <c r="P478" s="28"/>
      <c r="Q478" s="241"/>
      <c r="R478" s="27">
        <v>0</v>
      </c>
      <c r="S478" s="28"/>
      <c r="T478" s="241"/>
      <c r="U478" s="27">
        <v>0</v>
      </c>
      <c r="V478" s="28"/>
      <c r="W478" s="241"/>
      <c r="X478" s="27">
        <v>0</v>
      </c>
      <c r="Y478" s="28"/>
      <c r="Z478" s="241"/>
      <c r="AA478" s="27">
        <v>0</v>
      </c>
      <c r="AB478" s="28"/>
      <c r="AC478" s="241"/>
      <c r="AD478" s="27">
        <v>0</v>
      </c>
      <c r="AE478" s="28"/>
      <c r="AF478" s="241"/>
      <c r="AG478" s="27">
        <v>0</v>
      </c>
      <c r="AH478" s="28"/>
      <c r="AI478" s="241"/>
      <c r="AJ478" s="27">
        <v>0</v>
      </c>
      <c r="AK478" s="28"/>
      <c r="AL478" s="241"/>
      <c r="AM478" s="27">
        <v>0</v>
      </c>
      <c r="AN478" s="28"/>
      <c r="AO478" s="241"/>
      <c r="AP478" s="27">
        <v>0</v>
      </c>
      <c r="AQ478" s="28"/>
      <c r="AR478" s="241"/>
      <c r="AS478" s="27"/>
      <c r="AT478" s="28"/>
      <c r="AU478" s="241"/>
      <c r="AV478" s="27"/>
      <c r="AW478" s="28"/>
      <c r="AX478" s="241"/>
      <c r="AY478" s="27"/>
      <c r="AZ478" s="28"/>
      <c r="BA478" s="241"/>
      <c r="BB478" s="27"/>
      <c r="BC478" s="28"/>
      <c r="BD478" s="241"/>
      <c r="BE478" s="27"/>
      <c r="BF478" s="28"/>
      <c r="BG478" s="241"/>
      <c r="BH478" s="27"/>
      <c r="BI478" s="28"/>
      <c r="BK478" s="449"/>
      <c r="BL478" s="449"/>
      <c r="BM478" s="449"/>
      <c r="BN478" s="449"/>
    </row>
    <row r="479" spans="1:66" s="29" customFormat="1" ht="14.4" hidden="1" customHeight="1" outlineLevel="2" x14ac:dyDescent="0.3">
      <c r="A479" s="204" t="s">
        <v>134</v>
      </c>
      <c r="B479" s="2"/>
      <c r="C479" s="201"/>
      <c r="D479" s="41"/>
      <c r="E479" s="41"/>
      <c r="F479" s="41"/>
      <c r="G479" s="56"/>
      <c r="H479" s="241"/>
      <c r="I479" s="27">
        <v>-4200</v>
      </c>
      <c r="J479" s="28"/>
      <c r="K479" s="241"/>
      <c r="L479" s="27">
        <v>-4200</v>
      </c>
      <c r="M479" s="28"/>
      <c r="N479" s="241"/>
      <c r="O479" s="27">
        <v>-4200</v>
      </c>
      <c r="P479" s="28"/>
      <c r="Q479" s="241"/>
      <c r="R479" s="27">
        <v>-4200</v>
      </c>
      <c r="S479" s="28"/>
      <c r="T479" s="241"/>
      <c r="U479" s="27">
        <v>-4200</v>
      </c>
      <c r="V479" s="28"/>
      <c r="W479" s="241"/>
      <c r="X479" s="27">
        <v>-4200</v>
      </c>
      <c r="Y479" s="28"/>
      <c r="Z479" s="241"/>
      <c r="AA479" s="27">
        <v>-4200</v>
      </c>
      <c r="AB479" s="28"/>
      <c r="AC479" s="241"/>
      <c r="AD479" s="27">
        <v>-4200</v>
      </c>
      <c r="AE479" s="28"/>
      <c r="AF479" s="241"/>
      <c r="AG479" s="27">
        <v>-4200</v>
      </c>
      <c r="AH479" s="28"/>
      <c r="AI479" s="241"/>
      <c r="AJ479" s="27">
        <v>-4200</v>
      </c>
      <c r="AK479" s="28"/>
      <c r="AL479" s="241"/>
      <c r="AM479" s="27">
        <v>-4200</v>
      </c>
      <c r="AN479" s="28"/>
      <c r="AO479" s="241"/>
      <c r="AP479" s="27">
        <v>-4200</v>
      </c>
      <c r="AQ479" s="28"/>
      <c r="AR479" s="241"/>
      <c r="AS479" s="27"/>
      <c r="AT479" s="28"/>
      <c r="AU479" s="241"/>
      <c r="AV479" s="27"/>
      <c r="AW479" s="28"/>
      <c r="AX479" s="241"/>
      <c r="AY479" s="27"/>
      <c r="AZ479" s="28"/>
      <c r="BA479" s="241"/>
      <c r="BB479" s="27"/>
      <c r="BC479" s="28"/>
      <c r="BD479" s="241"/>
      <c r="BE479" s="27"/>
      <c r="BF479" s="28"/>
      <c r="BG479" s="241"/>
      <c r="BH479" s="27"/>
      <c r="BI479" s="28"/>
      <c r="BK479" s="449"/>
      <c r="BL479" s="449"/>
      <c r="BM479" s="449"/>
      <c r="BN479" s="449"/>
    </row>
    <row r="480" spans="1:66" s="29" customFormat="1" ht="14.4" hidden="1" customHeight="1" outlineLevel="2" x14ac:dyDescent="0.3">
      <c r="A480" s="204" t="s">
        <v>135</v>
      </c>
      <c r="B480" s="2"/>
      <c r="C480" s="201"/>
      <c r="D480" s="41"/>
      <c r="E480" s="41"/>
      <c r="F480" s="41"/>
      <c r="G480" s="56"/>
      <c r="H480" s="241"/>
      <c r="I480" s="27">
        <v>0</v>
      </c>
      <c r="J480" s="28"/>
      <c r="K480" s="241"/>
      <c r="L480" s="27">
        <v>0</v>
      </c>
      <c r="M480" s="28"/>
      <c r="N480" s="241"/>
      <c r="O480" s="27">
        <v>0</v>
      </c>
      <c r="P480" s="28"/>
      <c r="Q480" s="241"/>
      <c r="R480" s="27">
        <v>0</v>
      </c>
      <c r="S480" s="28"/>
      <c r="T480" s="241"/>
      <c r="U480" s="27">
        <v>0</v>
      </c>
      <c r="V480" s="28"/>
      <c r="W480" s="241"/>
      <c r="X480" s="27">
        <v>0</v>
      </c>
      <c r="Y480" s="28"/>
      <c r="Z480" s="241"/>
      <c r="AA480" s="27">
        <v>0</v>
      </c>
      <c r="AB480" s="28"/>
      <c r="AC480" s="241"/>
      <c r="AD480" s="27">
        <v>0</v>
      </c>
      <c r="AE480" s="28"/>
      <c r="AF480" s="241"/>
      <c r="AG480" s="27">
        <v>0</v>
      </c>
      <c r="AH480" s="28"/>
      <c r="AI480" s="241"/>
      <c r="AJ480" s="27">
        <v>0</v>
      </c>
      <c r="AK480" s="28"/>
      <c r="AL480" s="241"/>
      <c r="AM480" s="27">
        <v>0</v>
      </c>
      <c r="AN480" s="28"/>
      <c r="AO480" s="241"/>
      <c r="AP480" s="27">
        <v>0</v>
      </c>
      <c r="AQ480" s="28"/>
      <c r="AR480" s="241"/>
      <c r="AS480" s="27"/>
      <c r="AT480" s="28"/>
      <c r="AU480" s="241"/>
      <c r="AV480" s="27"/>
      <c r="AW480" s="28"/>
      <c r="AX480" s="241"/>
      <c r="AY480" s="27"/>
      <c r="AZ480" s="28"/>
      <c r="BA480" s="241"/>
      <c r="BB480" s="27"/>
      <c r="BC480" s="28"/>
      <c r="BD480" s="241"/>
      <c r="BE480" s="27"/>
      <c r="BF480" s="28"/>
      <c r="BG480" s="241"/>
      <c r="BH480" s="27"/>
      <c r="BI480" s="28"/>
      <c r="BK480" s="449"/>
      <c r="BL480" s="449"/>
      <c r="BM480" s="449"/>
      <c r="BN480" s="449"/>
    </row>
    <row r="481" spans="1:66" s="29" customFormat="1" ht="14.4" hidden="1" customHeight="1" outlineLevel="2" x14ac:dyDescent="0.3">
      <c r="A481" s="204" t="s">
        <v>136</v>
      </c>
      <c r="B481" s="2"/>
      <c r="C481" s="201"/>
      <c r="D481" s="41"/>
      <c r="E481" s="41"/>
      <c r="F481" s="41"/>
      <c r="G481" s="56"/>
      <c r="H481" s="241"/>
      <c r="I481" s="27">
        <v>-6000</v>
      </c>
      <c r="J481" s="28"/>
      <c r="K481" s="241"/>
      <c r="L481" s="27">
        <v>-6000</v>
      </c>
      <c r="M481" s="28"/>
      <c r="N481" s="241"/>
      <c r="O481" s="27">
        <v>-6000</v>
      </c>
      <c r="P481" s="28"/>
      <c r="Q481" s="241"/>
      <c r="R481" s="27">
        <v>-6000</v>
      </c>
      <c r="S481" s="28"/>
      <c r="T481" s="241"/>
      <c r="U481" s="27">
        <v>-6000</v>
      </c>
      <c r="V481" s="28"/>
      <c r="W481" s="241"/>
      <c r="X481" s="27">
        <v>-6000</v>
      </c>
      <c r="Y481" s="28"/>
      <c r="Z481" s="241"/>
      <c r="AA481" s="27">
        <v>-6000</v>
      </c>
      <c r="AB481" s="28"/>
      <c r="AC481" s="241"/>
      <c r="AD481" s="27">
        <v>-6000</v>
      </c>
      <c r="AE481" s="28"/>
      <c r="AF481" s="241"/>
      <c r="AG481" s="27">
        <v>-6000</v>
      </c>
      <c r="AH481" s="28"/>
      <c r="AI481" s="241"/>
      <c r="AJ481" s="27">
        <v>-6000</v>
      </c>
      <c r="AK481" s="28"/>
      <c r="AL481" s="241"/>
      <c r="AM481" s="27">
        <v>-6000</v>
      </c>
      <c r="AN481" s="28"/>
      <c r="AO481" s="241"/>
      <c r="AP481" s="27">
        <v>-6000</v>
      </c>
      <c r="AQ481" s="28"/>
      <c r="AR481" s="241"/>
      <c r="AS481" s="27"/>
      <c r="AT481" s="28"/>
      <c r="AU481" s="241"/>
      <c r="AV481" s="27"/>
      <c r="AW481" s="28"/>
      <c r="AX481" s="241"/>
      <c r="AY481" s="27"/>
      <c r="AZ481" s="28"/>
      <c r="BA481" s="241"/>
      <c r="BB481" s="27"/>
      <c r="BC481" s="28"/>
      <c r="BD481" s="241"/>
      <c r="BE481" s="27"/>
      <c r="BF481" s="28"/>
      <c r="BG481" s="241"/>
      <c r="BH481" s="27"/>
      <c r="BI481" s="28"/>
      <c r="BK481" s="449"/>
      <c r="BL481" s="449"/>
      <c r="BM481" s="449"/>
      <c r="BN481" s="449"/>
    </row>
    <row r="482" spans="1:66" s="29" customFormat="1" ht="14.4" hidden="1" customHeight="1" outlineLevel="2" x14ac:dyDescent="0.3">
      <c r="A482" s="204" t="s">
        <v>137</v>
      </c>
      <c r="B482" s="2"/>
      <c r="C482" s="201"/>
      <c r="D482" s="41"/>
      <c r="E482" s="41"/>
      <c r="F482" s="41"/>
      <c r="G482" s="56"/>
      <c r="H482" s="241"/>
      <c r="I482" s="27">
        <v>-4500</v>
      </c>
      <c r="J482" s="28"/>
      <c r="K482" s="241"/>
      <c r="L482" s="27">
        <v>-4500</v>
      </c>
      <c r="M482" s="28"/>
      <c r="N482" s="241"/>
      <c r="O482" s="27">
        <v>-4500</v>
      </c>
      <c r="P482" s="28"/>
      <c r="Q482" s="241"/>
      <c r="R482" s="27">
        <v>-4500</v>
      </c>
      <c r="S482" s="28"/>
      <c r="T482" s="241"/>
      <c r="U482" s="27">
        <v>-4500</v>
      </c>
      <c r="V482" s="28"/>
      <c r="W482" s="241"/>
      <c r="X482" s="27">
        <v>-4500</v>
      </c>
      <c r="Y482" s="28"/>
      <c r="Z482" s="241"/>
      <c r="AA482" s="27">
        <v>-4500</v>
      </c>
      <c r="AB482" s="28"/>
      <c r="AC482" s="241"/>
      <c r="AD482" s="27">
        <v>-4500</v>
      </c>
      <c r="AE482" s="28"/>
      <c r="AF482" s="241"/>
      <c r="AG482" s="27">
        <v>-4500</v>
      </c>
      <c r="AH482" s="28"/>
      <c r="AI482" s="241"/>
      <c r="AJ482" s="27">
        <v>-4500</v>
      </c>
      <c r="AK482" s="28"/>
      <c r="AL482" s="241"/>
      <c r="AM482" s="27">
        <v>-4500</v>
      </c>
      <c r="AN482" s="28"/>
      <c r="AO482" s="241"/>
      <c r="AP482" s="27">
        <v>-4500</v>
      </c>
      <c r="AQ482" s="28"/>
      <c r="AR482" s="241"/>
      <c r="AS482" s="27"/>
      <c r="AT482" s="28"/>
      <c r="AU482" s="241"/>
      <c r="AV482" s="27"/>
      <c r="AW482" s="28"/>
      <c r="AX482" s="241"/>
      <c r="AY482" s="27"/>
      <c r="AZ482" s="28"/>
      <c r="BA482" s="241"/>
      <c r="BB482" s="27"/>
      <c r="BC482" s="28"/>
      <c r="BD482" s="241"/>
      <c r="BE482" s="27"/>
      <c r="BF482" s="28"/>
      <c r="BG482" s="241"/>
      <c r="BH482" s="27"/>
      <c r="BI482" s="28"/>
      <c r="BK482" s="449"/>
      <c r="BL482" s="449"/>
      <c r="BM482" s="449"/>
      <c r="BN482" s="449"/>
    </row>
    <row r="483" spans="1:66" s="29" customFormat="1" ht="14.4" hidden="1" customHeight="1" outlineLevel="2" x14ac:dyDescent="0.3">
      <c r="A483" s="204" t="s">
        <v>138</v>
      </c>
      <c r="B483" s="2"/>
      <c r="C483" s="201"/>
      <c r="D483" s="41"/>
      <c r="E483" s="41"/>
      <c r="F483" s="41"/>
      <c r="G483" s="56"/>
      <c r="H483" s="241"/>
      <c r="I483" s="27">
        <v>-4000</v>
      </c>
      <c r="J483" s="28"/>
      <c r="K483" s="241"/>
      <c r="L483" s="27">
        <v>-4000</v>
      </c>
      <c r="M483" s="28"/>
      <c r="N483" s="241"/>
      <c r="O483" s="27">
        <v>-4000</v>
      </c>
      <c r="P483" s="28"/>
      <c r="Q483" s="241"/>
      <c r="R483" s="27">
        <v>-4000</v>
      </c>
      <c r="S483" s="28"/>
      <c r="T483" s="241"/>
      <c r="U483" s="27">
        <v>-4000</v>
      </c>
      <c r="V483" s="28"/>
      <c r="W483" s="241"/>
      <c r="X483" s="27">
        <v>-4000</v>
      </c>
      <c r="Y483" s="28"/>
      <c r="Z483" s="241"/>
      <c r="AA483" s="27">
        <v>-4000</v>
      </c>
      <c r="AB483" s="28"/>
      <c r="AC483" s="241"/>
      <c r="AD483" s="27">
        <v>-4000</v>
      </c>
      <c r="AE483" s="28"/>
      <c r="AF483" s="241"/>
      <c r="AG483" s="27">
        <v>-4000</v>
      </c>
      <c r="AH483" s="28"/>
      <c r="AI483" s="241"/>
      <c r="AJ483" s="27">
        <v>-4000</v>
      </c>
      <c r="AK483" s="28"/>
      <c r="AL483" s="241"/>
      <c r="AM483" s="27">
        <v>-4000</v>
      </c>
      <c r="AN483" s="28"/>
      <c r="AO483" s="241"/>
      <c r="AP483" s="27">
        <v>-4000</v>
      </c>
      <c r="AQ483" s="28"/>
      <c r="AR483" s="241"/>
      <c r="AS483" s="27"/>
      <c r="AT483" s="28"/>
      <c r="AU483" s="241"/>
      <c r="AV483" s="27"/>
      <c r="AW483" s="28"/>
      <c r="AX483" s="241"/>
      <c r="AY483" s="27"/>
      <c r="AZ483" s="28"/>
      <c r="BA483" s="241"/>
      <c r="BB483" s="27"/>
      <c r="BC483" s="28"/>
      <c r="BD483" s="241"/>
      <c r="BE483" s="27"/>
      <c r="BF483" s="28"/>
      <c r="BG483" s="241"/>
      <c r="BH483" s="27"/>
      <c r="BI483" s="28"/>
      <c r="BK483" s="449"/>
      <c r="BL483" s="449"/>
      <c r="BM483" s="449"/>
      <c r="BN483" s="449"/>
    </row>
    <row r="484" spans="1:66" s="29" customFormat="1" ht="14.4" hidden="1" customHeight="1" outlineLevel="2" x14ac:dyDescent="0.3">
      <c r="A484" s="204" t="s">
        <v>139</v>
      </c>
      <c r="B484" s="2"/>
      <c r="C484" s="201"/>
      <c r="D484" s="41"/>
      <c r="E484" s="41"/>
      <c r="F484" s="41"/>
      <c r="G484" s="56"/>
      <c r="H484" s="241"/>
      <c r="I484" s="27">
        <v>-4000</v>
      </c>
      <c r="J484" s="28"/>
      <c r="K484" s="241"/>
      <c r="L484" s="27">
        <v>-4000</v>
      </c>
      <c r="M484" s="28"/>
      <c r="N484" s="241"/>
      <c r="O484" s="27">
        <v>-4000</v>
      </c>
      <c r="P484" s="28"/>
      <c r="Q484" s="241"/>
      <c r="R484" s="27">
        <v>-4000</v>
      </c>
      <c r="S484" s="28"/>
      <c r="T484" s="241"/>
      <c r="U484" s="27">
        <v>-4000</v>
      </c>
      <c r="V484" s="28"/>
      <c r="W484" s="241"/>
      <c r="X484" s="27">
        <v>-4000</v>
      </c>
      <c r="Y484" s="28"/>
      <c r="Z484" s="241"/>
      <c r="AA484" s="27">
        <v>-4000</v>
      </c>
      <c r="AB484" s="28"/>
      <c r="AC484" s="241"/>
      <c r="AD484" s="27">
        <v>-4000</v>
      </c>
      <c r="AE484" s="28"/>
      <c r="AF484" s="241"/>
      <c r="AG484" s="27">
        <v>-4000</v>
      </c>
      <c r="AH484" s="28"/>
      <c r="AI484" s="241"/>
      <c r="AJ484" s="27">
        <v>-4000</v>
      </c>
      <c r="AK484" s="28"/>
      <c r="AL484" s="241"/>
      <c r="AM484" s="27">
        <v>-4000</v>
      </c>
      <c r="AN484" s="28"/>
      <c r="AO484" s="241"/>
      <c r="AP484" s="27">
        <v>-4000</v>
      </c>
      <c r="AQ484" s="28"/>
      <c r="AR484" s="241"/>
      <c r="AS484" s="27"/>
      <c r="AT484" s="28"/>
      <c r="AU484" s="241"/>
      <c r="AV484" s="27"/>
      <c r="AW484" s="28"/>
      <c r="AX484" s="241"/>
      <c r="AY484" s="27"/>
      <c r="AZ484" s="28"/>
      <c r="BA484" s="241"/>
      <c r="BB484" s="27"/>
      <c r="BC484" s="28"/>
      <c r="BD484" s="241"/>
      <c r="BE484" s="27"/>
      <c r="BF484" s="28"/>
      <c r="BG484" s="241"/>
      <c r="BH484" s="27"/>
      <c r="BI484" s="28"/>
      <c r="BK484" s="449"/>
      <c r="BL484" s="449"/>
      <c r="BM484" s="449"/>
      <c r="BN484" s="449"/>
    </row>
    <row r="485" spans="1:66" s="29" customFormat="1" ht="14.4" hidden="1" customHeight="1" outlineLevel="2" x14ac:dyDescent="0.3">
      <c r="A485" s="204" t="s">
        <v>140</v>
      </c>
      <c r="B485" s="2"/>
      <c r="C485" s="201"/>
      <c r="D485" s="41"/>
      <c r="E485" s="41"/>
      <c r="F485" s="41"/>
      <c r="G485" s="56"/>
      <c r="H485" s="241"/>
      <c r="I485" s="27">
        <v>0</v>
      </c>
      <c r="J485" s="28"/>
      <c r="K485" s="241"/>
      <c r="L485" s="27">
        <v>0</v>
      </c>
      <c r="M485" s="28"/>
      <c r="N485" s="241"/>
      <c r="O485" s="27">
        <v>0</v>
      </c>
      <c r="P485" s="28"/>
      <c r="Q485" s="241"/>
      <c r="R485" s="27">
        <v>0</v>
      </c>
      <c r="S485" s="28"/>
      <c r="T485" s="241"/>
      <c r="U485" s="27">
        <v>0</v>
      </c>
      <c r="V485" s="28"/>
      <c r="W485" s="241"/>
      <c r="X485" s="27">
        <v>0</v>
      </c>
      <c r="Y485" s="28"/>
      <c r="Z485" s="241"/>
      <c r="AA485" s="27">
        <v>0</v>
      </c>
      <c r="AB485" s="28"/>
      <c r="AC485" s="241"/>
      <c r="AD485" s="27">
        <v>0</v>
      </c>
      <c r="AE485" s="28"/>
      <c r="AF485" s="241"/>
      <c r="AG485" s="27">
        <v>0</v>
      </c>
      <c r="AH485" s="28"/>
      <c r="AI485" s="241"/>
      <c r="AJ485" s="27">
        <v>0</v>
      </c>
      <c r="AK485" s="28"/>
      <c r="AL485" s="241"/>
      <c r="AM485" s="27">
        <v>0</v>
      </c>
      <c r="AN485" s="28"/>
      <c r="AO485" s="241"/>
      <c r="AP485" s="27">
        <v>0</v>
      </c>
      <c r="AQ485" s="28"/>
      <c r="AR485" s="241"/>
      <c r="AS485" s="27"/>
      <c r="AT485" s="28"/>
      <c r="AU485" s="241"/>
      <c r="AV485" s="27"/>
      <c r="AW485" s="28"/>
      <c r="AX485" s="241"/>
      <c r="AY485" s="27"/>
      <c r="AZ485" s="28"/>
      <c r="BA485" s="241"/>
      <c r="BB485" s="27"/>
      <c r="BC485" s="28"/>
      <c r="BD485" s="241"/>
      <c r="BE485" s="27"/>
      <c r="BF485" s="28"/>
      <c r="BG485" s="241"/>
      <c r="BH485" s="27"/>
      <c r="BI485" s="28"/>
      <c r="BK485" s="449"/>
      <c r="BL485" s="449"/>
      <c r="BM485" s="449"/>
      <c r="BN485" s="449"/>
    </row>
    <row r="486" spans="1:66" s="29" customFormat="1" ht="14.4" hidden="1" customHeight="1" outlineLevel="2" x14ac:dyDescent="0.3">
      <c r="A486" s="204" t="s">
        <v>141</v>
      </c>
      <c r="B486" s="2"/>
      <c r="C486" s="201"/>
      <c r="D486" s="41"/>
      <c r="E486" s="41"/>
      <c r="F486" s="41"/>
      <c r="G486" s="56"/>
      <c r="H486" s="241"/>
      <c r="I486" s="27">
        <v>0</v>
      </c>
      <c r="J486" s="28"/>
      <c r="K486" s="241"/>
      <c r="L486" s="27">
        <v>0</v>
      </c>
      <c r="M486" s="28"/>
      <c r="N486" s="241"/>
      <c r="O486" s="27">
        <v>0</v>
      </c>
      <c r="P486" s="28"/>
      <c r="Q486" s="241"/>
      <c r="R486" s="27">
        <v>0</v>
      </c>
      <c r="S486" s="28"/>
      <c r="T486" s="241"/>
      <c r="U486" s="27">
        <v>0</v>
      </c>
      <c r="V486" s="28"/>
      <c r="W486" s="241"/>
      <c r="X486" s="27">
        <v>0</v>
      </c>
      <c r="Y486" s="28"/>
      <c r="Z486" s="241"/>
      <c r="AA486" s="27">
        <v>0</v>
      </c>
      <c r="AB486" s="28"/>
      <c r="AC486" s="241"/>
      <c r="AD486" s="27">
        <v>0</v>
      </c>
      <c r="AE486" s="28"/>
      <c r="AF486" s="241"/>
      <c r="AG486" s="27">
        <v>0</v>
      </c>
      <c r="AH486" s="28"/>
      <c r="AI486" s="241"/>
      <c r="AJ486" s="27">
        <v>0</v>
      </c>
      <c r="AK486" s="28"/>
      <c r="AL486" s="241"/>
      <c r="AM486" s="27">
        <v>0</v>
      </c>
      <c r="AN486" s="28"/>
      <c r="AO486" s="241"/>
      <c r="AP486" s="27">
        <v>0</v>
      </c>
      <c r="AQ486" s="28"/>
      <c r="AR486" s="241"/>
      <c r="AS486" s="27"/>
      <c r="AT486" s="28"/>
      <c r="AU486" s="241"/>
      <c r="AV486" s="27"/>
      <c r="AW486" s="28"/>
      <c r="AX486" s="241"/>
      <c r="AY486" s="27"/>
      <c r="AZ486" s="28"/>
      <c r="BA486" s="241"/>
      <c r="BB486" s="27"/>
      <c r="BC486" s="28"/>
      <c r="BD486" s="241"/>
      <c r="BE486" s="27"/>
      <c r="BF486" s="28"/>
      <c r="BG486" s="241"/>
      <c r="BH486" s="27"/>
      <c r="BI486" s="28"/>
      <c r="BK486" s="449"/>
      <c r="BL486" s="449"/>
      <c r="BM486" s="449"/>
      <c r="BN486" s="449"/>
    </row>
    <row r="487" spans="1:66" s="29" customFormat="1" ht="14.4" hidden="1" customHeight="1" outlineLevel="2" x14ac:dyDescent="0.3">
      <c r="A487" s="204" t="s">
        <v>142</v>
      </c>
      <c r="B487" s="2"/>
      <c r="C487" s="201"/>
      <c r="D487" s="41"/>
      <c r="E487" s="41"/>
      <c r="F487" s="41"/>
      <c r="G487" s="56"/>
      <c r="H487" s="241"/>
      <c r="I487" s="27">
        <v>-3100</v>
      </c>
      <c r="J487" s="28"/>
      <c r="K487" s="241"/>
      <c r="L487" s="27">
        <v>-3100</v>
      </c>
      <c r="M487" s="28"/>
      <c r="N487" s="241"/>
      <c r="O487" s="27">
        <v>-3100</v>
      </c>
      <c r="P487" s="28"/>
      <c r="Q487" s="241"/>
      <c r="R487" s="27">
        <v>-3100</v>
      </c>
      <c r="S487" s="28"/>
      <c r="T487" s="241"/>
      <c r="U487" s="27">
        <v>-3100</v>
      </c>
      <c r="V487" s="28"/>
      <c r="W487" s="241"/>
      <c r="X487" s="27">
        <v>-3100</v>
      </c>
      <c r="Y487" s="28"/>
      <c r="Z487" s="241"/>
      <c r="AA487" s="27">
        <v>-3100</v>
      </c>
      <c r="AB487" s="28"/>
      <c r="AC487" s="241"/>
      <c r="AD487" s="27">
        <v>-3100</v>
      </c>
      <c r="AE487" s="28"/>
      <c r="AF487" s="241"/>
      <c r="AG487" s="27">
        <v>-3100</v>
      </c>
      <c r="AH487" s="28"/>
      <c r="AI487" s="241"/>
      <c r="AJ487" s="27">
        <v>-3100</v>
      </c>
      <c r="AK487" s="28"/>
      <c r="AL487" s="241"/>
      <c r="AM487" s="27">
        <v>-3100</v>
      </c>
      <c r="AN487" s="28"/>
      <c r="AO487" s="241"/>
      <c r="AP487" s="27">
        <v>-3100</v>
      </c>
      <c r="AQ487" s="28"/>
      <c r="AR487" s="241"/>
      <c r="AS487" s="27"/>
      <c r="AT487" s="28"/>
      <c r="AU487" s="241"/>
      <c r="AV487" s="27"/>
      <c r="AW487" s="28"/>
      <c r="AX487" s="241"/>
      <c r="AY487" s="27"/>
      <c r="AZ487" s="28"/>
      <c r="BA487" s="241"/>
      <c r="BB487" s="27"/>
      <c r="BC487" s="28"/>
      <c r="BD487" s="241"/>
      <c r="BE487" s="27"/>
      <c r="BF487" s="28"/>
      <c r="BG487" s="241"/>
      <c r="BH487" s="27"/>
      <c r="BI487" s="28"/>
      <c r="BK487" s="449"/>
      <c r="BL487" s="449"/>
      <c r="BM487" s="449"/>
      <c r="BN487" s="449"/>
    </row>
    <row r="488" spans="1:66" s="29" customFormat="1" ht="14.4" hidden="1" customHeight="1" outlineLevel="2" x14ac:dyDescent="0.3">
      <c r="A488" s="204">
        <v>0</v>
      </c>
      <c r="B488" s="2"/>
      <c r="C488" s="201"/>
      <c r="D488" s="41"/>
      <c r="E488" s="41"/>
      <c r="F488" s="41"/>
      <c r="G488" s="56"/>
      <c r="H488" s="241"/>
      <c r="I488" s="27">
        <v>0</v>
      </c>
      <c r="J488" s="28"/>
      <c r="K488" s="241"/>
      <c r="L488" s="27">
        <v>0</v>
      </c>
      <c r="M488" s="28"/>
      <c r="N488" s="241"/>
      <c r="O488" s="27">
        <v>0</v>
      </c>
      <c r="P488" s="28"/>
      <c r="Q488" s="241"/>
      <c r="R488" s="27">
        <v>0</v>
      </c>
      <c r="S488" s="28"/>
      <c r="T488" s="241"/>
      <c r="U488" s="27">
        <v>0</v>
      </c>
      <c r="V488" s="28"/>
      <c r="W488" s="241"/>
      <c r="X488" s="27">
        <v>0</v>
      </c>
      <c r="Y488" s="28"/>
      <c r="Z488" s="241"/>
      <c r="AA488" s="27">
        <v>0</v>
      </c>
      <c r="AB488" s="28"/>
      <c r="AC488" s="241"/>
      <c r="AD488" s="27">
        <v>0</v>
      </c>
      <c r="AE488" s="28"/>
      <c r="AF488" s="241"/>
      <c r="AG488" s="27">
        <v>0</v>
      </c>
      <c r="AH488" s="28"/>
      <c r="AI488" s="241"/>
      <c r="AJ488" s="27">
        <v>0</v>
      </c>
      <c r="AK488" s="28"/>
      <c r="AL488" s="241"/>
      <c r="AM488" s="27">
        <v>0</v>
      </c>
      <c r="AN488" s="28"/>
      <c r="AO488" s="241"/>
      <c r="AP488" s="27">
        <v>0</v>
      </c>
      <c r="AQ488" s="28"/>
      <c r="AR488" s="241"/>
      <c r="AS488" s="27"/>
      <c r="AT488" s="28"/>
      <c r="AU488" s="241"/>
      <c r="AV488" s="27"/>
      <c r="AW488" s="28"/>
      <c r="AX488" s="241"/>
      <c r="AY488" s="27"/>
      <c r="AZ488" s="28"/>
      <c r="BA488" s="241"/>
      <c r="BB488" s="27"/>
      <c r="BC488" s="28"/>
      <c r="BD488" s="241"/>
      <c r="BE488" s="27"/>
      <c r="BF488" s="28"/>
      <c r="BG488" s="241"/>
      <c r="BH488" s="27"/>
      <c r="BI488" s="28"/>
      <c r="BK488" s="449"/>
      <c r="BL488" s="449"/>
      <c r="BM488" s="449"/>
      <c r="BN488" s="449"/>
    </row>
    <row r="489" spans="1:66" s="29" customFormat="1" ht="14.4" hidden="1" customHeight="1" outlineLevel="2" x14ac:dyDescent="0.3">
      <c r="A489" s="163"/>
      <c r="B489" s="23"/>
      <c r="C489" s="3"/>
      <c r="D489" s="4"/>
      <c r="E489" s="4"/>
      <c r="F489" s="23"/>
      <c r="G489" s="56"/>
      <c r="H489" s="273"/>
      <c r="I489" s="23"/>
      <c r="J489" s="164"/>
      <c r="K489" s="273"/>
      <c r="L489" s="23"/>
      <c r="M489" s="164"/>
      <c r="N489" s="273"/>
      <c r="O489" s="23"/>
      <c r="P489" s="164"/>
      <c r="Q489" s="273"/>
      <c r="R489" s="23"/>
      <c r="S489" s="164"/>
      <c r="T489" s="273"/>
      <c r="U489" s="23"/>
      <c r="V489" s="164"/>
      <c r="W489" s="273"/>
      <c r="X489" s="23"/>
      <c r="Y489" s="164"/>
      <c r="Z489" s="273"/>
      <c r="AA489" s="23"/>
      <c r="AB489" s="164"/>
      <c r="AC489" s="273"/>
      <c r="AD489" s="23"/>
      <c r="AE489" s="164"/>
      <c r="AF489" s="273"/>
      <c r="AG489" s="23"/>
      <c r="AH489" s="164"/>
      <c r="AI489" s="273"/>
      <c r="AJ489" s="23"/>
      <c r="AK489" s="164"/>
      <c r="AL489" s="273"/>
      <c r="AM489" s="23"/>
      <c r="AN489" s="164"/>
      <c r="AO489" s="273"/>
      <c r="AP489" s="23"/>
      <c r="AQ489" s="164"/>
      <c r="AR489" s="273"/>
      <c r="AS489" s="23"/>
      <c r="AT489" s="164"/>
      <c r="AU489" s="273"/>
      <c r="AV489" s="23"/>
      <c r="AW489" s="164"/>
      <c r="AX489" s="273"/>
      <c r="AY489" s="23"/>
      <c r="AZ489" s="164"/>
      <c r="BA489" s="273"/>
      <c r="BB489" s="23"/>
      <c r="BC489" s="164"/>
      <c r="BD489" s="273"/>
      <c r="BE489" s="23"/>
      <c r="BF489" s="164"/>
      <c r="BG489" s="273"/>
      <c r="BH489" s="23"/>
      <c r="BI489" s="164"/>
      <c r="BK489" s="449"/>
      <c r="BL489" s="449"/>
      <c r="BM489" s="449"/>
      <c r="BN489" s="449"/>
    </row>
    <row r="490" spans="1:66" s="29" customFormat="1" ht="14.4" hidden="1" customHeight="1" outlineLevel="2" x14ac:dyDescent="0.3">
      <c r="A490" s="200" t="s">
        <v>428</v>
      </c>
      <c r="B490" s="23"/>
      <c r="C490" s="3"/>
      <c r="D490" s="16"/>
      <c r="E490" s="4"/>
      <c r="F490" s="23"/>
      <c r="G490" s="56"/>
      <c r="H490" s="283"/>
      <c r="I490" s="207"/>
      <c r="J490" s="208"/>
      <c r="K490" s="283"/>
      <c r="L490" s="207"/>
      <c r="M490" s="208"/>
      <c r="N490" s="283"/>
      <c r="O490" s="207"/>
      <c r="P490" s="208"/>
      <c r="Q490" s="283"/>
      <c r="R490" s="207"/>
      <c r="S490" s="208"/>
      <c r="T490" s="283"/>
      <c r="U490" s="207"/>
      <c r="V490" s="208"/>
      <c r="W490" s="283"/>
      <c r="X490" s="207"/>
      <c r="Y490" s="208"/>
      <c r="Z490" s="283"/>
      <c r="AA490" s="207"/>
      <c r="AB490" s="208"/>
      <c r="AC490" s="283"/>
      <c r="AD490" s="207"/>
      <c r="AE490" s="208"/>
      <c r="AF490" s="283"/>
      <c r="AG490" s="207"/>
      <c r="AH490" s="208"/>
      <c r="AI490" s="283"/>
      <c r="AJ490" s="207"/>
      <c r="AK490" s="208"/>
      <c r="AL490" s="283"/>
      <c r="AM490" s="207"/>
      <c r="AN490" s="208"/>
      <c r="AO490" s="283"/>
      <c r="AP490" s="207"/>
      <c r="AQ490" s="208"/>
      <c r="AR490" s="283"/>
      <c r="AS490" s="207"/>
      <c r="AT490" s="208"/>
      <c r="AU490" s="283"/>
      <c r="AV490" s="207"/>
      <c r="AW490" s="208"/>
      <c r="AX490" s="283"/>
      <c r="AY490" s="207"/>
      <c r="AZ490" s="208"/>
      <c r="BA490" s="283"/>
      <c r="BB490" s="207"/>
      <c r="BC490" s="208"/>
      <c r="BD490" s="283"/>
      <c r="BE490" s="207"/>
      <c r="BF490" s="208"/>
      <c r="BG490" s="283"/>
      <c r="BH490" s="207"/>
      <c r="BI490" s="208"/>
      <c r="BK490" s="449"/>
      <c r="BL490" s="449"/>
      <c r="BM490" s="449"/>
      <c r="BN490" s="449"/>
    </row>
    <row r="491" spans="1:66" s="29" customFormat="1" ht="14.4" hidden="1" customHeight="1" outlineLevel="2" x14ac:dyDescent="0.3">
      <c r="A491" s="22" t="s">
        <v>144</v>
      </c>
      <c r="B491" s="23"/>
      <c r="C491" s="3"/>
      <c r="D491" s="16"/>
      <c r="E491" s="4"/>
      <c r="F491" s="23"/>
      <c r="G491" s="56"/>
      <c r="H491" s="284"/>
      <c r="I491" s="209">
        <v>-2945.04</v>
      </c>
      <c r="J491" s="210"/>
      <c r="K491" s="284"/>
      <c r="L491" s="209">
        <v>-2945.04</v>
      </c>
      <c r="M491" s="210"/>
      <c r="N491" s="284"/>
      <c r="O491" s="209">
        <v>-2945.04</v>
      </c>
      <c r="P491" s="210"/>
      <c r="Q491" s="284"/>
      <c r="R491" s="209">
        <v>-2945.04</v>
      </c>
      <c r="S491" s="210"/>
      <c r="T491" s="284"/>
      <c r="U491" s="209">
        <v>-3068.7316799999999</v>
      </c>
      <c r="V491" s="210"/>
      <c r="W491" s="284"/>
      <c r="X491" s="209">
        <v>-3068.7316799999999</v>
      </c>
      <c r="Y491" s="210"/>
      <c r="Z491" s="284"/>
      <c r="AA491" s="209">
        <v>-3068.7316799999999</v>
      </c>
      <c r="AB491" s="210"/>
      <c r="AC491" s="284"/>
      <c r="AD491" s="209">
        <v>-3068.7316799999999</v>
      </c>
      <c r="AE491" s="210"/>
      <c r="AF491" s="284"/>
      <c r="AG491" s="209">
        <v>-3068.7316799999999</v>
      </c>
      <c r="AH491" s="210"/>
      <c r="AI491" s="284"/>
      <c r="AJ491" s="209">
        <v>-3068.7316799999999</v>
      </c>
      <c r="AK491" s="210"/>
      <c r="AL491" s="284"/>
      <c r="AM491" s="209">
        <v>-3068.7316799999999</v>
      </c>
      <c r="AN491" s="210"/>
      <c r="AO491" s="284"/>
      <c r="AP491" s="209">
        <v>-3068.7316799999999</v>
      </c>
      <c r="AQ491" s="210"/>
      <c r="AR491" s="284"/>
      <c r="AS491" s="209"/>
      <c r="AT491" s="210"/>
      <c r="AU491" s="284"/>
      <c r="AV491" s="209"/>
      <c r="AW491" s="210"/>
      <c r="AX491" s="284"/>
      <c r="AY491" s="209"/>
      <c r="AZ491" s="210"/>
      <c r="BA491" s="284"/>
      <c r="BB491" s="209"/>
      <c r="BC491" s="210"/>
      <c r="BD491" s="284"/>
      <c r="BE491" s="209"/>
      <c r="BF491" s="210"/>
      <c r="BG491" s="284"/>
      <c r="BH491" s="209"/>
      <c r="BI491" s="210"/>
      <c r="BK491" s="449"/>
      <c r="BL491" s="449"/>
      <c r="BM491" s="449"/>
      <c r="BN491" s="449"/>
    </row>
    <row r="492" spans="1:66" s="29" customFormat="1" ht="14.4" hidden="1" customHeight="1" outlineLevel="2" x14ac:dyDescent="0.3">
      <c r="A492" s="22" t="s">
        <v>146</v>
      </c>
      <c r="B492" s="23"/>
      <c r="C492" s="3"/>
      <c r="D492" s="16"/>
      <c r="E492" s="4"/>
      <c r="F492" s="23"/>
      <c r="G492" s="56"/>
      <c r="H492" s="284"/>
      <c r="I492" s="209">
        <v>-1938.56</v>
      </c>
      <c r="J492" s="210"/>
      <c r="K492" s="284"/>
      <c r="L492" s="209">
        <v>-1938.56</v>
      </c>
      <c r="M492" s="210"/>
      <c r="N492" s="284"/>
      <c r="O492" s="209">
        <v>-1938.56</v>
      </c>
      <c r="P492" s="210"/>
      <c r="Q492" s="284"/>
      <c r="R492" s="209">
        <v>-1938.56</v>
      </c>
      <c r="S492" s="210"/>
      <c r="T492" s="284"/>
      <c r="U492" s="209">
        <v>-1938.56</v>
      </c>
      <c r="V492" s="210"/>
      <c r="W492" s="284"/>
      <c r="X492" s="209">
        <v>-2019.9795200000001</v>
      </c>
      <c r="Y492" s="210"/>
      <c r="Z492" s="284"/>
      <c r="AA492" s="209">
        <v>-2019.9795200000001</v>
      </c>
      <c r="AB492" s="210"/>
      <c r="AC492" s="284"/>
      <c r="AD492" s="209">
        <v>-2019.9795200000001</v>
      </c>
      <c r="AE492" s="210"/>
      <c r="AF492" s="284"/>
      <c r="AG492" s="209">
        <v>-2019.9795200000001</v>
      </c>
      <c r="AH492" s="210"/>
      <c r="AI492" s="284"/>
      <c r="AJ492" s="209">
        <v>-2019.9795200000001</v>
      </c>
      <c r="AK492" s="210"/>
      <c r="AL492" s="284"/>
      <c r="AM492" s="209">
        <v>-2019.9795200000001</v>
      </c>
      <c r="AN492" s="210"/>
      <c r="AO492" s="284"/>
      <c r="AP492" s="209">
        <v>-2019.9795200000001</v>
      </c>
      <c r="AQ492" s="210"/>
      <c r="AR492" s="284"/>
      <c r="AS492" s="209"/>
      <c r="AT492" s="210"/>
      <c r="AU492" s="284"/>
      <c r="AV492" s="209"/>
      <c r="AW492" s="210"/>
      <c r="AX492" s="284"/>
      <c r="AY492" s="209"/>
      <c r="AZ492" s="210"/>
      <c r="BA492" s="284"/>
      <c r="BB492" s="209"/>
      <c r="BC492" s="210"/>
      <c r="BD492" s="284"/>
      <c r="BE492" s="209"/>
      <c r="BF492" s="210"/>
      <c r="BG492" s="284"/>
      <c r="BH492" s="209"/>
      <c r="BI492" s="210"/>
      <c r="BK492" s="449"/>
      <c r="BL492" s="449"/>
      <c r="BM492" s="449"/>
      <c r="BN492" s="449"/>
    </row>
    <row r="493" spans="1:66" s="29" customFormat="1" ht="14.4" hidden="1" customHeight="1" outlineLevel="2" x14ac:dyDescent="0.3">
      <c r="A493" s="22" t="s">
        <v>147</v>
      </c>
      <c r="B493" s="23"/>
      <c r="C493" s="3"/>
      <c r="D493" s="16"/>
      <c r="E493" s="4"/>
      <c r="F493" s="23"/>
      <c r="G493" s="56"/>
      <c r="H493" s="284"/>
      <c r="I493" s="209">
        <v>-2119.5500000000002</v>
      </c>
      <c r="J493" s="210"/>
      <c r="K493" s="284"/>
      <c r="L493" s="209">
        <v>-2119.5500000000002</v>
      </c>
      <c r="M493" s="210"/>
      <c r="N493" s="284"/>
      <c r="O493" s="209">
        <v>-2119.5500000000002</v>
      </c>
      <c r="P493" s="210"/>
      <c r="Q493" s="284"/>
      <c r="R493" s="209">
        <v>-2119.5500000000002</v>
      </c>
      <c r="S493" s="210"/>
      <c r="T493" s="284"/>
      <c r="U493" s="209">
        <v>-2119.5500000000002</v>
      </c>
      <c r="V493" s="210"/>
      <c r="W493" s="284"/>
      <c r="X493" s="209">
        <v>-2208.5711000000001</v>
      </c>
      <c r="Y493" s="210"/>
      <c r="Z493" s="284"/>
      <c r="AA493" s="209">
        <v>-2208.5711000000001</v>
      </c>
      <c r="AB493" s="210"/>
      <c r="AC493" s="284"/>
      <c r="AD493" s="209">
        <v>-2208.5711000000001</v>
      </c>
      <c r="AE493" s="210"/>
      <c r="AF493" s="284"/>
      <c r="AG493" s="209">
        <v>-2208.5711000000001</v>
      </c>
      <c r="AH493" s="210"/>
      <c r="AI493" s="284"/>
      <c r="AJ493" s="209">
        <v>-2208.5711000000001</v>
      </c>
      <c r="AK493" s="210"/>
      <c r="AL493" s="284"/>
      <c r="AM493" s="209">
        <v>-2208.5711000000001</v>
      </c>
      <c r="AN493" s="210"/>
      <c r="AO493" s="284"/>
      <c r="AP493" s="209">
        <v>-2208.5711000000001</v>
      </c>
      <c r="AQ493" s="210"/>
      <c r="AR493" s="284"/>
      <c r="AS493" s="209"/>
      <c r="AT493" s="210"/>
      <c r="AU493" s="284"/>
      <c r="AV493" s="209"/>
      <c r="AW493" s="210"/>
      <c r="AX493" s="284"/>
      <c r="AY493" s="209"/>
      <c r="AZ493" s="210"/>
      <c r="BA493" s="284"/>
      <c r="BB493" s="209"/>
      <c r="BC493" s="210"/>
      <c r="BD493" s="284"/>
      <c r="BE493" s="209"/>
      <c r="BF493" s="210"/>
      <c r="BG493" s="284"/>
      <c r="BH493" s="209"/>
      <c r="BI493" s="210"/>
      <c r="BK493" s="449"/>
      <c r="BL493" s="449"/>
      <c r="BM493" s="449"/>
      <c r="BN493" s="449"/>
    </row>
    <row r="494" spans="1:66" s="29" customFormat="1" ht="14.4" hidden="1" customHeight="1" outlineLevel="2" x14ac:dyDescent="0.3">
      <c r="A494" s="22" t="s">
        <v>148</v>
      </c>
      <c r="B494" s="23"/>
      <c r="C494" s="3"/>
      <c r="D494" s="16"/>
      <c r="E494" s="4"/>
      <c r="F494" s="23"/>
      <c r="G494" s="56"/>
      <c r="H494" s="284"/>
      <c r="I494" s="209">
        <v>-2553.88</v>
      </c>
      <c r="J494" s="210"/>
      <c r="K494" s="284"/>
      <c r="L494" s="209">
        <v>-2553.88</v>
      </c>
      <c r="M494" s="210"/>
      <c r="N494" s="284"/>
      <c r="O494" s="209">
        <v>-2553.88</v>
      </c>
      <c r="P494" s="210"/>
      <c r="Q494" s="284"/>
      <c r="R494" s="209">
        <v>-2553.88</v>
      </c>
      <c r="S494" s="210"/>
      <c r="T494" s="284"/>
      <c r="U494" s="209">
        <v>-2553.88</v>
      </c>
      <c r="V494" s="210"/>
      <c r="W494" s="284"/>
      <c r="X494" s="209">
        <v>-2661.1429600000001</v>
      </c>
      <c r="Y494" s="210"/>
      <c r="Z494" s="284"/>
      <c r="AA494" s="209">
        <v>-2661.1429600000001</v>
      </c>
      <c r="AB494" s="210"/>
      <c r="AC494" s="284"/>
      <c r="AD494" s="209">
        <v>-2661.1429600000001</v>
      </c>
      <c r="AE494" s="210"/>
      <c r="AF494" s="284"/>
      <c r="AG494" s="209">
        <v>-2661.1429600000001</v>
      </c>
      <c r="AH494" s="210"/>
      <c r="AI494" s="284"/>
      <c r="AJ494" s="209">
        <v>-2661.1429600000001</v>
      </c>
      <c r="AK494" s="210"/>
      <c r="AL494" s="284"/>
      <c r="AM494" s="209">
        <v>-2661.1429600000001</v>
      </c>
      <c r="AN494" s="210"/>
      <c r="AO494" s="284"/>
      <c r="AP494" s="209">
        <v>-2661.1429600000001</v>
      </c>
      <c r="AQ494" s="210"/>
      <c r="AR494" s="284"/>
      <c r="AS494" s="209"/>
      <c r="AT494" s="210"/>
      <c r="AU494" s="284"/>
      <c r="AV494" s="209"/>
      <c r="AW494" s="210"/>
      <c r="AX494" s="284"/>
      <c r="AY494" s="209"/>
      <c r="AZ494" s="210"/>
      <c r="BA494" s="284"/>
      <c r="BB494" s="209"/>
      <c r="BC494" s="210"/>
      <c r="BD494" s="284"/>
      <c r="BE494" s="209"/>
      <c r="BF494" s="210"/>
      <c r="BG494" s="284"/>
      <c r="BH494" s="209"/>
      <c r="BI494" s="210"/>
      <c r="BK494" s="449"/>
      <c r="BL494" s="449"/>
      <c r="BM494" s="449"/>
      <c r="BN494" s="449"/>
    </row>
    <row r="495" spans="1:66" s="29" customFormat="1" ht="14.4" hidden="1" customHeight="1" outlineLevel="2" x14ac:dyDescent="0.3">
      <c r="A495" s="22" t="s">
        <v>149</v>
      </c>
      <c r="B495" s="23"/>
      <c r="C495" s="3"/>
      <c r="D495" s="16"/>
      <c r="E495" s="4"/>
      <c r="F495" s="23"/>
      <c r="G495" s="56"/>
      <c r="H495" s="284"/>
      <c r="I495" s="209">
        <v>0</v>
      </c>
      <c r="J495" s="210"/>
      <c r="K495" s="284"/>
      <c r="L495" s="209">
        <v>0</v>
      </c>
      <c r="M495" s="210"/>
      <c r="N495" s="284"/>
      <c r="O495" s="209">
        <v>0</v>
      </c>
      <c r="P495" s="210"/>
      <c r="Q495" s="284"/>
      <c r="R495" s="209">
        <v>0</v>
      </c>
      <c r="S495" s="210"/>
      <c r="T495" s="284"/>
      <c r="U495" s="209">
        <v>0</v>
      </c>
      <c r="V495" s="210"/>
      <c r="W495" s="284"/>
      <c r="X495" s="209">
        <v>0</v>
      </c>
      <c r="Y495" s="210"/>
      <c r="Z495" s="284"/>
      <c r="AA495" s="209">
        <v>0</v>
      </c>
      <c r="AB495" s="210"/>
      <c r="AC495" s="284"/>
      <c r="AD495" s="209">
        <v>0</v>
      </c>
      <c r="AE495" s="210"/>
      <c r="AF495" s="284"/>
      <c r="AG495" s="209">
        <v>0</v>
      </c>
      <c r="AH495" s="210"/>
      <c r="AI495" s="284"/>
      <c r="AJ495" s="209">
        <v>0</v>
      </c>
      <c r="AK495" s="210"/>
      <c r="AL495" s="284"/>
      <c r="AM495" s="209">
        <v>0</v>
      </c>
      <c r="AN495" s="210"/>
      <c r="AO495" s="284"/>
      <c r="AP495" s="209">
        <v>0</v>
      </c>
      <c r="AQ495" s="210"/>
      <c r="AR495" s="284"/>
      <c r="AS495" s="209"/>
      <c r="AT495" s="210"/>
      <c r="AU495" s="284"/>
      <c r="AV495" s="209"/>
      <c r="AW495" s="210"/>
      <c r="AX495" s="284"/>
      <c r="AY495" s="209"/>
      <c r="AZ495" s="210"/>
      <c r="BA495" s="284"/>
      <c r="BB495" s="209"/>
      <c r="BC495" s="210"/>
      <c r="BD495" s="284"/>
      <c r="BE495" s="209"/>
      <c r="BF495" s="210"/>
      <c r="BG495" s="284"/>
      <c r="BH495" s="209"/>
      <c r="BI495" s="210"/>
      <c r="BK495" s="449"/>
      <c r="BL495" s="449"/>
      <c r="BM495" s="449"/>
      <c r="BN495" s="449"/>
    </row>
    <row r="496" spans="1:66" s="29" customFormat="1" ht="14.4" hidden="1" customHeight="1" outlineLevel="2" x14ac:dyDescent="0.3">
      <c r="A496" s="22" t="s">
        <v>150</v>
      </c>
      <c r="B496" s="23"/>
      <c r="C496" s="3"/>
      <c r="D496" s="16"/>
      <c r="E496" s="4"/>
      <c r="F496" s="23"/>
      <c r="G496" s="56"/>
      <c r="H496" s="284"/>
      <c r="I496" s="209">
        <v>-1869.4</v>
      </c>
      <c r="J496" s="210"/>
      <c r="K496" s="284"/>
      <c r="L496" s="209">
        <v>-1869.4</v>
      </c>
      <c r="M496" s="210"/>
      <c r="N496" s="284"/>
      <c r="O496" s="209">
        <v>-1869.4</v>
      </c>
      <c r="P496" s="210"/>
      <c r="Q496" s="284"/>
      <c r="R496" s="209">
        <v>-1869.4</v>
      </c>
      <c r="S496" s="210"/>
      <c r="T496" s="284"/>
      <c r="U496" s="209">
        <v>-1869.4</v>
      </c>
      <c r="V496" s="210"/>
      <c r="W496" s="284"/>
      <c r="X496" s="209">
        <v>-1947.9148</v>
      </c>
      <c r="Y496" s="210"/>
      <c r="Z496" s="284"/>
      <c r="AA496" s="209">
        <v>-1947.9148</v>
      </c>
      <c r="AB496" s="210"/>
      <c r="AC496" s="284"/>
      <c r="AD496" s="209">
        <v>-1947.9148</v>
      </c>
      <c r="AE496" s="210"/>
      <c r="AF496" s="284"/>
      <c r="AG496" s="209">
        <v>-1947.9148</v>
      </c>
      <c r="AH496" s="210"/>
      <c r="AI496" s="284"/>
      <c r="AJ496" s="209">
        <v>-1947.9148</v>
      </c>
      <c r="AK496" s="210"/>
      <c r="AL496" s="284"/>
      <c r="AM496" s="209">
        <v>-1947.9148</v>
      </c>
      <c r="AN496" s="210"/>
      <c r="AO496" s="284"/>
      <c r="AP496" s="209">
        <v>-1947.9148</v>
      </c>
      <c r="AQ496" s="210"/>
      <c r="AR496" s="284"/>
      <c r="AS496" s="209"/>
      <c r="AT496" s="210"/>
      <c r="AU496" s="284"/>
      <c r="AV496" s="209"/>
      <c r="AW496" s="210"/>
      <c r="AX496" s="284"/>
      <c r="AY496" s="209"/>
      <c r="AZ496" s="210"/>
      <c r="BA496" s="284"/>
      <c r="BB496" s="209"/>
      <c r="BC496" s="210"/>
      <c r="BD496" s="284"/>
      <c r="BE496" s="209"/>
      <c r="BF496" s="210"/>
      <c r="BG496" s="284"/>
      <c r="BH496" s="209"/>
      <c r="BI496" s="210"/>
      <c r="BK496" s="449"/>
      <c r="BL496" s="449"/>
      <c r="BM496" s="449"/>
      <c r="BN496" s="449"/>
    </row>
    <row r="497" spans="1:66" s="29" customFormat="1" ht="14.4" hidden="1" customHeight="1" outlineLevel="2" x14ac:dyDescent="0.3">
      <c r="A497" s="22" t="s">
        <v>151</v>
      </c>
      <c r="B497" s="23"/>
      <c r="C497" s="3"/>
      <c r="D497" s="16"/>
      <c r="E497" s="4"/>
      <c r="F497" s="23"/>
      <c r="G497" s="56"/>
      <c r="H497" s="284"/>
      <c r="I497" s="209">
        <v>0</v>
      </c>
      <c r="J497" s="210"/>
      <c r="K497" s="284"/>
      <c r="L497" s="209">
        <v>0</v>
      </c>
      <c r="M497" s="210"/>
      <c r="N497" s="284"/>
      <c r="O497" s="209">
        <v>0</v>
      </c>
      <c r="P497" s="210"/>
      <c r="Q497" s="284"/>
      <c r="R497" s="209">
        <v>0</v>
      </c>
      <c r="S497" s="210"/>
      <c r="T497" s="284"/>
      <c r="U497" s="209">
        <v>0</v>
      </c>
      <c r="V497" s="210"/>
      <c r="W497" s="284"/>
      <c r="X497" s="209">
        <v>0</v>
      </c>
      <c r="Y497" s="210"/>
      <c r="Z497" s="284"/>
      <c r="AA497" s="209">
        <v>0</v>
      </c>
      <c r="AB497" s="210"/>
      <c r="AC497" s="284"/>
      <c r="AD497" s="209">
        <v>0</v>
      </c>
      <c r="AE497" s="210"/>
      <c r="AF497" s="284"/>
      <c r="AG497" s="209">
        <v>0</v>
      </c>
      <c r="AH497" s="210"/>
      <c r="AI497" s="284"/>
      <c r="AJ497" s="209">
        <v>0</v>
      </c>
      <c r="AK497" s="210"/>
      <c r="AL497" s="284"/>
      <c r="AM497" s="209">
        <v>0</v>
      </c>
      <c r="AN497" s="210"/>
      <c r="AO497" s="284"/>
      <c r="AP497" s="209">
        <v>0</v>
      </c>
      <c r="AQ497" s="210"/>
      <c r="AR497" s="284"/>
      <c r="AS497" s="209"/>
      <c r="AT497" s="210"/>
      <c r="AU497" s="284"/>
      <c r="AV497" s="209"/>
      <c r="AW497" s="210"/>
      <c r="AX497" s="284"/>
      <c r="AY497" s="209"/>
      <c r="AZ497" s="210"/>
      <c r="BA497" s="284"/>
      <c r="BB497" s="209"/>
      <c r="BC497" s="210"/>
      <c r="BD497" s="284"/>
      <c r="BE497" s="209"/>
      <c r="BF497" s="210"/>
      <c r="BG497" s="284"/>
      <c r="BH497" s="209"/>
      <c r="BI497" s="210"/>
      <c r="BK497" s="449"/>
      <c r="BL497" s="449"/>
      <c r="BM497" s="449"/>
      <c r="BN497" s="449"/>
    </row>
    <row r="498" spans="1:66" s="29" customFormat="1" ht="14.4" hidden="1" customHeight="1" outlineLevel="2" x14ac:dyDescent="0.3">
      <c r="A498" s="22" t="s">
        <v>152</v>
      </c>
      <c r="B498" s="23"/>
      <c r="C498" s="3"/>
      <c r="D498" s="16"/>
      <c r="E498" s="4"/>
      <c r="F498" s="23"/>
      <c r="G498" s="56"/>
      <c r="H498" s="284"/>
      <c r="I498" s="209">
        <v>-1938.56</v>
      </c>
      <c r="J498" s="210"/>
      <c r="K498" s="284"/>
      <c r="L498" s="209">
        <v>-1938.56</v>
      </c>
      <c r="M498" s="210"/>
      <c r="N498" s="284"/>
      <c r="O498" s="209">
        <v>-1938.56</v>
      </c>
      <c r="P498" s="210"/>
      <c r="Q498" s="284"/>
      <c r="R498" s="209">
        <v>-1938.56</v>
      </c>
      <c r="S498" s="210"/>
      <c r="T498" s="284"/>
      <c r="U498" s="209">
        <v>-1938.56</v>
      </c>
      <c r="V498" s="210"/>
      <c r="W498" s="284"/>
      <c r="X498" s="209">
        <v>-2019.9795200000001</v>
      </c>
      <c r="Y498" s="210"/>
      <c r="Z498" s="284"/>
      <c r="AA498" s="209">
        <v>-2019.9795200000001</v>
      </c>
      <c r="AB498" s="210"/>
      <c r="AC498" s="284"/>
      <c r="AD498" s="209">
        <v>-2019.9795200000001</v>
      </c>
      <c r="AE498" s="210"/>
      <c r="AF498" s="284"/>
      <c r="AG498" s="209">
        <v>-2019.9795200000001</v>
      </c>
      <c r="AH498" s="210"/>
      <c r="AI498" s="284"/>
      <c r="AJ498" s="209">
        <v>-2019.9795200000001</v>
      </c>
      <c r="AK498" s="210"/>
      <c r="AL498" s="284"/>
      <c r="AM498" s="209">
        <v>-2019.9795200000001</v>
      </c>
      <c r="AN498" s="210"/>
      <c r="AO498" s="284"/>
      <c r="AP498" s="209">
        <v>-2019.9795200000001</v>
      </c>
      <c r="AQ498" s="210"/>
      <c r="AR498" s="284"/>
      <c r="AS498" s="209"/>
      <c r="AT498" s="210"/>
      <c r="AU498" s="284"/>
      <c r="AV498" s="209"/>
      <c r="AW498" s="210"/>
      <c r="AX498" s="284"/>
      <c r="AY498" s="209"/>
      <c r="AZ498" s="210"/>
      <c r="BA498" s="284"/>
      <c r="BB498" s="209"/>
      <c r="BC498" s="210"/>
      <c r="BD498" s="284"/>
      <c r="BE498" s="209"/>
      <c r="BF498" s="210"/>
      <c r="BG498" s="284"/>
      <c r="BH498" s="209"/>
      <c r="BI498" s="210"/>
      <c r="BK498" s="449"/>
      <c r="BL498" s="449"/>
      <c r="BM498" s="449"/>
      <c r="BN498" s="449"/>
    </row>
    <row r="499" spans="1:66" s="29" customFormat="1" ht="14.4" hidden="1" customHeight="1" outlineLevel="2" x14ac:dyDescent="0.3">
      <c r="A499" s="22" t="s">
        <v>153</v>
      </c>
      <c r="B499" s="23"/>
      <c r="C499" s="3"/>
      <c r="D499" s="16"/>
      <c r="E499" s="4"/>
      <c r="F499" s="23"/>
      <c r="G499" s="56"/>
      <c r="H499" s="284"/>
      <c r="I499" s="209">
        <v>-1965.32</v>
      </c>
      <c r="J499" s="210"/>
      <c r="K499" s="284"/>
      <c r="L499" s="209">
        <v>-1965.32</v>
      </c>
      <c r="M499" s="210"/>
      <c r="N499" s="284"/>
      <c r="O499" s="209">
        <v>-1965.32</v>
      </c>
      <c r="P499" s="210"/>
      <c r="Q499" s="284"/>
      <c r="R499" s="209">
        <v>-1965.32</v>
      </c>
      <c r="S499" s="210"/>
      <c r="T499" s="284"/>
      <c r="U499" s="209">
        <v>-1965.32</v>
      </c>
      <c r="V499" s="210"/>
      <c r="W499" s="284"/>
      <c r="X499" s="209">
        <v>-2047.8634400000001</v>
      </c>
      <c r="Y499" s="210"/>
      <c r="Z499" s="284"/>
      <c r="AA499" s="209">
        <v>-2047.8634400000001</v>
      </c>
      <c r="AB499" s="210"/>
      <c r="AC499" s="284"/>
      <c r="AD499" s="209">
        <v>-2047.8634400000001</v>
      </c>
      <c r="AE499" s="210"/>
      <c r="AF499" s="284"/>
      <c r="AG499" s="209">
        <v>-2047.8634400000001</v>
      </c>
      <c r="AH499" s="210"/>
      <c r="AI499" s="284"/>
      <c r="AJ499" s="209">
        <v>-2047.8634400000001</v>
      </c>
      <c r="AK499" s="210"/>
      <c r="AL499" s="284"/>
      <c r="AM499" s="209">
        <v>-2047.8634400000001</v>
      </c>
      <c r="AN499" s="210"/>
      <c r="AO499" s="284"/>
      <c r="AP499" s="209">
        <v>-2047.8634400000001</v>
      </c>
      <c r="AQ499" s="210"/>
      <c r="AR499" s="284"/>
      <c r="AS499" s="209"/>
      <c r="AT499" s="210"/>
      <c r="AU499" s="284"/>
      <c r="AV499" s="209"/>
      <c r="AW499" s="210"/>
      <c r="AX499" s="284"/>
      <c r="AY499" s="209"/>
      <c r="AZ499" s="210"/>
      <c r="BA499" s="284"/>
      <c r="BB499" s="209"/>
      <c r="BC499" s="210"/>
      <c r="BD499" s="284"/>
      <c r="BE499" s="209"/>
      <c r="BF499" s="210"/>
      <c r="BG499" s="284"/>
      <c r="BH499" s="209"/>
      <c r="BI499" s="210"/>
      <c r="BK499" s="449"/>
      <c r="BL499" s="449"/>
      <c r="BM499" s="449"/>
      <c r="BN499" s="449"/>
    </row>
    <row r="500" spans="1:66" s="29" customFormat="1" ht="14.4" hidden="1" customHeight="1" outlineLevel="2" x14ac:dyDescent="0.3">
      <c r="A500" s="22" t="s">
        <v>154</v>
      </c>
      <c r="B500" s="23"/>
      <c r="C500" s="3"/>
      <c r="D500" s="16"/>
      <c r="E500" s="4"/>
      <c r="F500" s="23"/>
      <c r="G500" s="56"/>
      <c r="H500" s="284"/>
      <c r="I500" s="209">
        <v>-2563.83</v>
      </c>
      <c r="J500" s="210"/>
      <c r="K500" s="284"/>
      <c r="L500" s="209">
        <v>-2563.83</v>
      </c>
      <c r="M500" s="210"/>
      <c r="N500" s="284"/>
      <c r="O500" s="209">
        <v>-2563.83</v>
      </c>
      <c r="P500" s="210"/>
      <c r="Q500" s="284"/>
      <c r="R500" s="209">
        <v>-2563.83</v>
      </c>
      <c r="S500" s="210"/>
      <c r="T500" s="284"/>
      <c r="U500" s="209">
        <v>-2563.83</v>
      </c>
      <c r="V500" s="210"/>
      <c r="W500" s="284"/>
      <c r="X500" s="209">
        <v>-2671.5108599999999</v>
      </c>
      <c r="Y500" s="210"/>
      <c r="Z500" s="284"/>
      <c r="AA500" s="209">
        <v>-2671.5108599999999</v>
      </c>
      <c r="AB500" s="210"/>
      <c r="AC500" s="284"/>
      <c r="AD500" s="209">
        <v>-2671.5108599999999</v>
      </c>
      <c r="AE500" s="210"/>
      <c r="AF500" s="284"/>
      <c r="AG500" s="209">
        <v>-2671.5108599999999</v>
      </c>
      <c r="AH500" s="210"/>
      <c r="AI500" s="284"/>
      <c r="AJ500" s="209">
        <v>-2671.5108599999999</v>
      </c>
      <c r="AK500" s="210"/>
      <c r="AL500" s="284"/>
      <c r="AM500" s="209">
        <v>-2671.5108599999999</v>
      </c>
      <c r="AN500" s="210"/>
      <c r="AO500" s="284"/>
      <c r="AP500" s="209">
        <v>-2671.5108599999999</v>
      </c>
      <c r="AQ500" s="210"/>
      <c r="AR500" s="284"/>
      <c r="AS500" s="209"/>
      <c r="AT500" s="210"/>
      <c r="AU500" s="284"/>
      <c r="AV500" s="209"/>
      <c r="AW500" s="210"/>
      <c r="AX500" s="284"/>
      <c r="AY500" s="209"/>
      <c r="AZ500" s="210"/>
      <c r="BA500" s="284"/>
      <c r="BB500" s="209"/>
      <c r="BC500" s="210"/>
      <c r="BD500" s="284"/>
      <c r="BE500" s="209"/>
      <c r="BF500" s="210"/>
      <c r="BG500" s="284"/>
      <c r="BH500" s="209"/>
      <c r="BI500" s="210"/>
      <c r="BK500" s="449"/>
      <c r="BL500" s="449"/>
      <c r="BM500" s="449"/>
      <c r="BN500" s="449"/>
    </row>
    <row r="501" spans="1:66" s="29" customFormat="1" ht="14.4" hidden="1" customHeight="1" outlineLevel="2" x14ac:dyDescent="0.3">
      <c r="A501" s="22" t="s">
        <v>155</v>
      </c>
      <c r="B501" s="23"/>
      <c r="C501" s="3"/>
      <c r="D501" s="16"/>
      <c r="E501" s="4"/>
      <c r="F501" s="23"/>
      <c r="G501" s="56"/>
      <c r="H501" s="284"/>
      <c r="I501" s="209">
        <v>-1869.4</v>
      </c>
      <c r="J501" s="210"/>
      <c r="K501" s="284"/>
      <c r="L501" s="209">
        <v>-1869.4</v>
      </c>
      <c r="M501" s="210"/>
      <c r="N501" s="284"/>
      <c r="O501" s="209">
        <v>-1869.4</v>
      </c>
      <c r="P501" s="210"/>
      <c r="Q501" s="284"/>
      <c r="R501" s="209">
        <v>-1869.4</v>
      </c>
      <c r="S501" s="210"/>
      <c r="T501" s="284"/>
      <c r="U501" s="209">
        <v>-1869.4</v>
      </c>
      <c r="V501" s="210"/>
      <c r="W501" s="284"/>
      <c r="X501" s="209">
        <v>-1947.9148</v>
      </c>
      <c r="Y501" s="210"/>
      <c r="Z501" s="284"/>
      <c r="AA501" s="209">
        <v>-1947.9148</v>
      </c>
      <c r="AB501" s="210"/>
      <c r="AC501" s="284"/>
      <c r="AD501" s="209">
        <v>-1947.9148</v>
      </c>
      <c r="AE501" s="210"/>
      <c r="AF501" s="284"/>
      <c r="AG501" s="209">
        <v>-1947.9148</v>
      </c>
      <c r="AH501" s="210"/>
      <c r="AI501" s="284"/>
      <c r="AJ501" s="209">
        <v>-1947.9148</v>
      </c>
      <c r="AK501" s="210"/>
      <c r="AL501" s="284"/>
      <c r="AM501" s="209">
        <v>-1947.9148</v>
      </c>
      <c r="AN501" s="210"/>
      <c r="AO501" s="284"/>
      <c r="AP501" s="209">
        <v>-1947.9148</v>
      </c>
      <c r="AQ501" s="210"/>
      <c r="AR501" s="284"/>
      <c r="AS501" s="209"/>
      <c r="AT501" s="210"/>
      <c r="AU501" s="284"/>
      <c r="AV501" s="209"/>
      <c r="AW501" s="210"/>
      <c r="AX501" s="284"/>
      <c r="AY501" s="209"/>
      <c r="AZ501" s="210"/>
      <c r="BA501" s="284"/>
      <c r="BB501" s="209"/>
      <c r="BC501" s="210"/>
      <c r="BD501" s="284"/>
      <c r="BE501" s="209"/>
      <c r="BF501" s="210"/>
      <c r="BG501" s="284"/>
      <c r="BH501" s="209"/>
      <c r="BI501" s="210"/>
      <c r="BK501" s="449"/>
      <c r="BL501" s="449"/>
      <c r="BM501" s="449"/>
      <c r="BN501" s="449"/>
    </row>
    <row r="502" spans="1:66" s="29" customFormat="1" ht="14.4" hidden="1" customHeight="1" outlineLevel="2" x14ac:dyDescent="0.3">
      <c r="A502" s="22" t="s">
        <v>156</v>
      </c>
      <c r="B502" s="23"/>
      <c r="C502" s="3"/>
      <c r="D502" s="16"/>
      <c r="E502" s="4"/>
      <c r="F502" s="23"/>
      <c r="G502" s="56"/>
      <c r="H502" s="284"/>
      <c r="I502" s="209">
        <v>-2330.67</v>
      </c>
      <c r="J502" s="210"/>
      <c r="K502" s="284"/>
      <c r="L502" s="209">
        <v>-2330.67</v>
      </c>
      <c r="M502" s="210"/>
      <c r="N502" s="284"/>
      <c r="O502" s="209">
        <v>-2330.67</v>
      </c>
      <c r="P502" s="210"/>
      <c r="Q502" s="284"/>
      <c r="R502" s="209">
        <v>-2330.67</v>
      </c>
      <c r="S502" s="210"/>
      <c r="T502" s="284"/>
      <c r="U502" s="209">
        <v>-2330.67</v>
      </c>
      <c r="V502" s="210"/>
      <c r="W502" s="284"/>
      <c r="X502" s="209">
        <v>-2428.5581400000001</v>
      </c>
      <c r="Y502" s="210"/>
      <c r="Z502" s="284"/>
      <c r="AA502" s="209">
        <v>-2428.5581400000001</v>
      </c>
      <c r="AB502" s="210"/>
      <c r="AC502" s="284"/>
      <c r="AD502" s="209">
        <v>-2428.5581400000001</v>
      </c>
      <c r="AE502" s="210"/>
      <c r="AF502" s="284"/>
      <c r="AG502" s="209">
        <v>-2428.5581400000001</v>
      </c>
      <c r="AH502" s="210"/>
      <c r="AI502" s="284"/>
      <c r="AJ502" s="209">
        <v>-2428.5581400000001</v>
      </c>
      <c r="AK502" s="210"/>
      <c r="AL502" s="284"/>
      <c r="AM502" s="209">
        <v>-2428.5581400000001</v>
      </c>
      <c r="AN502" s="210"/>
      <c r="AO502" s="284"/>
      <c r="AP502" s="209">
        <v>-2428.5581400000001</v>
      </c>
      <c r="AQ502" s="210"/>
      <c r="AR502" s="284"/>
      <c r="AS502" s="209"/>
      <c r="AT502" s="210"/>
      <c r="AU502" s="284"/>
      <c r="AV502" s="209"/>
      <c r="AW502" s="210"/>
      <c r="AX502" s="284"/>
      <c r="AY502" s="209"/>
      <c r="AZ502" s="210"/>
      <c r="BA502" s="284"/>
      <c r="BB502" s="209"/>
      <c r="BC502" s="210"/>
      <c r="BD502" s="284"/>
      <c r="BE502" s="209"/>
      <c r="BF502" s="210"/>
      <c r="BG502" s="284"/>
      <c r="BH502" s="209"/>
      <c r="BI502" s="210"/>
      <c r="BK502" s="449"/>
      <c r="BL502" s="449"/>
      <c r="BM502" s="449"/>
      <c r="BN502" s="449"/>
    </row>
    <row r="503" spans="1:66" s="29" customFormat="1" ht="14.4" hidden="1" customHeight="1" outlineLevel="2" x14ac:dyDescent="0.3">
      <c r="A503" s="22" t="s">
        <v>157</v>
      </c>
      <c r="B503" s="23"/>
      <c r="C503" s="3"/>
      <c r="D503" s="16"/>
      <c r="E503" s="4"/>
      <c r="F503" s="23"/>
      <c r="G503" s="56"/>
      <c r="H503" s="284"/>
      <c r="I503" s="209">
        <v>-2553.88</v>
      </c>
      <c r="J503" s="210"/>
      <c r="K503" s="284"/>
      <c r="L503" s="209">
        <v>-2553.88</v>
      </c>
      <c r="M503" s="210"/>
      <c r="N503" s="284"/>
      <c r="O503" s="209">
        <v>-2553.88</v>
      </c>
      <c r="P503" s="210"/>
      <c r="Q503" s="284"/>
      <c r="R503" s="209">
        <v>-2553.88</v>
      </c>
      <c r="S503" s="210"/>
      <c r="T503" s="284"/>
      <c r="U503" s="209">
        <v>-2553.88</v>
      </c>
      <c r="V503" s="210"/>
      <c r="W503" s="284"/>
      <c r="X503" s="209">
        <v>-2661.1429600000001</v>
      </c>
      <c r="Y503" s="210"/>
      <c r="Z503" s="284"/>
      <c r="AA503" s="209">
        <v>-2661.1429600000001</v>
      </c>
      <c r="AB503" s="210"/>
      <c r="AC503" s="284"/>
      <c r="AD503" s="209">
        <v>-2661.1429600000001</v>
      </c>
      <c r="AE503" s="210"/>
      <c r="AF503" s="284"/>
      <c r="AG503" s="209">
        <v>-2661.1429600000001</v>
      </c>
      <c r="AH503" s="210"/>
      <c r="AI503" s="284"/>
      <c r="AJ503" s="209">
        <v>-2661.1429600000001</v>
      </c>
      <c r="AK503" s="210"/>
      <c r="AL503" s="284"/>
      <c r="AM503" s="209">
        <v>-2661.1429600000001</v>
      </c>
      <c r="AN503" s="210"/>
      <c r="AO503" s="284"/>
      <c r="AP503" s="209">
        <v>-2661.1429600000001</v>
      </c>
      <c r="AQ503" s="210"/>
      <c r="AR503" s="284"/>
      <c r="AS503" s="209"/>
      <c r="AT503" s="210"/>
      <c r="AU503" s="284"/>
      <c r="AV503" s="209"/>
      <c r="AW503" s="210"/>
      <c r="AX503" s="284"/>
      <c r="AY503" s="209"/>
      <c r="AZ503" s="210"/>
      <c r="BA503" s="284"/>
      <c r="BB503" s="209"/>
      <c r="BC503" s="210"/>
      <c r="BD503" s="284"/>
      <c r="BE503" s="209"/>
      <c r="BF503" s="210"/>
      <c r="BG503" s="284"/>
      <c r="BH503" s="209"/>
      <c r="BI503" s="210"/>
      <c r="BK503" s="449"/>
      <c r="BL503" s="449"/>
      <c r="BM503" s="449"/>
      <c r="BN503" s="449"/>
    </row>
    <row r="504" spans="1:66" s="29" customFormat="1" ht="14.4" hidden="1" customHeight="1" outlineLevel="2" x14ac:dyDescent="0.3">
      <c r="A504" s="22" t="s">
        <v>158</v>
      </c>
      <c r="B504" s="23"/>
      <c r="C504" s="3"/>
      <c r="D504" s="16"/>
      <c r="E504" s="4"/>
      <c r="F504" s="23"/>
      <c r="G504" s="56"/>
      <c r="H504" s="284"/>
      <c r="I504" s="209">
        <v>0</v>
      </c>
      <c r="J504" s="210"/>
      <c r="K504" s="284"/>
      <c r="L504" s="209">
        <v>0</v>
      </c>
      <c r="M504" s="210"/>
      <c r="N504" s="284"/>
      <c r="O504" s="209">
        <v>0</v>
      </c>
      <c r="P504" s="210"/>
      <c r="Q504" s="284"/>
      <c r="R504" s="209">
        <v>0</v>
      </c>
      <c r="S504" s="210"/>
      <c r="T504" s="284"/>
      <c r="U504" s="209">
        <v>0</v>
      </c>
      <c r="V504" s="210"/>
      <c r="W504" s="284"/>
      <c r="X504" s="209">
        <v>0</v>
      </c>
      <c r="Y504" s="210"/>
      <c r="Z504" s="284"/>
      <c r="AA504" s="209">
        <v>0</v>
      </c>
      <c r="AB504" s="210"/>
      <c r="AC504" s="284"/>
      <c r="AD504" s="209">
        <v>0</v>
      </c>
      <c r="AE504" s="210"/>
      <c r="AF504" s="284"/>
      <c r="AG504" s="209">
        <v>0</v>
      </c>
      <c r="AH504" s="210"/>
      <c r="AI504" s="284"/>
      <c r="AJ504" s="209">
        <v>0</v>
      </c>
      <c r="AK504" s="210"/>
      <c r="AL504" s="284"/>
      <c r="AM504" s="209">
        <v>0</v>
      </c>
      <c r="AN504" s="210"/>
      <c r="AO504" s="284"/>
      <c r="AP504" s="209">
        <v>0</v>
      </c>
      <c r="AQ504" s="210"/>
      <c r="AR504" s="284"/>
      <c r="AS504" s="209"/>
      <c r="AT504" s="210"/>
      <c r="AU504" s="284"/>
      <c r="AV504" s="209"/>
      <c r="AW504" s="210"/>
      <c r="AX504" s="284"/>
      <c r="AY504" s="209"/>
      <c r="AZ504" s="210"/>
      <c r="BA504" s="284"/>
      <c r="BB504" s="209"/>
      <c r="BC504" s="210"/>
      <c r="BD504" s="284"/>
      <c r="BE504" s="209"/>
      <c r="BF504" s="210"/>
      <c r="BG504" s="284"/>
      <c r="BH504" s="209"/>
      <c r="BI504" s="210"/>
      <c r="BK504" s="449"/>
      <c r="BL504" s="449"/>
      <c r="BM504" s="449"/>
      <c r="BN504" s="449"/>
    </row>
    <row r="505" spans="1:66" s="29" customFormat="1" ht="14.4" hidden="1" customHeight="1" outlineLevel="2" x14ac:dyDescent="0.3">
      <c r="A505" s="22" t="s">
        <v>159</v>
      </c>
      <c r="B505" s="23"/>
      <c r="C505" s="3"/>
      <c r="D505" s="16"/>
      <c r="E505" s="4"/>
      <c r="F505" s="23"/>
      <c r="G505" s="56"/>
      <c r="H505" s="284"/>
      <c r="I505" s="209">
        <v>0</v>
      </c>
      <c r="J505" s="210"/>
      <c r="K505" s="284"/>
      <c r="L505" s="209">
        <v>0</v>
      </c>
      <c r="M505" s="210"/>
      <c r="N505" s="284"/>
      <c r="O505" s="209">
        <v>0</v>
      </c>
      <c r="P505" s="210"/>
      <c r="Q505" s="284"/>
      <c r="R505" s="209">
        <v>0</v>
      </c>
      <c r="S505" s="210"/>
      <c r="T505" s="284"/>
      <c r="U505" s="209">
        <v>0</v>
      </c>
      <c r="V505" s="210"/>
      <c r="W505" s="284"/>
      <c r="X505" s="209">
        <v>0</v>
      </c>
      <c r="Y505" s="210"/>
      <c r="Z505" s="284"/>
      <c r="AA505" s="209">
        <v>0</v>
      </c>
      <c r="AB505" s="210"/>
      <c r="AC505" s="284"/>
      <c r="AD505" s="209">
        <v>0</v>
      </c>
      <c r="AE505" s="210"/>
      <c r="AF505" s="284"/>
      <c r="AG505" s="209">
        <v>0</v>
      </c>
      <c r="AH505" s="210"/>
      <c r="AI505" s="284"/>
      <c r="AJ505" s="209">
        <v>0</v>
      </c>
      <c r="AK505" s="210"/>
      <c r="AL505" s="284"/>
      <c r="AM505" s="209">
        <v>0</v>
      </c>
      <c r="AN505" s="210"/>
      <c r="AO505" s="284"/>
      <c r="AP505" s="209">
        <v>0</v>
      </c>
      <c r="AQ505" s="210"/>
      <c r="AR505" s="284"/>
      <c r="AS505" s="209"/>
      <c r="AT505" s="210"/>
      <c r="AU505" s="284"/>
      <c r="AV505" s="209"/>
      <c r="AW505" s="210"/>
      <c r="AX505" s="284"/>
      <c r="AY505" s="209"/>
      <c r="AZ505" s="210"/>
      <c r="BA505" s="284"/>
      <c r="BB505" s="209"/>
      <c r="BC505" s="210"/>
      <c r="BD505" s="284"/>
      <c r="BE505" s="209"/>
      <c r="BF505" s="210"/>
      <c r="BG505" s="284"/>
      <c r="BH505" s="209"/>
      <c r="BI505" s="210"/>
      <c r="BK505" s="449"/>
      <c r="BL505" s="449"/>
      <c r="BM505" s="449"/>
      <c r="BN505" s="449"/>
    </row>
    <row r="506" spans="1:66" s="29" customFormat="1" ht="14.4" hidden="1" customHeight="1" outlineLevel="2" x14ac:dyDescent="0.3">
      <c r="A506" s="22" t="s">
        <v>160</v>
      </c>
      <c r="B506" s="23"/>
      <c r="C506" s="3"/>
      <c r="D506" s="16"/>
      <c r="E506" s="4"/>
      <c r="F506" s="23"/>
      <c r="G506" s="56"/>
      <c r="H506" s="284"/>
      <c r="I506" s="209">
        <v>0</v>
      </c>
      <c r="J506" s="210"/>
      <c r="K506" s="284"/>
      <c r="L506" s="209">
        <v>0</v>
      </c>
      <c r="M506" s="210"/>
      <c r="N506" s="284"/>
      <c r="O506" s="209">
        <v>0</v>
      </c>
      <c r="P506" s="210"/>
      <c r="Q506" s="284"/>
      <c r="R506" s="209">
        <v>0</v>
      </c>
      <c r="S506" s="210"/>
      <c r="T506" s="284"/>
      <c r="U506" s="209">
        <v>0</v>
      </c>
      <c r="V506" s="210"/>
      <c r="W506" s="284"/>
      <c r="X506" s="209">
        <v>0</v>
      </c>
      <c r="Y506" s="210"/>
      <c r="Z506" s="284"/>
      <c r="AA506" s="209">
        <v>0</v>
      </c>
      <c r="AB506" s="210"/>
      <c r="AC506" s="284"/>
      <c r="AD506" s="209">
        <v>0</v>
      </c>
      <c r="AE506" s="210"/>
      <c r="AF506" s="284"/>
      <c r="AG506" s="209">
        <v>0</v>
      </c>
      <c r="AH506" s="210"/>
      <c r="AI506" s="284"/>
      <c r="AJ506" s="209">
        <v>0</v>
      </c>
      <c r="AK506" s="210"/>
      <c r="AL506" s="284"/>
      <c r="AM506" s="209">
        <v>0</v>
      </c>
      <c r="AN506" s="210"/>
      <c r="AO506" s="284"/>
      <c r="AP506" s="209">
        <v>0</v>
      </c>
      <c r="AQ506" s="210"/>
      <c r="AR506" s="284"/>
      <c r="AS506" s="209"/>
      <c r="AT506" s="210"/>
      <c r="AU506" s="284"/>
      <c r="AV506" s="209"/>
      <c r="AW506" s="210"/>
      <c r="AX506" s="284"/>
      <c r="AY506" s="209"/>
      <c r="AZ506" s="210"/>
      <c r="BA506" s="284"/>
      <c r="BB506" s="209"/>
      <c r="BC506" s="210"/>
      <c r="BD506" s="284"/>
      <c r="BE506" s="209"/>
      <c r="BF506" s="210"/>
      <c r="BG506" s="284"/>
      <c r="BH506" s="209"/>
      <c r="BI506" s="210"/>
      <c r="BK506" s="449"/>
      <c r="BL506" s="449"/>
      <c r="BM506" s="449"/>
      <c r="BN506" s="449"/>
    </row>
    <row r="507" spans="1:66" s="29" customFormat="1" ht="14.4" hidden="1" customHeight="1" outlineLevel="2" x14ac:dyDescent="0.3">
      <c r="A507" s="22" t="s">
        <v>161</v>
      </c>
      <c r="B507" s="23"/>
      <c r="C507" s="3"/>
      <c r="D507" s="16"/>
      <c r="E507" s="4"/>
      <c r="F507" s="23"/>
      <c r="G507" s="56"/>
      <c r="H507" s="284"/>
      <c r="I507" s="209">
        <v>0</v>
      </c>
      <c r="J507" s="210"/>
      <c r="K507" s="284"/>
      <c r="L507" s="209">
        <v>0</v>
      </c>
      <c r="M507" s="210"/>
      <c r="N507" s="284"/>
      <c r="O507" s="209">
        <v>0</v>
      </c>
      <c r="P507" s="210"/>
      <c r="Q507" s="284"/>
      <c r="R507" s="209">
        <v>0</v>
      </c>
      <c r="S507" s="210"/>
      <c r="T507" s="284"/>
      <c r="U507" s="209">
        <v>0</v>
      </c>
      <c r="V507" s="210"/>
      <c r="W507" s="284"/>
      <c r="X507" s="209">
        <v>0</v>
      </c>
      <c r="Y507" s="210"/>
      <c r="Z507" s="284"/>
      <c r="AA507" s="209">
        <v>0</v>
      </c>
      <c r="AB507" s="210"/>
      <c r="AC507" s="284"/>
      <c r="AD507" s="209">
        <v>0</v>
      </c>
      <c r="AE507" s="210"/>
      <c r="AF507" s="284"/>
      <c r="AG507" s="209">
        <v>0</v>
      </c>
      <c r="AH507" s="210"/>
      <c r="AI507" s="284"/>
      <c r="AJ507" s="209">
        <v>0</v>
      </c>
      <c r="AK507" s="210"/>
      <c r="AL507" s="284"/>
      <c r="AM507" s="209">
        <v>0</v>
      </c>
      <c r="AN507" s="210"/>
      <c r="AO507" s="284"/>
      <c r="AP507" s="209">
        <v>0</v>
      </c>
      <c r="AQ507" s="210"/>
      <c r="AR507" s="284"/>
      <c r="AS507" s="209"/>
      <c r="AT507" s="210"/>
      <c r="AU507" s="284"/>
      <c r="AV507" s="209"/>
      <c r="AW507" s="210"/>
      <c r="AX507" s="284"/>
      <c r="AY507" s="209"/>
      <c r="AZ507" s="210"/>
      <c r="BA507" s="284"/>
      <c r="BB507" s="209"/>
      <c r="BC507" s="210"/>
      <c r="BD507" s="284"/>
      <c r="BE507" s="209"/>
      <c r="BF507" s="210"/>
      <c r="BG507" s="284"/>
      <c r="BH507" s="209"/>
      <c r="BI507" s="210"/>
      <c r="BK507" s="449"/>
      <c r="BL507" s="449"/>
      <c r="BM507" s="449"/>
      <c r="BN507" s="449"/>
    </row>
    <row r="508" spans="1:66" s="29" customFormat="1" ht="15.75" hidden="1" customHeight="1" outlineLevel="2" x14ac:dyDescent="0.3">
      <c r="A508" s="22" t="s">
        <v>162</v>
      </c>
      <c r="B508" s="23"/>
      <c r="C508" s="3"/>
      <c r="D508" s="16"/>
      <c r="E508" s="4"/>
      <c r="F508" s="23"/>
      <c r="G508" s="56"/>
      <c r="H508" s="284"/>
      <c r="I508" s="209">
        <v>0</v>
      </c>
      <c r="J508" s="210"/>
      <c r="K508" s="284"/>
      <c r="L508" s="209">
        <v>0</v>
      </c>
      <c r="M508" s="210"/>
      <c r="N508" s="284"/>
      <c r="O508" s="209">
        <v>0</v>
      </c>
      <c r="P508" s="210"/>
      <c r="Q508" s="284"/>
      <c r="R508" s="209">
        <v>0</v>
      </c>
      <c r="S508" s="210"/>
      <c r="T508" s="284"/>
      <c r="U508" s="209">
        <v>0</v>
      </c>
      <c r="V508" s="210"/>
      <c r="W508" s="284"/>
      <c r="X508" s="209">
        <v>0</v>
      </c>
      <c r="Y508" s="210"/>
      <c r="Z508" s="284"/>
      <c r="AA508" s="209">
        <v>0</v>
      </c>
      <c r="AB508" s="210"/>
      <c r="AC508" s="284"/>
      <c r="AD508" s="209">
        <v>0</v>
      </c>
      <c r="AE508" s="210"/>
      <c r="AF508" s="284"/>
      <c r="AG508" s="209">
        <v>0</v>
      </c>
      <c r="AH508" s="210"/>
      <c r="AI508" s="284"/>
      <c r="AJ508" s="209">
        <v>0</v>
      </c>
      <c r="AK508" s="210"/>
      <c r="AL508" s="284"/>
      <c r="AM508" s="209">
        <v>0</v>
      </c>
      <c r="AN508" s="210"/>
      <c r="AO508" s="284"/>
      <c r="AP508" s="209">
        <v>0</v>
      </c>
      <c r="AQ508" s="210"/>
      <c r="AR508" s="284"/>
      <c r="AS508" s="209"/>
      <c r="AT508" s="210"/>
      <c r="AU508" s="284"/>
      <c r="AV508" s="209"/>
      <c r="AW508" s="210"/>
      <c r="AX508" s="284"/>
      <c r="AY508" s="209"/>
      <c r="AZ508" s="210"/>
      <c r="BA508" s="284"/>
      <c r="BB508" s="209"/>
      <c r="BC508" s="210"/>
      <c r="BD508" s="284"/>
      <c r="BE508" s="209"/>
      <c r="BF508" s="210"/>
      <c r="BG508" s="284"/>
      <c r="BH508" s="209"/>
      <c r="BI508" s="210"/>
      <c r="BK508" s="449"/>
      <c r="BL508" s="449"/>
      <c r="BM508" s="449"/>
      <c r="BN508" s="449"/>
    </row>
    <row r="509" spans="1:66" s="29" customFormat="1" ht="14.4" hidden="1" customHeight="1" outlineLevel="2" x14ac:dyDescent="0.3">
      <c r="A509" s="22" t="s">
        <v>163</v>
      </c>
      <c r="B509" s="23"/>
      <c r="C509" s="3"/>
      <c r="D509" s="16"/>
      <c r="E509" s="4"/>
      <c r="F509" s="23"/>
      <c r="G509" s="56"/>
      <c r="H509" s="284"/>
      <c r="I509" s="209">
        <v>0</v>
      </c>
      <c r="J509" s="210"/>
      <c r="K509" s="284"/>
      <c r="L509" s="209">
        <v>0</v>
      </c>
      <c r="M509" s="210"/>
      <c r="N509" s="284"/>
      <c r="O509" s="209">
        <v>0</v>
      </c>
      <c r="P509" s="210"/>
      <c r="Q509" s="284"/>
      <c r="R509" s="209">
        <v>0</v>
      </c>
      <c r="S509" s="210"/>
      <c r="T509" s="284"/>
      <c r="U509" s="209">
        <v>0</v>
      </c>
      <c r="V509" s="210"/>
      <c r="W509" s="284"/>
      <c r="X509" s="209">
        <v>0</v>
      </c>
      <c r="Y509" s="210"/>
      <c r="Z509" s="284"/>
      <c r="AA509" s="209">
        <v>0</v>
      </c>
      <c r="AB509" s="210"/>
      <c r="AC509" s="284"/>
      <c r="AD509" s="209">
        <v>0</v>
      </c>
      <c r="AE509" s="210"/>
      <c r="AF509" s="284"/>
      <c r="AG509" s="209">
        <v>0</v>
      </c>
      <c r="AH509" s="210"/>
      <c r="AI509" s="284"/>
      <c r="AJ509" s="209">
        <v>0</v>
      </c>
      <c r="AK509" s="210"/>
      <c r="AL509" s="284"/>
      <c r="AM509" s="209">
        <v>0</v>
      </c>
      <c r="AN509" s="210"/>
      <c r="AO509" s="284"/>
      <c r="AP509" s="209">
        <v>0</v>
      </c>
      <c r="AQ509" s="210"/>
      <c r="AR509" s="284"/>
      <c r="AS509" s="209"/>
      <c r="AT509" s="210"/>
      <c r="AU509" s="284"/>
      <c r="AV509" s="209"/>
      <c r="AW509" s="210"/>
      <c r="AX509" s="284"/>
      <c r="AY509" s="209"/>
      <c r="AZ509" s="210"/>
      <c r="BA509" s="284"/>
      <c r="BB509" s="209"/>
      <c r="BC509" s="210"/>
      <c r="BD509" s="284"/>
      <c r="BE509" s="209"/>
      <c r="BF509" s="210"/>
      <c r="BG509" s="284"/>
      <c r="BH509" s="209"/>
      <c r="BI509" s="210"/>
      <c r="BK509" s="449"/>
      <c r="BL509" s="449"/>
      <c r="BM509" s="449"/>
      <c r="BN509" s="449"/>
    </row>
    <row r="510" spans="1:66" s="29" customFormat="1" ht="14.4" hidden="1" customHeight="1" outlineLevel="2" x14ac:dyDescent="0.3">
      <c r="A510" s="22" t="s">
        <v>164</v>
      </c>
      <c r="B510" s="23"/>
      <c r="C510" s="3"/>
      <c r="D510" s="16"/>
      <c r="E510" s="4"/>
      <c r="F510" s="23"/>
      <c r="G510" s="56"/>
      <c r="H510" s="284"/>
      <c r="I510" s="209">
        <v>-1938.56</v>
      </c>
      <c r="J510" s="210"/>
      <c r="K510" s="284"/>
      <c r="L510" s="209">
        <v>-1938.56</v>
      </c>
      <c r="M510" s="210"/>
      <c r="N510" s="284"/>
      <c r="O510" s="209">
        <v>-1938.56</v>
      </c>
      <c r="P510" s="210"/>
      <c r="Q510" s="284"/>
      <c r="R510" s="209">
        <v>-1938.56</v>
      </c>
      <c r="S510" s="210"/>
      <c r="T510" s="284"/>
      <c r="U510" s="209">
        <v>-1938.56</v>
      </c>
      <c r="V510" s="210"/>
      <c r="W510" s="284"/>
      <c r="X510" s="209">
        <v>-2019.9795200000001</v>
      </c>
      <c r="Y510" s="210"/>
      <c r="Z510" s="284"/>
      <c r="AA510" s="209">
        <v>-2019.9795200000001</v>
      </c>
      <c r="AB510" s="210"/>
      <c r="AC510" s="284"/>
      <c r="AD510" s="209">
        <v>-2019.9795200000001</v>
      </c>
      <c r="AE510" s="210"/>
      <c r="AF510" s="284"/>
      <c r="AG510" s="209">
        <v>-2019.9795200000001</v>
      </c>
      <c r="AH510" s="210"/>
      <c r="AI510" s="284"/>
      <c r="AJ510" s="209">
        <v>-2019.9795200000001</v>
      </c>
      <c r="AK510" s="210"/>
      <c r="AL510" s="284"/>
      <c r="AM510" s="209">
        <v>-2019.9795200000001</v>
      </c>
      <c r="AN510" s="210"/>
      <c r="AO510" s="284"/>
      <c r="AP510" s="209">
        <v>-2019.9795200000001</v>
      </c>
      <c r="AQ510" s="210"/>
      <c r="AR510" s="284"/>
      <c r="AS510" s="209"/>
      <c r="AT510" s="210"/>
      <c r="AU510" s="284"/>
      <c r="AV510" s="209"/>
      <c r="AW510" s="210"/>
      <c r="AX510" s="284"/>
      <c r="AY510" s="209"/>
      <c r="AZ510" s="210"/>
      <c r="BA510" s="284"/>
      <c r="BB510" s="209"/>
      <c r="BC510" s="210"/>
      <c r="BD510" s="284"/>
      <c r="BE510" s="209"/>
      <c r="BF510" s="210"/>
      <c r="BG510" s="284"/>
      <c r="BH510" s="209"/>
      <c r="BI510" s="210"/>
      <c r="BK510" s="449"/>
      <c r="BL510" s="449"/>
      <c r="BM510" s="449"/>
      <c r="BN510" s="449"/>
    </row>
    <row r="511" spans="1:66" s="29" customFormat="1" ht="14.4" hidden="1" customHeight="1" outlineLevel="2" x14ac:dyDescent="0.3">
      <c r="A511" s="22" t="s">
        <v>165</v>
      </c>
      <c r="B511" s="23"/>
      <c r="C511" s="3"/>
      <c r="D511" s="16"/>
      <c r="E511" s="4"/>
      <c r="F511" s="23"/>
      <c r="G511" s="56"/>
      <c r="H511" s="284"/>
      <c r="I511" s="209">
        <v>-2229.34</v>
      </c>
      <c r="J511" s="210"/>
      <c r="K511" s="284"/>
      <c r="L511" s="209">
        <v>-2229.34</v>
      </c>
      <c r="M511" s="210"/>
      <c r="N511" s="284"/>
      <c r="O511" s="209">
        <v>-2229.34</v>
      </c>
      <c r="P511" s="210"/>
      <c r="Q511" s="284"/>
      <c r="R511" s="209">
        <v>-2229.34</v>
      </c>
      <c r="S511" s="210"/>
      <c r="T511" s="284"/>
      <c r="U511" s="209">
        <v>-2229.34</v>
      </c>
      <c r="V511" s="210"/>
      <c r="W511" s="284"/>
      <c r="X511" s="209">
        <v>-2322.97228</v>
      </c>
      <c r="Y511" s="210"/>
      <c r="Z511" s="284"/>
      <c r="AA511" s="209">
        <v>-2322.97228</v>
      </c>
      <c r="AB511" s="210"/>
      <c r="AC511" s="284"/>
      <c r="AD511" s="209">
        <v>-2322.97228</v>
      </c>
      <c r="AE511" s="210"/>
      <c r="AF511" s="284"/>
      <c r="AG511" s="209">
        <v>-2322.97228</v>
      </c>
      <c r="AH511" s="210"/>
      <c r="AI511" s="284"/>
      <c r="AJ511" s="209">
        <v>-2322.97228</v>
      </c>
      <c r="AK511" s="210"/>
      <c r="AL511" s="284"/>
      <c r="AM511" s="209">
        <v>-2322.97228</v>
      </c>
      <c r="AN511" s="210"/>
      <c r="AO511" s="284"/>
      <c r="AP511" s="209">
        <v>-2322.97228</v>
      </c>
      <c r="AQ511" s="210"/>
      <c r="AR511" s="284"/>
      <c r="AS511" s="209"/>
      <c r="AT511" s="210"/>
      <c r="AU511" s="284"/>
      <c r="AV511" s="209"/>
      <c r="AW511" s="210"/>
      <c r="AX511" s="284"/>
      <c r="AY511" s="209"/>
      <c r="AZ511" s="210"/>
      <c r="BA511" s="284"/>
      <c r="BB511" s="209"/>
      <c r="BC511" s="210"/>
      <c r="BD511" s="284"/>
      <c r="BE511" s="209"/>
      <c r="BF511" s="210"/>
      <c r="BG511" s="284"/>
      <c r="BH511" s="209"/>
      <c r="BI511" s="210"/>
      <c r="BK511" s="449"/>
      <c r="BL511" s="449"/>
      <c r="BM511" s="449"/>
      <c r="BN511" s="449"/>
    </row>
    <row r="512" spans="1:66" s="29" customFormat="1" ht="14.4" hidden="1" customHeight="1" outlineLevel="2" x14ac:dyDescent="0.3">
      <c r="A512" s="22" t="s">
        <v>166</v>
      </c>
      <c r="B512" s="23"/>
      <c r="C512" s="3"/>
      <c r="D512" s="16"/>
      <c r="E512" s="4"/>
      <c r="F512" s="23"/>
      <c r="G512" s="56"/>
      <c r="H512" s="284"/>
      <c r="I512" s="209">
        <v>-2563.75</v>
      </c>
      <c r="J512" s="210"/>
      <c r="K512" s="284"/>
      <c r="L512" s="209">
        <v>-2563.75</v>
      </c>
      <c r="M512" s="210"/>
      <c r="N512" s="284"/>
      <c r="O512" s="209">
        <v>-2563.75</v>
      </c>
      <c r="P512" s="210"/>
      <c r="Q512" s="284"/>
      <c r="R512" s="209">
        <v>-2563.75</v>
      </c>
      <c r="S512" s="210"/>
      <c r="T512" s="284"/>
      <c r="U512" s="209">
        <v>-2563.75</v>
      </c>
      <c r="V512" s="210"/>
      <c r="W512" s="284"/>
      <c r="X512" s="209">
        <v>-2671.4274999999998</v>
      </c>
      <c r="Y512" s="210"/>
      <c r="Z512" s="284"/>
      <c r="AA512" s="209">
        <v>-2671.4274999999998</v>
      </c>
      <c r="AB512" s="210"/>
      <c r="AC512" s="284"/>
      <c r="AD512" s="209">
        <v>-2671.4274999999998</v>
      </c>
      <c r="AE512" s="210"/>
      <c r="AF512" s="284"/>
      <c r="AG512" s="209">
        <v>-2671.4274999999998</v>
      </c>
      <c r="AH512" s="210"/>
      <c r="AI512" s="284"/>
      <c r="AJ512" s="209">
        <v>-2671.4274999999998</v>
      </c>
      <c r="AK512" s="210"/>
      <c r="AL512" s="284"/>
      <c r="AM512" s="209">
        <v>-2671.4274999999998</v>
      </c>
      <c r="AN512" s="210"/>
      <c r="AO512" s="284"/>
      <c r="AP512" s="209">
        <v>-2671.4274999999998</v>
      </c>
      <c r="AQ512" s="210"/>
      <c r="AR512" s="284"/>
      <c r="AS512" s="209"/>
      <c r="AT512" s="210"/>
      <c r="AU512" s="284"/>
      <c r="AV512" s="209"/>
      <c r="AW512" s="210"/>
      <c r="AX512" s="284"/>
      <c r="AY512" s="209"/>
      <c r="AZ512" s="210"/>
      <c r="BA512" s="284"/>
      <c r="BB512" s="209"/>
      <c r="BC512" s="210"/>
      <c r="BD512" s="284"/>
      <c r="BE512" s="209"/>
      <c r="BF512" s="210"/>
      <c r="BG512" s="284"/>
      <c r="BH512" s="209"/>
      <c r="BI512" s="210"/>
      <c r="BK512" s="449"/>
      <c r="BL512" s="449"/>
      <c r="BM512" s="449"/>
      <c r="BN512" s="449"/>
    </row>
    <row r="513" spans="1:66" s="29" customFormat="1" ht="14.4" hidden="1" customHeight="1" outlineLevel="2" x14ac:dyDescent="0.3">
      <c r="A513" s="22" t="s">
        <v>167</v>
      </c>
      <c r="B513" s="23"/>
      <c r="C513" s="3"/>
      <c r="D513" s="16"/>
      <c r="E513" s="4"/>
      <c r="F513" s="23"/>
      <c r="G513" s="56"/>
      <c r="H513" s="284"/>
      <c r="I513" s="209">
        <v>0</v>
      </c>
      <c r="J513" s="210"/>
      <c r="K513" s="284"/>
      <c r="L513" s="209">
        <v>0</v>
      </c>
      <c r="M513" s="210"/>
      <c r="N513" s="284"/>
      <c r="O513" s="209">
        <v>0</v>
      </c>
      <c r="P513" s="210"/>
      <c r="Q513" s="284"/>
      <c r="R513" s="209">
        <v>0</v>
      </c>
      <c r="S513" s="210"/>
      <c r="T513" s="284"/>
      <c r="U513" s="209">
        <v>0</v>
      </c>
      <c r="V513" s="210"/>
      <c r="W513" s="284"/>
      <c r="X513" s="209">
        <v>0</v>
      </c>
      <c r="Y513" s="210"/>
      <c r="Z513" s="284"/>
      <c r="AA513" s="209">
        <v>0</v>
      </c>
      <c r="AB513" s="210"/>
      <c r="AC513" s="284"/>
      <c r="AD513" s="209">
        <v>0</v>
      </c>
      <c r="AE513" s="210"/>
      <c r="AF513" s="284"/>
      <c r="AG513" s="209">
        <v>0</v>
      </c>
      <c r="AH513" s="210"/>
      <c r="AI513" s="284"/>
      <c r="AJ513" s="209">
        <v>0</v>
      </c>
      <c r="AK513" s="210"/>
      <c r="AL513" s="284"/>
      <c r="AM513" s="209">
        <v>0</v>
      </c>
      <c r="AN513" s="210"/>
      <c r="AO513" s="284"/>
      <c r="AP513" s="209">
        <v>0</v>
      </c>
      <c r="AQ513" s="210"/>
      <c r="AR513" s="284"/>
      <c r="AS513" s="209"/>
      <c r="AT513" s="210"/>
      <c r="AU513" s="284"/>
      <c r="AV513" s="209"/>
      <c r="AW513" s="210"/>
      <c r="AX513" s="284"/>
      <c r="AY513" s="209"/>
      <c r="AZ513" s="210"/>
      <c r="BA513" s="284"/>
      <c r="BB513" s="209"/>
      <c r="BC513" s="210"/>
      <c r="BD513" s="284"/>
      <c r="BE513" s="209"/>
      <c r="BF513" s="210"/>
      <c r="BG513" s="284"/>
      <c r="BH513" s="209"/>
      <c r="BI513" s="210"/>
      <c r="BK513" s="449"/>
      <c r="BL513" s="449"/>
      <c r="BM513" s="449"/>
      <c r="BN513" s="449"/>
    </row>
    <row r="514" spans="1:66" s="29" customFormat="1" ht="14.4" hidden="1" customHeight="1" outlineLevel="2" x14ac:dyDescent="0.3">
      <c r="A514" s="22" t="s">
        <v>168</v>
      </c>
      <c r="B514" s="23"/>
      <c r="C514" s="3"/>
      <c r="D514" s="16"/>
      <c r="E514" s="4"/>
      <c r="F514" s="23"/>
      <c r="G514" s="56"/>
      <c r="H514" s="284"/>
      <c r="I514" s="209">
        <v>0</v>
      </c>
      <c r="J514" s="210"/>
      <c r="K514" s="284"/>
      <c r="L514" s="209">
        <v>0</v>
      </c>
      <c r="M514" s="210"/>
      <c r="N514" s="284"/>
      <c r="O514" s="209">
        <v>0</v>
      </c>
      <c r="P514" s="210"/>
      <c r="Q514" s="284"/>
      <c r="R514" s="209">
        <v>0</v>
      </c>
      <c r="S514" s="210"/>
      <c r="T514" s="284"/>
      <c r="U514" s="209">
        <v>0</v>
      </c>
      <c r="V514" s="210"/>
      <c r="W514" s="284"/>
      <c r="X514" s="209">
        <v>0</v>
      </c>
      <c r="Y514" s="210"/>
      <c r="Z514" s="284"/>
      <c r="AA514" s="209">
        <v>0</v>
      </c>
      <c r="AB514" s="210"/>
      <c r="AC514" s="284"/>
      <c r="AD514" s="209">
        <v>0</v>
      </c>
      <c r="AE514" s="210"/>
      <c r="AF514" s="284"/>
      <c r="AG514" s="209">
        <v>0</v>
      </c>
      <c r="AH514" s="210"/>
      <c r="AI514" s="284"/>
      <c r="AJ514" s="209">
        <v>0</v>
      </c>
      <c r="AK514" s="210"/>
      <c r="AL514" s="284"/>
      <c r="AM514" s="209">
        <v>0</v>
      </c>
      <c r="AN514" s="210"/>
      <c r="AO514" s="284"/>
      <c r="AP514" s="209">
        <v>0</v>
      </c>
      <c r="AQ514" s="210"/>
      <c r="AR514" s="284"/>
      <c r="AS514" s="209"/>
      <c r="AT514" s="210"/>
      <c r="AU514" s="284"/>
      <c r="AV514" s="209"/>
      <c r="AW514" s="210"/>
      <c r="AX514" s="284"/>
      <c r="AY514" s="209"/>
      <c r="AZ514" s="210"/>
      <c r="BA514" s="284"/>
      <c r="BB514" s="209"/>
      <c r="BC514" s="210"/>
      <c r="BD514" s="284"/>
      <c r="BE514" s="209"/>
      <c r="BF514" s="210"/>
      <c r="BG514" s="284"/>
      <c r="BH514" s="209"/>
      <c r="BI514" s="210"/>
      <c r="BK514" s="449"/>
      <c r="BL514" s="449"/>
      <c r="BM514" s="449"/>
      <c r="BN514" s="449"/>
    </row>
    <row r="515" spans="1:66" s="29" customFormat="1" ht="14.4" hidden="1" customHeight="1" outlineLevel="2" x14ac:dyDescent="0.3">
      <c r="A515" s="22" t="s">
        <v>169</v>
      </c>
      <c r="B515" s="23"/>
      <c r="C515" s="3"/>
      <c r="D515" s="16"/>
      <c r="E515" s="4"/>
      <c r="F515" s="23"/>
      <c r="G515" s="56"/>
      <c r="H515" s="284"/>
      <c r="I515" s="209">
        <v>0</v>
      </c>
      <c r="J515" s="210"/>
      <c r="K515" s="284"/>
      <c r="L515" s="209">
        <v>0</v>
      </c>
      <c r="M515" s="210"/>
      <c r="N515" s="284"/>
      <c r="O515" s="209">
        <v>0</v>
      </c>
      <c r="P515" s="210"/>
      <c r="Q515" s="284"/>
      <c r="R515" s="209">
        <v>0</v>
      </c>
      <c r="S515" s="210"/>
      <c r="T515" s="284"/>
      <c r="U515" s="209">
        <v>0</v>
      </c>
      <c r="V515" s="210"/>
      <c r="W515" s="284"/>
      <c r="X515" s="209">
        <v>0</v>
      </c>
      <c r="Y515" s="210"/>
      <c r="Z515" s="284"/>
      <c r="AA515" s="209">
        <v>0</v>
      </c>
      <c r="AB515" s="210"/>
      <c r="AC515" s="284"/>
      <c r="AD515" s="209">
        <v>0</v>
      </c>
      <c r="AE515" s="210"/>
      <c r="AF515" s="284"/>
      <c r="AG515" s="209">
        <v>0</v>
      </c>
      <c r="AH515" s="210"/>
      <c r="AI515" s="284"/>
      <c r="AJ515" s="209">
        <v>0</v>
      </c>
      <c r="AK515" s="210"/>
      <c r="AL515" s="284"/>
      <c r="AM515" s="209">
        <v>0</v>
      </c>
      <c r="AN515" s="210"/>
      <c r="AO515" s="284"/>
      <c r="AP515" s="209">
        <v>0</v>
      </c>
      <c r="AQ515" s="210"/>
      <c r="AR515" s="284"/>
      <c r="AS515" s="209"/>
      <c r="AT515" s="210"/>
      <c r="AU515" s="284"/>
      <c r="AV515" s="209"/>
      <c r="AW515" s="210"/>
      <c r="AX515" s="284"/>
      <c r="AY515" s="209"/>
      <c r="AZ515" s="210"/>
      <c r="BA515" s="284"/>
      <c r="BB515" s="209"/>
      <c r="BC515" s="210"/>
      <c r="BD515" s="284"/>
      <c r="BE515" s="209"/>
      <c r="BF515" s="210"/>
      <c r="BG515" s="284"/>
      <c r="BH515" s="209"/>
      <c r="BI515" s="210"/>
      <c r="BK515" s="449"/>
      <c r="BL515" s="449"/>
      <c r="BM515" s="449"/>
      <c r="BN515" s="449"/>
    </row>
    <row r="516" spans="1:66" s="29" customFormat="1" ht="14.4" hidden="1" customHeight="1" outlineLevel="2" x14ac:dyDescent="0.3">
      <c r="A516" s="22" t="s">
        <v>170</v>
      </c>
      <c r="B516" s="23"/>
      <c r="C516" s="3"/>
      <c r="D516" s="16"/>
      <c r="E516" s="4"/>
      <c r="F516" s="23"/>
      <c r="G516" s="56"/>
      <c r="H516" s="284"/>
      <c r="I516" s="209">
        <v>0</v>
      </c>
      <c r="J516" s="210"/>
      <c r="K516" s="284"/>
      <c r="L516" s="209">
        <v>0</v>
      </c>
      <c r="M516" s="210"/>
      <c r="N516" s="284"/>
      <c r="O516" s="209">
        <v>0</v>
      </c>
      <c r="P516" s="210"/>
      <c r="Q516" s="284"/>
      <c r="R516" s="209">
        <v>0</v>
      </c>
      <c r="S516" s="210"/>
      <c r="T516" s="284"/>
      <c r="U516" s="209">
        <v>0</v>
      </c>
      <c r="V516" s="210"/>
      <c r="W516" s="284"/>
      <c r="X516" s="209">
        <v>0</v>
      </c>
      <c r="Y516" s="210"/>
      <c r="Z516" s="284"/>
      <c r="AA516" s="209">
        <v>0</v>
      </c>
      <c r="AB516" s="210"/>
      <c r="AC516" s="284"/>
      <c r="AD516" s="209">
        <v>0</v>
      </c>
      <c r="AE516" s="210"/>
      <c r="AF516" s="284"/>
      <c r="AG516" s="209">
        <v>0</v>
      </c>
      <c r="AH516" s="210"/>
      <c r="AI516" s="284"/>
      <c r="AJ516" s="209">
        <v>0</v>
      </c>
      <c r="AK516" s="210"/>
      <c r="AL516" s="284"/>
      <c r="AM516" s="209">
        <v>0</v>
      </c>
      <c r="AN516" s="210"/>
      <c r="AO516" s="284"/>
      <c r="AP516" s="209">
        <v>0</v>
      </c>
      <c r="AQ516" s="210"/>
      <c r="AR516" s="284"/>
      <c r="AS516" s="209"/>
      <c r="AT516" s="210"/>
      <c r="AU516" s="284"/>
      <c r="AV516" s="209"/>
      <c r="AW516" s="210"/>
      <c r="AX516" s="284"/>
      <c r="AY516" s="209"/>
      <c r="AZ516" s="210"/>
      <c r="BA516" s="284"/>
      <c r="BB516" s="209"/>
      <c r="BC516" s="210"/>
      <c r="BD516" s="284"/>
      <c r="BE516" s="209"/>
      <c r="BF516" s="210"/>
      <c r="BG516" s="284"/>
      <c r="BH516" s="209"/>
      <c r="BI516" s="210"/>
      <c r="BK516" s="449"/>
      <c r="BL516" s="449"/>
      <c r="BM516" s="449"/>
      <c r="BN516" s="449"/>
    </row>
    <row r="517" spans="1:66" s="29" customFormat="1" ht="14.4" hidden="1" customHeight="1" outlineLevel="2" x14ac:dyDescent="0.3">
      <c r="A517" s="22" t="s">
        <v>171</v>
      </c>
      <c r="B517" s="23"/>
      <c r="C517" s="3"/>
      <c r="D517" s="16"/>
      <c r="E517" s="4"/>
      <c r="F517" s="23"/>
      <c r="G517" s="56"/>
      <c r="H517" s="284"/>
      <c r="I517" s="209">
        <v>0</v>
      </c>
      <c r="J517" s="210"/>
      <c r="K517" s="284"/>
      <c r="L517" s="209">
        <v>0</v>
      </c>
      <c r="M517" s="210"/>
      <c r="N517" s="284"/>
      <c r="O517" s="209">
        <v>0</v>
      </c>
      <c r="P517" s="210"/>
      <c r="Q517" s="284"/>
      <c r="R517" s="209">
        <v>0</v>
      </c>
      <c r="S517" s="210"/>
      <c r="T517" s="284"/>
      <c r="U517" s="209">
        <v>0</v>
      </c>
      <c r="V517" s="210"/>
      <c r="W517" s="284"/>
      <c r="X517" s="209">
        <v>0</v>
      </c>
      <c r="Y517" s="210"/>
      <c r="Z517" s="284"/>
      <c r="AA517" s="209">
        <v>0</v>
      </c>
      <c r="AB517" s="210"/>
      <c r="AC517" s="284"/>
      <c r="AD517" s="209">
        <v>0</v>
      </c>
      <c r="AE517" s="210"/>
      <c r="AF517" s="284"/>
      <c r="AG517" s="209">
        <v>0</v>
      </c>
      <c r="AH517" s="210"/>
      <c r="AI517" s="284"/>
      <c r="AJ517" s="209">
        <v>0</v>
      </c>
      <c r="AK517" s="210"/>
      <c r="AL517" s="284"/>
      <c r="AM517" s="209">
        <v>0</v>
      </c>
      <c r="AN517" s="210"/>
      <c r="AO517" s="284"/>
      <c r="AP517" s="209">
        <v>0</v>
      </c>
      <c r="AQ517" s="210"/>
      <c r="AR517" s="284"/>
      <c r="AS517" s="209"/>
      <c r="AT517" s="210"/>
      <c r="AU517" s="284"/>
      <c r="AV517" s="209"/>
      <c r="AW517" s="210"/>
      <c r="AX517" s="284"/>
      <c r="AY517" s="209"/>
      <c r="AZ517" s="210"/>
      <c r="BA517" s="284"/>
      <c r="BB517" s="209"/>
      <c r="BC517" s="210"/>
      <c r="BD517" s="284"/>
      <c r="BE517" s="209"/>
      <c r="BF517" s="210"/>
      <c r="BG517" s="284"/>
      <c r="BH517" s="209"/>
      <c r="BI517" s="210"/>
      <c r="BK517" s="449"/>
      <c r="BL517" s="449"/>
      <c r="BM517" s="449"/>
      <c r="BN517" s="449"/>
    </row>
    <row r="518" spans="1:66" s="29" customFormat="1" ht="14.4" hidden="1" customHeight="1" outlineLevel="2" x14ac:dyDescent="0.3">
      <c r="A518" s="22" t="s">
        <v>172</v>
      </c>
      <c r="B518" s="23"/>
      <c r="C518" s="3"/>
      <c r="D518" s="16"/>
      <c r="E518" s="4"/>
      <c r="F518" s="23"/>
      <c r="G518" s="56"/>
      <c r="H518" s="284"/>
      <c r="I518" s="209">
        <v>0</v>
      </c>
      <c r="J518" s="210"/>
      <c r="K518" s="284"/>
      <c r="L518" s="209">
        <v>0</v>
      </c>
      <c r="M518" s="210"/>
      <c r="N518" s="284"/>
      <c r="O518" s="209">
        <v>0</v>
      </c>
      <c r="P518" s="210"/>
      <c r="Q518" s="284"/>
      <c r="R518" s="209">
        <v>0</v>
      </c>
      <c r="S518" s="210"/>
      <c r="T518" s="284"/>
      <c r="U518" s="209">
        <v>0</v>
      </c>
      <c r="V518" s="210"/>
      <c r="W518" s="284"/>
      <c r="X518" s="209">
        <v>0</v>
      </c>
      <c r="Y518" s="210"/>
      <c r="Z518" s="284"/>
      <c r="AA518" s="209">
        <v>0</v>
      </c>
      <c r="AB518" s="210"/>
      <c r="AC518" s="284"/>
      <c r="AD518" s="209">
        <v>0</v>
      </c>
      <c r="AE518" s="210"/>
      <c r="AF518" s="284"/>
      <c r="AG518" s="209">
        <v>0</v>
      </c>
      <c r="AH518" s="210"/>
      <c r="AI518" s="284"/>
      <c r="AJ518" s="209">
        <v>0</v>
      </c>
      <c r="AK518" s="210"/>
      <c r="AL518" s="284"/>
      <c r="AM518" s="209">
        <v>0</v>
      </c>
      <c r="AN518" s="210"/>
      <c r="AO518" s="284"/>
      <c r="AP518" s="209">
        <v>0</v>
      </c>
      <c r="AQ518" s="210"/>
      <c r="AR518" s="284"/>
      <c r="AS518" s="209"/>
      <c r="AT518" s="210"/>
      <c r="AU518" s="284"/>
      <c r="AV518" s="209"/>
      <c r="AW518" s="210"/>
      <c r="AX518" s="284"/>
      <c r="AY518" s="209"/>
      <c r="AZ518" s="210"/>
      <c r="BA518" s="284"/>
      <c r="BB518" s="209"/>
      <c r="BC518" s="210"/>
      <c r="BD518" s="284"/>
      <c r="BE518" s="209"/>
      <c r="BF518" s="210"/>
      <c r="BG518" s="284"/>
      <c r="BH518" s="209"/>
      <c r="BI518" s="210"/>
      <c r="BK518" s="449"/>
      <c r="BL518" s="449"/>
      <c r="BM518" s="449"/>
      <c r="BN518" s="449"/>
    </row>
    <row r="519" spans="1:66" s="29" customFormat="1" ht="14.4" hidden="1" customHeight="1" outlineLevel="2" x14ac:dyDescent="0.3">
      <c r="A519" s="22" t="s">
        <v>173</v>
      </c>
      <c r="B519" s="23"/>
      <c r="C519" s="3"/>
      <c r="D519" s="16"/>
      <c r="E519" s="4"/>
      <c r="F519" s="23"/>
      <c r="G519" s="56"/>
      <c r="H519" s="284"/>
      <c r="I519" s="209">
        <v>-2148.2800000000002</v>
      </c>
      <c r="J519" s="210"/>
      <c r="K519" s="284"/>
      <c r="L519" s="209">
        <v>-2148.2800000000002</v>
      </c>
      <c r="M519" s="210"/>
      <c r="N519" s="284"/>
      <c r="O519" s="209">
        <v>-2148.2800000000002</v>
      </c>
      <c r="P519" s="210"/>
      <c r="Q519" s="284"/>
      <c r="R519" s="209">
        <v>-2148.2800000000002</v>
      </c>
      <c r="S519" s="210"/>
      <c r="T519" s="284"/>
      <c r="U519" s="209">
        <v>-2148.2800000000002</v>
      </c>
      <c r="V519" s="210"/>
      <c r="W519" s="284"/>
      <c r="X519" s="209">
        <v>-2238.50776</v>
      </c>
      <c r="Y519" s="210"/>
      <c r="Z519" s="284"/>
      <c r="AA519" s="209">
        <v>-2238.50776</v>
      </c>
      <c r="AB519" s="210"/>
      <c r="AC519" s="284"/>
      <c r="AD519" s="209">
        <v>-2238.50776</v>
      </c>
      <c r="AE519" s="210"/>
      <c r="AF519" s="284"/>
      <c r="AG519" s="209">
        <v>-2238.50776</v>
      </c>
      <c r="AH519" s="210"/>
      <c r="AI519" s="284"/>
      <c r="AJ519" s="209">
        <v>-2238.50776</v>
      </c>
      <c r="AK519" s="210"/>
      <c r="AL519" s="284"/>
      <c r="AM519" s="209">
        <v>-2238.50776</v>
      </c>
      <c r="AN519" s="210"/>
      <c r="AO519" s="284"/>
      <c r="AP519" s="209">
        <v>-2238.50776</v>
      </c>
      <c r="AQ519" s="210"/>
      <c r="AR519" s="284"/>
      <c r="AS519" s="209"/>
      <c r="AT519" s="210"/>
      <c r="AU519" s="284"/>
      <c r="AV519" s="209"/>
      <c r="AW519" s="210"/>
      <c r="AX519" s="284"/>
      <c r="AY519" s="209"/>
      <c r="AZ519" s="210"/>
      <c r="BA519" s="284"/>
      <c r="BB519" s="209"/>
      <c r="BC519" s="210"/>
      <c r="BD519" s="284"/>
      <c r="BE519" s="209"/>
      <c r="BF519" s="210"/>
      <c r="BG519" s="284"/>
      <c r="BH519" s="209"/>
      <c r="BI519" s="210"/>
      <c r="BK519" s="449"/>
      <c r="BL519" s="449"/>
      <c r="BM519" s="449"/>
      <c r="BN519" s="449"/>
    </row>
    <row r="520" spans="1:66" s="29" customFormat="1" ht="14.4" hidden="1" customHeight="1" outlineLevel="2" x14ac:dyDescent="0.3">
      <c r="A520" s="22" t="s">
        <v>174</v>
      </c>
      <c r="B520" s="23"/>
      <c r="C520" s="3"/>
      <c r="D520" s="16"/>
      <c r="E520" s="4"/>
      <c r="F520" s="23"/>
      <c r="G520" s="56"/>
      <c r="H520" s="284"/>
      <c r="I520" s="209">
        <v>0</v>
      </c>
      <c r="J520" s="210"/>
      <c r="K520" s="284"/>
      <c r="L520" s="209">
        <v>0</v>
      </c>
      <c r="M520" s="210"/>
      <c r="N520" s="284"/>
      <c r="O520" s="209">
        <v>0</v>
      </c>
      <c r="P520" s="210"/>
      <c r="Q520" s="284"/>
      <c r="R520" s="209">
        <v>0</v>
      </c>
      <c r="S520" s="210"/>
      <c r="T520" s="284"/>
      <c r="U520" s="209">
        <v>0</v>
      </c>
      <c r="V520" s="210"/>
      <c r="W520" s="284"/>
      <c r="X520" s="209">
        <v>0</v>
      </c>
      <c r="Y520" s="210"/>
      <c r="Z520" s="284"/>
      <c r="AA520" s="209">
        <v>0</v>
      </c>
      <c r="AB520" s="210"/>
      <c r="AC520" s="284"/>
      <c r="AD520" s="209">
        <v>0</v>
      </c>
      <c r="AE520" s="210"/>
      <c r="AF520" s="284"/>
      <c r="AG520" s="209">
        <v>0</v>
      </c>
      <c r="AH520" s="210"/>
      <c r="AI520" s="284"/>
      <c r="AJ520" s="209">
        <v>0</v>
      </c>
      <c r="AK520" s="210"/>
      <c r="AL520" s="284"/>
      <c r="AM520" s="209">
        <v>0</v>
      </c>
      <c r="AN520" s="210"/>
      <c r="AO520" s="284"/>
      <c r="AP520" s="209">
        <v>0</v>
      </c>
      <c r="AQ520" s="210"/>
      <c r="AR520" s="284"/>
      <c r="AS520" s="209"/>
      <c r="AT520" s="210"/>
      <c r="AU520" s="284"/>
      <c r="AV520" s="209"/>
      <c r="AW520" s="210"/>
      <c r="AX520" s="284"/>
      <c r="AY520" s="209"/>
      <c r="AZ520" s="210"/>
      <c r="BA520" s="284"/>
      <c r="BB520" s="209"/>
      <c r="BC520" s="210"/>
      <c r="BD520" s="284"/>
      <c r="BE520" s="209"/>
      <c r="BF520" s="210"/>
      <c r="BG520" s="284"/>
      <c r="BH520" s="209"/>
      <c r="BI520" s="210"/>
      <c r="BK520" s="449"/>
      <c r="BL520" s="449"/>
      <c r="BM520" s="449"/>
      <c r="BN520" s="449"/>
    </row>
    <row r="521" spans="1:66" s="29" customFormat="1" ht="14.25" hidden="1" customHeight="1" outlineLevel="2" x14ac:dyDescent="0.3">
      <c r="A521" s="22" t="s">
        <v>175</v>
      </c>
      <c r="B521" s="23"/>
      <c r="C521" s="3"/>
      <c r="D521" s="16"/>
      <c r="E521" s="4"/>
      <c r="F521" s="23"/>
      <c r="G521" s="56"/>
      <c r="H521" s="284"/>
      <c r="I521" s="209">
        <v>0</v>
      </c>
      <c r="J521" s="210"/>
      <c r="K521" s="284"/>
      <c r="L521" s="209">
        <v>0</v>
      </c>
      <c r="M521" s="210"/>
      <c r="N521" s="284"/>
      <c r="O521" s="209">
        <v>0</v>
      </c>
      <c r="P521" s="210"/>
      <c r="Q521" s="284"/>
      <c r="R521" s="209">
        <v>0</v>
      </c>
      <c r="S521" s="210"/>
      <c r="T521" s="284"/>
      <c r="U521" s="209">
        <v>0</v>
      </c>
      <c r="V521" s="210"/>
      <c r="W521" s="284"/>
      <c r="X521" s="209">
        <v>0</v>
      </c>
      <c r="Y521" s="210"/>
      <c r="Z521" s="284"/>
      <c r="AA521" s="209">
        <v>0</v>
      </c>
      <c r="AB521" s="210"/>
      <c r="AC521" s="284"/>
      <c r="AD521" s="209">
        <v>0</v>
      </c>
      <c r="AE521" s="210"/>
      <c r="AF521" s="284"/>
      <c r="AG521" s="209">
        <v>0</v>
      </c>
      <c r="AH521" s="210"/>
      <c r="AI521" s="284"/>
      <c r="AJ521" s="209">
        <v>0</v>
      </c>
      <c r="AK521" s="210"/>
      <c r="AL521" s="284"/>
      <c r="AM521" s="209">
        <v>0</v>
      </c>
      <c r="AN521" s="210"/>
      <c r="AO521" s="284"/>
      <c r="AP521" s="209">
        <v>0</v>
      </c>
      <c r="AQ521" s="210"/>
      <c r="AR521" s="284"/>
      <c r="AS521" s="209"/>
      <c r="AT521" s="210"/>
      <c r="AU521" s="284"/>
      <c r="AV521" s="209"/>
      <c r="AW521" s="210"/>
      <c r="AX521" s="284"/>
      <c r="AY521" s="209"/>
      <c r="AZ521" s="210"/>
      <c r="BA521" s="284"/>
      <c r="BB521" s="209"/>
      <c r="BC521" s="210"/>
      <c r="BD521" s="284"/>
      <c r="BE521" s="209"/>
      <c r="BF521" s="210"/>
      <c r="BG521" s="284"/>
      <c r="BH521" s="209"/>
      <c r="BI521" s="210"/>
      <c r="BK521" s="449"/>
      <c r="BL521" s="449"/>
      <c r="BM521" s="449"/>
      <c r="BN521" s="449"/>
    </row>
    <row r="522" spans="1:66" s="29" customFormat="1" ht="14.4" hidden="1" customHeight="1" outlineLevel="2" x14ac:dyDescent="0.3">
      <c r="A522" s="22" t="s">
        <v>176</v>
      </c>
      <c r="B522" s="23"/>
      <c r="C522" s="3"/>
      <c r="D522" s="16"/>
      <c r="E522" s="4"/>
      <c r="F522" s="23"/>
      <c r="G522" s="56"/>
      <c r="H522" s="284"/>
      <c r="I522" s="209">
        <v>0</v>
      </c>
      <c r="J522" s="210"/>
      <c r="K522" s="284"/>
      <c r="L522" s="209">
        <v>0</v>
      </c>
      <c r="M522" s="210"/>
      <c r="N522" s="284"/>
      <c r="O522" s="209">
        <v>0</v>
      </c>
      <c r="P522" s="210"/>
      <c r="Q522" s="284"/>
      <c r="R522" s="209">
        <v>0</v>
      </c>
      <c r="S522" s="210"/>
      <c r="T522" s="284"/>
      <c r="U522" s="209">
        <v>0</v>
      </c>
      <c r="V522" s="210"/>
      <c r="W522" s="284"/>
      <c r="X522" s="209">
        <v>0</v>
      </c>
      <c r="Y522" s="210"/>
      <c r="Z522" s="284"/>
      <c r="AA522" s="209">
        <v>0</v>
      </c>
      <c r="AB522" s="210"/>
      <c r="AC522" s="284"/>
      <c r="AD522" s="209">
        <v>0</v>
      </c>
      <c r="AE522" s="210"/>
      <c r="AF522" s="284"/>
      <c r="AG522" s="209">
        <v>0</v>
      </c>
      <c r="AH522" s="210"/>
      <c r="AI522" s="284"/>
      <c r="AJ522" s="209">
        <v>0</v>
      </c>
      <c r="AK522" s="210"/>
      <c r="AL522" s="284"/>
      <c r="AM522" s="209">
        <v>0</v>
      </c>
      <c r="AN522" s="210"/>
      <c r="AO522" s="284"/>
      <c r="AP522" s="209">
        <v>0</v>
      </c>
      <c r="AQ522" s="210"/>
      <c r="AR522" s="284"/>
      <c r="AS522" s="209"/>
      <c r="AT522" s="210"/>
      <c r="AU522" s="284"/>
      <c r="AV522" s="209"/>
      <c r="AW522" s="210"/>
      <c r="AX522" s="284"/>
      <c r="AY522" s="209"/>
      <c r="AZ522" s="210"/>
      <c r="BA522" s="284"/>
      <c r="BB522" s="209"/>
      <c r="BC522" s="210"/>
      <c r="BD522" s="284"/>
      <c r="BE522" s="209"/>
      <c r="BF522" s="210"/>
      <c r="BG522" s="284"/>
      <c r="BH522" s="209"/>
      <c r="BI522" s="210"/>
      <c r="BK522" s="449"/>
      <c r="BL522" s="449"/>
      <c r="BM522" s="449"/>
      <c r="BN522" s="449"/>
    </row>
    <row r="523" spans="1:66" s="29" customFormat="1" ht="14.4" hidden="1" customHeight="1" outlineLevel="2" x14ac:dyDescent="0.3">
      <c r="A523" s="22" t="s">
        <v>177</v>
      </c>
      <c r="B523" s="23"/>
      <c r="C523" s="3"/>
      <c r="D523" s="16"/>
      <c r="E523" s="4"/>
      <c r="F523" s="23"/>
      <c r="G523" s="56"/>
      <c r="H523" s="284"/>
      <c r="I523" s="209">
        <v>0</v>
      </c>
      <c r="J523" s="210"/>
      <c r="K523" s="284"/>
      <c r="L523" s="209">
        <v>0</v>
      </c>
      <c r="M523" s="210"/>
      <c r="N523" s="284"/>
      <c r="O523" s="209">
        <v>0</v>
      </c>
      <c r="P523" s="210"/>
      <c r="Q523" s="284"/>
      <c r="R523" s="209">
        <v>0</v>
      </c>
      <c r="S523" s="210"/>
      <c r="T523" s="284"/>
      <c r="U523" s="209">
        <v>0</v>
      </c>
      <c r="V523" s="210"/>
      <c r="W523" s="284"/>
      <c r="X523" s="209">
        <v>0</v>
      </c>
      <c r="Y523" s="210"/>
      <c r="Z523" s="284"/>
      <c r="AA523" s="209">
        <v>0</v>
      </c>
      <c r="AB523" s="210"/>
      <c r="AC523" s="284"/>
      <c r="AD523" s="209">
        <v>0</v>
      </c>
      <c r="AE523" s="210"/>
      <c r="AF523" s="284"/>
      <c r="AG523" s="209">
        <v>0</v>
      </c>
      <c r="AH523" s="210"/>
      <c r="AI523" s="284"/>
      <c r="AJ523" s="209">
        <v>0</v>
      </c>
      <c r="AK523" s="210"/>
      <c r="AL523" s="284"/>
      <c r="AM523" s="209">
        <v>0</v>
      </c>
      <c r="AN523" s="210"/>
      <c r="AO523" s="284"/>
      <c r="AP523" s="209">
        <v>0</v>
      </c>
      <c r="AQ523" s="210"/>
      <c r="AR523" s="284"/>
      <c r="AS523" s="209"/>
      <c r="AT523" s="210"/>
      <c r="AU523" s="284"/>
      <c r="AV523" s="209"/>
      <c r="AW523" s="210"/>
      <c r="AX523" s="284"/>
      <c r="AY523" s="209"/>
      <c r="AZ523" s="210"/>
      <c r="BA523" s="284"/>
      <c r="BB523" s="209"/>
      <c r="BC523" s="210"/>
      <c r="BD523" s="284"/>
      <c r="BE523" s="209"/>
      <c r="BF523" s="210"/>
      <c r="BG523" s="284"/>
      <c r="BH523" s="209"/>
      <c r="BI523" s="210"/>
      <c r="BK523" s="449"/>
      <c r="BL523" s="449"/>
      <c r="BM523" s="449"/>
      <c r="BN523" s="449"/>
    </row>
    <row r="524" spans="1:66" s="29" customFormat="1" ht="14.4" hidden="1" customHeight="1" outlineLevel="2" x14ac:dyDescent="0.3">
      <c r="A524" s="22" t="s">
        <v>178</v>
      </c>
      <c r="B524" s="23"/>
      <c r="C524" s="3"/>
      <c r="D524" s="16"/>
      <c r="E524" s="4"/>
      <c r="F524" s="23"/>
      <c r="G524" s="56"/>
      <c r="H524" s="284"/>
      <c r="I524" s="209">
        <v>0</v>
      </c>
      <c r="J524" s="210"/>
      <c r="K524" s="284"/>
      <c r="L524" s="209">
        <v>0</v>
      </c>
      <c r="M524" s="210"/>
      <c r="N524" s="284"/>
      <c r="O524" s="209">
        <v>0</v>
      </c>
      <c r="P524" s="210"/>
      <c r="Q524" s="284"/>
      <c r="R524" s="209">
        <v>0</v>
      </c>
      <c r="S524" s="210"/>
      <c r="T524" s="284"/>
      <c r="U524" s="209">
        <v>0</v>
      </c>
      <c r="V524" s="210"/>
      <c r="W524" s="284"/>
      <c r="X524" s="209">
        <v>0</v>
      </c>
      <c r="Y524" s="210"/>
      <c r="Z524" s="284"/>
      <c r="AA524" s="209">
        <v>0</v>
      </c>
      <c r="AB524" s="210"/>
      <c r="AC524" s="284"/>
      <c r="AD524" s="209">
        <v>0</v>
      </c>
      <c r="AE524" s="210"/>
      <c r="AF524" s="284"/>
      <c r="AG524" s="209">
        <v>0</v>
      </c>
      <c r="AH524" s="210"/>
      <c r="AI524" s="284"/>
      <c r="AJ524" s="209">
        <v>0</v>
      </c>
      <c r="AK524" s="210"/>
      <c r="AL524" s="284"/>
      <c r="AM524" s="209">
        <v>0</v>
      </c>
      <c r="AN524" s="210"/>
      <c r="AO524" s="284"/>
      <c r="AP524" s="209">
        <v>0</v>
      </c>
      <c r="AQ524" s="210"/>
      <c r="AR524" s="284"/>
      <c r="AS524" s="209"/>
      <c r="AT524" s="210"/>
      <c r="AU524" s="284"/>
      <c r="AV524" s="209"/>
      <c r="AW524" s="210"/>
      <c r="AX524" s="284"/>
      <c r="AY524" s="209"/>
      <c r="AZ524" s="210"/>
      <c r="BA524" s="284"/>
      <c r="BB524" s="209"/>
      <c r="BC524" s="210"/>
      <c r="BD524" s="284"/>
      <c r="BE524" s="209"/>
      <c r="BF524" s="210"/>
      <c r="BG524" s="284"/>
      <c r="BH524" s="209"/>
      <c r="BI524" s="210"/>
      <c r="BK524" s="449"/>
      <c r="BL524" s="449"/>
      <c r="BM524" s="449"/>
      <c r="BN524" s="449"/>
    </row>
    <row r="525" spans="1:66" s="29" customFormat="1" ht="14.4" hidden="1" customHeight="1" outlineLevel="2" x14ac:dyDescent="0.3">
      <c r="A525" s="22" t="s">
        <v>179</v>
      </c>
      <c r="B525" s="23"/>
      <c r="C525" s="3"/>
      <c r="D525" s="16"/>
      <c r="E525" s="4"/>
      <c r="F525" s="23"/>
      <c r="G525" s="56"/>
      <c r="H525" s="284"/>
      <c r="I525" s="209">
        <v>0</v>
      </c>
      <c r="J525" s="210"/>
      <c r="K525" s="284"/>
      <c r="L525" s="209">
        <v>0</v>
      </c>
      <c r="M525" s="210"/>
      <c r="N525" s="284"/>
      <c r="O525" s="209">
        <v>0</v>
      </c>
      <c r="P525" s="210"/>
      <c r="Q525" s="284"/>
      <c r="R525" s="209">
        <v>0</v>
      </c>
      <c r="S525" s="210"/>
      <c r="T525" s="284"/>
      <c r="U525" s="209">
        <v>0</v>
      </c>
      <c r="V525" s="210"/>
      <c r="W525" s="284"/>
      <c r="X525" s="209">
        <v>0</v>
      </c>
      <c r="Y525" s="210"/>
      <c r="Z525" s="284"/>
      <c r="AA525" s="209">
        <v>0</v>
      </c>
      <c r="AB525" s="210"/>
      <c r="AC525" s="284"/>
      <c r="AD525" s="209">
        <v>0</v>
      </c>
      <c r="AE525" s="210"/>
      <c r="AF525" s="284"/>
      <c r="AG525" s="209">
        <v>0</v>
      </c>
      <c r="AH525" s="210"/>
      <c r="AI525" s="284"/>
      <c r="AJ525" s="209">
        <v>0</v>
      </c>
      <c r="AK525" s="210"/>
      <c r="AL525" s="284"/>
      <c r="AM525" s="209">
        <v>0</v>
      </c>
      <c r="AN525" s="210"/>
      <c r="AO525" s="284"/>
      <c r="AP525" s="209">
        <v>0</v>
      </c>
      <c r="AQ525" s="210"/>
      <c r="AR525" s="284"/>
      <c r="AS525" s="209"/>
      <c r="AT525" s="210"/>
      <c r="AU525" s="284"/>
      <c r="AV525" s="209"/>
      <c r="AW525" s="210"/>
      <c r="AX525" s="284"/>
      <c r="AY525" s="209"/>
      <c r="AZ525" s="210"/>
      <c r="BA525" s="284"/>
      <c r="BB525" s="209"/>
      <c r="BC525" s="210"/>
      <c r="BD525" s="284"/>
      <c r="BE525" s="209"/>
      <c r="BF525" s="210"/>
      <c r="BG525" s="284"/>
      <c r="BH525" s="209"/>
      <c r="BI525" s="210"/>
      <c r="BK525" s="449"/>
      <c r="BL525" s="449"/>
      <c r="BM525" s="449"/>
      <c r="BN525" s="449"/>
    </row>
    <row r="526" spans="1:66" s="29" customFormat="1" ht="14.4" hidden="1" customHeight="1" outlineLevel="2" x14ac:dyDescent="0.3">
      <c r="A526" s="22" t="s">
        <v>180</v>
      </c>
      <c r="B526" s="23"/>
      <c r="C526" s="3"/>
      <c r="D526" s="16"/>
      <c r="E526" s="4"/>
      <c r="F526" s="23"/>
      <c r="G526" s="56"/>
      <c r="H526" s="284"/>
      <c r="I526" s="209">
        <v>0</v>
      </c>
      <c r="J526" s="210"/>
      <c r="K526" s="284"/>
      <c r="L526" s="209">
        <v>0</v>
      </c>
      <c r="M526" s="210"/>
      <c r="N526" s="284"/>
      <c r="O526" s="209">
        <v>0</v>
      </c>
      <c r="P526" s="210"/>
      <c r="Q526" s="284"/>
      <c r="R526" s="209">
        <v>0</v>
      </c>
      <c r="S526" s="210"/>
      <c r="T526" s="284"/>
      <c r="U526" s="209">
        <v>0</v>
      </c>
      <c r="V526" s="210"/>
      <c r="W526" s="284"/>
      <c r="X526" s="209">
        <v>0</v>
      </c>
      <c r="Y526" s="210"/>
      <c r="Z526" s="284"/>
      <c r="AA526" s="209">
        <v>0</v>
      </c>
      <c r="AB526" s="210"/>
      <c r="AC526" s="284"/>
      <c r="AD526" s="209">
        <v>0</v>
      </c>
      <c r="AE526" s="210"/>
      <c r="AF526" s="284"/>
      <c r="AG526" s="209">
        <v>0</v>
      </c>
      <c r="AH526" s="210"/>
      <c r="AI526" s="284"/>
      <c r="AJ526" s="209">
        <v>0</v>
      </c>
      <c r="AK526" s="210"/>
      <c r="AL526" s="284"/>
      <c r="AM526" s="209">
        <v>0</v>
      </c>
      <c r="AN526" s="210"/>
      <c r="AO526" s="284"/>
      <c r="AP526" s="209">
        <v>0</v>
      </c>
      <c r="AQ526" s="210"/>
      <c r="AR526" s="284"/>
      <c r="AS526" s="209"/>
      <c r="AT526" s="210"/>
      <c r="AU526" s="284"/>
      <c r="AV526" s="209"/>
      <c r="AW526" s="210"/>
      <c r="AX526" s="284"/>
      <c r="AY526" s="209"/>
      <c r="AZ526" s="210"/>
      <c r="BA526" s="284"/>
      <c r="BB526" s="209"/>
      <c r="BC526" s="210"/>
      <c r="BD526" s="284"/>
      <c r="BE526" s="209"/>
      <c r="BF526" s="210"/>
      <c r="BG526" s="284"/>
      <c r="BH526" s="209"/>
      <c r="BI526" s="210"/>
      <c r="BK526" s="449"/>
      <c r="BL526" s="449"/>
      <c r="BM526" s="449"/>
      <c r="BN526" s="449"/>
    </row>
    <row r="527" spans="1:66" s="29" customFormat="1" ht="14.4" hidden="1" customHeight="1" outlineLevel="2" x14ac:dyDescent="0.3">
      <c r="A527" s="22" t="s">
        <v>181</v>
      </c>
      <c r="B527" s="23"/>
      <c r="C527" s="3"/>
      <c r="D527" s="16"/>
      <c r="E527" s="4"/>
      <c r="F527" s="23"/>
      <c r="G527" s="56"/>
      <c r="H527" s="284"/>
      <c r="I527" s="209">
        <v>-1869.4</v>
      </c>
      <c r="J527" s="210"/>
      <c r="K527" s="284"/>
      <c r="L527" s="209">
        <v>-1869.4</v>
      </c>
      <c r="M527" s="210"/>
      <c r="N527" s="284"/>
      <c r="O527" s="209">
        <v>-1869.4</v>
      </c>
      <c r="P527" s="210"/>
      <c r="Q527" s="284"/>
      <c r="R527" s="209">
        <v>-1869.4</v>
      </c>
      <c r="S527" s="210"/>
      <c r="T527" s="284"/>
      <c r="U527" s="209">
        <v>-1869.4</v>
      </c>
      <c r="V527" s="210"/>
      <c r="W527" s="284"/>
      <c r="X527" s="209">
        <v>-1947.9148</v>
      </c>
      <c r="Y527" s="210"/>
      <c r="Z527" s="284"/>
      <c r="AA527" s="209">
        <v>-1947.9148</v>
      </c>
      <c r="AB527" s="210"/>
      <c r="AC527" s="284"/>
      <c r="AD527" s="209">
        <v>-1947.9148</v>
      </c>
      <c r="AE527" s="210"/>
      <c r="AF527" s="284"/>
      <c r="AG527" s="209">
        <v>-1947.9148</v>
      </c>
      <c r="AH527" s="210"/>
      <c r="AI527" s="284"/>
      <c r="AJ527" s="209">
        <v>-1947.9148</v>
      </c>
      <c r="AK527" s="210"/>
      <c r="AL527" s="284"/>
      <c r="AM527" s="209">
        <v>-1947.9148</v>
      </c>
      <c r="AN527" s="210"/>
      <c r="AO527" s="284"/>
      <c r="AP527" s="209">
        <v>-1947.9148</v>
      </c>
      <c r="AQ527" s="210"/>
      <c r="AR527" s="284"/>
      <c r="AS527" s="209"/>
      <c r="AT527" s="210"/>
      <c r="AU527" s="284"/>
      <c r="AV527" s="209"/>
      <c r="AW527" s="210"/>
      <c r="AX527" s="284"/>
      <c r="AY527" s="209"/>
      <c r="AZ527" s="210"/>
      <c r="BA527" s="284"/>
      <c r="BB527" s="209"/>
      <c r="BC527" s="210"/>
      <c r="BD527" s="284"/>
      <c r="BE527" s="209"/>
      <c r="BF527" s="210"/>
      <c r="BG527" s="284"/>
      <c r="BH527" s="209"/>
      <c r="BI527" s="210"/>
      <c r="BK527" s="449"/>
      <c r="BL527" s="449"/>
      <c r="BM527" s="449"/>
      <c r="BN527" s="449"/>
    </row>
    <row r="528" spans="1:66" s="29" customFormat="1" ht="14.4" hidden="1" customHeight="1" outlineLevel="2" x14ac:dyDescent="0.3">
      <c r="A528" s="22" t="s">
        <v>182</v>
      </c>
      <c r="B528" s="23"/>
      <c r="C528" s="3"/>
      <c r="D528" s="16"/>
      <c r="E528" s="4"/>
      <c r="F528" s="23"/>
      <c r="G528" s="56"/>
      <c r="H528" s="284"/>
      <c r="I528" s="209">
        <v>-1515.31</v>
      </c>
      <c r="J528" s="210"/>
      <c r="K528" s="284"/>
      <c r="L528" s="209">
        <v>-1515.31</v>
      </c>
      <c r="M528" s="210"/>
      <c r="N528" s="284"/>
      <c r="O528" s="209">
        <v>-1515.31</v>
      </c>
      <c r="P528" s="210"/>
      <c r="Q528" s="284"/>
      <c r="R528" s="209">
        <v>-1515.31</v>
      </c>
      <c r="S528" s="210"/>
      <c r="T528" s="284"/>
      <c r="U528" s="209">
        <v>-1515.31</v>
      </c>
      <c r="V528" s="210"/>
      <c r="W528" s="284"/>
      <c r="X528" s="209">
        <v>-1578.9530199999999</v>
      </c>
      <c r="Y528" s="210"/>
      <c r="Z528" s="284"/>
      <c r="AA528" s="209">
        <v>-1578.9530199999999</v>
      </c>
      <c r="AB528" s="210"/>
      <c r="AC528" s="284"/>
      <c r="AD528" s="209">
        <v>-1578.9530199999999</v>
      </c>
      <c r="AE528" s="210"/>
      <c r="AF528" s="284"/>
      <c r="AG528" s="209">
        <v>-1578.9530199999999</v>
      </c>
      <c r="AH528" s="210"/>
      <c r="AI528" s="284"/>
      <c r="AJ528" s="209">
        <v>-1578.9530199999999</v>
      </c>
      <c r="AK528" s="210"/>
      <c r="AL528" s="284"/>
      <c r="AM528" s="209">
        <v>-1578.9530199999999</v>
      </c>
      <c r="AN528" s="210"/>
      <c r="AO528" s="284"/>
      <c r="AP528" s="209">
        <v>-1578.9530199999999</v>
      </c>
      <c r="AQ528" s="210"/>
      <c r="AR528" s="284"/>
      <c r="AS528" s="209"/>
      <c r="AT528" s="210"/>
      <c r="AU528" s="284"/>
      <c r="AV528" s="209"/>
      <c r="AW528" s="210"/>
      <c r="AX528" s="284"/>
      <c r="AY528" s="209"/>
      <c r="AZ528" s="210"/>
      <c r="BA528" s="284"/>
      <c r="BB528" s="209"/>
      <c r="BC528" s="210"/>
      <c r="BD528" s="284"/>
      <c r="BE528" s="209"/>
      <c r="BF528" s="210"/>
      <c r="BG528" s="284"/>
      <c r="BH528" s="209"/>
      <c r="BI528" s="210"/>
      <c r="BK528" s="449"/>
      <c r="BL528" s="449"/>
      <c r="BM528" s="449"/>
      <c r="BN528" s="449"/>
    </row>
    <row r="529" spans="1:66" s="29" customFormat="1" ht="14.4" hidden="1" customHeight="1" outlineLevel="2" x14ac:dyDescent="0.3">
      <c r="A529" s="22" t="s">
        <v>183</v>
      </c>
      <c r="B529" s="23"/>
      <c r="C529" s="3"/>
      <c r="D529" s="16"/>
      <c r="E529" s="4"/>
      <c r="F529" s="23"/>
      <c r="G529" s="56"/>
      <c r="H529" s="284"/>
      <c r="I529" s="209">
        <v>-1939.85</v>
      </c>
      <c r="J529" s="210"/>
      <c r="K529" s="284"/>
      <c r="L529" s="209">
        <v>-1939.85</v>
      </c>
      <c r="M529" s="210"/>
      <c r="N529" s="284"/>
      <c r="O529" s="209">
        <v>-1939.85</v>
      </c>
      <c r="P529" s="210"/>
      <c r="Q529" s="284"/>
      <c r="R529" s="209">
        <v>-1939.85</v>
      </c>
      <c r="S529" s="210"/>
      <c r="T529" s="284"/>
      <c r="U529" s="209">
        <v>-1939.85</v>
      </c>
      <c r="V529" s="210"/>
      <c r="W529" s="284"/>
      <c r="X529" s="209">
        <v>-2021.3236999999999</v>
      </c>
      <c r="Y529" s="210"/>
      <c r="Z529" s="284"/>
      <c r="AA529" s="209">
        <v>-2021.3236999999999</v>
      </c>
      <c r="AB529" s="210"/>
      <c r="AC529" s="284"/>
      <c r="AD529" s="209">
        <v>-2021.3236999999999</v>
      </c>
      <c r="AE529" s="210"/>
      <c r="AF529" s="284"/>
      <c r="AG529" s="209">
        <v>-2021.3236999999999</v>
      </c>
      <c r="AH529" s="210"/>
      <c r="AI529" s="284"/>
      <c r="AJ529" s="209">
        <v>-2021.3236999999999</v>
      </c>
      <c r="AK529" s="210"/>
      <c r="AL529" s="284"/>
      <c r="AM529" s="209">
        <v>-2021.3236999999999</v>
      </c>
      <c r="AN529" s="210"/>
      <c r="AO529" s="284"/>
      <c r="AP529" s="209">
        <v>-2021.3236999999999</v>
      </c>
      <c r="AQ529" s="210"/>
      <c r="AR529" s="284"/>
      <c r="AS529" s="209"/>
      <c r="AT529" s="210"/>
      <c r="AU529" s="284"/>
      <c r="AV529" s="209"/>
      <c r="AW529" s="210"/>
      <c r="AX529" s="284"/>
      <c r="AY529" s="209"/>
      <c r="AZ529" s="210"/>
      <c r="BA529" s="284"/>
      <c r="BB529" s="209"/>
      <c r="BC529" s="210"/>
      <c r="BD529" s="284"/>
      <c r="BE529" s="209"/>
      <c r="BF529" s="210"/>
      <c r="BG529" s="284"/>
      <c r="BH529" s="209"/>
      <c r="BI529" s="210"/>
      <c r="BK529" s="449"/>
      <c r="BL529" s="449"/>
      <c r="BM529" s="449"/>
      <c r="BN529" s="449"/>
    </row>
    <row r="530" spans="1:66" s="29" customFormat="1" ht="14.4" hidden="1" customHeight="1" outlineLevel="2" x14ac:dyDescent="0.3">
      <c r="A530" s="22" t="s">
        <v>184</v>
      </c>
      <c r="B530" s="23"/>
      <c r="C530" s="3"/>
      <c r="D530" s="16"/>
      <c r="E530" s="4"/>
      <c r="F530" s="23"/>
      <c r="G530" s="56"/>
      <c r="H530" s="284"/>
      <c r="I530" s="209">
        <v>-2471.5500000000002</v>
      </c>
      <c r="J530" s="210"/>
      <c r="K530" s="284"/>
      <c r="L530" s="209">
        <v>-2471.5500000000002</v>
      </c>
      <c r="M530" s="210"/>
      <c r="N530" s="284"/>
      <c r="O530" s="209">
        <v>-2471.5500000000002</v>
      </c>
      <c r="P530" s="210"/>
      <c r="Q530" s="284"/>
      <c r="R530" s="209">
        <v>-2471.5500000000002</v>
      </c>
      <c r="S530" s="210"/>
      <c r="T530" s="284"/>
      <c r="U530" s="209">
        <v>-2471.5500000000002</v>
      </c>
      <c r="V530" s="210"/>
      <c r="W530" s="284"/>
      <c r="X530" s="209">
        <v>-2575.3551000000002</v>
      </c>
      <c r="Y530" s="210"/>
      <c r="Z530" s="284"/>
      <c r="AA530" s="209">
        <v>-2575.3551000000002</v>
      </c>
      <c r="AB530" s="210"/>
      <c r="AC530" s="284"/>
      <c r="AD530" s="209">
        <v>-2575.3551000000002</v>
      </c>
      <c r="AE530" s="210"/>
      <c r="AF530" s="284"/>
      <c r="AG530" s="209">
        <v>-2575.3551000000002</v>
      </c>
      <c r="AH530" s="210"/>
      <c r="AI530" s="284"/>
      <c r="AJ530" s="209">
        <v>-2575.3551000000002</v>
      </c>
      <c r="AK530" s="210"/>
      <c r="AL530" s="284"/>
      <c r="AM530" s="209">
        <v>-2575.3551000000002</v>
      </c>
      <c r="AN530" s="210"/>
      <c r="AO530" s="284"/>
      <c r="AP530" s="209">
        <v>-2575.3551000000002</v>
      </c>
      <c r="AQ530" s="210"/>
      <c r="AR530" s="284"/>
      <c r="AS530" s="209"/>
      <c r="AT530" s="210"/>
      <c r="AU530" s="284"/>
      <c r="AV530" s="209"/>
      <c r="AW530" s="210"/>
      <c r="AX530" s="284"/>
      <c r="AY530" s="209"/>
      <c r="AZ530" s="210"/>
      <c r="BA530" s="284"/>
      <c r="BB530" s="209"/>
      <c r="BC530" s="210"/>
      <c r="BD530" s="284"/>
      <c r="BE530" s="209"/>
      <c r="BF530" s="210"/>
      <c r="BG530" s="284"/>
      <c r="BH530" s="209"/>
      <c r="BI530" s="210"/>
      <c r="BK530" s="449"/>
      <c r="BL530" s="449"/>
      <c r="BM530" s="449"/>
      <c r="BN530" s="449"/>
    </row>
    <row r="531" spans="1:66" s="29" customFormat="1" ht="14.4" hidden="1" customHeight="1" outlineLevel="2" x14ac:dyDescent="0.3">
      <c r="A531" s="22" t="s">
        <v>185</v>
      </c>
      <c r="B531" s="23"/>
      <c r="C531" s="3"/>
      <c r="D531" s="16"/>
      <c r="E531" s="4"/>
      <c r="F531" s="23"/>
      <c r="G531" s="56"/>
      <c r="H531" s="284"/>
      <c r="I531" s="209">
        <v>0</v>
      </c>
      <c r="J531" s="210"/>
      <c r="K531" s="284"/>
      <c r="L531" s="209">
        <v>0</v>
      </c>
      <c r="M531" s="210"/>
      <c r="N531" s="284"/>
      <c r="O531" s="209">
        <v>0</v>
      </c>
      <c r="P531" s="210"/>
      <c r="Q531" s="284"/>
      <c r="R531" s="209">
        <v>0</v>
      </c>
      <c r="S531" s="210"/>
      <c r="T531" s="284"/>
      <c r="U531" s="209">
        <v>0</v>
      </c>
      <c r="V531" s="210"/>
      <c r="W531" s="284"/>
      <c r="X531" s="209">
        <v>0</v>
      </c>
      <c r="Y531" s="210"/>
      <c r="Z531" s="284"/>
      <c r="AA531" s="209">
        <v>0</v>
      </c>
      <c r="AB531" s="210"/>
      <c r="AC531" s="284"/>
      <c r="AD531" s="209">
        <v>0</v>
      </c>
      <c r="AE531" s="210"/>
      <c r="AF531" s="284"/>
      <c r="AG531" s="209">
        <v>0</v>
      </c>
      <c r="AH531" s="210"/>
      <c r="AI531" s="284"/>
      <c r="AJ531" s="209">
        <v>0</v>
      </c>
      <c r="AK531" s="210"/>
      <c r="AL531" s="284"/>
      <c r="AM531" s="209">
        <v>0</v>
      </c>
      <c r="AN531" s="210"/>
      <c r="AO531" s="284"/>
      <c r="AP531" s="209">
        <v>0</v>
      </c>
      <c r="AQ531" s="210"/>
      <c r="AR531" s="284"/>
      <c r="AS531" s="209"/>
      <c r="AT531" s="210"/>
      <c r="AU531" s="284"/>
      <c r="AV531" s="209"/>
      <c r="AW531" s="210"/>
      <c r="AX531" s="284"/>
      <c r="AY531" s="209"/>
      <c r="AZ531" s="210"/>
      <c r="BA531" s="284"/>
      <c r="BB531" s="209"/>
      <c r="BC531" s="210"/>
      <c r="BD531" s="284"/>
      <c r="BE531" s="209"/>
      <c r="BF531" s="210"/>
      <c r="BG531" s="284"/>
      <c r="BH531" s="209"/>
      <c r="BI531" s="210"/>
      <c r="BK531" s="449"/>
      <c r="BL531" s="449"/>
      <c r="BM531" s="449"/>
      <c r="BN531" s="449"/>
    </row>
    <row r="532" spans="1:66" s="29" customFormat="1" ht="14.4" hidden="1" customHeight="1" outlineLevel="2" x14ac:dyDescent="0.3">
      <c r="A532" s="22" t="s">
        <v>186</v>
      </c>
      <c r="B532" s="23"/>
      <c r="C532" s="3"/>
      <c r="D532" s="16"/>
      <c r="E532" s="4"/>
      <c r="F532" s="23"/>
      <c r="G532" s="56"/>
      <c r="H532" s="284"/>
      <c r="I532" s="209">
        <v>0</v>
      </c>
      <c r="J532" s="210"/>
      <c r="K532" s="284"/>
      <c r="L532" s="209">
        <v>0</v>
      </c>
      <c r="M532" s="210"/>
      <c r="N532" s="284"/>
      <c r="O532" s="209">
        <v>0</v>
      </c>
      <c r="P532" s="210"/>
      <c r="Q532" s="284"/>
      <c r="R532" s="209">
        <v>0</v>
      </c>
      <c r="S532" s="210"/>
      <c r="T532" s="284"/>
      <c r="U532" s="209">
        <v>0</v>
      </c>
      <c r="V532" s="210"/>
      <c r="W532" s="284"/>
      <c r="X532" s="209">
        <v>0</v>
      </c>
      <c r="Y532" s="210"/>
      <c r="Z532" s="284"/>
      <c r="AA532" s="209">
        <v>0</v>
      </c>
      <c r="AB532" s="210"/>
      <c r="AC532" s="284"/>
      <c r="AD532" s="209">
        <v>0</v>
      </c>
      <c r="AE532" s="210"/>
      <c r="AF532" s="284"/>
      <c r="AG532" s="209">
        <v>0</v>
      </c>
      <c r="AH532" s="210"/>
      <c r="AI532" s="284"/>
      <c r="AJ532" s="209">
        <v>0</v>
      </c>
      <c r="AK532" s="210"/>
      <c r="AL532" s="284"/>
      <c r="AM532" s="209">
        <v>0</v>
      </c>
      <c r="AN532" s="210"/>
      <c r="AO532" s="284"/>
      <c r="AP532" s="209">
        <v>0</v>
      </c>
      <c r="AQ532" s="210"/>
      <c r="AR532" s="284"/>
      <c r="AS532" s="209"/>
      <c r="AT532" s="210"/>
      <c r="AU532" s="284"/>
      <c r="AV532" s="209"/>
      <c r="AW532" s="210"/>
      <c r="AX532" s="284"/>
      <c r="AY532" s="209"/>
      <c r="AZ532" s="210"/>
      <c r="BA532" s="284"/>
      <c r="BB532" s="209"/>
      <c r="BC532" s="210"/>
      <c r="BD532" s="284"/>
      <c r="BE532" s="209"/>
      <c r="BF532" s="210"/>
      <c r="BG532" s="284"/>
      <c r="BH532" s="209"/>
      <c r="BI532" s="210"/>
      <c r="BK532" s="449"/>
      <c r="BL532" s="449"/>
      <c r="BM532" s="449"/>
      <c r="BN532" s="449"/>
    </row>
    <row r="533" spans="1:66" s="29" customFormat="1" ht="14.4" hidden="1" customHeight="1" outlineLevel="2" x14ac:dyDescent="0.3">
      <c r="A533" s="22" t="s">
        <v>187</v>
      </c>
      <c r="B533" s="23"/>
      <c r="C533" s="3"/>
      <c r="D533" s="16"/>
      <c r="E533" s="4"/>
      <c r="F533" s="23"/>
      <c r="G533" s="56"/>
      <c r="H533" s="284"/>
      <c r="I533" s="209">
        <v>0</v>
      </c>
      <c r="J533" s="210"/>
      <c r="K533" s="284"/>
      <c r="L533" s="209">
        <v>0</v>
      </c>
      <c r="M533" s="210"/>
      <c r="N533" s="284"/>
      <c r="O533" s="209">
        <v>0</v>
      </c>
      <c r="P533" s="210"/>
      <c r="Q533" s="284"/>
      <c r="R533" s="209">
        <v>0</v>
      </c>
      <c r="S533" s="210"/>
      <c r="T533" s="284"/>
      <c r="U533" s="209">
        <v>0</v>
      </c>
      <c r="V533" s="210"/>
      <c r="W533" s="284"/>
      <c r="X533" s="209">
        <v>0</v>
      </c>
      <c r="Y533" s="210"/>
      <c r="Z533" s="284"/>
      <c r="AA533" s="209">
        <v>0</v>
      </c>
      <c r="AB533" s="210"/>
      <c r="AC533" s="284"/>
      <c r="AD533" s="209">
        <v>0</v>
      </c>
      <c r="AE533" s="210"/>
      <c r="AF533" s="284"/>
      <c r="AG533" s="209">
        <v>0</v>
      </c>
      <c r="AH533" s="210"/>
      <c r="AI533" s="284"/>
      <c r="AJ533" s="209">
        <v>0</v>
      </c>
      <c r="AK533" s="210"/>
      <c r="AL533" s="284"/>
      <c r="AM533" s="209">
        <v>0</v>
      </c>
      <c r="AN533" s="210"/>
      <c r="AO533" s="284"/>
      <c r="AP533" s="209">
        <v>0</v>
      </c>
      <c r="AQ533" s="210"/>
      <c r="AR533" s="284"/>
      <c r="AS533" s="209"/>
      <c r="AT533" s="210"/>
      <c r="AU533" s="284"/>
      <c r="AV533" s="209"/>
      <c r="AW533" s="210"/>
      <c r="AX533" s="284"/>
      <c r="AY533" s="209"/>
      <c r="AZ533" s="210"/>
      <c r="BA533" s="284"/>
      <c r="BB533" s="209"/>
      <c r="BC533" s="210"/>
      <c r="BD533" s="284"/>
      <c r="BE533" s="209"/>
      <c r="BF533" s="210"/>
      <c r="BG533" s="284"/>
      <c r="BH533" s="209"/>
      <c r="BI533" s="210"/>
      <c r="BK533" s="449"/>
      <c r="BL533" s="449"/>
      <c r="BM533" s="449"/>
      <c r="BN533" s="449"/>
    </row>
    <row r="534" spans="1:66" s="29" customFormat="1" ht="14.4" hidden="1" customHeight="1" outlineLevel="2" x14ac:dyDescent="0.3">
      <c r="A534" s="22" t="s">
        <v>188</v>
      </c>
      <c r="B534" s="23"/>
      <c r="C534" s="3"/>
      <c r="D534" s="16"/>
      <c r="E534" s="4"/>
      <c r="F534" s="23"/>
      <c r="G534" s="56"/>
      <c r="H534" s="284"/>
      <c r="I534" s="209">
        <v>0</v>
      </c>
      <c r="J534" s="210"/>
      <c r="K534" s="284"/>
      <c r="L534" s="209">
        <v>0</v>
      </c>
      <c r="M534" s="210"/>
      <c r="N534" s="284"/>
      <c r="O534" s="209">
        <v>0</v>
      </c>
      <c r="P534" s="210"/>
      <c r="Q534" s="284"/>
      <c r="R534" s="209">
        <v>0</v>
      </c>
      <c r="S534" s="210"/>
      <c r="T534" s="284"/>
      <c r="U534" s="209">
        <v>0</v>
      </c>
      <c r="V534" s="210"/>
      <c r="W534" s="284"/>
      <c r="X534" s="209">
        <v>0</v>
      </c>
      <c r="Y534" s="210"/>
      <c r="Z534" s="284"/>
      <c r="AA534" s="209">
        <v>0</v>
      </c>
      <c r="AB534" s="210"/>
      <c r="AC534" s="284"/>
      <c r="AD534" s="209">
        <v>0</v>
      </c>
      <c r="AE534" s="210"/>
      <c r="AF534" s="284"/>
      <c r="AG534" s="209">
        <v>0</v>
      </c>
      <c r="AH534" s="210"/>
      <c r="AI534" s="284"/>
      <c r="AJ534" s="209">
        <v>0</v>
      </c>
      <c r="AK534" s="210"/>
      <c r="AL534" s="284"/>
      <c r="AM534" s="209">
        <v>0</v>
      </c>
      <c r="AN534" s="210"/>
      <c r="AO534" s="284"/>
      <c r="AP534" s="209">
        <v>0</v>
      </c>
      <c r="AQ534" s="210"/>
      <c r="AR534" s="284"/>
      <c r="AS534" s="209"/>
      <c r="AT534" s="210"/>
      <c r="AU534" s="284"/>
      <c r="AV534" s="209"/>
      <c r="AW534" s="210"/>
      <c r="AX534" s="284"/>
      <c r="AY534" s="209"/>
      <c r="AZ534" s="210"/>
      <c r="BA534" s="284"/>
      <c r="BB534" s="209"/>
      <c r="BC534" s="210"/>
      <c r="BD534" s="284"/>
      <c r="BE534" s="209"/>
      <c r="BF534" s="210"/>
      <c r="BG534" s="284"/>
      <c r="BH534" s="209"/>
      <c r="BI534" s="210"/>
      <c r="BK534" s="449"/>
      <c r="BL534" s="449"/>
      <c r="BM534" s="449"/>
      <c r="BN534" s="449"/>
    </row>
    <row r="535" spans="1:66" s="29" customFormat="1" ht="14.4" hidden="1" customHeight="1" outlineLevel="2" x14ac:dyDescent="0.3">
      <c r="A535" s="22" t="s">
        <v>189</v>
      </c>
      <c r="B535" s="23"/>
      <c r="C535" s="3"/>
      <c r="D535" s="16"/>
      <c r="E535" s="4"/>
      <c r="F535" s="23"/>
      <c r="G535" s="56"/>
      <c r="H535" s="284"/>
      <c r="I535" s="209">
        <v>0</v>
      </c>
      <c r="J535" s="210"/>
      <c r="K535" s="284"/>
      <c r="L535" s="209">
        <v>0</v>
      </c>
      <c r="M535" s="210"/>
      <c r="N535" s="284"/>
      <c r="O535" s="209">
        <v>0</v>
      </c>
      <c r="P535" s="210"/>
      <c r="Q535" s="284"/>
      <c r="R535" s="209">
        <v>0</v>
      </c>
      <c r="S535" s="210"/>
      <c r="T535" s="284"/>
      <c r="U535" s="209">
        <v>0</v>
      </c>
      <c r="V535" s="210"/>
      <c r="W535" s="284"/>
      <c r="X535" s="209">
        <v>0</v>
      </c>
      <c r="Y535" s="210"/>
      <c r="Z535" s="284"/>
      <c r="AA535" s="209">
        <v>0</v>
      </c>
      <c r="AB535" s="210"/>
      <c r="AC535" s="284"/>
      <c r="AD535" s="209">
        <v>0</v>
      </c>
      <c r="AE535" s="210"/>
      <c r="AF535" s="284"/>
      <c r="AG535" s="209">
        <v>0</v>
      </c>
      <c r="AH535" s="210"/>
      <c r="AI535" s="284"/>
      <c r="AJ535" s="209">
        <v>0</v>
      </c>
      <c r="AK535" s="210"/>
      <c r="AL535" s="284"/>
      <c r="AM535" s="209">
        <v>0</v>
      </c>
      <c r="AN535" s="210"/>
      <c r="AO535" s="284"/>
      <c r="AP535" s="209">
        <v>0</v>
      </c>
      <c r="AQ535" s="210"/>
      <c r="AR535" s="284"/>
      <c r="AS535" s="209"/>
      <c r="AT535" s="210"/>
      <c r="AU535" s="284"/>
      <c r="AV535" s="209"/>
      <c r="AW535" s="210"/>
      <c r="AX535" s="284"/>
      <c r="AY535" s="209"/>
      <c r="AZ535" s="210"/>
      <c r="BA535" s="284"/>
      <c r="BB535" s="209"/>
      <c r="BC535" s="210"/>
      <c r="BD535" s="284"/>
      <c r="BE535" s="209"/>
      <c r="BF535" s="210"/>
      <c r="BG535" s="284"/>
      <c r="BH535" s="209"/>
      <c r="BI535" s="210"/>
      <c r="BK535" s="449"/>
      <c r="BL535" s="449"/>
      <c r="BM535" s="449"/>
      <c r="BN535" s="449"/>
    </row>
    <row r="536" spans="1:66" s="29" customFormat="1" ht="14.4" hidden="1" customHeight="1" outlineLevel="2" x14ac:dyDescent="0.3">
      <c r="A536" s="22" t="s">
        <v>190</v>
      </c>
      <c r="B536" s="23"/>
      <c r="C536" s="3"/>
      <c r="D536" s="16"/>
      <c r="E536" s="4"/>
      <c r="F536" s="23"/>
      <c r="G536" s="56"/>
      <c r="H536" s="284"/>
      <c r="I536" s="209">
        <v>0</v>
      </c>
      <c r="J536" s="210"/>
      <c r="K536" s="284"/>
      <c r="L536" s="209">
        <v>0</v>
      </c>
      <c r="M536" s="210"/>
      <c r="N536" s="284"/>
      <c r="O536" s="209">
        <v>0</v>
      </c>
      <c r="P536" s="210"/>
      <c r="Q536" s="284"/>
      <c r="R536" s="209">
        <v>0</v>
      </c>
      <c r="S536" s="210"/>
      <c r="T536" s="284"/>
      <c r="U536" s="209">
        <v>0</v>
      </c>
      <c r="V536" s="210"/>
      <c r="W536" s="284"/>
      <c r="X536" s="209">
        <v>0</v>
      </c>
      <c r="Y536" s="210"/>
      <c r="Z536" s="284"/>
      <c r="AA536" s="209">
        <v>0</v>
      </c>
      <c r="AB536" s="210"/>
      <c r="AC536" s="284"/>
      <c r="AD536" s="209">
        <v>0</v>
      </c>
      <c r="AE536" s="210"/>
      <c r="AF536" s="284"/>
      <c r="AG536" s="209">
        <v>0</v>
      </c>
      <c r="AH536" s="210"/>
      <c r="AI536" s="284"/>
      <c r="AJ536" s="209">
        <v>0</v>
      </c>
      <c r="AK536" s="210"/>
      <c r="AL536" s="284"/>
      <c r="AM536" s="209">
        <v>0</v>
      </c>
      <c r="AN536" s="210"/>
      <c r="AO536" s="284"/>
      <c r="AP536" s="209">
        <v>0</v>
      </c>
      <c r="AQ536" s="210"/>
      <c r="AR536" s="284"/>
      <c r="AS536" s="209"/>
      <c r="AT536" s="210"/>
      <c r="AU536" s="284"/>
      <c r="AV536" s="209"/>
      <c r="AW536" s="210"/>
      <c r="AX536" s="284"/>
      <c r="AY536" s="209"/>
      <c r="AZ536" s="210"/>
      <c r="BA536" s="284"/>
      <c r="BB536" s="209"/>
      <c r="BC536" s="210"/>
      <c r="BD536" s="284"/>
      <c r="BE536" s="209"/>
      <c r="BF536" s="210"/>
      <c r="BG536" s="284"/>
      <c r="BH536" s="209"/>
      <c r="BI536" s="210"/>
      <c r="BK536" s="449"/>
      <c r="BL536" s="449"/>
      <c r="BM536" s="449"/>
      <c r="BN536" s="449"/>
    </row>
    <row r="537" spans="1:66" s="29" customFormat="1" ht="14.4" hidden="1" customHeight="1" outlineLevel="2" x14ac:dyDescent="0.3">
      <c r="A537" s="22" t="s">
        <v>191</v>
      </c>
      <c r="B537" s="23"/>
      <c r="C537" s="3"/>
      <c r="D537" s="16"/>
      <c r="E537" s="4"/>
      <c r="F537" s="23"/>
      <c r="G537" s="56"/>
      <c r="H537" s="284"/>
      <c r="I537" s="209">
        <v>0</v>
      </c>
      <c r="J537" s="210"/>
      <c r="K537" s="284"/>
      <c r="L537" s="209">
        <v>0</v>
      </c>
      <c r="M537" s="210"/>
      <c r="N537" s="284"/>
      <c r="O537" s="209">
        <v>0</v>
      </c>
      <c r="P537" s="210"/>
      <c r="Q537" s="284"/>
      <c r="R537" s="209">
        <v>0</v>
      </c>
      <c r="S537" s="210"/>
      <c r="T537" s="284"/>
      <c r="U537" s="209">
        <v>0</v>
      </c>
      <c r="V537" s="210"/>
      <c r="W537" s="284"/>
      <c r="X537" s="209">
        <v>0</v>
      </c>
      <c r="Y537" s="210"/>
      <c r="Z537" s="284"/>
      <c r="AA537" s="209">
        <v>0</v>
      </c>
      <c r="AB537" s="210"/>
      <c r="AC537" s="284"/>
      <c r="AD537" s="209">
        <v>0</v>
      </c>
      <c r="AE537" s="210"/>
      <c r="AF537" s="284"/>
      <c r="AG537" s="209">
        <v>0</v>
      </c>
      <c r="AH537" s="210"/>
      <c r="AI537" s="284"/>
      <c r="AJ537" s="209">
        <v>0</v>
      </c>
      <c r="AK537" s="210"/>
      <c r="AL537" s="284"/>
      <c r="AM537" s="209">
        <v>0</v>
      </c>
      <c r="AN537" s="210"/>
      <c r="AO537" s="284"/>
      <c r="AP537" s="209">
        <v>0</v>
      </c>
      <c r="AQ537" s="210"/>
      <c r="AR537" s="284"/>
      <c r="AS537" s="209"/>
      <c r="AT537" s="210"/>
      <c r="AU537" s="284"/>
      <c r="AV537" s="209"/>
      <c r="AW537" s="210"/>
      <c r="AX537" s="284"/>
      <c r="AY537" s="209"/>
      <c r="AZ537" s="210"/>
      <c r="BA537" s="284"/>
      <c r="BB537" s="209"/>
      <c r="BC537" s="210"/>
      <c r="BD537" s="284"/>
      <c r="BE537" s="209"/>
      <c r="BF537" s="210"/>
      <c r="BG537" s="284"/>
      <c r="BH537" s="209"/>
      <c r="BI537" s="210"/>
      <c r="BK537" s="449"/>
      <c r="BL537" s="449"/>
      <c r="BM537" s="449"/>
      <c r="BN537" s="449"/>
    </row>
    <row r="538" spans="1:66" s="29" customFormat="1" ht="14.4" hidden="1" customHeight="1" outlineLevel="2" x14ac:dyDescent="0.3">
      <c r="A538" s="22" t="s">
        <v>192</v>
      </c>
      <c r="B538" s="23"/>
      <c r="C538" s="3"/>
      <c r="D538" s="16"/>
      <c r="E538" s="4"/>
      <c r="F538" s="23"/>
      <c r="G538" s="56"/>
      <c r="H538" s="284"/>
      <c r="I538" s="209">
        <v>0</v>
      </c>
      <c r="J538" s="210"/>
      <c r="K538" s="284"/>
      <c r="L538" s="209">
        <v>0</v>
      </c>
      <c r="M538" s="210"/>
      <c r="N538" s="284"/>
      <c r="O538" s="209">
        <v>0</v>
      </c>
      <c r="P538" s="210"/>
      <c r="Q538" s="284"/>
      <c r="R538" s="209">
        <v>0</v>
      </c>
      <c r="S538" s="210"/>
      <c r="T538" s="284"/>
      <c r="U538" s="209">
        <v>0</v>
      </c>
      <c r="V538" s="210"/>
      <c r="W538" s="284"/>
      <c r="X538" s="209">
        <v>0</v>
      </c>
      <c r="Y538" s="210"/>
      <c r="Z538" s="284"/>
      <c r="AA538" s="209">
        <v>0</v>
      </c>
      <c r="AB538" s="210"/>
      <c r="AC538" s="284"/>
      <c r="AD538" s="209">
        <v>0</v>
      </c>
      <c r="AE538" s="210"/>
      <c r="AF538" s="284"/>
      <c r="AG538" s="209">
        <v>0</v>
      </c>
      <c r="AH538" s="210"/>
      <c r="AI538" s="284"/>
      <c r="AJ538" s="209">
        <v>0</v>
      </c>
      <c r="AK538" s="210"/>
      <c r="AL538" s="284"/>
      <c r="AM538" s="209">
        <v>0</v>
      </c>
      <c r="AN538" s="210"/>
      <c r="AO538" s="284"/>
      <c r="AP538" s="209">
        <v>0</v>
      </c>
      <c r="AQ538" s="210"/>
      <c r="AR538" s="284"/>
      <c r="AS538" s="209"/>
      <c r="AT538" s="210"/>
      <c r="AU538" s="284"/>
      <c r="AV538" s="209"/>
      <c r="AW538" s="210"/>
      <c r="AX538" s="284"/>
      <c r="AY538" s="209"/>
      <c r="AZ538" s="210"/>
      <c r="BA538" s="284"/>
      <c r="BB538" s="209"/>
      <c r="BC538" s="210"/>
      <c r="BD538" s="284"/>
      <c r="BE538" s="209"/>
      <c r="BF538" s="210"/>
      <c r="BG538" s="284"/>
      <c r="BH538" s="209"/>
      <c r="BI538" s="210"/>
      <c r="BK538" s="449"/>
      <c r="BL538" s="449"/>
      <c r="BM538" s="449"/>
      <c r="BN538" s="449"/>
    </row>
    <row r="539" spans="1:66" s="29" customFormat="1" ht="14.4" hidden="1" customHeight="1" outlineLevel="2" x14ac:dyDescent="0.3">
      <c r="A539" s="22" t="s">
        <v>193</v>
      </c>
      <c r="B539" s="23"/>
      <c r="C539" s="3"/>
      <c r="D539" s="16"/>
      <c r="E539" s="4"/>
      <c r="F539" s="23"/>
      <c r="G539" s="56"/>
      <c r="H539" s="284"/>
      <c r="I539" s="209">
        <v>0</v>
      </c>
      <c r="J539" s="210"/>
      <c r="K539" s="284"/>
      <c r="L539" s="209">
        <v>0</v>
      </c>
      <c r="M539" s="210"/>
      <c r="N539" s="284"/>
      <c r="O539" s="209">
        <v>0</v>
      </c>
      <c r="P539" s="210"/>
      <c r="Q539" s="284"/>
      <c r="R539" s="209">
        <v>0</v>
      </c>
      <c r="S539" s="210"/>
      <c r="T539" s="284"/>
      <c r="U539" s="209">
        <v>0</v>
      </c>
      <c r="V539" s="210"/>
      <c r="W539" s="284"/>
      <c r="X539" s="209">
        <v>0</v>
      </c>
      <c r="Y539" s="210"/>
      <c r="Z539" s="284"/>
      <c r="AA539" s="209">
        <v>0</v>
      </c>
      <c r="AB539" s="210"/>
      <c r="AC539" s="284"/>
      <c r="AD539" s="209">
        <v>0</v>
      </c>
      <c r="AE539" s="210"/>
      <c r="AF539" s="284"/>
      <c r="AG539" s="209">
        <v>0</v>
      </c>
      <c r="AH539" s="210"/>
      <c r="AI539" s="284"/>
      <c r="AJ539" s="209">
        <v>0</v>
      </c>
      <c r="AK539" s="210"/>
      <c r="AL539" s="284"/>
      <c r="AM539" s="209">
        <v>0</v>
      </c>
      <c r="AN539" s="210"/>
      <c r="AO539" s="284"/>
      <c r="AP539" s="209">
        <v>0</v>
      </c>
      <c r="AQ539" s="210"/>
      <c r="AR539" s="284"/>
      <c r="AS539" s="209"/>
      <c r="AT539" s="210"/>
      <c r="AU539" s="284"/>
      <c r="AV539" s="209"/>
      <c r="AW539" s="210"/>
      <c r="AX539" s="284"/>
      <c r="AY539" s="209"/>
      <c r="AZ539" s="210"/>
      <c r="BA539" s="284"/>
      <c r="BB539" s="209"/>
      <c r="BC539" s="210"/>
      <c r="BD539" s="284"/>
      <c r="BE539" s="209"/>
      <c r="BF539" s="210"/>
      <c r="BG539" s="284"/>
      <c r="BH539" s="209"/>
      <c r="BI539" s="210"/>
      <c r="BK539" s="449"/>
      <c r="BL539" s="449"/>
      <c r="BM539" s="449"/>
      <c r="BN539" s="449"/>
    </row>
    <row r="540" spans="1:66" s="29" customFormat="1" ht="14.4" hidden="1" customHeight="1" outlineLevel="2" x14ac:dyDescent="0.3">
      <c r="A540" s="22" t="s">
        <v>194</v>
      </c>
      <c r="B540" s="23"/>
      <c r="C540" s="3"/>
      <c r="D540" s="16"/>
      <c r="E540" s="4"/>
      <c r="F540" s="23"/>
      <c r="G540" s="56"/>
      <c r="H540" s="284"/>
      <c r="I540" s="209">
        <v>0</v>
      </c>
      <c r="J540" s="210"/>
      <c r="K540" s="284"/>
      <c r="L540" s="209">
        <v>0</v>
      </c>
      <c r="M540" s="210"/>
      <c r="N540" s="284"/>
      <c r="O540" s="209">
        <v>0</v>
      </c>
      <c r="P540" s="210"/>
      <c r="Q540" s="284"/>
      <c r="R540" s="209">
        <v>0</v>
      </c>
      <c r="S540" s="210"/>
      <c r="T540" s="284"/>
      <c r="U540" s="209">
        <v>0</v>
      </c>
      <c r="V540" s="210"/>
      <c r="W540" s="284"/>
      <c r="X540" s="209">
        <v>0</v>
      </c>
      <c r="Y540" s="210"/>
      <c r="Z540" s="284"/>
      <c r="AA540" s="209">
        <v>0</v>
      </c>
      <c r="AB540" s="210"/>
      <c r="AC540" s="284"/>
      <c r="AD540" s="209">
        <v>0</v>
      </c>
      <c r="AE540" s="210"/>
      <c r="AF540" s="284"/>
      <c r="AG540" s="209">
        <v>0</v>
      </c>
      <c r="AH540" s="210"/>
      <c r="AI540" s="284"/>
      <c r="AJ540" s="209">
        <v>0</v>
      </c>
      <c r="AK540" s="210"/>
      <c r="AL540" s="284"/>
      <c r="AM540" s="209">
        <v>0</v>
      </c>
      <c r="AN540" s="210"/>
      <c r="AO540" s="284"/>
      <c r="AP540" s="209">
        <v>0</v>
      </c>
      <c r="AQ540" s="210"/>
      <c r="AR540" s="284"/>
      <c r="AS540" s="209"/>
      <c r="AT540" s="210"/>
      <c r="AU540" s="284"/>
      <c r="AV540" s="209"/>
      <c r="AW540" s="210"/>
      <c r="AX540" s="284"/>
      <c r="AY540" s="209"/>
      <c r="AZ540" s="210"/>
      <c r="BA540" s="284"/>
      <c r="BB540" s="209"/>
      <c r="BC540" s="210"/>
      <c r="BD540" s="284"/>
      <c r="BE540" s="209"/>
      <c r="BF540" s="210"/>
      <c r="BG540" s="284"/>
      <c r="BH540" s="209"/>
      <c r="BI540" s="210"/>
      <c r="BK540" s="449"/>
      <c r="BL540" s="449"/>
      <c r="BM540" s="449"/>
      <c r="BN540" s="449"/>
    </row>
    <row r="541" spans="1:66" s="29" customFormat="1" ht="14.4" hidden="1" customHeight="1" outlineLevel="2" x14ac:dyDescent="0.3">
      <c r="A541" s="22" t="s">
        <v>195</v>
      </c>
      <c r="B541" s="23"/>
      <c r="C541" s="3"/>
      <c r="D541" s="16"/>
      <c r="E541" s="4"/>
      <c r="F541" s="23"/>
      <c r="G541" s="56"/>
      <c r="H541" s="284"/>
      <c r="I541" s="209">
        <v>0</v>
      </c>
      <c r="J541" s="210"/>
      <c r="K541" s="284"/>
      <c r="L541" s="209">
        <v>0</v>
      </c>
      <c r="M541" s="210"/>
      <c r="N541" s="284"/>
      <c r="O541" s="209">
        <v>0</v>
      </c>
      <c r="P541" s="210"/>
      <c r="Q541" s="284"/>
      <c r="R541" s="209">
        <v>0</v>
      </c>
      <c r="S541" s="210"/>
      <c r="T541" s="284"/>
      <c r="U541" s="209">
        <v>0</v>
      </c>
      <c r="V541" s="210"/>
      <c r="W541" s="284"/>
      <c r="X541" s="209">
        <v>0</v>
      </c>
      <c r="Y541" s="210"/>
      <c r="Z541" s="284"/>
      <c r="AA541" s="209">
        <v>0</v>
      </c>
      <c r="AB541" s="210"/>
      <c r="AC541" s="284"/>
      <c r="AD541" s="209">
        <v>0</v>
      </c>
      <c r="AE541" s="210"/>
      <c r="AF541" s="284"/>
      <c r="AG541" s="209">
        <v>0</v>
      </c>
      <c r="AH541" s="210"/>
      <c r="AI541" s="284"/>
      <c r="AJ541" s="209">
        <v>0</v>
      </c>
      <c r="AK541" s="210"/>
      <c r="AL541" s="284"/>
      <c r="AM541" s="209">
        <v>0</v>
      </c>
      <c r="AN541" s="210"/>
      <c r="AO541" s="284"/>
      <c r="AP541" s="209">
        <v>0</v>
      </c>
      <c r="AQ541" s="210"/>
      <c r="AR541" s="284"/>
      <c r="AS541" s="209"/>
      <c r="AT541" s="210"/>
      <c r="AU541" s="284"/>
      <c r="AV541" s="209"/>
      <c r="AW541" s="210"/>
      <c r="AX541" s="284"/>
      <c r="AY541" s="209"/>
      <c r="AZ541" s="210"/>
      <c r="BA541" s="284"/>
      <c r="BB541" s="209"/>
      <c r="BC541" s="210"/>
      <c r="BD541" s="284"/>
      <c r="BE541" s="209"/>
      <c r="BF541" s="210"/>
      <c r="BG541" s="284"/>
      <c r="BH541" s="209"/>
      <c r="BI541" s="210"/>
      <c r="BK541" s="449"/>
      <c r="BL541" s="449"/>
      <c r="BM541" s="449"/>
      <c r="BN541" s="449"/>
    </row>
    <row r="542" spans="1:66" s="29" customFormat="1" ht="14.4" hidden="1" customHeight="1" outlineLevel="2" x14ac:dyDescent="0.3">
      <c r="A542" s="22" t="s">
        <v>196</v>
      </c>
      <c r="B542" s="23"/>
      <c r="C542" s="3"/>
      <c r="D542" s="16"/>
      <c r="E542" s="4"/>
      <c r="F542" s="23"/>
      <c r="G542" s="56"/>
      <c r="H542" s="284"/>
      <c r="I542" s="209">
        <v>0</v>
      </c>
      <c r="J542" s="210"/>
      <c r="K542" s="284"/>
      <c r="L542" s="209">
        <v>0</v>
      </c>
      <c r="M542" s="210"/>
      <c r="N542" s="284"/>
      <c r="O542" s="209">
        <v>0</v>
      </c>
      <c r="P542" s="210"/>
      <c r="Q542" s="284"/>
      <c r="R542" s="209">
        <v>0</v>
      </c>
      <c r="S542" s="210"/>
      <c r="T542" s="284"/>
      <c r="U542" s="209">
        <v>0</v>
      </c>
      <c r="V542" s="210"/>
      <c r="W542" s="284"/>
      <c r="X542" s="209">
        <v>0</v>
      </c>
      <c r="Y542" s="210"/>
      <c r="Z542" s="284"/>
      <c r="AA542" s="209">
        <v>0</v>
      </c>
      <c r="AB542" s="210"/>
      <c r="AC542" s="284"/>
      <c r="AD542" s="209">
        <v>0</v>
      </c>
      <c r="AE542" s="210"/>
      <c r="AF542" s="284"/>
      <c r="AG542" s="209">
        <v>0</v>
      </c>
      <c r="AH542" s="210"/>
      <c r="AI542" s="284"/>
      <c r="AJ542" s="209">
        <v>0</v>
      </c>
      <c r="AK542" s="210"/>
      <c r="AL542" s="284"/>
      <c r="AM542" s="209">
        <v>0</v>
      </c>
      <c r="AN542" s="210"/>
      <c r="AO542" s="284"/>
      <c r="AP542" s="209">
        <v>0</v>
      </c>
      <c r="AQ542" s="210"/>
      <c r="AR542" s="284"/>
      <c r="AS542" s="209"/>
      <c r="AT542" s="210"/>
      <c r="AU542" s="284"/>
      <c r="AV542" s="209"/>
      <c r="AW542" s="210"/>
      <c r="AX542" s="284"/>
      <c r="AY542" s="209"/>
      <c r="AZ542" s="210"/>
      <c r="BA542" s="284"/>
      <c r="BB542" s="209"/>
      <c r="BC542" s="210"/>
      <c r="BD542" s="284"/>
      <c r="BE542" s="209"/>
      <c r="BF542" s="210"/>
      <c r="BG542" s="284"/>
      <c r="BH542" s="209"/>
      <c r="BI542" s="210"/>
      <c r="BK542" s="449"/>
      <c r="BL542" s="449"/>
      <c r="BM542" s="449"/>
      <c r="BN542" s="449"/>
    </row>
    <row r="543" spans="1:66" s="29" customFormat="1" ht="14.4" hidden="1" customHeight="1" outlineLevel="2" x14ac:dyDescent="0.3">
      <c r="A543" s="22" t="s">
        <v>197</v>
      </c>
      <c r="B543" s="23"/>
      <c r="C543" s="3"/>
      <c r="D543" s="16"/>
      <c r="E543" s="4"/>
      <c r="F543" s="23"/>
      <c r="G543" s="56"/>
      <c r="H543" s="284"/>
      <c r="I543" s="209">
        <v>0</v>
      </c>
      <c r="J543" s="210"/>
      <c r="K543" s="284"/>
      <c r="L543" s="209">
        <v>0</v>
      </c>
      <c r="M543" s="210"/>
      <c r="N543" s="284"/>
      <c r="O543" s="209">
        <v>0</v>
      </c>
      <c r="P543" s="210"/>
      <c r="Q543" s="284"/>
      <c r="R543" s="209">
        <v>0</v>
      </c>
      <c r="S543" s="210"/>
      <c r="T543" s="284"/>
      <c r="U543" s="209">
        <v>0</v>
      </c>
      <c r="V543" s="210"/>
      <c r="W543" s="284"/>
      <c r="X543" s="209">
        <v>0</v>
      </c>
      <c r="Y543" s="210"/>
      <c r="Z543" s="284"/>
      <c r="AA543" s="209">
        <v>0</v>
      </c>
      <c r="AB543" s="210"/>
      <c r="AC543" s="284"/>
      <c r="AD543" s="209">
        <v>0</v>
      </c>
      <c r="AE543" s="210"/>
      <c r="AF543" s="284"/>
      <c r="AG543" s="209">
        <v>0</v>
      </c>
      <c r="AH543" s="210"/>
      <c r="AI543" s="284"/>
      <c r="AJ543" s="209">
        <v>0</v>
      </c>
      <c r="AK543" s="210"/>
      <c r="AL543" s="284"/>
      <c r="AM543" s="209">
        <v>0</v>
      </c>
      <c r="AN543" s="210"/>
      <c r="AO543" s="284"/>
      <c r="AP543" s="209">
        <v>0</v>
      </c>
      <c r="AQ543" s="210"/>
      <c r="AR543" s="284"/>
      <c r="AS543" s="209"/>
      <c r="AT543" s="210"/>
      <c r="AU543" s="284"/>
      <c r="AV543" s="209"/>
      <c r="AW543" s="210"/>
      <c r="AX543" s="284"/>
      <c r="AY543" s="209"/>
      <c r="AZ543" s="210"/>
      <c r="BA543" s="284"/>
      <c r="BB543" s="209"/>
      <c r="BC543" s="210"/>
      <c r="BD543" s="284"/>
      <c r="BE543" s="209"/>
      <c r="BF543" s="210"/>
      <c r="BG543" s="284"/>
      <c r="BH543" s="209"/>
      <c r="BI543" s="210"/>
      <c r="BK543" s="449"/>
      <c r="BL543" s="449"/>
      <c r="BM543" s="449"/>
      <c r="BN543" s="449"/>
    </row>
    <row r="544" spans="1:66" s="29" customFormat="1" ht="14.4" hidden="1" customHeight="1" outlineLevel="2" x14ac:dyDescent="0.3">
      <c r="A544" s="22" t="s">
        <v>198</v>
      </c>
      <c r="B544" s="23"/>
      <c r="C544" s="3"/>
      <c r="D544" s="16"/>
      <c r="E544" s="4"/>
      <c r="F544" s="23"/>
      <c r="G544" s="56"/>
      <c r="H544" s="284"/>
      <c r="I544" s="209">
        <v>0</v>
      </c>
      <c r="J544" s="210"/>
      <c r="K544" s="284"/>
      <c r="L544" s="209">
        <v>0</v>
      </c>
      <c r="M544" s="210"/>
      <c r="N544" s="284"/>
      <c r="O544" s="209">
        <v>0</v>
      </c>
      <c r="P544" s="210"/>
      <c r="Q544" s="284"/>
      <c r="R544" s="209">
        <v>0</v>
      </c>
      <c r="S544" s="210"/>
      <c r="T544" s="284"/>
      <c r="U544" s="209">
        <v>0</v>
      </c>
      <c r="V544" s="210"/>
      <c r="W544" s="284"/>
      <c r="X544" s="209">
        <v>0</v>
      </c>
      <c r="Y544" s="210"/>
      <c r="Z544" s="284"/>
      <c r="AA544" s="209">
        <v>0</v>
      </c>
      <c r="AB544" s="210"/>
      <c r="AC544" s="284"/>
      <c r="AD544" s="209">
        <v>0</v>
      </c>
      <c r="AE544" s="210"/>
      <c r="AF544" s="284"/>
      <c r="AG544" s="209">
        <v>0</v>
      </c>
      <c r="AH544" s="210"/>
      <c r="AI544" s="284"/>
      <c r="AJ544" s="209">
        <v>0</v>
      </c>
      <c r="AK544" s="210"/>
      <c r="AL544" s="284"/>
      <c r="AM544" s="209">
        <v>0</v>
      </c>
      <c r="AN544" s="210"/>
      <c r="AO544" s="284"/>
      <c r="AP544" s="209">
        <v>0</v>
      </c>
      <c r="AQ544" s="210"/>
      <c r="AR544" s="284"/>
      <c r="AS544" s="209"/>
      <c r="AT544" s="210"/>
      <c r="AU544" s="284"/>
      <c r="AV544" s="209"/>
      <c r="AW544" s="210"/>
      <c r="AX544" s="284"/>
      <c r="AY544" s="209"/>
      <c r="AZ544" s="210"/>
      <c r="BA544" s="284"/>
      <c r="BB544" s="209"/>
      <c r="BC544" s="210"/>
      <c r="BD544" s="284"/>
      <c r="BE544" s="209"/>
      <c r="BF544" s="210"/>
      <c r="BG544" s="284"/>
      <c r="BH544" s="209"/>
      <c r="BI544" s="210"/>
      <c r="BK544" s="449"/>
      <c r="BL544" s="449"/>
      <c r="BM544" s="449"/>
      <c r="BN544" s="449"/>
    </row>
    <row r="545" spans="1:66" s="29" customFormat="1" ht="14.4" hidden="1" customHeight="1" outlineLevel="2" x14ac:dyDescent="0.3">
      <c r="A545" s="22" t="s">
        <v>199</v>
      </c>
      <c r="B545" s="23"/>
      <c r="C545" s="3"/>
      <c r="D545" s="16"/>
      <c r="E545" s="4"/>
      <c r="F545" s="23"/>
      <c r="G545" s="56"/>
      <c r="H545" s="284"/>
      <c r="I545" s="209">
        <v>0</v>
      </c>
      <c r="J545" s="210"/>
      <c r="K545" s="284"/>
      <c r="L545" s="209">
        <v>0</v>
      </c>
      <c r="M545" s="210"/>
      <c r="N545" s="284"/>
      <c r="O545" s="209">
        <v>0</v>
      </c>
      <c r="P545" s="210"/>
      <c r="Q545" s="284"/>
      <c r="R545" s="209">
        <v>0</v>
      </c>
      <c r="S545" s="210"/>
      <c r="T545" s="284"/>
      <c r="U545" s="209">
        <v>0</v>
      </c>
      <c r="V545" s="210"/>
      <c r="W545" s="284"/>
      <c r="X545" s="209">
        <v>0</v>
      </c>
      <c r="Y545" s="210"/>
      <c r="Z545" s="284"/>
      <c r="AA545" s="209">
        <v>0</v>
      </c>
      <c r="AB545" s="210"/>
      <c r="AC545" s="284"/>
      <c r="AD545" s="209">
        <v>0</v>
      </c>
      <c r="AE545" s="210"/>
      <c r="AF545" s="284"/>
      <c r="AG545" s="209">
        <v>0</v>
      </c>
      <c r="AH545" s="210"/>
      <c r="AI545" s="284"/>
      <c r="AJ545" s="209">
        <v>0</v>
      </c>
      <c r="AK545" s="210"/>
      <c r="AL545" s="284"/>
      <c r="AM545" s="209">
        <v>0</v>
      </c>
      <c r="AN545" s="210"/>
      <c r="AO545" s="284"/>
      <c r="AP545" s="209">
        <v>0</v>
      </c>
      <c r="AQ545" s="210"/>
      <c r="AR545" s="284"/>
      <c r="AS545" s="209"/>
      <c r="AT545" s="210"/>
      <c r="AU545" s="284"/>
      <c r="AV545" s="209"/>
      <c r="AW545" s="210"/>
      <c r="AX545" s="284"/>
      <c r="AY545" s="209"/>
      <c r="AZ545" s="210"/>
      <c r="BA545" s="284"/>
      <c r="BB545" s="209"/>
      <c r="BC545" s="210"/>
      <c r="BD545" s="284"/>
      <c r="BE545" s="209"/>
      <c r="BF545" s="210"/>
      <c r="BG545" s="284"/>
      <c r="BH545" s="209"/>
      <c r="BI545" s="210"/>
      <c r="BK545" s="449"/>
      <c r="BL545" s="449"/>
      <c r="BM545" s="449"/>
      <c r="BN545" s="449"/>
    </row>
    <row r="546" spans="1:66" s="29" customFormat="1" ht="14.4" hidden="1" customHeight="1" outlineLevel="2" x14ac:dyDescent="0.3">
      <c r="A546" s="22" t="s">
        <v>200</v>
      </c>
      <c r="B546" s="23"/>
      <c r="C546" s="3"/>
      <c r="D546" s="16"/>
      <c r="E546" s="4"/>
      <c r="F546" s="23"/>
      <c r="G546" s="56"/>
      <c r="H546" s="284"/>
      <c r="I546" s="209">
        <v>0</v>
      </c>
      <c r="J546" s="210"/>
      <c r="K546" s="284"/>
      <c r="L546" s="209">
        <v>0</v>
      </c>
      <c r="M546" s="210"/>
      <c r="N546" s="284"/>
      <c r="O546" s="209">
        <v>0</v>
      </c>
      <c r="P546" s="210"/>
      <c r="Q546" s="284"/>
      <c r="R546" s="209">
        <v>0</v>
      </c>
      <c r="S546" s="210"/>
      <c r="T546" s="284"/>
      <c r="U546" s="209">
        <v>0</v>
      </c>
      <c r="V546" s="210"/>
      <c r="W546" s="284"/>
      <c r="X546" s="209">
        <v>0</v>
      </c>
      <c r="Y546" s="210"/>
      <c r="Z546" s="284"/>
      <c r="AA546" s="209">
        <v>0</v>
      </c>
      <c r="AB546" s="210"/>
      <c r="AC546" s="284"/>
      <c r="AD546" s="209">
        <v>0</v>
      </c>
      <c r="AE546" s="210"/>
      <c r="AF546" s="284"/>
      <c r="AG546" s="209">
        <v>0</v>
      </c>
      <c r="AH546" s="210"/>
      <c r="AI546" s="284"/>
      <c r="AJ546" s="209">
        <v>0</v>
      </c>
      <c r="AK546" s="210"/>
      <c r="AL546" s="284"/>
      <c r="AM546" s="209">
        <v>0</v>
      </c>
      <c r="AN546" s="210"/>
      <c r="AO546" s="284"/>
      <c r="AP546" s="209">
        <v>0</v>
      </c>
      <c r="AQ546" s="210"/>
      <c r="AR546" s="284"/>
      <c r="AS546" s="209"/>
      <c r="AT546" s="210"/>
      <c r="AU546" s="284"/>
      <c r="AV546" s="209"/>
      <c r="AW546" s="210"/>
      <c r="AX546" s="284"/>
      <c r="AY546" s="209"/>
      <c r="AZ546" s="210"/>
      <c r="BA546" s="284"/>
      <c r="BB546" s="209"/>
      <c r="BC546" s="210"/>
      <c r="BD546" s="284"/>
      <c r="BE546" s="209"/>
      <c r="BF546" s="210"/>
      <c r="BG546" s="284"/>
      <c r="BH546" s="209"/>
      <c r="BI546" s="210"/>
      <c r="BK546" s="449"/>
      <c r="BL546" s="449"/>
      <c r="BM546" s="449"/>
      <c r="BN546" s="449"/>
    </row>
    <row r="547" spans="1:66" s="29" customFormat="1" ht="14.4" hidden="1" customHeight="1" outlineLevel="2" x14ac:dyDescent="0.3">
      <c r="A547" s="22" t="s">
        <v>201</v>
      </c>
      <c r="B547" s="23"/>
      <c r="C547" s="3"/>
      <c r="D547" s="16"/>
      <c r="E547" s="4"/>
      <c r="F547" s="23"/>
      <c r="G547" s="56"/>
      <c r="H547" s="284"/>
      <c r="I547" s="209">
        <v>0</v>
      </c>
      <c r="J547" s="210"/>
      <c r="K547" s="284"/>
      <c r="L547" s="209">
        <v>0</v>
      </c>
      <c r="M547" s="210"/>
      <c r="N547" s="284"/>
      <c r="O547" s="209">
        <v>0</v>
      </c>
      <c r="P547" s="210"/>
      <c r="Q547" s="284"/>
      <c r="R547" s="209">
        <v>0</v>
      </c>
      <c r="S547" s="210"/>
      <c r="T547" s="284"/>
      <c r="U547" s="209">
        <v>0</v>
      </c>
      <c r="V547" s="210"/>
      <c r="W547" s="284"/>
      <c r="X547" s="209">
        <v>0</v>
      </c>
      <c r="Y547" s="210"/>
      <c r="Z547" s="284"/>
      <c r="AA547" s="209">
        <v>0</v>
      </c>
      <c r="AB547" s="210"/>
      <c r="AC547" s="284"/>
      <c r="AD547" s="209">
        <v>0</v>
      </c>
      <c r="AE547" s="210"/>
      <c r="AF547" s="284"/>
      <c r="AG547" s="209">
        <v>0</v>
      </c>
      <c r="AH547" s="210"/>
      <c r="AI547" s="284"/>
      <c r="AJ547" s="209">
        <v>0</v>
      </c>
      <c r="AK547" s="210"/>
      <c r="AL547" s="284"/>
      <c r="AM547" s="209">
        <v>0</v>
      </c>
      <c r="AN547" s="210"/>
      <c r="AO547" s="284"/>
      <c r="AP547" s="209">
        <v>0</v>
      </c>
      <c r="AQ547" s="210"/>
      <c r="AR547" s="284"/>
      <c r="AS547" s="209"/>
      <c r="AT547" s="210"/>
      <c r="AU547" s="284"/>
      <c r="AV547" s="209"/>
      <c r="AW547" s="210"/>
      <c r="AX547" s="284"/>
      <c r="AY547" s="209"/>
      <c r="AZ547" s="210"/>
      <c r="BA547" s="284"/>
      <c r="BB547" s="209"/>
      <c r="BC547" s="210"/>
      <c r="BD547" s="284"/>
      <c r="BE547" s="209"/>
      <c r="BF547" s="210"/>
      <c r="BG547" s="284"/>
      <c r="BH547" s="209"/>
      <c r="BI547" s="210"/>
      <c r="BK547" s="449"/>
      <c r="BL547" s="449"/>
      <c r="BM547" s="449"/>
      <c r="BN547" s="449"/>
    </row>
    <row r="548" spans="1:66" s="29" customFormat="1" ht="16.2" hidden="1" customHeight="1" outlineLevel="1" x14ac:dyDescent="0.3">
      <c r="A548" s="163"/>
      <c r="B548" s="23"/>
      <c r="C548" s="3"/>
      <c r="D548" s="4"/>
      <c r="E548" s="4"/>
      <c r="F548" s="23"/>
      <c r="G548" s="56"/>
      <c r="H548" s="273"/>
      <c r="I548" s="23"/>
      <c r="J548" s="164"/>
      <c r="K548" s="273"/>
      <c r="L548" s="23"/>
      <c r="M548" s="164"/>
      <c r="N548" s="273"/>
      <c r="O548" s="23"/>
      <c r="P548" s="164"/>
      <c r="Q548" s="273"/>
      <c r="R548" s="23"/>
      <c r="S548" s="164"/>
      <c r="T548" s="273"/>
      <c r="U548" s="23"/>
      <c r="V548" s="164"/>
      <c r="W548" s="273"/>
      <c r="X548" s="23"/>
      <c r="Y548" s="164"/>
      <c r="Z548" s="273"/>
      <c r="AA548" s="23"/>
      <c r="AB548" s="164"/>
      <c r="AC548" s="273"/>
      <c r="AD548" s="23"/>
      <c r="AE548" s="164"/>
      <c r="AF548" s="273"/>
      <c r="AG548" s="23"/>
      <c r="AH548" s="164"/>
      <c r="AI548" s="273"/>
      <c r="AJ548" s="23"/>
      <c r="AK548" s="164"/>
      <c r="AL548" s="273"/>
      <c r="AM548" s="23"/>
      <c r="AN548" s="164"/>
      <c r="AO548" s="273"/>
      <c r="AP548" s="23"/>
      <c r="AQ548" s="164"/>
      <c r="AR548" s="273"/>
      <c r="AS548" s="23"/>
      <c r="AT548" s="164"/>
      <c r="AU548" s="273"/>
      <c r="AV548" s="23"/>
      <c r="AW548" s="164"/>
      <c r="AX548" s="273"/>
      <c r="AY548" s="23"/>
      <c r="AZ548" s="164"/>
      <c r="BA548" s="273"/>
      <c r="BB548" s="23"/>
      <c r="BC548" s="164"/>
      <c r="BD548" s="273"/>
      <c r="BE548" s="23"/>
      <c r="BF548" s="164"/>
      <c r="BG548" s="273"/>
      <c r="BH548" s="23"/>
      <c r="BI548" s="164"/>
      <c r="BK548" s="449"/>
      <c r="BL548" s="449"/>
      <c r="BM548" s="449"/>
      <c r="BN548" s="449"/>
    </row>
    <row r="549" spans="1:66" s="29" customFormat="1" ht="14.4" hidden="1" customHeight="1" outlineLevel="1" x14ac:dyDescent="0.3">
      <c r="A549" s="211" t="s">
        <v>206</v>
      </c>
      <c r="B549" s="23"/>
      <c r="C549" s="3"/>
      <c r="D549" s="212" t="s">
        <v>343</v>
      </c>
      <c r="E549" s="212" t="s">
        <v>429</v>
      </c>
      <c r="F549" s="23"/>
      <c r="G549" s="56"/>
      <c r="H549" s="283"/>
      <c r="I549" s="207"/>
      <c r="J549" s="208"/>
      <c r="K549" s="283"/>
      <c r="L549" s="207"/>
      <c r="M549" s="208"/>
      <c r="N549" s="283"/>
      <c r="O549" s="207"/>
      <c r="P549" s="208"/>
      <c r="Q549" s="283"/>
      <c r="R549" s="207"/>
      <c r="S549" s="208"/>
      <c r="T549" s="283"/>
      <c r="U549" s="207"/>
      <c r="V549" s="208"/>
      <c r="W549" s="283"/>
      <c r="X549" s="207"/>
      <c r="Y549" s="208"/>
      <c r="Z549" s="283"/>
      <c r="AA549" s="207"/>
      <c r="AB549" s="208"/>
      <c r="AC549" s="283"/>
      <c r="AD549" s="207"/>
      <c r="AE549" s="208"/>
      <c r="AF549" s="283"/>
      <c r="AG549" s="207"/>
      <c r="AH549" s="208"/>
      <c r="AI549" s="283"/>
      <c r="AJ549" s="207"/>
      <c r="AK549" s="208"/>
      <c r="AL549" s="283"/>
      <c r="AM549" s="207"/>
      <c r="AN549" s="208"/>
      <c r="AO549" s="283"/>
      <c r="AP549" s="207"/>
      <c r="AQ549" s="208"/>
      <c r="AR549" s="283"/>
      <c r="AS549" s="207"/>
      <c r="AT549" s="208"/>
      <c r="AU549" s="283"/>
      <c r="AV549" s="207"/>
      <c r="AW549" s="208"/>
      <c r="AX549" s="283"/>
      <c r="AY549" s="207"/>
      <c r="AZ549" s="208"/>
      <c r="BA549" s="283"/>
      <c r="BB549" s="207"/>
      <c r="BC549" s="208"/>
      <c r="BD549" s="283"/>
      <c r="BE549" s="207"/>
      <c r="BF549" s="208"/>
      <c r="BG549" s="283"/>
      <c r="BH549" s="207"/>
      <c r="BI549" s="208"/>
      <c r="BK549" s="449"/>
      <c r="BL549" s="449"/>
      <c r="BM549" s="449"/>
      <c r="BN549" s="449"/>
    </row>
    <row r="550" spans="1:66" s="29" customFormat="1" ht="14.4" hidden="1" customHeight="1" outlineLevel="2" x14ac:dyDescent="0.3">
      <c r="A550" s="22" t="s">
        <v>430</v>
      </c>
      <c r="B550" s="2"/>
      <c r="C550" s="3"/>
      <c r="D550" s="55">
        <v>0.08</v>
      </c>
      <c r="E550" s="55">
        <v>0.08</v>
      </c>
      <c r="F550" s="41"/>
      <c r="G550" s="56"/>
      <c r="H550" s="241"/>
      <c r="I550" s="27"/>
      <c r="J550" s="28"/>
      <c r="K550" s="241"/>
      <c r="L550" s="27"/>
      <c r="M550" s="28"/>
      <c r="N550" s="241"/>
      <c r="O550" s="27"/>
      <c r="P550" s="28"/>
      <c r="Q550" s="241"/>
      <c r="R550" s="27"/>
      <c r="S550" s="28"/>
      <c r="T550" s="241"/>
      <c r="U550" s="27"/>
      <c r="V550" s="28"/>
      <c r="W550" s="241"/>
      <c r="X550" s="27"/>
      <c r="Y550" s="28"/>
      <c r="Z550" s="241"/>
      <c r="AA550" s="27"/>
      <c r="AB550" s="28"/>
      <c r="AC550" s="241"/>
      <c r="AD550" s="27"/>
      <c r="AE550" s="28"/>
      <c r="AF550" s="241"/>
      <c r="AG550" s="27"/>
      <c r="AH550" s="28"/>
      <c r="AI550" s="241"/>
      <c r="AJ550" s="27"/>
      <c r="AK550" s="28"/>
      <c r="AL550" s="241"/>
      <c r="AM550" s="27"/>
      <c r="AN550" s="28"/>
      <c r="AO550" s="241"/>
      <c r="AP550" s="27"/>
      <c r="AQ550" s="28"/>
      <c r="AR550" s="241"/>
      <c r="AS550" s="27"/>
      <c r="AT550" s="28"/>
      <c r="AU550" s="241"/>
      <c r="AV550" s="27"/>
      <c r="AW550" s="28"/>
      <c r="AX550" s="241"/>
      <c r="AY550" s="27"/>
      <c r="AZ550" s="28"/>
      <c r="BA550" s="241"/>
      <c r="BB550" s="27"/>
      <c r="BC550" s="28"/>
      <c r="BD550" s="241"/>
      <c r="BE550" s="27"/>
      <c r="BF550" s="28"/>
      <c r="BG550" s="241"/>
      <c r="BH550" s="27"/>
      <c r="BI550" s="28"/>
      <c r="BK550" s="449"/>
      <c r="BL550" s="449"/>
      <c r="BM550" s="449"/>
      <c r="BN550" s="449"/>
    </row>
    <row r="551" spans="1:66" s="29" customFormat="1" ht="14.4" hidden="1" customHeight="1" outlineLevel="2" x14ac:dyDescent="0.3">
      <c r="A551" s="22" t="s">
        <v>431</v>
      </c>
      <c r="B551" s="2"/>
      <c r="C551" s="3"/>
      <c r="D551" s="55">
        <v>0</v>
      </c>
      <c r="E551" s="55">
        <v>0.28799999999999998</v>
      </c>
      <c r="F551" s="41"/>
      <c r="G551" s="56"/>
      <c r="H551" s="241"/>
      <c r="I551" s="27"/>
      <c r="J551" s="28"/>
      <c r="K551" s="241"/>
      <c r="L551" s="27"/>
      <c r="M551" s="28"/>
      <c r="N551" s="241"/>
      <c r="O551" s="27"/>
      <c r="P551" s="28"/>
      <c r="Q551" s="241"/>
      <c r="R551" s="27"/>
      <c r="S551" s="28"/>
      <c r="T551" s="241"/>
      <c r="U551" s="27"/>
      <c r="V551" s="28"/>
      <c r="W551" s="241"/>
      <c r="X551" s="27"/>
      <c r="Y551" s="28"/>
      <c r="Z551" s="241"/>
      <c r="AA551" s="27"/>
      <c r="AB551" s="28"/>
      <c r="AC551" s="241"/>
      <c r="AD551" s="27"/>
      <c r="AE551" s="28"/>
      <c r="AF551" s="241"/>
      <c r="AG551" s="27"/>
      <c r="AH551" s="28"/>
      <c r="AI551" s="241"/>
      <c r="AJ551" s="27"/>
      <c r="AK551" s="28"/>
      <c r="AL551" s="241"/>
      <c r="AM551" s="27"/>
      <c r="AN551" s="28"/>
      <c r="AO551" s="241"/>
      <c r="AP551" s="27"/>
      <c r="AQ551" s="28"/>
      <c r="AR551" s="241"/>
      <c r="AS551" s="27"/>
      <c r="AT551" s="28"/>
      <c r="AU551" s="241"/>
      <c r="AV551" s="27"/>
      <c r="AW551" s="28"/>
      <c r="AX551" s="241"/>
      <c r="AY551" s="27"/>
      <c r="AZ551" s="28"/>
      <c r="BA551" s="241"/>
      <c r="BB551" s="27"/>
      <c r="BC551" s="28"/>
      <c r="BD551" s="241"/>
      <c r="BE551" s="27"/>
      <c r="BF551" s="28"/>
      <c r="BG551" s="241"/>
      <c r="BH551" s="27"/>
      <c r="BI551" s="28"/>
      <c r="BK551" s="449"/>
      <c r="BL551" s="449"/>
      <c r="BM551" s="449"/>
      <c r="BN551" s="449"/>
    </row>
    <row r="552" spans="1:66" s="29" customFormat="1" ht="14.4" hidden="1" customHeight="1" outlineLevel="2" x14ac:dyDescent="0.3">
      <c r="A552" s="22" t="s">
        <v>432</v>
      </c>
      <c r="B552" s="2"/>
      <c r="C552" s="3"/>
      <c r="D552" s="55">
        <v>8.3400000000000002E-2</v>
      </c>
      <c r="E552" s="55">
        <v>8.3400000000000002E-2</v>
      </c>
      <c r="F552" s="41"/>
      <c r="G552" s="56"/>
      <c r="H552" s="241"/>
      <c r="I552" s="27"/>
      <c r="J552" s="28"/>
      <c r="K552" s="241"/>
      <c r="L552" s="27"/>
      <c r="M552" s="28"/>
      <c r="N552" s="241"/>
      <c r="O552" s="27"/>
      <c r="P552" s="28"/>
      <c r="Q552" s="241"/>
      <c r="R552" s="27"/>
      <c r="S552" s="28"/>
      <c r="T552" s="241"/>
      <c r="U552" s="27"/>
      <c r="V552" s="28"/>
      <c r="W552" s="241"/>
      <c r="X552" s="27"/>
      <c r="Y552" s="28"/>
      <c r="Z552" s="241"/>
      <c r="AA552" s="27"/>
      <c r="AB552" s="28"/>
      <c r="AC552" s="241"/>
      <c r="AD552" s="27"/>
      <c r="AE552" s="28"/>
      <c r="AF552" s="241"/>
      <c r="AG552" s="27"/>
      <c r="AH552" s="28"/>
      <c r="AI552" s="241"/>
      <c r="AJ552" s="27"/>
      <c r="AK552" s="28"/>
      <c r="AL552" s="241"/>
      <c r="AM552" s="27"/>
      <c r="AN552" s="28"/>
      <c r="AO552" s="241"/>
      <c r="AP552" s="27"/>
      <c r="AQ552" s="28"/>
      <c r="AR552" s="241"/>
      <c r="AS552" s="27"/>
      <c r="AT552" s="28"/>
      <c r="AU552" s="241"/>
      <c r="AV552" s="27"/>
      <c r="AW552" s="28"/>
      <c r="AX552" s="241"/>
      <c r="AY552" s="27"/>
      <c r="AZ552" s="28"/>
      <c r="BA552" s="241"/>
      <c r="BB552" s="27"/>
      <c r="BC552" s="28"/>
      <c r="BD552" s="241"/>
      <c r="BE552" s="27"/>
      <c r="BF552" s="28"/>
      <c r="BG552" s="241"/>
      <c r="BH552" s="27"/>
      <c r="BI552" s="28"/>
      <c r="BK552" s="449"/>
      <c r="BL552" s="449"/>
      <c r="BM552" s="449"/>
      <c r="BN552" s="449"/>
    </row>
    <row r="553" spans="1:66" s="29" customFormat="1" ht="14.4" hidden="1" customHeight="1" outlineLevel="2" x14ac:dyDescent="0.3">
      <c r="A553" s="22" t="s">
        <v>433</v>
      </c>
      <c r="B553" s="2"/>
      <c r="C553" s="3"/>
      <c r="D553" s="55">
        <v>2.5000000000000001E-2</v>
      </c>
      <c r="E553" s="55">
        <v>2.5000000000000001E-2</v>
      </c>
      <c r="F553" s="41"/>
      <c r="G553" s="56"/>
      <c r="H553" s="241"/>
      <c r="I553" s="27"/>
      <c r="J553" s="28"/>
      <c r="K553" s="241"/>
      <c r="L553" s="27"/>
      <c r="M553" s="28"/>
      <c r="N553" s="241"/>
      <c r="O553" s="27"/>
      <c r="P553" s="28"/>
      <c r="Q553" s="241"/>
      <c r="R553" s="27"/>
      <c r="S553" s="28"/>
      <c r="T553" s="241"/>
      <c r="U553" s="27"/>
      <c r="V553" s="28"/>
      <c r="W553" s="241"/>
      <c r="X553" s="27"/>
      <c r="Y553" s="28"/>
      <c r="Z553" s="241"/>
      <c r="AA553" s="27"/>
      <c r="AB553" s="28"/>
      <c r="AC553" s="241"/>
      <c r="AD553" s="27"/>
      <c r="AE553" s="28"/>
      <c r="AF553" s="241"/>
      <c r="AG553" s="27"/>
      <c r="AH553" s="28"/>
      <c r="AI553" s="241"/>
      <c r="AJ553" s="27"/>
      <c r="AK553" s="28"/>
      <c r="AL553" s="241"/>
      <c r="AM553" s="27"/>
      <c r="AN553" s="28"/>
      <c r="AO553" s="241"/>
      <c r="AP553" s="27"/>
      <c r="AQ553" s="28"/>
      <c r="AR553" s="241"/>
      <c r="AS553" s="27"/>
      <c r="AT553" s="28"/>
      <c r="AU553" s="241"/>
      <c r="AV553" s="27"/>
      <c r="AW553" s="28"/>
      <c r="AX553" s="241"/>
      <c r="AY553" s="27"/>
      <c r="AZ553" s="28"/>
      <c r="BA553" s="241"/>
      <c r="BB553" s="27"/>
      <c r="BC553" s="28"/>
      <c r="BD553" s="241"/>
      <c r="BE553" s="27"/>
      <c r="BF553" s="28"/>
      <c r="BG553" s="241"/>
      <c r="BH553" s="27"/>
      <c r="BI553" s="28"/>
      <c r="BK553" s="449"/>
      <c r="BL553" s="449"/>
      <c r="BM553" s="449"/>
      <c r="BN553" s="449"/>
    </row>
    <row r="554" spans="1:66" s="29" customFormat="1" ht="14.4" hidden="1" customHeight="1" outlineLevel="2" x14ac:dyDescent="0.3">
      <c r="A554" s="22" t="s">
        <v>434</v>
      </c>
      <c r="B554" s="2"/>
      <c r="C554" s="3"/>
      <c r="D554" s="55">
        <v>2.81E-2</v>
      </c>
      <c r="E554" s="55">
        <v>2.81E-2</v>
      </c>
      <c r="F554" s="41"/>
      <c r="G554" s="56"/>
      <c r="H554" s="241"/>
      <c r="I554" s="27"/>
      <c r="J554" s="28"/>
      <c r="K554" s="241"/>
      <c r="L554" s="27"/>
      <c r="M554" s="28"/>
      <c r="N554" s="241"/>
      <c r="O554" s="27"/>
      <c r="P554" s="28"/>
      <c r="Q554" s="241"/>
      <c r="R554" s="27"/>
      <c r="S554" s="28"/>
      <c r="T554" s="241"/>
      <c r="U554" s="27"/>
      <c r="V554" s="28"/>
      <c r="W554" s="241"/>
      <c r="X554" s="27"/>
      <c r="Y554" s="28"/>
      <c r="Z554" s="241"/>
      <c r="AA554" s="27"/>
      <c r="AB554" s="28"/>
      <c r="AC554" s="241"/>
      <c r="AD554" s="27"/>
      <c r="AE554" s="28"/>
      <c r="AF554" s="241"/>
      <c r="AG554" s="27"/>
      <c r="AH554" s="28"/>
      <c r="AI554" s="241"/>
      <c r="AJ554" s="27"/>
      <c r="AK554" s="28"/>
      <c r="AL554" s="241"/>
      <c r="AM554" s="27"/>
      <c r="AN554" s="28"/>
      <c r="AO554" s="241"/>
      <c r="AP554" s="27"/>
      <c r="AQ554" s="28"/>
      <c r="AR554" s="241"/>
      <c r="AS554" s="27"/>
      <c r="AT554" s="28"/>
      <c r="AU554" s="241"/>
      <c r="AV554" s="27"/>
      <c r="AW554" s="28"/>
      <c r="AX554" s="241"/>
      <c r="AY554" s="27"/>
      <c r="AZ554" s="28"/>
      <c r="BA554" s="241"/>
      <c r="BB554" s="27"/>
      <c r="BC554" s="28"/>
      <c r="BD554" s="241"/>
      <c r="BE554" s="27"/>
      <c r="BF554" s="28"/>
      <c r="BG554" s="241"/>
      <c r="BH554" s="27"/>
      <c r="BI554" s="28"/>
      <c r="BK554" s="449"/>
      <c r="BL554" s="449"/>
      <c r="BM554" s="449"/>
      <c r="BN554" s="449"/>
    </row>
    <row r="555" spans="1:66" s="29" customFormat="1" ht="14.4" hidden="1" customHeight="1" outlineLevel="2" x14ac:dyDescent="0.3">
      <c r="A555" s="22" t="s">
        <v>435</v>
      </c>
      <c r="B555" s="2"/>
      <c r="C555" s="3"/>
      <c r="D555" s="55">
        <v>8.3999999999999995E-3</v>
      </c>
      <c r="E555" s="55">
        <v>8.3999999999999995E-3</v>
      </c>
      <c r="F555" s="41"/>
      <c r="G555" s="56"/>
      <c r="H555" s="241"/>
      <c r="I555" s="27"/>
      <c r="J555" s="28"/>
      <c r="K555" s="241"/>
      <c r="L555" s="27"/>
      <c r="M555" s="28"/>
      <c r="N555" s="241"/>
      <c r="O555" s="27"/>
      <c r="P555" s="28"/>
      <c r="Q555" s="241"/>
      <c r="R555" s="27"/>
      <c r="S555" s="28"/>
      <c r="T555" s="241"/>
      <c r="U555" s="27"/>
      <c r="V555" s="28"/>
      <c r="W555" s="241"/>
      <c r="X555" s="27"/>
      <c r="Y555" s="28"/>
      <c r="Z555" s="241"/>
      <c r="AA555" s="27"/>
      <c r="AB555" s="28"/>
      <c r="AC555" s="241"/>
      <c r="AD555" s="27"/>
      <c r="AE555" s="28"/>
      <c r="AF555" s="241"/>
      <c r="AG555" s="27"/>
      <c r="AH555" s="28"/>
      <c r="AI555" s="241"/>
      <c r="AJ555" s="27"/>
      <c r="AK555" s="28"/>
      <c r="AL555" s="241"/>
      <c r="AM555" s="27"/>
      <c r="AN555" s="28"/>
      <c r="AO555" s="241"/>
      <c r="AP555" s="27"/>
      <c r="AQ555" s="28"/>
      <c r="AR555" s="241"/>
      <c r="AS555" s="27"/>
      <c r="AT555" s="28"/>
      <c r="AU555" s="241"/>
      <c r="AV555" s="27"/>
      <c r="AW555" s="28"/>
      <c r="AX555" s="241"/>
      <c r="AY555" s="27"/>
      <c r="AZ555" s="28"/>
      <c r="BA555" s="241"/>
      <c r="BB555" s="27"/>
      <c r="BC555" s="28"/>
      <c r="BD555" s="241"/>
      <c r="BE555" s="27"/>
      <c r="BF555" s="28"/>
      <c r="BG555" s="241"/>
      <c r="BH555" s="27"/>
      <c r="BI555" s="28"/>
      <c r="BK555" s="449"/>
      <c r="BL555" s="449"/>
      <c r="BM555" s="449"/>
      <c r="BN555" s="449"/>
    </row>
    <row r="556" spans="1:66" s="29" customFormat="1" ht="14.4" hidden="1" customHeight="1" outlineLevel="2" x14ac:dyDescent="0.3">
      <c r="A556" s="22" t="s">
        <v>436</v>
      </c>
      <c r="B556" s="2"/>
      <c r="C556" s="3"/>
      <c r="D556" s="55">
        <v>0</v>
      </c>
      <c r="E556" s="55">
        <v>0</v>
      </c>
      <c r="F556" s="41"/>
      <c r="G556" s="56"/>
      <c r="H556" s="241"/>
      <c r="I556" s="27"/>
      <c r="J556" s="28"/>
      <c r="K556" s="241"/>
      <c r="L556" s="27"/>
      <c r="M556" s="28"/>
      <c r="N556" s="241"/>
      <c r="O556" s="27"/>
      <c r="P556" s="28"/>
      <c r="Q556" s="241"/>
      <c r="R556" s="27"/>
      <c r="S556" s="28"/>
      <c r="T556" s="241"/>
      <c r="U556" s="27"/>
      <c r="V556" s="28"/>
      <c r="W556" s="241"/>
      <c r="X556" s="27"/>
      <c r="Y556" s="28"/>
      <c r="Z556" s="241"/>
      <c r="AA556" s="27"/>
      <c r="AB556" s="28"/>
      <c r="AC556" s="241"/>
      <c r="AD556" s="27"/>
      <c r="AE556" s="28"/>
      <c r="AF556" s="241"/>
      <c r="AG556" s="27"/>
      <c r="AH556" s="28"/>
      <c r="AI556" s="241"/>
      <c r="AJ556" s="27"/>
      <c r="AK556" s="28"/>
      <c r="AL556" s="241"/>
      <c r="AM556" s="27"/>
      <c r="AN556" s="28"/>
      <c r="AO556" s="241"/>
      <c r="AP556" s="27"/>
      <c r="AQ556" s="28"/>
      <c r="AR556" s="241"/>
      <c r="AS556" s="27"/>
      <c r="AT556" s="28"/>
      <c r="AU556" s="241"/>
      <c r="AV556" s="27"/>
      <c r="AW556" s="28"/>
      <c r="AX556" s="241"/>
      <c r="AY556" s="27"/>
      <c r="AZ556" s="28"/>
      <c r="BA556" s="241"/>
      <c r="BB556" s="27"/>
      <c r="BC556" s="28"/>
      <c r="BD556" s="241"/>
      <c r="BE556" s="27"/>
      <c r="BF556" s="28"/>
      <c r="BG556" s="241"/>
      <c r="BH556" s="27"/>
      <c r="BI556" s="28"/>
      <c r="BK556" s="449"/>
      <c r="BL556" s="449"/>
      <c r="BM556" s="449"/>
      <c r="BN556" s="449"/>
    </row>
    <row r="557" spans="1:66" s="29" customFormat="1" ht="14.4" hidden="1" customHeight="1" outlineLevel="2" x14ac:dyDescent="0.3">
      <c r="A557" s="22" t="s">
        <v>437</v>
      </c>
      <c r="B557" s="2"/>
      <c r="C557" s="3"/>
      <c r="D557" s="55">
        <v>0.15</v>
      </c>
      <c r="E557" s="55">
        <v>0.05</v>
      </c>
      <c r="F557" s="41"/>
      <c r="G557" s="56"/>
      <c r="H557" s="241"/>
      <c r="I557" s="27"/>
      <c r="J557" s="28"/>
      <c r="K557" s="241"/>
      <c r="L557" s="27"/>
      <c r="M557" s="28"/>
      <c r="N557" s="241"/>
      <c r="O557" s="27"/>
      <c r="P557" s="28"/>
      <c r="Q557" s="241"/>
      <c r="R557" s="27"/>
      <c r="S557" s="28"/>
      <c r="T557" s="241"/>
      <c r="U557" s="27"/>
      <c r="V557" s="28"/>
      <c r="W557" s="241"/>
      <c r="X557" s="27"/>
      <c r="Y557" s="28"/>
      <c r="Z557" s="241"/>
      <c r="AA557" s="27"/>
      <c r="AB557" s="28"/>
      <c r="AC557" s="241"/>
      <c r="AD557" s="27"/>
      <c r="AE557" s="28"/>
      <c r="AF557" s="241"/>
      <c r="AG557" s="27"/>
      <c r="AH557" s="28"/>
      <c r="AI557" s="241"/>
      <c r="AJ557" s="27"/>
      <c r="AK557" s="28"/>
      <c r="AL557" s="241"/>
      <c r="AM557" s="27"/>
      <c r="AN557" s="28"/>
      <c r="AO557" s="241"/>
      <c r="AP557" s="27"/>
      <c r="AQ557" s="28"/>
      <c r="AR557" s="241"/>
      <c r="AS557" s="27"/>
      <c r="AT557" s="28"/>
      <c r="AU557" s="241"/>
      <c r="AV557" s="27"/>
      <c r="AW557" s="28"/>
      <c r="AX557" s="241"/>
      <c r="AY557" s="27"/>
      <c r="AZ557" s="28"/>
      <c r="BA557" s="241"/>
      <c r="BB557" s="27"/>
      <c r="BC557" s="28"/>
      <c r="BD557" s="241"/>
      <c r="BE557" s="27"/>
      <c r="BF557" s="28"/>
      <c r="BG557" s="241"/>
      <c r="BH557" s="27"/>
      <c r="BI557" s="28"/>
      <c r="BK557" s="449"/>
      <c r="BL557" s="449"/>
      <c r="BM557" s="449"/>
      <c r="BN557" s="449"/>
    </row>
    <row r="558" spans="1:66" s="29" customFormat="1" ht="14.4" hidden="1" customHeight="1" outlineLevel="2" x14ac:dyDescent="0.3">
      <c r="A558" s="22" t="s">
        <v>438</v>
      </c>
      <c r="B558" s="2"/>
      <c r="C558" s="3"/>
      <c r="D558" s="55">
        <v>0.06</v>
      </c>
      <c r="E558" s="55">
        <v>8.5000000000000006E-2</v>
      </c>
      <c r="F558" s="41"/>
      <c r="G558" s="56"/>
      <c r="H558" s="241"/>
      <c r="I558" s="27"/>
      <c r="J558" s="28"/>
      <c r="K558" s="241"/>
      <c r="L558" s="27"/>
      <c r="M558" s="28"/>
      <c r="N558" s="241"/>
      <c r="O558" s="27"/>
      <c r="P558" s="28"/>
      <c r="Q558" s="241"/>
      <c r="R558" s="27"/>
      <c r="S558" s="28"/>
      <c r="T558" s="241"/>
      <c r="U558" s="27"/>
      <c r="V558" s="28"/>
      <c r="W558" s="241"/>
      <c r="X558" s="27"/>
      <c r="Y558" s="28"/>
      <c r="Z558" s="241"/>
      <c r="AA558" s="27"/>
      <c r="AB558" s="28"/>
      <c r="AC558" s="241"/>
      <c r="AD558" s="27"/>
      <c r="AE558" s="28"/>
      <c r="AF558" s="241"/>
      <c r="AG558" s="27"/>
      <c r="AH558" s="28"/>
      <c r="AI558" s="241"/>
      <c r="AJ558" s="27"/>
      <c r="AK558" s="28"/>
      <c r="AL558" s="241"/>
      <c r="AM558" s="27"/>
      <c r="AN558" s="28"/>
      <c r="AO558" s="241"/>
      <c r="AP558" s="27"/>
      <c r="AQ558" s="28"/>
      <c r="AR558" s="241"/>
      <c r="AS558" s="27"/>
      <c r="AT558" s="28"/>
      <c r="AU558" s="241"/>
      <c r="AV558" s="27"/>
      <c r="AW558" s="28"/>
      <c r="AX558" s="241"/>
      <c r="AY558" s="27"/>
      <c r="AZ558" s="28"/>
      <c r="BA558" s="241"/>
      <c r="BB558" s="27"/>
      <c r="BC558" s="28"/>
      <c r="BD558" s="241"/>
      <c r="BE558" s="27"/>
      <c r="BF558" s="28"/>
      <c r="BG558" s="241"/>
      <c r="BH558" s="27"/>
      <c r="BI558" s="28"/>
      <c r="BK558" s="449"/>
      <c r="BL558" s="449"/>
      <c r="BM558" s="449"/>
      <c r="BN558" s="449"/>
    </row>
    <row r="559" spans="1:66" s="29" customFormat="1" ht="14.4" hidden="1" customHeight="1" outlineLevel="2" x14ac:dyDescent="0.3">
      <c r="A559" s="22" t="s">
        <v>439</v>
      </c>
      <c r="B559" s="2"/>
      <c r="C559" s="3"/>
      <c r="D559" s="55">
        <v>0.01</v>
      </c>
      <c r="E559" s="55">
        <v>0.01</v>
      </c>
      <c r="F559" s="41"/>
      <c r="G559" s="56"/>
      <c r="H559" s="241"/>
      <c r="I559" s="27"/>
      <c r="J559" s="28"/>
      <c r="K559" s="241"/>
      <c r="L559" s="27"/>
      <c r="M559" s="28"/>
      <c r="N559" s="241"/>
      <c r="O559" s="27"/>
      <c r="P559" s="28"/>
      <c r="Q559" s="241"/>
      <c r="R559" s="27"/>
      <c r="S559" s="28"/>
      <c r="T559" s="241"/>
      <c r="U559" s="27"/>
      <c r="V559" s="28"/>
      <c r="W559" s="241"/>
      <c r="X559" s="27"/>
      <c r="Y559" s="28"/>
      <c r="Z559" s="241"/>
      <c r="AA559" s="27"/>
      <c r="AB559" s="28"/>
      <c r="AC559" s="241"/>
      <c r="AD559" s="27"/>
      <c r="AE559" s="28"/>
      <c r="AF559" s="241"/>
      <c r="AG559" s="27"/>
      <c r="AH559" s="28"/>
      <c r="AI559" s="241"/>
      <c r="AJ559" s="27"/>
      <c r="AK559" s="28"/>
      <c r="AL559" s="241"/>
      <c r="AM559" s="27"/>
      <c r="AN559" s="28"/>
      <c r="AO559" s="241"/>
      <c r="AP559" s="27"/>
      <c r="AQ559" s="28"/>
      <c r="AR559" s="241"/>
      <c r="AS559" s="27"/>
      <c r="AT559" s="28"/>
      <c r="AU559" s="241"/>
      <c r="AV559" s="27"/>
      <c r="AW559" s="28"/>
      <c r="AX559" s="241"/>
      <c r="AY559" s="27"/>
      <c r="AZ559" s="28"/>
      <c r="BA559" s="241"/>
      <c r="BB559" s="27"/>
      <c r="BC559" s="28"/>
      <c r="BD559" s="241"/>
      <c r="BE559" s="27"/>
      <c r="BF559" s="28"/>
      <c r="BG559" s="241"/>
      <c r="BH559" s="27"/>
      <c r="BI559" s="28"/>
      <c r="BK559" s="449"/>
      <c r="BL559" s="449"/>
      <c r="BM559" s="449"/>
      <c r="BN559" s="449"/>
    </row>
    <row r="560" spans="1:66" s="29" customFormat="1" ht="14.4" hidden="1" customHeight="1" outlineLevel="2" x14ac:dyDescent="0.3">
      <c r="A560" s="22" t="s">
        <v>440</v>
      </c>
      <c r="B560" s="2"/>
      <c r="C560" s="3"/>
      <c r="D560" s="55">
        <v>5.0000000000000001E-3</v>
      </c>
      <c r="E560" s="55">
        <v>5.0000000000000001E-3</v>
      </c>
      <c r="F560" s="41"/>
      <c r="G560" s="56"/>
      <c r="H560" s="241"/>
      <c r="I560" s="27"/>
      <c r="J560" s="28"/>
      <c r="K560" s="241"/>
      <c r="L560" s="27"/>
      <c r="M560" s="28"/>
      <c r="N560" s="241"/>
      <c r="O560" s="27"/>
      <c r="P560" s="28"/>
      <c r="Q560" s="241"/>
      <c r="R560" s="27"/>
      <c r="S560" s="28"/>
      <c r="T560" s="241"/>
      <c r="U560" s="27"/>
      <c r="V560" s="28"/>
      <c r="W560" s="241"/>
      <c r="X560" s="27"/>
      <c r="Y560" s="28"/>
      <c r="Z560" s="241"/>
      <c r="AA560" s="27"/>
      <c r="AB560" s="28"/>
      <c r="AC560" s="241"/>
      <c r="AD560" s="27"/>
      <c r="AE560" s="28"/>
      <c r="AF560" s="241"/>
      <c r="AG560" s="27"/>
      <c r="AH560" s="28"/>
      <c r="AI560" s="241"/>
      <c r="AJ560" s="27"/>
      <c r="AK560" s="28"/>
      <c r="AL560" s="241"/>
      <c r="AM560" s="27"/>
      <c r="AN560" s="28"/>
      <c r="AO560" s="241"/>
      <c r="AP560" s="27"/>
      <c r="AQ560" s="28"/>
      <c r="AR560" s="241"/>
      <c r="AS560" s="27"/>
      <c r="AT560" s="28"/>
      <c r="AU560" s="241"/>
      <c r="AV560" s="27"/>
      <c r="AW560" s="28"/>
      <c r="AX560" s="241"/>
      <c r="AY560" s="27"/>
      <c r="AZ560" s="28"/>
      <c r="BA560" s="241"/>
      <c r="BB560" s="27"/>
      <c r="BC560" s="28"/>
      <c r="BD560" s="241"/>
      <c r="BE560" s="27"/>
      <c r="BF560" s="28"/>
      <c r="BG560" s="241"/>
      <c r="BH560" s="27"/>
      <c r="BI560" s="28"/>
      <c r="BK560" s="449"/>
      <c r="BL560" s="449"/>
      <c r="BM560" s="449"/>
      <c r="BN560" s="449"/>
    </row>
    <row r="561" spans="1:66" s="29" customFormat="1" ht="14.4" hidden="1" customHeight="1" outlineLevel="2" x14ac:dyDescent="0.3">
      <c r="A561" s="22" t="s">
        <v>367</v>
      </c>
      <c r="B561" s="2"/>
      <c r="C561" s="3"/>
      <c r="D561" s="55">
        <v>0</v>
      </c>
      <c r="E561" s="55">
        <v>0</v>
      </c>
      <c r="F561" s="41"/>
      <c r="G561" s="56"/>
      <c r="H561" s="241"/>
      <c r="I561" s="27"/>
      <c r="J561" s="28"/>
      <c r="K561" s="241"/>
      <c r="L561" s="27"/>
      <c r="M561" s="28"/>
      <c r="N561" s="241"/>
      <c r="O561" s="27"/>
      <c r="P561" s="28"/>
      <c r="Q561" s="241"/>
      <c r="R561" s="27"/>
      <c r="S561" s="28"/>
      <c r="T561" s="241"/>
      <c r="U561" s="27"/>
      <c r="V561" s="28"/>
      <c r="W561" s="241"/>
      <c r="X561" s="27"/>
      <c r="Y561" s="28"/>
      <c r="Z561" s="241"/>
      <c r="AA561" s="27"/>
      <c r="AB561" s="28"/>
      <c r="AC561" s="241"/>
      <c r="AD561" s="27"/>
      <c r="AE561" s="28"/>
      <c r="AF561" s="241"/>
      <c r="AG561" s="27"/>
      <c r="AH561" s="28"/>
      <c r="AI561" s="241"/>
      <c r="AJ561" s="27"/>
      <c r="AK561" s="28"/>
      <c r="AL561" s="241"/>
      <c r="AM561" s="27"/>
      <c r="AN561" s="28"/>
      <c r="AO561" s="241"/>
      <c r="AP561" s="27"/>
      <c r="AQ561" s="28"/>
      <c r="AR561" s="241"/>
      <c r="AS561" s="27"/>
      <c r="AT561" s="28"/>
      <c r="AU561" s="241"/>
      <c r="AV561" s="27"/>
      <c r="AW561" s="28"/>
      <c r="AX561" s="241"/>
      <c r="AY561" s="27"/>
      <c r="AZ561" s="28"/>
      <c r="BA561" s="241"/>
      <c r="BB561" s="27"/>
      <c r="BC561" s="28"/>
      <c r="BD561" s="241"/>
      <c r="BE561" s="27"/>
      <c r="BF561" s="28"/>
      <c r="BG561" s="241"/>
      <c r="BH561" s="27"/>
      <c r="BI561" s="28"/>
      <c r="BK561" s="449"/>
      <c r="BL561" s="449"/>
      <c r="BM561" s="449"/>
      <c r="BN561" s="449"/>
    </row>
    <row r="562" spans="1:66" s="29" customFormat="1" ht="14.4" hidden="1" customHeight="1" outlineLevel="2" x14ac:dyDescent="0.3">
      <c r="A562" s="22" t="s">
        <v>441</v>
      </c>
      <c r="B562" s="2"/>
      <c r="C562" s="3"/>
      <c r="D562" s="55">
        <v>0</v>
      </c>
      <c r="E562" s="55">
        <v>0</v>
      </c>
      <c r="F562" s="41"/>
      <c r="G562" s="56"/>
      <c r="H562" s="241"/>
      <c r="I562" s="27"/>
      <c r="J562" s="28"/>
      <c r="K562" s="241"/>
      <c r="L562" s="27"/>
      <c r="M562" s="28"/>
      <c r="N562" s="241"/>
      <c r="O562" s="27"/>
      <c r="P562" s="28"/>
      <c r="Q562" s="241"/>
      <c r="R562" s="27"/>
      <c r="S562" s="28"/>
      <c r="T562" s="241"/>
      <c r="U562" s="27"/>
      <c r="V562" s="28"/>
      <c r="W562" s="241"/>
      <c r="X562" s="27"/>
      <c r="Y562" s="28"/>
      <c r="Z562" s="241"/>
      <c r="AA562" s="27"/>
      <c r="AB562" s="28"/>
      <c r="AC562" s="241"/>
      <c r="AD562" s="27"/>
      <c r="AE562" s="28"/>
      <c r="AF562" s="241"/>
      <c r="AG562" s="27"/>
      <c r="AH562" s="28"/>
      <c r="AI562" s="241"/>
      <c r="AJ562" s="27"/>
      <c r="AK562" s="28"/>
      <c r="AL562" s="241"/>
      <c r="AM562" s="27"/>
      <c r="AN562" s="28"/>
      <c r="AO562" s="241"/>
      <c r="AP562" s="27"/>
      <c r="AQ562" s="28"/>
      <c r="AR562" s="241"/>
      <c r="AS562" s="27"/>
      <c r="AT562" s="28"/>
      <c r="AU562" s="241"/>
      <c r="AV562" s="27"/>
      <c r="AW562" s="28"/>
      <c r="AX562" s="241"/>
      <c r="AY562" s="27"/>
      <c r="AZ562" s="28"/>
      <c r="BA562" s="241"/>
      <c r="BB562" s="27"/>
      <c r="BC562" s="28"/>
      <c r="BD562" s="241"/>
      <c r="BE562" s="27"/>
      <c r="BF562" s="28"/>
      <c r="BG562" s="241"/>
      <c r="BH562" s="27"/>
      <c r="BI562" s="28"/>
      <c r="BK562" s="449"/>
      <c r="BL562" s="449"/>
      <c r="BM562" s="449"/>
      <c r="BN562" s="449"/>
    </row>
    <row r="563" spans="1:66" s="29" customFormat="1" ht="14.4" hidden="1" customHeight="1" outlineLevel="2" x14ac:dyDescent="0.3">
      <c r="A563" s="22"/>
      <c r="B563" s="2"/>
      <c r="C563" s="3"/>
      <c r="D563" s="55">
        <v>0.44990000000000002</v>
      </c>
      <c r="E563" s="55">
        <v>0.64790000000000003</v>
      </c>
      <c r="F563" s="41"/>
      <c r="G563" s="56"/>
      <c r="H563" s="241"/>
      <c r="I563" s="27"/>
      <c r="J563" s="28"/>
      <c r="K563" s="241"/>
      <c r="L563" s="27"/>
      <c r="M563" s="28"/>
      <c r="N563" s="241"/>
      <c r="O563" s="27"/>
      <c r="P563" s="28"/>
      <c r="Q563" s="241"/>
      <c r="R563" s="27"/>
      <c r="S563" s="28"/>
      <c r="T563" s="241"/>
      <c r="U563" s="27"/>
      <c r="V563" s="28"/>
      <c r="W563" s="241"/>
      <c r="X563" s="27"/>
      <c r="Y563" s="28"/>
      <c r="Z563" s="241"/>
      <c r="AA563" s="27"/>
      <c r="AB563" s="28"/>
      <c r="AC563" s="241"/>
      <c r="AD563" s="27"/>
      <c r="AE563" s="28"/>
      <c r="AF563" s="241"/>
      <c r="AG563" s="27"/>
      <c r="AH563" s="28"/>
      <c r="AI563" s="241"/>
      <c r="AJ563" s="27"/>
      <c r="AK563" s="28"/>
      <c r="AL563" s="241"/>
      <c r="AM563" s="27"/>
      <c r="AN563" s="28"/>
      <c r="AO563" s="241"/>
      <c r="AP563" s="27"/>
      <c r="AQ563" s="28"/>
      <c r="AR563" s="241"/>
      <c r="AS563" s="27"/>
      <c r="AT563" s="28"/>
      <c r="AU563" s="241"/>
      <c r="AV563" s="27"/>
      <c r="AW563" s="28"/>
      <c r="AX563" s="241"/>
      <c r="AY563" s="27"/>
      <c r="AZ563" s="28"/>
      <c r="BA563" s="241"/>
      <c r="BB563" s="27"/>
      <c r="BC563" s="28"/>
      <c r="BD563" s="241"/>
      <c r="BE563" s="27"/>
      <c r="BF563" s="28"/>
      <c r="BG563" s="241"/>
      <c r="BH563" s="27"/>
      <c r="BI563" s="28"/>
      <c r="BK563" s="449"/>
      <c r="BL563" s="449"/>
      <c r="BM563" s="449"/>
      <c r="BN563" s="449"/>
    </row>
    <row r="564" spans="1:66" s="29" customFormat="1" ht="14.4" hidden="1" customHeight="1" outlineLevel="1" x14ac:dyDescent="0.3">
      <c r="A564" s="163"/>
      <c r="B564" s="23"/>
      <c r="C564" s="3"/>
      <c r="D564" s="110" t="s">
        <v>442</v>
      </c>
      <c r="E564" s="110" t="s">
        <v>403</v>
      </c>
      <c r="F564" s="23"/>
      <c r="G564" s="56"/>
      <c r="H564" s="279"/>
      <c r="I564" s="180"/>
      <c r="J564" s="181"/>
      <c r="K564" s="279"/>
      <c r="L564" s="180"/>
      <c r="M564" s="181"/>
      <c r="N564" s="279"/>
      <c r="O564" s="180"/>
      <c r="P564" s="181"/>
      <c r="Q564" s="279"/>
      <c r="R564" s="180"/>
      <c r="S564" s="181"/>
      <c r="T564" s="279"/>
      <c r="U564" s="180"/>
      <c r="V564" s="181"/>
      <c r="W564" s="279"/>
      <c r="X564" s="180"/>
      <c r="Y564" s="181"/>
      <c r="Z564" s="279"/>
      <c r="AA564" s="180"/>
      <c r="AB564" s="181"/>
      <c r="AC564" s="279"/>
      <c r="AD564" s="180"/>
      <c r="AE564" s="181"/>
      <c r="AF564" s="279"/>
      <c r="AG564" s="180"/>
      <c r="AH564" s="181"/>
      <c r="AI564" s="279"/>
      <c r="AJ564" s="180"/>
      <c r="AK564" s="181"/>
      <c r="AL564" s="279"/>
      <c r="AM564" s="180"/>
      <c r="AN564" s="181"/>
      <c r="AO564" s="279"/>
      <c r="AP564" s="180"/>
      <c r="AQ564" s="181"/>
      <c r="AR564" s="279"/>
      <c r="AS564" s="180"/>
      <c r="AT564" s="181"/>
      <c r="AU564" s="279"/>
      <c r="AV564" s="180"/>
      <c r="AW564" s="181"/>
      <c r="AX564" s="279"/>
      <c r="AY564" s="180"/>
      <c r="AZ564" s="181"/>
      <c r="BA564" s="279"/>
      <c r="BB564" s="180"/>
      <c r="BC564" s="181"/>
      <c r="BD564" s="279"/>
      <c r="BE564" s="180"/>
      <c r="BF564" s="181"/>
      <c r="BG564" s="279"/>
      <c r="BH564" s="180"/>
      <c r="BI564" s="181"/>
      <c r="BK564" s="449"/>
      <c r="BL564" s="449"/>
      <c r="BM564" s="449"/>
      <c r="BN564" s="449"/>
    </row>
    <row r="565" spans="1:66" s="216" customFormat="1" ht="14.4" hidden="1" customHeight="1" outlineLevel="1" x14ac:dyDescent="0.3">
      <c r="A565" s="213"/>
      <c r="B565" s="13"/>
      <c r="C565" s="12"/>
      <c r="D565" s="13"/>
      <c r="E565" s="13"/>
      <c r="F565" s="13"/>
      <c r="G565" s="214"/>
      <c r="H565" s="285"/>
      <c r="I565" s="35">
        <v>1</v>
      </c>
      <c r="J565" s="215"/>
      <c r="K565" s="285"/>
      <c r="L565" s="35">
        <v>2</v>
      </c>
      <c r="M565" s="215"/>
      <c r="N565" s="285"/>
      <c r="O565" s="35">
        <v>3</v>
      </c>
      <c r="P565" s="215"/>
      <c r="Q565" s="285"/>
      <c r="R565" s="35">
        <v>4</v>
      </c>
      <c r="S565" s="215"/>
      <c r="T565" s="285"/>
      <c r="U565" s="35">
        <v>5</v>
      </c>
      <c r="V565" s="215"/>
      <c r="W565" s="285"/>
      <c r="X565" s="35">
        <v>6</v>
      </c>
      <c r="Y565" s="215"/>
      <c r="Z565" s="285"/>
      <c r="AA565" s="35">
        <v>7</v>
      </c>
      <c r="AB565" s="215"/>
      <c r="AC565" s="285"/>
      <c r="AD565" s="35">
        <v>8</v>
      </c>
      <c r="AE565" s="215"/>
      <c r="AF565" s="285"/>
      <c r="AG565" s="35">
        <v>9</v>
      </c>
      <c r="AH565" s="215"/>
      <c r="AI565" s="285"/>
      <c r="AJ565" s="35">
        <v>10</v>
      </c>
      <c r="AK565" s="215"/>
      <c r="AL565" s="285"/>
      <c r="AM565" s="35">
        <v>11</v>
      </c>
      <c r="AN565" s="215"/>
      <c r="AO565" s="285"/>
      <c r="AP565" s="35">
        <v>12</v>
      </c>
      <c r="AQ565" s="215"/>
      <c r="AR565" s="285"/>
      <c r="AS565" s="35"/>
      <c r="AT565" s="215"/>
      <c r="AU565" s="285"/>
      <c r="AV565" s="35"/>
      <c r="AW565" s="215"/>
      <c r="AX565" s="285"/>
      <c r="AY565" s="35"/>
      <c r="AZ565" s="215"/>
      <c r="BA565" s="285"/>
      <c r="BB565" s="35"/>
      <c r="BC565" s="215"/>
      <c r="BD565" s="285"/>
      <c r="BE565" s="35"/>
      <c r="BF565" s="215"/>
      <c r="BG565" s="285"/>
      <c r="BH565" s="35"/>
      <c r="BI565" s="215"/>
      <c r="BK565" s="449"/>
      <c r="BL565" s="449"/>
      <c r="BM565" s="449"/>
      <c r="BN565" s="449"/>
    </row>
    <row r="566" spans="1:66" s="29" customFormat="1" ht="14.4" hidden="1" customHeight="1" outlineLevel="1" x14ac:dyDescent="0.3">
      <c r="A566" s="165" t="s">
        <v>443</v>
      </c>
      <c r="B566" s="23"/>
      <c r="C566" s="3"/>
      <c r="D566" s="4"/>
      <c r="E566" s="4"/>
      <c r="F566" s="23"/>
      <c r="G566" s="56"/>
      <c r="H566" s="286"/>
      <c r="I566" s="217"/>
      <c r="J566" s="218"/>
      <c r="K566" s="286"/>
      <c r="L566" s="217"/>
      <c r="M566" s="218"/>
      <c r="N566" s="286"/>
      <c r="O566" s="217"/>
      <c r="P566" s="218"/>
      <c r="Q566" s="286"/>
      <c r="R566" s="217"/>
      <c r="S566" s="218"/>
      <c r="T566" s="286"/>
      <c r="U566" s="217"/>
      <c r="V566" s="218"/>
      <c r="W566" s="286"/>
      <c r="X566" s="217"/>
      <c r="Y566" s="218"/>
      <c r="Z566" s="286"/>
      <c r="AA566" s="217"/>
      <c r="AB566" s="218"/>
      <c r="AC566" s="286"/>
      <c r="AD566" s="217"/>
      <c r="AE566" s="218"/>
      <c r="AF566" s="286"/>
      <c r="AG566" s="217"/>
      <c r="AH566" s="218"/>
      <c r="AI566" s="286"/>
      <c r="AJ566" s="217"/>
      <c r="AK566" s="218"/>
      <c r="AL566" s="286"/>
      <c r="AM566" s="217"/>
      <c r="AN566" s="218"/>
      <c r="AO566" s="286"/>
      <c r="AP566" s="217"/>
      <c r="AQ566" s="218"/>
      <c r="AR566" s="286"/>
      <c r="AS566" s="217"/>
      <c r="AT566" s="218"/>
      <c r="AU566" s="286"/>
      <c r="AV566" s="217"/>
      <c r="AW566" s="218"/>
      <c r="AX566" s="286"/>
      <c r="AY566" s="217"/>
      <c r="AZ566" s="218"/>
      <c r="BA566" s="286"/>
      <c r="BB566" s="217"/>
      <c r="BC566" s="218"/>
      <c r="BD566" s="286"/>
      <c r="BE566" s="217"/>
      <c r="BF566" s="218"/>
      <c r="BG566" s="286"/>
      <c r="BH566" s="217"/>
      <c r="BI566" s="218"/>
      <c r="BK566" s="449"/>
      <c r="BL566" s="449"/>
      <c r="BM566" s="449"/>
      <c r="BN566" s="449"/>
    </row>
    <row r="567" spans="1:66" s="29" customFormat="1" ht="14.4" hidden="1" customHeight="1" outlineLevel="2" x14ac:dyDescent="0.3">
      <c r="A567" s="22" t="s">
        <v>444</v>
      </c>
      <c r="B567" s="23"/>
      <c r="C567" s="3"/>
      <c r="D567" s="4"/>
      <c r="E567" s="4"/>
      <c r="F567" s="23"/>
      <c r="G567" s="56"/>
      <c r="H567" s="287"/>
      <c r="I567" s="219"/>
      <c r="J567" s="220"/>
      <c r="K567" s="287"/>
      <c r="L567" s="219"/>
      <c r="M567" s="220"/>
      <c r="N567" s="287"/>
      <c r="O567" s="219"/>
      <c r="P567" s="220"/>
      <c r="Q567" s="287"/>
      <c r="R567" s="219"/>
      <c r="S567" s="220"/>
      <c r="T567" s="287"/>
      <c r="U567" s="219"/>
      <c r="V567" s="220"/>
      <c r="W567" s="287"/>
      <c r="X567" s="219"/>
      <c r="Y567" s="220"/>
      <c r="Z567" s="287"/>
      <c r="AA567" s="219"/>
      <c r="AB567" s="220"/>
      <c r="AC567" s="287"/>
      <c r="AD567" s="219"/>
      <c r="AE567" s="220"/>
      <c r="AF567" s="287"/>
      <c r="AG567" s="219"/>
      <c r="AH567" s="220"/>
      <c r="AI567" s="287"/>
      <c r="AJ567" s="219"/>
      <c r="AK567" s="220"/>
      <c r="AL567" s="287"/>
      <c r="AM567" s="219"/>
      <c r="AN567" s="220"/>
      <c r="AO567" s="287"/>
      <c r="AP567" s="219"/>
      <c r="AQ567" s="220"/>
      <c r="AR567" s="287"/>
      <c r="AS567" s="219"/>
      <c r="AT567" s="220"/>
      <c r="AU567" s="287"/>
      <c r="AV567" s="219"/>
      <c r="AW567" s="220"/>
      <c r="AX567" s="287"/>
      <c r="AY567" s="219"/>
      <c r="AZ567" s="220"/>
      <c r="BA567" s="287"/>
      <c r="BB567" s="219"/>
      <c r="BC567" s="220"/>
      <c r="BD567" s="287"/>
      <c r="BE567" s="219"/>
      <c r="BF567" s="220"/>
      <c r="BG567" s="287"/>
      <c r="BH567" s="219"/>
      <c r="BI567" s="220"/>
      <c r="BK567" s="449"/>
      <c r="BL567" s="449"/>
      <c r="BM567" s="449"/>
      <c r="BN567" s="449"/>
    </row>
    <row r="568" spans="1:66" s="29" customFormat="1" ht="14.4" hidden="1" customHeight="1" outlineLevel="2" x14ac:dyDescent="0.3">
      <c r="A568" s="22" t="s">
        <v>445</v>
      </c>
      <c r="B568" s="23"/>
      <c r="C568" s="3"/>
      <c r="D568" s="4"/>
      <c r="E568" s="4"/>
      <c r="F568" s="23"/>
      <c r="G568" s="56"/>
      <c r="H568" s="288"/>
      <c r="I568" s="221"/>
      <c r="J568" s="222"/>
      <c r="K568" s="288"/>
      <c r="L568" s="221"/>
      <c r="M568" s="222"/>
      <c r="N568" s="288"/>
      <c r="O568" s="221"/>
      <c r="P568" s="222"/>
      <c r="Q568" s="288"/>
      <c r="R568" s="221"/>
      <c r="S568" s="222"/>
      <c r="T568" s="288"/>
      <c r="U568" s="221"/>
      <c r="V568" s="222"/>
      <c r="W568" s="288"/>
      <c r="X568" s="221"/>
      <c r="Y568" s="222"/>
      <c r="Z568" s="288"/>
      <c r="AA568" s="221"/>
      <c r="AB568" s="222"/>
      <c r="AC568" s="288"/>
      <c r="AD568" s="221"/>
      <c r="AE568" s="222"/>
      <c r="AF568" s="288"/>
      <c r="AG568" s="221"/>
      <c r="AH568" s="222"/>
      <c r="AI568" s="288"/>
      <c r="AJ568" s="221"/>
      <c r="AK568" s="222"/>
      <c r="AL568" s="288"/>
      <c r="AM568" s="221"/>
      <c r="AN568" s="222"/>
      <c r="AO568" s="288"/>
      <c r="AP568" s="221"/>
      <c r="AQ568" s="222"/>
      <c r="AR568" s="288"/>
      <c r="AS568" s="221"/>
      <c r="AT568" s="222"/>
      <c r="AU568" s="288"/>
      <c r="AV568" s="221"/>
      <c r="AW568" s="222"/>
      <c r="AX568" s="288"/>
      <c r="AY568" s="221"/>
      <c r="AZ568" s="222"/>
      <c r="BA568" s="288"/>
      <c r="BB568" s="221"/>
      <c r="BC568" s="222"/>
      <c r="BD568" s="288"/>
      <c r="BE568" s="221"/>
      <c r="BF568" s="222"/>
      <c r="BG568" s="288"/>
      <c r="BH568" s="221"/>
      <c r="BI568" s="222"/>
      <c r="BK568" s="449"/>
      <c r="BL568" s="449"/>
      <c r="BM568" s="449"/>
      <c r="BN568" s="449"/>
    </row>
    <row r="569" spans="1:66" s="29" customFormat="1" ht="14.4" hidden="1" customHeight="1" outlineLevel="2" x14ac:dyDescent="0.3">
      <c r="A569" s="22" t="s">
        <v>446</v>
      </c>
      <c r="B569" s="23"/>
      <c r="C569" s="3"/>
      <c r="D569" s="4"/>
      <c r="E569" s="4"/>
      <c r="F569" s="23"/>
      <c r="G569" s="56"/>
      <c r="H569" s="289"/>
      <c r="I569" s="223"/>
      <c r="J569" s="224"/>
      <c r="K569" s="289"/>
      <c r="L569" s="223"/>
      <c r="M569" s="224"/>
      <c r="N569" s="289"/>
      <c r="O569" s="223"/>
      <c r="P569" s="224"/>
      <c r="Q569" s="289"/>
      <c r="R569" s="223"/>
      <c r="S569" s="224"/>
      <c r="T569" s="289"/>
      <c r="U569" s="223"/>
      <c r="V569" s="224"/>
      <c r="W569" s="289"/>
      <c r="X569" s="223"/>
      <c r="Y569" s="224"/>
      <c r="Z569" s="289"/>
      <c r="AA569" s="223"/>
      <c r="AB569" s="224"/>
      <c r="AC569" s="289"/>
      <c r="AD569" s="223"/>
      <c r="AE569" s="224"/>
      <c r="AF569" s="289"/>
      <c r="AG569" s="223"/>
      <c r="AH569" s="224"/>
      <c r="AI569" s="289"/>
      <c r="AJ569" s="223"/>
      <c r="AK569" s="224"/>
      <c r="AL569" s="289"/>
      <c r="AM569" s="223"/>
      <c r="AN569" s="224"/>
      <c r="AO569" s="289"/>
      <c r="AP569" s="223"/>
      <c r="AQ569" s="224"/>
      <c r="AR569" s="289"/>
      <c r="AS569" s="223"/>
      <c r="AT569" s="224"/>
      <c r="AU569" s="289"/>
      <c r="AV569" s="223"/>
      <c r="AW569" s="224"/>
      <c r="AX569" s="289"/>
      <c r="AY569" s="223"/>
      <c r="AZ569" s="224"/>
      <c r="BA569" s="289"/>
      <c r="BB569" s="223"/>
      <c r="BC569" s="224"/>
      <c r="BD569" s="289"/>
      <c r="BE569" s="223"/>
      <c r="BF569" s="224"/>
      <c r="BG569" s="289"/>
      <c r="BH569" s="223"/>
      <c r="BI569" s="224"/>
      <c r="BK569" s="449"/>
      <c r="BL569" s="449"/>
      <c r="BM569" s="449"/>
      <c r="BN569" s="449"/>
    </row>
    <row r="570" spans="1:66" s="29" customFormat="1" ht="14.4" hidden="1" customHeight="1" outlineLevel="2" x14ac:dyDescent="0.3">
      <c r="A570" s="22" t="s">
        <v>447</v>
      </c>
      <c r="B570" s="23"/>
      <c r="C570" s="3"/>
      <c r="D570" s="4"/>
      <c r="E570" s="4"/>
      <c r="F570" s="23"/>
      <c r="G570" s="56"/>
      <c r="H570" s="289"/>
      <c r="I570" s="223"/>
      <c r="J570" s="224"/>
      <c r="K570" s="289"/>
      <c r="L570" s="223"/>
      <c r="M570" s="224"/>
      <c r="N570" s="289"/>
      <c r="O570" s="223"/>
      <c r="P570" s="224"/>
      <c r="Q570" s="289"/>
      <c r="R570" s="223"/>
      <c r="S570" s="224"/>
      <c r="T570" s="289"/>
      <c r="U570" s="223"/>
      <c r="V570" s="224"/>
      <c r="W570" s="289"/>
      <c r="X570" s="223"/>
      <c r="Y570" s="224"/>
      <c r="Z570" s="289"/>
      <c r="AA570" s="223"/>
      <c r="AB570" s="224"/>
      <c r="AC570" s="289"/>
      <c r="AD570" s="223"/>
      <c r="AE570" s="224"/>
      <c r="AF570" s="289"/>
      <c r="AG570" s="223"/>
      <c r="AH570" s="224"/>
      <c r="AI570" s="289"/>
      <c r="AJ570" s="223"/>
      <c r="AK570" s="224"/>
      <c r="AL570" s="289"/>
      <c r="AM570" s="223"/>
      <c r="AN570" s="224"/>
      <c r="AO570" s="289"/>
      <c r="AP570" s="223"/>
      <c r="AQ570" s="224"/>
      <c r="AR570" s="289"/>
      <c r="AS570" s="223"/>
      <c r="AT570" s="224"/>
      <c r="AU570" s="289"/>
      <c r="AV570" s="223"/>
      <c r="AW570" s="224"/>
      <c r="AX570" s="289"/>
      <c r="AY570" s="223"/>
      <c r="AZ570" s="224"/>
      <c r="BA570" s="289"/>
      <c r="BB570" s="223"/>
      <c r="BC570" s="224"/>
      <c r="BD570" s="289"/>
      <c r="BE570" s="223"/>
      <c r="BF570" s="224"/>
      <c r="BG570" s="289"/>
      <c r="BH570" s="223"/>
      <c r="BI570" s="224"/>
      <c r="BK570" s="449"/>
      <c r="BL570" s="449"/>
      <c r="BM570" s="449"/>
      <c r="BN570" s="449"/>
    </row>
    <row r="571" spans="1:66" s="29" customFormat="1" ht="14.4" hidden="1" customHeight="1" outlineLevel="2" x14ac:dyDescent="0.3">
      <c r="A571" s="22" t="s">
        <v>448</v>
      </c>
      <c r="B571" s="23"/>
      <c r="C571" s="3"/>
      <c r="D571" s="4"/>
      <c r="E571" s="4"/>
      <c r="F571" s="23"/>
      <c r="G571" s="56"/>
      <c r="H571" s="289"/>
      <c r="I571" s="223"/>
      <c r="J571" s="224"/>
      <c r="K571" s="289"/>
      <c r="L571" s="223"/>
      <c r="M571" s="224"/>
      <c r="N571" s="289"/>
      <c r="O571" s="223"/>
      <c r="P571" s="224"/>
      <c r="Q571" s="289"/>
      <c r="R571" s="223"/>
      <c r="S571" s="224"/>
      <c r="T571" s="289"/>
      <c r="U571" s="223"/>
      <c r="V571" s="224"/>
      <c r="W571" s="289"/>
      <c r="X571" s="223"/>
      <c r="Y571" s="224"/>
      <c r="Z571" s="289"/>
      <c r="AA571" s="223"/>
      <c r="AB571" s="224"/>
      <c r="AC571" s="289"/>
      <c r="AD571" s="223"/>
      <c r="AE571" s="224"/>
      <c r="AF571" s="289"/>
      <c r="AG571" s="223"/>
      <c r="AH571" s="224"/>
      <c r="AI571" s="289"/>
      <c r="AJ571" s="223"/>
      <c r="AK571" s="224"/>
      <c r="AL571" s="289"/>
      <c r="AM571" s="223"/>
      <c r="AN571" s="224"/>
      <c r="AO571" s="289"/>
      <c r="AP571" s="223"/>
      <c r="AQ571" s="224"/>
      <c r="AR571" s="289"/>
      <c r="AS571" s="223"/>
      <c r="AT571" s="224"/>
      <c r="AU571" s="289"/>
      <c r="AV571" s="223"/>
      <c r="AW571" s="224"/>
      <c r="AX571" s="289"/>
      <c r="AY571" s="223"/>
      <c r="AZ571" s="224"/>
      <c r="BA571" s="289"/>
      <c r="BB571" s="223"/>
      <c r="BC571" s="224"/>
      <c r="BD571" s="289"/>
      <c r="BE571" s="223"/>
      <c r="BF571" s="224"/>
      <c r="BG571" s="289"/>
      <c r="BH571" s="223"/>
      <c r="BI571" s="224"/>
      <c r="BK571" s="449"/>
      <c r="BL571" s="449"/>
      <c r="BM571" s="449"/>
      <c r="BN571" s="449"/>
    </row>
    <row r="572" spans="1:66" s="29" customFormat="1" ht="14.4" hidden="1" customHeight="1" outlineLevel="2" x14ac:dyDescent="0.3">
      <c r="A572" s="22" t="s">
        <v>449</v>
      </c>
      <c r="B572" s="23"/>
      <c r="C572" s="3"/>
      <c r="D572" s="225"/>
      <c r="E572" s="4"/>
      <c r="F572" s="23"/>
      <c r="G572" s="56"/>
      <c r="H572" s="289"/>
      <c r="I572" s="223"/>
      <c r="J572" s="224"/>
      <c r="K572" s="289"/>
      <c r="L572" s="223"/>
      <c r="M572" s="224"/>
      <c r="N572" s="289"/>
      <c r="O572" s="223"/>
      <c r="P572" s="224"/>
      <c r="Q572" s="289"/>
      <c r="R572" s="223"/>
      <c r="S572" s="224"/>
      <c r="T572" s="289"/>
      <c r="U572" s="223"/>
      <c r="V572" s="224"/>
      <c r="W572" s="289"/>
      <c r="X572" s="223"/>
      <c r="Y572" s="224"/>
      <c r="Z572" s="289"/>
      <c r="AA572" s="223"/>
      <c r="AB572" s="224"/>
      <c r="AC572" s="289"/>
      <c r="AD572" s="223"/>
      <c r="AE572" s="224"/>
      <c r="AF572" s="289"/>
      <c r="AG572" s="223"/>
      <c r="AH572" s="224"/>
      <c r="AI572" s="289"/>
      <c r="AJ572" s="223"/>
      <c r="AK572" s="224"/>
      <c r="AL572" s="289"/>
      <c r="AM572" s="223"/>
      <c r="AN572" s="224"/>
      <c r="AO572" s="289"/>
      <c r="AP572" s="223"/>
      <c r="AQ572" s="224"/>
      <c r="AR572" s="289"/>
      <c r="AS572" s="223"/>
      <c r="AT572" s="224"/>
      <c r="AU572" s="289"/>
      <c r="AV572" s="223"/>
      <c r="AW572" s="224"/>
      <c r="AX572" s="289"/>
      <c r="AY572" s="223"/>
      <c r="AZ572" s="224"/>
      <c r="BA572" s="289"/>
      <c r="BB572" s="223"/>
      <c r="BC572" s="224"/>
      <c r="BD572" s="289"/>
      <c r="BE572" s="223"/>
      <c r="BF572" s="224"/>
      <c r="BG572" s="289"/>
      <c r="BH572" s="223"/>
      <c r="BI572" s="224"/>
      <c r="BK572" s="449"/>
      <c r="BL572" s="449"/>
      <c r="BM572" s="449"/>
      <c r="BN572" s="449"/>
    </row>
    <row r="573" spans="1:66" s="29" customFormat="1" ht="14.4" hidden="1" customHeight="1" outlineLevel="2" x14ac:dyDescent="0.3">
      <c r="A573" s="22" t="s">
        <v>450</v>
      </c>
      <c r="B573" s="23"/>
      <c r="C573" s="3"/>
      <c r="D573" s="4"/>
      <c r="E573" s="4"/>
      <c r="F573" s="23"/>
      <c r="G573" s="56"/>
      <c r="H573" s="289"/>
      <c r="I573" s="223"/>
      <c r="J573" s="224"/>
      <c r="K573" s="289"/>
      <c r="L573" s="223"/>
      <c r="M573" s="224"/>
      <c r="N573" s="289"/>
      <c r="O573" s="223"/>
      <c r="P573" s="224"/>
      <c r="Q573" s="289"/>
      <c r="R573" s="223"/>
      <c r="S573" s="224"/>
      <c r="T573" s="289"/>
      <c r="U573" s="223"/>
      <c r="V573" s="224"/>
      <c r="W573" s="289"/>
      <c r="X573" s="223"/>
      <c r="Y573" s="224"/>
      <c r="Z573" s="289"/>
      <c r="AA573" s="223"/>
      <c r="AB573" s="224"/>
      <c r="AC573" s="289"/>
      <c r="AD573" s="223"/>
      <c r="AE573" s="224"/>
      <c r="AF573" s="289"/>
      <c r="AG573" s="223"/>
      <c r="AH573" s="224"/>
      <c r="AI573" s="289"/>
      <c r="AJ573" s="223"/>
      <c r="AK573" s="224"/>
      <c r="AL573" s="289"/>
      <c r="AM573" s="223"/>
      <c r="AN573" s="224"/>
      <c r="AO573" s="289"/>
      <c r="AP573" s="223"/>
      <c r="AQ573" s="224"/>
      <c r="AR573" s="289"/>
      <c r="AS573" s="223"/>
      <c r="AT573" s="224"/>
      <c r="AU573" s="289"/>
      <c r="AV573" s="223"/>
      <c r="AW573" s="224"/>
      <c r="AX573" s="289"/>
      <c r="AY573" s="223"/>
      <c r="AZ573" s="224"/>
      <c r="BA573" s="289"/>
      <c r="BB573" s="223"/>
      <c r="BC573" s="224"/>
      <c r="BD573" s="289"/>
      <c r="BE573" s="223"/>
      <c r="BF573" s="224"/>
      <c r="BG573" s="289"/>
      <c r="BH573" s="223"/>
      <c r="BI573" s="224"/>
      <c r="BK573" s="449"/>
      <c r="BL573" s="449"/>
      <c r="BM573" s="449"/>
      <c r="BN573" s="449"/>
    </row>
    <row r="574" spans="1:66" s="29" customFormat="1" ht="14.4" hidden="1" customHeight="1" outlineLevel="2" x14ac:dyDescent="0.3">
      <c r="A574" s="22" t="s">
        <v>451</v>
      </c>
      <c r="B574" s="23"/>
      <c r="C574" s="3"/>
      <c r="D574" s="4"/>
      <c r="E574" s="4"/>
      <c r="F574" s="23"/>
      <c r="G574" s="56"/>
      <c r="H574" s="289"/>
      <c r="I574" s="223"/>
      <c r="J574" s="224"/>
      <c r="K574" s="289"/>
      <c r="L574" s="223"/>
      <c r="M574" s="224"/>
      <c r="N574" s="289"/>
      <c r="O574" s="223"/>
      <c r="P574" s="224"/>
      <c r="Q574" s="289"/>
      <c r="R574" s="223"/>
      <c r="S574" s="224"/>
      <c r="T574" s="289"/>
      <c r="U574" s="223"/>
      <c r="V574" s="224"/>
      <c r="W574" s="289"/>
      <c r="X574" s="223"/>
      <c r="Y574" s="224"/>
      <c r="Z574" s="289"/>
      <c r="AA574" s="223"/>
      <c r="AB574" s="224"/>
      <c r="AC574" s="289"/>
      <c r="AD574" s="223"/>
      <c r="AE574" s="224"/>
      <c r="AF574" s="289"/>
      <c r="AG574" s="223"/>
      <c r="AH574" s="224"/>
      <c r="AI574" s="289"/>
      <c r="AJ574" s="223"/>
      <c r="AK574" s="224"/>
      <c r="AL574" s="289"/>
      <c r="AM574" s="223"/>
      <c r="AN574" s="224"/>
      <c r="AO574" s="289"/>
      <c r="AP574" s="223"/>
      <c r="AQ574" s="224"/>
      <c r="AR574" s="289"/>
      <c r="AS574" s="223"/>
      <c r="AT574" s="224"/>
      <c r="AU574" s="289"/>
      <c r="AV574" s="223"/>
      <c r="AW574" s="224"/>
      <c r="AX574" s="289"/>
      <c r="AY574" s="223"/>
      <c r="AZ574" s="224"/>
      <c r="BA574" s="289"/>
      <c r="BB574" s="223"/>
      <c r="BC574" s="224"/>
      <c r="BD574" s="289"/>
      <c r="BE574" s="223"/>
      <c r="BF574" s="224"/>
      <c r="BG574" s="289"/>
      <c r="BH574" s="223"/>
      <c r="BI574" s="224"/>
      <c r="BK574" s="449"/>
      <c r="BL574" s="449"/>
      <c r="BM574" s="449"/>
      <c r="BN574" s="449"/>
    </row>
    <row r="575" spans="1:66" s="29" customFormat="1" ht="14.4" hidden="1" customHeight="1" outlineLevel="2" x14ac:dyDescent="0.3">
      <c r="A575" s="22" t="s">
        <v>452</v>
      </c>
      <c r="B575" s="23"/>
      <c r="C575" s="3"/>
      <c r="D575" s="4"/>
      <c r="E575" s="4"/>
      <c r="F575" s="23"/>
      <c r="G575" s="56"/>
      <c r="H575" s="289"/>
      <c r="I575" s="223"/>
      <c r="J575" s="224"/>
      <c r="K575" s="289"/>
      <c r="L575" s="223"/>
      <c r="M575" s="224"/>
      <c r="N575" s="289"/>
      <c r="O575" s="223"/>
      <c r="P575" s="224"/>
      <c r="Q575" s="289"/>
      <c r="R575" s="223"/>
      <c r="S575" s="224"/>
      <c r="T575" s="289"/>
      <c r="U575" s="223"/>
      <c r="V575" s="224"/>
      <c r="W575" s="289"/>
      <c r="X575" s="223"/>
      <c r="Y575" s="224"/>
      <c r="Z575" s="289"/>
      <c r="AA575" s="223"/>
      <c r="AB575" s="224"/>
      <c r="AC575" s="289"/>
      <c r="AD575" s="223"/>
      <c r="AE575" s="224"/>
      <c r="AF575" s="289"/>
      <c r="AG575" s="223"/>
      <c r="AH575" s="224"/>
      <c r="AI575" s="289"/>
      <c r="AJ575" s="223"/>
      <c r="AK575" s="224"/>
      <c r="AL575" s="289"/>
      <c r="AM575" s="223"/>
      <c r="AN575" s="224"/>
      <c r="AO575" s="289"/>
      <c r="AP575" s="223"/>
      <c r="AQ575" s="224"/>
      <c r="AR575" s="289"/>
      <c r="AS575" s="223"/>
      <c r="AT575" s="224"/>
      <c r="AU575" s="289"/>
      <c r="AV575" s="223"/>
      <c r="AW575" s="224"/>
      <c r="AX575" s="289"/>
      <c r="AY575" s="223"/>
      <c r="AZ575" s="224"/>
      <c r="BA575" s="289"/>
      <c r="BB575" s="223"/>
      <c r="BC575" s="224"/>
      <c r="BD575" s="289"/>
      <c r="BE575" s="223"/>
      <c r="BF575" s="224"/>
      <c r="BG575" s="289"/>
      <c r="BH575" s="223"/>
      <c r="BI575" s="224"/>
      <c r="BK575" s="449"/>
      <c r="BL575" s="449"/>
      <c r="BM575" s="449"/>
      <c r="BN575" s="449"/>
    </row>
    <row r="576" spans="1:66" s="29" customFormat="1" ht="14.4" hidden="1" customHeight="1" outlineLevel="2" x14ac:dyDescent="0.3">
      <c r="A576" s="22" t="s">
        <v>453</v>
      </c>
      <c r="B576" s="23"/>
      <c r="C576" s="3"/>
      <c r="D576" s="4"/>
      <c r="E576" s="4"/>
      <c r="F576" s="23"/>
      <c r="G576" s="56"/>
      <c r="H576" s="289"/>
      <c r="I576" s="223"/>
      <c r="J576" s="224"/>
      <c r="K576" s="289"/>
      <c r="L576" s="223"/>
      <c r="M576" s="224"/>
      <c r="N576" s="289"/>
      <c r="O576" s="223"/>
      <c r="P576" s="224"/>
      <c r="Q576" s="289"/>
      <c r="R576" s="223"/>
      <c r="S576" s="224"/>
      <c r="T576" s="289"/>
      <c r="U576" s="223"/>
      <c r="V576" s="224"/>
      <c r="W576" s="289"/>
      <c r="X576" s="223"/>
      <c r="Y576" s="224"/>
      <c r="Z576" s="289"/>
      <c r="AA576" s="223"/>
      <c r="AB576" s="224"/>
      <c r="AC576" s="289"/>
      <c r="AD576" s="223"/>
      <c r="AE576" s="224"/>
      <c r="AF576" s="289"/>
      <c r="AG576" s="223"/>
      <c r="AH576" s="224"/>
      <c r="AI576" s="289"/>
      <c r="AJ576" s="223"/>
      <c r="AK576" s="224"/>
      <c r="AL576" s="289"/>
      <c r="AM576" s="223"/>
      <c r="AN576" s="224"/>
      <c r="AO576" s="289"/>
      <c r="AP576" s="223"/>
      <c r="AQ576" s="224"/>
      <c r="AR576" s="289"/>
      <c r="AS576" s="223"/>
      <c r="AT576" s="224"/>
      <c r="AU576" s="289"/>
      <c r="AV576" s="223"/>
      <c r="AW576" s="224"/>
      <c r="AX576" s="289"/>
      <c r="AY576" s="223"/>
      <c r="AZ576" s="224"/>
      <c r="BA576" s="289"/>
      <c r="BB576" s="223"/>
      <c r="BC576" s="224"/>
      <c r="BD576" s="289"/>
      <c r="BE576" s="223"/>
      <c r="BF576" s="224"/>
      <c r="BG576" s="289"/>
      <c r="BH576" s="223"/>
      <c r="BI576" s="224"/>
      <c r="BK576" s="449"/>
      <c r="BL576" s="449"/>
      <c r="BM576" s="449"/>
      <c r="BN576" s="449"/>
    </row>
    <row r="577" spans="1:66" s="29" customFormat="1" ht="14.4" hidden="1" customHeight="1" outlineLevel="2" x14ac:dyDescent="0.3">
      <c r="A577" s="22" t="s">
        <v>454</v>
      </c>
      <c r="B577" s="23"/>
      <c r="C577" s="3"/>
      <c r="D577" s="4"/>
      <c r="E577" s="4"/>
      <c r="F577" s="23"/>
      <c r="G577" s="56"/>
      <c r="H577" s="289"/>
      <c r="I577" s="223"/>
      <c r="J577" s="224"/>
      <c r="K577" s="289"/>
      <c r="L577" s="223"/>
      <c r="M577" s="224"/>
      <c r="N577" s="289"/>
      <c r="O577" s="223"/>
      <c r="P577" s="224"/>
      <c r="Q577" s="289"/>
      <c r="R577" s="223"/>
      <c r="S577" s="224"/>
      <c r="T577" s="289"/>
      <c r="U577" s="223"/>
      <c r="V577" s="224"/>
      <c r="W577" s="289"/>
      <c r="X577" s="223"/>
      <c r="Y577" s="224"/>
      <c r="Z577" s="289"/>
      <c r="AA577" s="223"/>
      <c r="AB577" s="224"/>
      <c r="AC577" s="289"/>
      <c r="AD577" s="223"/>
      <c r="AE577" s="224"/>
      <c r="AF577" s="289"/>
      <c r="AG577" s="223"/>
      <c r="AH577" s="224"/>
      <c r="AI577" s="289"/>
      <c r="AJ577" s="223"/>
      <c r="AK577" s="224"/>
      <c r="AL577" s="289"/>
      <c r="AM577" s="223"/>
      <c r="AN577" s="224"/>
      <c r="AO577" s="289"/>
      <c r="AP577" s="223"/>
      <c r="AQ577" s="224"/>
      <c r="AR577" s="289"/>
      <c r="AS577" s="223"/>
      <c r="AT577" s="224"/>
      <c r="AU577" s="289"/>
      <c r="AV577" s="223"/>
      <c r="AW577" s="224"/>
      <c r="AX577" s="289"/>
      <c r="AY577" s="223"/>
      <c r="AZ577" s="224"/>
      <c r="BA577" s="289"/>
      <c r="BB577" s="223"/>
      <c r="BC577" s="224"/>
      <c r="BD577" s="289"/>
      <c r="BE577" s="223"/>
      <c r="BF577" s="224"/>
      <c r="BG577" s="289"/>
      <c r="BH577" s="223"/>
      <c r="BI577" s="224"/>
      <c r="BK577" s="449"/>
      <c r="BL577" s="449"/>
      <c r="BM577" s="449"/>
      <c r="BN577" s="449"/>
    </row>
    <row r="578" spans="1:66" s="29" customFormat="1" ht="14.4" hidden="1" customHeight="1" outlineLevel="2" x14ac:dyDescent="0.3">
      <c r="A578" s="22" t="s">
        <v>455</v>
      </c>
      <c r="B578" s="23"/>
      <c r="C578" s="3"/>
      <c r="D578" s="4"/>
      <c r="E578" s="4"/>
      <c r="F578" s="23"/>
      <c r="G578" s="56"/>
      <c r="H578" s="289"/>
      <c r="I578" s="223"/>
      <c r="J578" s="224"/>
      <c r="K578" s="289"/>
      <c r="L578" s="223"/>
      <c r="M578" s="224"/>
      <c r="N578" s="289"/>
      <c r="O578" s="223"/>
      <c r="P578" s="224"/>
      <c r="Q578" s="289"/>
      <c r="R578" s="223"/>
      <c r="S578" s="224"/>
      <c r="T578" s="289"/>
      <c r="U578" s="223"/>
      <c r="V578" s="224"/>
      <c r="W578" s="289"/>
      <c r="X578" s="223"/>
      <c r="Y578" s="224"/>
      <c r="Z578" s="289"/>
      <c r="AA578" s="223"/>
      <c r="AB578" s="224"/>
      <c r="AC578" s="289"/>
      <c r="AD578" s="223"/>
      <c r="AE578" s="224"/>
      <c r="AF578" s="289"/>
      <c r="AG578" s="223"/>
      <c r="AH578" s="224"/>
      <c r="AI578" s="289"/>
      <c r="AJ578" s="223"/>
      <c r="AK578" s="224"/>
      <c r="AL578" s="289"/>
      <c r="AM578" s="223"/>
      <c r="AN578" s="224"/>
      <c r="AO578" s="289"/>
      <c r="AP578" s="223"/>
      <c r="AQ578" s="224"/>
      <c r="AR578" s="289"/>
      <c r="AS578" s="223"/>
      <c r="AT578" s="224"/>
      <c r="AU578" s="289"/>
      <c r="AV578" s="223"/>
      <c r="AW578" s="224"/>
      <c r="AX578" s="289"/>
      <c r="AY578" s="223"/>
      <c r="AZ578" s="224"/>
      <c r="BA578" s="289"/>
      <c r="BB578" s="223"/>
      <c r="BC578" s="224"/>
      <c r="BD578" s="289"/>
      <c r="BE578" s="223"/>
      <c r="BF578" s="224"/>
      <c r="BG578" s="289"/>
      <c r="BH578" s="223"/>
      <c r="BI578" s="224"/>
      <c r="BK578" s="449"/>
      <c r="BL578" s="449"/>
      <c r="BM578" s="449"/>
      <c r="BN578" s="449"/>
    </row>
    <row r="579" spans="1:66" s="216" customFormat="1" ht="14.4" hidden="1" customHeight="1" outlineLevel="2" x14ac:dyDescent="0.3">
      <c r="A579" s="213"/>
      <c r="B579" s="13"/>
      <c r="C579" s="12"/>
      <c r="D579" s="13"/>
      <c r="E579" s="226"/>
      <c r="F579" s="13"/>
      <c r="G579" s="214"/>
      <c r="H579" s="290"/>
      <c r="I579" s="236"/>
      <c r="J579" s="227"/>
      <c r="K579" s="290"/>
      <c r="L579" s="236"/>
      <c r="M579" s="227"/>
      <c r="N579" s="290"/>
      <c r="O579" s="236"/>
      <c r="P579" s="227"/>
      <c r="Q579" s="290"/>
      <c r="R579" s="236"/>
      <c r="S579" s="227"/>
      <c r="T579" s="290"/>
      <c r="U579" s="236"/>
      <c r="V579" s="227"/>
      <c r="W579" s="290"/>
      <c r="X579" s="236"/>
      <c r="Y579" s="227"/>
      <c r="Z579" s="290"/>
      <c r="AA579" s="236"/>
      <c r="AB579" s="227"/>
      <c r="AC579" s="290"/>
      <c r="AD579" s="236"/>
      <c r="AE579" s="227"/>
      <c r="AF579" s="290"/>
      <c r="AG579" s="236"/>
      <c r="AH579" s="227"/>
      <c r="AI579" s="290"/>
      <c r="AJ579" s="236"/>
      <c r="AK579" s="227"/>
      <c r="AL579" s="290"/>
      <c r="AM579" s="236"/>
      <c r="AN579" s="227"/>
      <c r="AO579" s="290"/>
      <c r="AP579" s="236"/>
      <c r="AQ579" s="227"/>
      <c r="AR579" s="290"/>
      <c r="AS579" s="236"/>
      <c r="AT579" s="227"/>
      <c r="AU579" s="290"/>
      <c r="AV579" s="236"/>
      <c r="AW579" s="227"/>
      <c r="AX579" s="290"/>
      <c r="AY579" s="236"/>
      <c r="AZ579" s="227"/>
      <c r="BA579" s="290"/>
      <c r="BB579" s="236"/>
      <c r="BC579" s="227"/>
      <c r="BD579" s="290"/>
      <c r="BE579" s="236"/>
      <c r="BF579" s="227"/>
      <c r="BG579" s="290"/>
      <c r="BH579" s="236"/>
      <c r="BI579" s="227"/>
      <c r="BK579" s="449"/>
      <c r="BL579" s="449"/>
      <c r="BM579" s="449"/>
      <c r="BN579" s="449"/>
    </row>
    <row r="580" spans="1:66" s="29" customFormat="1" ht="14.4" hidden="1" customHeight="1" outlineLevel="2" x14ac:dyDescent="0.3">
      <c r="A580" s="165" t="s">
        <v>456</v>
      </c>
      <c r="B580" s="23"/>
      <c r="C580" s="3"/>
      <c r="D580" s="4"/>
      <c r="E580" s="4"/>
      <c r="F580" s="23"/>
      <c r="G580" s="56"/>
      <c r="H580" s="286"/>
      <c r="I580" s="217"/>
      <c r="J580" s="218"/>
      <c r="K580" s="286"/>
      <c r="L580" s="217"/>
      <c r="M580" s="218"/>
      <c r="N580" s="286"/>
      <c r="O580" s="217"/>
      <c r="P580" s="218"/>
      <c r="Q580" s="286"/>
      <c r="R580" s="217"/>
      <c r="S580" s="218"/>
      <c r="T580" s="286"/>
      <c r="U580" s="217"/>
      <c r="V580" s="218"/>
      <c r="W580" s="286"/>
      <c r="X580" s="217"/>
      <c r="Y580" s="218"/>
      <c r="Z580" s="286"/>
      <c r="AA580" s="217"/>
      <c r="AB580" s="218"/>
      <c r="AC580" s="286"/>
      <c r="AD580" s="217"/>
      <c r="AE580" s="218"/>
      <c r="AF580" s="286"/>
      <c r="AG580" s="217"/>
      <c r="AH580" s="218"/>
      <c r="AI580" s="286"/>
      <c r="AJ580" s="217"/>
      <c r="AK580" s="218"/>
      <c r="AL580" s="286"/>
      <c r="AM580" s="217"/>
      <c r="AN580" s="218"/>
      <c r="AO580" s="286"/>
      <c r="AP580" s="217"/>
      <c r="AQ580" s="218"/>
      <c r="AR580" s="286"/>
      <c r="AS580" s="217"/>
      <c r="AT580" s="218"/>
      <c r="AU580" s="286"/>
      <c r="AV580" s="217"/>
      <c r="AW580" s="218"/>
      <c r="AX580" s="286"/>
      <c r="AY580" s="217"/>
      <c r="AZ580" s="218"/>
      <c r="BA580" s="286"/>
      <c r="BB580" s="217"/>
      <c r="BC580" s="218"/>
      <c r="BD580" s="286"/>
      <c r="BE580" s="217"/>
      <c r="BF580" s="218"/>
      <c r="BG580" s="286"/>
      <c r="BH580" s="217"/>
      <c r="BI580" s="218"/>
      <c r="BK580" s="449"/>
      <c r="BL580" s="449"/>
      <c r="BM580" s="449"/>
      <c r="BN580" s="449"/>
    </row>
    <row r="581" spans="1:66" s="29" customFormat="1" ht="14.4" hidden="1" customHeight="1" outlineLevel="2" x14ac:dyDescent="0.3">
      <c r="A581" s="22" t="s">
        <v>457</v>
      </c>
      <c r="B581" s="23"/>
      <c r="C581" s="3"/>
      <c r="D581" s="4"/>
      <c r="E581" s="4"/>
      <c r="F581" s="23"/>
      <c r="G581" s="56"/>
      <c r="H581" s="289"/>
      <c r="I581" s="223"/>
      <c r="J581" s="224"/>
      <c r="K581" s="289"/>
      <c r="L581" s="223"/>
      <c r="M581" s="224"/>
      <c r="N581" s="289"/>
      <c r="O581" s="223"/>
      <c r="P581" s="224"/>
      <c r="Q581" s="289"/>
      <c r="R581" s="223"/>
      <c r="S581" s="224"/>
      <c r="T581" s="289"/>
      <c r="U581" s="223"/>
      <c r="V581" s="224"/>
      <c r="W581" s="289"/>
      <c r="X581" s="223"/>
      <c r="Y581" s="224"/>
      <c r="Z581" s="289"/>
      <c r="AA581" s="223"/>
      <c r="AB581" s="224"/>
      <c r="AC581" s="289"/>
      <c r="AD581" s="223"/>
      <c r="AE581" s="224"/>
      <c r="AF581" s="289"/>
      <c r="AG581" s="223"/>
      <c r="AH581" s="224"/>
      <c r="AI581" s="289"/>
      <c r="AJ581" s="223"/>
      <c r="AK581" s="224"/>
      <c r="AL581" s="289"/>
      <c r="AM581" s="223"/>
      <c r="AN581" s="224"/>
      <c r="AO581" s="289"/>
      <c r="AP581" s="223"/>
      <c r="AQ581" s="224"/>
      <c r="AR581" s="289"/>
      <c r="AS581" s="223"/>
      <c r="AT581" s="224"/>
      <c r="AU581" s="289"/>
      <c r="AV581" s="223"/>
      <c r="AW581" s="224"/>
      <c r="AX581" s="289"/>
      <c r="AY581" s="223"/>
      <c r="AZ581" s="224"/>
      <c r="BA581" s="289"/>
      <c r="BB581" s="223"/>
      <c r="BC581" s="224"/>
      <c r="BD581" s="289"/>
      <c r="BE581" s="223"/>
      <c r="BF581" s="224"/>
      <c r="BG581" s="289"/>
      <c r="BH581" s="223"/>
      <c r="BI581" s="224"/>
      <c r="BK581" s="449"/>
      <c r="BL581" s="449"/>
      <c r="BM581" s="449"/>
      <c r="BN581" s="449"/>
    </row>
    <row r="582" spans="1:66" s="216" customFormat="1" ht="14.4" hidden="1" customHeight="1" outlineLevel="2" x14ac:dyDescent="0.3">
      <c r="A582" s="213"/>
      <c r="B582" s="13"/>
      <c r="C582" s="12"/>
      <c r="D582" s="13"/>
      <c r="E582" s="226"/>
      <c r="F582" s="13"/>
      <c r="G582" s="214"/>
      <c r="H582" s="290"/>
      <c r="I582" s="236"/>
      <c r="J582" s="227"/>
      <c r="K582" s="290"/>
      <c r="L582" s="236"/>
      <c r="M582" s="227"/>
      <c r="N582" s="290"/>
      <c r="O582" s="236"/>
      <c r="P582" s="227"/>
      <c r="Q582" s="290"/>
      <c r="R582" s="236"/>
      <c r="S582" s="227"/>
      <c r="T582" s="290"/>
      <c r="U582" s="236"/>
      <c r="V582" s="227"/>
      <c r="W582" s="290"/>
      <c r="X582" s="236"/>
      <c r="Y582" s="227"/>
      <c r="Z582" s="290"/>
      <c r="AA582" s="236"/>
      <c r="AB582" s="227"/>
      <c r="AC582" s="290"/>
      <c r="AD582" s="236"/>
      <c r="AE582" s="227"/>
      <c r="AF582" s="290"/>
      <c r="AG582" s="236"/>
      <c r="AH582" s="227"/>
      <c r="AI582" s="290"/>
      <c r="AJ582" s="236"/>
      <c r="AK582" s="227"/>
      <c r="AL582" s="290"/>
      <c r="AM582" s="236"/>
      <c r="AN582" s="227"/>
      <c r="AO582" s="290"/>
      <c r="AP582" s="236"/>
      <c r="AQ582" s="227"/>
      <c r="AR582" s="290"/>
      <c r="AS582" s="236"/>
      <c r="AT582" s="227"/>
      <c r="AU582" s="290"/>
      <c r="AV582" s="236"/>
      <c r="AW582" s="227"/>
      <c r="AX582" s="290"/>
      <c r="AY582" s="236"/>
      <c r="AZ582" s="227"/>
      <c r="BA582" s="290"/>
      <c r="BB582" s="236"/>
      <c r="BC582" s="227"/>
      <c r="BD582" s="290"/>
      <c r="BE582" s="236"/>
      <c r="BF582" s="227"/>
      <c r="BG582" s="290"/>
      <c r="BH582" s="236"/>
      <c r="BI582" s="227"/>
      <c r="BK582" s="449"/>
      <c r="BL582" s="449"/>
      <c r="BM582" s="449"/>
      <c r="BN582" s="449"/>
    </row>
    <row r="583" spans="1:66" s="216" customFormat="1" ht="14.4" hidden="1" customHeight="1" outlineLevel="2" x14ac:dyDescent="0.3">
      <c r="A583" s="213"/>
      <c r="B583" s="13"/>
      <c r="C583" s="12"/>
      <c r="D583" s="13"/>
      <c r="E583" s="226"/>
      <c r="F583" s="13"/>
      <c r="G583" s="214"/>
      <c r="H583" s="290"/>
      <c r="I583" s="236"/>
      <c r="J583" s="227"/>
      <c r="K583" s="290"/>
      <c r="L583" s="236"/>
      <c r="M583" s="227"/>
      <c r="N583" s="290"/>
      <c r="O583" s="236"/>
      <c r="P583" s="227"/>
      <c r="Q583" s="290"/>
      <c r="R583" s="236"/>
      <c r="S583" s="227"/>
      <c r="T583" s="290"/>
      <c r="U583" s="236"/>
      <c r="V583" s="227"/>
      <c r="W583" s="290"/>
      <c r="X583" s="236"/>
      <c r="Y583" s="227"/>
      <c r="Z583" s="290"/>
      <c r="AA583" s="236"/>
      <c r="AB583" s="227"/>
      <c r="AC583" s="290"/>
      <c r="AD583" s="236"/>
      <c r="AE583" s="227"/>
      <c r="AF583" s="290"/>
      <c r="AG583" s="236"/>
      <c r="AH583" s="227"/>
      <c r="AI583" s="290"/>
      <c r="AJ583" s="236"/>
      <c r="AK583" s="227"/>
      <c r="AL583" s="290"/>
      <c r="AM583" s="236"/>
      <c r="AN583" s="227"/>
      <c r="AO583" s="290"/>
      <c r="AP583" s="236"/>
      <c r="AQ583" s="227"/>
      <c r="AR583" s="290"/>
      <c r="AS583" s="236"/>
      <c r="AT583" s="227"/>
      <c r="AU583" s="290"/>
      <c r="AV583" s="236"/>
      <c r="AW583" s="227"/>
      <c r="AX583" s="290"/>
      <c r="AY583" s="236"/>
      <c r="AZ583" s="227"/>
      <c r="BA583" s="290"/>
      <c r="BB583" s="236"/>
      <c r="BC583" s="227"/>
      <c r="BD583" s="290"/>
      <c r="BE583" s="236"/>
      <c r="BF583" s="227"/>
      <c r="BG583" s="290"/>
      <c r="BH583" s="236"/>
      <c r="BI583" s="227"/>
      <c r="BK583" s="449"/>
      <c r="BL583" s="449"/>
      <c r="BM583" s="449"/>
      <c r="BN583" s="449"/>
    </row>
    <row r="584" spans="1:66" s="29" customFormat="1" ht="15" hidden="1" customHeight="1" outlineLevel="2" thickBot="1" x14ac:dyDescent="0.35">
      <c r="A584" s="22" t="s">
        <v>458</v>
      </c>
      <c r="B584" s="23"/>
      <c r="C584" s="3"/>
      <c r="D584" s="4"/>
      <c r="E584" s="4"/>
      <c r="F584" s="23"/>
      <c r="G584" s="56"/>
      <c r="H584" s="291"/>
      <c r="I584" s="292">
        <v>1</v>
      </c>
      <c r="J584" s="293"/>
      <c r="K584" s="291"/>
      <c r="L584" s="292">
        <v>1</v>
      </c>
      <c r="M584" s="293"/>
      <c r="N584" s="291"/>
      <c r="O584" s="292">
        <v>1</v>
      </c>
      <c r="P584" s="293"/>
      <c r="Q584" s="291"/>
      <c r="R584" s="292">
        <v>1</v>
      </c>
      <c r="S584" s="293"/>
      <c r="T584" s="291"/>
      <c r="U584" s="292">
        <v>1</v>
      </c>
      <c r="V584" s="293"/>
      <c r="W584" s="291"/>
      <c r="X584" s="292">
        <v>1</v>
      </c>
      <c r="Y584" s="293"/>
      <c r="Z584" s="291"/>
      <c r="AA584" s="292">
        <v>1</v>
      </c>
      <c r="AB584" s="293"/>
      <c r="AC584" s="291"/>
      <c r="AD584" s="292">
        <v>1</v>
      </c>
      <c r="AE584" s="293"/>
      <c r="AF584" s="291"/>
      <c r="AG584" s="292">
        <v>1</v>
      </c>
      <c r="AH584" s="293"/>
      <c r="AI584" s="291"/>
      <c r="AJ584" s="292">
        <v>1</v>
      </c>
      <c r="AK584" s="293"/>
      <c r="AL584" s="291"/>
      <c r="AM584" s="292">
        <v>1</v>
      </c>
      <c r="AN584" s="293"/>
      <c r="AO584" s="291"/>
      <c r="AP584" s="292">
        <v>1</v>
      </c>
      <c r="AQ584" s="293"/>
      <c r="AR584" s="291"/>
      <c r="AS584" s="292"/>
      <c r="AT584" s="293"/>
      <c r="AU584" s="291"/>
      <c r="AV584" s="292"/>
      <c r="AW584" s="293"/>
      <c r="AX584" s="291"/>
      <c r="AY584" s="292"/>
      <c r="AZ584" s="293"/>
      <c r="BA584" s="291"/>
      <c r="BB584" s="292"/>
      <c r="BC584" s="293"/>
      <c r="BD584" s="291"/>
      <c r="BE584" s="292"/>
      <c r="BF584" s="293"/>
      <c r="BG584" s="291"/>
      <c r="BH584" s="292"/>
      <c r="BI584" s="293"/>
      <c r="BK584" s="449"/>
      <c r="BL584" s="449"/>
      <c r="BM584" s="449"/>
      <c r="BN584" s="449"/>
    </row>
    <row r="585" spans="1:66" s="216" customFormat="1" ht="14.4" hidden="1" customHeight="1" outlineLevel="1" x14ac:dyDescent="0.3">
      <c r="A585" s="213"/>
      <c r="B585" s="13"/>
      <c r="C585" s="12"/>
      <c r="D585" s="13"/>
      <c r="E585" s="13"/>
      <c r="F585" s="13"/>
      <c r="G585" s="214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K585" s="449"/>
      <c r="BL585" s="449"/>
      <c r="BM585" s="449"/>
      <c r="BN585" s="449"/>
    </row>
    <row r="586" spans="1:66" s="29" customFormat="1" ht="15" hidden="1" customHeight="1" outlineLevel="1" x14ac:dyDescent="0.3">
      <c r="A586" s="163"/>
      <c r="B586" s="23"/>
      <c r="C586" s="3"/>
      <c r="D586" s="4"/>
      <c r="E586" s="4"/>
      <c r="F586" s="23"/>
      <c r="G586" s="56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  <c r="AI586" s="117"/>
      <c r="AJ586" s="117"/>
      <c r="AK586" s="117"/>
      <c r="AL586" s="117"/>
      <c r="AM586" s="117"/>
      <c r="AN586" s="117"/>
      <c r="AO586" s="117"/>
      <c r="AP586" s="117"/>
      <c r="AQ586" s="117"/>
      <c r="AR586" s="117"/>
      <c r="AS586" s="117"/>
      <c r="AT586" s="117"/>
      <c r="AU586" s="117"/>
      <c r="AV586" s="117"/>
      <c r="AW586" s="117"/>
      <c r="AX586" s="117"/>
      <c r="AY586" s="117"/>
      <c r="AZ586" s="117"/>
      <c r="BA586" s="117"/>
      <c r="BB586" s="117"/>
      <c r="BC586" s="117"/>
      <c r="BD586" s="117"/>
      <c r="BE586" s="117"/>
      <c r="BF586" s="117"/>
      <c r="BG586" s="117"/>
      <c r="BH586" s="117"/>
      <c r="BI586" s="117"/>
      <c r="BK586" s="449"/>
      <c r="BL586" s="449"/>
      <c r="BM586" s="449"/>
      <c r="BN586" s="449"/>
    </row>
    <row r="587" spans="1:66" s="29" customFormat="1" ht="15" hidden="1" customHeight="1" outlineLevel="1" x14ac:dyDescent="0.3">
      <c r="A587" s="163"/>
      <c r="B587" s="23"/>
      <c r="C587" s="3"/>
      <c r="D587" s="4"/>
      <c r="E587" s="4"/>
      <c r="F587" s="23"/>
      <c r="G587" s="23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  <c r="AB587" s="228"/>
      <c r="AC587" s="228"/>
      <c r="AD587" s="228"/>
      <c r="AE587" s="228"/>
      <c r="AF587" s="228"/>
      <c r="AG587" s="228"/>
      <c r="AH587" s="228"/>
      <c r="AI587" s="228"/>
      <c r="AJ587" s="228"/>
      <c r="AK587" s="228"/>
      <c r="AL587" s="228"/>
      <c r="AM587" s="228"/>
      <c r="AN587" s="228"/>
      <c r="AO587" s="228"/>
      <c r="AP587" s="228"/>
      <c r="AQ587" s="228"/>
      <c r="AR587" s="228"/>
      <c r="AS587" s="228"/>
      <c r="AT587" s="228"/>
      <c r="AU587" s="228"/>
      <c r="AV587" s="228"/>
      <c r="AW587" s="228"/>
      <c r="AX587" s="228"/>
      <c r="AY587" s="228"/>
      <c r="AZ587" s="228"/>
      <c r="BA587" s="228"/>
      <c r="BB587" s="228"/>
      <c r="BC587" s="228"/>
      <c r="BD587" s="228"/>
      <c r="BE587" s="228"/>
      <c r="BF587" s="228"/>
      <c r="BG587" s="228"/>
      <c r="BH587" s="228"/>
      <c r="BI587" s="228"/>
      <c r="BK587" s="449"/>
      <c r="BL587" s="449"/>
      <c r="BM587" s="449"/>
      <c r="BN587" s="449"/>
    </row>
    <row r="588" spans="1:66" s="29" customFormat="1" ht="15" hidden="1" customHeight="1" outlineLevel="1" x14ac:dyDescent="0.3">
      <c r="A588" s="163"/>
      <c r="B588" s="23"/>
      <c r="C588" s="3"/>
      <c r="D588" s="4"/>
      <c r="E588" s="4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K588" s="449"/>
      <c r="BL588" s="449"/>
      <c r="BM588" s="449"/>
      <c r="BN588" s="449"/>
    </row>
    <row r="589" spans="1:66" ht="15" customHeight="1" collapsed="1" x14ac:dyDescent="0.3"/>
    <row r="590" spans="1:66" ht="15" customHeight="1" x14ac:dyDescent="0.3"/>
  </sheetData>
  <mergeCells count="25">
    <mergeCell ref="BD4:BF4"/>
    <mergeCell ref="BG4:BI4"/>
    <mergeCell ref="C8:E8"/>
    <mergeCell ref="AO4:AQ4"/>
    <mergeCell ref="F36:G36"/>
    <mergeCell ref="Z4:AB4"/>
    <mergeCell ref="BA4:BC4"/>
    <mergeCell ref="F35:G35"/>
    <mergeCell ref="AL4:AN4"/>
    <mergeCell ref="K4:M4"/>
    <mergeCell ref="W4:Y4"/>
    <mergeCell ref="N4:P4"/>
    <mergeCell ref="AX4:AZ4"/>
    <mergeCell ref="H4:J4"/>
    <mergeCell ref="T4:V4"/>
    <mergeCell ref="AU4:AW4"/>
    <mergeCell ref="C183:C198"/>
    <mergeCell ref="F34:G34"/>
    <mergeCell ref="Q4:S4"/>
    <mergeCell ref="AR4:AT4"/>
    <mergeCell ref="AC4:AE4"/>
    <mergeCell ref="AI4:AK4"/>
    <mergeCell ref="F38:G38"/>
    <mergeCell ref="F37:G37"/>
    <mergeCell ref="AF4:AH4"/>
  </mergeCells>
  <pageMargins left="0.7" right="0.7" top="0.75" bottom="0.75" header="0.3" footer="0.3"/>
  <pageSetup paperSize="9" scale="10" fitToWidth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1:AC37"/>
  <sheetViews>
    <sheetView showGridLines="0" zoomScale="70" zoomScaleNormal="70" workbookViewId="0">
      <selection activeCell="J12" sqref="J12"/>
    </sheetView>
  </sheetViews>
  <sheetFormatPr defaultRowHeight="14.4" outlineLevelCol="1" x14ac:dyDescent="0.3"/>
  <cols>
    <col min="1" max="1" width="4.44140625" customWidth="1"/>
    <col min="2" max="2" width="35.6640625" customWidth="1"/>
    <col min="3" max="6" width="15.109375" bestFit="1" customWidth="1"/>
    <col min="7" max="7" width="15.109375" style="297" bestFit="1" customWidth="1"/>
    <col min="8" max="8" width="15.6640625" customWidth="1"/>
    <col min="9" max="9" width="15.109375" style="297" customWidth="1" outlineLevel="1"/>
    <col min="10" max="10" width="15.6640625" customWidth="1" outlineLevel="1"/>
    <col min="11" max="12" width="14.33203125" customWidth="1" outlineLevel="1"/>
    <col min="13" max="13" width="12.109375" customWidth="1" outlineLevel="1"/>
    <col min="14" max="15" width="14.33203125" customWidth="1" outlineLevel="1"/>
    <col min="16" max="16" width="4.5546875" style="298" customWidth="1"/>
    <col min="17" max="17" width="35.5546875" style="299" bestFit="1" customWidth="1"/>
    <col min="18" max="18" width="15.5546875" bestFit="1" customWidth="1"/>
    <col min="19" max="21" width="15" bestFit="1" customWidth="1"/>
  </cols>
  <sheetData>
    <row r="1" spans="1:29" ht="12.6" customHeight="1" x14ac:dyDescent="0.3"/>
    <row r="2" spans="1:29" ht="18" customHeight="1" x14ac:dyDescent="0.3">
      <c r="A2" s="300"/>
      <c r="B2" s="301" t="s">
        <v>459</v>
      </c>
      <c r="C2" s="302" t="s">
        <v>460</v>
      </c>
      <c r="D2" s="302" t="s">
        <v>461</v>
      </c>
      <c r="E2" s="302" t="s">
        <v>462</v>
      </c>
      <c r="F2" s="302" t="s">
        <v>463</v>
      </c>
      <c r="G2" s="302" t="s">
        <v>464</v>
      </c>
      <c r="H2" s="302" t="s">
        <v>465</v>
      </c>
      <c r="I2" s="302" t="s">
        <v>466</v>
      </c>
      <c r="J2" s="302" t="s">
        <v>467</v>
      </c>
      <c r="K2" s="302" t="s">
        <v>468</v>
      </c>
      <c r="L2" s="302" t="s">
        <v>469</v>
      </c>
      <c r="M2" s="302" t="s">
        <v>470</v>
      </c>
      <c r="N2" s="302" t="s">
        <v>471</v>
      </c>
      <c r="O2" s="303" t="s">
        <v>472</v>
      </c>
    </row>
    <row r="3" spans="1:29" hidden="1" x14ac:dyDescent="0.3">
      <c r="A3" s="300"/>
      <c r="B3" s="304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6"/>
      <c r="Q3" s="307"/>
    </row>
    <row r="4" spans="1:29" x14ac:dyDescent="0.3">
      <c r="A4" s="300"/>
      <c r="B4" s="308"/>
      <c r="O4" s="309"/>
      <c r="R4" s="302" t="s">
        <v>461</v>
      </c>
      <c r="S4" s="302" t="s">
        <v>462</v>
      </c>
      <c r="T4" s="302" t="s">
        <v>463</v>
      </c>
      <c r="U4" s="302" t="s">
        <v>464</v>
      </c>
      <c r="V4" s="302" t="s">
        <v>465</v>
      </c>
      <c r="W4" s="302" t="s">
        <v>466</v>
      </c>
      <c r="X4" s="302" t="s">
        <v>467</v>
      </c>
      <c r="Y4" s="302" t="s">
        <v>468</v>
      </c>
      <c r="Z4" s="302" t="s">
        <v>469</v>
      </c>
      <c r="AA4" s="302" t="s">
        <v>470</v>
      </c>
      <c r="AB4" s="302" t="s">
        <v>471</v>
      </c>
      <c r="AC4" s="303" t="s">
        <v>472</v>
      </c>
    </row>
    <row r="5" spans="1:29" x14ac:dyDescent="0.3">
      <c r="A5" s="310"/>
      <c r="B5" s="311" t="s">
        <v>473</v>
      </c>
      <c r="C5" s="312">
        <v>22790.98000000001</v>
      </c>
      <c r="D5" s="312">
        <f t="shared" ref="D5:O5" si="0">C17</f>
        <v>24417.830000000009</v>
      </c>
      <c r="E5" s="312">
        <f t="shared" si="0"/>
        <v>25202.100000000006</v>
      </c>
      <c r="F5" s="312">
        <f t="shared" si="0"/>
        <v>22176.689999999995</v>
      </c>
      <c r="G5" s="312">
        <f t="shared" si="0"/>
        <v>26329.029999999988</v>
      </c>
      <c r="H5" s="312">
        <f t="shared" si="0"/>
        <v>28190.570000000003</v>
      </c>
      <c r="I5" s="312">
        <f t="shared" si="0"/>
        <v>22976.86</v>
      </c>
      <c r="J5" s="312">
        <f t="shared" si="0"/>
        <v>0</v>
      </c>
      <c r="K5" s="312">
        <f t="shared" si="0"/>
        <v>0</v>
      </c>
      <c r="L5" s="312">
        <f t="shared" si="0"/>
        <v>0</v>
      </c>
      <c r="M5" s="312">
        <f t="shared" si="0"/>
        <v>0</v>
      </c>
      <c r="N5" s="312">
        <f t="shared" si="0"/>
        <v>0</v>
      </c>
      <c r="O5" s="313">
        <f t="shared" si="0"/>
        <v>0</v>
      </c>
      <c r="Q5" s="299" t="s">
        <v>474</v>
      </c>
      <c r="R5" s="230">
        <f>SUM(D25:D26)</f>
        <v>335140.5</v>
      </c>
      <c r="S5" s="437">
        <f>SUM(E25:E26)</f>
        <v>275870.7</v>
      </c>
      <c r="T5" s="437">
        <f>SUM(F25:F26)</f>
        <v>290335.69999999995</v>
      </c>
      <c r="U5" s="437">
        <f>SUM(G25:G26)</f>
        <v>322814.60000000003</v>
      </c>
    </row>
    <row r="6" spans="1:29" x14ac:dyDescent="0.3">
      <c r="A6" s="310"/>
      <c r="B6" s="311" t="s">
        <v>475</v>
      </c>
      <c r="C6" s="312">
        <v>20790.75</v>
      </c>
      <c r="D6" s="312">
        <f t="shared" ref="D6:O6" si="1">C18</f>
        <v>25208.329999999991</v>
      </c>
      <c r="E6" s="312">
        <f t="shared" si="1"/>
        <v>17397.59</v>
      </c>
      <c r="F6" s="312">
        <f t="shared" si="1"/>
        <v>22802.600000000006</v>
      </c>
      <c r="G6" s="312">
        <f t="shared" si="1"/>
        <v>21952.04</v>
      </c>
      <c r="H6" s="312">
        <f t="shared" si="1"/>
        <v>19909.840000000004</v>
      </c>
      <c r="I6" s="312">
        <f t="shared" si="1"/>
        <v>18821.620000000006</v>
      </c>
      <c r="J6" s="312">
        <f t="shared" si="1"/>
        <v>0</v>
      </c>
      <c r="K6" s="312">
        <f t="shared" si="1"/>
        <v>0</v>
      </c>
      <c r="L6" s="312">
        <f t="shared" si="1"/>
        <v>0</v>
      </c>
      <c r="M6" s="312">
        <f t="shared" si="1"/>
        <v>0</v>
      </c>
      <c r="N6" s="312">
        <f t="shared" si="1"/>
        <v>0</v>
      </c>
      <c r="O6" s="313">
        <f t="shared" si="1"/>
        <v>0</v>
      </c>
      <c r="Q6" s="299" t="s">
        <v>476</v>
      </c>
      <c r="R6" s="230">
        <v>0</v>
      </c>
      <c r="S6" s="230">
        <v>0</v>
      </c>
      <c r="T6" s="230">
        <v>0</v>
      </c>
    </row>
    <row r="7" spans="1:29" x14ac:dyDescent="0.3">
      <c r="A7" s="310"/>
      <c r="B7" s="311" t="s">
        <v>477</v>
      </c>
      <c r="C7" s="312">
        <v>725.65000000000009</v>
      </c>
      <c r="D7" s="312">
        <f t="shared" ref="D7:O7" si="2">C19</f>
        <v>1094.2</v>
      </c>
      <c r="E7" s="312">
        <f t="shared" si="2"/>
        <v>1078.4399999999998</v>
      </c>
      <c r="F7" s="312">
        <f t="shared" si="2"/>
        <v>730.76</v>
      </c>
      <c r="G7" s="312">
        <f t="shared" si="2"/>
        <v>832.35</v>
      </c>
      <c r="H7" s="312">
        <f t="shared" si="2"/>
        <v>1098.2700000000002</v>
      </c>
      <c r="I7" s="312">
        <f t="shared" si="2"/>
        <v>749.88000000000011</v>
      </c>
      <c r="J7" s="312">
        <f t="shared" si="2"/>
        <v>0</v>
      </c>
      <c r="K7" s="312">
        <f t="shared" si="2"/>
        <v>0</v>
      </c>
      <c r="L7" s="312">
        <f t="shared" si="2"/>
        <v>0</v>
      </c>
      <c r="M7" s="312">
        <f t="shared" si="2"/>
        <v>0</v>
      </c>
      <c r="N7" s="312">
        <f t="shared" si="2"/>
        <v>0</v>
      </c>
      <c r="O7" s="313">
        <f t="shared" si="2"/>
        <v>0</v>
      </c>
      <c r="Q7" s="314" t="s">
        <v>478</v>
      </c>
      <c r="R7" s="230">
        <v>0</v>
      </c>
      <c r="S7" s="230">
        <v>0</v>
      </c>
      <c r="T7" s="230">
        <v>0</v>
      </c>
    </row>
    <row r="8" spans="1:29" x14ac:dyDescent="0.3">
      <c r="A8" s="310"/>
      <c r="B8" s="311" t="s">
        <v>479</v>
      </c>
      <c r="C8" s="312">
        <v>0</v>
      </c>
      <c r="D8" s="312">
        <f t="shared" ref="D8:O8" si="3">C20</f>
        <v>0</v>
      </c>
      <c r="E8" s="312">
        <f t="shared" si="3"/>
        <v>0</v>
      </c>
      <c r="F8" s="312">
        <f t="shared" si="3"/>
        <v>0</v>
      </c>
      <c r="G8" s="312">
        <f t="shared" si="3"/>
        <v>0</v>
      </c>
      <c r="H8" s="312">
        <f t="shared" si="3"/>
        <v>0</v>
      </c>
      <c r="I8" s="312">
        <f t="shared" si="3"/>
        <v>0</v>
      </c>
      <c r="J8" s="312">
        <f t="shared" si="3"/>
        <v>0</v>
      </c>
      <c r="K8" s="312">
        <f t="shared" si="3"/>
        <v>0</v>
      </c>
      <c r="L8" s="312">
        <f t="shared" si="3"/>
        <v>0</v>
      </c>
      <c r="M8" s="312">
        <f t="shared" si="3"/>
        <v>0</v>
      </c>
      <c r="N8" s="312">
        <f t="shared" si="3"/>
        <v>0</v>
      </c>
      <c r="O8" s="313">
        <f t="shared" si="3"/>
        <v>0</v>
      </c>
      <c r="Q8" s="299" t="s">
        <v>480</v>
      </c>
      <c r="R8" s="230">
        <v>0</v>
      </c>
      <c r="S8" s="230">
        <v>0</v>
      </c>
      <c r="T8" s="230">
        <v>0</v>
      </c>
    </row>
    <row r="9" spans="1:29" x14ac:dyDescent="0.3">
      <c r="A9" s="315"/>
      <c r="B9" s="311" t="s">
        <v>481</v>
      </c>
      <c r="C9" s="316">
        <v>83117.310000000012</v>
      </c>
      <c r="D9" s="316">
        <f>-SUMIFS(Aut_BlueMe_Sem_Pedido!$J:$J,Aut_BlueMe_Sem_Pedido!$Q:$Q,CMV_Manual!D$2,Aut_BlueMe_Sem_Pedido!$H:$H,"Insumos - Alimentos")+SUMIFS(Aut_BlueMe_Com_Pedido!$K:$K,Aut_BlueMe_Com_Pedido!$Q:$Q,CMV_Manual!D$2)</f>
        <v>70426.610000000015</v>
      </c>
      <c r="E9" s="316">
        <f>-SUMIFS(Aut_BlueMe_Sem_Pedido!$J:$J,Aut_BlueMe_Sem_Pedido!$Q:$Q,CMV_Manual!E$2,Aut_BlueMe_Sem_Pedido!$H:$H,"Insumos - Alimentos")+SUMIFS(Aut_BlueMe_Com_Pedido!$K:$K,Aut_BlueMe_Com_Pedido!$Q:$Q,CMV_Manual!E$2)</f>
        <v>56575.85</v>
      </c>
      <c r="F9" s="316">
        <f>-SUMIFS(Aut_BlueMe_Sem_Pedido!$J:$J,Aut_BlueMe_Sem_Pedido!$Q:$Q,CMV_Manual!F$2,Aut_BlueMe_Sem_Pedido!$H:$H,"Insumos - Alimentos")+SUMIFS(Aut_BlueMe_Com_Pedido!$K:$K,Aut_BlueMe_Com_Pedido!$Q:$Q,CMV_Manual!F$2)</f>
        <v>73909.399999999994</v>
      </c>
      <c r="G9" s="316">
        <f>-SUMIFS(Aut_BlueMe_Sem_Pedido!$J:$J,Aut_BlueMe_Sem_Pedido!$Q:$Q,CMV_Manual!G$2,Aut_BlueMe_Sem_Pedido!$H:$H,"Insumos - Alimentos")+SUMIFS(Aut_BlueMe_Com_Pedido!$K:$K,Aut_BlueMe_Com_Pedido!$Q:$Q,CMV_Manual!G$2)</f>
        <v>69393.939999999988</v>
      </c>
      <c r="H9" s="316">
        <f>-SUMIFS(Aut_BlueMe_Sem_Pedido!$J:$J,Aut_BlueMe_Sem_Pedido!$Q:$Q,CMV_Manual!H$2,Aut_BlueMe_Sem_Pedido!$H:$H,"Insumos - Alimentos")+SUMIFS(Aut_BlueMe_Com_Pedido!$K:$K,Aut_BlueMe_Com_Pedido!$Q:$Q,CMV_Manual!H$2)</f>
        <v>68077.259999999995</v>
      </c>
      <c r="I9" s="316">
        <f>-SUMIFS(Aut_BlueMe_Sem_Pedido!$J:$J,Aut_BlueMe_Sem_Pedido!$Q:$Q,CMV_Manual!I$2,Aut_BlueMe_Sem_Pedido!$H:$H,"Insumos - Alimentos")+SUMIFS(Aut_BlueMe_Com_Pedido!$K:$K,Aut_BlueMe_Com_Pedido!$Q:$Q,CMV_Manual!I$2)</f>
        <v>71025.070000000022</v>
      </c>
      <c r="J9" s="316">
        <f>-SUMIFS(Aut_BlueMe_Sem_Pedido!$J:$J,Aut_BlueMe_Sem_Pedido!$Q:$Q,CMV_Manual!J$2,Aut_BlueMe_Sem_Pedido!$H:$H,"Insumos - Alimentos")+SUMIFS(Aut_BlueMe_Com_Pedido!$K:$K,Aut_BlueMe_Com_Pedido!$Q:$Q,CMV_Manual!J$2)</f>
        <v>7755.2199999999993</v>
      </c>
      <c r="K9" s="316">
        <f>-SUMIFS(Aut_BlueMe_Sem_Pedido!$J:$J,Aut_BlueMe_Sem_Pedido!$Q:$Q,CMV_Manual!K$2,Aut_BlueMe_Sem_Pedido!$H:$H,"Insumos - Alimentos")+SUMIFS(Aut_BlueMe_Com_Pedido!$K:$K,Aut_BlueMe_Com_Pedido!$Q:$Q,CMV_Manual!K$2)</f>
        <v>0</v>
      </c>
      <c r="L9" s="316">
        <f>-SUMIFS(Aut_BlueMe_Sem_Pedido!$J:$J,Aut_BlueMe_Sem_Pedido!$Q:$Q,CMV_Manual!L$2,Aut_BlueMe_Sem_Pedido!$H:$H,"Insumos - Alimentos")+SUMIFS(Aut_BlueMe_Com_Pedido!$K:$K,Aut_BlueMe_Com_Pedido!$Q:$Q,CMV_Manual!L$2)</f>
        <v>0</v>
      </c>
      <c r="M9" s="316">
        <f>-SUMIFS(Aut_BlueMe_Sem_Pedido!$J:$J,Aut_BlueMe_Sem_Pedido!$Q:$Q,CMV_Manual!M$2,Aut_BlueMe_Sem_Pedido!$H:$H,"Insumos - Alimentos")+SUMIFS(Aut_BlueMe_Com_Pedido!$K:$K,Aut_BlueMe_Com_Pedido!$Q:$Q,CMV_Manual!M$2)</f>
        <v>0</v>
      </c>
      <c r="N9" s="316">
        <f>-SUMIFS(Aut_BlueMe_Sem_Pedido!$J:$J,Aut_BlueMe_Sem_Pedido!$Q:$Q,CMV_Manual!N$2,Aut_BlueMe_Sem_Pedido!$H:$H,"Insumos - Alimentos")+SUMIFS(Aut_BlueMe_Com_Pedido!$K:$K,Aut_BlueMe_Com_Pedido!$Q:$Q,CMV_Manual!N$2)</f>
        <v>0</v>
      </c>
      <c r="O9" s="316">
        <f>-SUMIFS(Aut_BlueMe_Sem_Pedido!$J:$J,Aut_BlueMe_Sem_Pedido!$Q:$Q,CMV_Manual!O$2,Aut_BlueMe_Sem_Pedido!$H:$H,"Insumos - Alimentos")+SUMIFS(Aut_BlueMe_Com_Pedido!$K:$K,Aut_BlueMe_Com_Pedido!$Q:$Q,CMV_Manual!O$2)</f>
        <v>0</v>
      </c>
      <c r="P9" s="318"/>
      <c r="Q9" s="299" t="s">
        <v>482</v>
      </c>
      <c r="R9" s="230">
        <v>0</v>
      </c>
      <c r="S9" s="230">
        <v>0</v>
      </c>
      <c r="T9" s="230">
        <v>0</v>
      </c>
    </row>
    <row r="10" spans="1:29" x14ac:dyDescent="0.3">
      <c r="A10" s="315"/>
      <c r="B10" s="311" t="s">
        <v>483</v>
      </c>
      <c r="C10" s="316">
        <v>69238.959999999992</v>
      </c>
      <c r="D10" s="316">
        <f>-SUMIFS(Aut_BlueMe_Sem_Pedido!$J:$J,Aut_BlueMe_Sem_Pedido!$Q:$Q,CMV_Manual!D$2,Aut_BlueMe_Sem_Pedido!$H:$H,"Insumos - Bebidas")+SUMIFS(Aut_BlueMe_Com_Pedido!$L:$L,Aut_BlueMe_Com_Pedido!$Q:$Q,CMV_Manual!D$2)</f>
        <v>34165.680000000015</v>
      </c>
      <c r="E10" s="316">
        <f>-SUMIFS(Aut_BlueMe_Sem_Pedido!$J:$J,Aut_BlueMe_Sem_Pedido!$Q:$Q,CMV_Manual!E$2,Aut_BlueMe_Sem_Pedido!$H:$H,"Insumos - Bebidas")+SUMIFS(Aut_BlueMe_Com_Pedido!$L:$L,Aut_BlueMe_Com_Pedido!$Q:$Q,CMV_Manual!E$2)</f>
        <v>43827.26</v>
      </c>
      <c r="F10" s="316">
        <f>-SUMIFS(Aut_BlueMe_Sem_Pedido!$J:$J,Aut_BlueMe_Sem_Pedido!$Q:$Q,CMV_Manual!F$2,Aut_BlueMe_Sem_Pedido!$H:$H,"Insumos - Bebidas")+SUMIFS(Aut_BlueMe_Com_Pedido!$L:$L,Aut_BlueMe_Com_Pedido!$Q:$Q,CMV_Manual!F$2)</f>
        <v>35059.55000000001</v>
      </c>
      <c r="G10" s="316">
        <f>-SUMIFS(Aut_BlueMe_Sem_Pedido!$J:$J,Aut_BlueMe_Sem_Pedido!$Q:$Q,CMV_Manual!G$2,Aut_BlueMe_Sem_Pedido!$H:$H,"Insumos - Bebidas")+SUMIFS(Aut_BlueMe_Com_Pedido!$L:$L,Aut_BlueMe_Com_Pedido!$Q:$Q,CMV_Manual!G$2)</f>
        <v>46004.470000000008</v>
      </c>
      <c r="H10" s="316">
        <f>-SUMIFS(Aut_BlueMe_Sem_Pedido!$J:$J,Aut_BlueMe_Sem_Pedido!$Q:$Q,CMV_Manual!H$2,Aut_BlueMe_Sem_Pedido!$H:$H,"Insumos - Bebidas")+SUMIFS(Aut_BlueMe_Com_Pedido!$L:$L,Aut_BlueMe_Com_Pedido!$Q:$Q,CMV_Manual!H$2)</f>
        <v>40631.729999999996</v>
      </c>
      <c r="I10" s="316">
        <f>-SUMIFS(Aut_BlueMe_Sem_Pedido!$J:$J,Aut_BlueMe_Sem_Pedido!$Q:$Q,CMV_Manual!I$2,Aut_BlueMe_Sem_Pedido!$H:$H,"Insumos - Bebidas")+SUMIFS(Aut_BlueMe_Com_Pedido!$L:$L,Aut_BlueMe_Com_Pedido!$Q:$Q,CMV_Manual!I$2)</f>
        <v>44280.600000000006</v>
      </c>
      <c r="J10" s="316">
        <f>-SUMIFS(Aut_BlueMe_Sem_Pedido!$J:$J,Aut_BlueMe_Sem_Pedido!$Q:$Q,CMV_Manual!J$2,Aut_BlueMe_Sem_Pedido!$H:$H,"Insumos - Bebidas")+SUMIFS(Aut_BlueMe_Com_Pedido!$L:$L,Aut_BlueMe_Com_Pedido!$Q:$Q,CMV_Manual!J$2)</f>
        <v>709.64</v>
      </c>
      <c r="K10" s="316">
        <f>-SUMIFS(Aut_BlueMe_Sem_Pedido!$J:$J,Aut_BlueMe_Sem_Pedido!$Q:$Q,CMV_Manual!K$2,Aut_BlueMe_Sem_Pedido!$H:$H,"Insumos - Bebidas")+SUMIFS(Aut_BlueMe_Com_Pedido!$L:$L,Aut_BlueMe_Com_Pedido!$Q:$Q,CMV_Manual!K$2)</f>
        <v>0</v>
      </c>
      <c r="L10" s="316">
        <f>-SUMIFS(Aut_BlueMe_Sem_Pedido!$J:$J,Aut_BlueMe_Sem_Pedido!$Q:$Q,CMV_Manual!L$2,Aut_BlueMe_Sem_Pedido!$H:$H,"Insumos - Bebidas")+SUMIFS(Aut_BlueMe_Com_Pedido!$L:$L,Aut_BlueMe_Com_Pedido!$Q:$Q,CMV_Manual!L$2)</f>
        <v>0</v>
      </c>
      <c r="M10" s="316">
        <f>-SUMIFS(Aut_BlueMe_Sem_Pedido!$J:$J,Aut_BlueMe_Sem_Pedido!$Q:$Q,CMV_Manual!M$2,Aut_BlueMe_Sem_Pedido!$H:$H,"Insumos - Bebidas")+SUMIFS(Aut_BlueMe_Com_Pedido!$L:$L,Aut_BlueMe_Com_Pedido!$Q:$Q,CMV_Manual!M$2)</f>
        <v>0</v>
      </c>
      <c r="N10" s="316">
        <f>-SUMIFS(Aut_BlueMe_Sem_Pedido!$J:$J,Aut_BlueMe_Sem_Pedido!$Q:$Q,CMV_Manual!N$2,Aut_BlueMe_Sem_Pedido!$H:$H,"Insumos - Bebidas")+SUMIFS(Aut_BlueMe_Com_Pedido!$L:$L,Aut_BlueMe_Com_Pedido!$Q:$Q,CMV_Manual!N$2)</f>
        <v>0</v>
      </c>
      <c r="O10" s="316">
        <f>-SUMIFS(Aut_BlueMe_Sem_Pedido!$J:$J,Aut_BlueMe_Sem_Pedido!$Q:$Q,CMV_Manual!O$2,Aut_BlueMe_Sem_Pedido!$H:$H,"Insumos - Bebidas")+SUMIFS(Aut_BlueMe_Com_Pedido!$L:$L,Aut_BlueMe_Com_Pedido!$Q:$Q,CMV_Manual!O$2)</f>
        <v>0</v>
      </c>
      <c r="P10" s="318"/>
      <c r="Q10" s="299" t="s">
        <v>484</v>
      </c>
      <c r="R10" s="230">
        <v>0</v>
      </c>
      <c r="S10" s="230">
        <v>0</v>
      </c>
      <c r="T10" s="230">
        <v>0</v>
      </c>
    </row>
    <row r="11" spans="1:29" ht="15.6" customHeight="1" x14ac:dyDescent="0.3">
      <c r="A11" s="315"/>
      <c r="B11" s="311" t="s">
        <v>485</v>
      </c>
      <c r="C11" s="312">
        <v>1530.9</v>
      </c>
      <c r="D11" s="312">
        <f>SUMIFS(Aut_Transferencias!$K:$K,Aut_Transferencias!$J:$J,CMV_Manual!D$2,Aut_Transferencias!$G:$G,"ALIMENTOS",Aut_Transferencias!$C:$C,"Bar Léo - Centro")</f>
        <v>675.41000000000008</v>
      </c>
      <c r="E11" s="312">
        <f>SUMIFS(Aut_Transferencias!$K:$K,Aut_Transferencias!$J:$J,CMV_Manual!E$2,Aut_Transferencias!$G:$G,"ALIMENTOS",Aut_Transferencias!$C:$C,"Bar Léo - Centro")</f>
        <v>100.17</v>
      </c>
      <c r="F11" s="312">
        <f>SUMIFS(Aut_Transferencias!$K:$K,Aut_Transferencias!$J:$J,CMV_Manual!F$2,Aut_Transferencias!$G:$G,"ALIMENTOS",Aut_Transferencias!$C:$C,"Bar Léo - Centro")</f>
        <v>376.88</v>
      </c>
      <c r="G11" s="312">
        <f>SUMIFS(Aut_Transferencias!$K:$K,Aut_Transferencias!$J:$J,CMV_Manual!G$2,Aut_Transferencias!$G:$G,"ALIMENTOS",Aut_Transferencias!$C:$C,"Bar Léo - Centro")</f>
        <v>960.81999999999994</v>
      </c>
      <c r="H11" s="312">
        <f>SUMIFS(Aut_Transferencias!$K:$K,Aut_Transferencias!$J:$J,CMV_Manual!H$2,Aut_Transferencias!$G:$G,"ALIMENTOS",Aut_Transferencias!$C:$C,"Bar Léo - Centro")</f>
        <v>0</v>
      </c>
      <c r="I11" s="312">
        <f>SUMIFS(Aut_Transferencias!$K:$K,Aut_Transferencias!$J:$J,CMV_Manual!I$2,Aut_Transferencias!$G:$G,"ALIMENTOS",Aut_Transferencias!$C:$C,"Bar Léo - Centro")</f>
        <v>128.5</v>
      </c>
      <c r="J11" s="312">
        <f>SUMIFS(Aut_Transferencias!$K:$K,Aut_Transferencias!$J:$J,CMV_Manual!J$2,Aut_Transferencias!$G:$G,"ALIMENTOS",Aut_Transferencias!$C:$C,"Bar Léo - Centro")</f>
        <v>0</v>
      </c>
      <c r="K11" s="312">
        <f>SUMIFS(Aut_Transferencias!$K:$K,Aut_Transferencias!$J:$J,CMV_Manual!K$2,Aut_Transferencias!$G:$G,"ALIMENTOS",Aut_Transferencias!$C:$C,"Bar Léo - Centro")</f>
        <v>0</v>
      </c>
      <c r="L11" s="312">
        <f>SUMIFS(Aut_Transferencias!$K:$K,Aut_Transferencias!$J:$J,CMV_Manual!L$2,Aut_Transferencias!$G:$G,"ALIMENTOS",Aut_Transferencias!$C:$C,"Bar Léo - Centro")</f>
        <v>0</v>
      </c>
      <c r="M11" s="312">
        <f>SUMIFS(Aut_Transferencias!$K:$K,Aut_Transferencias!$J:$J,CMV_Manual!M$2,Aut_Transferencias!$G:$G,"ALIMENTOS",Aut_Transferencias!$C:$C,"Bar Léo - Centro")</f>
        <v>0</v>
      </c>
      <c r="N11" s="312">
        <f>SUMIFS(Aut_Transferencias!$K:$K,Aut_Transferencias!$J:$J,CMV_Manual!N$2,Aut_Transferencias!$G:$G,"ALIMENTOS",Aut_Transferencias!$C:$C,"Bar Léo - Centro")</f>
        <v>0</v>
      </c>
      <c r="O11" s="312">
        <f>SUMIFS(Aut_Transferencias!$K:$K,Aut_Transferencias!$J:$J,CMV_Manual!O$2,Aut_Transferencias!$G:$G,"ALIMENTOS",Aut_Transferencias!$C:$C,"Bar Léo - Centro")</f>
        <v>0</v>
      </c>
      <c r="P11" s="319"/>
      <c r="Q11" s="314" t="s">
        <v>31</v>
      </c>
      <c r="R11" s="230">
        <f>DRE!J18</f>
        <v>1011.8500000000001</v>
      </c>
      <c r="S11" s="230">
        <f>DRE!L18</f>
        <v>1256.2626925057059</v>
      </c>
      <c r="T11" s="230">
        <f>DRE!P18</f>
        <v>4114.0399999999991</v>
      </c>
      <c r="U11" s="230">
        <f>DRE!S18</f>
        <v>2829.9600000000005</v>
      </c>
    </row>
    <row r="12" spans="1:29" x14ac:dyDescent="0.3">
      <c r="A12" s="315"/>
      <c r="B12" s="311" t="s">
        <v>486</v>
      </c>
      <c r="C12" s="312">
        <v>6062.88</v>
      </c>
      <c r="D12" s="312">
        <f>SUMIFS(Aut_Transferencias!$K:$K,Aut_Transferencias!$J:$J,CMV_Manual!D$2,Aut_Transferencias!$G:$G,"BEBIDAS",Aut_Transferencias!$C:$C,"Bar Léo - Centro")</f>
        <v>1786.3200000000002</v>
      </c>
      <c r="E12" s="312">
        <f>SUMIFS(Aut_Transferencias!$K:$K,Aut_Transferencias!$J:$J,CMV_Manual!E$2,Aut_Transferencias!$G:$G,"BEBIDAS",Aut_Transferencias!$C:$C,"Bar Léo - Centro")</f>
        <v>966</v>
      </c>
      <c r="F12" s="312">
        <f>SUMIFS(Aut_Transferencias!$K:$K,Aut_Transferencias!$J:$J,CMV_Manual!F$2,Aut_Transferencias!$G:$G,"BEBIDAS",Aut_Transferencias!$C:$C,"Bar Léo - Centro")</f>
        <v>0</v>
      </c>
      <c r="G12" s="312">
        <f>SUMIFS(Aut_Transferencias!$K:$K,Aut_Transferencias!$J:$J,CMV_Manual!G$2,Aut_Transferencias!$G:$G,"BEBIDAS",Aut_Transferencias!$C:$C,"Bar Léo - Centro")</f>
        <v>3038.4</v>
      </c>
      <c r="H12" s="312">
        <f>SUMIFS(Aut_Transferencias!$K:$K,Aut_Transferencias!$J:$J,CMV_Manual!H$2,Aut_Transferencias!$G:$G,"BEBIDAS",Aut_Transferencias!$C:$C,"Bar Léo - Centro")</f>
        <v>6605.32</v>
      </c>
      <c r="I12" s="312">
        <f>SUMIFS(Aut_Transferencias!$K:$K,Aut_Transferencias!$J:$J,CMV_Manual!I$2,Aut_Transferencias!$G:$G,"BEBIDAS",Aut_Transferencias!$C:$C,"Bar Léo - Centro")</f>
        <v>2207.63</v>
      </c>
      <c r="J12" s="312">
        <f>SUMIFS(Aut_Transferencias!$K:$K,Aut_Transferencias!$J:$J,CMV_Manual!J$2,Aut_Transferencias!$G:$G,"BEBIDAS",Aut_Transferencias!$C:$C,"Bar Léo - Centro")</f>
        <v>0</v>
      </c>
      <c r="K12" s="312">
        <f>SUMIFS(Aut_Transferencias!$K:$K,Aut_Transferencias!$J:$J,CMV_Manual!K$2,Aut_Transferencias!$G:$G,"BEBIDAS",Aut_Transferencias!$C:$C,"Bar Léo - Centro")</f>
        <v>0</v>
      </c>
      <c r="L12" s="312">
        <f>SUMIFS(Aut_Transferencias!$K:$K,Aut_Transferencias!$J:$J,CMV_Manual!L$2,Aut_Transferencias!$G:$G,"BEBIDAS",Aut_Transferencias!$C:$C,"Bar Léo - Centro")</f>
        <v>0</v>
      </c>
      <c r="M12" s="312">
        <f>SUMIFS(Aut_Transferencias!$K:$K,Aut_Transferencias!$J:$J,CMV_Manual!M$2,Aut_Transferencias!$G:$G,"BEBIDAS",Aut_Transferencias!$C:$C,"Bar Léo - Centro")</f>
        <v>0</v>
      </c>
      <c r="N12" s="312">
        <f>SUMIFS(Aut_Transferencias!$K:$K,Aut_Transferencias!$J:$J,CMV_Manual!N$2,Aut_Transferencias!$G:$G,"BEBIDAS",Aut_Transferencias!$C:$C,"Bar Léo - Centro")</f>
        <v>0</v>
      </c>
      <c r="O12" s="312">
        <f>SUMIFS(Aut_Transferencias!$K:$K,Aut_Transferencias!$J:$J,CMV_Manual!O$2,Aut_Transferencias!$G:$G,"BEBIDAS",Aut_Transferencias!$C:$C,"Bar Léo - Centro")</f>
        <v>0</v>
      </c>
      <c r="Q12" s="299" t="s">
        <v>487</v>
      </c>
      <c r="R12" s="320">
        <f t="shared" ref="R12:AC12" si="4">SUM(R5:R11)</f>
        <v>336152.35</v>
      </c>
      <c r="S12" s="320">
        <f t="shared" si="4"/>
        <v>277126.96269250574</v>
      </c>
      <c r="T12" s="320">
        <f t="shared" si="4"/>
        <v>294449.73999999993</v>
      </c>
      <c r="U12" s="320">
        <f t="shared" si="4"/>
        <v>325644.56000000006</v>
      </c>
      <c r="V12" s="320">
        <f t="shared" si="4"/>
        <v>0</v>
      </c>
      <c r="W12" s="320">
        <f t="shared" si="4"/>
        <v>0</v>
      </c>
      <c r="X12" s="320">
        <f t="shared" si="4"/>
        <v>0</v>
      </c>
      <c r="Y12" s="320">
        <f t="shared" si="4"/>
        <v>0</v>
      </c>
      <c r="Z12" s="320">
        <f t="shared" si="4"/>
        <v>0</v>
      </c>
      <c r="AA12" s="320">
        <f t="shared" si="4"/>
        <v>0</v>
      </c>
      <c r="AB12" s="320">
        <f t="shared" si="4"/>
        <v>0</v>
      </c>
      <c r="AC12" s="320">
        <f t="shared" si="4"/>
        <v>0</v>
      </c>
    </row>
    <row r="13" spans="1:29" x14ac:dyDescent="0.3">
      <c r="A13" s="315"/>
      <c r="B13" s="311" t="s">
        <v>488</v>
      </c>
      <c r="C13" s="316">
        <v>970.2</v>
      </c>
      <c r="D13" s="316">
        <f>SUMIFS(Aut_Transferencias!$K:$K,Aut_Transferencias!$J:$J,CMV_Manual!D$2,Aut_Transferencias!$G:$G,"ALIMENTOS",Aut_Transferencias!$B:$B,"Bar Léo - Centro")</f>
        <v>0</v>
      </c>
      <c r="E13" s="316">
        <f>SUMIFS(Aut_Transferencias!$K:$K,Aut_Transferencias!$J:$J,CMV_Manual!E$2,Aut_Transferencias!$G:$G,"ALIMENTOS",Aut_Transferencias!$B:$B,"Bar Léo - Centro")</f>
        <v>0</v>
      </c>
      <c r="F13" s="316">
        <f>SUMIFS(Aut_Transferencias!$K:$K,Aut_Transferencias!$J:$J,CMV_Manual!F$2,Aut_Transferencias!$G:$G,"ALIMENTOS",Aut_Transferencias!$B:$B,"Bar Léo - Centro")</f>
        <v>0</v>
      </c>
      <c r="G13" s="316">
        <f>SUMIFS(Aut_Transferencias!$K:$K,Aut_Transferencias!$J:$J,CMV_Manual!G$2,Aut_Transferencias!$G:$G,"ALIMENTOS",Aut_Transferencias!$B:$B,"Bar Léo - Centro")</f>
        <v>0</v>
      </c>
      <c r="H13" s="316">
        <f>SUMIFS(Aut_Transferencias!$K:$K,Aut_Transferencias!$J:$J,CMV_Manual!H$2,Aut_Transferencias!$G:$G,"ALIMENTOS",Aut_Transferencias!$B:$B,"Bar Léo - Centro")</f>
        <v>0</v>
      </c>
      <c r="I13" s="316">
        <f>SUMIFS(Aut_Transferencias!$K:$K,Aut_Transferencias!$J:$J,CMV_Manual!I$2,Aut_Transferencias!$G:$G,"ALIMENTOS",Aut_Transferencias!$B:$B,"Bar Léo - Centro")</f>
        <v>0</v>
      </c>
      <c r="J13" s="316">
        <f>SUMIFS(Aut_Transferencias!$K:$K,Aut_Transferencias!$J:$J,CMV_Manual!J$2,Aut_Transferencias!$G:$G,"ALIMENTOS",Aut_Transferencias!$B:$B,"Bar Léo - Centro")</f>
        <v>0</v>
      </c>
      <c r="K13" s="316">
        <f>SUMIFS(Aut_Transferencias!$K:$K,Aut_Transferencias!$J:$J,CMV_Manual!K$2,Aut_Transferencias!$G:$G,"ALIMENTOS",Aut_Transferencias!$B:$B,"Bar Léo - Centro")</f>
        <v>0</v>
      </c>
      <c r="L13" s="316">
        <f>SUMIFS(Aut_Transferencias!$K:$K,Aut_Transferencias!$J:$J,CMV_Manual!L$2,Aut_Transferencias!$G:$G,"ALIMENTOS",Aut_Transferencias!$B:$B,"Bar Léo - Centro")</f>
        <v>0</v>
      </c>
      <c r="M13" s="316">
        <f>SUMIFS(Aut_Transferencias!$K:$K,Aut_Transferencias!$J:$J,CMV_Manual!M$2,Aut_Transferencias!$G:$G,"ALIMENTOS",Aut_Transferencias!$B:$B,"Bar Léo - Centro")</f>
        <v>0</v>
      </c>
      <c r="N13" s="316">
        <f>SUMIFS(Aut_Transferencias!$K:$K,Aut_Transferencias!$J:$J,CMV_Manual!N$2,Aut_Transferencias!$G:$G,"ALIMENTOS",Aut_Transferencias!$B:$B,"Bar Léo - Centro")</f>
        <v>0</v>
      </c>
      <c r="O13" s="316">
        <f>SUMIFS(Aut_Transferencias!$K:$K,Aut_Transferencias!$J:$J,CMV_Manual!O$2,Aut_Transferencias!$G:$G,"ALIMENTOS",Aut_Transferencias!$B:$B,"Bar Léo - Centro")</f>
        <v>0</v>
      </c>
      <c r="R13" s="321"/>
    </row>
    <row r="14" spans="1:29" x14ac:dyDescent="0.3">
      <c r="A14" s="315"/>
      <c r="B14" s="311" t="s">
        <v>489</v>
      </c>
      <c r="C14" s="316">
        <v>1020</v>
      </c>
      <c r="D14" s="316">
        <f>SUMIFS(Aut_Transferencias!$K:$K,Aut_Transferencias!$J:$J,CMV_Manual!D$2,Aut_Transferencias!$G:$G,"BEBIDAS",Aut_Transferencias!$B:$B,"Bar Léo - Centro")</f>
        <v>0</v>
      </c>
      <c r="E14" s="316">
        <f>SUMIFS(Aut_Transferencias!$K:$K,Aut_Transferencias!$J:$J,CMV_Manual!E$2,Aut_Transferencias!$G:$G,"BEBIDAS",Aut_Transferencias!$B:$B,"Bar Léo - Centro")</f>
        <v>0</v>
      </c>
      <c r="F14" s="316">
        <f>SUMIFS(Aut_Transferencias!$K:$K,Aut_Transferencias!$J:$J,CMV_Manual!F$2,Aut_Transferencias!$G:$G,"BEBIDAS",Aut_Transferencias!$B:$B,"Bar Léo - Centro")</f>
        <v>0</v>
      </c>
      <c r="G14" s="316">
        <f>SUMIFS(Aut_Transferencias!$K:$K,Aut_Transferencias!$J:$J,CMV_Manual!G$2,Aut_Transferencias!$G:$G,"BEBIDAS",Aut_Transferencias!$B:$B,"Bar Léo - Centro")</f>
        <v>2565</v>
      </c>
      <c r="H14" s="316">
        <f>SUMIFS(Aut_Transferencias!$K:$K,Aut_Transferencias!$J:$J,CMV_Manual!H$2,Aut_Transferencias!$G:$G,"BEBIDAS",Aut_Transferencias!$B:$B,"Bar Léo - Centro")</f>
        <v>7214.9900000000007</v>
      </c>
      <c r="I14" s="316">
        <f>SUMIFS(Aut_Transferencias!$K:$K,Aut_Transferencias!$J:$J,CMV_Manual!I$2,Aut_Transferencias!$G:$G,"BEBIDAS",Aut_Transferencias!$B:$B,"Bar Léo - Centro")</f>
        <v>0</v>
      </c>
      <c r="J14" s="316">
        <f>SUMIFS(Aut_Transferencias!$K:$K,Aut_Transferencias!$J:$J,CMV_Manual!J$2,Aut_Transferencias!$G:$G,"BEBIDAS",Aut_Transferencias!$B:$B,"Bar Léo - Centro")</f>
        <v>0</v>
      </c>
      <c r="K14" s="316">
        <f>SUMIFS(Aut_Transferencias!$K:$K,Aut_Transferencias!$J:$J,CMV_Manual!K$2,Aut_Transferencias!$G:$G,"BEBIDAS",Aut_Transferencias!$B:$B,"Bar Léo - Centro")</f>
        <v>0</v>
      </c>
      <c r="L14" s="316">
        <f>SUMIFS(Aut_Transferencias!$K:$K,Aut_Transferencias!$J:$J,CMV_Manual!L$2,Aut_Transferencias!$G:$G,"BEBIDAS",Aut_Transferencias!$B:$B,"Bar Léo - Centro")</f>
        <v>0</v>
      </c>
      <c r="M14" s="316">
        <f>SUMIFS(Aut_Transferencias!$K:$K,Aut_Transferencias!$J:$J,CMV_Manual!M$2,Aut_Transferencias!$G:$G,"BEBIDAS",Aut_Transferencias!$B:$B,"Bar Léo - Centro")</f>
        <v>0</v>
      </c>
      <c r="N14" s="316">
        <f>SUMIFS(Aut_Transferencias!$K:$K,Aut_Transferencias!$J:$J,CMV_Manual!N$2,Aut_Transferencias!$G:$G,"BEBIDAS",Aut_Transferencias!$B:$B,"Bar Léo - Centro")</f>
        <v>0</v>
      </c>
      <c r="O14" s="316">
        <f>SUMIFS(Aut_Transferencias!$K:$K,Aut_Transferencias!$J:$J,CMV_Manual!O$2,Aut_Transferencias!$G:$G,"BEBIDAS",Aut_Transferencias!$B:$B,"Bar Léo - Centro")</f>
        <v>0</v>
      </c>
      <c r="R14" s="322"/>
    </row>
    <row r="15" spans="1:29" x14ac:dyDescent="0.3">
      <c r="A15" s="315"/>
      <c r="B15" s="311" t="s">
        <v>490</v>
      </c>
      <c r="C15" s="323">
        <v>8250</v>
      </c>
      <c r="D15" s="323">
        <f>SUMIFS(Aut_Consumo_Funcionarios!$F:$F,Aut_Consumo_Funcionarios!$D:$D,CMV_Manual!D$2)</f>
        <v>8514</v>
      </c>
      <c r="E15" s="323">
        <f>SUMIFS(Aut_Consumo_Funcionarios!$F:$F,Aut_Consumo_Funcionarios!$D:$D,CMV_Manual!E$2)</f>
        <v>8074</v>
      </c>
      <c r="F15" s="323">
        <f>SUMIFS(Aut_Consumo_Funcionarios!$F:$F,Aut_Consumo_Funcionarios!$D:$D,CMV_Manual!F$2)</f>
        <v>8932</v>
      </c>
      <c r="G15" s="323">
        <f>SUMIFS(Aut_Consumo_Funcionarios!$F:$F,Aut_Consumo_Funcionarios!$D:$D,CMV_Manual!G$2)</f>
        <v>8910</v>
      </c>
      <c r="H15" s="323">
        <f>SUMIFS(Aut_Consumo_Funcionarios!$F:$F,Aut_Consumo_Funcionarios!$D:$D,CMV_Manual!H$2)</f>
        <v>8910</v>
      </c>
      <c r="I15" s="323">
        <f>SUMIFS(Aut_Consumo_Funcionarios!$F:$F,Aut_Consumo_Funcionarios!$D:$D,CMV_Manual!I$2)</f>
        <v>0</v>
      </c>
      <c r="J15" s="323">
        <f>SUMIFS(Aut_Consumo_Funcionarios!$F:$F,Aut_Consumo_Funcionarios!$D:$D,CMV_Manual!J$2)</f>
        <v>0</v>
      </c>
      <c r="K15" s="323">
        <f>SUMIFS(Aut_Consumo_Funcionarios!$F:$F,Aut_Consumo_Funcionarios!$D:$D,CMV_Manual!K$2)</f>
        <v>0</v>
      </c>
      <c r="L15" s="323">
        <f>SUMIFS(Aut_Consumo_Funcionarios!$F:$F,Aut_Consumo_Funcionarios!$D:$D,CMV_Manual!L$2)</f>
        <v>0</v>
      </c>
      <c r="M15" s="323">
        <f>SUMIFS(Aut_Consumo_Funcionarios!$F:$F,Aut_Consumo_Funcionarios!$D:$D,CMV_Manual!M$2)</f>
        <v>0</v>
      </c>
      <c r="N15" s="323">
        <f>SUMIFS(Aut_Consumo_Funcionarios!$F:$F,Aut_Consumo_Funcionarios!$D:$D,CMV_Manual!N$2)</f>
        <v>0</v>
      </c>
      <c r="O15" s="324">
        <f>SUMIFS(Aut_Consumo_Funcionarios!$F:$F,Aut_Consumo_Funcionarios!$D:$D,CMV_Manual!O$2)</f>
        <v>0</v>
      </c>
      <c r="R15" s="321"/>
    </row>
    <row r="16" spans="1:29" x14ac:dyDescent="0.3">
      <c r="A16" s="315"/>
      <c r="B16" s="311" t="s">
        <v>491</v>
      </c>
      <c r="C16" s="325">
        <v>0</v>
      </c>
      <c r="D16" s="325"/>
      <c r="E16" s="325"/>
      <c r="F16" s="325"/>
      <c r="G16" s="325"/>
      <c r="H16" s="325"/>
      <c r="I16" s="325"/>
      <c r="J16" s="325"/>
      <c r="K16" s="325"/>
      <c r="L16" s="326"/>
      <c r="M16" s="326"/>
      <c r="N16" s="326"/>
      <c r="O16" s="327"/>
      <c r="R16" s="230"/>
    </row>
    <row r="17" spans="1:18" x14ac:dyDescent="0.3">
      <c r="A17" s="310"/>
      <c r="B17" s="311" t="s">
        <v>492</v>
      </c>
      <c r="C17" s="312">
        <v>24417.830000000009</v>
      </c>
      <c r="D17" s="312">
        <f>SUMIFS(Aut_Valor_Estoque!$P:$P,Aut_Valor_Estoque!$K:$K,CMV_Manual!D$2,Aut_Valor_Estoque!$J:$J,"ALIMENTOS")</f>
        <v>25202.100000000006</v>
      </c>
      <c r="E17" s="312">
        <f>SUMIFS(Aut_Valor_Estoque!$P:$P,Aut_Valor_Estoque!$K:$K,CMV_Manual!E$2,Aut_Valor_Estoque!$J:$J,"ALIMENTOS")</f>
        <v>22176.689999999995</v>
      </c>
      <c r="F17" s="312">
        <f>SUMIFS(Aut_Valor_Estoque!$P:$P,Aut_Valor_Estoque!$K:$K,CMV_Manual!F$2,Aut_Valor_Estoque!$J:$J,"ALIMENTOS")</f>
        <v>26329.029999999988</v>
      </c>
      <c r="G17" s="312">
        <f>SUMIFS(Aut_Valor_Estoque!$P:$P,Aut_Valor_Estoque!$K:$K,CMV_Manual!G$2,Aut_Valor_Estoque!$J:$J,"ALIMENTOS")</f>
        <v>28190.570000000003</v>
      </c>
      <c r="H17" s="312">
        <f>SUMIFS(Aut_Valor_Estoque!$P:$P,Aut_Valor_Estoque!$K:$K,CMV_Manual!H$2,Aut_Valor_Estoque!$J:$J,"ALIMENTOS")</f>
        <v>22976.86</v>
      </c>
      <c r="I17" s="312">
        <f>SUMIFS(Aut_Valor_Estoque!$P:$P,Aut_Valor_Estoque!$K:$K,CMV_Manual!I$2,Aut_Valor_Estoque!$J:$J,"ALIMENTOS")</f>
        <v>0</v>
      </c>
      <c r="J17" s="312">
        <f>SUMIFS(Aut_Valor_Estoque!$P:$P,Aut_Valor_Estoque!$K:$K,CMV_Manual!J$2,Aut_Valor_Estoque!$J:$J,"ALIMENTOS")</f>
        <v>0</v>
      </c>
      <c r="K17" s="312">
        <f>SUMIFS(Aut_Valor_Estoque!$P:$P,Aut_Valor_Estoque!$K:$K,CMV_Manual!K$2,Aut_Valor_Estoque!$J:$J,"ALIMENTOS")</f>
        <v>0</v>
      </c>
      <c r="L17" s="312">
        <f>SUMIFS(Aut_Valor_Estoque!$P:$P,Aut_Valor_Estoque!$K:$K,CMV_Manual!L$2,Aut_Valor_Estoque!$J:$J,"ALIMENTOS")</f>
        <v>0</v>
      </c>
      <c r="M17" s="312">
        <f>SUMIFS(Aut_Valor_Estoque!$P:$P,Aut_Valor_Estoque!$K:$K,CMV_Manual!M$2,Aut_Valor_Estoque!$J:$J,"ALIMENTOS")</f>
        <v>0</v>
      </c>
      <c r="N17" s="312">
        <f>SUMIFS(Aut_Valor_Estoque!$P:$P,Aut_Valor_Estoque!$K:$K,CMV_Manual!N$2,Aut_Valor_Estoque!$J:$J,"ALIMENTOS")</f>
        <v>0</v>
      </c>
      <c r="O17" s="317">
        <f>SUMIFS(Aut_Valor_Estoque!$P:$P,Aut_Valor_Estoque!$K:$K,CMV_Manual!O$2,Aut_Valor_Estoque!$J:$J,"ALIMENTOS")</f>
        <v>0</v>
      </c>
      <c r="R17" s="230"/>
    </row>
    <row r="18" spans="1:18" x14ac:dyDescent="0.3">
      <c r="A18" s="310"/>
      <c r="B18" s="311" t="s">
        <v>493</v>
      </c>
      <c r="C18" s="312">
        <v>25208.329999999991</v>
      </c>
      <c r="D18" s="312">
        <f>SUMIFS(Aut_Valor_Estoque!$P:$P,Aut_Valor_Estoque!$K:$K,CMV_Manual!D$2,Aut_Valor_Estoque!$J:$J,"BEBIDAS")</f>
        <v>17397.59</v>
      </c>
      <c r="E18" s="312">
        <f>SUMIFS(Aut_Valor_Estoque!$P:$P,Aut_Valor_Estoque!$K:$K,CMV_Manual!E$2,Aut_Valor_Estoque!$J:$J,"BEBIDAS")</f>
        <v>22802.600000000006</v>
      </c>
      <c r="F18" s="312">
        <f>SUMIFS(Aut_Valor_Estoque!$P:$P,Aut_Valor_Estoque!$K:$K,CMV_Manual!F$2,Aut_Valor_Estoque!$J:$J,"BEBIDAS")</f>
        <v>21952.04</v>
      </c>
      <c r="G18" s="312">
        <f>SUMIFS(Aut_Valor_Estoque!$P:$P,Aut_Valor_Estoque!$K:$K,CMV_Manual!G$2,Aut_Valor_Estoque!$J:$J,"BEBIDAS")</f>
        <v>19909.840000000004</v>
      </c>
      <c r="H18" s="312">
        <f>SUMIFS(Aut_Valor_Estoque!$P:$P,Aut_Valor_Estoque!$K:$K,CMV_Manual!H$2,Aut_Valor_Estoque!$J:$J,"BEBIDAS")</f>
        <v>18821.620000000006</v>
      </c>
      <c r="I18" s="312">
        <f>SUMIFS(Aut_Valor_Estoque!$P:$P,Aut_Valor_Estoque!$K:$K,CMV_Manual!I$2,Aut_Valor_Estoque!$J:$J,"BEBIDAS")</f>
        <v>0</v>
      </c>
      <c r="J18" s="312">
        <f>SUMIFS(Aut_Valor_Estoque!$P:$P,Aut_Valor_Estoque!$K:$K,CMV_Manual!J$2,Aut_Valor_Estoque!$J:$J,"BEBIDAS")</f>
        <v>0</v>
      </c>
      <c r="K18" s="312">
        <f>SUMIFS(Aut_Valor_Estoque!$P:$P,Aut_Valor_Estoque!$K:$K,CMV_Manual!K$2,Aut_Valor_Estoque!$J:$J,"BEBIDAS")</f>
        <v>0</v>
      </c>
      <c r="L18" s="312">
        <f>SUMIFS(Aut_Valor_Estoque!$P:$P,Aut_Valor_Estoque!$K:$K,CMV_Manual!L$2,Aut_Valor_Estoque!$J:$J,"BEBIDAS")</f>
        <v>0</v>
      </c>
      <c r="M18" s="312">
        <f>SUMIFS(Aut_Valor_Estoque!$P:$P,Aut_Valor_Estoque!$K:$K,CMV_Manual!M$2,Aut_Valor_Estoque!$J:$J,"BEBIDAS")</f>
        <v>0</v>
      </c>
      <c r="N18" s="312">
        <f>SUMIFS(Aut_Valor_Estoque!$P:$P,Aut_Valor_Estoque!$K:$K,CMV_Manual!N$2,Aut_Valor_Estoque!$J:$J,"BEBIDAS")</f>
        <v>0</v>
      </c>
      <c r="O18" s="313">
        <f>SUMIFS(Aut_Valor_Estoque!$P:$P,Aut_Valor_Estoque!$K:$K,CMV_Manual!O$2,Aut_Valor_Estoque!$J:$J,"BEBIDAS")</f>
        <v>0</v>
      </c>
      <c r="R18" s="230"/>
    </row>
    <row r="19" spans="1:18" x14ac:dyDescent="0.3">
      <c r="A19" s="310"/>
      <c r="B19" s="311" t="s">
        <v>494</v>
      </c>
      <c r="C19" s="312">
        <v>1094.2</v>
      </c>
      <c r="D19" s="312">
        <f>SUMIFS(Aut_Insumos_Producao!$J:$J,Aut_Insumos_Producao!$D:$D,CMV_Manual!D$2,Aut_Insumos_Producao!$H:$H,"ALIMENTOS")</f>
        <v>1078.4399999999998</v>
      </c>
      <c r="E19" s="312">
        <f>SUMIFS(Aut_Insumos_Producao!$J:$J,Aut_Insumos_Producao!$D:$D,CMV_Manual!E$2,Aut_Insumos_Producao!$H:$H,"ALIMENTOS")</f>
        <v>730.76</v>
      </c>
      <c r="F19" s="312">
        <f>SUMIFS(Aut_Insumos_Producao!$J:$J,Aut_Insumos_Producao!$D:$D,CMV_Manual!F$2,Aut_Insumos_Producao!$H:$H,"ALIMENTOS")</f>
        <v>832.35</v>
      </c>
      <c r="G19" s="312">
        <f>SUMIFS(Aut_Insumos_Producao!$J:$J,Aut_Insumos_Producao!$D:$D,CMV_Manual!G$2,Aut_Insumos_Producao!$H:$H,"ALIMENTOS")</f>
        <v>1098.2700000000002</v>
      </c>
      <c r="H19" s="312">
        <f>SUMIFS(Aut_Insumos_Producao!$J:$J,Aut_Insumos_Producao!$D:$D,CMV_Manual!H$2,Aut_Insumos_Producao!$H:$H,"ALIMENTOS")</f>
        <v>749.88000000000011</v>
      </c>
      <c r="I19" s="312">
        <f>SUMIFS(Aut_Insumos_Producao!$J:$J,Aut_Insumos_Producao!$D:$D,CMV_Manual!I$2,Aut_Insumos_Producao!$H:$H,"ALIMENTOS")</f>
        <v>0</v>
      </c>
      <c r="J19" s="312">
        <f>SUMIFS(Aut_Insumos_Producao!$J:$J,Aut_Insumos_Producao!$D:$D,CMV_Manual!J$2,Aut_Insumos_Producao!$H:$H,"ALIMENTOS")</f>
        <v>0</v>
      </c>
      <c r="K19" s="312">
        <f>SUMIFS(Aut_Insumos_Producao!$J:$J,Aut_Insumos_Producao!$D:$D,CMV_Manual!K$2,Aut_Insumos_Producao!$H:$H,"ALIMENTOS")</f>
        <v>0</v>
      </c>
      <c r="L19" s="312">
        <f>SUMIFS(Aut_Insumos_Producao!$J:$J,Aut_Insumos_Producao!$D:$D,CMV_Manual!L$2,Aut_Insumos_Producao!$H:$H,"ALIMENTOS")</f>
        <v>0</v>
      </c>
      <c r="M19" s="312">
        <f>SUMIFS(Aut_Insumos_Producao!$J:$J,Aut_Insumos_Producao!$D:$D,CMV_Manual!M$2,Aut_Insumos_Producao!$H:$H,"ALIMENTOS")</f>
        <v>0</v>
      </c>
      <c r="N19" s="312">
        <f>SUMIFS(Aut_Insumos_Producao!$J:$J,Aut_Insumos_Producao!$D:$D,CMV_Manual!N$2,Aut_Insumos_Producao!$H:$H,"ALIMENTOS")</f>
        <v>0</v>
      </c>
      <c r="O19" s="313">
        <f>SUMIFS(Aut_Insumos_Producao!$J:$J,Aut_Insumos_Producao!$D:$D,CMV_Manual!O$2,Aut_Insumos_Producao!$H:$H,"ALIMENTOS")</f>
        <v>0</v>
      </c>
    </row>
    <row r="20" spans="1:18" x14ac:dyDescent="0.3">
      <c r="A20" s="310"/>
      <c r="B20" s="311" t="s">
        <v>495</v>
      </c>
      <c r="C20" s="312">
        <v>0</v>
      </c>
      <c r="D20" s="312">
        <f>SUMIFS(Aut_Insumos_Producao!$J:$J,Aut_Insumos_Producao!$D:$D,CMV_Manual!D$2,Aut_Insumos_Producao!$H:$H,"BEBIDAS")</f>
        <v>0</v>
      </c>
      <c r="E20" s="312">
        <f>SUMIFS(Aut_Insumos_Producao!$J:$J,Aut_Insumos_Producao!$D:$D,CMV_Manual!E$2,Aut_Insumos_Producao!$H:$H,"BEBIDAS")</f>
        <v>0</v>
      </c>
      <c r="F20" s="312">
        <f>SUMIFS(Aut_Insumos_Producao!$J:$J,Aut_Insumos_Producao!$D:$D,CMV_Manual!F$2,Aut_Insumos_Producao!$H:$H,"BEBIDAS")</f>
        <v>0</v>
      </c>
      <c r="G20" s="312">
        <f>SUMIFS(Aut_Insumos_Producao!$J:$J,Aut_Insumos_Producao!$D:$D,CMV_Manual!G$2,Aut_Insumos_Producao!$H:$H,"BEBIDAS")</f>
        <v>0</v>
      </c>
      <c r="H20" s="312">
        <f>SUMIFS(Aut_Insumos_Producao!$J:$J,Aut_Insumos_Producao!$D:$D,CMV_Manual!H$2,Aut_Insumos_Producao!$H:$H,"BEBIDAS")</f>
        <v>0</v>
      </c>
      <c r="I20" s="312">
        <f>SUMIFS(Aut_Insumos_Producao!$J:$J,Aut_Insumos_Producao!$D:$D,CMV_Manual!I$2,Aut_Insumos_Producao!$H:$H,"BEBIDAS")</f>
        <v>0</v>
      </c>
      <c r="J20" s="312">
        <f>SUMIFS(Aut_Insumos_Producao!$J:$J,Aut_Insumos_Producao!$D:$D,CMV_Manual!J$2,Aut_Insumos_Producao!$H:$H,"BEBIDAS")</f>
        <v>0</v>
      </c>
      <c r="K20" s="312">
        <f>SUMIFS(Aut_Insumos_Producao!$J:$J,Aut_Insumos_Producao!$D:$D,CMV_Manual!K$2,Aut_Insumos_Producao!$H:$H,"BEBIDAS")</f>
        <v>0</v>
      </c>
      <c r="L20" s="312">
        <f>SUMIFS(Aut_Insumos_Producao!$J:$J,Aut_Insumos_Producao!$D:$D,CMV_Manual!L$2,Aut_Insumos_Producao!$H:$H,"BEBIDAS")</f>
        <v>0</v>
      </c>
      <c r="M20" s="312">
        <f>SUMIFS(Aut_Insumos_Producao!$J:$J,Aut_Insumos_Producao!$D:$D,CMV_Manual!M$2,Aut_Insumos_Producao!$H:$H,"BEBIDAS")</f>
        <v>0</v>
      </c>
      <c r="N20" s="312">
        <f>SUMIFS(Aut_Insumos_Producao!$J:$J,Aut_Insumos_Producao!$D:$D,CMV_Manual!N$2,Aut_Insumos_Producao!$H:$H,"BEBIDAS")</f>
        <v>0</v>
      </c>
      <c r="O20" s="313">
        <f>SUMIFS(Aut_Insumos_Producao!$J:$J,Aut_Insumos_Producao!$D:$D,CMV_Manual!O$2,Aut_Insumos_Producao!$H:$H,"BEBIDAS")</f>
        <v>0</v>
      </c>
    </row>
    <row r="21" spans="1:18" x14ac:dyDescent="0.3">
      <c r="A21" s="315"/>
      <c r="B21" s="328"/>
      <c r="C21" s="329"/>
      <c r="D21" s="329"/>
      <c r="E21" s="329"/>
      <c r="F21" s="329"/>
      <c r="G21" s="329"/>
      <c r="H21" s="329"/>
      <c r="I21" s="329"/>
      <c r="J21" s="329"/>
      <c r="K21" s="329"/>
      <c r="L21" s="329"/>
      <c r="M21" s="329"/>
      <c r="N21" s="329"/>
      <c r="O21" s="330"/>
    </row>
    <row r="22" spans="1:18" x14ac:dyDescent="0.3">
      <c r="B22" s="331" t="s">
        <v>496</v>
      </c>
      <c r="C22" s="332">
        <f t="shared" ref="C22:O22" si="5">C5+C7+C9+C11-C13-C15-C17-C19</f>
        <v>73432.61000000003</v>
      </c>
      <c r="D22" s="332">
        <f t="shared" si="5"/>
        <v>61819.510000000024</v>
      </c>
      <c r="E22" s="332">
        <f t="shared" si="5"/>
        <v>51975.11</v>
      </c>
      <c r="F22" s="332">
        <f t="shared" si="5"/>
        <v>61100.350000000013</v>
      </c>
      <c r="G22" s="332">
        <f t="shared" si="5"/>
        <v>59317.299999999981</v>
      </c>
      <c r="H22" s="332">
        <f t="shared" si="5"/>
        <v>64729.360000000008</v>
      </c>
      <c r="I22" s="332">
        <f t="shared" si="5"/>
        <v>94880.310000000027</v>
      </c>
      <c r="J22" s="332">
        <f t="shared" si="5"/>
        <v>7755.2199999999993</v>
      </c>
      <c r="K22" s="332">
        <f t="shared" si="5"/>
        <v>0</v>
      </c>
      <c r="L22" s="332">
        <f t="shared" si="5"/>
        <v>0</v>
      </c>
      <c r="M22" s="332">
        <f t="shared" si="5"/>
        <v>0</v>
      </c>
      <c r="N22" s="332">
        <f t="shared" si="5"/>
        <v>0</v>
      </c>
      <c r="O22" s="333">
        <f t="shared" si="5"/>
        <v>0</v>
      </c>
    </row>
    <row r="23" spans="1:18" x14ac:dyDescent="0.3">
      <c r="B23" s="331" t="s">
        <v>497</v>
      </c>
      <c r="C23" s="332">
        <f t="shared" ref="C23:O23" si="6">C6+C8+C10+C12-C14-C18-C20</f>
        <v>69864.260000000009</v>
      </c>
      <c r="D23" s="332">
        <f t="shared" si="6"/>
        <v>43762.740000000005</v>
      </c>
      <c r="E23" s="332">
        <f t="shared" si="6"/>
        <v>39388.25</v>
      </c>
      <c r="F23" s="332">
        <f t="shared" si="6"/>
        <v>35910.110000000015</v>
      </c>
      <c r="G23" s="332">
        <f t="shared" si="6"/>
        <v>48520.07</v>
      </c>
      <c r="H23" s="332">
        <f t="shared" si="6"/>
        <v>41110.28</v>
      </c>
      <c r="I23" s="332">
        <f t="shared" si="6"/>
        <v>65309.850000000013</v>
      </c>
      <c r="J23" s="332">
        <f t="shared" si="6"/>
        <v>709.64</v>
      </c>
      <c r="K23" s="332">
        <f t="shared" si="6"/>
        <v>0</v>
      </c>
      <c r="L23" s="332">
        <f t="shared" si="6"/>
        <v>0</v>
      </c>
      <c r="M23" s="332">
        <f t="shared" si="6"/>
        <v>0</v>
      </c>
      <c r="N23" s="332">
        <f t="shared" si="6"/>
        <v>0</v>
      </c>
      <c r="O23" s="333">
        <f t="shared" si="6"/>
        <v>0</v>
      </c>
      <c r="P23" s="334"/>
    </row>
    <row r="24" spans="1:18" x14ac:dyDescent="0.3">
      <c r="B24" s="335" t="s">
        <v>498</v>
      </c>
      <c r="C24" s="336">
        <f t="shared" ref="C24:O24" si="7">SUM(C22:C23)</f>
        <v>143296.87000000005</v>
      </c>
      <c r="D24" s="336">
        <f t="shared" si="7"/>
        <v>105582.25000000003</v>
      </c>
      <c r="E24" s="336">
        <f t="shared" si="7"/>
        <v>91363.36</v>
      </c>
      <c r="F24" s="336">
        <f t="shared" si="7"/>
        <v>97010.460000000021</v>
      </c>
      <c r="G24" s="336">
        <f t="shared" si="7"/>
        <v>107837.36999999998</v>
      </c>
      <c r="H24" s="336">
        <f t="shared" si="7"/>
        <v>105839.64000000001</v>
      </c>
      <c r="I24" s="336">
        <f t="shared" si="7"/>
        <v>160190.16000000003</v>
      </c>
      <c r="J24" s="336">
        <f t="shared" si="7"/>
        <v>8464.8599999999988</v>
      </c>
      <c r="K24" s="336">
        <f t="shared" si="7"/>
        <v>0</v>
      </c>
      <c r="L24" s="336">
        <f t="shared" si="7"/>
        <v>0</v>
      </c>
      <c r="M24" s="336">
        <f t="shared" si="7"/>
        <v>0</v>
      </c>
      <c r="N24" s="336">
        <f t="shared" si="7"/>
        <v>0</v>
      </c>
      <c r="O24" s="337">
        <f t="shared" si="7"/>
        <v>0</v>
      </c>
    </row>
    <row r="25" spans="1:18" x14ac:dyDescent="0.3">
      <c r="A25" s="310"/>
      <c r="B25" s="338" t="s">
        <v>499</v>
      </c>
      <c r="C25" s="339">
        <v>171827.9</v>
      </c>
      <c r="D25" s="340">
        <f>SUMIFS(Aut_Faturamento_Zig!$F:$F,Aut_Faturamento_Zig!$D:$D,CMV_Manual!D$2,Aut_Faturamento_Zig!$E:$E,"Alimentos")</f>
        <v>150801.5</v>
      </c>
      <c r="E25" s="340">
        <f>SUMIFS(Aut_Faturamento_Zig!$F:$F,Aut_Faturamento_Zig!$D:$D,CMV_Manual!E$2,Aut_Faturamento_Zig!$E:$E,"Alimentos")</f>
        <v>125404.4</v>
      </c>
      <c r="F25" s="340">
        <f>SUMIFS(Aut_Faturamento_Zig!$F:$F,Aut_Faturamento_Zig!$D:$D,CMV_Manual!F$2,Aut_Faturamento_Zig!$E:$E,"Alimentos")</f>
        <v>134559.5</v>
      </c>
      <c r="G25" s="340">
        <f>SUMIFS(Aut_Faturamento_Zig!$F:$F,Aut_Faturamento_Zig!$D:$D,CMV_Manual!G$2,Aut_Faturamento_Zig!$E:$E,"Alimentos")</f>
        <v>147447.9</v>
      </c>
      <c r="H25" s="340">
        <f>SUMIFS(Aut_Faturamento_Zig!$F:$F,Aut_Faturamento_Zig!$D:$D,CMV_Manual!H$2,Aut_Faturamento_Zig!$E:$E,"Alimentos")</f>
        <v>154905.5</v>
      </c>
      <c r="I25" s="340">
        <f>SUMIFS(Aut_Faturamento_Zig!$F:$F,Aut_Faturamento_Zig!$D:$D,CMV_Manual!I$2,Aut_Faturamento_Zig!$E:$E,"Alimentos")</f>
        <v>149615.29999999999</v>
      </c>
      <c r="J25" s="340">
        <f>SUMIFS(Aut_Faturamento_Zig!$F:$F,Aut_Faturamento_Zig!$D:$D,CMV_Manual!J$2,Aut_Faturamento_Zig!$E:$E,"Alimentos")</f>
        <v>32087.5</v>
      </c>
      <c r="K25" s="340">
        <f>SUMIFS(Aut_Faturamento_Zig!$F:$F,Aut_Faturamento_Zig!$D:$D,CMV_Manual!K$2,Aut_Faturamento_Zig!$E:$E,"Alimentos")</f>
        <v>0</v>
      </c>
      <c r="L25" s="340">
        <f>SUMIFS(Aut_Faturamento_Zig!$F:$F,Aut_Faturamento_Zig!$D:$D,CMV_Manual!L$2,Aut_Faturamento_Zig!$E:$E,"Alimentos")</f>
        <v>0</v>
      </c>
      <c r="M25" s="340">
        <f>SUMIFS(Aut_Faturamento_Zig!$F:$F,Aut_Faturamento_Zig!$D:$D,CMV_Manual!M$2,Aut_Faturamento_Zig!$E:$E,"Alimentos")</f>
        <v>0</v>
      </c>
      <c r="N25" s="340">
        <f>SUMIFS(Aut_Faturamento_Zig!$F:$F,Aut_Faturamento_Zig!$D:$D,CMV_Manual!N$2,Aut_Faturamento_Zig!$E:$E,"Alimentos")</f>
        <v>0</v>
      </c>
      <c r="O25" s="341">
        <f>SUMIFS(Aut_Faturamento_Zig!$F:$F,Aut_Faturamento_Zig!$D:$D,CMV_Manual!O$2,Aut_Faturamento_Zig!$E:$E,"Alimentos")</f>
        <v>0</v>
      </c>
      <c r="Q25" s="342"/>
      <c r="R25" s="343"/>
    </row>
    <row r="26" spans="1:18" x14ac:dyDescent="0.3">
      <c r="A26" s="310"/>
      <c r="B26" s="338" t="s">
        <v>500</v>
      </c>
      <c r="C26" s="339">
        <v>241814</v>
      </c>
      <c r="D26" s="340">
        <f>SUMIFS(Aut_Faturamento_Zig!$F:$F,Aut_Faturamento_Zig!$D:$D,CMV_Manual!D$2,Aut_Faturamento_Zig!$E:$E,"Bebidas")</f>
        <v>184339</v>
      </c>
      <c r="E26" s="340">
        <f>SUMIFS(Aut_Faturamento_Zig!$F:$F,Aut_Faturamento_Zig!$D:$D,CMV_Manual!E$2,Aut_Faturamento_Zig!$E:$E,"Bebidas")</f>
        <v>150466.30000000002</v>
      </c>
      <c r="F26" s="340">
        <f>SUMIFS(Aut_Faturamento_Zig!$F:$F,Aut_Faturamento_Zig!$D:$D,CMV_Manual!F$2,Aut_Faturamento_Zig!$E:$E,"Bebidas")</f>
        <v>155776.19999999995</v>
      </c>
      <c r="G26" s="340">
        <f>SUMIFS(Aut_Faturamento_Zig!$F:$F,Aut_Faturamento_Zig!$D:$D,CMV_Manual!G$2,Aut_Faturamento_Zig!$E:$E,"Bebidas")</f>
        <v>175366.70000000004</v>
      </c>
      <c r="H26" s="340">
        <f>SUMIFS(Aut_Faturamento_Zig!$F:$F,Aut_Faturamento_Zig!$D:$D,CMV_Manual!H$2,Aut_Faturamento_Zig!$E:$E,"Bebidas")</f>
        <v>170771.1</v>
      </c>
      <c r="I26" s="340">
        <f>SUMIFS(Aut_Faturamento_Zig!$F:$F,Aut_Faturamento_Zig!$D:$D,CMV_Manual!I$2,Aut_Faturamento_Zig!$E:$E,"Bebidas")</f>
        <v>166426.70000000001</v>
      </c>
      <c r="J26" s="340">
        <f>SUMIFS(Aut_Faturamento_Zig!$F:$F,Aut_Faturamento_Zig!$D:$D,CMV_Manual!J$2,Aut_Faturamento_Zig!$E:$E,"Bebidas")</f>
        <v>36787.4</v>
      </c>
      <c r="K26" s="340">
        <f>SUMIFS(Aut_Faturamento_Zig!$F:$F,Aut_Faturamento_Zig!$D:$D,CMV_Manual!K$2,Aut_Faturamento_Zig!$E:$E,"Bebidas")</f>
        <v>0</v>
      </c>
      <c r="L26" s="340">
        <f>SUMIFS(Aut_Faturamento_Zig!$F:$F,Aut_Faturamento_Zig!$D:$D,CMV_Manual!L$2,Aut_Faturamento_Zig!$E:$E,"Bebidas")</f>
        <v>0</v>
      </c>
      <c r="M26" s="340">
        <f>SUMIFS(Aut_Faturamento_Zig!$F:$F,Aut_Faturamento_Zig!$D:$D,CMV_Manual!M$2,Aut_Faturamento_Zig!$E:$E,"Bebidas")</f>
        <v>0</v>
      </c>
      <c r="N26" s="340">
        <f>SUMIFS(Aut_Faturamento_Zig!$F:$F,Aut_Faturamento_Zig!$D:$D,CMV_Manual!N$2,Aut_Faturamento_Zig!$E:$E,"Bebidas")</f>
        <v>0</v>
      </c>
      <c r="O26" s="341">
        <f>SUMIFS(Aut_Faturamento_Zig!$F:$F,Aut_Faturamento_Zig!$D:$D,CMV_Manual!O$2,Aut_Faturamento_Zig!$E:$E,"Bebidas")</f>
        <v>0</v>
      </c>
      <c r="P26" s="334"/>
      <c r="Q26" s="342"/>
      <c r="R26" s="322"/>
    </row>
    <row r="27" spans="1:18" x14ac:dyDescent="0.3">
      <c r="A27" s="310"/>
      <c r="B27" s="338" t="s">
        <v>501</v>
      </c>
      <c r="C27" s="339">
        <v>6549.8</v>
      </c>
      <c r="D27" s="340">
        <f>SUMIFS(Aut_Eventos_AeB!$D:$D,Aut_Eventos_AeB!$E:$E,CMV_Manual!$D2)</f>
        <v>0</v>
      </c>
      <c r="E27" s="340">
        <f>SUMIFS(Aut_Eventos_AeB!$D:$D,Aut_Eventos_AeB!$E:$E,CMV_Manual!$E2)</f>
        <v>0</v>
      </c>
      <c r="F27" s="340">
        <f>SUMIFS(Aut_Eventos_AeB!$D:$D,Aut_Eventos_AeB!$E:$E,CMV_Manual!$F2)</f>
        <v>0</v>
      </c>
      <c r="G27" s="340">
        <f>SUMIFS(Aut_Eventos_AeB!$D:$D,Aut_Eventos_AeB!$E:$E,CMV_Manual!$G2)</f>
        <v>0</v>
      </c>
      <c r="H27" s="340">
        <f>SUMIFS(Aut_Eventos_AeB!$D:$D,Aut_Eventos_AeB!$E:$E,CMV_Manual!$H2)</f>
        <v>0</v>
      </c>
      <c r="I27" s="340">
        <f>SUMIFS(Aut_Eventos_AeB!$D:$D,Aut_Eventos_AeB!$E:$E,CMV_Manual!$I2)</f>
        <v>0</v>
      </c>
      <c r="J27" s="340">
        <f>SUMIFS(Aut_Eventos_AeB!$D:$D,Aut_Eventos_AeB!$E:$E,CMV_Manual!$D2)</f>
        <v>0</v>
      </c>
      <c r="K27" s="340">
        <f>SUMIFS(Aut_Eventos_AeB!$D:$D,Aut_Eventos_AeB!$E:$E,CMV_Manual!$D2)</f>
        <v>0</v>
      </c>
      <c r="L27" s="340">
        <f>SUMIFS(Aut_Eventos_AeB!$D:$D,Aut_Eventos_AeB!$E:$E,CMV_Manual!$D2)</f>
        <v>0</v>
      </c>
      <c r="M27" s="340">
        <f>SUMIFS(Aut_Eventos_AeB!$D:$D,Aut_Eventos_AeB!$E:$E,CMV_Manual!$D2)</f>
        <v>0</v>
      </c>
      <c r="N27" s="340">
        <f>SUMIFS(Aut_Eventos_AeB!$D:$D,Aut_Eventos_AeB!$E:$E,CMV_Manual!$D2)</f>
        <v>0</v>
      </c>
      <c r="O27" s="341">
        <f>SUMIFS(Aut_Eventos_AeB!$D:$D,Aut_Eventos_AeB!$E:$E,CMV_Manual!$D2)</f>
        <v>0</v>
      </c>
      <c r="Q27" s="322"/>
      <c r="R27" s="322"/>
    </row>
    <row r="28" spans="1:18" x14ac:dyDescent="0.3">
      <c r="A28" s="310"/>
      <c r="B28" s="338" t="s">
        <v>31</v>
      </c>
      <c r="C28" s="339">
        <v>872.88000000000011</v>
      </c>
      <c r="D28" s="340">
        <f>SUMIFS(Aut_Faturamento_Zig_Delivery!$F:$F,Aut_Faturamento_Zig_Delivery!$D:$D,D2,Aut_Faturamento_Zig_Delivery!$E:$E,"Alimentos")+SUMIFS(Aut_Faturamento_Zig_Delivery!$F:$F,Aut_Faturamento_Zig_Delivery!$D:$D,D2,Aut_Faturamento_Zig_Delivery!$E:$E,"Bebidas")</f>
        <v>991</v>
      </c>
      <c r="E28" s="340">
        <f>SUMIFS(Aut_Faturamento_Zig_Delivery!$F:$F,Aut_Faturamento_Zig_Delivery!$D:$D,E2,Aut_Faturamento_Zig_Delivery!$E:$E,"Alimentos")+SUMIFS(Aut_Faturamento_Zig_Delivery!$F:$F,Aut_Faturamento_Zig_Delivery!$D:$D,E2,Aut_Faturamento_Zig_Delivery!$E:$E,"Bebidas")</f>
        <v>1706</v>
      </c>
      <c r="F28" s="340">
        <f>SUMIFS(Aut_Faturamento_Zig_Delivery!$F:$F,Aut_Faturamento_Zig_Delivery!$D:$D,F2,Aut_Faturamento_Zig_Delivery!$E:$E,"Alimentos")+SUMIFS(Aut_Faturamento_Zig_Delivery!$F:$F,Aut_Faturamento_Zig_Delivery!$D:$D,F2,Aut_Faturamento_Zig_Delivery!$E:$E,"Bebidas")</f>
        <v>3849.4999999999991</v>
      </c>
      <c r="G28" s="340">
        <f>SUMIFS(Aut_Faturamento_Zig_Delivery!$F:$F,Aut_Faturamento_Zig_Delivery!$D:$D,G2,Aut_Faturamento_Zig_Delivery!$E:$E,"Alimentos")+SUMIFS(Aut_Faturamento_Zig_Delivery!$F:$F,Aut_Faturamento_Zig_Delivery!$D:$D,G2,Aut_Faturamento_Zig_Delivery!$E:$E,"Bebidas")</f>
        <v>2612.3500000000004</v>
      </c>
      <c r="H28" s="340">
        <f>SUMIFS(Aut_Faturamento_Zig_Delivery!$F:$F,Aut_Faturamento_Zig_Delivery!$D:$D,H2,Aut_Faturamento_Zig_Delivery!$E:$E,"Alimentos")+SUMIFS(Aut_Faturamento_Zig_Delivery!$F:$F,Aut_Faturamento_Zig_Delivery!$D:$D,H2,Aut_Faturamento_Zig_Delivery!$E:$E,"Bebidas")</f>
        <v>1172.8499999999999</v>
      </c>
      <c r="I28" s="340">
        <f>SUMIFS(Aut_Faturamento_Zig_Delivery!$F:$F,Aut_Faturamento_Zig_Delivery!$D:$D,I2,Aut_Faturamento_Zig_Delivery!$E:$E,"Alimentos")+SUMIFS(Aut_Faturamento_Zig_Delivery!$F:$F,Aut_Faturamento_Zig_Delivery!$D:$D,I2,Aut_Faturamento_Zig_Delivery!$E:$E,"Bebidas")</f>
        <v>940.54999999999984</v>
      </c>
      <c r="J28" s="340">
        <f>SUMIFS(Aut_Faturamento_Zig_Delivery!$F:$F,Aut_Faturamento_Zig_Delivery!$D:$D,J2,Aut_Faturamento_Zig_Delivery!$E:$E,"Alimentos")+SUMIFS(Aut_Faturamento_Zig_Delivery!$F:$F,Aut_Faturamento_Zig_Delivery!$D:$D,J2,Aut_Faturamento_Zig_Delivery!$E:$E,"Bebidas")</f>
        <v>386</v>
      </c>
      <c r="K28" s="340">
        <f>SUMIFS(Aut_Faturamento_Zig_Delivery!$F:$F,Aut_Faturamento_Zig_Delivery!$D:$D,K2,Aut_Faturamento_Zig_Delivery!$E:$E,"Alimentos")+SUMIFS(Aut_Faturamento_Zig_Delivery!$F:$F,Aut_Faturamento_Zig_Delivery!$D:$D,K2,Aut_Faturamento_Zig_Delivery!$E:$E,"Bebidas")</f>
        <v>0</v>
      </c>
      <c r="L28" s="340">
        <f>SUMIFS(Aut_Faturamento_Zig_Delivery!$F:$F,Aut_Faturamento_Zig_Delivery!$D:$D,L2,Aut_Faturamento_Zig_Delivery!$E:$E,"Alimentos")+SUMIFS(Aut_Faturamento_Zig_Delivery!$F:$F,Aut_Faturamento_Zig_Delivery!$D:$D,L2,Aut_Faturamento_Zig_Delivery!$E:$E,"Bebidas")</f>
        <v>0</v>
      </c>
      <c r="M28" s="340">
        <f>SUMIFS(Aut_Faturamento_Zig_Delivery!$F:$F,Aut_Faturamento_Zig_Delivery!$D:$D,M2,Aut_Faturamento_Zig_Delivery!$E:$E,"Alimentos")+SUMIFS(Aut_Faturamento_Zig_Delivery!$F:$F,Aut_Faturamento_Zig_Delivery!$D:$D,M2,Aut_Faturamento_Zig_Delivery!$E:$E,"Bebidas")</f>
        <v>0</v>
      </c>
      <c r="N28" s="340">
        <f>SUMIFS(Aut_Faturamento_Zig_Delivery!$F:$F,Aut_Faturamento_Zig_Delivery!$D:$D,N2,Aut_Faturamento_Zig_Delivery!$E:$E,"Alimentos")+SUMIFS(Aut_Faturamento_Zig_Delivery!$F:$F,Aut_Faturamento_Zig_Delivery!$D:$D,N2,Aut_Faturamento_Zig_Delivery!$E:$E,"Bebidas")</f>
        <v>0</v>
      </c>
      <c r="O28" s="340">
        <f>SUMIFS(Aut_Faturamento_Zig_Delivery!$F:$F,Aut_Faturamento_Zig_Delivery!$D:$D,O2,Aut_Faturamento_Zig_Delivery!$E:$E,"Alimentos")+SUMIFS(Aut_Faturamento_Zig_Delivery!$F:$F,Aut_Faturamento_Zig_Delivery!$D:$D,O2,Aut_Faturamento_Zig_Delivery!$E:$E,"Bebidas")</f>
        <v>0</v>
      </c>
      <c r="Q28" s="322"/>
      <c r="R28" s="298"/>
    </row>
    <row r="29" spans="1:18" x14ac:dyDescent="0.3">
      <c r="A29" s="310"/>
      <c r="B29" s="344" t="s">
        <v>502</v>
      </c>
      <c r="C29" s="345">
        <f t="shared" ref="C29:O29" si="8">SUM(C25:C28)</f>
        <v>421064.58</v>
      </c>
      <c r="D29" s="345">
        <f t="shared" si="8"/>
        <v>336131.5</v>
      </c>
      <c r="E29" s="345">
        <f t="shared" si="8"/>
        <v>277576.7</v>
      </c>
      <c r="F29" s="345">
        <f t="shared" si="8"/>
        <v>294185.19999999995</v>
      </c>
      <c r="G29" s="345">
        <f t="shared" si="8"/>
        <v>325426.95</v>
      </c>
      <c r="H29" s="345">
        <f t="shared" si="8"/>
        <v>326849.44999999995</v>
      </c>
      <c r="I29" s="345">
        <f t="shared" si="8"/>
        <v>316982.55</v>
      </c>
      <c r="J29" s="345">
        <f t="shared" si="8"/>
        <v>69260.899999999994</v>
      </c>
      <c r="K29" s="345">
        <f t="shared" si="8"/>
        <v>0</v>
      </c>
      <c r="L29" s="345">
        <f t="shared" si="8"/>
        <v>0</v>
      </c>
      <c r="M29" s="345">
        <f t="shared" si="8"/>
        <v>0</v>
      </c>
      <c r="N29" s="345">
        <f t="shared" si="8"/>
        <v>0</v>
      </c>
      <c r="O29" s="346">
        <f t="shared" si="8"/>
        <v>0</v>
      </c>
      <c r="Q29" s="322"/>
      <c r="R29" s="298"/>
    </row>
    <row r="30" spans="1:18" x14ac:dyDescent="0.3">
      <c r="A30" s="310"/>
      <c r="B30" s="347" t="s">
        <v>503</v>
      </c>
      <c r="C30" s="348">
        <f t="shared" ref="C30:O30" si="9">IFERROR(C24/C29,"-")</f>
        <v>0.34032040880759917</v>
      </c>
      <c r="D30" s="348">
        <f t="shared" si="9"/>
        <v>0.31410995399122077</v>
      </c>
      <c r="E30" s="348">
        <f t="shared" si="9"/>
        <v>0.32914635846596635</v>
      </c>
      <c r="F30" s="348">
        <f t="shared" si="9"/>
        <v>0.32975982476344845</v>
      </c>
      <c r="G30" s="348">
        <f t="shared" si="9"/>
        <v>0.33137197149775083</v>
      </c>
      <c r="H30" s="348">
        <f t="shared" si="9"/>
        <v>0.32381770873409771</v>
      </c>
      <c r="I30" s="348">
        <f t="shared" si="9"/>
        <v>0.50535955370413932</v>
      </c>
      <c r="J30" s="348">
        <f t="shared" si="9"/>
        <v>0.12221700844199251</v>
      </c>
      <c r="K30" s="348" t="str">
        <f t="shared" si="9"/>
        <v>-</v>
      </c>
      <c r="L30" s="348" t="str">
        <f t="shared" si="9"/>
        <v>-</v>
      </c>
      <c r="M30" s="348" t="str">
        <f t="shared" si="9"/>
        <v>-</v>
      </c>
      <c r="N30" s="348" t="str">
        <f t="shared" si="9"/>
        <v>-</v>
      </c>
      <c r="O30" s="349" t="str">
        <f t="shared" si="9"/>
        <v>-</v>
      </c>
    </row>
    <row r="31" spans="1:18" ht="6" customHeight="1" x14ac:dyDescent="0.3">
      <c r="A31" s="310"/>
      <c r="B31" s="347"/>
      <c r="C31" s="350"/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351"/>
    </row>
    <row r="32" spans="1:18" x14ac:dyDescent="0.3">
      <c r="B32" s="311" t="s">
        <v>504</v>
      </c>
      <c r="C32" s="352">
        <f t="shared" ref="C32:J32" si="10">IFERROR((C22)/(C25+(C27*50%)),"-")</f>
        <v>0.41936856520855198</v>
      </c>
      <c r="D32" s="352">
        <f t="shared" si="10"/>
        <v>0.40993962261648609</v>
      </c>
      <c r="E32" s="352">
        <f t="shared" si="10"/>
        <v>0.41446001894670365</v>
      </c>
      <c r="F32" s="352">
        <f t="shared" si="10"/>
        <v>0.45407682103456104</v>
      </c>
      <c r="G32" s="352">
        <f t="shared" si="10"/>
        <v>0.40229328461103875</v>
      </c>
      <c r="H32" s="352">
        <f t="shared" si="10"/>
        <v>0.41786353615591448</v>
      </c>
      <c r="I32" s="352">
        <f t="shared" si="10"/>
        <v>0.63416181366477919</v>
      </c>
      <c r="J32" s="352">
        <f t="shared" si="10"/>
        <v>0.24168975457732761</v>
      </c>
      <c r="K32" s="353" t="str">
        <f t="shared" ref="K32:O33" si="11">IFERROR(K22/K25,"-")</f>
        <v>-</v>
      </c>
      <c r="L32" s="353" t="str">
        <f t="shared" si="11"/>
        <v>-</v>
      </c>
      <c r="M32" s="353" t="str">
        <f t="shared" si="11"/>
        <v>-</v>
      </c>
      <c r="N32" s="353" t="str">
        <f t="shared" si="11"/>
        <v>-</v>
      </c>
      <c r="O32" s="354" t="str">
        <f t="shared" si="11"/>
        <v>-</v>
      </c>
    </row>
    <row r="33" spans="2:15" x14ac:dyDescent="0.3">
      <c r="B33" s="311" t="s">
        <v>505</v>
      </c>
      <c r="C33" s="355">
        <f t="shared" ref="C33:J33" si="12">IFERROR(C23/(C26+(C27*50%)),"-")</f>
        <v>0.28505680999833127</v>
      </c>
      <c r="D33" s="355">
        <f t="shared" si="12"/>
        <v>0.23740358795480068</v>
      </c>
      <c r="E33" s="355">
        <f t="shared" si="12"/>
        <v>0.26177456347368144</v>
      </c>
      <c r="F33" s="355">
        <f t="shared" si="12"/>
        <v>0.23052372570392671</v>
      </c>
      <c r="G33" s="355">
        <f t="shared" si="12"/>
        <v>0.27667778432279327</v>
      </c>
      <c r="H33" s="355">
        <f t="shared" si="12"/>
        <v>0.24073323882085434</v>
      </c>
      <c r="I33" s="355">
        <f t="shared" si="12"/>
        <v>0.39242411223679857</v>
      </c>
      <c r="J33" s="355">
        <f t="shared" si="12"/>
        <v>1.9290300483317657E-2</v>
      </c>
      <c r="K33" s="353" t="str">
        <f t="shared" si="11"/>
        <v>-</v>
      </c>
      <c r="L33" s="353" t="str">
        <f t="shared" si="11"/>
        <v>-</v>
      </c>
      <c r="M33" s="353" t="str">
        <f t="shared" si="11"/>
        <v>-</v>
      </c>
      <c r="N33" s="353" t="str">
        <f t="shared" si="11"/>
        <v>-</v>
      </c>
      <c r="O33" s="354" t="str">
        <f t="shared" si="11"/>
        <v>-</v>
      </c>
    </row>
    <row r="34" spans="2:15" x14ac:dyDescent="0.3">
      <c r="B34" s="335" t="s">
        <v>506</v>
      </c>
      <c r="C34" s="356">
        <f t="shared" ref="C34:O34" si="13">C24/C29</f>
        <v>0.34032040880759917</v>
      </c>
      <c r="D34" s="356">
        <f t="shared" si="13"/>
        <v>0.31410995399122077</v>
      </c>
      <c r="E34" s="356">
        <f t="shared" si="13"/>
        <v>0.32914635846596635</v>
      </c>
      <c r="F34" s="356">
        <f t="shared" si="13"/>
        <v>0.32975982476344845</v>
      </c>
      <c r="G34" s="356">
        <f t="shared" si="13"/>
        <v>0.33137197149775083</v>
      </c>
      <c r="H34" s="356">
        <f t="shared" si="13"/>
        <v>0.32381770873409771</v>
      </c>
      <c r="I34" s="356">
        <f t="shared" si="13"/>
        <v>0.50535955370413932</v>
      </c>
      <c r="J34" s="356">
        <f t="shared" si="13"/>
        <v>0.12221700844199251</v>
      </c>
      <c r="K34" s="356" t="e">
        <f t="shared" si="13"/>
        <v>#DIV/0!</v>
      </c>
      <c r="L34" s="356" t="e">
        <f t="shared" si="13"/>
        <v>#DIV/0!</v>
      </c>
      <c r="M34" s="356" t="e">
        <f t="shared" si="13"/>
        <v>#DIV/0!</v>
      </c>
      <c r="N34" s="356" t="e">
        <f t="shared" si="13"/>
        <v>#DIV/0!</v>
      </c>
      <c r="O34" s="357" t="e">
        <f t="shared" si="13"/>
        <v>#DIV/0!</v>
      </c>
    </row>
    <row r="36" spans="2:15" x14ac:dyDescent="0.3">
      <c r="B36" s="358"/>
    </row>
    <row r="37" spans="2:15" x14ac:dyDescent="0.3">
      <c r="B37" s="35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B1:T83"/>
  <sheetViews>
    <sheetView showGridLines="0" zoomScale="80" zoomScaleNormal="80" workbookViewId="0">
      <selection activeCell="R28" sqref="R28"/>
    </sheetView>
  </sheetViews>
  <sheetFormatPr defaultRowHeight="14.4" outlineLevelRow="1" x14ac:dyDescent="0.3"/>
  <cols>
    <col min="1" max="1" width="3.6640625" customWidth="1"/>
    <col min="2" max="2" width="29.33203125" customWidth="1"/>
    <col min="3" max="3" width="16.6640625" bestFit="1" customWidth="1"/>
    <col min="4" max="4" width="19.6640625" bestFit="1" customWidth="1"/>
    <col min="5" max="7" width="13.6640625" bestFit="1" customWidth="1"/>
    <col min="8" max="8" width="16.88671875" bestFit="1" customWidth="1"/>
    <col min="9" max="19" width="13.6640625" bestFit="1" customWidth="1"/>
    <col min="20" max="20" width="15" bestFit="1" customWidth="1"/>
  </cols>
  <sheetData>
    <row r="1" spans="2:20" s="359" customFormat="1" ht="26.4" customHeight="1" x14ac:dyDescent="0.4">
      <c r="B1" s="471" t="s">
        <v>459</v>
      </c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</row>
    <row r="3" spans="2:20" x14ac:dyDescent="0.3">
      <c r="B3" s="360" t="s">
        <v>507</v>
      </c>
      <c r="C3" s="360" t="s">
        <v>503</v>
      </c>
      <c r="D3" s="360">
        <v>1</v>
      </c>
      <c r="E3" s="360">
        <f>D3+1</f>
        <v>2</v>
      </c>
      <c r="F3" s="360">
        <v>3</v>
      </c>
      <c r="G3" s="360" t="s">
        <v>508</v>
      </c>
      <c r="H3" s="360">
        <f>F3+1</f>
        <v>4</v>
      </c>
      <c r="I3" s="360">
        <f>H3+1</f>
        <v>5</v>
      </c>
      <c r="J3" s="360">
        <v>6</v>
      </c>
      <c r="K3" s="360" t="s">
        <v>509</v>
      </c>
      <c r="L3" s="360">
        <v>7</v>
      </c>
      <c r="M3" s="360">
        <f>L3+1</f>
        <v>8</v>
      </c>
      <c r="N3" s="360">
        <v>9</v>
      </c>
      <c r="O3" s="360" t="s">
        <v>510</v>
      </c>
      <c r="P3" s="360">
        <v>10</v>
      </c>
      <c r="Q3" s="360">
        <f>P3+1</f>
        <v>11</v>
      </c>
      <c r="R3" s="360">
        <v>12</v>
      </c>
      <c r="S3" s="360" t="s">
        <v>511</v>
      </c>
      <c r="T3" s="360" t="s">
        <v>512</v>
      </c>
    </row>
    <row r="4" spans="2:20" x14ac:dyDescent="0.3">
      <c r="B4" s="361" t="s">
        <v>513</v>
      </c>
      <c r="C4" s="362"/>
      <c r="D4" s="363">
        <f t="shared" ref="D4:S4" si="0">SUM(D5:D8)</f>
        <v>4042</v>
      </c>
      <c r="E4" s="363">
        <f t="shared" si="0"/>
        <v>2212</v>
      </c>
      <c r="F4" s="363">
        <f t="shared" si="0"/>
        <v>3551</v>
      </c>
      <c r="G4" s="364">
        <f t="shared" si="0"/>
        <v>9805</v>
      </c>
      <c r="H4" s="365">
        <f t="shared" si="0"/>
        <v>1721</v>
      </c>
      <c r="I4" s="365">
        <f t="shared" si="0"/>
        <v>1350</v>
      </c>
      <c r="J4" s="365">
        <f t="shared" si="0"/>
        <v>937</v>
      </c>
      <c r="K4" s="364">
        <f t="shared" si="0"/>
        <v>4008</v>
      </c>
      <c r="L4" s="365">
        <f t="shared" si="0"/>
        <v>48</v>
      </c>
      <c r="M4" s="365">
        <f t="shared" si="0"/>
        <v>0</v>
      </c>
      <c r="N4" s="365">
        <f t="shared" si="0"/>
        <v>0</v>
      </c>
      <c r="O4" s="364">
        <f t="shared" si="0"/>
        <v>48</v>
      </c>
      <c r="P4" s="365">
        <f t="shared" si="0"/>
        <v>0</v>
      </c>
      <c r="Q4" s="365">
        <f t="shared" si="0"/>
        <v>0</v>
      </c>
      <c r="R4" s="365">
        <f t="shared" si="0"/>
        <v>0</v>
      </c>
      <c r="S4" s="364">
        <f t="shared" si="0"/>
        <v>0</v>
      </c>
      <c r="T4" s="366">
        <f t="shared" ref="T4:T17" si="1">SUM(G4,K4,O4,S4)</f>
        <v>13861</v>
      </c>
    </row>
    <row r="5" spans="2:20" outlineLevel="1" x14ac:dyDescent="0.3">
      <c r="B5" s="367" t="s">
        <v>27</v>
      </c>
      <c r="D5" s="368">
        <f>DRE!J15</f>
        <v>0</v>
      </c>
      <c r="E5" s="368">
        <f>DRE!M15</f>
        <v>0</v>
      </c>
      <c r="F5" s="368">
        <f>DRE!P15</f>
        <v>0</v>
      </c>
      <c r="G5" s="369">
        <f>SUM(D5:F5)</f>
        <v>0</v>
      </c>
      <c r="H5" s="368">
        <f>DRE!S15</f>
        <v>0</v>
      </c>
      <c r="I5" s="368">
        <f>DRE!V15</f>
        <v>0</v>
      </c>
      <c r="J5" s="298">
        <f>DRE!Y15</f>
        <v>0</v>
      </c>
      <c r="K5" s="369">
        <f>SUM(H5:J5)</f>
        <v>0</v>
      </c>
      <c r="L5" s="298">
        <f>DRE!AB15</f>
        <v>0</v>
      </c>
      <c r="M5" s="298">
        <f>DRE!AE15</f>
        <v>0</v>
      </c>
      <c r="N5" s="298">
        <f>DRE!AH15</f>
        <v>0</v>
      </c>
      <c r="O5" s="369">
        <f>SUM(L5:N5)</f>
        <v>0</v>
      </c>
      <c r="P5" s="298">
        <f>DRE!AK15</f>
        <v>0</v>
      </c>
      <c r="Q5" s="298">
        <f>DRE!AN15</f>
        <v>0</v>
      </c>
      <c r="R5" s="298">
        <f>DRE!AQ15</f>
        <v>0</v>
      </c>
      <c r="S5" s="369">
        <f>SUM(P5:R5)</f>
        <v>0</v>
      </c>
      <c r="T5" s="370">
        <f t="shared" si="1"/>
        <v>0</v>
      </c>
    </row>
    <row r="6" spans="2:20" outlineLevel="1" x14ac:dyDescent="0.3">
      <c r="B6" s="367" t="s">
        <v>28</v>
      </c>
      <c r="D6" s="368">
        <f>DRE!J16</f>
        <v>0</v>
      </c>
      <c r="E6" s="368">
        <f>DRE!M16</f>
        <v>0</v>
      </c>
      <c r="F6" s="368">
        <f>DRE!P16</f>
        <v>0</v>
      </c>
      <c r="G6" s="369">
        <f>SUM(D6:F6)</f>
        <v>0</v>
      </c>
      <c r="H6" s="368">
        <f>DRE!S16</f>
        <v>0</v>
      </c>
      <c r="I6" s="368">
        <f>DRE!V16</f>
        <v>0</v>
      </c>
      <c r="J6" s="298">
        <f>DRE!Y16</f>
        <v>0</v>
      </c>
      <c r="K6" s="369">
        <f>SUM(H6:J6)</f>
        <v>0</v>
      </c>
      <c r="L6" s="298">
        <f>DRE!AB16</f>
        <v>0</v>
      </c>
      <c r="M6" s="298">
        <f>DRE!AE16</f>
        <v>0</v>
      </c>
      <c r="N6" s="298">
        <f>DRE!AH16</f>
        <v>0</v>
      </c>
      <c r="O6" s="369">
        <f>SUM(L6:N6)</f>
        <v>0</v>
      </c>
      <c r="P6" s="298">
        <f>DRE!AK16</f>
        <v>0</v>
      </c>
      <c r="Q6" s="298">
        <f>DRE!AN16</f>
        <v>0</v>
      </c>
      <c r="R6" s="298">
        <f>DRE!AQ16</f>
        <v>0</v>
      </c>
      <c r="S6" s="369">
        <f>SUM(P6:R6)</f>
        <v>0</v>
      </c>
      <c r="T6" s="370">
        <f t="shared" si="1"/>
        <v>0</v>
      </c>
    </row>
    <row r="7" spans="2:20" outlineLevel="1" x14ac:dyDescent="0.3">
      <c r="B7" s="367" t="s">
        <v>29</v>
      </c>
      <c r="D7" s="368">
        <f>DRE!J17</f>
        <v>0</v>
      </c>
      <c r="E7" s="368">
        <f>DRE!M17</f>
        <v>0</v>
      </c>
      <c r="F7" s="368">
        <f>DRE!P17</f>
        <v>0</v>
      </c>
      <c r="G7" s="369">
        <f>SUM(D7:F7)</f>
        <v>0</v>
      </c>
      <c r="H7" s="368">
        <f>DRE!S17</f>
        <v>0</v>
      </c>
      <c r="I7" s="368">
        <f>DRE!V17</f>
        <v>0</v>
      </c>
      <c r="J7" s="298">
        <f>DRE!Y17</f>
        <v>0</v>
      </c>
      <c r="K7" s="369">
        <f>SUM(H7:J7)</f>
        <v>0</v>
      </c>
      <c r="L7" s="298">
        <f>DRE!AB17</f>
        <v>0</v>
      </c>
      <c r="M7" s="298">
        <f>DRE!AE17</f>
        <v>0</v>
      </c>
      <c r="N7" s="298">
        <f>DRE!AH17</f>
        <v>0</v>
      </c>
      <c r="O7" s="369">
        <f>SUM(L7:N7)</f>
        <v>0</v>
      </c>
      <c r="P7" s="298">
        <f>DRE!AK17</f>
        <v>0</v>
      </c>
      <c r="Q7" s="298">
        <f>DRE!AN17</f>
        <v>0</v>
      </c>
      <c r="R7" s="298">
        <f>DRE!AQ17</f>
        <v>0</v>
      </c>
      <c r="S7" s="369">
        <f>SUM(P7:R7)</f>
        <v>0</v>
      </c>
      <c r="T7" s="370">
        <f t="shared" si="1"/>
        <v>0</v>
      </c>
    </row>
    <row r="8" spans="2:20" outlineLevel="1" x14ac:dyDescent="0.3">
      <c r="B8" s="367" t="s">
        <v>20</v>
      </c>
      <c r="D8" s="368">
        <f>DRE!J12</f>
        <v>4042</v>
      </c>
      <c r="E8" s="368">
        <f>DRE!M12</f>
        <v>2212</v>
      </c>
      <c r="F8" s="368">
        <f>DRE!P12</f>
        <v>3551</v>
      </c>
      <c r="G8" s="369">
        <f>SUM(D8:F8)</f>
        <v>9805</v>
      </c>
      <c r="H8" s="368">
        <f>DRE!S12</f>
        <v>1721</v>
      </c>
      <c r="I8" s="368">
        <f>DRE!V12</f>
        <v>1350</v>
      </c>
      <c r="J8" s="298">
        <f>DRE!Y12</f>
        <v>937</v>
      </c>
      <c r="K8" s="369">
        <f>SUM(H8:J8)</f>
        <v>4008</v>
      </c>
      <c r="L8" s="298">
        <f>DRE!AB12</f>
        <v>48</v>
      </c>
      <c r="M8" s="298">
        <f>DRE!AE12</f>
        <v>0</v>
      </c>
      <c r="N8" s="298">
        <f>DRE!AH12</f>
        <v>0</v>
      </c>
      <c r="O8" s="369">
        <f>SUM(L8:N8)</f>
        <v>48</v>
      </c>
      <c r="P8" s="298">
        <f>DRE!AK12</f>
        <v>0</v>
      </c>
      <c r="Q8" s="298">
        <f>DRE!AN12</f>
        <v>0</v>
      </c>
      <c r="R8" s="298">
        <f>DRE!AQ12</f>
        <v>0</v>
      </c>
      <c r="S8" s="369">
        <f>SUM(P8:R8)</f>
        <v>0</v>
      </c>
      <c r="T8" s="370">
        <f t="shared" si="1"/>
        <v>13861</v>
      </c>
    </row>
    <row r="9" spans="2:20" x14ac:dyDescent="0.3">
      <c r="B9" s="361" t="s">
        <v>514</v>
      </c>
      <c r="C9" s="362"/>
      <c r="D9" s="363">
        <f t="shared" ref="D9:S9" si="2">SUM(D10:D15)-D11</f>
        <v>338642.35</v>
      </c>
      <c r="E9" s="363">
        <f t="shared" si="2"/>
        <v>279100.38</v>
      </c>
      <c r="F9" s="363">
        <f t="shared" si="2"/>
        <v>296444.73999999993</v>
      </c>
      <c r="G9" s="364">
        <f t="shared" si="2"/>
        <v>914187.47</v>
      </c>
      <c r="H9" s="365">
        <f t="shared" si="2"/>
        <v>326934.56000000006</v>
      </c>
      <c r="I9" s="365">
        <f t="shared" si="2"/>
        <v>329578.26999999996</v>
      </c>
      <c r="J9" s="365">
        <f t="shared" si="2"/>
        <v>318491.37</v>
      </c>
      <c r="K9" s="364">
        <f t="shared" si="2"/>
        <v>975004.20000000019</v>
      </c>
      <c r="L9" s="365">
        <f t="shared" si="2"/>
        <v>69782.83</v>
      </c>
      <c r="M9" s="365">
        <f t="shared" si="2"/>
        <v>0</v>
      </c>
      <c r="N9" s="365">
        <f t="shared" si="2"/>
        <v>0</v>
      </c>
      <c r="O9" s="364">
        <f t="shared" si="2"/>
        <v>69782.83</v>
      </c>
      <c r="P9" s="365">
        <f t="shared" si="2"/>
        <v>0</v>
      </c>
      <c r="Q9" s="365">
        <f t="shared" si="2"/>
        <v>0</v>
      </c>
      <c r="R9" s="365">
        <f t="shared" si="2"/>
        <v>0</v>
      </c>
      <c r="S9" s="364">
        <f t="shared" si="2"/>
        <v>0</v>
      </c>
      <c r="T9" s="366">
        <f t="shared" si="1"/>
        <v>1958974.5000000002</v>
      </c>
    </row>
    <row r="10" spans="2:20" outlineLevel="1" x14ac:dyDescent="0.3">
      <c r="B10" s="367" t="s">
        <v>25</v>
      </c>
      <c r="D10" s="368">
        <f>DRE!J14</f>
        <v>0</v>
      </c>
      <c r="E10" s="368">
        <f>DRE!M14</f>
        <v>0</v>
      </c>
      <c r="F10" s="368">
        <f>DRE!P14</f>
        <v>0</v>
      </c>
      <c r="G10" s="369">
        <f t="shared" ref="G10:G16" si="3">SUM(D10:F10)</f>
        <v>0</v>
      </c>
      <c r="H10" s="368">
        <f>DRE!S14</f>
        <v>0</v>
      </c>
      <c r="I10" s="368">
        <f>DRE!V14</f>
        <v>0</v>
      </c>
      <c r="J10" s="298">
        <f>DRE!Y14</f>
        <v>0</v>
      </c>
      <c r="K10" s="369">
        <f t="shared" ref="K10:K16" si="4">SUM(H10:J10)</f>
        <v>0</v>
      </c>
      <c r="L10" s="298">
        <f>DRE!AB14</f>
        <v>0</v>
      </c>
      <c r="M10" s="298">
        <f>DRE!AE14</f>
        <v>0</v>
      </c>
      <c r="N10" s="298">
        <f>DRE!AH14</f>
        <v>0</v>
      </c>
      <c r="O10" s="369">
        <f t="shared" ref="O10:O16" si="5">SUM(L10:N10)</f>
        <v>0</v>
      </c>
      <c r="P10" s="298">
        <f>DRE!AK14</f>
        <v>0</v>
      </c>
      <c r="Q10" s="298">
        <f>DRE!AN14</f>
        <v>0</v>
      </c>
      <c r="R10" s="298">
        <f>DRE!AQ14</f>
        <v>0</v>
      </c>
      <c r="S10" s="369">
        <f t="shared" ref="S10:S16" si="6">SUM(P10:R10)</f>
        <v>0</v>
      </c>
      <c r="T10" s="370">
        <f t="shared" si="1"/>
        <v>0</v>
      </c>
    </row>
    <row r="11" spans="2:20" outlineLevel="1" x14ac:dyDescent="0.3">
      <c r="B11" s="367" t="s">
        <v>515</v>
      </c>
      <c r="D11" s="368">
        <f>DRE!J13</f>
        <v>43508.149999999994</v>
      </c>
      <c r="E11" s="368">
        <f>DRE!M13</f>
        <v>35399.379999999997</v>
      </c>
      <c r="F11" s="368">
        <f>DRE!P13</f>
        <v>37123.69</v>
      </c>
      <c r="G11" s="369">
        <f t="shared" si="3"/>
        <v>116031.22</v>
      </c>
      <c r="H11" s="368">
        <f>DRE!S13</f>
        <v>40637.149999999994</v>
      </c>
      <c r="I11" s="368">
        <f>DRE!V13</f>
        <v>41612.769999999997</v>
      </c>
      <c r="J11" s="298">
        <f>DRE!Y13</f>
        <v>40068.76999999999</v>
      </c>
      <c r="K11" s="369">
        <f t="shared" si="4"/>
        <v>122318.68999999997</v>
      </c>
      <c r="L11" s="298">
        <f>DRE!AB13</f>
        <v>8709.5500000000011</v>
      </c>
      <c r="M11" s="298">
        <f>DRE!AE13</f>
        <v>0</v>
      </c>
      <c r="N11" s="298">
        <f>DRE!AH13</f>
        <v>0</v>
      </c>
      <c r="O11" s="369">
        <f t="shared" si="5"/>
        <v>8709.5500000000011</v>
      </c>
      <c r="P11" s="298">
        <f>DRE!AK13</f>
        <v>0</v>
      </c>
      <c r="Q11" s="298">
        <f>DRE!AN13</f>
        <v>0</v>
      </c>
      <c r="R11" s="298">
        <f>DRE!AQ13</f>
        <v>0</v>
      </c>
      <c r="S11" s="369">
        <f t="shared" si="6"/>
        <v>0</v>
      </c>
      <c r="T11" s="370">
        <f t="shared" si="1"/>
        <v>247059.45999999996</v>
      </c>
    </row>
    <row r="12" spans="2:20" outlineLevel="1" x14ac:dyDescent="0.3">
      <c r="B12" s="367" t="s">
        <v>15</v>
      </c>
      <c r="D12" s="368">
        <f>DRE!J9</f>
        <v>150801.5</v>
      </c>
      <c r="E12" s="368">
        <f>DRE!M9</f>
        <v>125404.4</v>
      </c>
      <c r="F12" s="368">
        <f>DRE!P9</f>
        <v>134559.5</v>
      </c>
      <c r="G12" s="369">
        <f t="shared" si="3"/>
        <v>410765.4</v>
      </c>
      <c r="H12" s="368">
        <f>DRE!S9</f>
        <v>147447.9</v>
      </c>
      <c r="I12" s="368">
        <f>DRE!V9</f>
        <v>154905.5</v>
      </c>
      <c r="J12" s="298">
        <f>DRE!Y9</f>
        <v>149615.29999999999</v>
      </c>
      <c r="K12" s="369">
        <f t="shared" si="4"/>
        <v>451968.7</v>
      </c>
      <c r="L12" s="298">
        <f>DRE!AB9</f>
        <v>32087.5</v>
      </c>
      <c r="M12" s="298">
        <f>DRE!AE9</f>
        <v>0</v>
      </c>
      <c r="N12" s="298">
        <f>DRE!AH9</f>
        <v>0</v>
      </c>
      <c r="O12" s="369">
        <f t="shared" si="5"/>
        <v>32087.5</v>
      </c>
      <c r="P12" s="298">
        <f>DRE!AK9</f>
        <v>0</v>
      </c>
      <c r="Q12" s="298">
        <f>DRE!AN9</f>
        <v>0</v>
      </c>
      <c r="R12" s="298">
        <f>DRE!AQ9</f>
        <v>0</v>
      </c>
      <c r="S12" s="369">
        <f t="shared" si="6"/>
        <v>0</v>
      </c>
      <c r="T12" s="370">
        <f t="shared" si="1"/>
        <v>894821.60000000009</v>
      </c>
    </row>
    <row r="13" spans="2:20" outlineLevel="1" x14ac:dyDescent="0.3">
      <c r="B13" s="367" t="s">
        <v>18</v>
      </c>
      <c r="D13" s="368">
        <f>DRE!J10</f>
        <v>184339</v>
      </c>
      <c r="E13" s="368">
        <f>DRE!M10</f>
        <v>150466.30000000002</v>
      </c>
      <c r="F13" s="368">
        <f>DRE!P10</f>
        <v>155776.19999999995</v>
      </c>
      <c r="G13" s="369">
        <f t="shared" si="3"/>
        <v>490581.5</v>
      </c>
      <c r="H13" s="368">
        <f>DRE!S10</f>
        <v>175366.70000000004</v>
      </c>
      <c r="I13" s="368">
        <f>DRE!V10</f>
        <v>170771.1</v>
      </c>
      <c r="J13" s="298">
        <f>DRE!Y10</f>
        <v>166426.70000000001</v>
      </c>
      <c r="K13" s="369">
        <f t="shared" si="4"/>
        <v>512564.50000000006</v>
      </c>
      <c r="L13" s="298">
        <f>DRE!AB10</f>
        <v>36787.4</v>
      </c>
      <c r="M13" s="298">
        <f>DRE!AE10</f>
        <v>0</v>
      </c>
      <c r="N13" s="298">
        <f>DRE!AH10</f>
        <v>0</v>
      </c>
      <c r="O13" s="369">
        <f t="shared" si="5"/>
        <v>36787.4</v>
      </c>
      <c r="P13" s="298">
        <f>DRE!AK10</f>
        <v>0</v>
      </c>
      <c r="Q13" s="298">
        <f>DRE!AN10</f>
        <v>0</v>
      </c>
      <c r="R13" s="298">
        <f>DRE!AQ10</f>
        <v>0</v>
      </c>
      <c r="S13" s="369">
        <f t="shared" si="6"/>
        <v>0</v>
      </c>
      <c r="T13" s="370">
        <f t="shared" si="1"/>
        <v>1039933.4</v>
      </c>
    </row>
    <row r="14" spans="2:20" outlineLevel="1" x14ac:dyDescent="0.3">
      <c r="B14" s="367" t="s">
        <v>19</v>
      </c>
      <c r="D14" s="368">
        <f>DRE!J11</f>
        <v>2490</v>
      </c>
      <c r="E14" s="368">
        <f>DRE!M11</f>
        <v>1365</v>
      </c>
      <c r="F14" s="368">
        <f>DRE!P11</f>
        <v>1995</v>
      </c>
      <c r="G14" s="369">
        <f t="shared" si="3"/>
        <v>5850</v>
      </c>
      <c r="H14" s="368">
        <f>DRE!S11</f>
        <v>1290</v>
      </c>
      <c r="I14" s="368">
        <f>DRE!V11</f>
        <v>2655</v>
      </c>
      <c r="J14" s="298">
        <f>DRE!Y11</f>
        <v>1440</v>
      </c>
      <c r="K14" s="369">
        <f t="shared" si="4"/>
        <v>5385</v>
      </c>
      <c r="L14" s="298">
        <f>DRE!AB11</f>
        <v>480</v>
      </c>
      <c r="M14" s="298">
        <f>DRE!AE11</f>
        <v>0</v>
      </c>
      <c r="N14" s="298">
        <f>DRE!AH11</f>
        <v>0</v>
      </c>
      <c r="O14" s="369">
        <f t="shared" si="5"/>
        <v>480</v>
      </c>
      <c r="P14" s="298">
        <f>DRE!AK11</f>
        <v>0</v>
      </c>
      <c r="Q14" s="298">
        <f>DRE!AN11</f>
        <v>0</v>
      </c>
      <c r="R14" s="298">
        <f>DRE!AQ11</f>
        <v>0</v>
      </c>
      <c r="S14" s="369">
        <f t="shared" si="6"/>
        <v>0</v>
      </c>
      <c r="T14" s="370">
        <f t="shared" si="1"/>
        <v>11715</v>
      </c>
    </row>
    <row r="15" spans="2:20" outlineLevel="1" x14ac:dyDescent="0.3">
      <c r="B15" s="367" t="s">
        <v>31</v>
      </c>
      <c r="D15" s="368">
        <f>DRE!J18</f>
        <v>1011.8500000000001</v>
      </c>
      <c r="E15" s="368">
        <f>DRE!M18</f>
        <v>1864.6800000000003</v>
      </c>
      <c r="F15" s="368">
        <f>DRE!P18</f>
        <v>4114.0399999999991</v>
      </c>
      <c r="G15" s="369">
        <f t="shared" si="3"/>
        <v>6990.57</v>
      </c>
      <c r="H15" s="368">
        <f>DRE!S18</f>
        <v>2829.9600000000005</v>
      </c>
      <c r="I15" s="368">
        <f>DRE!V18</f>
        <v>1246.67</v>
      </c>
      <c r="J15" s="298">
        <f>DRE!Y18</f>
        <v>1009.3700000000002</v>
      </c>
      <c r="K15" s="369">
        <f t="shared" si="4"/>
        <v>5086.0000000000009</v>
      </c>
      <c r="L15" s="298">
        <f>DRE!AB18</f>
        <v>427.93</v>
      </c>
      <c r="M15" s="298">
        <f>DRE!AE18</f>
        <v>0</v>
      </c>
      <c r="N15" s="298">
        <f>DRE!AH18</f>
        <v>0</v>
      </c>
      <c r="O15" s="369">
        <f t="shared" si="5"/>
        <v>427.93</v>
      </c>
      <c r="P15" s="298">
        <f>DRE!AK18</f>
        <v>0</v>
      </c>
      <c r="Q15" s="298">
        <f>DRE!AN18</f>
        <v>0</v>
      </c>
      <c r="R15" s="298">
        <f>DRE!AQ18</f>
        <v>0</v>
      </c>
      <c r="S15" s="369">
        <f t="shared" si="6"/>
        <v>0</v>
      </c>
      <c r="T15" s="370">
        <f t="shared" si="1"/>
        <v>12504.5</v>
      </c>
    </row>
    <row r="16" spans="2:20" x14ac:dyDescent="0.3">
      <c r="B16" s="361" t="s">
        <v>516</v>
      </c>
      <c r="C16" s="362"/>
      <c r="D16" s="371">
        <f>DRE!J19</f>
        <v>189</v>
      </c>
      <c r="E16" s="371">
        <f>DRE!M19</f>
        <v>297</v>
      </c>
      <c r="F16" s="371">
        <f>DRE!P19</f>
        <v>270</v>
      </c>
      <c r="G16" s="364">
        <f t="shared" si="3"/>
        <v>756</v>
      </c>
      <c r="H16" s="371">
        <f>DRE!S19</f>
        <v>216</v>
      </c>
      <c r="I16" s="371">
        <f>DRE!V19</f>
        <v>270</v>
      </c>
      <c r="J16" s="365">
        <f>DRE!Y19</f>
        <v>0</v>
      </c>
      <c r="K16" s="369">
        <f t="shared" si="4"/>
        <v>486</v>
      </c>
      <c r="L16" s="365">
        <f>DRE!AB19</f>
        <v>0</v>
      </c>
      <c r="M16" s="365">
        <f>DRE!AE19</f>
        <v>0</v>
      </c>
      <c r="N16" s="365">
        <f>DRE!AH19</f>
        <v>0</v>
      </c>
      <c r="O16" s="369">
        <f t="shared" si="5"/>
        <v>0</v>
      </c>
      <c r="P16" s="365">
        <f>DRE!AK19</f>
        <v>0</v>
      </c>
      <c r="Q16" s="365">
        <f>DRE!AN19</f>
        <v>0</v>
      </c>
      <c r="R16" s="365">
        <f>DRE!AQ19</f>
        <v>0</v>
      </c>
      <c r="S16" s="369">
        <f t="shared" si="6"/>
        <v>0</v>
      </c>
      <c r="T16" s="366">
        <f t="shared" si="1"/>
        <v>1242</v>
      </c>
    </row>
    <row r="17" spans="2:20" ht="15" customHeight="1" thickBot="1" x14ac:dyDescent="0.35">
      <c r="B17" s="372" t="s">
        <v>517</v>
      </c>
      <c r="C17" s="373"/>
      <c r="D17" s="374">
        <f t="shared" ref="D17:S17" si="7">D4+D9+D16+D11</f>
        <v>386381.5</v>
      </c>
      <c r="E17" s="374">
        <f t="shared" si="7"/>
        <v>317008.76</v>
      </c>
      <c r="F17" s="374">
        <f t="shared" si="7"/>
        <v>337389.42999999993</v>
      </c>
      <c r="G17" s="375">
        <f t="shared" si="7"/>
        <v>1040779.69</v>
      </c>
      <c r="H17" s="374">
        <f t="shared" si="7"/>
        <v>369508.71000000008</v>
      </c>
      <c r="I17" s="374">
        <f t="shared" si="7"/>
        <v>372811.04</v>
      </c>
      <c r="J17" s="374">
        <f t="shared" si="7"/>
        <v>359497.14</v>
      </c>
      <c r="K17" s="375">
        <f t="shared" si="7"/>
        <v>1101816.8900000001</v>
      </c>
      <c r="L17" s="374">
        <f t="shared" si="7"/>
        <v>78540.38</v>
      </c>
      <c r="M17" s="374">
        <f t="shared" si="7"/>
        <v>0</v>
      </c>
      <c r="N17" s="374">
        <f t="shared" si="7"/>
        <v>0</v>
      </c>
      <c r="O17" s="375">
        <f t="shared" si="7"/>
        <v>78540.38</v>
      </c>
      <c r="P17" s="374">
        <f t="shared" si="7"/>
        <v>0</v>
      </c>
      <c r="Q17" s="374">
        <f t="shared" si="7"/>
        <v>0</v>
      </c>
      <c r="R17" s="374">
        <f t="shared" si="7"/>
        <v>0</v>
      </c>
      <c r="S17" s="375">
        <f t="shared" si="7"/>
        <v>0</v>
      </c>
      <c r="T17" s="376">
        <f t="shared" si="1"/>
        <v>2221136.96</v>
      </c>
    </row>
    <row r="18" spans="2:20" x14ac:dyDescent="0.3">
      <c r="B18" s="362"/>
      <c r="C18" s="362"/>
      <c r="D18" s="365"/>
      <c r="E18" s="365"/>
      <c r="F18" s="365"/>
      <c r="G18" s="365"/>
      <c r="H18" s="365"/>
      <c r="I18" s="365"/>
      <c r="J18" s="365"/>
      <c r="K18" s="365"/>
      <c r="L18" s="365"/>
      <c r="M18" s="365"/>
      <c r="N18" s="365"/>
      <c r="O18" s="365"/>
      <c r="P18" s="365"/>
      <c r="Q18" s="365"/>
      <c r="R18" s="365"/>
      <c r="S18" s="365"/>
      <c r="T18" s="365"/>
    </row>
    <row r="19" spans="2:20" ht="14.7" customHeight="1" thickBot="1" x14ac:dyDescent="0.35"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365"/>
    </row>
    <row r="20" spans="2:20" x14ac:dyDescent="0.3">
      <c r="B20" s="377" t="s">
        <v>51</v>
      </c>
      <c r="C20" s="378">
        <v>0.05</v>
      </c>
      <c r="D20" s="379">
        <f>D$4*$C$20</f>
        <v>202.10000000000002</v>
      </c>
      <c r="E20" s="379">
        <f>E$4*$C$20</f>
        <v>110.60000000000001</v>
      </c>
      <c r="F20" s="379">
        <f>F$4*$C$20</f>
        <v>177.55</v>
      </c>
      <c r="G20" s="380">
        <f>G4*$C$20</f>
        <v>490.25</v>
      </c>
      <c r="H20" s="379">
        <f>H$4*$C$20</f>
        <v>86.050000000000011</v>
      </c>
      <c r="I20" s="379">
        <f>I$4*$C$20</f>
        <v>67.5</v>
      </c>
      <c r="J20" s="379">
        <f>J$4*$C$20</f>
        <v>46.85</v>
      </c>
      <c r="K20" s="380">
        <f>K4*$C$20</f>
        <v>200.4</v>
      </c>
      <c r="L20" s="379">
        <f>L$4*$C$20</f>
        <v>2.4000000000000004</v>
      </c>
      <c r="M20" s="379">
        <f>M$4*$C$20</f>
        <v>0</v>
      </c>
      <c r="N20" s="379">
        <f>N$4*$C$20</f>
        <v>0</v>
      </c>
      <c r="O20" s="380">
        <f>O4*$C$20</f>
        <v>2.4000000000000004</v>
      </c>
      <c r="P20" s="379">
        <f>P$4*$C$20</f>
        <v>0</v>
      </c>
      <c r="Q20" s="379">
        <f>Q$4*$C$20</f>
        <v>0</v>
      </c>
      <c r="R20" s="379">
        <f>R$4*$C$20</f>
        <v>0</v>
      </c>
      <c r="S20" s="380">
        <f>S4*$C$20</f>
        <v>0</v>
      </c>
      <c r="T20" s="381">
        <f>SUM(G20,K20,O20,S20)</f>
        <v>693.05</v>
      </c>
    </row>
    <row r="21" spans="2:20" x14ac:dyDescent="0.3">
      <c r="B21" s="367" t="s">
        <v>518</v>
      </c>
      <c r="C21" s="382">
        <v>6.4999999999999997E-3</v>
      </c>
      <c r="D21" s="298">
        <f t="shared" ref="D21:S21" si="8">(D9+D4-D23)*($C$21)</f>
        <v>2227.4482749999997</v>
      </c>
      <c r="E21" s="298">
        <f t="shared" si="8"/>
        <v>1828.5304699999999</v>
      </c>
      <c r="F21" s="298">
        <f t="shared" si="8"/>
        <v>1949.9723099999994</v>
      </c>
      <c r="G21" s="369">
        <f t="shared" si="8"/>
        <v>5768.2623127999996</v>
      </c>
      <c r="H21" s="298">
        <f t="shared" si="8"/>
        <v>2136.2611400000001</v>
      </c>
      <c r="I21" s="298">
        <f t="shared" si="8"/>
        <v>2151.0337549999995</v>
      </c>
      <c r="J21" s="298">
        <f t="shared" si="8"/>
        <v>2076.2844049999999</v>
      </c>
      <c r="K21" s="369">
        <f t="shared" si="8"/>
        <v>6110.0782080000008</v>
      </c>
      <c r="L21" s="298">
        <f t="shared" si="8"/>
        <v>435.75685919999995</v>
      </c>
      <c r="M21" s="298">
        <f t="shared" si="8"/>
        <v>0</v>
      </c>
      <c r="N21" s="298">
        <f t="shared" si="8"/>
        <v>0</v>
      </c>
      <c r="O21" s="369">
        <f t="shared" si="8"/>
        <v>435.75685919999995</v>
      </c>
      <c r="P21" s="298">
        <f t="shared" si="8"/>
        <v>0</v>
      </c>
      <c r="Q21" s="298">
        <f t="shared" si="8"/>
        <v>0</v>
      </c>
      <c r="R21" s="298">
        <f t="shared" si="8"/>
        <v>0</v>
      </c>
      <c r="S21" s="369">
        <f t="shared" si="8"/>
        <v>0</v>
      </c>
      <c r="T21" s="383">
        <f>SUM(G21,K21,O21,S21)</f>
        <v>12314.097380000001</v>
      </c>
    </row>
    <row r="22" spans="2:20" x14ac:dyDescent="0.3">
      <c r="B22" s="367" t="s">
        <v>519</v>
      </c>
      <c r="C22" s="382">
        <v>0.03</v>
      </c>
      <c r="D22" s="298">
        <f t="shared" ref="D22:S22" si="9">(D9+D4-D23)*($C$22)</f>
        <v>10280.530499999999</v>
      </c>
      <c r="E22" s="298">
        <f t="shared" si="9"/>
        <v>8439.3714</v>
      </c>
      <c r="F22" s="298">
        <f t="shared" si="9"/>
        <v>8999.872199999998</v>
      </c>
      <c r="G22" s="369">
        <f t="shared" si="9"/>
        <v>26622.749135999999</v>
      </c>
      <c r="H22" s="298">
        <f t="shared" si="9"/>
        <v>9859.6668000000009</v>
      </c>
      <c r="I22" s="298">
        <f t="shared" si="9"/>
        <v>9927.8480999999992</v>
      </c>
      <c r="J22" s="298">
        <f t="shared" si="9"/>
        <v>9582.8510999999999</v>
      </c>
      <c r="K22" s="369">
        <f t="shared" si="9"/>
        <v>28200.360960000002</v>
      </c>
      <c r="L22" s="298">
        <f t="shared" si="9"/>
        <v>2011.1855039999998</v>
      </c>
      <c r="M22" s="298">
        <f t="shared" si="9"/>
        <v>0</v>
      </c>
      <c r="N22" s="298">
        <f t="shared" si="9"/>
        <v>0</v>
      </c>
      <c r="O22" s="369">
        <f t="shared" si="9"/>
        <v>2011.1855039999998</v>
      </c>
      <c r="P22" s="298">
        <f t="shared" si="9"/>
        <v>0</v>
      </c>
      <c r="Q22" s="298">
        <f t="shared" si="9"/>
        <v>0</v>
      </c>
      <c r="R22" s="298">
        <f t="shared" si="9"/>
        <v>0</v>
      </c>
      <c r="S22" s="369">
        <f t="shared" si="9"/>
        <v>0</v>
      </c>
      <c r="T22" s="383">
        <f>SUM(G22,K22,O22,S22)</f>
        <v>56834.295600000005</v>
      </c>
    </row>
    <row r="23" spans="2:20" ht="15" customHeight="1" thickBot="1" x14ac:dyDescent="0.35">
      <c r="B23" s="384" t="s">
        <v>50</v>
      </c>
      <c r="C23" s="385">
        <v>0.04</v>
      </c>
      <c r="D23" s="427"/>
      <c r="E23" s="427"/>
      <c r="F23" s="427"/>
      <c r="G23" s="387">
        <f>G9*$C$23</f>
        <v>36567.498800000001</v>
      </c>
      <c r="H23" s="427"/>
      <c r="I23" s="427"/>
      <c r="J23" s="427"/>
      <c r="K23" s="387">
        <f t="shared" ref="K23:S23" si="10">K9*$C$23</f>
        <v>39000.168000000005</v>
      </c>
      <c r="L23" s="386">
        <f t="shared" si="10"/>
        <v>2791.3132000000001</v>
      </c>
      <c r="M23" s="386">
        <f t="shared" si="10"/>
        <v>0</v>
      </c>
      <c r="N23" s="386">
        <f t="shared" si="10"/>
        <v>0</v>
      </c>
      <c r="O23" s="387">
        <f t="shared" si="10"/>
        <v>2791.3132000000001</v>
      </c>
      <c r="P23" s="386">
        <f t="shared" si="10"/>
        <v>0</v>
      </c>
      <c r="Q23" s="386">
        <f t="shared" si="10"/>
        <v>0</v>
      </c>
      <c r="R23" s="386">
        <f t="shared" si="10"/>
        <v>0</v>
      </c>
      <c r="S23" s="387">
        <f t="shared" si="10"/>
        <v>0</v>
      </c>
      <c r="T23" s="388">
        <f>SUM(G23,K23,O23,S23)</f>
        <v>78358.98000000001</v>
      </c>
    </row>
    <row r="24" spans="2:20" ht="15" customHeight="1" thickBot="1" x14ac:dyDescent="0.35">
      <c r="C24" s="382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</row>
    <row r="25" spans="2:20" x14ac:dyDescent="0.3">
      <c r="B25" s="377" t="s">
        <v>520</v>
      </c>
      <c r="C25" s="378">
        <v>0.32</v>
      </c>
      <c r="D25" s="389">
        <f t="shared" ref="D25:S25" si="11">SUM(D4)*$C$25</f>
        <v>1293.44</v>
      </c>
      <c r="E25" s="389">
        <f t="shared" si="11"/>
        <v>707.84</v>
      </c>
      <c r="F25" s="389">
        <f t="shared" si="11"/>
        <v>1136.32</v>
      </c>
      <c r="G25" s="380">
        <f t="shared" si="11"/>
        <v>3137.6</v>
      </c>
      <c r="H25" s="389">
        <f t="shared" si="11"/>
        <v>550.72</v>
      </c>
      <c r="I25" s="389">
        <f t="shared" si="11"/>
        <v>432</v>
      </c>
      <c r="J25" s="389">
        <f t="shared" si="11"/>
        <v>299.84000000000003</v>
      </c>
      <c r="K25" s="380">
        <f t="shared" si="11"/>
        <v>1282.56</v>
      </c>
      <c r="L25" s="389">
        <f t="shared" si="11"/>
        <v>15.36</v>
      </c>
      <c r="M25" s="389">
        <f t="shared" si="11"/>
        <v>0</v>
      </c>
      <c r="N25" s="389">
        <f t="shared" si="11"/>
        <v>0</v>
      </c>
      <c r="O25" s="380">
        <f t="shared" si="11"/>
        <v>15.36</v>
      </c>
      <c r="P25" s="389">
        <f t="shared" si="11"/>
        <v>0</v>
      </c>
      <c r="Q25" s="389">
        <f t="shared" si="11"/>
        <v>0</v>
      </c>
      <c r="R25" s="389">
        <f t="shared" si="11"/>
        <v>0</v>
      </c>
      <c r="S25" s="380">
        <f t="shared" si="11"/>
        <v>0</v>
      </c>
      <c r="T25" s="381">
        <f>SUM(G25,K25,O25,S25)</f>
        <v>4435.5199999999995</v>
      </c>
    </row>
    <row r="26" spans="2:20" x14ac:dyDescent="0.3">
      <c r="B26" s="367" t="s">
        <v>521</v>
      </c>
      <c r="C26" s="382">
        <v>0.08</v>
      </c>
      <c r="D26" s="365">
        <f t="shared" ref="D26:S26" si="12">SUM(D9)*$C$26</f>
        <v>27091.387999999999</v>
      </c>
      <c r="E26" s="365">
        <f t="shared" si="12"/>
        <v>22328.0304</v>
      </c>
      <c r="F26" s="365">
        <f t="shared" si="12"/>
        <v>23715.579199999996</v>
      </c>
      <c r="G26" s="369">
        <f t="shared" si="12"/>
        <v>73134.997600000002</v>
      </c>
      <c r="H26" s="365">
        <f t="shared" si="12"/>
        <v>26154.764800000004</v>
      </c>
      <c r="I26" s="365">
        <f t="shared" si="12"/>
        <v>26366.261599999998</v>
      </c>
      <c r="J26" s="365">
        <f t="shared" si="12"/>
        <v>25479.309600000001</v>
      </c>
      <c r="K26" s="369">
        <f t="shared" si="12"/>
        <v>78000.33600000001</v>
      </c>
      <c r="L26" s="365">
        <f t="shared" si="12"/>
        <v>5582.6264000000001</v>
      </c>
      <c r="M26" s="365">
        <f t="shared" si="12"/>
        <v>0</v>
      </c>
      <c r="N26" s="365">
        <f t="shared" si="12"/>
        <v>0</v>
      </c>
      <c r="O26" s="369">
        <f t="shared" si="12"/>
        <v>5582.6264000000001</v>
      </c>
      <c r="P26" s="365">
        <f t="shared" si="12"/>
        <v>0</v>
      </c>
      <c r="Q26" s="365">
        <f t="shared" si="12"/>
        <v>0</v>
      </c>
      <c r="R26" s="365">
        <f t="shared" si="12"/>
        <v>0</v>
      </c>
      <c r="S26" s="369">
        <f t="shared" si="12"/>
        <v>0</v>
      </c>
      <c r="T26" s="383">
        <f>SUM(G26,K26,O26,S26)</f>
        <v>156717.96000000002</v>
      </c>
    </row>
    <row r="27" spans="2:20" x14ac:dyDescent="0.3">
      <c r="B27" s="367" t="s">
        <v>522</v>
      </c>
      <c r="C27" s="382">
        <v>1</v>
      </c>
      <c r="D27" s="365">
        <f t="shared" ref="D27:S27" si="13">SUM(D16)</f>
        <v>189</v>
      </c>
      <c r="E27" s="365">
        <f t="shared" si="13"/>
        <v>297</v>
      </c>
      <c r="F27" s="365">
        <f t="shared" si="13"/>
        <v>270</v>
      </c>
      <c r="G27" s="369">
        <f t="shared" si="13"/>
        <v>756</v>
      </c>
      <c r="H27" s="365">
        <f t="shared" si="13"/>
        <v>216</v>
      </c>
      <c r="I27" s="365">
        <f t="shared" si="13"/>
        <v>270</v>
      </c>
      <c r="J27" s="365">
        <f t="shared" si="13"/>
        <v>0</v>
      </c>
      <c r="K27" s="369">
        <f t="shared" si="13"/>
        <v>486</v>
      </c>
      <c r="L27" s="365">
        <f t="shared" si="13"/>
        <v>0</v>
      </c>
      <c r="M27" s="365">
        <f t="shared" si="13"/>
        <v>0</v>
      </c>
      <c r="N27" s="365">
        <f t="shared" si="13"/>
        <v>0</v>
      </c>
      <c r="O27" s="369">
        <f t="shared" si="13"/>
        <v>0</v>
      </c>
      <c r="P27" s="365">
        <f t="shared" si="13"/>
        <v>0</v>
      </c>
      <c r="Q27" s="365">
        <f t="shared" si="13"/>
        <v>0</v>
      </c>
      <c r="R27" s="365">
        <f t="shared" si="13"/>
        <v>0</v>
      </c>
      <c r="S27" s="369">
        <f t="shared" si="13"/>
        <v>0</v>
      </c>
      <c r="T27" s="383">
        <f>SUM(G27,K27,O27,S27)</f>
        <v>1242</v>
      </c>
    </row>
    <row r="28" spans="2:20" x14ac:dyDescent="0.3">
      <c r="B28" s="367" t="s">
        <v>523</v>
      </c>
      <c r="C28" s="382">
        <v>0.1</v>
      </c>
      <c r="D28" s="365"/>
      <c r="E28" s="365"/>
      <c r="F28" s="365"/>
      <c r="G28" s="369">
        <f>IF((G25+G26+G27)-60000&gt;=0,(G25+G26+G27-60000)*$C$28,0)</f>
        <v>1702.859760000001</v>
      </c>
      <c r="H28" s="365"/>
      <c r="I28" s="365"/>
      <c r="J28" s="365"/>
      <c r="K28" s="369">
        <f>IF((K25+K26+K27)-60000&gt;=0,(K25+K26+K27-60000)*$C$28,0)</f>
        <v>1976.8896000000009</v>
      </c>
      <c r="L28" s="365"/>
      <c r="M28" s="365"/>
      <c r="N28" s="365"/>
      <c r="O28" s="369">
        <f>IF((O25+O26+O27)-60000&gt;=0,(O25+O26+O27-60000)*$C$28,0)</f>
        <v>0</v>
      </c>
      <c r="P28" s="365"/>
      <c r="Q28" s="365"/>
      <c r="R28" s="365"/>
      <c r="S28" s="369">
        <f>IF((S25+S26+S27)-60000&gt;=0,(S25+S26+S27-60000)*$C$28,0)</f>
        <v>0</v>
      </c>
      <c r="T28" s="383">
        <f>SUM(G28,K28,O28,S28)</f>
        <v>3679.7493600000016</v>
      </c>
    </row>
    <row r="29" spans="2:20" ht="15" customHeight="1" thickBot="1" x14ac:dyDescent="0.35">
      <c r="B29" s="372" t="s">
        <v>524</v>
      </c>
      <c r="C29" s="390"/>
      <c r="D29" s="374">
        <f t="shared" ref="D29:S29" si="14">SUM(D25:D27)*15%+D28</f>
        <v>4286.0741999999991</v>
      </c>
      <c r="E29" s="374">
        <f t="shared" si="14"/>
        <v>3499.9305599999998</v>
      </c>
      <c r="F29" s="374">
        <f t="shared" si="14"/>
        <v>3768.2848799999992</v>
      </c>
      <c r="G29" s="387">
        <f t="shared" si="14"/>
        <v>13257.149400000002</v>
      </c>
      <c r="H29" s="374">
        <f t="shared" si="14"/>
        <v>4038.2227200000007</v>
      </c>
      <c r="I29" s="374">
        <f t="shared" si="14"/>
        <v>4060.2392399999994</v>
      </c>
      <c r="J29" s="374">
        <f t="shared" si="14"/>
        <v>3866.8724400000001</v>
      </c>
      <c r="K29" s="387">
        <f t="shared" si="14"/>
        <v>13942.224000000002</v>
      </c>
      <c r="L29" s="374">
        <f t="shared" si="14"/>
        <v>839.69795999999997</v>
      </c>
      <c r="M29" s="374">
        <f t="shared" si="14"/>
        <v>0</v>
      </c>
      <c r="N29" s="374">
        <f t="shared" si="14"/>
        <v>0</v>
      </c>
      <c r="O29" s="387">
        <f t="shared" si="14"/>
        <v>839.69795999999997</v>
      </c>
      <c r="P29" s="374">
        <f t="shared" si="14"/>
        <v>0</v>
      </c>
      <c r="Q29" s="374">
        <f t="shared" si="14"/>
        <v>0</v>
      </c>
      <c r="R29" s="374">
        <f t="shared" si="14"/>
        <v>0</v>
      </c>
      <c r="S29" s="387">
        <f t="shared" si="14"/>
        <v>0</v>
      </c>
      <c r="T29" s="376">
        <f>SUM(G29,K29,O29,S29)</f>
        <v>28039.071360000005</v>
      </c>
    </row>
    <row r="30" spans="2:20" ht="15" customHeight="1" thickBot="1" x14ac:dyDescent="0.35">
      <c r="C30" s="382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298"/>
      <c r="S30" s="298"/>
      <c r="T30" s="298"/>
    </row>
    <row r="31" spans="2:20" x14ac:dyDescent="0.3">
      <c r="B31" s="377" t="s">
        <v>525</v>
      </c>
      <c r="C31" s="378">
        <v>0.32</v>
      </c>
      <c r="D31" s="389">
        <f t="shared" ref="D31:S31" si="15">SUM(D4)*$C$31*9%</f>
        <v>116.4096</v>
      </c>
      <c r="E31" s="389">
        <f t="shared" si="15"/>
        <v>63.705600000000004</v>
      </c>
      <c r="F31" s="389">
        <f t="shared" si="15"/>
        <v>102.26879999999998</v>
      </c>
      <c r="G31" s="380">
        <f t="shared" si="15"/>
        <v>282.38399999999996</v>
      </c>
      <c r="H31" s="389">
        <f t="shared" si="15"/>
        <v>49.564799999999998</v>
      </c>
      <c r="I31" s="389">
        <f t="shared" si="15"/>
        <v>38.879999999999995</v>
      </c>
      <c r="J31" s="389">
        <f t="shared" si="15"/>
        <v>26.985600000000002</v>
      </c>
      <c r="K31" s="380">
        <f t="shared" si="15"/>
        <v>115.43039999999999</v>
      </c>
      <c r="L31" s="389">
        <f t="shared" si="15"/>
        <v>1.3823999999999999</v>
      </c>
      <c r="M31" s="389">
        <f t="shared" si="15"/>
        <v>0</v>
      </c>
      <c r="N31" s="389">
        <f t="shared" si="15"/>
        <v>0</v>
      </c>
      <c r="O31" s="380">
        <f t="shared" si="15"/>
        <v>1.3823999999999999</v>
      </c>
      <c r="P31" s="389">
        <f t="shared" si="15"/>
        <v>0</v>
      </c>
      <c r="Q31" s="389">
        <f t="shared" si="15"/>
        <v>0</v>
      </c>
      <c r="R31" s="389">
        <f t="shared" si="15"/>
        <v>0</v>
      </c>
      <c r="S31" s="380">
        <f t="shared" si="15"/>
        <v>0</v>
      </c>
      <c r="T31" s="381">
        <f>SUM(G31,K31,O31,S31)</f>
        <v>399.1968</v>
      </c>
    </row>
    <row r="32" spans="2:20" x14ac:dyDescent="0.3">
      <c r="B32" s="367" t="s">
        <v>526</v>
      </c>
      <c r="C32" s="382">
        <v>0.12</v>
      </c>
      <c r="D32" s="365">
        <f t="shared" ref="D32:S32" si="16">SUM(D9)*$C$32*9%</f>
        <v>3657.3373799999995</v>
      </c>
      <c r="E32" s="365">
        <f t="shared" si="16"/>
        <v>3014.2841039999998</v>
      </c>
      <c r="F32" s="365">
        <f t="shared" si="16"/>
        <v>3201.6031919999991</v>
      </c>
      <c r="G32" s="369">
        <f t="shared" si="16"/>
        <v>9873.224675999998</v>
      </c>
      <c r="H32" s="365">
        <f t="shared" si="16"/>
        <v>3530.8932480000003</v>
      </c>
      <c r="I32" s="365">
        <f t="shared" si="16"/>
        <v>3559.4453159999998</v>
      </c>
      <c r="J32" s="365">
        <f t="shared" si="16"/>
        <v>3439.7067959999995</v>
      </c>
      <c r="K32" s="369">
        <f t="shared" si="16"/>
        <v>10530.045360000002</v>
      </c>
      <c r="L32" s="365">
        <f t="shared" si="16"/>
        <v>753.65456399999994</v>
      </c>
      <c r="M32" s="365">
        <f t="shared" si="16"/>
        <v>0</v>
      </c>
      <c r="N32" s="365">
        <f t="shared" si="16"/>
        <v>0</v>
      </c>
      <c r="O32" s="369">
        <f t="shared" si="16"/>
        <v>753.65456399999994</v>
      </c>
      <c r="P32" s="365">
        <f t="shared" si="16"/>
        <v>0</v>
      </c>
      <c r="Q32" s="365">
        <f t="shared" si="16"/>
        <v>0</v>
      </c>
      <c r="R32" s="365">
        <f t="shared" si="16"/>
        <v>0</v>
      </c>
      <c r="S32" s="369">
        <f t="shared" si="16"/>
        <v>0</v>
      </c>
      <c r="T32" s="383">
        <f>SUM(G32,K32,O32,S32)</f>
        <v>21156.924600000002</v>
      </c>
    </row>
    <row r="33" spans="2:20" x14ac:dyDescent="0.3">
      <c r="B33" s="367" t="s">
        <v>527</v>
      </c>
      <c r="C33" s="382">
        <v>1</v>
      </c>
      <c r="D33" s="365">
        <f>SUM(D16
)*9%</f>
        <v>17.009999999999998</v>
      </c>
      <c r="E33" s="365">
        <f>SUM(E16
)*9%</f>
        <v>26.73</v>
      </c>
      <c r="F33" s="365">
        <f>SUM(
F16)*9%</f>
        <v>24.3</v>
      </c>
      <c r="G33" s="369">
        <f>SUM(G16
)*9%</f>
        <v>68.039999999999992</v>
      </c>
      <c r="H33" s="365">
        <f>SUM(H16
)*9%</f>
        <v>19.439999999999998</v>
      </c>
      <c r="I33" s="365">
        <f>SUM(I16
)*9%</f>
        <v>24.3</v>
      </c>
      <c r="J33" s="365">
        <f>SUM(
J16)*9%</f>
        <v>0</v>
      </c>
      <c r="K33" s="369">
        <f>SUM(K16
)*9%</f>
        <v>43.739999999999995</v>
      </c>
      <c r="L33" s="365">
        <f>SUM(L16
)*9%</f>
        <v>0</v>
      </c>
      <c r="M33" s="365">
        <f>SUM(M16
)*9%</f>
        <v>0</v>
      </c>
      <c r="N33" s="365">
        <f>SUM(
N16)*9%</f>
        <v>0</v>
      </c>
      <c r="O33" s="369">
        <f>SUM(O16
)*9%</f>
        <v>0</v>
      </c>
      <c r="P33" s="365">
        <f>SUM(P16
)*9%</f>
        <v>0</v>
      </c>
      <c r="Q33" s="365">
        <f>SUM(Q16
)*9%</f>
        <v>0</v>
      </c>
      <c r="R33" s="365">
        <f>SUM(
R16)*9%</f>
        <v>0</v>
      </c>
      <c r="S33" s="369">
        <f>SUM(S16
)*9%</f>
        <v>0</v>
      </c>
      <c r="T33" s="383">
        <f>SUM(G33,K33,O33,S33)</f>
        <v>111.77999999999999</v>
      </c>
    </row>
    <row r="34" spans="2:20" ht="15" customHeight="1" thickBot="1" x14ac:dyDescent="0.35">
      <c r="B34" s="372" t="s">
        <v>528</v>
      </c>
      <c r="C34" s="390"/>
      <c r="D34" s="374">
        <f t="shared" ref="D34:T34" si="17">SUM(D31:D33)</f>
        <v>3790.7569799999997</v>
      </c>
      <c r="E34" s="374">
        <f t="shared" si="17"/>
        <v>3104.7197039999996</v>
      </c>
      <c r="F34" s="374">
        <f t="shared" si="17"/>
        <v>3328.1719919999991</v>
      </c>
      <c r="G34" s="387">
        <f t="shared" si="17"/>
        <v>10223.648675999999</v>
      </c>
      <c r="H34" s="374">
        <f t="shared" si="17"/>
        <v>3599.8980480000005</v>
      </c>
      <c r="I34" s="374">
        <f t="shared" si="17"/>
        <v>3622.6253160000001</v>
      </c>
      <c r="J34" s="374">
        <f t="shared" si="17"/>
        <v>3466.6923959999995</v>
      </c>
      <c r="K34" s="387">
        <f t="shared" si="17"/>
        <v>10689.215760000001</v>
      </c>
      <c r="L34" s="374">
        <f t="shared" si="17"/>
        <v>755.0369639999999</v>
      </c>
      <c r="M34" s="374">
        <f t="shared" si="17"/>
        <v>0</v>
      </c>
      <c r="N34" s="374">
        <f t="shared" si="17"/>
        <v>0</v>
      </c>
      <c r="O34" s="387">
        <f t="shared" si="17"/>
        <v>755.0369639999999</v>
      </c>
      <c r="P34" s="374">
        <f t="shared" si="17"/>
        <v>0</v>
      </c>
      <c r="Q34" s="374">
        <f t="shared" si="17"/>
        <v>0</v>
      </c>
      <c r="R34" s="374">
        <f t="shared" si="17"/>
        <v>0</v>
      </c>
      <c r="S34" s="387">
        <f t="shared" si="17"/>
        <v>0</v>
      </c>
      <c r="T34" s="376">
        <f t="shared" si="17"/>
        <v>21667.901400000002</v>
      </c>
    </row>
    <row r="35" spans="2:20" ht="15" customHeight="1" thickBot="1" x14ac:dyDescent="0.35">
      <c r="C35" s="382"/>
      <c r="D35" s="298"/>
      <c r="E35" s="298"/>
      <c r="F35" s="298"/>
      <c r="G35" s="298"/>
      <c r="H35" s="298"/>
      <c r="I35" s="298"/>
      <c r="J35" s="298"/>
      <c r="K35" s="298"/>
      <c r="L35" s="298"/>
      <c r="M35" s="298"/>
      <c r="N35" s="298"/>
      <c r="O35" s="298"/>
      <c r="P35" s="298"/>
      <c r="Q35" s="298"/>
      <c r="R35" s="298"/>
      <c r="S35" s="298"/>
      <c r="T35" s="298"/>
    </row>
    <row r="36" spans="2:20" x14ac:dyDescent="0.3">
      <c r="B36" s="391" t="s">
        <v>529</v>
      </c>
      <c r="C36" s="392"/>
      <c r="D36" s="393">
        <f t="shared" ref="D36:S36" si="18">D20</f>
        <v>202.10000000000002</v>
      </c>
      <c r="E36" s="393">
        <f t="shared" si="18"/>
        <v>110.60000000000001</v>
      </c>
      <c r="F36" s="393">
        <f t="shared" si="18"/>
        <v>177.55</v>
      </c>
      <c r="G36" s="393">
        <f t="shared" si="18"/>
        <v>490.25</v>
      </c>
      <c r="H36" s="393">
        <f t="shared" si="18"/>
        <v>86.050000000000011</v>
      </c>
      <c r="I36" s="393">
        <f t="shared" si="18"/>
        <v>67.5</v>
      </c>
      <c r="J36" s="393">
        <f t="shared" si="18"/>
        <v>46.85</v>
      </c>
      <c r="K36" s="393">
        <f t="shared" si="18"/>
        <v>200.4</v>
      </c>
      <c r="L36" s="393">
        <f t="shared" si="18"/>
        <v>2.4000000000000004</v>
      </c>
      <c r="M36" s="393">
        <f t="shared" si="18"/>
        <v>0</v>
      </c>
      <c r="N36" s="393">
        <f t="shared" si="18"/>
        <v>0</v>
      </c>
      <c r="O36" s="393">
        <f t="shared" si="18"/>
        <v>2.4000000000000004</v>
      </c>
      <c r="P36" s="393">
        <f t="shared" si="18"/>
        <v>0</v>
      </c>
      <c r="Q36" s="393">
        <f t="shared" si="18"/>
        <v>0</v>
      </c>
      <c r="R36" s="393">
        <f t="shared" si="18"/>
        <v>0</v>
      </c>
      <c r="S36" s="393">
        <f t="shared" si="18"/>
        <v>0</v>
      </c>
      <c r="T36" s="394">
        <f>SUM(G36,K36,O36,S36)</f>
        <v>693.05</v>
      </c>
    </row>
    <row r="37" spans="2:20" x14ac:dyDescent="0.3">
      <c r="B37" s="395" t="s">
        <v>530</v>
      </c>
      <c r="C37" s="396"/>
      <c r="D37" s="397">
        <f t="shared" ref="D37:S37" si="19">D23</f>
        <v>0</v>
      </c>
      <c r="E37" s="397">
        <f t="shared" si="19"/>
        <v>0</v>
      </c>
      <c r="F37" s="397">
        <f t="shared" si="19"/>
        <v>0</v>
      </c>
      <c r="G37" s="397">
        <f t="shared" si="19"/>
        <v>36567.498800000001</v>
      </c>
      <c r="H37" s="397">
        <f t="shared" si="19"/>
        <v>0</v>
      </c>
      <c r="I37" s="397">
        <f t="shared" si="19"/>
        <v>0</v>
      </c>
      <c r="J37" s="397">
        <f t="shared" si="19"/>
        <v>0</v>
      </c>
      <c r="K37" s="397">
        <f t="shared" si="19"/>
        <v>39000.168000000005</v>
      </c>
      <c r="L37" s="397">
        <f t="shared" si="19"/>
        <v>2791.3132000000001</v>
      </c>
      <c r="M37" s="397">
        <f t="shared" si="19"/>
        <v>0</v>
      </c>
      <c r="N37" s="397">
        <f t="shared" si="19"/>
        <v>0</v>
      </c>
      <c r="O37" s="397">
        <f t="shared" si="19"/>
        <v>2791.3132000000001</v>
      </c>
      <c r="P37" s="397">
        <f t="shared" si="19"/>
        <v>0</v>
      </c>
      <c r="Q37" s="397">
        <f t="shared" si="19"/>
        <v>0</v>
      </c>
      <c r="R37" s="397">
        <f t="shared" si="19"/>
        <v>0</v>
      </c>
      <c r="S37" s="397">
        <f t="shared" si="19"/>
        <v>0</v>
      </c>
      <c r="T37" s="398">
        <f>SUM(G37,K37,O37,S37)</f>
        <v>78358.98000000001</v>
      </c>
    </row>
    <row r="38" spans="2:20" x14ac:dyDescent="0.3">
      <c r="B38" s="395" t="s">
        <v>531</v>
      </c>
      <c r="C38" s="396"/>
      <c r="D38" s="397">
        <f t="shared" ref="D38:S38" si="20">D21+D22</f>
        <v>12507.978775</v>
      </c>
      <c r="E38" s="397">
        <f t="shared" si="20"/>
        <v>10267.90187</v>
      </c>
      <c r="F38" s="397">
        <f t="shared" si="20"/>
        <v>10949.844509999997</v>
      </c>
      <c r="G38" s="397">
        <f t="shared" si="20"/>
        <v>32391.011448799996</v>
      </c>
      <c r="H38" s="397">
        <f t="shared" si="20"/>
        <v>11995.927940000001</v>
      </c>
      <c r="I38" s="397">
        <f t="shared" si="20"/>
        <v>12078.881855</v>
      </c>
      <c r="J38" s="397">
        <f t="shared" si="20"/>
        <v>11659.135505</v>
      </c>
      <c r="K38" s="397">
        <f t="shared" si="20"/>
        <v>34310.439168000004</v>
      </c>
      <c r="L38" s="397">
        <f t="shared" si="20"/>
        <v>2446.9423631999998</v>
      </c>
      <c r="M38" s="397">
        <f t="shared" si="20"/>
        <v>0</v>
      </c>
      <c r="N38" s="397">
        <f t="shared" si="20"/>
        <v>0</v>
      </c>
      <c r="O38" s="397">
        <f t="shared" si="20"/>
        <v>2446.9423631999998</v>
      </c>
      <c r="P38" s="397">
        <f t="shared" si="20"/>
        <v>0</v>
      </c>
      <c r="Q38" s="397">
        <f t="shared" si="20"/>
        <v>0</v>
      </c>
      <c r="R38" s="397">
        <f t="shared" si="20"/>
        <v>0</v>
      </c>
      <c r="S38" s="397">
        <f t="shared" si="20"/>
        <v>0</v>
      </c>
      <c r="T38" s="398">
        <f>SUM(G38,K38,O38,S38)</f>
        <v>69148.39297999999</v>
      </c>
    </row>
    <row r="39" spans="2:20" ht="15" customHeight="1" thickBot="1" x14ac:dyDescent="0.35">
      <c r="B39" s="399" t="s">
        <v>532</v>
      </c>
      <c r="C39" s="400"/>
      <c r="D39" s="401"/>
      <c r="E39" s="401"/>
      <c r="F39" s="401"/>
      <c r="G39" s="402">
        <f>G29+G34</f>
        <v>23480.798075999999</v>
      </c>
      <c r="H39" s="401"/>
      <c r="I39" s="401"/>
      <c r="J39" s="401"/>
      <c r="K39" s="402">
        <f>K29+K34</f>
        <v>24631.439760000001</v>
      </c>
      <c r="L39" s="401"/>
      <c r="M39" s="401"/>
      <c r="N39" s="401"/>
      <c r="O39" s="402">
        <f>O29+O34</f>
        <v>1594.7349239999999</v>
      </c>
      <c r="P39" s="401"/>
      <c r="Q39" s="401"/>
      <c r="R39" s="401"/>
      <c r="S39" s="402">
        <f>S29+S34</f>
        <v>0</v>
      </c>
      <c r="T39" s="403">
        <f>SUM(G39,K39,O39,S39)</f>
        <v>49706.972759999997</v>
      </c>
    </row>
    <row r="40" spans="2:20" x14ac:dyDescent="0.3"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</row>
    <row r="41" spans="2:20" x14ac:dyDescent="0.3"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</row>
    <row r="42" spans="2:20" x14ac:dyDescent="0.3"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</row>
    <row r="43" spans="2:20" ht="15" customHeight="1" thickBot="1" x14ac:dyDescent="0.35"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</row>
    <row r="44" spans="2:20" x14ac:dyDescent="0.3">
      <c r="B44" s="473" t="s">
        <v>533</v>
      </c>
      <c r="C44" s="474"/>
      <c r="D44" s="474"/>
      <c r="E44" s="474"/>
      <c r="F44" s="474"/>
      <c r="G44" s="474"/>
      <c r="H44" s="474"/>
      <c r="I44" s="474"/>
      <c r="J44" s="474"/>
      <c r="K44" s="474"/>
      <c r="L44" s="474"/>
      <c r="M44" s="474"/>
      <c r="N44" s="475"/>
      <c r="O44" s="298"/>
      <c r="P44" s="298"/>
      <c r="Q44" s="298"/>
      <c r="R44" s="298"/>
      <c r="S44" s="298"/>
      <c r="T44" s="298"/>
    </row>
    <row r="45" spans="2:20" x14ac:dyDescent="0.3">
      <c r="C45" s="368"/>
      <c r="F45" s="404"/>
      <c r="G45" s="404"/>
      <c r="H45" s="404"/>
      <c r="I45" s="404"/>
      <c r="J45" s="404"/>
      <c r="K45" s="405"/>
      <c r="L45" s="405"/>
      <c r="M45" s="405"/>
      <c r="O45" s="298"/>
      <c r="P45" s="298"/>
      <c r="Q45" s="298"/>
      <c r="R45" s="298"/>
      <c r="S45" s="298"/>
      <c r="T45" s="298"/>
    </row>
    <row r="46" spans="2:20" x14ac:dyDescent="0.3">
      <c r="B46" s="406" t="s">
        <v>507</v>
      </c>
      <c r="C46" s="407" t="s">
        <v>534</v>
      </c>
      <c r="D46" s="406" t="s">
        <v>535</v>
      </c>
      <c r="E46" s="404"/>
      <c r="F46" s="406" t="s">
        <v>536</v>
      </c>
      <c r="G46" s="406" t="s">
        <v>503</v>
      </c>
      <c r="H46" s="406" t="s">
        <v>537</v>
      </c>
      <c r="I46" s="406" t="s">
        <v>538</v>
      </c>
      <c r="J46" s="406" t="s">
        <v>503</v>
      </c>
      <c r="K46" s="408" t="s">
        <v>539</v>
      </c>
      <c r="L46" s="408" t="s">
        <v>540</v>
      </c>
      <c r="M46" s="408" t="s">
        <v>541</v>
      </c>
      <c r="N46" s="406" t="s">
        <v>542</v>
      </c>
      <c r="O46" s="298"/>
      <c r="P46" s="298"/>
      <c r="Q46" s="298"/>
      <c r="R46" s="298"/>
      <c r="S46" s="298"/>
      <c r="T46" s="298"/>
    </row>
    <row r="47" spans="2:20" x14ac:dyDescent="0.3">
      <c r="B47" s="409">
        <v>45658</v>
      </c>
      <c r="C47" s="410">
        <f t="shared" ref="C47:C58" si="21">$C$59</f>
        <v>386381.5</v>
      </c>
      <c r="D47" s="411"/>
      <c r="E47" s="411"/>
      <c r="F47" s="411"/>
      <c r="G47" s="411"/>
      <c r="H47" s="411"/>
      <c r="I47" s="411"/>
      <c r="J47" s="411"/>
      <c r="K47" s="411"/>
      <c r="L47" s="411"/>
      <c r="M47" s="411"/>
      <c r="N47" s="411"/>
      <c r="O47" s="298"/>
      <c r="P47" s="298"/>
      <c r="Q47" s="298"/>
      <c r="R47" s="298"/>
      <c r="S47" s="298"/>
      <c r="T47" s="298"/>
    </row>
    <row r="48" spans="2:20" x14ac:dyDescent="0.3">
      <c r="B48" s="409">
        <v>45689</v>
      </c>
      <c r="C48" s="410">
        <f t="shared" si="21"/>
        <v>386381.5</v>
      </c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298"/>
      <c r="P48" s="298"/>
      <c r="Q48" s="298"/>
      <c r="R48" s="298"/>
      <c r="S48" s="298"/>
      <c r="T48" s="298"/>
    </row>
    <row r="49" spans="2:20" x14ac:dyDescent="0.3">
      <c r="B49" s="409">
        <v>45717</v>
      </c>
      <c r="C49" s="410">
        <f t="shared" si="21"/>
        <v>386381.5</v>
      </c>
      <c r="D49" s="411"/>
      <c r="E49" s="411"/>
      <c r="F49" s="411"/>
      <c r="G49" s="411"/>
      <c r="H49" s="411"/>
      <c r="I49" s="411"/>
      <c r="J49" s="411"/>
      <c r="K49" s="411"/>
      <c r="L49" s="411"/>
      <c r="M49" s="411"/>
      <c r="N49" s="411"/>
      <c r="O49" s="298"/>
      <c r="P49" s="298"/>
      <c r="Q49" s="298"/>
      <c r="R49" s="298"/>
      <c r="S49" s="298"/>
      <c r="T49" s="298"/>
    </row>
    <row r="50" spans="2:20" x14ac:dyDescent="0.3">
      <c r="B50" s="409">
        <v>45748</v>
      </c>
      <c r="C50" s="410">
        <f t="shared" si="21"/>
        <v>386381.5</v>
      </c>
      <c r="D50" s="411"/>
      <c r="E50" s="411"/>
      <c r="F50" s="411"/>
      <c r="G50" s="411"/>
      <c r="H50" s="411"/>
      <c r="I50" s="411"/>
      <c r="J50" s="411"/>
      <c r="K50" s="411"/>
      <c r="L50" s="411"/>
      <c r="M50" s="411"/>
      <c r="N50" s="411"/>
      <c r="O50" s="298"/>
      <c r="P50" s="298"/>
      <c r="Q50" s="298"/>
      <c r="R50" s="298"/>
      <c r="S50" s="298"/>
      <c r="T50" s="298"/>
    </row>
    <row r="51" spans="2:20" x14ac:dyDescent="0.3">
      <c r="B51" s="409">
        <v>45778</v>
      </c>
      <c r="C51" s="410">
        <f t="shared" si="21"/>
        <v>386381.5</v>
      </c>
      <c r="D51" s="411"/>
      <c r="E51" s="411"/>
      <c r="F51" s="411"/>
      <c r="G51" s="411"/>
      <c r="H51" s="411"/>
      <c r="I51" s="411"/>
      <c r="J51" s="411"/>
      <c r="K51" s="411"/>
      <c r="L51" s="411"/>
      <c r="M51" s="411"/>
      <c r="N51" s="411"/>
      <c r="O51" s="298"/>
      <c r="P51" s="298"/>
      <c r="Q51" s="298"/>
      <c r="R51" s="298"/>
      <c r="S51" s="298"/>
      <c r="T51" s="298"/>
    </row>
    <row r="52" spans="2:20" x14ac:dyDescent="0.3">
      <c r="B52" s="409">
        <v>45809</v>
      </c>
      <c r="C52" s="410">
        <f t="shared" si="21"/>
        <v>386381.5</v>
      </c>
      <c r="D52" s="411"/>
      <c r="E52" s="411"/>
      <c r="F52" s="411"/>
      <c r="G52" s="411"/>
      <c r="H52" s="411"/>
      <c r="I52" s="411"/>
      <c r="J52" s="411"/>
      <c r="K52" s="411"/>
      <c r="L52" s="411"/>
      <c r="M52" s="411"/>
      <c r="N52" s="411"/>
      <c r="O52" s="298"/>
      <c r="P52" s="298"/>
      <c r="Q52" s="298"/>
      <c r="R52" s="298"/>
      <c r="S52" s="298"/>
      <c r="T52" s="298"/>
    </row>
    <row r="53" spans="2:20" x14ac:dyDescent="0.3">
      <c r="B53" s="409">
        <v>45839</v>
      </c>
      <c r="C53" s="410">
        <f t="shared" si="21"/>
        <v>386381.5</v>
      </c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1"/>
      <c r="O53" s="298"/>
      <c r="P53" s="298"/>
      <c r="Q53" s="298"/>
      <c r="R53" s="298"/>
      <c r="S53" s="298"/>
      <c r="T53" s="298"/>
    </row>
    <row r="54" spans="2:20" x14ac:dyDescent="0.3">
      <c r="B54" s="409">
        <v>45870</v>
      </c>
      <c r="C54" s="410">
        <f t="shared" si="21"/>
        <v>386381.5</v>
      </c>
      <c r="D54" s="411"/>
      <c r="E54" s="411"/>
      <c r="F54" s="411"/>
      <c r="G54" s="411"/>
      <c r="H54" s="411"/>
      <c r="I54" s="411"/>
      <c r="J54" s="411"/>
      <c r="K54" s="411"/>
      <c r="L54" s="411"/>
      <c r="M54" s="411"/>
      <c r="N54" s="411"/>
      <c r="O54" s="298"/>
      <c r="P54" s="298"/>
      <c r="Q54" s="298"/>
      <c r="R54" s="298"/>
      <c r="S54" s="298"/>
      <c r="T54" s="298"/>
    </row>
    <row r="55" spans="2:20" x14ac:dyDescent="0.3">
      <c r="B55" s="409">
        <v>45901</v>
      </c>
      <c r="C55" s="410">
        <f t="shared" si="21"/>
        <v>386381.5</v>
      </c>
      <c r="D55" s="411"/>
      <c r="E55" s="411"/>
      <c r="F55" s="411"/>
      <c r="G55" s="411"/>
      <c r="H55" s="411"/>
      <c r="I55" s="411"/>
      <c r="J55" s="411"/>
      <c r="K55" s="411"/>
      <c r="L55" s="411"/>
      <c r="M55" s="411"/>
      <c r="N55" s="411"/>
      <c r="O55" s="298"/>
      <c r="P55" s="298"/>
      <c r="Q55" s="298"/>
      <c r="R55" s="298"/>
      <c r="S55" s="298"/>
      <c r="T55" s="298"/>
    </row>
    <row r="56" spans="2:20" x14ac:dyDescent="0.3">
      <c r="B56" s="409">
        <v>45931</v>
      </c>
      <c r="C56" s="410">
        <f t="shared" si="21"/>
        <v>386381.5</v>
      </c>
      <c r="D56" s="411"/>
      <c r="E56" s="411"/>
      <c r="F56" s="411"/>
      <c r="G56" s="411"/>
      <c r="H56" s="411"/>
      <c r="I56" s="411"/>
      <c r="J56" s="411"/>
      <c r="K56" s="411"/>
      <c r="L56" s="411"/>
      <c r="M56" s="411"/>
      <c r="N56" s="411"/>
      <c r="O56" s="298"/>
      <c r="P56" s="298"/>
      <c r="Q56" s="298"/>
      <c r="R56" s="298"/>
      <c r="S56" s="298"/>
      <c r="T56" s="298"/>
    </row>
    <row r="57" spans="2:20" x14ac:dyDescent="0.3">
      <c r="B57" s="409">
        <v>45962</v>
      </c>
      <c r="C57" s="410">
        <f t="shared" si="21"/>
        <v>386381.5</v>
      </c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1"/>
      <c r="O57" s="298"/>
      <c r="P57" s="298"/>
      <c r="Q57" s="298"/>
      <c r="R57" s="298"/>
      <c r="S57" s="298"/>
      <c r="T57" s="298"/>
    </row>
    <row r="58" spans="2:20" x14ac:dyDescent="0.3">
      <c r="B58" s="409">
        <v>45992</v>
      </c>
      <c r="C58" s="410">
        <f t="shared" si="21"/>
        <v>386381.5</v>
      </c>
      <c r="D58" s="411"/>
      <c r="E58" s="411"/>
      <c r="F58" s="411"/>
      <c r="G58" s="411"/>
      <c r="H58" s="411"/>
      <c r="I58" s="411"/>
      <c r="J58" s="411"/>
      <c r="K58" s="411"/>
      <c r="L58" s="411"/>
      <c r="M58" s="411"/>
      <c r="N58" s="411"/>
      <c r="O58" s="298"/>
      <c r="P58" s="298"/>
      <c r="Q58" s="298"/>
      <c r="R58" s="298"/>
      <c r="S58" s="298"/>
      <c r="T58" s="298"/>
    </row>
    <row r="59" spans="2:20" x14ac:dyDescent="0.3">
      <c r="B59" s="412">
        <v>46023</v>
      </c>
      <c r="C59" s="413">
        <f>DRE!J8</f>
        <v>386381.5</v>
      </c>
      <c r="D59" s="414">
        <f t="shared" ref="D59:D70" si="22">SUM(C47:C58)</f>
        <v>4636578</v>
      </c>
      <c r="F59" s="415" t="str">
        <f t="shared" ref="F59:F70" si="23">$E$80</f>
        <v>5ª</v>
      </c>
      <c r="G59" s="416">
        <v>0.19</v>
      </c>
      <c r="H59" s="417">
        <f t="shared" ref="H59:H70" si="24">(D59*G59)</f>
        <v>880949.82000000007</v>
      </c>
      <c r="I59" s="418">
        <f t="shared" ref="I59:I70" si="25">-378000</f>
        <v>-378000</v>
      </c>
      <c r="J59" s="352">
        <f t="shared" ref="J59:J70" si="26">(H59+I59)/D59</f>
        <v>0.10847435759734875</v>
      </c>
      <c r="K59" s="405">
        <f t="shared" ref="K59:K70" si="27">C59*J59</f>
        <v>41912.485000000008</v>
      </c>
      <c r="L59" s="419">
        <f t="shared" ref="L59:L70" si="28">C59*4%</f>
        <v>15455.26</v>
      </c>
      <c r="M59" s="405">
        <f t="shared" ref="M59:M70" si="29">K59+L59</f>
        <v>57367.74500000001</v>
      </c>
      <c r="O59" s="298"/>
      <c r="P59" s="298"/>
      <c r="Q59" s="298"/>
      <c r="R59" s="298"/>
      <c r="S59" s="298"/>
      <c r="T59" s="298"/>
    </row>
    <row r="60" spans="2:20" x14ac:dyDescent="0.3">
      <c r="B60" s="412">
        <v>46054</v>
      </c>
      <c r="C60" s="413">
        <f>DRE!M8</f>
        <v>317008.76</v>
      </c>
      <c r="D60" s="414">
        <f t="shared" si="22"/>
        <v>4636578</v>
      </c>
      <c r="F60" s="415" t="str">
        <f t="shared" si="23"/>
        <v>5ª</v>
      </c>
      <c r="G60" s="416">
        <v>0.19</v>
      </c>
      <c r="H60" s="417">
        <f t="shared" si="24"/>
        <v>880949.82000000007</v>
      </c>
      <c r="I60" s="418">
        <f t="shared" si="25"/>
        <v>-378000</v>
      </c>
      <c r="J60" s="352">
        <f t="shared" si="26"/>
        <v>0.10847435759734875</v>
      </c>
      <c r="K60" s="405">
        <f t="shared" si="27"/>
        <v>34387.321593732107</v>
      </c>
      <c r="L60" s="419">
        <f t="shared" si="28"/>
        <v>12680.350400000001</v>
      </c>
      <c r="M60" s="405">
        <f t="shared" si="29"/>
        <v>47067.67199373211</v>
      </c>
      <c r="O60" s="298"/>
      <c r="P60" s="298"/>
      <c r="Q60" s="298"/>
      <c r="R60" s="298"/>
      <c r="S60" s="298"/>
      <c r="T60" s="298"/>
    </row>
    <row r="61" spans="2:20" x14ac:dyDescent="0.3">
      <c r="B61" s="412">
        <v>46082</v>
      </c>
      <c r="C61" s="413">
        <f>DRE!P8</f>
        <v>337389.42999999993</v>
      </c>
      <c r="D61" s="414">
        <f t="shared" si="22"/>
        <v>4567205.26</v>
      </c>
      <c r="F61" s="415" t="str">
        <f t="shared" si="23"/>
        <v>5ª</v>
      </c>
      <c r="G61" s="416">
        <v>0.19</v>
      </c>
      <c r="H61" s="417">
        <f t="shared" si="24"/>
        <v>867768.99939999997</v>
      </c>
      <c r="I61" s="418">
        <f t="shared" si="25"/>
        <v>-378000</v>
      </c>
      <c r="J61" s="352">
        <f t="shared" si="26"/>
        <v>0.10723603856595663</v>
      </c>
      <c r="K61" s="405">
        <f t="shared" si="27"/>
        <v>36180.305927226116</v>
      </c>
      <c r="L61" s="419">
        <f t="shared" si="28"/>
        <v>13495.577199999998</v>
      </c>
      <c r="M61" s="405">
        <f t="shared" si="29"/>
        <v>49675.883127226116</v>
      </c>
      <c r="O61" s="298"/>
      <c r="P61" s="298"/>
      <c r="Q61" s="298"/>
      <c r="R61" s="298"/>
      <c r="S61" s="298"/>
      <c r="T61" s="298"/>
    </row>
    <row r="62" spans="2:20" x14ac:dyDescent="0.3">
      <c r="B62" s="412">
        <v>46113</v>
      </c>
      <c r="C62" s="413">
        <f>DRE!S8</f>
        <v>369508.71</v>
      </c>
      <c r="D62" s="414">
        <f t="shared" si="22"/>
        <v>4518213.1899999995</v>
      </c>
      <c r="F62" s="415" t="str">
        <f t="shared" si="23"/>
        <v>5ª</v>
      </c>
      <c r="G62" s="416">
        <v>0.19</v>
      </c>
      <c r="H62" s="417">
        <f t="shared" si="24"/>
        <v>858460.50609999988</v>
      </c>
      <c r="I62" s="418">
        <f t="shared" si="25"/>
        <v>-378000</v>
      </c>
      <c r="J62" s="352">
        <f t="shared" si="26"/>
        <v>0.10633860906859952</v>
      </c>
      <c r="K62" s="405">
        <f t="shared" si="27"/>
        <v>39293.042260132512</v>
      </c>
      <c r="L62" s="419">
        <f t="shared" si="28"/>
        <v>14780.348400000001</v>
      </c>
      <c r="M62" s="405">
        <f t="shared" si="29"/>
        <v>54073.390660132514</v>
      </c>
      <c r="O62" s="298"/>
      <c r="P62" s="298"/>
      <c r="Q62" s="298"/>
      <c r="R62" s="298"/>
      <c r="S62" s="298"/>
      <c r="T62" s="298"/>
    </row>
    <row r="63" spans="2:20" x14ac:dyDescent="0.3">
      <c r="B63" s="412">
        <v>46143</v>
      </c>
      <c r="C63" s="413">
        <f>DRE!V8</f>
        <v>372811.04</v>
      </c>
      <c r="D63" s="414">
        <f t="shared" si="22"/>
        <v>4501340.3999999994</v>
      </c>
      <c r="F63" s="415" t="str">
        <f t="shared" si="23"/>
        <v>5ª</v>
      </c>
      <c r="G63" s="416">
        <v>0.19</v>
      </c>
      <c r="H63" s="417">
        <f t="shared" si="24"/>
        <v>855254.67599999986</v>
      </c>
      <c r="I63" s="418">
        <f t="shared" si="25"/>
        <v>-378000</v>
      </c>
      <c r="J63" s="352">
        <f t="shared" si="26"/>
        <v>0.10602501334935699</v>
      </c>
      <c r="K63" s="405">
        <f t="shared" si="27"/>
        <v>39527.295492787664</v>
      </c>
      <c r="L63" s="419">
        <f t="shared" si="28"/>
        <v>14912.4416</v>
      </c>
      <c r="M63" s="405">
        <f t="shared" si="29"/>
        <v>54439.737092787662</v>
      </c>
      <c r="O63" s="298"/>
      <c r="P63" s="298"/>
      <c r="Q63" s="298"/>
      <c r="R63" s="298"/>
      <c r="S63" s="298"/>
      <c r="T63" s="298"/>
    </row>
    <row r="64" spans="2:20" x14ac:dyDescent="0.3">
      <c r="B64" s="412">
        <v>46174</v>
      </c>
      <c r="C64" s="413">
        <f>DRE!Y8</f>
        <v>359497.14</v>
      </c>
      <c r="D64" s="414">
        <f t="shared" si="22"/>
        <v>4487769.9399999995</v>
      </c>
      <c r="F64" s="415" t="str">
        <f t="shared" si="23"/>
        <v>5ª</v>
      </c>
      <c r="G64" s="416">
        <v>0.19</v>
      </c>
      <c r="H64" s="417">
        <f t="shared" si="24"/>
        <v>852676.28859999985</v>
      </c>
      <c r="I64" s="418">
        <f t="shared" si="25"/>
        <v>-378000</v>
      </c>
      <c r="J64" s="352">
        <f t="shared" si="26"/>
        <v>0.1057710833991637</v>
      </c>
      <c r="K64" s="405">
        <f t="shared" si="27"/>
        <v>38024.401976700829</v>
      </c>
      <c r="L64" s="419">
        <f t="shared" si="28"/>
        <v>14379.885600000001</v>
      </c>
      <c r="M64" s="405">
        <f t="shared" si="29"/>
        <v>52404.28757670083</v>
      </c>
      <c r="O64" s="298"/>
      <c r="P64" s="298"/>
      <c r="Q64" s="298"/>
      <c r="R64" s="298"/>
      <c r="S64" s="298"/>
      <c r="T64" s="298"/>
    </row>
    <row r="65" spans="2:20" x14ac:dyDescent="0.3">
      <c r="B65" s="412">
        <v>46204</v>
      </c>
      <c r="C65" s="413">
        <f>DRE!AB8</f>
        <v>78540.37999999999</v>
      </c>
      <c r="D65" s="414">
        <f t="shared" si="22"/>
        <v>4460885.5799999991</v>
      </c>
      <c r="F65" s="415" t="str">
        <f t="shared" si="23"/>
        <v>5ª</v>
      </c>
      <c r="G65" s="416">
        <v>0.19</v>
      </c>
      <c r="H65" s="417">
        <f t="shared" si="24"/>
        <v>847568.2601999999</v>
      </c>
      <c r="I65" s="418">
        <f t="shared" si="25"/>
        <v>-378000</v>
      </c>
      <c r="J65" s="352">
        <f t="shared" si="26"/>
        <v>0.10526346210386324</v>
      </c>
      <c r="K65" s="405">
        <f t="shared" si="27"/>
        <v>8267.4323137530173</v>
      </c>
      <c r="L65" s="419">
        <f t="shared" si="28"/>
        <v>3141.6151999999997</v>
      </c>
      <c r="M65" s="405">
        <f t="shared" si="29"/>
        <v>11409.047513753017</v>
      </c>
      <c r="O65" s="298"/>
      <c r="P65" s="298"/>
      <c r="Q65" s="298"/>
      <c r="R65" s="298"/>
      <c r="S65" s="298"/>
      <c r="T65" s="298"/>
    </row>
    <row r="66" spans="2:20" x14ac:dyDescent="0.3">
      <c r="B66" s="412">
        <v>46235</v>
      </c>
      <c r="C66" s="413">
        <f>DRE!AE8</f>
        <v>0</v>
      </c>
      <c r="D66" s="414">
        <f t="shared" si="22"/>
        <v>4153044.4599999995</v>
      </c>
      <c r="F66" s="415" t="str">
        <f t="shared" si="23"/>
        <v>5ª</v>
      </c>
      <c r="G66" s="416">
        <v>0.19</v>
      </c>
      <c r="H66" s="417">
        <f t="shared" si="24"/>
        <v>789078.44739999995</v>
      </c>
      <c r="I66" s="418">
        <f t="shared" si="25"/>
        <v>-378000</v>
      </c>
      <c r="J66" s="352">
        <f t="shared" si="26"/>
        <v>9.8982433575969947E-2</v>
      </c>
      <c r="K66" s="405">
        <f t="shared" si="27"/>
        <v>0</v>
      </c>
      <c r="L66" s="419">
        <f t="shared" si="28"/>
        <v>0</v>
      </c>
      <c r="M66" s="405">
        <f t="shared" si="29"/>
        <v>0</v>
      </c>
      <c r="O66" s="298"/>
      <c r="P66" s="298"/>
      <c r="Q66" s="298"/>
      <c r="R66" s="298"/>
      <c r="S66" s="298"/>
      <c r="T66" s="298"/>
    </row>
    <row r="67" spans="2:20" x14ac:dyDescent="0.3">
      <c r="B67" s="412">
        <v>46266</v>
      </c>
      <c r="C67" s="413">
        <f>DRE!AH8</f>
        <v>0</v>
      </c>
      <c r="D67" s="414">
        <f t="shared" si="22"/>
        <v>3766662.9599999995</v>
      </c>
      <c r="F67" s="415" t="str">
        <f t="shared" si="23"/>
        <v>5ª</v>
      </c>
      <c r="G67" s="416">
        <v>0.19</v>
      </c>
      <c r="H67" s="417">
        <f t="shared" si="24"/>
        <v>715665.96239999996</v>
      </c>
      <c r="I67" s="418">
        <f t="shared" si="25"/>
        <v>-378000</v>
      </c>
      <c r="J67" s="352">
        <f t="shared" si="26"/>
        <v>8.9645918943594569E-2</v>
      </c>
      <c r="K67" s="405">
        <f t="shared" si="27"/>
        <v>0</v>
      </c>
      <c r="L67" s="419">
        <f t="shared" si="28"/>
        <v>0</v>
      </c>
      <c r="M67" s="405">
        <f t="shared" si="29"/>
        <v>0</v>
      </c>
      <c r="O67" s="298"/>
      <c r="P67" s="298"/>
      <c r="Q67" s="298"/>
      <c r="R67" s="298"/>
      <c r="S67" s="298"/>
      <c r="T67" s="298"/>
    </row>
    <row r="68" spans="2:20" x14ac:dyDescent="0.3">
      <c r="B68" s="412">
        <v>46296</v>
      </c>
      <c r="C68" s="413">
        <f>DRE!AK8</f>
        <v>0</v>
      </c>
      <c r="D68" s="414">
        <f t="shared" si="22"/>
        <v>3380281.46</v>
      </c>
      <c r="F68" s="415" t="str">
        <f t="shared" si="23"/>
        <v>5ª</v>
      </c>
      <c r="G68" s="416">
        <v>0.19</v>
      </c>
      <c r="H68" s="417">
        <f t="shared" si="24"/>
        <v>642253.47739999997</v>
      </c>
      <c r="I68" s="418">
        <f t="shared" si="25"/>
        <v>-378000</v>
      </c>
      <c r="J68" s="352">
        <f t="shared" si="26"/>
        <v>7.8174992386580724E-2</v>
      </c>
      <c r="K68" s="405">
        <f t="shared" si="27"/>
        <v>0</v>
      </c>
      <c r="L68" s="419">
        <f t="shared" si="28"/>
        <v>0</v>
      </c>
      <c r="M68" s="405">
        <f t="shared" si="29"/>
        <v>0</v>
      </c>
      <c r="O68" s="298"/>
      <c r="P68" s="298"/>
      <c r="Q68" s="298"/>
      <c r="R68" s="298"/>
      <c r="S68" s="298"/>
      <c r="T68" s="298"/>
    </row>
    <row r="69" spans="2:20" x14ac:dyDescent="0.3">
      <c r="B69" s="412">
        <v>46327</v>
      </c>
      <c r="C69" s="413">
        <f>DRE!AN8</f>
        <v>0</v>
      </c>
      <c r="D69" s="414">
        <f t="shared" si="22"/>
        <v>2993899.96</v>
      </c>
      <c r="F69" s="415" t="str">
        <f t="shared" si="23"/>
        <v>5ª</v>
      </c>
      <c r="G69" s="416">
        <v>0.19</v>
      </c>
      <c r="H69" s="417">
        <f t="shared" si="24"/>
        <v>568840.99239999999</v>
      </c>
      <c r="I69" s="418">
        <f t="shared" si="25"/>
        <v>-378000</v>
      </c>
      <c r="J69" s="352">
        <f t="shared" si="26"/>
        <v>6.3743276311744229E-2</v>
      </c>
      <c r="K69" s="405">
        <f t="shared" si="27"/>
        <v>0</v>
      </c>
      <c r="L69" s="419">
        <f t="shared" si="28"/>
        <v>0</v>
      </c>
      <c r="M69" s="405">
        <f t="shared" si="29"/>
        <v>0</v>
      </c>
      <c r="O69" s="298"/>
      <c r="P69" s="298"/>
      <c r="Q69" s="298"/>
      <c r="R69" s="298"/>
      <c r="S69" s="298"/>
      <c r="T69" s="298"/>
    </row>
    <row r="70" spans="2:20" x14ac:dyDescent="0.3">
      <c r="B70" s="412">
        <v>46357</v>
      </c>
      <c r="C70" s="413">
        <f>DRE!AQ8</f>
        <v>0</v>
      </c>
      <c r="D70" s="414">
        <f t="shared" si="22"/>
        <v>2607518.46</v>
      </c>
      <c r="F70" s="415" t="str">
        <f t="shared" si="23"/>
        <v>5ª</v>
      </c>
      <c r="G70" s="416">
        <v>0.19</v>
      </c>
      <c r="H70" s="417">
        <f t="shared" si="24"/>
        <v>495428.5074</v>
      </c>
      <c r="I70" s="418">
        <f t="shared" si="25"/>
        <v>-378000</v>
      </c>
      <c r="J70" s="352">
        <f t="shared" si="26"/>
        <v>4.5034583340974703E-2</v>
      </c>
      <c r="K70" s="405">
        <f t="shared" si="27"/>
        <v>0</v>
      </c>
      <c r="L70" s="419">
        <f t="shared" si="28"/>
        <v>0</v>
      </c>
      <c r="M70" s="405">
        <f t="shared" si="29"/>
        <v>0</v>
      </c>
      <c r="O70" s="298"/>
      <c r="P70" s="298"/>
      <c r="Q70" s="298"/>
      <c r="R70" s="298"/>
      <c r="S70" s="298"/>
      <c r="T70" s="298"/>
    </row>
    <row r="71" spans="2:20" x14ac:dyDescent="0.3">
      <c r="C71" s="363">
        <f>SUM(C59:C70)</f>
        <v>2221136.96</v>
      </c>
      <c r="F71" s="404"/>
      <c r="G71" s="404"/>
      <c r="H71" s="404"/>
      <c r="I71" s="404"/>
      <c r="J71" s="404"/>
      <c r="K71" s="420">
        <f>SUM(K59:K70)</f>
        <v>237592.28456433225</v>
      </c>
      <c r="L71" s="420">
        <f>SUM(L59:L70)</f>
        <v>88845.478399999993</v>
      </c>
      <c r="M71" s="420">
        <f>SUM(M59:M70)</f>
        <v>326437.76296433224</v>
      </c>
      <c r="O71" s="298"/>
      <c r="P71" s="298"/>
      <c r="Q71" s="298"/>
      <c r="R71" s="298"/>
      <c r="S71" s="298"/>
      <c r="T71" s="298"/>
    </row>
    <row r="72" spans="2:20" x14ac:dyDescent="0.3">
      <c r="C72" s="368"/>
      <c r="F72" s="404"/>
      <c r="G72" s="404"/>
      <c r="H72" s="404"/>
      <c r="I72" s="404"/>
      <c r="J72" s="404"/>
      <c r="K72" s="421"/>
      <c r="L72" s="421"/>
      <c r="M72" s="422">
        <f>M71/C71</f>
        <v>0.14696876817732674</v>
      </c>
      <c r="N72" s="362" t="s">
        <v>543</v>
      </c>
      <c r="O72" s="298"/>
      <c r="P72" s="298"/>
      <c r="Q72" s="298"/>
      <c r="R72" s="298"/>
      <c r="S72" s="298"/>
      <c r="T72" s="298"/>
    </row>
    <row r="73" spans="2:20" x14ac:dyDescent="0.3"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8"/>
      <c r="P73" s="298"/>
      <c r="Q73" s="298"/>
      <c r="R73" s="298"/>
      <c r="S73" s="298"/>
      <c r="T73" s="298"/>
    </row>
    <row r="74" spans="2:20" x14ac:dyDescent="0.3">
      <c r="D74" s="298"/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8"/>
      <c r="P74" s="298"/>
      <c r="Q74" s="298"/>
      <c r="R74" s="298"/>
      <c r="S74" s="298"/>
      <c r="T74" s="298"/>
    </row>
    <row r="75" spans="2:20" x14ac:dyDescent="0.3"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  <c r="P75" s="298"/>
      <c r="Q75" s="298"/>
      <c r="R75" s="298"/>
      <c r="S75" s="298"/>
      <c r="T75" s="298"/>
    </row>
    <row r="76" spans="2:20" x14ac:dyDescent="0.3">
      <c r="B76" s="230">
        <v>0</v>
      </c>
      <c r="C76" s="423">
        <v>180000</v>
      </c>
      <c r="D76" s="424">
        <v>0.04</v>
      </c>
      <c r="E76" s="298" t="s">
        <v>544</v>
      </c>
      <c r="F76" s="298"/>
      <c r="G76" s="298"/>
      <c r="H76" s="298"/>
      <c r="I76" s="298"/>
      <c r="J76" s="298"/>
      <c r="K76" s="298"/>
      <c r="L76" s="298"/>
      <c r="M76" s="298"/>
      <c r="N76" s="298"/>
      <c r="O76" s="298"/>
      <c r="P76" s="298"/>
      <c r="Q76" s="298"/>
      <c r="R76" s="298"/>
      <c r="S76" s="298"/>
      <c r="T76" s="298"/>
    </row>
    <row r="77" spans="2:20" x14ac:dyDescent="0.3">
      <c r="B77" s="423">
        <v>180001</v>
      </c>
      <c r="C77" s="230">
        <v>360000</v>
      </c>
      <c r="D77" s="425">
        <v>7.2999999999999995E-2</v>
      </c>
      <c r="E77" s="298" t="s">
        <v>545</v>
      </c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8"/>
      <c r="R77" s="298"/>
      <c r="S77" s="298"/>
      <c r="T77" s="298"/>
    </row>
    <row r="78" spans="2:20" x14ac:dyDescent="0.3">
      <c r="B78" s="230">
        <v>360001</v>
      </c>
      <c r="C78" s="230">
        <v>720000</v>
      </c>
      <c r="D78" s="425">
        <v>9.5000000000000001E-2</v>
      </c>
      <c r="E78" s="298" t="s">
        <v>546</v>
      </c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298"/>
      <c r="T78" s="298"/>
    </row>
    <row r="79" spans="2:20" x14ac:dyDescent="0.3">
      <c r="B79" s="230">
        <v>720001</v>
      </c>
      <c r="C79" s="230">
        <v>1800000</v>
      </c>
      <c r="D79" s="425">
        <v>0.107</v>
      </c>
      <c r="E79" s="298" t="s">
        <v>547</v>
      </c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298"/>
      <c r="T79" s="298"/>
    </row>
    <row r="80" spans="2:20" x14ac:dyDescent="0.3">
      <c r="B80" s="230">
        <v>1800001</v>
      </c>
      <c r="C80" s="230">
        <v>3600000</v>
      </c>
      <c r="D80" s="425">
        <v>0.14299999999999999</v>
      </c>
      <c r="E80" s="298" t="s">
        <v>548</v>
      </c>
      <c r="F80" s="298"/>
      <c r="G80" s="298"/>
      <c r="H80" s="298"/>
      <c r="I80" s="298"/>
      <c r="J80" s="298"/>
      <c r="K80" s="298"/>
      <c r="L80" s="298"/>
      <c r="M80" s="298"/>
      <c r="N80" s="298"/>
      <c r="O80" s="298"/>
      <c r="P80" s="298"/>
      <c r="Q80" s="298"/>
      <c r="R80" s="298"/>
      <c r="S80" s="298"/>
      <c r="T80" s="298"/>
    </row>
    <row r="81" spans="2:20" x14ac:dyDescent="0.3">
      <c r="B81" s="230">
        <v>3600001</v>
      </c>
      <c r="C81" s="230">
        <v>4800001</v>
      </c>
      <c r="D81" s="426">
        <v>0.19</v>
      </c>
      <c r="E81" s="298" t="s">
        <v>549</v>
      </c>
      <c r="F81" s="298"/>
      <c r="G81" s="298"/>
      <c r="H81" s="298"/>
      <c r="I81" s="298"/>
      <c r="J81" s="298"/>
      <c r="K81" s="298"/>
      <c r="L81" s="298"/>
      <c r="M81" s="298"/>
      <c r="N81" s="298"/>
      <c r="O81" s="298"/>
      <c r="P81" s="298"/>
      <c r="Q81" s="298"/>
      <c r="R81" s="298"/>
      <c r="S81" s="298"/>
      <c r="T81" s="298"/>
    </row>
    <row r="82" spans="2:20" x14ac:dyDescent="0.3"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  <c r="Q82" s="298"/>
      <c r="R82" s="298"/>
      <c r="S82" s="298"/>
      <c r="T82" s="298"/>
    </row>
    <row r="83" spans="2:20" x14ac:dyDescent="0.3"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  <c r="P83" s="298"/>
      <c r="Q83" s="298"/>
      <c r="R83" s="298"/>
      <c r="S83" s="298"/>
      <c r="T83" s="298"/>
    </row>
  </sheetData>
  <mergeCells count="2">
    <mergeCell ref="B1:T1"/>
    <mergeCell ref="B44:N44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638"/>
  <sheetViews>
    <sheetView workbookViewId="0"/>
  </sheetViews>
  <sheetFormatPr defaultRowHeight="14.4" x14ac:dyDescent="0.3"/>
  <sheetData>
    <row r="1" spans="1:18" x14ac:dyDescent="0.3">
      <c r="A1" t="s">
        <v>550</v>
      </c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  <c r="H1" t="s">
        <v>557</v>
      </c>
      <c r="I1" t="s">
        <v>558</v>
      </c>
      <c r="J1" t="s">
        <v>559</v>
      </c>
      <c r="K1" t="s">
        <v>560</v>
      </c>
      <c r="L1" t="s">
        <v>561</v>
      </c>
      <c r="M1" t="s">
        <v>562</v>
      </c>
      <c r="N1" t="s">
        <v>563</v>
      </c>
      <c r="O1" t="s">
        <v>564</v>
      </c>
      <c r="P1" t="s">
        <v>565</v>
      </c>
      <c r="Q1" t="s">
        <v>566</v>
      </c>
      <c r="R1" t="s">
        <v>567</v>
      </c>
    </row>
    <row r="2" spans="1:18" x14ac:dyDescent="0.3">
      <c r="A2">
        <v>99406</v>
      </c>
      <c r="B2" t="s">
        <v>568</v>
      </c>
      <c r="C2" t="s">
        <v>569</v>
      </c>
      <c r="E2" s="452">
        <v>48030</v>
      </c>
      <c r="F2" s="452">
        <v>48039</v>
      </c>
      <c r="G2" t="s">
        <v>257</v>
      </c>
      <c r="H2" t="s">
        <v>263</v>
      </c>
      <c r="I2" t="s">
        <v>570</v>
      </c>
      <c r="J2">
        <v>-12000</v>
      </c>
      <c r="K2">
        <v>-12000</v>
      </c>
      <c r="O2" t="s">
        <v>571</v>
      </c>
      <c r="Q2" t="s">
        <v>572</v>
      </c>
      <c r="R2">
        <v>0</v>
      </c>
    </row>
    <row r="3" spans="1:18" x14ac:dyDescent="0.3">
      <c r="A3">
        <v>99405</v>
      </c>
      <c r="B3" t="s">
        <v>568</v>
      </c>
      <c r="C3" t="s">
        <v>569</v>
      </c>
      <c r="E3" s="452">
        <v>48000</v>
      </c>
      <c r="F3" s="452">
        <v>48009</v>
      </c>
      <c r="G3" t="s">
        <v>257</v>
      </c>
      <c r="H3" t="s">
        <v>263</v>
      </c>
      <c r="I3" t="s">
        <v>570</v>
      </c>
      <c r="J3">
        <v>-12000</v>
      </c>
      <c r="K3">
        <v>-12000</v>
      </c>
      <c r="O3" t="s">
        <v>571</v>
      </c>
      <c r="Q3" t="s">
        <v>573</v>
      </c>
      <c r="R3">
        <v>0</v>
      </c>
    </row>
    <row r="4" spans="1:18" x14ac:dyDescent="0.3">
      <c r="A4">
        <v>99404</v>
      </c>
      <c r="B4" t="s">
        <v>568</v>
      </c>
      <c r="C4" t="s">
        <v>569</v>
      </c>
      <c r="E4" s="452">
        <v>47969</v>
      </c>
      <c r="F4" s="452">
        <v>47978</v>
      </c>
      <c r="G4" t="s">
        <v>257</v>
      </c>
      <c r="H4" t="s">
        <v>263</v>
      </c>
      <c r="I4" t="s">
        <v>570</v>
      </c>
      <c r="J4">
        <v>-12000</v>
      </c>
      <c r="K4">
        <v>-12000</v>
      </c>
      <c r="O4" t="s">
        <v>571</v>
      </c>
      <c r="Q4" t="s">
        <v>574</v>
      </c>
      <c r="R4">
        <v>0</v>
      </c>
    </row>
    <row r="5" spans="1:18" x14ac:dyDescent="0.3">
      <c r="A5">
        <v>99403</v>
      </c>
      <c r="B5" t="s">
        <v>568</v>
      </c>
      <c r="C5" t="s">
        <v>569</v>
      </c>
      <c r="E5" s="452">
        <v>47939</v>
      </c>
      <c r="F5" s="452">
        <v>47948</v>
      </c>
      <c r="G5" t="s">
        <v>257</v>
      </c>
      <c r="H5" t="s">
        <v>263</v>
      </c>
      <c r="I5" t="s">
        <v>570</v>
      </c>
      <c r="J5">
        <v>-12000</v>
      </c>
      <c r="K5">
        <v>-12000</v>
      </c>
      <c r="O5" t="s">
        <v>571</v>
      </c>
      <c r="Q5" t="s">
        <v>575</v>
      </c>
      <c r="R5">
        <v>0</v>
      </c>
    </row>
    <row r="6" spans="1:18" x14ac:dyDescent="0.3">
      <c r="A6">
        <v>99402</v>
      </c>
      <c r="B6" t="s">
        <v>568</v>
      </c>
      <c r="C6" t="s">
        <v>569</v>
      </c>
      <c r="E6" s="452">
        <v>47908</v>
      </c>
      <c r="F6" s="452">
        <v>47917</v>
      </c>
      <c r="G6" t="s">
        <v>257</v>
      </c>
      <c r="H6" t="s">
        <v>263</v>
      </c>
      <c r="I6" t="s">
        <v>570</v>
      </c>
      <c r="J6">
        <v>-12000</v>
      </c>
      <c r="K6">
        <v>-12000</v>
      </c>
      <c r="O6" t="s">
        <v>571</v>
      </c>
      <c r="Q6" t="s">
        <v>576</v>
      </c>
      <c r="R6">
        <v>0</v>
      </c>
    </row>
    <row r="7" spans="1:18" x14ac:dyDescent="0.3">
      <c r="A7">
        <v>99401</v>
      </c>
      <c r="B7" t="s">
        <v>568</v>
      </c>
      <c r="C7" t="s">
        <v>569</v>
      </c>
      <c r="E7" s="452">
        <v>47880</v>
      </c>
      <c r="F7" s="452">
        <v>47889</v>
      </c>
      <c r="G7" t="s">
        <v>257</v>
      </c>
      <c r="H7" t="s">
        <v>263</v>
      </c>
      <c r="I7" t="s">
        <v>570</v>
      </c>
      <c r="J7">
        <v>-12000</v>
      </c>
      <c r="K7">
        <v>-12000</v>
      </c>
      <c r="O7" t="s">
        <v>571</v>
      </c>
      <c r="Q7" t="s">
        <v>577</v>
      </c>
      <c r="R7">
        <v>0</v>
      </c>
    </row>
    <row r="8" spans="1:18" x14ac:dyDescent="0.3">
      <c r="A8">
        <v>99400</v>
      </c>
      <c r="B8" t="s">
        <v>568</v>
      </c>
      <c r="C8" t="s">
        <v>569</v>
      </c>
      <c r="E8" s="452">
        <v>47849</v>
      </c>
      <c r="F8" s="452">
        <v>47858</v>
      </c>
      <c r="G8" t="s">
        <v>257</v>
      </c>
      <c r="H8" t="s">
        <v>263</v>
      </c>
      <c r="I8" t="s">
        <v>570</v>
      </c>
      <c r="J8">
        <v>-12000</v>
      </c>
      <c r="K8">
        <v>-12000</v>
      </c>
      <c r="O8" t="s">
        <v>571</v>
      </c>
      <c r="Q8" t="s">
        <v>578</v>
      </c>
      <c r="R8">
        <v>0</v>
      </c>
    </row>
    <row r="9" spans="1:18" x14ac:dyDescent="0.3">
      <c r="A9">
        <v>99399</v>
      </c>
      <c r="B9" t="s">
        <v>568</v>
      </c>
      <c r="C9" t="s">
        <v>569</v>
      </c>
      <c r="E9" s="452">
        <v>47818</v>
      </c>
      <c r="F9" s="452">
        <v>47827</v>
      </c>
      <c r="G9" t="s">
        <v>257</v>
      </c>
      <c r="H9" t="s">
        <v>263</v>
      </c>
      <c r="I9" t="s">
        <v>570</v>
      </c>
      <c r="J9">
        <v>-12000</v>
      </c>
      <c r="K9">
        <v>-12000</v>
      </c>
      <c r="O9" t="s">
        <v>571</v>
      </c>
      <c r="Q9" t="s">
        <v>579</v>
      </c>
      <c r="R9">
        <v>0</v>
      </c>
    </row>
    <row r="10" spans="1:18" x14ac:dyDescent="0.3">
      <c r="A10">
        <v>99398</v>
      </c>
      <c r="B10" t="s">
        <v>568</v>
      </c>
      <c r="C10" t="s">
        <v>569</v>
      </c>
      <c r="E10" s="452">
        <v>47788</v>
      </c>
      <c r="F10" s="452">
        <v>47797</v>
      </c>
      <c r="G10" t="s">
        <v>257</v>
      </c>
      <c r="H10" t="s">
        <v>263</v>
      </c>
      <c r="I10" t="s">
        <v>570</v>
      </c>
      <c r="J10">
        <v>-12000</v>
      </c>
      <c r="K10">
        <v>-12000</v>
      </c>
      <c r="O10" t="s">
        <v>571</v>
      </c>
      <c r="Q10" t="s">
        <v>580</v>
      </c>
      <c r="R10">
        <v>0</v>
      </c>
    </row>
    <row r="11" spans="1:18" x14ac:dyDescent="0.3">
      <c r="A11">
        <v>99397</v>
      </c>
      <c r="B11" t="s">
        <v>568</v>
      </c>
      <c r="C11" t="s">
        <v>569</v>
      </c>
      <c r="E11" s="452">
        <v>47757</v>
      </c>
      <c r="F11" s="452">
        <v>47766</v>
      </c>
      <c r="G11" t="s">
        <v>257</v>
      </c>
      <c r="H11" t="s">
        <v>263</v>
      </c>
      <c r="I11" t="s">
        <v>570</v>
      </c>
      <c r="J11">
        <v>-12000</v>
      </c>
      <c r="K11">
        <v>-12000</v>
      </c>
      <c r="O11" t="s">
        <v>571</v>
      </c>
      <c r="Q11" t="s">
        <v>581</v>
      </c>
      <c r="R11">
        <v>0</v>
      </c>
    </row>
    <row r="12" spans="1:18" x14ac:dyDescent="0.3">
      <c r="A12">
        <v>99396</v>
      </c>
      <c r="B12" t="s">
        <v>568</v>
      </c>
      <c r="C12" t="s">
        <v>569</v>
      </c>
      <c r="E12" s="452">
        <v>47727</v>
      </c>
      <c r="F12" s="452">
        <v>47736</v>
      </c>
      <c r="G12" t="s">
        <v>257</v>
      </c>
      <c r="H12" t="s">
        <v>263</v>
      </c>
      <c r="I12" t="s">
        <v>570</v>
      </c>
      <c r="J12">
        <v>-12000</v>
      </c>
      <c r="K12">
        <v>-12000</v>
      </c>
      <c r="O12" t="s">
        <v>571</v>
      </c>
      <c r="Q12" t="s">
        <v>582</v>
      </c>
      <c r="R12">
        <v>0</v>
      </c>
    </row>
    <row r="13" spans="1:18" x14ac:dyDescent="0.3">
      <c r="A13">
        <v>99395</v>
      </c>
      <c r="B13" t="s">
        <v>568</v>
      </c>
      <c r="C13" t="s">
        <v>569</v>
      </c>
      <c r="E13" s="452">
        <v>47696</v>
      </c>
      <c r="F13" s="452">
        <v>47705</v>
      </c>
      <c r="G13" t="s">
        <v>257</v>
      </c>
      <c r="H13" t="s">
        <v>263</v>
      </c>
      <c r="I13" t="s">
        <v>570</v>
      </c>
      <c r="J13">
        <v>-12000</v>
      </c>
      <c r="K13">
        <v>-12000</v>
      </c>
      <c r="O13" t="s">
        <v>571</v>
      </c>
      <c r="Q13" t="s">
        <v>583</v>
      </c>
      <c r="R13">
        <v>0</v>
      </c>
    </row>
    <row r="14" spans="1:18" x14ac:dyDescent="0.3">
      <c r="A14">
        <v>99394</v>
      </c>
      <c r="B14" t="s">
        <v>568</v>
      </c>
      <c r="C14" t="s">
        <v>569</v>
      </c>
      <c r="E14" s="452">
        <v>47665</v>
      </c>
      <c r="F14" s="452">
        <v>47674</v>
      </c>
      <c r="G14" t="s">
        <v>257</v>
      </c>
      <c r="H14" t="s">
        <v>263</v>
      </c>
      <c r="I14" t="s">
        <v>570</v>
      </c>
      <c r="J14">
        <v>-12000</v>
      </c>
      <c r="K14">
        <v>-12000</v>
      </c>
      <c r="O14" t="s">
        <v>571</v>
      </c>
      <c r="Q14" t="s">
        <v>584</v>
      </c>
      <c r="R14">
        <v>0</v>
      </c>
    </row>
    <row r="15" spans="1:18" x14ac:dyDescent="0.3">
      <c r="A15">
        <v>99393</v>
      </c>
      <c r="B15" t="s">
        <v>568</v>
      </c>
      <c r="C15" t="s">
        <v>569</v>
      </c>
      <c r="E15" s="452">
        <v>47635</v>
      </c>
      <c r="F15" s="452">
        <v>47644</v>
      </c>
      <c r="G15" t="s">
        <v>257</v>
      </c>
      <c r="H15" t="s">
        <v>263</v>
      </c>
      <c r="I15" t="s">
        <v>570</v>
      </c>
      <c r="J15">
        <v>-12000</v>
      </c>
      <c r="K15">
        <v>-12000</v>
      </c>
      <c r="O15" t="s">
        <v>571</v>
      </c>
      <c r="Q15" t="s">
        <v>585</v>
      </c>
      <c r="R15">
        <v>0</v>
      </c>
    </row>
    <row r="16" spans="1:18" x14ac:dyDescent="0.3">
      <c r="A16">
        <v>99392</v>
      </c>
      <c r="B16" t="s">
        <v>568</v>
      </c>
      <c r="C16" t="s">
        <v>569</v>
      </c>
      <c r="E16" s="452">
        <v>47604</v>
      </c>
      <c r="F16" s="452">
        <v>47613</v>
      </c>
      <c r="G16" t="s">
        <v>257</v>
      </c>
      <c r="H16" t="s">
        <v>263</v>
      </c>
      <c r="I16" t="s">
        <v>570</v>
      </c>
      <c r="J16">
        <v>-12000</v>
      </c>
      <c r="K16">
        <v>-12000</v>
      </c>
      <c r="O16" t="s">
        <v>571</v>
      </c>
      <c r="Q16" t="s">
        <v>586</v>
      </c>
      <c r="R16">
        <v>0</v>
      </c>
    </row>
    <row r="17" spans="1:18" x14ac:dyDescent="0.3">
      <c r="A17">
        <v>99391</v>
      </c>
      <c r="B17" t="s">
        <v>568</v>
      </c>
      <c r="C17" t="s">
        <v>569</v>
      </c>
      <c r="E17" s="452">
        <v>47574</v>
      </c>
      <c r="F17" s="452">
        <v>47583</v>
      </c>
      <c r="G17" t="s">
        <v>257</v>
      </c>
      <c r="H17" t="s">
        <v>263</v>
      </c>
      <c r="I17" t="s">
        <v>570</v>
      </c>
      <c r="J17">
        <v>-12000</v>
      </c>
      <c r="K17">
        <v>-12000</v>
      </c>
      <c r="O17" t="s">
        <v>571</v>
      </c>
      <c r="Q17" t="s">
        <v>587</v>
      </c>
      <c r="R17">
        <v>0</v>
      </c>
    </row>
    <row r="18" spans="1:18" x14ac:dyDescent="0.3">
      <c r="A18">
        <v>99390</v>
      </c>
      <c r="B18" t="s">
        <v>568</v>
      </c>
      <c r="C18" t="s">
        <v>569</v>
      </c>
      <c r="E18" s="452">
        <v>47543</v>
      </c>
      <c r="F18" s="452">
        <v>47552</v>
      </c>
      <c r="G18" t="s">
        <v>257</v>
      </c>
      <c r="H18" t="s">
        <v>263</v>
      </c>
      <c r="I18" t="s">
        <v>570</v>
      </c>
      <c r="J18">
        <v>-12000</v>
      </c>
      <c r="K18">
        <v>-12000</v>
      </c>
      <c r="O18" t="s">
        <v>571</v>
      </c>
      <c r="Q18" t="s">
        <v>588</v>
      </c>
      <c r="R18">
        <v>0</v>
      </c>
    </row>
    <row r="19" spans="1:18" x14ac:dyDescent="0.3">
      <c r="A19">
        <v>99389</v>
      </c>
      <c r="B19" t="s">
        <v>568</v>
      </c>
      <c r="C19" t="s">
        <v>569</v>
      </c>
      <c r="E19" s="452">
        <v>47515</v>
      </c>
      <c r="F19" s="452">
        <v>47524</v>
      </c>
      <c r="G19" t="s">
        <v>257</v>
      </c>
      <c r="H19" t="s">
        <v>263</v>
      </c>
      <c r="I19" t="s">
        <v>570</v>
      </c>
      <c r="J19">
        <v>-12000</v>
      </c>
      <c r="K19">
        <v>-12000</v>
      </c>
      <c r="O19" t="s">
        <v>571</v>
      </c>
      <c r="Q19" t="s">
        <v>589</v>
      </c>
      <c r="R19">
        <v>0</v>
      </c>
    </row>
    <row r="20" spans="1:18" x14ac:dyDescent="0.3">
      <c r="A20">
        <v>99388</v>
      </c>
      <c r="B20" t="s">
        <v>568</v>
      </c>
      <c r="C20" t="s">
        <v>569</v>
      </c>
      <c r="E20" s="452">
        <v>47484</v>
      </c>
      <c r="F20" s="452">
        <v>47493</v>
      </c>
      <c r="G20" t="s">
        <v>257</v>
      </c>
      <c r="H20" t="s">
        <v>263</v>
      </c>
      <c r="I20" t="s">
        <v>570</v>
      </c>
      <c r="J20">
        <v>-12000</v>
      </c>
      <c r="K20">
        <v>-12000</v>
      </c>
      <c r="O20" t="s">
        <v>571</v>
      </c>
      <c r="Q20" t="s">
        <v>590</v>
      </c>
      <c r="R20">
        <v>0</v>
      </c>
    </row>
    <row r="21" spans="1:18" x14ac:dyDescent="0.3">
      <c r="A21">
        <v>99387</v>
      </c>
      <c r="B21" t="s">
        <v>568</v>
      </c>
      <c r="C21" t="s">
        <v>569</v>
      </c>
      <c r="E21" s="452">
        <v>47453</v>
      </c>
      <c r="F21" s="452">
        <v>47462</v>
      </c>
      <c r="G21" t="s">
        <v>257</v>
      </c>
      <c r="H21" t="s">
        <v>263</v>
      </c>
      <c r="I21" t="s">
        <v>570</v>
      </c>
      <c r="J21">
        <v>-12000</v>
      </c>
      <c r="K21">
        <v>-12000</v>
      </c>
      <c r="O21" t="s">
        <v>571</v>
      </c>
      <c r="Q21" t="s">
        <v>591</v>
      </c>
      <c r="R21">
        <v>0</v>
      </c>
    </row>
    <row r="22" spans="1:18" x14ac:dyDescent="0.3">
      <c r="A22">
        <v>99386</v>
      </c>
      <c r="B22" t="s">
        <v>568</v>
      </c>
      <c r="C22" t="s">
        <v>569</v>
      </c>
      <c r="E22" s="452">
        <v>47423</v>
      </c>
      <c r="F22" s="452">
        <v>47432</v>
      </c>
      <c r="G22" t="s">
        <v>257</v>
      </c>
      <c r="H22" t="s">
        <v>263</v>
      </c>
      <c r="I22" t="s">
        <v>570</v>
      </c>
      <c r="J22">
        <v>-12000</v>
      </c>
      <c r="K22">
        <v>-12000</v>
      </c>
      <c r="O22" t="s">
        <v>571</v>
      </c>
      <c r="Q22" t="s">
        <v>592</v>
      </c>
      <c r="R22">
        <v>0</v>
      </c>
    </row>
    <row r="23" spans="1:18" x14ac:dyDescent="0.3">
      <c r="A23">
        <v>99385</v>
      </c>
      <c r="B23" t="s">
        <v>568</v>
      </c>
      <c r="C23" t="s">
        <v>569</v>
      </c>
      <c r="E23" s="452">
        <v>47392</v>
      </c>
      <c r="F23" s="452">
        <v>47401</v>
      </c>
      <c r="G23" t="s">
        <v>257</v>
      </c>
      <c r="H23" t="s">
        <v>263</v>
      </c>
      <c r="I23" t="s">
        <v>570</v>
      </c>
      <c r="J23">
        <v>-12000</v>
      </c>
      <c r="K23">
        <v>-12000</v>
      </c>
      <c r="O23" t="s">
        <v>571</v>
      </c>
      <c r="Q23" t="s">
        <v>593</v>
      </c>
      <c r="R23">
        <v>0</v>
      </c>
    </row>
    <row r="24" spans="1:18" x14ac:dyDescent="0.3">
      <c r="A24">
        <v>99384</v>
      </c>
      <c r="B24" t="s">
        <v>568</v>
      </c>
      <c r="C24" t="s">
        <v>569</v>
      </c>
      <c r="E24" s="452">
        <v>47362</v>
      </c>
      <c r="F24" s="452">
        <v>47371</v>
      </c>
      <c r="G24" t="s">
        <v>257</v>
      </c>
      <c r="H24" t="s">
        <v>263</v>
      </c>
      <c r="I24" t="s">
        <v>570</v>
      </c>
      <c r="J24">
        <v>-12000</v>
      </c>
      <c r="K24">
        <v>-12000</v>
      </c>
      <c r="O24" t="s">
        <v>571</v>
      </c>
      <c r="Q24" t="s">
        <v>594</v>
      </c>
      <c r="R24">
        <v>0</v>
      </c>
    </row>
    <row r="25" spans="1:18" x14ac:dyDescent="0.3">
      <c r="A25">
        <v>99383</v>
      </c>
      <c r="B25" t="s">
        <v>568</v>
      </c>
      <c r="C25" t="s">
        <v>569</v>
      </c>
      <c r="E25" s="452">
        <v>47331</v>
      </c>
      <c r="F25" s="452">
        <v>47340</v>
      </c>
      <c r="G25" t="s">
        <v>257</v>
      </c>
      <c r="H25" t="s">
        <v>263</v>
      </c>
      <c r="I25" t="s">
        <v>570</v>
      </c>
      <c r="J25">
        <v>-12000</v>
      </c>
      <c r="K25">
        <v>-12000</v>
      </c>
      <c r="O25" t="s">
        <v>571</v>
      </c>
      <c r="Q25" t="s">
        <v>595</v>
      </c>
      <c r="R25">
        <v>0</v>
      </c>
    </row>
    <row r="26" spans="1:18" x14ac:dyDescent="0.3">
      <c r="A26">
        <v>99382</v>
      </c>
      <c r="B26" t="s">
        <v>568</v>
      </c>
      <c r="C26" t="s">
        <v>569</v>
      </c>
      <c r="E26" s="452">
        <v>47300</v>
      </c>
      <c r="F26" s="452">
        <v>47309</v>
      </c>
      <c r="G26" t="s">
        <v>257</v>
      </c>
      <c r="H26" t="s">
        <v>263</v>
      </c>
      <c r="I26" t="s">
        <v>570</v>
      </c>
      <c r="J26">
        <v>-12000</v>
      </c>
      <c r="K26">
        <v>-12000</v>
      </c>
      <c r="O26" t="s">
        <v>571</v>
      </c>
      <c r="Q26" t="s">
        <v>596</v>
      </c>
      <c r="R26">
        <v>0</v>
      </c>
    </row>
    <row r="27" spans="1:18" x14ac:dyDescent="0.3">
      <c r="A27">
        <v>99381</v>
      </c>
      <c r="B27" t="s">
        <v>568</v>
      </c>
      <c r="C27" t="s">
        <v>569</v>
      </c>
      <c r="E27" s="452">
        <v>47270</v>
      </c>
      <c r="F27" s="452">
        <v>47279</v>
      </c>
      <c r="G27" t="s">
        <v>257</v>
      </c>
      <c r="H27" t="s">
        <v>263</v>
      </c>
      <c r="I27" t="s">
        <v>570</v>
      </c>
      <c r="J27">
        <v>-12000</v>
      </c>
      <c r="K27">
        <v>-12000</v>
      </c>
      <c r="O27" t="s">
        <v>571</v>
      </c>
      <c r="Q27" t="s">
        <v>597</v>
      </c>
      <c r="R27">
        <v>0</v>
      </c>
    </row>
    <row r="28" spans="1:18" x14ac:dyDescent="0.3">
      <c r="A28">
        <v>99380</v>
      </c>
      <c r="B28" t="s">
        <v>568</v>
      </c>
      <c r="C28" t="s">
        <v>569</v>
      </c>
      <c r="E28" s="452">
        <v>47239</v>
      </c>
      <c r="F28" s="452">
        <v>47248</v>
      </c>
      <c r="G28" t="s">
        <v>257</v>
      </c>
      <c r="H28" t="s">
        <v>263</v>
      </c>
      <c r="I28" t="s">
        <v>570</v>
      </c>
      <c r="J28">
        <v>-12000</v>
      </c>
      <c r="K28">
        <v>-12000</v>
      </c>
      <c r="O28" t="s">
        <v>571</v>
      </c>
      <c r="Q28" t="s">
        <v>598</v>
      </c>
      <c r="R28">
        <v>0</v>
      </c>
    </row>
    <row r="29" spans="1:18" x14ac:dyDescent="0.3">
      <c r="A29">
        <v>99379</v>
      </c>
      <c r="B29" t="s">
        <v>568</v>
      </c>
      <c r="C29" t="s">
        <v>569</v>
      </c>
      <c r="E29" s="452">
        <v>47209</v>
      </c>
      <c r="F29" s="452">
        <v>47218</v>
      </c>
      <c r="G29" t="s">
        <v>257</v>
      </c>
      <c r="H29" t="s">
        <v>263</v>
      </c>
      <c r="I29" t="s">
        <v>570</v>
      </c>
      <c r="J29">
        <v>-12000</v>
      </c>
      <c r="K29">
        <v>-12000</v>
      </c>
      <c r="O29" t="s">
        <v>571</v>
      </c>
      <c r="Q29" t="s">
        <v>599</v>
      </c>
      <c r="R29">
        <v>0</v>
      </c>
    </row>
    <row r="30" spans="1:18" x14ac:dyDescent="0.3">
      <c r="A30">
        <v>99378</v>
      </c>
      <c r="B30" t="s">
        <v>568</v>
      </c>
      <c r="C30" t="s">
        <v>569</v>
      </c>
      <c r="E30" s="452">
        <v>47178</v>
      </c>
      <c r="F30" s="452">
        <v>47187</v>
      </c>
      <c r="G30" t="s">
        <v>257</v>
      </c>
      <c r="H30" t="s">
        <v>263</v>
      </c>
      <c r="I30" t="s">
        <v>570</v>
      </c>
      <c r="J30">
        <v>-12000</v>
      </c>
      <c r="K30">
        <v>-12000</v>
      </c>
      <c r="O30" t="s">
        <v>571</v>
      </c>
      <c r="Q30" t="s">
        <v>600</v>
      </c>
      <c r="R30">
        <v>0</v>
      </c>
    </row>
    <row r="31" spans="1:18" x14ac:dyDescent="0.3">
      <c r="A31">
        <v>99377</v>
      </c>
      <c r="B31" t="s">
        <v>568</v>
      </c>
      <c r="C31" t="s">
        <v>569</v>
      </c>
      <c r="E31" s="452">
        <v>47150</v>
      </c>
      <c r="F31" s="452">
        <v>47159</v>
      </c>
      <c r="G31" t="s">
        <v>257</v>
      </c>
      <c r="H31" t="s">
        <v>263</v>
      </c>
      <c r="I31" t="s">
        <v>570</v>
      </c>
      <c r="J31">
        <v>-12000</v>
      </c>
      <c r="K31">
        <v>-12000</v>
      </c>
      <c r="O31" t="s">
        <v>571</v>
      </c>
      <c r="Q31" t="s">
        <v>601</v>
      </c>
      <c r="R31">
        <v>0</v>
      </c>
    </row>
    <row r="32" spans="1:18" x14ac:dyDescent="0.3">
      <c r="A32">
        <v>99376</v>
      </c>
      <c r="B32" t="s">
        <v>568</v>
      </c>
      <c r="C32" t="s">
        <v>569</v>
      </c>
      <c r="E32" s="452">
        <v>47119</v>
      </c>
      <c r="F32" s="452">
        <v>47128</v>
      </c>
      <c r="G32" t="s">
        <v>257</v>
      </c>
      <c r="H32" t="s">
        <v>263</v>
      </c>
      <c r="I32" t="s">
        <v>570</v>
      </c>
      <c r="J32">
        <v>-12000</v>
      </c>
      <c r="K32">
        <v>-12000</v>
      </c>
      <c r="O32" t="s">
        <v>571</v>
      </c>
      <c r="Q32" t="s">
        <v>602</v>
      </c>
      <c r="R32">
        <v>0</v>
      </c>
    </row>
    <row r="33" spans="1:18" x14ac:dyDescent="0.3">
      <c r="A33">
        <v>99375</v>
      </c>
      <c r="B33" t="s">
        <v>568</v>
      </c>
      <c r="C33" t="s">
        <v>569</v>
      </c>
      <c r="E33" s="452">
        <v>47088</v>
      </c>
      <c r="F33" s="452">
        <v>47097</v>
      </c>
      <c r="G33" t="s">
        <v>257</v>
      </c>
      <c r="H33" t="s">
        <v>263</v>
      </c>
      <c r="I33" t="s">
        <v>570</v>
      </c>
      <c r="J33">
        <v>-12000</v>
      </c>
      <c r="K33">
        <v>-12000</v>
      </c>
      <c r="O33" t="s">
        <v>571</v>
      </c>
      <c r="Q33" t="s">
        <v>603</v>
      </c>
      <c r="R33">
        <v>0</v>
      </c>
    </row>
    <row r="34" spans="1:18" x14ac:dyDescent="0.3">
      <c r="A34">
        <v>99374</v>
      </c>
      <c r="B34" t="s">
        <v>568</v>
      </c>
      <c r="C34" t="s">
        <v>569</v>
      </c>
      <c r="E34" s="452">
        <v>47058</v>
      </c>
      <c r="F34" s="452">
        <v>47067</v>
      </c>
      <c r="G34" t="s">
        <v>257</v>
      </c>
      <c r="H34" t="s">
        <v>263</v>
      </c>
      <c r="I34" t="s">
        <v>570</v>
      </c>
      <c r="J34">
        <v>-12000</v>
      </c>
      <c r="K34">
        <v>-12000</v>
      </c>
      <c r="O34" t="s">
        <v>571</v>
      </c>
      <c r="Q34" t="s">
        <v>604</v>
      </c>
      <c r="R34">
        <v>0</v>
      </c>
    </row>
    <row r="35" spans="1:18" x14ac:dyDescent="0.3">
      <c r="A35">
        <v>99373</v>
      </c>
      <c r="B35" t="s">
        <v>568</v>
      </c>
      <c r="C35" t="s">
        <v>569</v>
      </c>
      <c r="E35" s="452">
        <v>47027</v>
      </c>
      <c r="F35" s="452">
        <v>47036</v>
      </c>
      <c r="G35" t="s">
        <v>257</v>
      </c>
      <c r="H35" t="s">
        <v>263</v>
      </c>
      <c r="I35" t="s">
        <v>570</v>
      </c>
      <c r="J35">
        <v>-12000</v>
      </c>
      <c r="K35">
        <v>-12000</v>
      </c>
      <c r="O35" t="s">
        <v>571</v>
      </c>
      <c r="Q35" t="s">
        <v>605</v>
      </c>
      <c r="R35">
        <v>0</v>
      </c>
    </row>
    <row r="36" spans="1:18" x14ac:dyDescent="0.3">
      <c r="A36">
        <v>175512</v>
      </c>
      <c r="B36" t="s">
        <v>568</v>
      </c>
      <c r="C36" t="s">
        <v>606</v>
      </c>
      <c r="E36" s="452">
        <v>47027</v>
      </c>
      <c r="F36" s="452">
        <v>47058</v>
      </c>
      <c r="G36" t="s">
        <v>257</v>
      </c>
      <c r="H36" t="s">
        <v>258</v>
      </c>
      <c r="I36" t="s">
        <v>607</v>
      </c>
      <c r="J36">
        <v>-34700</v>
      </c>
      <c r="K36">
        <v>-34700</v>
      </c>
      <c r="O36" t="s">
        <v>571</v>
      </c>
      <c r="Q36" t="s">
        <v>605</v>
      </c>
      <c r="R36">
        <v>0</v>
      </c>
    </row>
    <row r="37" spans="1:18" x14ac:dyDescent="0.3">
      <c r="A37">
        <v>99372</v>
      </c>
      <c r="B37" t="s">
        <v>568</v>
      </c>
      <c r="C37" t="s">
        <v>569</v>
      </c>
      <c r="E37" s="452">
        <v>46997</v>
      </c>
      <c r="F37" s="452">
        <v>47006</v>
      </c>
      <c r="G37" t="s">
        <v>257</v>
      </c>
      <c r="H37" t="s">
        <v>263</v>
      </c>
      <c r="I37" t="s">
        <v>570</v>
      </c>
      <c r="J37">
        <v>-12000</v>
      </c>
      <c r="K37">
        <v>-12000</v>
      </c>
      <c r="O37" t="s">
        <v>571</v>
      </c>
      <c r="Q37" t="s">
        <v>608</v>
      </c>
      <c r="R37">
        <v>0</v>
      </c>
    </row>
    <row r="38" spans="1:18" x14ac:dyDescent="0.3">
      <c r="A38">
        <v>175511</v>
      </c>
      <c r="B38" t="s">
        <v>568</v>
      </c>
      <c r="C38" t="s">
        <v>606</v>
      </c>
      <c r="E38" s="452">
        <v>46997</v>
      </c>
      <c r="F38" s="452">
        <v>47027</v>
      </c>
      <c r="G38" t="s">
        <v>257</v>
      </c>
      <c r="H38" t="s">
        <v>258</v>
      </c>
      <c r="I38" t="s">
        <v>607</v>
      </c>
      <c r="J38">
        <v>-34700</v>
      </c>
      <c r="K38">
        <v>-34700</v>
      </c>
      <c r="O38" t="s">
        <v>571</v>
      </c>
      <c r="Q38" t="s">
        <v>608</v>
      </c>
      <c r="R38">
        <v>0</v>
      </c>
    </row>
    <row r="39" spans="1:18" x14ac:dyDescent="0.3">
      <c r="A39">
        <v>175510</v>
      </c>
      <c r="B39" t="s">
        <v>568</v>
      </c>
      <c r="C39" t="s">
        <v>606</v>
      </c>
      <c r="E39" s="452">
        <v>46966</v>
      </c>
      <c r="F39" s="452">
        <v>46997</v>
      </c>
      <c r="G39" t="s">
        <v>257</v>
      </c>
      <c r="H39" t="s">
        <v>258</v>
      </c>
      <c r="I39" t="s">
        <v>607</v>
      </c>
      <c r="J39">
        <v>-34700</v>
      </c>
      <c r="K39">
        <v>-34700</v>
      </c>
      <c r="O39" t="s">
        <v>571</v>
      </c>
      <c r="Q39" t="s">
        <v>609</v>
      </c>
      <c r="R39">
        <v>0</v>
      </c>
    </row>
    <row r="40" spans="1:18" x14ac:dyDescent="0.3">
      <c r="A40">
        <v>99371</v>
      </c>
      <c r="B40" t="s">
        <v>568</v>
      </c>
      <c r="C40" t="s">
        <v>569</v>
      </c>
      <c r="E40" s="452">
        <v>46966</v>
      </c>
      <c r="F40" s="452">
        <v>46975</v>
      </c>
      <c r="G40" t="s">
        <v>257</v>
      </c>
      <c r="H40" t="s">
        <v>263</v>
      </c>
      <c r="I40" t="s">
        <v>570</v>
      </c>
      <c r="J40">
        <v>-12000</v>
      </c>
      <c r="K40">
        <v>-12000</v>
      </c>
      <c r="O40" t="s">
        <v>571</v>
      </c>
      <c r="Q40" t="s">
        <v>609</v>
      </c>
      <c r="R40">
        <v>0</v>
      </c>
    </row>
    <row r="41" spans="1:18" x14ac:dyDescent="0.3">
      <c r="A41">
        <v>175509</v>
      </c>
      <c r="B41" t="s">
        <v>568</v>
      </c>
      <c r="C41" t="s">
        <v>606</v>
      </c>
      <c r="E41" s="452">
        <v>46935</v>
      </c>
      <c r="F41" s="452">
        <v>46966</v>
      </c>
      <c r="G41" t="s">
        <v>257</v>
      </c>
      <c r="H41" t="s">
        <v>258</v>
      </c>
      <c r="I41" t="s">
        <v>607</v>
      </c>
      <c r="J41">
        <v>-34700</v>
      </c>
      <c r="K41">
        <v>-34700</v>
      </c>
      <c r="O41" t="s">
        <v>571</v>
      </c>
      <c r="Q41" t="s">
        <v>610</v>
      </c>
      <c r="R41">
        <v>0</v>
      </c>
    </row>
    <row r="42" spans="1:18" x14ac:dyDescent="0.3">
      <c r="A42">
        <v>99370</v>
      </c>
      <c r="B42" t="s">
        <v>568</v>
      </c>
      <c r="C42" t="s">
        <v>569</v>
      </c>
      <c r="E42" s="452">
        <v>46935</v>
      </c>
      <c r="F42" s="452">
        <v>46944</v>
      </c>
      <c r="G42" t="s">
        <v>257</v>
      </c>
      <c r="H42" t="s">
        <v>263</v>
      </c>
      <c r="I42" t="s">
        <v>570</v>
      </c>
      <c r="J42">
        <v>-12000</v>
      </c>
      <c r="K42">
        <v>-12000</v>
      </c>
      <c r="O42" t="s">
        <v>571</v>
      </c>
      <c r="Q42" t="s">
        <v>610</v>
      </c>
      <c r="R42">
        <v>0</v>
      </c>
    </row>
    <row r="43" spans="1:18" x14ac:dyDescent="0.3">
      <c r="A43">
        <v>175508</v>
      </c>
      <c r="B43" t="s">
        <v>568</v>
      </c>
      <c r="C43" t="s">
        <v>606</v>
      </c>
      <c r="E43" s="452">
        <v>46905</v>
      </c>
      <c r="F43" s="452">
        <v>46935</v>
      </c>
      <c r="G43" t="s">
        <v>257</v>
      </c>
      <c r="H43" t="s">
        <v>258</v>
      </c>
      <c r="I43" t="s">
        <v>607</v>
      </c>
      <c r="J43">
        <v>-34700</v>
      </c>
      <c r="K43">
        <v>-34700</v>
      </c>
      <c r="O43" t="s">
        <v>571</v>
      </c>
      <c r="Q43" t="s">
        <v>611</v>
      </c>
      <c r="R43">
        <v>0</v>
      </c>
    </row>
    <row r="44" spans="1:18" x14ac:dyDescent="0.3">
      <c r="A44">
        <v>99369</v>
      </c>
      <c r="B44" t="s">
        <v>568</v>
      </c>
      <c r="C44" t="s">
        <v>569</v>
      </c>
      <c r="E44" s="452">
        <v>46905</v>
      </c>
      <c r="F44" s="452">
        <v>46914</v>
      </c>
      <c r="G44" t="s">
        <v>257</v>
      </c>
      <c r="H44" t="s">
        <v>263</v>
      </c>
      <c r="I44" t="s">
        <v>570</v>
      </c>
      <c r="J44">
        <v>-12000</v>
      </c>
      <c r="K44">
        <v>-12000</v>
      </c>
      <c r="O44" t="s">
        <v>571</v>
      </c>
      <c r="Q44" t="s">
        <v>611</v>
      </c>
      <c r="R44">
        <v>0</v>
      </c>
    </row>
    <row r="45" spans="1:18" x14ac:dyDescent="0.3">
      <c r="A45">
        <v>175550</v>
      </c>
      <c r="B45" t="s">
        <v>568</v>
      </c>
      <c r="C45" t="s">
        <v>606</v>
      </c>
      <c r="D45" t="s">
        <v>612</v>
      </c>
      <c r="E45" s="452">
        <v>46874</v>
      </c>
      <c r="F45" s="452">
        <v>46875</v>
      </c>
      <c r="G45" t="s">
        <v>613</v>
      </c>
      <c r="H45" t="s">
        <v>369</v>
      </c>
      <c r="I45" t="s">
        <v>614</v>
      </c>
      <c r="J45">
        <v>-5792.21</v>
      </c>
      <c r="K45">
        <v>-5792.21</v>
      </c>
      <c r="O45" t="s">
        <v>571</v>
      </c>
      <c r="Q45" t="s">
        <v>615</v>
      </c>
      <c r="R45">
        <v>0</v>
      </c>
    </row>
    <row r="46" spans="1:18" x14ac:dyDescent="0.3">
      <c r="A46">
        <v>99368</v>
      </c>
      <c r="B46" t="s">
        <v>568</v>
      </c>
      <c r="C46" t="s">
        <v>569</v>
      </c>
      <c r="E46" s="452">
        <v>46874</v>
      </c>
      <c r="F46" s="452">
        <v>46883</v>
      </c>
      <c r="G46" t="s">
        <v>257</v>
      </c>
      <c r="H46" t="s">
        <v>263</v>
      </c>
      <c r="I46" t="s">
        <v>570</v>
      </c>
      <c r="J46">
        <v>-12000</v>
      </c>
      <c r="K46">
        <v>-12000</v>
      </c>
      <c r="O46" t="s">
        <v>571</v>
      </c>
      <c r="Q46" t="s">
        <v>615</v>
      </c>
      <c r="R46">
        <v>0</v>
      </c>
    </row>
    <row r="47" spans="1:18" x14ac:dyDescent="0.3">
      <c r="A47">
        <v>175507</v>
      </c>
      <c r="B47" t="s">
        <v>568</v>
      </c>
      <c r="C47" t="s">
        <v>606</v>
      </c>
      <c r="E47" s="452">
        <v>46874</v>
      </c>
      <c r="F47" s="452">
        <v>46905</v>
      </c>
      <c r="G47" t="s">
        <v>257</v>
      </c>
      <c r="H47" t="s">
        <v>258</v>
      </c>
      <c r="I47" t="s">
        <v>607</v>
      </c>
      <c r="J47">
        <v>-34700</v>
      </c>
      <c r="K47">
        <v>-34700</v>
      </c>
      <c r="O47" t="s">
        <v>571</v>
      </c>
      <c r="Q47" t="s">
        <v>615</v>
      </c>
      <c r="R47">
        <v>0</v>
      </c>
    </row>
    <row r="48" spans="1:18" x14ac:dyDescent="0.3">
      <c r="A48">
        <v>99367</v>
      </c>
      <c r="B48" t="s">
        <v>568</v>
      </c>
      <c r="C48" t="s">
        <v>569</v>
      </c>
      <c r="E48" s="452">
        <v>46844</v>
      </c>
      <c r="F48" s="452">
        <v>46853</v>
      </c>
      <c r="G48" t="s">
        <v>257</v>
      </c>
      <c r="H48" t="s">
        <v>263</v>
      </c>
      <c r="I48" t="s">
        <v>570</v>
      </c>
      <c r="J48">
        <v>-12000</v>
      </c>
      <c r="K48">
        <v>-12000</v>
      </c>
      <c r="O48" t="s">
        <v>571</v>
      </c>
      <c r="Q48" t="s">
        <v>616</v>
      </c>
      <c r="R48">
        <v>0</v>
      </c>
    </row>
    <row r="49" spans="1:18" x14ac:dyDescent="0.3">
      <c r="A49">
        <v>175549</v>
      </c>
      <c r="B49" t="s">
        <v>568</v>
      </c>
      <c r="C49" t="s">
        <v>606</v>
      </c>
      <c r="D49" t="s">
        <v>617</v>
      </c>
      <c r="E49" s="452">
        <v>46844</v>
      </c>
      <c r="F49" s="452">
        <v>46845</v>
      </c>
      <c r="G49" t="s">
        <v>613</v>
      </c>
      <c r="H49" t="s">
        <v>369</v>
      </c>
      <c r="I49" t="s">
        <v>614</v>
      </c>
      <c r="J49">
        <v>-5792.21</v>
      </c>
      <c r="K49">
        <v>-5792.21</v>
      </c>
      <c r="O49" t="s">
        <v>571</v>
      </c>
      <c r="Q49" t="s">
        <v>616</v>
      </c>
      <c r="R49">
        <v>0</v>
      </c>
    </row>
    <row r="50" spans="1:18" x14ac:dyDescent="0.3">
      <c r="A50">
        <v>175506</v>
      </c>
      <c r="B50" t="s">
        <v>568</v>
      </c>
      <c r="C50" t="s">
        <v>606</v>
      </c>
      <c r="E50" s="452">
        <v>46844</v>
      </c>
      <c r="F50" s="452">
        <v>46874</v>
      </c>
      <c r="G50" t="s">
        <v>257</v>
      </c>
      <c r="H50" t="s">
        <v>258</v>
      </c>
      <c r="I50" t="s">
        <v>607</v>
      </c>
      <c r="J50">
        <v>-34700</v>
      </c>
      <c r="K50">
        <v>-34700</v>
      </c>
      <c r="O50" t="s">
        <v>571</v>
      </c>
      <c r="Q50" t="s">
        <v>616</v>
      </c>
      <c r="R50">
        <v>0</v>
      </c>
    </row>
    <row r="51" spans="1:18" x14ac:dyDescent="0.3">
      <c r="A51">
        <v>99366</v>
      </c>
      <c r="B51" t="s">
        <v>568</v>
      </c>
      <c r="C51" t="s">
        <v>569</v>
      </c>
      <c r="E51" s="452">
        <v>46813</v>
      </c>
      <c r="F51" s="452">
        <v>46822</v>
      </c>
      <c r="G51" t="s">
        <v>257</v>
      </c>
      <c r="H51" t="s">
        <v>263</v>
      </c>
      <c r="I51" t="s">
        <v>570</v>
      </c>
      <c r="J51">
        <v>-12000</v>
      </c>
      <c r="K51">
        <v>-12000</v>
      </c>
      <c r="O51" t="s">
        <v>571</v>
      </c>
      <c r="Q51" t="s">
        <v>618</v>
      </c>
      <c r="R51">
        <v>0</v>
      </c>
    </row>
    <row r="52" spans="1:18" x14ac:dyDescent="0.3">
      <c r="A52">
        <v>175548</v>
      </c>
      <c r="B52" t="s">
        <v>568</v>
      </c>
      <c r="C52" t="s">
        <v>606</v>
      </c>
      <c r="D52" t="s">
        <v>619</v>
      </c>
      <c r="E52" s="452">
        <v>46813</v>
      </c>
      <c r="F52" s="452">
        <v>46814</v>
      </c>
      <c r="G52" t="s">
        <v>613</v>
      </c>
      <c r="H52" t="s">
        <v>369</v>
      </c>
      <c r="I52" t="s">
        <v>614</v>
      </c>
      <c r="J52">
        <v>-5792.21</v>
      </c>
      <c r="K52">
        <v>-5792.21</v>
      </c>
      <c r="O52" t="s">
        <v>571</v>
      </c>
      <c r="Q52" t="s">
        <v>618</v>
      </c>
      <c r="R52">
        <v>0</v>
      </c>
    </row>
    <row r="53" spans="1:18" x14ac:dyDescent="0.3">
      <c r="A53">
        <v>99365</v>
      </c>
      <c r="B53" t="s">
        <v>568</v>
      </c>
      <c r="C53" t="s">
        <v>569</v>
      </c>
      <c r="E53" s="452">
        <v>46784</v>
      </c>
      <c r="F53" s="452">
        <v>46793</v>
      </c>
      <c r="G53" t="s">
        <v>257</v>
      </c>
      <c r="H53" t="s">
        <v>263</v>
      </c>
      <c r="I53" t="s">
        <v>570</v>
      </c>
      <c r="J53">
        <v>-12000</v>
      </c>
      <c r="K53">
        <v>-12000</v>
      </c>
      <c r="O53" t="s">
        <v>571</v>
      </c>
      <c r="Q53" t="s">
        <v>620</v>
      </c>
      <c r="R53">
        <v>0</v>
      </c>
    </row>
    <row r="54" spans="1:18" x14ac:dyDescent="0.3">
      <c r="A54">
        <v>175504</v>
      </c>
      <c r="B54" t="s">
        <v>568</v>
      </c>
      <c r="C54" t="s">
        <v>606</v>
      </c>
      <c r="E54" s="452">
        <v>46784</v>
      </c>
      <c r="F54" s="452">
        <v>46813</v>
      </c>
      <c r="G54" t="s">
        <v>257</v>
      </c>
      <c r="H54" t="s">
        <v>258</v>
      </c>
      <c r="I54" t="s">
        <v>607</v>
      </c>
      <c r="J54">
        <v>-34700</v>
      </c>
      <c r="K54">
        <v>-34700</v>
      </c>
      <c r="O54" t="s">
        <v>571</v>
      </c>
      <c r="Q54" t="s">
        <v>620</v>
      </c>
      <c r="R54">
        <v>0</v>
      </c>
    </row>
    <row r="55" spans="1:18" x14ac:dyDescent="0.3">
      <c r="A55">
        <v>175547</v>
      </c>
      <c r="B55" t="s">
        <v>568</v>
      </c>
      <c r="C55" t="s">
        <v>606</v>
      </c>
      <c r="D55" t="s">
        <v>621</v>
      </c>
      <c r="E55" s="452">
        <v>46784</v>
      </c>
      <c r="F55" s="452">
        <v>46785</v>
      </c>
      <c r="G55" t="s">
        <v>613</v>
      </c>
      <c r="H55" t="s">
        <v>369</v>
      </c>
      <c r="I55" t="s">
        <v>614</v>
      </c>
      <c r="J55">
        <v>-5792.21</v>
      </c>
      <c r="K55">
        <v>-5792.21</v>
      </c>
      <c r="O55" t="s">
        <v>571</v>
      </c>
      <c r="Q55" t="s">
        <v>620</v>
      </c>
      <c r="R55">
        <v>0</v>
      </c>
    </row>
    <row r="56" spans="1:18" x14ac:dyDescent="0.3">
      <c r="A56">
        <v>175503</v>
      </c>
      <c r="B56" t="s">
        <v>568</v>
      </c>
      <c r="C56" t="s">
        <v>606</v>
      </c>
      <c r="E56" s="452">
        <v>46753</v>
      </c>
      <c r="F56" s="452">
        <v>46784</v>
      </c>
      <c r="G56" t="s">
        <v>257</v>
      </c>
      <c r="H56" t="s">
        <v>258</v>
      </c>
      <c r="I56" t="s">
        <v>607</v>
      </c>
      <c r="J56">
        <v>-34700</v>
      </c>
      <c r="K56">
        <v>-34700</v>
      </c>
      <c r="O56" t="s">
        <v>571</v>
      </c>
      <c r="Q56" t="s">
        <v>622</v>
      </c>
      <c r="R56">
        <v>0</v>
      </c>
    </row>
    <row r="57" spans="1:18" x14ac:dyDescent="0.3">
      <c r="A57">
        <v>99364</v>
      </c>
      <c r="B57" t="s">
        <v>568</v>
      </c>
      <c r="C57" t="s">
        <v>569</v>
      </c>
      <c r="E57" s="452">
        <v>46753</v>
      </c>
      <c r="F57" s="452">
        <v>46762</v>
      </c>
      <c r="G57" t="s">
        <v>257</v>
      </c>
      <c r="H57" t="s">
        <v>263</v>
      </c>
      <c r="I57" t="s">
        <v>570</v>
      </c>
      <c r="J57">
        <v>-12000</v>
      </c>
      <c r="K57">
        <v>-12000</v>
      </c>
      <c r="O57" t="s">
        <v>571</v>
      </c>
      <c r="Q57" t="s">
        <v>622</v>
      </c>
      <c r="R57">
        <v>0</v>
      </c>
    </row>
    <row r="58" spans="1:18" x14ac:dyDescent="0.3">
      <c r="A58">
        <v>175546</v>
      </c>
      <c r="B58" t="s">
        <v>568</v>
      </c>
      <c r="C58" t="s">
        <v>606</v>
      </c>
      <c r="D58" t="s">
        <v>623</v>
      </c>
      <c r="E58" s="452">
        <v>46753</v>
      </c>
      <c r="F58" s="452">
        <v>46754</v>
      </c>
      <c r="G58" t="s">
        <v>613</v>
      </c>
      <c r="H58" t="s">
        <v>369</v>
      </c>
      <c r="I58" t="s">
        <v>614</v>
      </c>
      <c r="J58">
        <v>-5792.21</v>
      </c>
      <c r="K58">
        <v>-5792.21</v>
      </c>
      <c r="O58" t="s">
        <v>571</v>
      </c>
      <c r="Q58" t="s">
        <v>622</v>
      </c>
      <c r="R58">
        <v>0</v>
      </c>
    </row>
    <row r="59" spans="1:18" x14ac:dyDescent="0.3">
      <c r="A59">
        <v>175502</v>
      </c>
      <c r="B59" t="s">
        <v>568</v>
      </c>
      <c r="C59" t="s">
        <v>606</v>
      </c>
      <c r="E59" s="452">
        <v>46722</v>
      </c>
      <c r="F59" s="452">
        <v>46753</v>
      </c>
      <c r="G59" t="s">
        <v>257</v>
      </c>
      <c r="H59" t="s">
        <v>258</v>
      </c>
      <c r="I59" t="s">
        <v>607</v>
      </c>
      <c r="J59">
        <v>-34700</v>
      </c>
      <c r="K59">
        <v>-34700</v>
      </c>
      <c r="O59" t="s">
        <v>571</v>
      </c>
      <c r="Q59" t="s">
        <v>624</v>
      </c>
      <c r="R59">
        <v>0</v>
      </c>
    </row>
    <row r="60" spans="1:18" x14ac:dyDescent="0.3">
      <c r="A60">
        <v>99363</v>
      </c>
      <c r="B60" t="s">
        <v>568</v>
      </c>
      <c r="C60" t="s">
        <v>569</v>
      </c>
      <c r="E60" s="452">
        <v>46722</v>
      </c>
      <c r="F60" s="452">
        <v>46731</v>
      </c>
      <c r="G60" t="s">
        <v>257</v>
      </c>
      <c r="H60" t="s">
        <v>263</v>
      </c>
      <c r="I60" t="s">
        <v>570</v>
      </c>
      <c r="J60">
        <v>-12000</v>
      </c>
      <c r="K60">
        <v>-12000</v>
      </c>
      <c r="O60" t="s">
        <v>571</v>
      </c>
      <c r="Q60" t="s">
        <v>624</v>
      </c>
      <c r="R60">
        <v>0</v>
      </c>
    </row>
    <row r="61" spans="1:18" x14ac:dyDescent="0.3">
      <c r="A61">
        <v>175545</v>
      </c>
      <c r="B61" t="s">
        <v>568</v>
      </c>
      <c r="C61" t="s">
        <v>606</v>
      </c>
      <c r="D61" t="s">
        <v>625</v>
      </c>
      <c r="E61" s="452">
        <v>46722</v>
      </c>
      <c r="F61" s="452">
        <v>46723</v>
      </c>
      <c r="G61" t="s">
        <v>613</v>
      </c>
      <c r="H61" t="s">
        <v>369</v>
      </c>
      <c r="I61" t="s">
        <v>614</v>
      </c>
      <c r="J61">
        <v>-5792.21</v>
      </c>
      <c r="K61">
        <v>-5792.21</v>
      </c>
      <c r="O61" t="s">
        <v>571</v>
      </c>
      <c r="Q61" t="s">
        <v>624</v>
      </c>
      <c r="R61">
        <v>0</v>
      </c>
    </row>
    <row r="62" spans="1:18" x14ac:dyDescent="0.3">
      <c r="A62">
        <v>175501</v>
      </c>
      <c r="B62" t="s">
        <v>568</v>
      </c>
      <c r="C62" t="s">
        <v>606</v>
      </c>
      <c r="E62" s="452">
        <v>46692</v>
      </c>
      <c r="F62" s="452">
        <v>46722</v>
      </c>
      <c r="G62" t="s">
        <v>257</v>
      </c>
      <c r="H62" t="s">
        <v>258</v>
      </c>
      <c r="I62" t="s">
        <v>607</v>
      </c>
      <c r="J62">
        <v>-34700</v>
      </c>
      <c r="K62">
        <v>-34700</v>
      </c>
      <c r="O62" t="s">
        <v>571</v>
      </c>
      <c r="Q62" t="s">
        <v>626</v>
      </c>
      <c r="R62">
        <v>0</v>
      </c>
    </row>
    <row r="63" spans="1:18" x14ac:dyDescent="0.3">
      <c r="A63">
        <v>99362</v>
      </c>
      <c r="B63" t="s">
        <v>568</v>
      </c>
      <c r="C63" t="s">
        <v>569</v>
      </c>
      <c r="E63" s="452">
        <v>46692</v>
      </c>
      <c r="F63" s="452">
        <v>46701</v>
      </c>
      <c r="G63" t="s">
        <v>257</v>
      </c>
      <c r="H63" t="s">
        <v>263</v>
      </c>
      <c r="I63" t="s">
        <v>570</v>
      </c>
      <c r="J63">
        <v>-12000</v>
      </c>
      <c r="K63">
        <v>-12000</v>
      </c>
      <c r="O63" t="s">
        <v>571</v>
      </c>
      <c r="Q63" t="s">
        <v>626</v>
      </c>
      <c r="R63">
        <v>0</v>
      </c>
    </row>
    <row r="64" spans="1:18" x14ac:dyDescent="0.3">
      <c r="A64">
        <v>175544</v>
      </c>
      <c r="B64" t="s">
        <v>568</v>
      </c>
      <c r="C64" t="s">
        <v>606</v>
      </c>
      <c r="D64" t="s">
        <v>627</v>
      </c>
      <c r="E64" s="452">
        <v>46692</v>
      </c>
      <c r="F64" s="452">
        <v>46693</v>
      </c>
      <c r="G64" t="s">
        <v>613</v>
      </c>
      <c r="H64" t="s">
        <v>369</v>
      </c>
      <c r="I64" t="s">
        <v>614</v>
      </c>
      <c r="J64">
        <v>-5792.21</v>
      </c>
      <c r="K64">
        <v>-5792.21</v>
      </c>
      <c r="O64" t="s">
        <v>571</v>
      </c>
      <c r="Q64" t="s">
        <v>626</v>
      </c>
      <c r="R64">
        <v>0</v>
      </c>
    </row>
    <row r="65" spans="1:18" x14ac:dyDescent="0.3">
      <c r="A65">
        <v>98083</v>
      </c>
      <c r="B65" t="s">
        <v>568</v>
      </c>
      <c r="C65" t="s">
        <v>628</v>
      </c>
      <c r="D65" t="s">
        <v>629</v>
      </c>
      <c r="E65" s="452">
        <v>46683</v>
      </c>
      <c r="F65" s="452">
        <v>46682</v>
      </c>
      <c r="G65" t="s">
        <v>613</v>
      </c>
      <c r="H65" t="s">
        <v>369</v>
      </c>
      <c r="I65" t="s">
        <v>630</v>
      </c>
      <c r="J65">
        <v>-100000</v>
      </c>
      <c r="K65">
        <v>-100000</v>
      </c>
      <c r="O65" t="s">
        <v>631</v>
      </c>
      <c r="Q65" t="s">
        <v>632</v>
      </c>
      <c r="R65">
        <v>0</v>
      </c>
    </row>
    <row r="66" spans="1:18" x14ac:dyDescent="0.3">
      <c r="A66">
        <v>175543</v>
      </c>
      <c r="B66" t="s">
        <v>568</v>
      </c>
      <c r="C66" t="s">
        <v>606</v>
      </c>
      <c r="D66" t="s">
        <v>633</v>
      </c>
      <c r="E66" s="452">
        <v>46661</v>
      </c>
      <c r="F66" s="452">
        <v>46662</v>
      </c>
      <c r="G66" t="s">
        <v>613</v>
      </c>
      <c r="H66" t="s">
        <v>369</v>
      </c>
      <c r="I66" t="s">
        <v>614</v>
      </c>
      <c r="J66">
        <v>-5792.21</v>
      </c>
      <c r="K66">
        <v>-5792.21</v>
      </c>
      <c r="O66" t="s">
        <v>571</v>
      </c>
      <c r="Q66" t="s">
        <v>632</v>
      </c>
      <c r="R66">
        <v>0</v>
      </c>
    </row>
    <row r="67" spans="1:18" x14ac:dyDescent="0.3">
      <c r="A67">
        <v>99361</v>
      </c>
      <c r="B67" t="s">
        <v>568</v>
      </c>
      <c r="C67" t="s">
        <v>569</v>
      </c>
      <c r="E67" s="452">
        <v>46661</v>
      </c>
      <c r="F67" s="452">
        <v>46670</v>
      </c>
      <c r="G67" t="s">
        <v>257</v>
      </c>
      <c r="H67" t="s">
        <v>263</v>
      </c>
      <c r="I67" t="s">
        <v>570</v>
      </c>
      <c r="J67">
        <v>-12000</v>
      </c>
      <c r="K67">
        <v>-12000</v>
      </c>
      <c r="O67" t="s">
        <v>571</v>
      </c>
      <c r="Q67" t="s">
        <v>632</v>
      </c>
      <c r="R67">
        <v>0</v>
      </c>
    </row>
    <row r="68" spans="1:18" x14ac:dyDescent="0.3">
      <c r="A68">
        <v>175500</v>
      </c>
      <c r="B68" t="s">
        <v>568</v>
      </c>
      <c r="C68" t="s">
        <v>606</v>
      </c>
      <c r="E68" s="452">
        <v>46661</v>
      </c>
      <c r="F68" s="452">
        <v>46692</v>
      </c>
      <c r="G68" t="s">
        <v>257</v>
      </c>
      <c r="H68" t="s">
        <v>258</v>
      </c>
      <c r="I68" t="s">
        <v>607</v>
      </c>
      <c r="J68">
        <v>-34700</v>
      </c>
      <c r="K68">
        <v>-34700</v>
      </c>
      <c r="O68" t="s">
        <v>571</v>
      </c>
      <c r="Q68" t="s">
        <v>632</v>
      </c>
      <c r="R68">
        <v>0</v>
      </c>
    </row>
    <row r="69" spans="1:18" x14ac:dyDescent="0.3">
      <c r="A69">
        <v>98082</v>
      </c>
      <c r="B69" t="s">
        <v>568</v>
      </c>
      <c r="C69" t="s">
        <v>628</v>
      </c>
      <c r="D69" t="s">
        <v>634</v>
      </c>
      <c r="E69" s="452">
        <v>46653</v>
      </c>
      <c r="F69" s="452">
        <v>46652</v>
      </c>
      <c r="G69" t="s">
        <v>613</v>
      </c>
      <c r="H69" t="s">
        <v>369</v>
      </c>
      <c r="I69" t="s">
        <v>630</v>
      </c>
      <c r="J69">
        <v>-20000</v>
      </c>
      <c r="K69">
        <v>-20000</v>
      </c>
      <c r="O69" t="s">
        <v>631</v>
      </c>
      <c r="Q69" t="s">
        <v>635</v>
      </c>
      <c r="R69">
        <v>0</v>
      </c>
    </row>
    <row r="70" spans="1:18" x14ac:dyDescent="0.3">
      <c r="A70">
        <v>175499</v>
      </c>
      <c r="B70" t="s">
        <v>568</v>
      </c>
      <c r="C70" t="s">
        <v>606</v>
      </c>
      <c r="E70" s="452">
        <v>46631</v>
      </c>
      <c r="F70" s="452">
        <v>46661</v>
      </c>
      <c r="G70" t="s">
        <v>257</v>
      </c>
      <c r="H70" t="s">
        <v>258</v>
      </c>
      <c r="I70" t="s">
        <v>607</v>
      </c>
      <c r="J70">
        <v>-34700</v>
      </c>
      <c r="K70">
        <v>-34700</v>
      </c>
      <c r="O70" t="s">
        <v>571</v>
      </c>
      <c r="Q70" t="s">
        <v>635</v>
      </c>
      <c r="R70">
        <v>0</v>
      </c>
    </row>
    <row r="71" spans="1:18" x14ac:dyDescent="0.3">
      <c r="A71">
        <v>99360</v>
      </c>
      <c r="B71" t="s">
        <v>568</v>
      </c>
      <c r="C71" t="s">
        <v>569</v>
      </c>
      <c r="E71" s="452">
        <v>46631</v>
      </c>
      <c r="F71" s="452">
        <v>46640</v>
      </c>
      <c r="G71" t="s">
        <v>257</v>
      </c>
      <c r="H71" t="s">
        <v>263</v>
      </c>
      <c r="I71" t="s">
        <v>570</v>
      </c>
      <c r="J71">
        <v>-12000</v>
      </c>
      <c r="K71">
        <v>-12000</v>
      </c>
      <c r="O71" t="s">
        <v>571</v>
      </c>
      <c r="Q71" t="s">
        <v>635</v>
      </c>
      <c r="R71">
        <v>0</v>
      </c>
    </row>
    <row r="72" spans="1:18" x14ac:dyDescent="0.3">
      <c r="A72">
        <v>175542</v>
      </c>
      <c r="B72" t="s">
        <v>568</v>
      </c>
      <c r="C72" t="s">
        <v>606</v>
      </c>
      <c r="D72" t="s">
        <v>636</v>
      </c>
      <c r="E72" s="452">
        <v>46631</v>
      </c>
      <c r="F72" s="452">
        <v>46632</v>
      </c>
      <c r="G72" t="s">
        <v>613</v>
      </c>
      <c r="H72" t="s">
        <v>369</v>
      </c>
      <c r="I72" t="s">
        <v>614</v>
      </c>
      <c r="J72">
        <v>-5792.21</v>
      </c>
      <c r="K72">
        <v>-5792.21</v>
      </c>
      <c r="O72" t="s">
        <v>571</v>
      </c>
      <c r="Q72" t="s">
        <v>635</v>
      </c>
      <c r="R72">
        <v>0</v>
      </c>
    </row>
    <row r="73" spans="1:18" x14ac:dyDescent="0.3">
      <c r="A73">
        <v>98081</v>
      </c>
      <c r="B73" t="s">
        <v>568</v>
      </c>
      <c r="C73" t="s">
        <v>628</v>
      </c>
      <c r="D73" t="s">
        <v>637</v>
      </c>
      <c r="E73" s="452">
        <v>46622</v>
      </c>
      <c r="F73" s="452">
        <v>46621</v>
      </c>
      <c r="G73" t="s">
        <v>613</v>
      </c>
      <c r="H73" t="s">
        <v>369</v>
      </c>
      <c r="I73" t="s">
        <v>630</v>
      </c>
      <c r="J73">
        <v>-20000</v>
      </c>
      <c r="K73">
        <v>-20000</v>
      </c>
      <c r="O73" t="s">
        <v>631</v>
      </c>
      <c r="Q73" t="s">
        <v>638</v>
      </c>
      <c r="R73">
        <v>0</v>
      </c>
    </row>
    <row r="74" spans="1:18" x14ac:dyDescent="0.3">
      <c r="A74">
        <v>175498</v>
      </c>
      <c r="B74" t="s">
        <v>568</v>
      </c>
      <c r="C74" t="s">
        <v>606</v>
      </c>
      <c r="E74" s="452">
        <v>46600</v>
      </c>
      <c r="F74" s="452">
        <v>46631</v>
      </c>
      <c r="G74" t="s">
        <v>257</v>
      </c>
      <c r="H74" t="s">
        <v>258</v>
      </c>
      <c r="I74" t="s">
        <v>607</v>
      </c>
      <c r="J74">
        <v>-34700</v>
      </c>
      <c r="K74">
        <v>-34700</v>
      </c>
      <c r="O74" t="s">
        <v>571</v>
      </c>
      <c r="Q74" t="s">
        <v>638</v>
      </c>
      <c r="R74">
        <v>0</v>
      </c>
    </row>
    <row r="75" spans="1:18" x14ac:dyDescent="0.3">
      <c r="A75">
        <v>175541</v>
      </c>
      <c r="B75" t="s">
        <v>568</v>
      </c>
      <c r="C75" t="s">
        <v>606</v>
      </c>
      <c r="D75" t="s">
        <v>639</v>
      </c>
      <c r="E75" s="452">
        <v>46600</v>
      </c>
      <c r="F75" s="452">
        <v>46601</v>
      </c>
      <c r="G75" t="s">
        <v>613</v>
      </c>
      <c r="H75" t="s">
        <v>369</v>
      </c>
      <c r="I75" t="s">
        <v>614</v>
      </c>
      <c r="J75">
        <v>-5792.21</v>
      </c>
      <c r="K75">
        <v>-5792.21</v>
      </c>
      <c r="O75" t="s">
        <v>571</v>
      </c>
      <c r="Q75" t="s">
        <v>638</v>
      </c>
      <c r="R75">
        <v>0</v>
      </c>
    </row>
    <row r="76" spans="1:18" x14ac:dyDescent="0.3">
      <c r="A76">
        <v>99359</v>
      </c>
      <c r="B76" t="s">
        <v>568</v>
      </c>
      <c r="C76" t="s">
        <v>569</v>
      </c>
      <c r="E76" s="452">
        <v>46600</v>
      </c>
      <c r="F76" s="452">
        <v>46609</v>
      </c>
      <c r="G76" t="s">
        <v>257</v>
      </c>
      <c r="H76" t="s">
        <v>263</v>
      </c>
      <c r="I76" t="s">
        <v>570</v>
      </c>
      <c r="J76">
        <v>-12000</v>
      </c>
      <c r="K76">
        <v>-12000</v>
      </c>
      <c r="O76" t="s">
        <v>571</v>
      </c>
      <c r="Q76" t="s">
        <v>638</v>
      </c>
      <c r="R76">
        <v>0</v>
      </c>
    </row>
    <row r="77" spans="1:18" x14ac:dyDescent="0.3">
      <c r="A77">
        <v>98080</v>
      </c>
      <c r="B77" t="s">
        <v>568</v>
      </c>
      <c r="C77" t="s">
        <v>628</v>
      </c>
      <c r="D77" t="s">
        <v>640</v>
      </c>
      <c r="E77" s="452">
        <v>46591</v>
      </c>
      <c r="F77" s="452">
        <v>46590</v>
      </c>
      <c r="G77" t="s">
        <v>613</v>
      </c>
      <c r="H77" t="s">
        <v>369</v>
      </c>
      <c r="I77" t="s">
        <v>630</v>
      </c>
      <c r="J77">
        <v>-20000</v>
      </c>
      <c r="K77">
        <v>-20000</v>
      </c>
      <c r="O77" t="s">
        <v>631</v>
      </c>
      <c r="Q77" t="s">
        <v>641</v>
      </c>
      <c r="R77">
        <v>0</v>
      </c>
    </row>
    <row r="78" spans="1:18" x14ac:dyDescent="0.3">
      <c r="A78">
        <v>175497</v>
      </c>
      <c r="B78" t="s">
        <v>568</v>
      </c>
      <c r="C78" t="s">
        <v>606</v>
      </c>
      <c r="E78" s="452">
        <v>46569</v>
      </c>
      <c r="F78" s="452">
        <v>46600</v>
      </c>
      <c r="G78" t="s">
        <v>257</v>
      </c>
      <c r="H78" t="s">
        <v>258</v>
      </c>
      <c r="I78" t="s">
        <v>607</v>
      </c>
      <c r="J78">
        <v>-34700</v>
      </c>
      <c r="K78">
        <v>-34700</v>
      </c>
      <c r="O78" t="s">
        <v>571</v>
      </c>
      <c r="Q78" t="s">
        <v>641</v>
      </c>
      <c r="R78">
        <v>0</v>
      </c>
    </row>
    <row r="79" spans="1:18" x14ac:dyDescent="0.3">
      <c r="A79">
        <v>99358</v>
      </c>
      <c r="B79" t="s">
        <v>568</v>
      </c>
      <c r="C79" t="s">
        <v>569</v>
      </c>
      <c r="E79" s="452">
        <v>46569</v>
      </c>
      <c r="F79" s="452">
        <v>46578</v>
      </c>
      <c r="G79" t="s">
        <v>257</v>
      </c>
      <c r="H79" t="s">
        <v>263</v>
      </c>
      <c r="I79" t="s">
        <v>570</v>
      </c>
      <c r="J79">
        <v>-12000</v>
      </c>
      <c r="K79">
        <v>-12000</v>
      </c>
      <c r="O79" t="s">
        <v>571</v>
      </c>
      <c r="Q79" t="s">
        <v>641</v>
      </c>
      <c r="R79">
        <v>0</v>
      </c>
    </row>
    <row r="80" spans="1:18" x14ac:dyDescent="0.3">
      <c r="A80">
        <v>175540</v>
      </c>
      <c r="B80" t="s">
        <v>568</v>
      </c>
      <c r="C80" t="s">
        <v>606</v>
      </c>
      <c r="D80" t="s">
        <v>642</v>
      </c>
      <c r="E80" s="452">
        <v>46569</v>
      </c>
      <c r="F80" s="452">
        <v>46570</v>
      </c>
      <c r="G80" t="s">
        <v>613</v>
      </c>
      <c r="H80" t="s">
        <v>369</v>
      </c>
      <c r="I80" t="s">
        <v>614</v>
      </c>
      <c r="J80">
        <v>-5792.21</v>
      </c>
      <c r="K80">
        <v>-5792.21</v>
      </c>
      <c r="O80" t="s">
        <v>571</v>
      </c>
      <c r="Q80" t="s">
        <v>641</v>
      </c>
      <c r="R80">
        <v>0</v>
      </c>
    </row>
    <row r="81" spans="1:18" x14ac:dyDescent="0.3">
      <c r="A81">
        <v>98079</v>
      </c>
      <c r="B81" t="s">
        <v>568</v>
      </c>
      <c r="C81" t="s">
        <v>628</v>
      </c>
      <c r="D81" t="s">
        <v>643</v>
      </c>
      <c r="E81" s="452">
        <v>46561</v>
      </c>
      <c r="F81" s="452">
        <v>46560</v>
      </c>
      <c r="G81" t="s">
        <v>613</v>
      </c>
      <c r="H81" t="s">
        <v>369</v>
      </c>
      <c r="I81" t="s">
        <v>630</v>
      </c>
      <c r="J81">
        <v>-20000</v>
      </c>
      <c r="K81">
        <v>-20000</v>
      </c>
      <c r="O81" t="s">
        <v>631</v>
      </c>
      <c r="Q81" t="s">
        <v>644</v>
      </c>
      <c r="R81">
        <v>0</v>
      </c>
    </row>
    <row r="82" spans="1:18" x14ac:dyDescent="0.3">
      <c r="A82">
        <v>175496</v>
      </c>
      <c r="B82" t="s">
        <v>568</v>
      </c>
      <c r="C82" t="s">
        <v>606</v>
      </c>
      <c r="E82" s="452">
        <v>46539</v>
      </c>
      <c r="F82" s="452">
        <v>46569</v>
      </c>
      <c r="G82" t="s">
        <v>257</v>
      </c>
      <c r="H82" t="s">
        <v>258</v>
      </c>
      <c r="I82" t="s">
        <v>607</v>
      </c>
      <c r="J82">
        <v>-34700</v>
      </c>
      <c r="K82">
        <v>-34700</v>
      </c>
      <c r="O82" t="s">
        <v>571</v>
      </c>
      <c r="Q82" t="s">
        <v>644</v>
      </c>
      <c r="R82">
        <v>0</v>
      </c>
    </row>
    <row r="83" spans="1:18" x14ac:dyDescent="0.3">
      <c r="A83">
        <v>175539</v>
      </c>
      <c r="B83" t="s">
        <v>568</v>
      </c>
      <c r="C83" t="s">
        <v>606</v>
      </c>
      <c r="D83" t="s">
        <v>645</v>
      </c>
      <c r="E83" s="452">
        <v>46539</v>
      </c>
      <c r="F83" s="452">
        <v>46540</v>
      </c>
      <c r="G83" t="s">
        <v>613</v>
      </c>
      <c r="H83" t="s">
        <v>369</v>
      </c>
      <c r="I83" t="s">
        <v>614</v>
      </c>
      <c r="J83">
        <v>-5792.21</v>
      </c>
      <c r="K83">
        <v>-5792.21</v>
      </c>
      <c r="O83" t="s">
        <v>571</v>
      </c>
      <c r="Q83" t="s">
        <v>644</v>
      </c>
      <c r="R83">
        <v>0</v>
      </c>
    </row>
    <row r="84" spans="1:18" x14ac:dyDescent="0.3">
      <c r="A84">
        <v>99357</v>
      </c>
      <c r="B84" t="s">
        <v>568</v>
      </c>
      <c r="C84" t="s">
        <v>569</v>
      </c>
      <c r="E84" s="452">
        <v>46539</v>
      </c>
      <c r="F84" s="452">
        <v>46548</v>
      </c>
      <c r="G84" t="s">
        <v>257</v>
      </c>
      <c r="H84" t="s">
        <v>263</v>
      </c>
      <c r="I84" t="s">
        <v>570</v>
      </c>
      <c r="J84">
        <v>-12000</v>
      </c>
      <c r="K84">
        <v>-12000</v>
      </c>
      <c r="O84" t="s">
        <v>571</v>
      </c>
      <c r="Q84" t="s">
        <v>644</v>
      </c>
      <c r="R84">
        <v>0</v>
      </c>
    </row>
    <row r="85" spans="1:18" x14ac:dyDescent="0.3">
      <c r="A85">
        <v>98078</v>
      </c>
      <c r="B85" t="s">
        <v>568</v>
      </c>
      <c r="C85" t="s">
        <v>628</v>
      </c>
      <c r="D85" t="s">
        <v>646</v>
      </c>
      <c r="E85" s="452">
        <v>46530</v>
      </c>
      <c r="F85" s="452">
        <v>46529</v>
      </c>
      <c r="G85" t="s">
        <v>613</v>
      </c>
      <c r="H85" t="s">
        <v>369</v>
      </c>
      <c r="I85" t="s">
        <v>630</v>
      </c>
      <c r="J85">
        <v>-20000</v>
      </c>
      <c r="K85">
        <v>-20000</v>
      </c>
      <c r="O85" t="s">
        <v>631</v>
      </c>
      <c r="Q85" t="s">
        <v>647</v>
      </c>
      <c r="R85">
        <v>0</v>
      </c>
    </row>
    <row r="86" spans="1:18" x14ac:dyDescent="0.3">
      <c r="A86">
        <v>175538</v>
      </c>
      <c r="B86" t="s">
        <v>568</v>
      </c>
      <c r="C86" t="s">
        <v>606</v>
      </c>
      <c r="D86" t="s">
        <v>648</v>
      </c>
      <c r="E86" s="452">
        <v>46508</v>
      </c>
      <c r="F86" s="452">
        <v>46509</v>
      </c>
      <c r="G86" t="s">
        <v>613</v>
      </c>
      <c r="H86" t="s">
        <v>369</v>
      </c>
      <c r="I86" t="s">
        <v>614</v>
      </c>
      <c r="J86">
        <v>-5792.21</v>
      </c>
      <c r="K86">
        <v>-5792.21</v>
      </c>
      <c r="O86" t="s">
        <v>571</v>
      </c>
      <c r="Q86" t="s">
        <v>647</v>
      </c>
      <c r="R86">
        <v>0</v>
      </c>
    </row>
    <row r="87" spans="1:18" x14ac:dyDescent="0.3">
      <c r="A87">
        <v>99356</v>
      </c>
      <c r="B87" t="s">
        <v>568</v>
      </c>
      <c r="C87" t="s">
        <v>569</v>
      </c>
      <c r="E87" s="452">
        <v>46508</v>
      </c>
      <c r="F87" s="452">
        <v>46517</v>
      </c>
      <c r="G87" t="s">
        <v>257</v>
      </c>
      <c r="H87" t="s">
        <v>263</v>
      </c>
      <c r="I87" t="s">
        <v>570</v>
      </c>
      <c r="J87">
        <v>-12000</v>
      </c>
      <c r="K87">
        <v>-12000</v>
      </c>
      <c r="O87" t="s">
        <v>571</v>
      </c>
      <c r="Q87" t="s">
        <v>647</v>
      </c>
      <c r="R87">
        <v>0</v>
      </c>
    </row>
    <row r="88" spans="1:18" x14ac:dyDescent="0.3">
      <c r="A88">
        <v>175495</v>
      </c>
      <c r="B88" t="s">
        <v>568</v>
      </c>
      <c r="C88" t="s">
        <v>606</v>
      </c>
      <c r="E88" s="452">
        <v>46508</v>
      </c>
      <c r="F88" s="452">
        <v>46539</v>
      </c>
      <c r="G88" t="s">
        <v>257</v>
      </c>
      <c r="H88" t="s">
        <v>258</v>
      </c>
      <c r="I88" t="s">
        <v>607</v>
      </c>
      <c r="J88">
        <v>-34700</v>
      </c>
      <c r="K88">
        <v>-34700</v>
      </c>
      <c r="O88" t="s">
        <v>571</v>
      </c>
      <c r="Q88" t="s">
        <v>647</v>
      </c>
      <c r="R88">
        <v>0</v>
      </c>
    </row>
    <row r="89" spans="1:18" x14ac:dyDescent="0.3">
      <c r="A89">
        <v>98077</v>
      </c>
      <c r="B89" t="s">
        <v>568</v>
      </c>
      <c r="C89" t="s">
        <v>628</v>
      </c>
      <c r="D89" t="s">
        <v>649</v>
      </c>
      <c r="E89" s="452">
        <v>46500</v>
      </c>
      <c r="F89" s="452">
        <v>46499</v>
      </c>
      <c r="G89" t="s">
        <v>613</v>
      </c>
      <c r="H89" t="s">
        <v>369</v>
      </c>
      <c r="I89" t="s">
        <v>630</v>
      </c>
      <c r="J89">
        <v>-100000</v>
      </c>
      <c r="K89">
        <v>-100000</v>
      </c>
      <c r="O89" t="s">
        <v>631</v>
      </c>
      <c r="Q89" t="s">
        <v>650</v>
      </c>
      <c r="R89">
        <v>0</v>
      </c>
    </row>
    <row r="90" spans="1:18" x14ac:dyDescent="0.3">
      <c r="A90">
        <v>175537</v>
      </c>
      <c r="B90" t="s">
        <v>568</v>
      </c>
      <c r="C90" t="s">
        <v>606</v>
      </c>
      <c r="D90" t="s">
        <v>651</v>
      </c>
      <c r="E90" s="452">
        <v>46478</v>
      </c>
      <c r="F90" s="452">
        <v>46479</v>
      </c>
      <c r="G90" t="s">
        <v>613</v>
      </c>
      <c r="H90" t="s">
        <v>369</v>
      </c>
      <c r="I90" t="s">
        <v>614</v>
      </c>
      <c r="J90">
        <v>-5792.21</v>
      </c>
      <c r="K90">
        <v>-5792.21</v>
      </c>
      <c r="O90" t="s">
        <v>571</v>
      </c>
      <c r="Q90" t="s">
        <v>650</v>
      </c>
      <c r="R90">
        <v>0</v>
      </c>
    </row>
    <row r="91" spans="1:18" x14ac:dyDescent="0.3">
      <c r="A91">
        <v>99355</v>
      </c>
      <c r="B91" t="s">
        <v>568</v>
      </c>
      <c r="C91" t="s">
        <v>569</v>
      </c>
      <c r="E91" s="452">
        <v>46478</v>
      </c>
      <c r="F91" s="452">
        <v>46487</v>
      </c>
      <c r="G91" t="s">
        <v>257</v>
      </c>
      <c r="H91" t="s">
        <v>263</v>
      </c>
      <c r="I91" t="s">
        <v>570</v>
      </c>
      <c r="J91">
        <v>-12000</v>
      </c>
      <c r="K91">
        <v>-12000</v>
      </c>
      <c r="O91" t="s">
        <v>571</v>
      </c>
      <c r="Q91" t="s">
        <v>650</v>
      </c>
      <c r="R91">
        <v>0</v>
      </c>
    </row>
    <row r="92" spans="1:18" x14ac:dyDescent="0.3">
      <c r="A92">
        <v>175494</v>
      </c>
      <c r="B92" t="s">
        <v>568</v>
      </c>
      <c r="C92" t="s">
        <v>606</v>
      </c>
      <c r="E92" s="452">
        <v>46478</v>
      </c>
      <c r="F92" s="452">
        <v>46508</v>
      </c>
      <c r="G92" t="s">
        <v>257</v>
      </c>
      <c r="H92" t="s">
        <v>258</v>
      </c>
      <c r="I92" t="s">
        <v>607</v>
      </c>
      <c r="J92">
        <v>-34700</v>
      </c>
      <c r="K92">
        <v>-34700</v>
      </c>
      <c r="O92" t="s">
        <v>571</v>
      </c>
      <c r="Q92" t="s">
        <v>650</v>
      </c>
      <c r="R92">
        <v>0</v>
      </c>
    </row>
    <row r="93" spans="1:18" x14ac:dyDescent="0.3">
      <c r="A93">
        <v>98076</v>
      </c>
      <c r="B93" t="s">
        <v>568</v>
      </c>
      <c r="C93" t="s">
        <v>628</v>
      </c>
      <c r="D93" t="s">
        <v>652</v>
      </c>
      <c r="E93" s="452">
        <v>46469</v>
      </c>
      <c r="F93" s="452">
        <v>46468</v>
      </c>
      <c r="G93" t="s">
        <v>613</v>
      </c>
      <c r="H93" t="s">
        <v>369</v>
      </c>
      <c r="I93" t="s">
        <v>630</v>
      </c>
      <c r="J93">
        <v>-20000</v>
      </c>
      <c r="K93">
        <v>-20000</v>
      </c>
      <c r="O93" t="s">
        <v>631</v>
      </c>
      <c r="Q93" t="s">
        <v>653</v>
      </c>
      <c r="R93">
        <v>0</v>
      </c>
    </row>
    <row r="94" spans="1:18" x14ac:dyDescent="0.3">
      <c r="A94">
        <v>223204</v>
      </c>
      <c r="B94" t="s">
        <v>568</v>
      </c>
      <c r="C94" t="s">
        <v>654</v>
      </c>
      <c r="D94" t="s">
        <v>655</v>
      </c>
      <c r="E94" s="452">
        <v>46454</v>
      </c>
      <c r="F94" s="452">
        <v>46476</v>
      </c>
      <c r="G94" t="s">
        <v>613</v>
      </c>
      <c r="H94" t="s">
        <v>369</v>
      </c>
      <c r="I94" t="s">
        <v>656</v>
      </c>
      <c r="J94">
        <v>-13662.94</v>
      </c>
      <c r="K94">
        <v>-13662.94</v>
      </c>
      <c r="O94" t="s">
        <v>571</v>
      </c>
      <c r="Q94" t="s">
        <v>653</v>
      </c>
      <c r="R94">
        <v>0</v>
      </c>
    </row>
    <row r="95" spans="1:18" x14ac:dyDescent="0.3">
      <c r="A95">
        <v>99354</v>
      </c>
      <c r="B95" t="s">
        <v>568</v>
      </c>
      <c r="C95" t="s">
        <v>569</v>
      </c>
      <c r="E95" s="452">
        <v>46447</v>
      </c>
      <c r="F95" s="452">
        <v>46456</v>
      </c>
      <c r="G95" t="s">
        <v>257</v>
      </c>
      <c r="H95" t="s">
        <v>263</v>
      </c>
      <c r="I95" t="s">
        <v>570</v>
      </c>
      <c r="J95">
        <v>-12000</v>
      </c>
      <c r="K95">
        <v>-12000</v>
      </c>
      <c r="O95" t="s">
        <v>571</v>
      </c>
      <c r="Q95" t="s">
        <v>653</v>
      </c>
      <c r="R95">
        <v>0</v>
      </c>
    </row>
    <row r="96" spans="1:18" x14ac:dyDescent="0.3">
      <c r="A96">
        <v>175493</v>
      </c>
      <c r="B96" t="s">
        <v>568</v>
      </c>
      <c r="C96" t="s">
        <v>606</v>
      </c>
      <c r="E96" s="452">
        <v>46447</v>
      </c>
      <c r="F96" s="452">
        <v>46478</v>
      </c>
      <c r="G96" t="s">
        <v>257</v>
      </c>
      <c r="H96" t="s">
        <v>258</v>
      </c>
      <c r="I96" t="s">
        <v>607</v>
      </c>
      <c r="J96">
        <v>-34700</v>
      </c>
      <c r="K96">
        <v>-34700</v>
      </c>
      <c r="O96" t="s">
        <v>571</v>
      </c>
      <c r="Q96" t="s">
        <v>653</v>
      </c>
      <c r="R96">
        <v>0</v>
      </c>
    </row>
    <row r="97" spans="1:18" x14ac:dyDescent="0.3">
      <c r="A97">
        <v>175536</v>
      </c>
      <c r="B97" t="s">
        <v>568</v>
      </c>
      <c r="C97" t="s">
        <v>606</v>
      </c>
      <c r="D97" t="s">
        <v>657</v>
      </c>
      <c r="E97" s="452">
        <v>46447</v>
      </c>
      <c r="F97" s="452">
        <v>46448</v>
      </c>
      <c r="G97" t="s">
        <v>613</v>
      </c>
      <c r="H97" t="s">
        <v>369</v>
      </c>
      <c r="I97" t="s">
        <v>614</v>
      </c>
      <c r="J97">
        <v>-5792.21</v>
      </c>
      <c r="K97">
        <v>-5792.21</v>
      </c>
      <c r="O97" t="s">
        <v>571</v>
      </c>
      <c r="Q97" t="s">
        <v>653</v>
      </c>
      <c r="R97">
        <v>0</v>
      </c>
    </row>
    <row r="98" spans="1:18" x14ac:dyDescent="0.3">
      <c r="A98">
        <v>236439</v>
      </c>
      <c r="B98" t="s">
        <v>568</v>
      </c>
      <c r="C98" t="s">
        <v>51</v>
      </c>
      <c r="D98" t="s">
        <v>658</v>
      </c>
      <c r="E98" s="452">
        <v>46446</v>
      </c>
      <c r="F98" s="452">
        <v>46456</v>
      </c>
      <c r="G98" t="s">
        <v>265</v>
      </c>
      <c r="H98" t="s">
        <v>272</v>
      </c>
      <c r="J98">
        <v>-50</v>
      </c>
      <c r="K98">
        <v>-50</v>
      </c>
      <c r="O98" t="s">
        <v>571</v>
      </c>
      <c r="Q98" t="s">
        <v>659</v>
      </c>
      <c r="R98">
        <v>0</v>
      </c>
    </row>
    <row r="99" spans="1:18" x14ac:dyDescent="0.3">
      <c r="A99">
        <v>98075</v>
      </c>
      <c r="B99" t="s">
        <v>568</v>
      </c>
      <c r="C99" t="s">
        <v>628</v>
      </c>
      <c r="D99" t="s">
        <v>660</v>
      </c>
      <c r="E99" s="452">
        <v>46441</v>
      </c>
      <c r="F99" s="452">
        <v>46440</v>
      </c>
      <c r="G99" t="s">
        <v>613</v>
      </c>
      <c r="H99" t="s">
        <v>369</v>
      </c>
      <c r="I99" t="s">
        <v>630</v>
      </c>
      <c r="J99">
        <v>-20000</v>
      </c>
      <c r="K99">
        <v>-20000</v>
      </c>
      <c r="O99" t="s">
        <v>631</v>
      </c>
      <c r="Q99" t="s">
        <v>659</v>
      </c>
      <c r="R99">
        <v>0</v>
      </c>
    </row>
    <row r="100" spans="1:18" x14ac:dyDescent="0.3">
      <c r="A100">
        <v>223203</v>
      </c>
      <c r="B100" t="s">
        <v>568</v>
      </c>
      <c r="C100" t="s">
        <v>654</v>
      </c>
      <c r="D100" t="s">
        <v>661</v>
      </c>
      <c r="E100" s="452">
        <v>46426</v>
      </c>
      <c r="F100" s="452">
        <v>46446</v>
      </c>
      <c r="G100" t="s">
        <v>613</v>
      </c>
      <c r="H100" t="s">
        <v>369</v>
      </c>
      <c r="I100" t="s">
        <v>656</v>
      </c>
      <c r="J100">
        <v>-13662.94</v>
      </c>
      <c r="K100">
        <v>-13662.94</v>
      </c>
      <c r="O100" t="s">
        <v>571</v>
      </c>
      <c r="Q100" t="s">
        <v>659</v>
      </c>
      <c r="R100">
        <v>0</v>
      </c>
    </row>
    <row r="101" spans="1:18" x14ac:dyDescent="0.3">
      <c r="A101">
        <v>175492</v>
      </c>
      <c r="B101" t="s">
        <v>568</v>
      </c>
      <c r="C101" t="s">
        <v>606</v>
      </c>
      <c r="E101" s="452">
        <v>46419</v>
      </c>
      <c r="F101" s="452">
        <v>46447</v>
      </c>
      <c r="G101" t="s">
        <v>257</v>
      </c>
      <c r="H101" t="s">
        <v>258</v>
      </c>
      <c r="I101" t="s">
        <v>607</v>
      </c>
      <c r="J101">
        <v>-34700</v>
      </c>
      <c r="K101">
        <v>-34700</v>
      </c>
      <c r="O101" t="s">
        <v>571</v>
      </c>
      <c r="Q101" t="s">
        <v>659</v>
      </c>
      <c r="R101">
        <v>0</v>
      </c>
    </row>
    <row r="102" spans="1:18" x14ac:dyDescent="0.3">
      <c r="A102">
        <v>192867</v>
      </c>
      <c r="B102" t="s">
        <v>568</v>
      </c>
      <c r="C102" t="s">
        <v>662</v>
      </c>
      <c r="D102" t="s">
        <v>658</v>
      </c>
      <c r="E102" s="452">
        <v>46419</v>
      </c>
      <c r="F102" s="452">
        <v>46438</v>
      </c>
      <c r="G102" t="s">
        <v>280</v>
      </c>
      <c r="H102" t="s">
        <v>284</v>
      </c>
      <c r="I102" t="s">
        <v>663</v>
      </c>
      <c r="J102">
        <v>-181.27</v>
      </c>
      <c r="K102">
        <v>-181.27</v>
      </c>
      <c r="O102" t="s">
        <v>571</v>
      </c>
      <c r="Q102" t="s">
        <v>659</v>
      </c>
      <c r="R102">
        <v>0</v>
      </c>
    </row>
    <row r="103" spans="1:18" x14ac:dyDescent="0.3">
      <c r="A103">
        <v>175535</v>
      </c>
      <c r="B103" t="s">
        <v>568</v>
      </c>
      <c r="C103" t="s">
        <v>606</v>
      </c>
      <c r="D103" t="s">
        <v>664</v>
      </c>
      <c r="E103" s="452">
        <v>46419</v>
      </c>
      <c r="F103" s="452">
        <v>46420</v>
      </c>
      <c r="G103" t="s">
        <v>613</v>
      </c>
      <c r="H103" t="s">
        <v>369</v>
      </c>
      <c r="I103" t="s">
        <v>614</v>
      </c>
      <c r="J103">
        <v>-5792.21</v>
      </c>
      <c r="K103">
        <v>-5792.21</v>
      </c>
      <c r="O103" t="s">
        <v>571</v>
      </c>
      <c r="Q103" t="s">
        <v>659</v>
      </c>
      <c r="R103">
        <v>0</v>
      </c>
    </row>
    <row r="104" spans="1:18" x14ac:dyDescent="0.3">
      <c r="A104">
        <v>196435</v>
      </c>
      <c r="B104" t="s">
        <v>568</v>
      </c>
      <c r="C104" t="s">
        <v>665</v>
      </c>
      <c r="D104" t="s">
        <v>658</v>
      </c>
      <c r="E104" s="452">
        <v>46419</v>
      </c>
      <c r="F104" s="452">
        <v>46452</v>
      </c>
      <c r="G104" t="s">
        <v>666</v>
      </c>
      <c r="H104" t="s">
        <v>667</v>
      </c>
      <c r="I104" t="s">
        <v>668</v>
      </c>
      <c r="J104">
        <v>-25000</v>
      </c>
      <c r="K104">
        <v>-25000</v>
      </c>
      <c r="O104" t="s">
        <v>571</v>
      </c>
      <c r="Q104" t="s">
        <v>659</v>
      </c>
      <c r="R104">
        <v>0</v>
      </c>
    </row>
    <row r="105" spans="1:18" x14ac:dyDescent="0.3">
      <c r="A105">
        <v>99353</v>
      </c>
      <c r="B105" t="s">
        <v>568</v>
      </c>
      <c r="C105" t="s">
        <v>569</v>
      </c>
      <c r="E105" s="452">
        <v>46419</v>
      </c>
      <c r="F105" s="452">
        <v>46428</v>
      </c>
      <c r="G105" t="s">
        <v>257</v>
      </c>
      <c r="H105" t="s">
        <v>263</v>
      </c>
      <c r="I105" t="s">
        <v>570</v>
      </c>
      <c r="J105">
        <v>-12000</v>
      </c>
      <c r="K105">
        <v>-12000</v>
      </c>
      <c r="O105" t="s">
        <v>571</v>
      </c>
      <c r="Q105" t="s">
        <v>659</v>
      </c>
      <c r="R105">
        <v>0</v>
      </c>
    </row>
    <row r="106" spans="1:18" x14ac:dyDescent="0.3">
      <c r="A106">
        <v>236438</v>
      </c>
      <c r="B106" t="s">
        <v>568</v>
      </c>
      <c r="C106" t="s">
        <v>51</v>
      </c>
      <c r="D106" t="s">
        <v>658</v>
      </c>
      <c r="E106" s="452">
        <v>46417</v>
      </c>
      <c r="F106" s="452">
        <v>46428</v>
      </c>
      <c r="G106" t="s">
        <v>265</v>
      </c>
      <c r="H106" t="s">
        <v>272</v>
      </c>
      <c r="J106">
        <v>-50</v>
      </c>
      <c r="K106">
        <v>-50</v>
      </c>
      <c r="O106" t="s">
        <v>571</v>
      </c>
      <c r="Q106" t="s">
        <v>669</v>
      </c>
      <c r="R106">
        <v>0</v>
      </c>
    </row>
    <row r="107" spans="1:18" x14ac:dyDescent="0.3">
      <c r="A107">
        <v>98074</v>
      </c>
      <c r="B107" t="s">
        <v>568</v>
      </c>
      <c r="C107" t="s">
        <v>628</v>
      </c>
      <c r="D107" t="s">
        <v>670</v>
      </c>
      <c r="E107" s="452">
        <v>46410</v>
      </c>
      <c r="F107" s="452">
        <v>46409</v>
      </c>
      <c r="G107" t="s">
        <v>613</v>
      </c>
      <c r="H107" t="s">
        <v>369</v>
      </c>
      <c r="I107" t="s">
        <v>630</v>
      </c>
      <c r="J107">
        <v>-20000</v>
      </c>
      <c r="K107">
        <v>-20000</v>
      </c>
      <c r="O107" t="s">
        <v>631</v>
      </c>
      <c r="Q107" t="s">
        <v>669</v>
      </c>
      <c r="R107">
        <v>0</v>
      </c>
    </row>
    <row r="108" spans="1:18" x14ac:dyDescent="0.3">
      <c r="A108">
        <v>192937</v>
      </c>
      <c r="B108" t="s">
        <v>568</v>
      </c>
      <c r="C108" t="s">
        <v>671</v>
      </c>
      <c r="D108" t="s">
        <v>658</v>
      </c>
      <c r="E108" s="452">
        <v>46402</v>
      </c>
      <c r="F108" s="452">
        <v>46402</v>
      </c>
      <c r="G108" t="s">
        <v>672</v>
      </c>
      <c r="H108" t="s">
        <v>240</v>
      </c>
      <c r="I108" t="s">
        <v>673</v>
      </c>
      <c r="J108">
        <v>-300</v>
      </c>
      <c r="K108">
        <v>-300</v>
      </c>
      <c r="O108" t="s">
        <v>571</v>
      </c>
      <c r="Q108" t="s">
        <v>669</v>
      </c>
      <c r="R108">
        <v>0</v>
      </c>
    </row>
    <row r="109" spans="1:18" x14ac:dyDescent="0.3">
      <c r="A109">
        <v>192924</v>
      </c>
      <c r="B109" t="s">
        <v>568</v>
      </c>
      <c r="C109" t="s">
        <v>671</v>
      </c>
      <c r="D109" t="s">
        <v>658</v>
      </c>
      <c r="E109" s="452">
        <v>46395</v>
      </c>
      <c r="F109" s="452">
        <v>46395</v>
      </c>
      <c r="G109" t="s">
        <v>672</v>
      </c>
      <c r="H109" t="s">
        <v>240</v>
      </c>
      <c r="I109" t="s">
        <v>674</v>
      </c>
      <c r="J109">
        <v>-300</v>
      </c>
      <c r="K109">
        <v>-300</v>
      </c>
      <c r="O109" t="s">
        <v>571</v>
      </c>
      <c r="Q109" t="s">
        <v>669</v>
      </c>
      <c r="R109">
        <v>0</v>
      </c>
    </row>
    <row r="110" spans="1:18" x14ac:dyDescent="0.3">
      <c r="A110">
        <v>223202</v>
      </c>
      <c r="B110" t="s">
        <v>568</v>
      </c>
      <c r="C110" t="s">
        <v>654</v>
      </c>
      <c r="D110" t="s">
        <v>675</v>
      </c>
      <c r="E110" s="452">
        <v>46395</v>
      </c>
      <c r="F110" s="452">
        <v>46417</v>
      </c>
      <c r="G110" t="s">
        <v>613</v>
      </c>
      <c r="H110" t="s">
        <v>369</v>
      </c>
      <c r="I110" t="s">
        <v>656</v>
      </c>
      <c r="J110">
        <v>-13662.94</v>
      </c>
      <c r="K110">
        <v>-13662.94</v>
      </c>
      <c r="O110" t="s">
        <v>571</v>
      </c>
      <c r="Q110" t="s">
        <v>669</v>
      </c>
      <c r="R110">
        <v>0</v>
      </c>
    </row>
    <row r="111" spans="1:18" x14ac:dyDescent="0.3">
      <c r="A111">
        <v>192866</v>
      </c>
      <c r="B111" t="s">
        <v>568</v>
      </c>
      <c r="C111" t="s">
        <v>662</v>
      </c>
      <c r="D111" t="s">
        <v>658</v>
      </c>
      <c r="E111" s="452">
        <v>46388</v>
      </c>
      <c r="F111" s="452">
        <v>46407</v>
      </c>
      <c r="G111" t="s">
        <v>280</v>
      </c>
      <c r="H111" t="s">
        <v>284</v>
      </c>
      <c r="I111" t="s">
        <v>663</v>
      </c>
      <c r="J111">
        <v>-181.27</v>
      </c>
      <c r="K111">
        <v>-181.27</v>
      </c>
      <c r="O111" t="s">
        <v>571</v>
      </c>
      <c r="Q111" t="s">
        <v>669</v>
      </c>
      <c r="R111">
        <v>0</v>
      </c>
    </row>
    <row r="112" spans="1:18" x14ac:dyDescent="0.3">
      <c r="A112">
        <v>213332</v>
      </c>
      <c r="B112" t="s">
        <v>568</v>
      </c>
      <c r="C112" t="s">
        <v>676</v>
      </c>
      <c r="D112" t="s">
        <v>658</v>
      </c>
      <c r="E112" s="452">
        <v>46388</v>
      </c>
      <c r="F112" s="452">
        <v>46433</v>
      </c>
      <c r="G112" t="s">
        <v>677</v>
      </c>
      <c r="H112" t="s">
        <v>678</v>
      </c>
      <c r="I112" t="s">
        <v>679</v>
      </c>
      <c r="J112">
        <v>-1350</v>
      </c>
      <c r="K112">
        <v>-1350</v>
      </c>
      <c r="M112" t="s">
        <v>680</v>
      </c>
      <c r="N112" t="s">
        <v>134</v>
      </c>
      <c r="O112" t="s">
        <v>571</v>
      </c>
      <c r="Q112" t="s">
        <v>669</v>
      </c>
      <c r="R112">
        <v>0</v>
      </c>
    </row>
    <row r="113" spans="1:18" x14ac:dyDescent="0.3">
      <c r="A113">
        <v>192910</v>
      </c>
      <c r="B113" t="s">
        <v>568</v>
      </c>
      <c r="C113" t="s">
        <v>671</v>
      </c>
      <c r="D113" t="s">
        <v>658</v>
      </c>
      <c r="E113" s="452">
        <v>46388</v>
      </c>
      <c r="F113" s="452">
        <v>46388</v>
      </c>
      <c r="G113" t="s">
        <v>672</v>
      </c>
      <c r="H113" t="s">
        <v>240</v>
      </c>
      <c r="I113" t="s">
        <v>681</v>
      </c>
      <c r="J113">
        <v>-300</v>
      </c>
      <c r="K113">
        <v>-300</v>
      </c>
      <c r="O113" t="s">
        <v>571</v>
      </c>
      <c r="Q113" t="s">
        <v>669</v>
      </c>
      <c r="R113">
        <v>0</v>
      </c>
    </row>
    <row r="114" spans="1:18" x14ac:dyDescent="0.3">
      <c r="A114">
        <v>175491</v>
      </c>
      <c r="B114" t="s">
        <v>568</v>
      </c>
      <c r="C114" t="s">
        <v>606</v>
      </c>
      <c r="E114" s="452">
        <v>46388</v>
      </c>
      <c r="F114" s="452">
        <v>46419</v>
      </c>
      <c r="G114" t="s">
        <v>257</v>
      </c>
      <c r="H114" t="s">
        <v>258</v>
      </c>
      <c r="I114" t="s">
        <v>607</v>
      </c>
      <c r="J114">
        <v>-34700</v>
      </c>
      <c r="K114">
        <v>-34700</v>
      </c>
      <c r="O114" t="s">
        <v>571</v>
      </c>
      <c r="Q114" t="s">
        <v>669</v>
      </c>
      <c r="R114">
        <v>0</v>
      </c>
    </row>
    <row r="115" spans="1:18" x14ac:dyDescent="0.3">
      <c r="A115">
        <v>196434</v>
      </c>
      <c r="B115" t="s">
        <v>568</v>
      </c>
      <c r="C115" t="s">
        <v>665</v>
      </c>
      <c r="D115" t="s">
        <v>658</v>
      </c>
      <c r="E115" s="452">
        <v>46388</v>
      </c>
      <c r="F115" s="452">
        <v>46424</v>
      </c>
      <c r="G115" t="s">
        <v>666</v>
      </c>
      <c r="H115" t="s">
        <v>667</v>
      </c>
      <c r="I115" t="s">
        <v>668</v>
      </c>
      <c r="J115">
        <v>-25000</v>
      </c>
      <c r="K115">
        <v>-25000</v>
      </c>
      <c r="O115" t="s">
        <v>571</v>
      </c>
      <c r="Q115" t="s">
        <v>669</v>
      </c>
      <c r="R115">
        <v>0</v>
      </c>
    </row>
    <row r="116" spans="1:18" x14ac:dyDescent="0.3">
      <c r="A116">
        <v>192616</v>
      </c>
      <c r="B116" t="s">
        <v>568</v>
      </c>
      <c r="C116" t="s">
        <v>682</v>
      </c>
      <c r="D116" t="s">
        <v>658</v>
      </c>
      <c r="E116" s="452">
        <v>46388</v>
      </c>
      <c r="F116" s="452">
        <v>46407</v>
      </c>
      <c r="G116" t="s">
        <v>683</v>
      </c>
      <c r="H116" t="s">
        <v>289</v>
      </c>
      <c r="I116" t="s">
        <v>684</v>
      </c>
      <c r="J116">
        <v>-1500</v>
      </c>
      <c r="K116">
        <v>-1500</v>
      </c>
      <c r="O116" t="s">
        <v>571</v>
      </c>
      <c r="Q116" t="s">
        <v>669</v>
      </c>
      <c r="R116">
        <v>0</v>
      </c>
    </row>
    <row r="117" spans="1:18" x14ac:dyDescent="0.3">
      <c r="A117">
        <v>204978</v>
      </c>
      <c r="B117" t="s">
        <v>568</v>
      </c>
      <c r="C117" t="s">
        <v>685</v>
      </c>
      <c r="D117" t="s">
        <v>658</v>
      </c>
      <c r="E117" s="452">
        <v>46388</v>
      </c>
      <c r="F117" s="452">
        <v>46415</v>
      </c>
      <c r="G117" t="s">
        <v>672</v>
      </c>
      <c r="H117" t="s">
        <v>243</v>
      </c>
      <c r="I117" t="s">
        <v>686</v>
      </c>
      <c r="J117">
        <v>-300</v>
      </c>
      <c r="K117">
        <v>-300</v>
      </c>
      <c r="O117" t="s">
        <v>571</v>
      </c>
      <c r="Q117" t="s">
        <v>669</v>
      </c>
      <c r="R117">
        <v>0</v>
      </c>
    </row>
    <row r="118" spans="1:18" x14ac:dyDescent="0.3">
      <c r="A118">
        <v>99352</v>
      </c>
      <c r="B118" t="s">
        <v>568</v>
      </c>
      <c r="C118" t="s">
        <v>569</v>
      </c>
      <c r="E118" s="452">
        <v>46388</v>
      </c>
      <c r="F118" s="452">
        <v>46397</v>
      </c>
      <c r="G118" t="s">
        <v>257</v>
      </c>
      <c r="H118" t="s">
        <v>263</v>
      </c>
      <c r="I118" t="s">
        <v>570</v>
      </c>
      <c r="J118">
        <v>-12000</v>
      </c>
      <c r="K118">
        <v>-12000</v>
      </c>
      <c r="O118" t="s">
        <v>571</v>
      </c>
      <c r="Q118" t="s">
        <v>669</v>
      </c>
      <c r="R118">
        <v>0</v>
      </c>
    </row>
    <row r="119" spans="1:18" x14ac:dyDescent="0.3">
      <c r="A119">
        <v>196086</v>
      </c>
      <c r="B119" t="s">
        <v>568</v>
      </c>
      <c r="C119" t="s">
        <v>671</v>
      </c>
      <c r="D119" t="s">
        <v>658</v>
      </c>
      <c r="E119" s="452">
        <v>46388</v>
      </c>
      <c r="F119" s="452">
        <v>46382</v>
      </c>
      <c r="G119" t="s">
        <v>672</v>
      </c>
      <c r="H119" t="s">
        <v>240</v>
      </c>
      <c r="I119" t="s">
        <v>687</v>
      </c>
      <c r="J119">
        <v>-800</v>
      </c>
      <c r="K119">
        <v>-800</v>
      </c>
      <c r="O119" t="s">
        <v>571</v>
      </c>
      <c r="Q119" t="s">
        <v>669</v>
      </c>
      <c r="R119">
        <v>0</v>
      </c>
    </row>
    <row r="120" spans="1:18" x14ac:dyDescent="0.3">
      <c r="A120">
        <v>197940</v>
      </c>
      <c r="B120" t="s">
        <v>568</v>
      </c>
      <c r="C120" t="s">
        <v>688</v>
      </c>
      <c r="D120" t="s">
        <v>658</v>
      </c>
      <c r="E120" s="452">
        <v>46388</v>
      </c>
      <c r="F120" s="452">
        <v>46407</v>
      </c>
      <c r="G120" t="s">
        <v>666</v>
      </c>
      <c r="H120" t="s">
        <v>667</v>
      </c>
      <c r="I120" t="s">
        <v>689</v>
      </c>
      <c r="J120">
        <v>-2656</v>
      </c>
      <c r="K120">
        <v>-2656</v>
      </c>
      <c r="O120" t="s">
        <v>571</v>
      </c>
      <c r="Q120" t="s">
        <v>669</v>
      </c>
      <c r="R120">
        <v>0</v>
      </c>
    </row>
    <row r="121" spans="1:18" x14ac:dyDescent="0.3">
      <c r="A121">
        <v>175534</v>
      </c>
      <c r="B121" t="s">
        <v>568</v>
      </c>
      <c r="C121" t="s">
        <v>606</v>
      </c>
      <c r="D121" t="s">
        <v>690</v>
      </c>
      <c r="E121" s="452">
        <v>46388</v>
      </c>
      <c r="F121" s="452">
        <v>46389</v>
      </c>
      <c r="G121" t="s">
        <v>613</v>
      </c>
      <c r="H121" t="s">
        <v>369</v>
      </c>
      <c r="I121" t="s">
        <v>614</v>
      </c>
      <c r="J121">
        <v>-5792.21</v>
      </c>
      <c r="K121">
        <v>-5792.21</v>
      </c>
      <c r="O121" t="s">
        <v>571</v>
      </c>
      <c r="Q121" t="s">
        <v>669</v>
      </c>
      <c r="R121">
        <v>0</v>
      </c>
    </row>
    <row r="122" spans="1:18" x14ac:dyDescent="0.3">
      <c r="A122">
        <v>196074</v>
      </c>
      <c r="B122" t="s">
        <v>568</v>
      </c>
      <c r="C122" t="s">
        <v>671</v>
      </c>
      <c r="D122" t="s">
        <v>658</v>
      </c>
      <c r="E122" s="452">
        <v>46388</v>
      </c>
      <c r="F122" s="452">
        <v>46384</v>
      </c>
      <c r="G122" t="s">
        <v>672</v>
      </c>
      <c r="H122" t="s">
        <v>240</v>
      </c>
      <c r="I122" t="s">
        <v>691</v>
      </c>
      <c r="J122">
        <v>-2500</v>
      </c>
      <c r="K122">
        <v>-2500</v>
      </c>
      <c r="O122" t="s">
        <v>571</v>
      </c>
      <c r="Q122" t="s">
        <v>669</v>
      </c>
      <c r="R122">
        <v>0</v>
      </c>
    </row>
    <row r="123" spans="1:18" x14ac:dyDescent="0.3">
      <c r="A123">
        <v>192893</v>
      </c>
      <c r="B123" t="s">
        <v>568</v>
      </c>
      <c r="C123" t="s">
        <v>692</v>
      </c>
      <c r="D123" t="s">
        <v>658</v>
      </c>
      <c r="E123" s="452">
        <v>46386</v>
      </c>
      <c r="F123" s="452">
        <v>46392</v>
      </c>
      <c r="G123" t="s">
        <v>309</v>
      </c>
      <c r="H123" t="s">
        <v>317</v>
      </c>
      <c r="I123" t="s">
        <v>693</v>
      </c>
      <c r="J123">
        <v>-1500</v>
      </c>
      <c r="K123">
        <v>-1500</v>
      </c>
      <c r="O123" t="s">
        <v>571</v>
      </c>
      <c r="Q123" t="s">
        <v>472</v>
      </c>
      <c r="R123">
        <v>0</v>
      </c>
    </row>
    <row r="124" spans="1:18" x14ac:dyDescent="0.3">
      <c r="A124">
        <v>190632</v>
      </c>
      <c r="B124" t="s">
        <v>568</v>
      </c>
      <c r="C124" t="s">
        <v>50</v>
      </c>
      <c r="D124" t="s">
        <v>658</v>
      </c>
      <c r="E124" s="452">
        <v>46386</v>
      </c>
      <c r="F124" s="452">
        <v>46407</v>
      </c>
      <c r="G124" t="s">
        <v>694</v>
      </c>
      <c r="H124" t="s">
        <v>50</v>
      </c>
      <c r="I124" t="s">
        <v>695</v>
      </c>
      <c r="J124">
        <v>-15000</v>
      </c>
      <c r="K124">
        <v>-15000</v>
      </c>
      <c r="O124" t="s">
        <v>571</v>
      </c>
      <c r="Q124" t="s">
        <v>472</v>
      </c>
      <c r="R124">
        <v>0</v>
      </c>
    </row>
    <row r="125" spans="1:18" x14ac:dyDescent="0.3">
      <c r="A125">
        <v>202406</v>
      </c>
      <c r="B125" t="s">
        <v>568</v>
      </c>
      <c r="C125" t="s">
        <v>696</v>
      </c>
      <c r="D125" t="s">
        <v>658</v>
      </c>
      <c r="E125" s="452">
        <v>46386</v>
      </c>
      <c r="F125" s="452">
        <v>46396</v>
      </c>
      <c r="G125" t="s">
        <v>672</v>
      </c>
      <c r="H125" t="s">
        <v>248</v>
      </c>
      <c r="J125">
        <v>-54.5</v>
      </c>
      <c r="K125">
        <v>-54.5</v>
      </c>
      <c r="O125" t="s">
        <v>571</v>
      </c>
      <c r="Q125" t="s">
        <v>472</v>
      </c>
      <c r="R125">
        <v>0</v>
      </c>
    </row>
    <row r="126" spans="1:18" x14ac:dyDescent="0.3">
      <c r="A126">
        <v>207044</v>
      </c>
      <c r="B126" t="s">
        <v>568</v>
      </c>
      <c r="C126" t="s">
        <v>431</v>
      </c>
      <c r="D126" t="s">
        <v>658</v>
      </c>
      <c r="E126" s="452">
        <v>46386</v>
      </c>
      <c r="F126" s="452">
        <v>46407</v>
      </c>
      <c r="G126" t="s">
        <v>697</v>
      </c>
      <c r="H126" t="s">
        <v>212</v>
      </c>
      <c r="I126" t="s">
        <v>698</v>
      </c>
      <c r="J126">
        <v>-3500</v>
      </c>
      <c r="K126">
        <v>-3500</v>
      </c>
      <c r="O126" t="s">
        <v>571</v>
      </c>
      <c r="Q126" t="s">
        <v>472</v>
      </c>
      <c r="R126">
        <v>0</v>
      </c>
    </row>
    <row r="127" spans="1:18" x14ac:dyDescent="0.3">
      <c r="A127">
        <v>208523</v>
      </c>
      <c r="B127" t="s">
        <v>568</v>
      </c>
      <c r="C127" t="s">
        <v>699</v>
      </c>
      <c r="D127" t="s">
        <v>658</v>
      </c>
      <c r="E127" s="452">
        <v>46386</v>
      </c>
      <c r="F127" s="452">
        <v>46407</v>
      </c>
      <c r="G127" t="s">
        <v>697</v>
      </c>
      <c r="H127" t="s">
        <v>700</v>
      </c>
      <c r="J127">
        <v>-1300</v>
      </c>
      <c r="K127">
        <v>-1300</v>
      </c>
      <c r="O127" t="s">
        <v>571</v>
      </c>
      <c r="Q127" t="s">
        <v>472</v>
      </c>
      <c r="R127">
        <v>0</v>
      </c>
    </row>
    <row r="128" spans="1:18" x14ac:dyDescent="0.3">
      <c r="A128">
        <v>197362</v>
      </c>
      <c r="B128" t="s">
        <v>568</v>
      </c>
      <c r="C128" t="s">
        <v>699</v>
      </c>
      <c r="D128" t="s">
        <v>658</v>
      </c>
      <c r="E128" s="452">
        <v>46386</v>
      </c>
      <c r="F128" s="452">
        <v>46407</v>
      </c>
      <c r="G128" t="s">
        <v>309</v>
      </c>
      <c r="H128" t="s">
        <v>310</v>
      </c>
      <c r="I128" t="s">
        <v>701</v>
      </c>
      <c r="J128">
        <v>-100</v>
      </c>
      <c r="K128">
        <v>-100</v>
      </c>
      <c r="O128" t="s">
        <v>571</v>
      </c>
      <c r="Q128" t="s">
        <v>472</v>
      </c>
      <c r="R128">
        <v>0</v>
      </c>
    </row>
    <row r="129" spans="1:18" x14ac:dyDescent="0.3">
      <c r="A129">
        <v>208303</v>
      </c>
      <c r="B129" t="s">
        <v>568</v>
      </c>
      <c r="C129" t="s">
        <v>430</v>
      </c>
      <c r="D129" t="s">
        <v>658</v>
      </c>
      <c r="E129" s="452">
        <v>46386</v>
      </c>
      <c r="F129" s="452">
        <v>46407</v>
      </c>
      <c r="G129" t="s">
        <v>697</v>
      </c>
      <c r="H129" t="s">
        <v>207</v>
      </c>
      <c r="J129">
        <v>-2100</v>
      </c>
      <c r="K129">
        <v>-2100</v>
      </c>
      <c r="O129" t="s">
        <v>571</v>
      </c>
      <c r="Q129" t="s">
        <v>472</v>
      </c>
      <c r="R129">
        <v>0</v>
      </c>
    </row>
    <row r="130" spans="1:18" x14ac:dyDescent="0.3">
      <c r="A130">
        <v>226427</v>
      </c>
      <c r="B130" t="s">
        <v>568</v>
      </c>
      <c r="C130" t="s">
        <v>347</v>
      </c>
      <c r="D130" t="s">
        <v>658</v>
      </c>
      <c r="E130" s="452">
        <v>46386</v>
      </c>
      <c r="F130" s="452">
        <v>46416</v>
      </c>
      <c r="G130" t="s">
        <v>702</v>
      </c>
      <c r="H130" t="s">
        <v>347</v>
      </c>
      <c r="I130" t="s">
        <v>6</v>
      </c>
      <c r="J130">
        <v>-37201.370000000003</v>
      </c>
      <c r="K130">
        <v>-37201.370000000003</v>
      </c>
      <c r="O130" t="s">
        <v>571</v>
      </c>
      <c r="Q130" t="s">
        <v>472</v>
      </c>
      <c r="R130">
        <v>0</v>
      </c>
    </row>
    <row r="131" spans="1:18" x14ac:dyDescent="0.3">
      <c r="A131">
        <v>226422</v>
      </c>
      <c r="B131" t="s">
        <v>568</v>
      </c>
      <c r="C131" t="s">
        <v>703</v>
      </c>
      <c r="D131" t="s">
        <v>658</v>
      </c>
      <c r="E131" s="452">
        <v>46386</v>
      </c>
      <c r="F131" s="452">
        <v>46416</v>
      </c>
      <c r="G131" t="s">
        <v>702</v>
      </c>
      <c r="H131" t="s">
        <v>345</v>
      </c>
      <c r="I131" t="s">
        <v>6</v>
      </c>
      <c r="J131">
        <v>-16165.51</v>
      </c>
      <c r="K131">
        <v>-16165.51</v>
      </c>
      <c r="O131" t="s">
        <v>571</v>
      </c>
      <c r="Q131" t="s">
        <v>472</v>
      </c>
      <c r="R131">
        <v>0</v>
      </c>
    </row>
    <row r="132" spans="1:18" x14ac:dyDescent="0.3">
      <c r="A132">
        <v>236437</v>
      </c>
      <c r="B132" t="s">
        <v>568</v>
      </c>
      <c r="C132" t="s">
        <v>51</v>
      </c>
      <c r="D132" t="s">
        <v>658</v>
      </c>
      <c r="E132" s="452">
        <v>46386</v>
      </c>
      <c r="F132" s="452">
        <v>46397</v>
      </c>
      <c r="G132" t="s">
        <v>265</v>
      </c>
      <c r="H132" t="s">
        <v>272</v>
      </c>
      <c r="J132">
        <v>-50</v>
      </c>
      <c r="K132">
        <v>-50</v>
      </c>
      <c r="O132" t="s">
        <v>571</v>
      </c>
      <c r="Q132" t="s">
        <v>472</v>
      </c>
      <c r="R132">
        <v>0</v>
      </c>
    </row>
    <row r="133" spans="1:18" x14ac:dyDescent="0.3">
      <c r="A133">
        <v>209526</v>
      </c>
      <c r="B133" t="s">
        <v>568</v>
      </c>
      <c r="C133" t="s">
        <v>654</v>
      </c>
      <c r="D133" t="s">
        <v>658</v>
      </c>
      <c r="E133" s="452">
        <v>46384</v>
      </c>
      <c r="F133" s="452">
        <v>46407</v>
      </c>
      <c r="G133" t="s">
        <v>702</v>
      </c>
      <c r="H133" t="s">
        <v>343</v>
      </c>
      <c r="J133">
        <v>-37000</v>
      </c>
      <c r="K133">
        <v>-37000</v>
      </c>
      <c r="O133" t="s">
        <v>571</v>
      </c>
      <c r="Q133" t="s">
        <v>472</v>
      </c>
      <c r="R133">
        <v>0</v>
      </c>
    </row>
    <row r="134" spans="1:18" x14ac:dyDescent="0.3">
      <c r="A134">
        <v>197884</v>
      </c>
      <c r="B134" t="s">
        <v>568</v>
      </c>
      <c r="C134" t="s">
        <v>704</v>
      </c>
      <c r="D134" t="s">
        <v>658</v>
      </c>
      <c r="E134" s="452">
        <v>46381</v>
      </c>
      <c r="F134" s="452">
        <v>46412</v>
      </c>
      <c r="G134" t="s">
        <v>705</v>
      </c>
      <c r="H134" t="s">
        <v>114</v>
      </c>
      <c r="I134" t="s">
        <v>706</v>
      </c>
      <c r="J134">
        <v>-15000</v>
      </c>
      <c r="K134">
        <v>-15000</v>
      </c>
      <c r="O134" t="s">
        <v>571</v>
      </c>
      <c r="Q134" t="s">
        <v>472</v>
      </c>
      <c r="R134">
        <v>0</v>
      </c>
    </row>
    <row r="135" spans="1:18" x14ac:dyDescent="0.3">
      <c r="A135">
        <v>98073</v>
      </c>
      <c r="B135" t="s">
        <v>568</v>
      </c>
      <c r="C135" t="s">
        <v>628</v>
      </c>
      <c r="D135" t="s">
        <v>707</v>
      </c>
      <c r="E135" s="452">
        <v>46379</v>
      </c>
      <c r="F135" s="452">
        <v>46378</v>
      </c>
      <c r="G135" t="s">
        <v>613</v>
      </c>
      <c r="H135" t="s">
        <v>369</v>
      </c>
      <c r="I135" t="s">
        <v>630</v>
      </c>
      <c r="J135">
        <v>-20000</v>
      </c>
      <c r="K135">
        <v>-20000</v>
      </c>
      <c r="O135" t="s">
        <v>631</v>
      </c>
      <c r="Q135" t="s">
        <v>472</v>
      </c>
      <c r="R135">
        <v>0</v>
      </c>
    </row>
    <row r="136" spans="1:18" x14ac:dyDescent="0.3">
      <c r="A136">
        <v>191880</v>
      </c>
      <c r="B136" t="s">
        <v>568</v>
      </c>
      <c r="C136" t="s">
        <v>708</v>
      </c>
      <c r="D136" t="s">
        <v>658</v>
      </c>
      <c r="E136" s="452">
        <v>46376</v>
      </c>
      <c r="F136" s="452">
        <v>46392</v>
      </c>
      <c r="G136" t="s">
        <v>280</v>
      </c>
      <c r="H136" t="s">
        <v>282</v>
      </c>
      <c r="I136" t="s">
        <v>709</v>
      </c>
      <c r="J136">
        <v>-150</v>
      </c>
      <c r="K136">
        <v>-150</v>
      </c>
      <c r="O136" t="s">
        <v>571</v>
      </c>
      <c r="Q136" t="s">
        <v>472</v>
      </c>
      <c r="R136">
        <v>0</v>
      </c>
    </row>
    <row r="137" spans="1:18" x14ac:dyDescent="0.3">
      <c r="A137">
        <v>192936</v>
      </c>
      <c r="B137" t="s">
        <v>568</v>
      </c>
      <c r="C137" t="s">
        <v>671</v>
      </c>
      <c r="D137" t="s">
        <v>658</v>
      </c>
      <c r="E137" s="452">
        <v>46371</v>
      </c>
      <c r="F137" s="452">
        <v>46371</v>
      </c>
      <c r="G137" t="s">
        <v>672</v>
      </c>
      <c r="H137" t="s">
        <v>240</v>
      </c>
      <c r="I137" t="s">
        <v>673</v>
      </c>
      <c r="J137">
        <v>-300</v>
      </c>
      <c r="K137">
        <v>-300</v>
      </c>
      <c r="O137" t="s">
        <v>571</v>
      </c>
      <c r="Q137" t="s">
        <v>472</v>
      </c>
      <c r="R137">
        <v>0</v>
      </c>
    </row>
    <row r="138" spans="1:18" x14ac:dyDescent="0.3">
      <c r="A138">
        <v>192881</v>
      </c>
      <c r="B138" t="s">
        <v>568</v>
      </c>
      <c r="C138" t="s">
        <v>692</v>
      </c>
      <c r="D138" t="s">
        <v>658</v>
      </c>
      <c r="E138" s="452">
        <v>46371</v>
      </c>
      <c r="F138" s="452">
        <v>46376</v>
      </c>
      <c r="G138" t="s">
        <v>309</v>
      </c>
      <c r="H138" t="s">
        <v>317</v>
      </c>
      <c r="I138" t="s">
        <v>710</v>
      </c>
      <c r="J138">
        <v>-1500</v>
      </c>
      <c r="K138">
        <v>-1500</v>
      </c>
      <c r="O138" t="s">
        <v>571</v>
      </c>
      <c r="Q138" t="s">
        <v>472</v>
      </c>
      <c r="R138">
        <v>0</v>
      </c>
    </row>
    <row r="139" spans="1:18" x14ac:dyDescent="0.3">
      <c r="A139">
        <v>192148</v>
      </c>
      <c r="B139" t="s">
        <v>568</v>
      </c>
      <c r="C139" t="s">
        <v>711</v>
      </c>
      <c r="D139" t="s">
        <v>658</v>
      </c>
      <c r="E139" s="452">
        <v>46371</v>
      </c>
      <c r="F139" s="452">
        <v>46402</v>
      </c>
      <c r="G139" t="s">
        <v>280</v>
      </c>
      <c r="H139" t="s">
        <v>286</v>
      </c>
      <c r="I139" t="s">
        <v>712</v>
      </c>
      <c r="J139">
        <v>-389</v>
      </c>
      <c r="K139">
        <v>-389</v>
      </c>
      <c r="O139" t="s">
        <v>571</v>
      </c>
      <c r="Q139" t="s">
        <v>472</v>
      </c>
      <c r="R139">
        <v>0</v>
      </c>
    </row>
    <row r="140" spans="1:18" x14ac:dyDescent="0.3">
      <c r="A140">
        <v>191904</v>
      </c>
      <c r="B140" t="s">
        <v>568</v>
      </c>
      <c r="C140" t="s">
        <v>713</v>
      </c>
      <c r="D140" t="s">
        <v>658</v>
      </c>
      <c r="E140" s="452">
        <v>46368</v>
      </c>
      <c r="F140" s="452">
        <v>46380</v>
      </c>
      <c r="G140" t="s">
        <v>265</v>
      </c>
      <c r="H140" t="s">
        <v>267</v>
      </c>
      <c r="I140" t="s">
        <v>714</v>
      </c>
      <c r="J140">
        <v>-2100</v>
      </c>
      <c r="K140">
        <v>-2100</v>
      </c>
      <c r="O140" t="s">
        <v>571</v>
      </c>
      <c r="Q140" t="s">
        <v>472</v>
      </c>
      <c r="R140">
        <v>0</v>
      </c>
    </row>
    <row r="141" spans="1:18" x14ac:dyDescent="0.3">
      <c r="A141">
        <v>192817</v>
      </c>
      <c r="B141" t="s">
        <v>568</v>
      </c>
      <c r="C141" t="s">
        <v>715</v>
      </c>
      <c r="D141" t="s">
        <v>658</v>
      </c>
      <c r="E141" s="452">
        <v>46366</v>
      </c>
      <c r="F141" s="452">
        <v>46397</v>
      </c>
      <c r="G141" t="s">
        <v>319</v>
      </c>
      <c r="H141" t="s">
        <v>320</v>
      </c>
      <c r="I141" t="s">
        <v>716</v>
      </c>
      <c r="J141">
        <v>-285.56</v>
      </c>
      <c r="K141">
        <v>-285.56</v>
      </c>
      <c r="O141" t="s">
        <v>571</v>
      </c>
      <c r="Q141" t="s">
        <v>472</v>
      </c>
      <c r="R141">
        <v>0</v>
      </c>
    </row>
    <row r="142" spans="1:18" x14ac:dyDescent="0.3">
      <c r="A142">
        <v>192923</v>
      </c>
      <c r="B142" t="s">
        <v>568</v>
      </c>
      <c r="C142" t="s">
        <v>671</v>
      </c>
      <c r="D142" t="s">
        <v>658</v>
      </c>
      <c r="E142" s="452">
        <v>46364</v>
      </c>
      <c r="F142" s="452">
        <v>46364</v>
      </c>
      <c r="G142" t="s">
        <v>672</v>
      </c>
      <c r="H142" t="s">
        <v>240</v>
      </c>
      <c r="I142" t="s">
        <v>674</v>
      </c>
      <c r="J142">
        <v>-300</v>
      </c>
      <c r="K142">
        <v>-300</v>
      </c>
      <c r="O142" t="s">
        <v>571</v>
      </c>
      <c r="Q142" t="s">
        <v>472</v>
      </c>
      <c r="R142">
        <v>0</v>
      </c>
    </row>
    <row r="143" spans="1:18" x14ac:dyDescent="0.3">
      <c r="A143">
        <v>191916</v>
      </c>
      <c r="B143" t="s">
        <v>568</v>
      </c>
      <c r="C143" t="s">
        <v>713</v>
      </c>
      <c r="D143" t="s">
        <v>658</v>
      </c>
      <c r="E143" s="452">
        <v>46364</v>
      </c>
      <c r="F143" s="452">
        <v>46380</v>
      </c>
      <c r="G143" t="s">
        <v>265</v>
      </c>
      <c r="H143" t="s">
        <v>267</v>
      </c>
      <c r="I143" t="s">
        <v>717</v>
      </c>
      <c r="J143">
        <v>-3100</v>
      </c>
      <c r="K143">
        <v>-3100</v>
      </c>
      <c r="O143" t="s">
        <v>571</v>
      </c>
      <c r="Q143" t="s">
        <v>472</v>
      </c>
      <c r="R143">
        <v>0</v>
      </c>
    </row>
    <row r="144" spans="1:18" x14ac:dyDescent="0.3">
      <c r="A144">
        <v>223201</v>
      </c>
      <c r="B144" t="s">
        <v>568</v>
      </c>
      <c r="C144" t="s">
        <v>654</v>
      </c>
      <c r="D144" t="s">
        <v>718</v>
      </c>
      <c r="E144" s="452">
        <v>46364</v>
      </c>
      <c r="F144" s="452">
        <v>46386</v>
      </c>
      <c r="G144" t="s">
        <v>613</v>
      </c>
      <c r="H144" t="s">
        <v>369</v>
      </c>
      <c r="I144" t="s">
        <v>656</v>
      </c>
      <c r="J144">
        <v>-13662.94</v>
      </c>
      <c r="K144">
        <v>-13662.94</v>
      </c>
      <c r="O144" t="s">
        <v>571</v>
      </c>
      <c r="Q144" t="s">
        <v>472</v>
      </c>
      <c r="R144">
        <v>0</v>
      </c>
    </row>
    <row r="145" spans="1:18" x14ac:dyDescent="0.3">
      <c r="A145">
        <v>218699</v>
      </c>
      <c r="B145" t="s">
        <v>568</v>
      </c>
      <c r="C145" t="s">
        <v>606</v>
      </c>
      <c r="D145" t="s">
        <v>658</v>
      </c>
      <c r="E145" s="452">
        <v>46357</v>
      </c>
      <c r="F145" s="452">
        <v>46438</v>
      </c>
      <c r="G145" t="s">
        <v>257</v>
      </c>
      <c r="H145" t="s">
        <v>258</v>
      </c>
      <c r="I145" t="s">
        <v>719</v>
      </c>
      <c r="J145">
        <v>-9067.9500000000007</v>
      </c>
      <c r="K145">
        <v>-9067.9500000000007</v>
      </c>
      <c r="O145" t="s">
        <v>571</v>
      </c>
      <c r="Q145" t="s">
        <v>472</v>
      </c>
      <c r="R145">
        <v>0</v>
      </c>
    </row>
    <row r="146" spans="1:18" x14ac:dyDescent="0.3">
      <c r="A146">
        <v>227726</v>
      </c>
      <c r="B146" t="s">
        <v>568</v>
      </c>
      <c r="C146" t="s">
        <v>720</v>
      </c>
      <c r="D146" t="s">
        <v>658</v>
      </c>
      <c r="E146" s="452">
        <v>46357</v>
      </c>
      <c r="F146" s="452">
        <v>46392</v>
      </c>
      <c r="G146" t="s">
        <v>280</v>
      </c>
      <c r="H146" t="s">
        <v>287</v>
      </c>
      <c r="I146" t="s">
        <v>721</v>
      </c>
      <c r="J146">
        <v>-436.5</v>
      </c>
      <c r="K146">
        <v>-436.5</v>
      </c>
      <c r="O146" t="s">
        <v>571</v>
      </c>
      <c r="Q146" t="s">
        <v>472</v>
      </c>
      <c r="R146">
        <v>0</v>
      </c>
    </row>
    <row r="147" spans="1:18" x14ac:dyDescent="0.3">
      <c r="A147">
        <v>218683</v>
      </c>
      <c r="B147" t="s">
        <v>568</v>
      </c>
      <c r="C147" t="s">
        <v>606</v>
      </c>
      <c r="D147" t="s">
        <v>658</v>
      </c>
      <c r="E147" s="452">
        <v>46357</v>
      </c>
      <c r="F147" s="452">
        <v>46397</v>
      </c>
      <c r="G147" t="s">
        <v>683</v>
      </c>
      <c r="H147" t="s">
        <v>289</v>
      </c>
      <c r="I147" t="s">
        <v>722</v>
      </c>
      <c r="J147">
        <v>-499.04</v>
      </c>
      <c r="K147">
        <v>-499.04</v>
      </c>
      <c r="O147" t="s">
        <v>571</v>
      </c>
      <c r="Q147" t="s">
        <v>472</v>
      </c>
      <c r="R147">
        <v>0</v>
      </c>
    </row>
    <row r="148" spans="1:18" x14ac:dyDescent="0.3">
      <c r="A148">
        <v>193422</v>
      </c>
      <c r="B148" t="s">
        <v>568</v>
      </c>
      <c r="C148" t="s">
        <v>723</v>
      </c>
      <c r="D148" t="s">
        <v>658</v>
      </c>
      <c r="E148" s="452">
        <v>46357</v>
      </c>
      <c r="F148" s="452">
        <v>46374</v>
      </c>
      <c r="G148" t="s">
        <v>724</v>
      </c>
      <c r="H148" t="s">
        <v>725</v>
      </c>
      <c r="I148" t="s">
        <v>726</v>
      </c>
      <c r="J148">
        <v>-400</v>
      </c>
      <c r="K148">
        <v>-400</v>
      </c>
      <c r="O148" t="s">
        <v>571</v>
      </c>
      <c r="Q148" t="s">
        <v>472</v>
      </c>
      <c r="R148">
        <v>0</v>
      </c>
    </row>
    <row r="149" spans="1:18" x14ac:dyDescent="0.3">
      <c r="A149">
        <v>191976</v>
      </c>
      <c r="B149" t="s">
        <v>568</v>
      </c>
      <c r="C149" t="s">
        <v>727</v>
      </c>
      <c r="D149" t="s">
        <v>658</v>
      </c>
      <c r="E149" s="452">
        <v>46357</v>
      </c>
      <c r="F149" s="452">
        <v>46376</v>
      </c>
      <c r="G149" t="s">
        <v>265</v>
      </c>
      <c r="H149" t="s">
        <v>272</v>
      </c>
      <c r="I149" t="s">
        <v>728</v>
      </c>
      <c r="J149">
        <v>-1000</v>
      </c>
      <c r="K149">
        <v>-1000</v>
      </c>
      <c r="O149" t="s">
        <v>571</v>
      </c>
      <c r="Q149" t="s">
        <v>472</v>
      </c>
      <c r="R149">
        <v>0</v>
      </c>
    </row>
    <row r="150" spans="1:18" x14ac:dyDescent="0.3">
      <c r="A150">
        <v>196085</v>
      </c>
      <c r="B150" t="s">
        <v>568</v>
      </c>
      <c r="C150" t="s">
        <v>671</v>
      </c>
      <c r="D150" t="s">
        <v>658</v>
      </c>
      <c r="E150" s="452">
        <v>46357</v>
      </c>
      <c r="F150" s="452">
        <v>46352</v>
      </c>
      <c r="G150" t="s">
        <v>672</v>
      </c>
      <c r="H150" t="s">
        <v>240</v>
      </c>
      <c r="I150" t="s">
        <v>687</v>
      </c>
      <c r="J150">
        <v>-800</v>
      </c>
      <c r="K150">
        <v>-800</v>
      </c>
      <c r="O150" t="s">
        <v>571</v>
      </c>
      <c r="Q150" t="s">
        <v>472</v>
      </c>
      <c r="R150">
        <v>0</v>
      </c>
    </row>
    <row r="151" spans="1:18" x14ac:dyDescent="0.3">
      <c r="A151">
        <v>192450</v>
      </c>
      <c r="B151" t="s">
        <v>568</v>
      </c>
      <c r="C151" t="s">
        <v>729</v>
      </c>
      <c r="D151" t="s">
        <v>658</v>
      </c>
      <c r="E151" s="452">
        <v>46357</v>
      </c>
      <c r="F151" s="452">
        <v>46392</v>
      </c>
      <c r="G151" t="s">
        <v>280</v>
      </c>
      <c r="H151" t="s">
        <v>287</v>
      </c>
      <c r="I151" t="s">
        <v>730</v>
      </c>
      <c r="J151">
        <v>-800</v>
      </c>
      <c r="K151">
        <v>-800</v>
      </c>
      <c r="O151" t="s">
        <v>571</v>
      </c>
      <c r="Q151" t="s">
        <v>472</v>
      </c>
      <c r="R151">
        <v>0</v>
      </c>
    </row>
    <row r="152" spans="1:18" x14ac:dyDescent="0.3">
      <c r="A152">
        <v>192085</v>
      </c>
      <c r="B152" t="s">
        <v>568</v>
      </c>
      <c r="C152" t="s">
        <v>731</v>
      </c>
      <c r="D152" t="s">
        <v>658</v>
      </c>
      <c r="E152" s="452">
        <v>46357</v>
      </c>
      <c r="F152" s="452">
        <v>46371</v>
      </c>
      <c r="G152" t="s">
        <v>319</v>
      </c>
      <c r="H152" t="s">
        <v>321</v>
      </c>
      <c r="I152" t="s">
        <v>732</v>
      </c>
      <c r="J152">
        <v>-150</v>
      </c>
      <c r="K152">
        <v>-150</v>
      </c>
      <c r="O152" t="s">
        <v>571</v>
      </c>
      <c r="Q152" t="s">
        <v>472</v>
      </c>
      <c r="R152">
        <v>0</v>
      </c>
    </row>
    <row r="153" spans="1:18" x14ac:dyDescent="0.3">
      <c r="A153">
        <v>192381</v>
      </c>
      <c r="B153" t="s">
        <v>568</v>
      </c>
      <c r="C153" t="s">
        <v>733</v>
      </c>
      <c r="D153" t="s">
        <v>658</v>
      </c>
      <c r="E153" s="452">
        <v>46357</v>
      </c>
      <c r="F153" s="452">
        <v>46399</v>
      </c>
      <c r="G153" t="s">
        <v>297</v>
      </c>
      <c r="H153" t="s">
        <v>299</v>
      </c>
      <c r="I153" t="s">
        <v>734</v>
      </c>
      <c r="J153">
        <v>-500</v>
      </c>
      <c r="K153">
        <v>-500</v>
      </c>
      <c r="O153" t="s">
        <v>571</v>
      </c>
      <c r="Q153" t="s">
        <v>472</v>
      </c>
      <c r="R153">
        <v>0</v>
      </c>
    </row>
    <row r="154" spans="1:18" x14ac:dyDescent="0.3">
      <c r="A154">
        <v>191744</v>
      </c>
      <c r="B154" t="s">
        <v>568</v>
      </c>
      <c r="C154" t="s">
        <v>735</v>
      </c>
      <c r="D154" t="s">
        <v>658</v>
      </c>
      <c r="E154" s="452">
        <v>46357</v>
      </c>
      <c r="F154" s="452">
        <v>46371</v>
      </c>
      <c r="G154" t="s">
        <v>309</v>
      </c>
      <c r="H154" t="s">
        <v>310</v>
      </c>
      <c r="I154" t="s">
        <v>736</v>
      </c>
      <c r="J154">
        <v>-2317.0300000000002</v>
      </c>
      <c r="K154">
        <v>-2317.0300000000002</v>
      </c>
      <c r="O154" t="s">
        <v>571</v>
      </c>
      <c r="Q154" t="s">
        <v>472</v>
      </c>
      <c r="R154">
        <v>0</v>
      </c>
    </row>
    <row r="155" spans="1:18" x14ac:dyDescent="0.3">
      <c r="A155">
        <v>191868</v>
      </c>
      <c r="B155" t="s">
        <v>568</v>
      </c>
      <c r="C155" t="s">
        <v>708</v>
      </c>
      <c r="D155" t="s">
        <v>658</v>
      </c>
      <c r="E155" s="452">
        <v>46357</v>
      </c>
      <c r="F155" s="452">
        <v>46376</v>
      </c>
      <c r="G155" t="s">
        <v>280</v>
      </c>
      <c r="H155" t="s">
        <v>283</v>
      </c>
      <c r="I155" t="s">
        <v>737</v>
      </c>
      <c r="J155">
        <v>-400</v>
      </c>
      <c r="K155">
        <v>-400</v>
      </c>
      <c r="O155" t="s">
        <v>571</v>
      </c>
      <c r="Q155" t="s">
        <v>472</v>
      </c>
      <c r="R155">
        <v>0</v>
      </c>
    </row>
    <row r="156" spans="1:18" x14ac:dyDescent="0.3">
      <c r="A156">
        <v>192865</v>
      </c>
      <c r="B156" t="s">
        <v>568</v>
      </c>
      <c r="C156" t="s">
        <v>662</v>
      </c>
      <c r="D156" t="s">
        <v>658</v>
      </c>
      <c r="E156" s="452">
        <v>46357</v>
      </c>
      <c r="F156" s="452">
        <v>46376</v>
      </c>
      <c r="G156" t="s">
        <v>280</v>
      </c>
      <c r="H156" t="s">
        <v>284</v>
      </c>
      <c r="I156" t="s">
        <v>663</v>
      </c>
      <c r="J156">
        <v>-181.27</v>
      </c>
      <c r="K156">
        <v>-181.27</v>
      </c>
      <c r="O156" t="s">
        <v>571</v>
      </c>
      <c r="Q156" t="s">
        <v>472</v>
      </c>
      <c r="R156">
        <v>0</v>
      </c>
    </row>
    <row r="157" spans="1:18" x14ac:dyDescent="0.3">
      <c r="A157">
        <v>197952</v>
      </c>
      <c r="B157" t="s">
        <v>568</v>
      </c>
      <c r="C157" t="s">
        <v>688</v>
      </c>
      <c r="D157" t="s">
        <v>658</v>
      </c>
      <c r="E157" s="452">
        <v>46357</v>
      </c>
      <c r="F157" s="452">
        <v>46397</v>
      </c>
      <c r="G157" t="s">
        <v>666</v>
      </c>
      <c r="H157" t="s">
        <v>667</v>
      </c>
      <c r="I157" t="s">
        <v>738</v>
      </c>
      <c r="J157">
        <v>-2656</v>
      </c>
      <c r="K157">
        <v>-2656</v>
      </c>
      <c r="O157" t="s">
        <v>571</v>
      </c>
      <c r="Q157" t="s">
        <v>472</v>
      </c>
      <c r="R157">
        <v>0</v>
      </c>
    </row>
    <row r="158" spans="1:18" x14ac:dyDescent="0.3">
      <c r="A158">
        <v>175533</v>
      </c>
      <c r="B158" t="s">
        <v>568</v>
      </c>
      <c r="C158" t="s">
        <v>606</v>
      </c>
      <c r="D158" t="s">
        <v>739</v>
      </c>
      <c r="E158" s="452">
        <v>46357</v>
      </c>
      <c r="F158" s="452">
        <v>46358</v>
      </c>
      <c r="G158" t="s">
        <v>613</v>
      </c>
      <c r="H158" t="s">
        <v>369</v>
      </c>
      <c r="I158" t="s">
        <v>614</v>
      </c>
      <c r="J158">
        <v>-5792.21</v>
      </c>
      <c r="K158">
        <v>-5792.21</v>
      </c>
      <c r="O158" t="s">
        <v>571</v>
      </c>
      <c r="Q158" t="s">
        <v>472</v>
      </c>
      <c r="R158">
        <v>0</v>
      </c>
    </row>
    <row r="159" spans="1:18" x14ac:dyDescent="0.3">
      <c r="A159">
        <v>191820</v>
      </c>
      <c r="B159" t="s">
        <v>568</v>
      </c>
      <c r="C159" t="s">
        <v>740</v>
      </c>
      <c r="D159" t="s">
        <v>658</v>
      </c>
      <c r="E159" s="452">
        <v>46357</v>
      </c>
      <c r="F159" s="452">
        <v>46381</v>
      </c>
      <c r="G159" t="s">
        <v>265</v>
      </c>
      <c r="H159" t="s">
        <v>266</v>
      </c>
      <c r="I159" t="s">
        <v>741</v>
      </c>
      <c r="J159">
        <v>-9000</v>
      </c>
      <c r="K159">
        <v>-9000</v>
      </c>
      <c r="O159" t="s">
        <v>571</v>
      </c>
      <c r="Q159" t="s">
        <v>472</v>
      </c>
      <c r="R159">
        <v>0</v>
      </c>
    </row>
    <row r="160" spans="1:18" x14ac:dyDescent="0.3">
      <c r="A160">
        <v>192348</v>
      </c>
      <c r="B160" t="s">
        <v>568</v>
      </c>
      <c r="C160" t="s">
        <v>742</v>
      </c>
      <c r="D160" t="s">
        <v>658</v>
      </c>
      <c r="E160" s="452">
        <v>46357</v>
      </c>
      <c r="F160" s="452">
        <v>46366</v>
      </c>
      <c r="G160" t="s">
        <v>280</v>
      </c>
      <c r="H160" t="s">
        <v>282</v>
      </c>
      <c r="I160" t="s">
        <v>743</v>
      </c>
      <c r="J160">
        <v>-249.9</v>
      </c>
      <c r="K160">
        <v>-249.9</v>
      </c>
      <c r="O160" t="s">
        <v>571</v>
      </c>
      <c r="Q160" t="s">
        <v>472</v>
      </c>
      <c r="R160">
        <v>0</v>
      </c>
    </row>
    <row r="161" spans="1:18" x14ac:dyDescent="0.3">
      <c r="A161">
        <v>199362</v>
      </c>
      <c r="B161" t="s">
        <v>568</v>
      </c>
      <c r="C161" t="s">
        <v>744</v>
      </c>
      <c r="D161" t="s">
        <v>658</v>
      </c>
      <c r="E161" s="452">
        <v>46357</v>
      </c>
      <c r="F161" s="452">
        <v>46396</v>
      </c>
      <c r="G161" t="s">
        <v>677</v>
      </c>
      <c r="H161" t="s">
        <v>678</v>
      </c>
      <c r="I161" t="s">
        <v>745</v>
      </c>
      <c r="J161">
        <v>-1500</v>
      </c>
      <c r="K161">
        <v>-1500</v>
      </c>
      <c r="M161" t="s">
        <v>746</v>
      </c>
      <c r="N161" t="s">
        <v>131</v>
      </c>
      <c r="O161" t="s">
        <v>571</v>
      </c>
      <c r="Q161" t="s">
        <v>472</v>
      </c>
      <c r="R161">
        <v>0</v>
      </c>
    </row>
    <row r="162" spans="1:18" x14ac:dyDescent="0.3">
      <c r="A162">
        <v>199984</v>
      </c>
      <c r="B162" t="s">
        <v>568</v>
      </c>
      <c r="C162" t="s">
        <v>747</v>
      </c>
      <c r="D162" t="s">
        <v>658</v>
      </c>
      <c r="E162" s="452">
        <v>46357</v>
      </c>
      <c r="F162" s="452">
        <v>46402</v>
      </c>
      <c r="G162" t="s">
        <v>677</v>
      </c>
      <c r="H162" t="s">
        <v>678</v>
      </c>
      <c r="I162" t="s">
        <v>745</v>
      </c>
      <c r="J162">
        <v>-600</v>
      </c>
      <c r="K162">
        <v>-600</v>
      </c>
      <c r="M162" t="s">
        <v>748</v>
      </c>
      <c r="N162" t="s">
        <v>75</v>
      </c>
      <c r="O162" t="s">
        <v>571</v>
      </c>
      <c r="Q162" t="s">
        <v>472</v>
      </c>
      <c r="R162">
        <v>0</v>
      </c>
    </row>
    <row r="163" spans="1:18" x14ac:dyDescent="0.3">
      <c r="A163">
        <v>192324</v>
      </c>
      <c r="B163" t="s">
        <v>568</v>
      </c>
      <c r="C163" t="s">
        <v>749</v>
      </c>
      <c r="D163" t="s">
        <v>658</v>
      </c>
      <c r="E163" s="452">
        <v>46357</v>
      </c>
      <c r="F163" s="452">
        <v>46390</v>
      </c>
      <c r="G163" t="s">
        <v>297</v>
      </c>
      <c r="H163" t="s">
        <v>298</v>
      </c>
      <c r="I163" t="s">
        <v>750</v>
      </c>
      <c r="J163">
        <v>-3000</v>
      </c>
      <c r="K163">
        <v>-3000</v>
      </c>
      <c r="M163" t="s">
        <v>751</v>
      </c>
      <c r="N163" t="s">
        <v>752</v>
      </c>
      <c r="O163" t="s">
        <v>571</v>
      </c>
      <c r="Q163" t="s">
        <v>472</v>
      </c>
      <c r="R163">
        <v>0</v>
      </c>
    </row>
    <row r="164" spans="1:18" x14ac:dyDescent="0.3">
      <c r="A164">
        <v>196073</v>
      </c>
      <c r="B164" t="s">
        <v>568</v>
      </c>
      <c r="C164" t="s">
        <v>671</v>
      </c>
      <c r="D164" t="s">
        <v>658</v>
      </c>
      <c r="E164" s="452">
        <v>46357</v>
      </c>
      <c r="F164" s="452">
        <v>46354</v>
      </c>
      <c r="G164" t="s">
        <v>672</v>
      </c>
      <c r="H164" t="s">
        <v>240</v>
      </c>
      <c r="I164" t="s">
        <v>691</v>
      </c>
      <c r="J164">
        <v>-2500</v>
      </c>
      <c r="K164">
        <v>-2500</v>
      </c>
      <c r="O164" t="s">
        <v>571</v>
      </c>
      <c r="Q164" t="s">
        <v>472</v>
      </c>
      <c r="R164">
        <v>0</v>
      </c>
    </row>
    <row r="165" spans="1:18" x14ac:dyDescent="0.3">
      <c r="A165">
        <v>199349</v>
      </c>
      <c r="B165" t="s">
        <v>568</v>
      </c>
      <c r="C165" t="s">
        <v>753</v>
      </c>
      <c r="D165" t="s">
        <v>658</v>
      </c>
      <c r="E165" s="452">
        <v>46357</v>
      </c>
      <c r="F165" s="452">
        <v>46402</v>
      </c>
      <c r="G165" t="s">
        <v>677</v>
      </c>
      <c r="H165" t="s">
        <v>678</v>
      </c>
      <c r="I165" t="s">
        <v>754</v>
      </c>
      <c r="J165">
        <v>-8000</v>
      </c>
      <c r="K165">
        <v>-8000</v>
      </c>
      <c r="M165" t="s">
        <v>755</v>
      </c>
      <c r="N165" t="s">
        <v>132</v>
      </c>
      <c r="O165" t="s">
        <v>571</v>
      </c>
      <c r="Q165" t="s">
        <v>472</v>
      </c>
      <c r="R165">
        <v>0</v>
      </c>
    </row>
    <row r="166" spans="1:18" x14ac:dyDescent="0.3">
      <c r="A166">
        <v>196683</v>
      </c>
      <c r="B166" t="s">
        <v>568</v>
      </c>
      <c r="C166" t="s">
        <v>665</v>
      </c>
      <c r="D166" t="s">
        <v>658</v>
      </c>
      <c r="E166" s="452">
        <v>46357</v>
      </c>
      <c r="F166" s="452">
        <v>46376</v>
      </c>
      <c r="G166" t="s">
        <v>666</v>
      </c>
      <c r="H166" t="s">
        <v>667</v>
      </c>
      <c r="I166" t="s">
        <v>756</v>
      </c>
      <c r="J166">
        <v>-5000</v>
      </c>
      <c r="K166">
        <v>-5000</v>
      </c>
      <c r="O166" t="s">
        <v>571</v>
      </c>
      <c r="Q166" t="s">
        <v>472</v>
      </c>
      <c r="R166">
        <v>0</v>
      </c>
    </row>
    <row r="167" spans="1:18" x14ac:dyDescent="0.3">
      <c r="A167">
        <v>192909</v>
      </c>
      <c r="B167" t="s">
        <v>568</v>
      </c>
      <c r="C167" t="s">
        <v>671</v>
      </c>
      <c r="D167" t="s">
        <v>658</v>
      </c>
      <c r="E167" s="452">
        <v>46357</v>
      </c>
      <c r="F167" s="452">
        <v>46357</v>
      </c>
      <c r="G167" t="s">
        <v>672</v>
      </c>
      <c r="H167" t="s">
        <v>240</v>
      </c>
      <c r="I167" t="s">
        <v>681</v>
      </c>
      <c r="J167">
        <v>-300</v>
      </c>
      <c r="K167">
        <v>-300</v>
      </c>
      <c r="O167" t="s">
        <v>571</v>
      </c>
      <c r="Q167" t="s">
        <v>472</v>
      </c>
      <c r="R167">
        <v>0</v>
      </c>
    </row>
    <row r="168" spans="1:18" x14ac:dyDescent="0.3">
      <c r="A168">
        <v>192827</v>
      </c>
      <c r="B168" t="s">
        <v>568</v>
      </c>
      <c r="C168" t="s">
        <v>757</v>
      </c>
      <c r="D168" t="s">
        <v>658</v>
      </c>
      <c r="E168" s="452">
        <v>46357</v>
      </c>
      <c r="F168" s="452">
        <v>46371</v>
      </c>
      <c r="G168" t="s">
        <v>309</v>
      </c>
      <c r="H168" t="s">
        <v>317</v>
      </c>
      <c r="I168" t="s">
        <v>758</v>
      </c>
      <c r="J168">
        <v>-350</v>
      </c>
      <c r="K168">
        <v>-350</v>
      </c>
      <c r="O168" t="s">
        <v>571</v>
      </c>
      <c r="Q168" t="s">
        <v>472</v>
      </c>
      <c r="R168">
        <v>0</v>
      </c>
    </row>
    <row r="169" spans="1:18" x14ac:dyDescent="0.3">
      <c r="A169">
        <v>197939</v>
      </c>
      <c r="B169" t="s">
        <v>568</v>
      </c>
      <c r="C169" t="s">
        <v>688</v>
      </c>
      <c r="D169" t="s">
        <v>658</v>
      </c>
      <c r="E169" s="452">
        <v>46357</v>
      </c>
      <c r="F169" s="452">
        <v>46376</v>
      </c>
      <c r="G169" t="s">
        <v>666</v>
      </c>
      <c r="H169" t="s">
        <v>667</v>
      </c>
      <c r="I169" t="s">
        <v>689</v>
      </c>
      <c r="J169">
        <v>-2656</v>
      </c>
      <c r="K169">
        <v>-2656</v>
      </c>
      <c r="O169" t="s">
        <v>571</v>
      </c>
      <c r="Q169" t="s">
        <v>472</v>
      </c>
      <c r="R169">
        <v>0</v>
      </c>
    </row>
    <row r="170" spans="1:18" x14ac:dyDescent="0.3">
      <c r="A170">
        <v>213331</v>
      </c>
      <c r="B170" t="s">
        <v>568</v>
      </c>
      <c r="C170" t="s">
        <v>676</v>
      </c>
      <c r="D170" t="s">
        <v>658</v>
      </c>
      <c r="E170" s="452">
        <v>46357</v>
      </c>
      <c r="F170" s="452">
        <v>46402</v>
      </c>
      <c r="G170" t="s">
        <v>677</v>
      </c>
      <c r="H170" t="s">
        <v>678</v>
      </c>
      <c r="I170" t="s">
        <v>679</v>
      </c>
      <c r="J170">
        <v>-1350</v>
      </c>
      <c r="K170">
        <v>-1350</v>
      </c>
      <c r="M170" t="s">
        <v>680</v>
      </c>
      <c r="N170" t="s">
        <v>134</v>
      </c>
      <c r="O170" t="s">
        <v>571</v>
      </c>
      <c r="Q170" t="s">
        <v>472</v>
      </c>
      <c r="R170">
        <v>0</v>
      </c>
    </row>
    <row r="171" spans="1:18" x14ac:dyDescent="0.3">
      <c r="A171">
        <v>200009</v>
      </c>
      <c r="B171" t="s">
        <v>568</v>
      </c>
      <c r="C171" t="s">
        <v>759</v>
      </c>
      <c r="D171" t="s">
        <v>658</v>
      </c>
      <c r="E171" s="452">
        <v>46357</v>
      </c>
      <c r="F171" s="452">
        <v>46396</v>
      </c>
      <c r="G171" t="s">
        <v>677</v>
      </c>
      <c r="H171" t="s">
        <v>678</v>
      </c>
      <c r="I171" t="s">
        <v>745</v>
      </c>
      <c r="J171">
        <v>-1125</v>
      </c>
      <c r="K171">
        <v>-1125</v>
      </c>
      <c r="M171" t="s">
        <v>760</v>
      </c>
      <c r="N171" t="s">
        <v>131</v>
      </c>
      <c r="O171" t="s">
        <v>571</v>
      </c>
      <c r="Q171" t="s">
        <v>472</v>
      </c>
      <c r="R171">
        <v>0</v>
      </c>
    </row>
    <row r="172" spans="1:18" x14ac:dyDescent="0.3">
      <c r="A172">
        <v>192126</v>
      </c>
      <c r="B172" t="s">
        <v>568</v>
      </c>
      <c r="C172" t="s">
        <v>761</v>
      </c>
      <c r="D172" t="s">
        <v>658</v>
      </c>
      <c r="E172" s="452">
        <v>46357</v>
      </c>
      <c r="F172" s="452">
        <v>46376</v>
      </c>
      <c r="G172" t="s">
        <v>309</v>
      </c>
      <c r="H172" t="s">
        <v>312</v>
      </c>
      <c r="I172" t="s">
        <v>762</v>
      </c>
      <c r="J172">
        <v>-300</v>
      </c>
      <c r="K172">
        <v>-300</v>
      </c>
      <c r="O172" t="s">
        <v>571</v>
      </c>
      <c r="Q172" t="s">
        <v>472</v>
      </c>
      <c r="R172">
        <v>0</v>
      </c>
    </row>
    <row r="173" spans="1:18" x14ac:dyDescent="0.3">
      <c r="A173">
        <v>199956</v>
      </c>
      <c r="B173" t="s">
        <v>568</v>
      </c>
      <c r="C173" t="s">
        <v>676</v>
      </c>
      <c r="D173" t="s">
        <v>658</v>
      </c>
      <c r="E173" s="452">
        <v>46357</v>
      </c>
      <c r="F173" s="452">
        <v>46388</v>
      </c>
      <c r="G173" t="s">
        <v>677</v>
      </c>
      <c r="H173" t="s">
        <v>678</v>
      </c>
      <c r="I173" t="s">
        <v>745</v>
      </c>
      <c r="J173">
        <v>-1350</v>
      </c>
      <c r="K173">
        <v>-1350</v>
      </c>
      <c r="M173" t="s">
        <v>680</v>
      </c>
      <c r="N173" t="s">
        <v>134</v>
      </c>
      <c r="O173" t="s">
        <v>571</v>
      </c>
      <c r="Q173" t="s">
        <v>472</v>
      </c>
      <c r="R173">
        <v>0</v>
      </c>
    </row>
    <row r="174" spans="1:18" x14ac:dyDescent="0.3">
      <c r="A174">
        <v>192997</v>
      </c>
      <c r="B174" t="s">
        <v>568</v>
      </c>
      <c r="C174" t="s">
        <v>763</v>
      </c>
      <c r="D174" t="s">
        <v>658</v>
      </c>
      <c r="E174" s="452">
        <v>46357</v>
      </c>
      <c r="F174" s="452">
        <v>46392</v>
      </c>
      <c r="G174" t="s">
        <v>297</v>
      </c>
      <c r="H174" t="s">
        <v>302</v>
      </c>
      <c r="I174" t="s">
        <v>764</v>
      </c>
      <c r="J174">
        <v>-900</v>
      </c>
      <c r="K174">
        <v>-900</v>
      </c>
      <c r="O174" t="s">
        <v>571</v>
      </c>
      <c r="Q174" t="s">
        <v>472</v>
      </c>
      <c r="R174">
        <v>0</v>
      </c>
    </row>
    <row r="175" spans="1:18" x14ac:dyDescent="0.3">
      <c r="A175">
        <v>191832</v>
      </c>
      <c r="B175" t="s">
        <v>568</v>
      </c>
      <c r="C175" t="s">
        <v>765</v>
      </c>
      <c r="D175" t="s">
        <v>658</v>
      </c>
      <c r="E175" s="452">
        <v>46357</v>
      </c>
      <c r="F175" s="452">
        <v>46381</v>
      </c>
      <c r="G175" t="s">
        <v>265</v>
      </c>
      <c r="H175" t="s">
        <v>268</v>
      </c>
      <c r="I175" t="s">
        <v>766</v>
      </c>
      <c r="J175">
        <v>-5000</v>
      </c>
      <c r="K175">
        <v>-5000</v>
      </c>
      <c r="O175" t="s">
        <v>571</v>
      </c>
      <c r="Q175" t="s">
        <v>472</v>
      </c>
      <c r="R175">
        <v>0</v>
      </c>
    </row>
    <row r="176" spans="1:18" x14ac:dyDescent="0.3">
      <c r="A176">
        <v>192111</v>
      </c>
      <c r="B176" t="s">
        <v>568</v>
      </c>
      <c r="C176" t="s">
        <v>767</v>
      </c>
      <c r="D176" t="s">
        <v>658</v>
      </c>
      <c r="E176" s="452">
        <v>46357</v>
      </c>
      <c r="F176" s="452">
        <v>46392</v>
      </c>
      <c r="G176" t="s">
        <v>309</v>
      </c>
      <c r="H176" t="s">
        <v>315</v>
      </c>
      <c r="I176" t="s">
        <v>768</v>
      </c>
      <c r="J176">
        <v>-940.94</v>
      </c>
      <c r="K176">
        <v>-940.94</v>
      </c>
      <c r="O176" t="s">
        <v>571</v>
      </c>
      <c r="Q176" t="s">
        <v>472</v>
      </c>
      <c r="R176">
        <v>0</v>
      </c>
    </row>
    <row r="177" spans="1:18" x14ac:dyDescent="0.3">
      <c r="A177">
        <v>175490</v>
      </c>
      <c r="B177" t="s">
        <v>568</v>
      </c>
      <c r="C177" t="s">
        <v>606</v>
      </c>
      <c r="E177" s="452">
        <v>46357</v>
      </c>
      <c r="F177" s="452">
        <v>46388</v>
      </c>
      <c r="G177" t="s">
        <v>257</v>
      </c>
      <c r="H177" t="s">
        <v>258</v>
      </c>
      <c r="I177" t="s">
        <v>607</v>
      </c>
      <c r="J177">
        <v>-34700</v>
      </c>
      <c r="K177">
        <v>-34700</v>
      </c>
      <c r="O177" t="s">
        <v>571</v>
      </c>
      <c r="Q177" t="s">
        <v>472</v>
      </c>
      <c r="R177">
        <v>0</v>
      </c>
    </row>
    <row r="178" spans="1:18" x14ac:dyDescent="0.3">
      <c r="A178">
        <v>193022</v>
      </c>
      <c r="B178" t="s">
        <v>568</v>
      </c>
      <c r="C178" t="s">
        <v>769</v>
      </c>
      <c r="D178" t="s">
        <v>658</v>
      </c>
      <c r="E178" s="452">
        <v>46357</v>
      </c>
      <c r="F178" s="452">
        <v>46392</v>
      </c>
      <c r="G178" t="s">
        <v>280</v>
      </c>
      <c r="H178" t="s">
        <v>283</v>
      </c>
      <c r="I178" t="s">
        <v>770</v>
      </c>
      <c r="J178">
        <v>-23.5</v>
      </c>
      <c r="K178">
        <v>-23.5</v>
      </c>
      <c r="O178" t="s">
        <v>571</v>
      </c>
      <c r="Q178" t="s">
        <v>472</v>
      </c>
      <c r="R178">
        <v>0</v>
      </c>
    </row>
    <row r="179" spans="1:18" x14ac:dyDescent="0.3">
      <c r="A179">
        <v>196433</v>
      </c>
      <c r="B179" t="s">
        <v>568</v>
      </c>
      <c r="C179" t="s">
        <v>665</v>
      </c>
      <c r="D179" t="s">
        <v>658</v>
      </c>
      <c r="E179" s="452">
        <v>46357</v>
      </c>
      <c r="F179" s="452">
        <v>46393</v>
      </c>
      <c r="G179" t="s">
        <v>666</v>
      </c>
      <c r="H179" t="s">
        <v>667</v>
      </c>
      <c r="I179" t="s">
        <v>668</v>
      </c>
      <c r="J179">
        <v>-25000</v>
      </c>
      <c r="K179">
        <v>-25000</v>
      </c>
      <c r="O179" t="s">
        <v>571</v>
      </c>
      <c r="Q179" t="s">
        <v>472</v>
      </c>
      <c r="R179">
        <v>0</v>
      </c>
    </row>
    <row r="180" spans="1:18" x14ac:dyDescent="0.3">
      <c r="A180">
        <v>192615</v>
      </c>
      <c r="B180" t="s">
        <v>568</v>
      </c>
      <c r="C180" t="s">
        <v>682</v>
      </c>
      <c r="D180" t="s">
        <v>658</v>
      </c>
      <c r="E180" s="452">
        <v>46357</v>
      </c>
      <c r="F180" s="452">
        <v>46376</v>
      </c>
      <c r="G180" t="s">
        <v>683</v>
      </c>
      <c r="H180" t="s">
        <v>289</v>
      </c>
      <c r="I180" t="s">
        <v>684</v>
      </c>
      <c r="J180">
        <v>-1500</v>
      </c>
      <c r="K180">
        <v>-1500</v>
      </c>
      <c r="O180" t="s">
        <v>571</v>
      </c>
      <c r="Q180" t="s">
        <v>472</v>
      </c>
      <c r="R180">
        <v>0</v>
      </c>
    </row>
    <row r="181" spans="1:18" x14ac:dyDescent="0.3">
      <c r="A181">
        <v>204977</v>
      </c>
      <c r="B181" t="s">
        <v>568</v>
      </c>
      <c r="C181" t="s">
        <v>685</v>
      </c>
      <c r="D181" t="s">
        <v>658</v>
      </c>
      <c r="E181" s="452">
        <v>46357</v>
      </c>
      <c r="F181" s="452">
        <v>46384</v>
      </c>
      <c r="G181" t="s">
        <v>672</v>
      </c>
      <c r="H181" t="s">
        <v>243</v>
      </c>
      <c r="I181" t="s">
        <v>686</v>
      </c>
      <c r="J181">
        <v>-300</v>
      </c>
      <c r="K181">
        <v>-300</v>
      </c>
      <c r="O181" t="s">
        <v>571</v>
      </c>
      <c r="Q181" t="s">
        <v>472</v>
      </c>
      <c r="R181">
        <v>0</v>
      </c>
    </row>
    <row r="182" spans="1:18" x14ac:dyDescent="0.3">
      <c r="A182">
        <v>199996</v>
      </c>
      <c r="B182" t="s">
        <v>568</v>
      </c>
      <c r="C182" t="s">
        <v>771</v>
      </c>
      <c r="D182" t="s">
        <v>658</v>
      </c>
      <c r="E182" s="452">
        <v>46357</v>
      </c>
      <c r="F182" s="452">
        <v>46402</v>
      </c>
      <c r="G182" t="s">
        <v>677</v>
      </c>
      <c r="H182" t="s">
        <v>678</v>
      </c>
      <c r="I182" t="s">
        <v>745</v>
      </c>
      <c r="J182">
        <v>-1750</v>
      </c>
      <c r="K182">
        <v>-1750</v>
      </c>
      <c r="M182" t="s">
        <v>772</v>
      </c>
      <c r="N182" t="s">
        <v>135</v>
      </c>
      <c r="O182" t="s">
        <v>571</v>
      </c>
      <c r="Q182" t="s">
        <v>472</v>
      </c>
      <c r="R182">
        <v>0</v>
      </c>
    </row>
    <row r="183" spans="1:18" x14ac:dyDescent="0.3">
      <c r="A183">
        <v>99351</v>
      </c>
      <c r="B183" t="s">
        <v>568</v>
      </c>
      <c r="C183" t="s">
        <v>569</v>
      </c>
      <c r="E183" s="452">
        <v>46357</v>
      </c>
      <c r="F183" s="452">
        <v>46366</v>
      </c>
      <c r="G183" t="s">
        <v>257</v>
      </c>
      <c r="H183" t="s">
        <v>263</v>
      </c>
      <c r="I183" t="s">
        <v>570</v>
      </c>
      <c r="J183">
        <v>-12000</v>
      </c>
      <c r="K183">
        <v>-12000</v>
      </c>
      <c r="O183" t="s">
        <v>571</v>
      </c>
      <c r="Q183" t="s">
        <v>472</v>
      </c>
      <c r="R183">
        <v>0</v>
      </c>
    </row>
    <row r="184" spans="1:18" x14ac:dyDescent="0.3">
      <c r="A184">
        <v>192184</v>
      </c>
      <c r="B184" t="s">
        <v>568</v>
      </c>
      <c r="C184" t="s">
        <v>773</v>
      </c>
      <c r="D184" t="s">
        <v>658</v>
      </c>
      <c r="E184" s="452">
        <v>46357</v>
      </c>
      <c r="F184" s="452">
        <v>46376</v>
      </c>
      <c r="G184" t="s">
        <v>265</v>
      </c>
      <c r="H184" t="s">
        <v>271</v>
      </c>
      <c r="I184" t="s">
        <v>774</v>
      </c>
      <c r="J184">
        <v>-550</v>
      </c>
      <c r="K184">
        <v>-550</v>
      </c>
      <c r="O184" t="s">
        <v>571</v>
      </c>
      <c r="Q184" t="s">
        <v>472</v>
      </c>
      <c r="R184">
        <v>0</v>
      </c>
    </row>
    <row r="185" spans="1:18" x14ac:dyDescent="0.3">
      <c r="A185">
        <v>197361</v>
      </c>
      <c r="B185" t="s">
        <v>568</v>
      </c>
      <c r="C185" t="s">
        <v>699</v>
      </c>
      <c r="D185" t="s">
        <v>658</v>
      </c>
      <c r="E185" s="452">
        <v>46356</v>
      </c>
      <c r="F185" s="452">
        <v>46376</v>
      </c>
      <c r="G185" t="s">
        <v>309</v>
      </c>
      <c r="H185" t="s">
        <v>310</v>
      </c>
      <c r="I185" t="s">
        <v>701</v>
      </c>
      <c r="J185">
        <v>-100</v>
      </c>
      <c r="K185">
        <v>-100</v>
      </c>
      <c r="O185" t="s">
        <v>571</v>
      </c>
      <c r="Q185" t="s">
        <v>471</v>
      </c>
      <c r="R185">
        <v>0</v>
      </c>
    </row>
    <row r="186" spans="1:18" x14ac:dyDescent="0.3">
      <c r="A186">
        <v>208302</v>
      </c>
      <c r="B186" t="s">
        <v>568</v>
      </c>
      <c r="C186" t="s">
        <v>430</v>
      </c>
      <c r="D186" t="s">
        <v>658</v>
      </c>
      <c r="E186" s="452">
        <v>46356</v>
      </c>
      <c r="F186" s="452">
        <v>46376</v>
      </c>
      <c r="G186" t="s">
        <v>697</v>
      </c>
      <c r="H186" t="s">
        <v>207</v>
      </c>
      <c r="J186">
        <v>-2100</v>
      </c>
      <c r="K186">
        <v>-2100</v>
      </c>
      <c r="O186" t="s">
        <v>571</v>
      </c>
      <c r="Q186" t="s">
        <v>471</v>
      </c>
      <c r="R186">
        <v>0</v>
      </c>
    </row>
    <row r="187" spans="1:18" x14ac:dyDescent="0.3">
      <c r="A187">
        <v>207043</v>
      </c>
      <c r="B187" t="s">
        <v>568</v>
      </c>
      <c r="C187" t="s">
        <v>431</v>
      </c>
      <c r="D187" t="s">
        <v>658</v>
      </c>
      <c r="E187" s="452">
        <v>46356</v>
      </c>
      <c r="F187" s="452">
        <v>46376</v>
      </c>
      <c r="G187" t="s">
        <v>697</v>
      </c>
      <c r="H187" t="s">
        <v>212</v>
      </c>
      <c r="I187" t="s">
        <v>698</v>
      </c>
      <c r="J187">
        <v>-3500</v>
      </c>
      <c r="K187">
        <v>-3500</v>
      </c>
      <c r="O187" t="s">
        <v>571</v>
      </c>
      <c r="Q187" t="s">
        <v>471</v>
      </c>
      <c r="R187">
        <v>0</v>
      </c>
    </row>
    <row r="188" spans="1:18" x14ac:dyDescent="0.3">
      <c r="A188">
        <v>208522</v>
      </c>
      <c r="B188" t="s">
        <v>568</v>
      </c>
      <c r="C188" t="s">
        <v>699</v>
      </c>
      <c r="D188" t="s">
        <v>658</v>
      </c>
      <c r="E188" s="452">
        <v>46356</v>
      </c>
      <c r="F188" s="452">
        <v>46376</v>
      </c>
      <c r="G188" t="s">
        <v>697</v>
      </c>
      <c r="H188" t="s">
        <v>700</v>
      </c>
      <c r="J188">
        <v>-1300</v>
      </c>
      <c r="K188">
        <v>-1300</v>
      </c>
      <c r="O188" t="s">
        <v>571</v>
      </c>
      <c r="Q188" t="s">
        <v>471</v>
      </c>
      <c r="R188">
        <v>0</v>
      </c>
    </row>
    <row r="189" spans="1:18" x14ac:dyDescent="0.3">
      <c r="A189">
        <v>202405</v>
      </c>
      <c r="B189" t="s">
        <v>568</v>
      </c>
      <c r="C189" t="s">
        <v>696</v>
      </c>
      <c r="D189" t="s">
        <v>658</v>
      </c>
      <c r="E189" s="452">
        <v>46356</v>
      </c>
      <c r="F189" s="452">
        <v>46365</v>
      </c>
      <c r="G189" t="s">
        <v>672</v>
      </c>
      <c r="H189" t="s">
        <v>248</v>
      </c>
      <c r="J189">
        <v>-54.5</v>
      </c>
      <c r="K189">
        <v>-54.5</v>
      </c>
      <c r="O189" t="s">
        <v>571</v>
      </c>
      <c r="Q189" t="s">
        <v>471</v>
      </c>
      <c r="R189">
        <v>0</v>
      </c>
    </row>
    <row r="190" spans="1:18" x14ac:dyDescent="0.3">
      <c r="A190">
        <v>190631</v>
      </c>
      <c r="B190" t="s">
        <v>568</v>
      </c>
      <c r="C190" t="s">
        <v>50</v>
      </c>
      <c r="D190" t="s">
        <v>658</v>
      </c>
      <c r="E190" s="452">
        <v>46356</v>
      </c>
      <c r="F190" s="452">
        <v>46376</v>
      </c>
      <c r="G190" t="s">
        <v>694</v>
      </c>
      <c r="H190" t="s">
        <v>50</v>
      </c>
      <c r="I190" t="s">
        <v>695</v>
      </c>
      <c r="J190">
        <v>-15000</v>
      </c>
      <c r="K190">
        <v>-15000</v>
      </c>
      <c r="O190" t="s">
        <v>571</v>
      </c>
      <c r="Q190" t="s">
        <v>471</v>
      </c>
      <c r="R190">
        <v>0</v>
      </c>
    </row>
    <row r="191" spans="1:18" x14ac:dyDescent="0.3">
      <c r="A191">
        <v>192892</v>
      </c>
      <c r="B191" t="s">
        <v>568</v>
      </c>
      <c r="C191" t="s">
        <v>692</v>
      </c>
      <c r="D191" t="s">
        <v>658</v>
      </c>
      <c r="E191" s="452">
        <v>46356</v>
      </c>
      <c r="F191" s="452">
        <v>46361</v>
      </c>
      <c r="G191" t="s">
        <v>309</v>
      </c>
      <c r="H191" t="s">
        <v>317</v>
      </c>
      <c r="I191" t="s">
        <v>693</v>
      </c>
      <c r="J191">
        <v>-1500</v>
      </c>
      <c r="K191">
        <v>-1500</v>
      </c>
      <c r="O191" t="s">
        <v>571</v>
      </c>
      <c r="Q191" t="s">
        <v>471</v>
      </c>
      <c r="R191">
        <v>0</v>
      </c>
    </row>
    <row r="192" spans="1:18" x14ac:dyDescent="0.3">
      <c r="A192">
        <v>236436</v>
      </c>
      <c r="B192" t="s">
        <v>568</v>
      </c>
      <c r="C192" t="s">
        <v>51</v>
      </c>
      <c r="D192" t="s">
        <v>658</v>
      </c>
      <c r="E192" s="452">
        <v>46356</v>
      </c>
      <c r="F192" s="452">
        <v>46366</v>
      </c>
      <c r="G192" t="s">
        <v>265</v>
      </c>
      <c r="H192" t="s">
        <v>272</v>
      </c>
      <c r="J192">
        <v>-50</v>
      </c>
      <c r="K192">
        <v>-50</v>
      </c>
      <c r="O192" t="s">
        <v>571</v>
      </c>
      <c r="Q192" t="s">
        <v>471</v>
      </c>
      <c r="R192">
        <v>0</v>
      </c>
    </row>
    <row r="193" spans="1:18" x14ac:dyDescent="0.3">
      <c r="A193">
        <v>209525</v>
      </c>
      <c r="B193" t="s">
        <v>568</v>
      </c>
      <c r="C193" t="s">
        <v>654</v>
      </c>
      <c r="D193" t="s">
        <v>658</v>
      </c>
      <c r="E193" s="452">
        <v>46354</v>
      </c>
      <c r="F193" s="452">
        <v>46376</v>
      </c>
      <c r="G193" t="s">
        <v>702</v>
      </c>
      <c r="H193" t="s">
        <v>343</v>
      </c>
      <c r="J193">
        <v>-37000</v>
      </c>
      <c r="K193">
        <v>-37000</v>
      </c>
      <c r="O193" t="s">
        <v>571</v>
      </c>
      <c r="Q193" t="s">
        <v>471</v>
      </c>
      <c r="R193">
        <v>0</v>
      </c>
    </row>
    <row r="194" spans="1:18" x14ac:dyDescent="0.3">
      <c r="A194">
        <v>197883</v>
      </c>
      <c r="B194" t="s">
        <v>568</v>
      </c>
      <c r="C194" t="s">
        <v>704</v>
      </c>
      <c r="D194" t="s">
        <v>658</v>
      </c>
      <c r="E194" s="452">
        <v>46351</v>
      </c>
      <c r="F194" s="452">
        <v>46381</v>
      </c>
      <c r="G194" t="s">
        <v>705</v>
      </c>
      <c r="H194" t="s">
        <v>114</v>
      </c>
      <c r="I194" t="s">
        <v>706</v>
      </c>
      <c r="J194">
        <v>-15000</v>
      </c>
      <c r="K194">
        <v>-15000</v>
      </c>
      <c r="O194" t="s">
        <v>571</v>
      </c>
      <c r="Q194" t="s">
        <v>471</v>
      </c>
      <c r="R194">
        <v>0</v>
      </c>
    </row>
    <row r="195" spans="1:18" x14ac:dyDescent="0.3">
      <c r="A195">
        <v>98072</v>
      </c>
      <c r="B195" t="s">
        <v>568</v>
      </c>
      <c r="C195" t="s">
        <v>628</v>
      </c>
      <c r="D195" t="s">
        <v>775</v>
      </c>
      <c r="E195" s="452">
        <v>46349</v>
      </c>
      <c r="F195" s="452">
        <v>46348</v>
      </c>
      <c r="G195" t="s">
        <v>613</v>
      </c>
      <c r="H195" t="s">
        <v>369</v>
      </c>
      <c r="I195" t="s">
        <v>630</v>
      </c>
      <c r="J195">
        <v>-20000</v>
      </c>
      <c r="K195">
        <v>-20000</v>
      </c>
      <c r="O195" t="s">
        <v>631</v>
      </c>
      <c r="Q195" t="s">
        <v>471</v>
      </c>
      <c r="R195">
        <v>0</v>
      </c>
    </row>
    <row r="196" spans="1:18" x14ac:dyDescent="0.3">
      <c r="A196">
        <v>191879</v>
      </c>
      <c r="B196" t="s">
        <v>568</v>
      </c>
      <c r="C196" t="s">
        <v>708</v>
      </c>
      <c r="D196" t="s">
        <v>658</v>
      </c>
      <c r="E196" s="452">
        <v>46346</v>
      </c>
      <c r="F196" s="452">
        <v>46361</v>
      </c>
      <c r="G196" t="s">
        <v>280</v>
      </c>
      <c r="H196" t="s">
        <v>282</v>
      </c>
      <c r="I196" t="s">
        <v>709</v>
      </c>
      <c r="J196">
        <v>-150</v>
      </c>
      <c r="K196">
        <v>-150</v>
      </c>
      <c r="O196" t="s">
        <v>571</v>
      </c>
      <c r="Q196" t="s">
        <v>471</v>
      </c>
      <c r="R196">
        <v>0</v>
      </c>
    </row>
    <row r="197" spans="1:18" x14ac:dyDescent="0.3">
      <c r="A197">
        <v>192880</v>
      </c>
      <c r="B197" t="s">
        <v>568</v>
      </c>
      <c r="C197" t="s">
        <v>692</v>
      </c>
      <c r="D197" t="s">
        <v>658</v>
      </c>
      <c r="E197" s="452">
        <v>46341</v>
      </c>
      <c r="F197" s="452">
        <v>46346</v>
      </c>
      <c r="G197" t="s">
        <v>309</v>
      </c>
      <c r="H197" t="s">
        <v>317</v>
      </c>
      <c r="I197" t="s">
        <v>710</v>
      </c>
      <c r="J197">
        <v>-1500</v>
      </c>
      <c r="K197">
        <v>-1500</v>
      </c>
      <c r="O197" t="s">
        <v>571</v>
      </c>
      <c r="Q197" t="s">
        <v>471</v>
      </c>
      <c r="R197">
        <v>0</v>
      </c>
    </row>
    <row r="198" spans="1:18" x14ac:dyDescent="0.3">
      <c r="A198">
        <v>192935</v>
      </c>
      <c r="B198" t="s">
        <v>568</v>
      </c>
      <c r="C198" t="s">
        <v>671</v>
      </c>
      <c r="D198" t="s">
        <v>658</v>
      </c>
      <c r="E198" s="452">
        <v>46341</v>
      </c>
      <c r="F198" s="452">
        <v>46341</v>
      </c>
      <c r="G198" t="s">
        <v>672</v>
      </c>
      <c r="H198" t="s">
        <v>240</v>
      </c>
      <c r="I198" t="s">
        <v>673</v>
      </c>
      <c r="J198">
        <v>-300</v>
      </c>
      <c r="K198">
        <v>-300</v>
      </c>
      <c r="O198" t="s">
        <v>571</v>
      </c>
      <c r="Q198" t="s">
        <v>471</v>
      </c>
      <c r="R198">
        <v>0</v>
      </c>
    </row>
    <row r="199" spans="1:18" x14ac:dyDescent="0.3">
      <c r="A199">
        <v>192147</v>
      </c>
      <c r="B199" t="s">
        <v>568</v>
      </c>
      <c r="C199" t="s">
        <v>711</v>
      </c>
      <c r="D199" t="s">
        <v>658</v>
      </c>
      <c r="E199" s="452">
        <v>46341</v>
      </c>
      <c r="F199" s="452">
        <v>46371</v>
      </c>
      <c r="G199" t="s">
        <v>280</v>
      </c>
      <c r="H199" t="s">
        <v>286</v>
      </c>
      <c r="I199" t="s">
        <v>712</v>
      </c>
      <c r="J199">
        <v>-389</v>
      </c>
      <c r="K199">
        <v>-389</v>
      </c>
      <c r="O199" t="s">
        <v>571</v>
      </c>
      <c r="Q199" t="s">
        <v>471</v>
      </c>
      <c r="R199">
        <v>0</v>
      </c>
    </row>
    <row r="200" spans="1:18" x14ac:dyDescent="0.3">
      <c r="A200">
        <v>191903</v>
      </c>
      <c r="B200" t="s">
        <v>568</v>
      </c>
      <c r="C200" t="s">
        <v>713</v>
      </c>
      <c r="D200" t="s">
        <v>658</v>
      </c>
      <c r="E200" s="452">
        <v>46338</v>
      </c>
      <c r="F200" s="452">
        <v>46350</v>
      </c>
      <c r="G200" t="s">
        <v>265</v>
      </c>
      <c r="H200" t="s">
        <v>267</v>
      </c>
      <c r="I200" t="s">
        <v>714</v>
      </c>
      <c r="J200">
        <v>-2100</v>
      </c>
      <c r="K200">
        <v>-2100</v>
      </c>
      <c r="O200" t="s">
        <v>571</v>
      </c>
      <c r="Q200" t="s">
        <v>471</v>
      </c>
      <c r="R200">
        <v>0</v>
      </c>
    </row>
    <row r="201" spans="1:18" x14ac:dyDescent="0.3">
      <c r="A201">
        <v>192816</v>
      </c>
      <c r="B201" t="s">
        <v>568</v>
      </c>
      <c r="C201" t="s">
        <v>715</v>
      </c>
      <c r="D201" t="s">
        <v>658</v>
      </c>
      <c r="E201" s="452">
        <v>46336</v>
      </c>
      <c r="F201" s="452">
        <v>46366</v>
      </c>
      <c r="G201" t="s">
        <v>319</v>
      </c>
      <c r="H201" t="s">
        <v>320</v>
      </c>
      <c r="I201" t="s">
        <v>716</v>
      </c>
      <c r="J201">
        <v>-285.56</v>
      </c>
      <c r="K201">
        <v>-285.56</v>
      </c>
      <c r="O201" t="s">
        <v>571</v>
      </c>
      <c r="Q201" t="s">
        <v>471</v>
      </c>
      <c r="R201">
        <v>0</v>
      </c>
    </row>
    <row r="202" spans="1:18" x14ac:dyDescent="0.3">
      <c r="A202">
        <v>191915</v>
      </c>
      <c r="B202" t="s">
        <v>568</v>
      </c>
      <c r="C202" t="s">
        <v>713</v>
      </c>
      <c r="D202" t="s">
        <v>658</v>
      </c>
      <c r="E202" s="452">
        <v>46334</v>
      </c>
      <c r="F202" s="452">
        <v>46350</v>
      </c>
      <c r="G202" t="s">
        <v>265</v>
      </c>
      <c r="H202" t="s">
        <v>267</v>
      </c>
      <c r="I202" t="s">
        <v>717</v>
      </c>
      <c r="J202">
        <v>-3100</v>
      </c>
      <c r="K202">
        <v>-3100</v>
      </c>
      <c r="O202" t="s">
        <v>571</v>
      </c>
      <c r="Q202" t="s">
        <v>471</v>
      </c>
      <c r="R202">
        <v>0</v>
      </c>
    </row>
    <row r="203" spans="1:18" x14ac:dyDescent="0.3">
      <c r="A203">
        <v>192922</v>
      </c>
      <c r="B203" t="s">
        <v>568</v>
      </c>
      <c r="C203" t="s">
        <v>671</v>
      </c>
      <c r="D203" t="s">
        <v>658</v>
      </c>
      <c r="E203" s="452">
        <v>46334</v>
      </c>
      <c r="F203" s="452">
        <v>46334</v>
      </c>
      <c r="G203" t="s">
        <v>672</v>
      </c>
      <c r="H203" t="s">
        <v>240</v>
      </c>
      <c r="I203" t="s">
        <v>674</v>
      </c>
      <c r="J203">
        <v>-300</v>
      </c>
      <c r="K203">
        <v>-300</v>
      </c>
      <c r="O203" t="s">
        <v>571</v>
      </c>
      <c r="Q203" t="s">
        <v>471</v>
      </c>
      <c r="R203">
        <v>0</v>
      </c>
    </row>
    <row r="204" spans="1:18" x14ac:dyDescent="0.3">
      <c r="A204">
        <v>223200</v>
      </c>
      <c r="B204" t="s">
        <v>568</v>
      </c>
      <c r="C204" t="s">
        <v>654</v>
      </c>
      <c r="D204" t="s">
        <v>776</v>
      </c>
      <c r="E204" s="452">
        <v>46334</v>
      </c>
      <c r="F204" s="452">
        <v>46356</v>
      </c>
      <c r="G204" t="s">
        <v>613</v>
      </c>
      <c r="H204" t="s">
        <v>369</v>
      </c>
      <c r="I204" t="s">
        <v>656</v>
      </c>
      <c r="J204">
        <v>-13662.94</v>
      </c>
      <c r="K204">
        <v>-13662.94</v>
      </c>
      <c r="O204" t="s">
        <v>571</v>
      </c>
      <c r="Q204" t="s">
        <v>471</v>
      </c>
      <c r="R204">
        <v>0</v>
      </c>
    </row>
    <row r="205" spans="1:18" x14ac:dyDescent="0.3">
      <c r="A205">
        <v>218682</v>
      </c>
      <c r="B205" t="s">
        <v>568</v>
      </c>
      <c r="C205" t="s">
        <v>606</v>
      </c>
      <c r="D205" t="s">
        <v>658</v>
      </c>
      <c r="E205" s="452">
        <v>46327</v>
      </c>
      <c r="F205" s="452">
        <v>46366</v>
      </c>
      <c r="G205" t="s">
        <v>683</v>
      </c>
      <c r="H205" t="s">
        <v>289</v>
      </c>
      <c r="I205" t="s">
        <v>722</v>
      </c>
      <c r="J205">
        <v>-499.04</v>
      </c>
      <c r="K205">
        <v>-499.04</v>
      </c>
      <c r="O205" t="s">
        <v>571</v>
      </c>
      <c r="Q205" t="s">
        <v>471</v>
      </c>
      <c r="R205">
        <v>0</v>
      </c>
    </row>
    <row r="206" spans="1:18" x14ac:dyDescent="0.3">
      <c r="A206">
        <v>227724</v>
      </c>
      <c r="B206" t="s">
        <v>568</v>
      </c>
      <c r="C206" t="s">
        <v>720</v>
      </c>
      <c r="D206" t="s">
        <v>658</v>
      </c>
      <c r="E206" s="452">
        <v>46327</v>
      </c>
      <c r="F206" s="452">
        <v>46361</v>
      </c>
      <c r="G206" t="s">
        <v>280</v>
      </c>
      <c r="H206" t="s">
        <v>287</v>
      </c>
      <c r="I206" t="s">
        <v>777</v>
      </c>
      <c r="J206">
        <v>-436.5</v>
      </c>
      <c r="K206">
        <v>-436.5</v>
      </c>
      <c r="O206" t="s">
        <v>571</v>
      </c>
      <c r="Q206" t="s">
        <v>471</v>
      </c>
      <c r="R206">
        <v>0</v>
      </c>
    </row>
    <row r="207" spans="1:18" x14ac:dyDescent="0.3">
      <c r="A207">
        <v>218698</v>
      </c>
      <c r="B207" t="s">
        <v>568</v>
      </c>
      <c r="C207" t="s">
        <v>606</v>
      </c>
      <c r="D207" t="s">
        <v>658</v>
      </c>
      <c r="E207" s="452">
        <v>46327</v>
      </c>
      <c r="F207" s="452">
        <v>46407</v>
      </c>
      <c r="G207" t="s">
        <v>257</v>
      </c>
      <c r="H207" t="s">
        <v>258</v>
      </c>
      <c r="I207" t="s">
        <v>719</v>
      </c>
      <c r="J207">
        <v>-9067.9500000000007</v>
      </c>
      <c r="K207">
        <v>-9067.9500000000007</v>
      </c>
      <c r="O207" t="s">
        <v>571</v>
      </c>
      <c r="Q207" t="s">
        <v>471</v>
      </c>
      <c r="R207">
        <v>0</v>
      </c>
    </row>
    <row r="208" spans="1:18" x14ac:dyDescent="0.3">
      <c r="A208">
        <v>193021</v>
      </c>
      <c r="B208" t="s">
        <v>568</v>
      </c>
      <c r="C208" t="s">
        <v>769</v>
      </c>
      <c r="D208" t="s">
        <v>658</v>
      </c>
      <c r="E208" s="452">
        <v>46327</v>
      </c>
      <c r="F208" s="452">
        <v>46361</v>
      </c>
      <c r="G208" t="s">
        <v>280</v>
      </c>
      <c r="H208" t="s">
        <v>283</v>
      </c>
      <c r="I208" t="s">
        <v>770</v>
      </c>
      <c r="J208">
        <v>-23.5</v>
      </c>
      <c r="K208">
        <v>-23.5</v>
      </c>
      <c r="O208" t="s">
        <v>571</v>
      </c>
      <c r="Q208" t="s">
        <v>471</v>
      </c>
      <c r="R208">
        <v>0</v>
      </c>
    </row>
    <row r="209" spans="1:18" x14ac:dyDescent="0.3">
      <c r="A209">
        <v>192347</v>
      </c>
      <c r="B209" t="s">
        <v>568</v>
      </c>
      <c r="C209" t="s">
        <v>742</v>
      </c>
      <c r="D209" t="s">
        <v>658</v>
      </c>
      <c r="E209" s="452">
        <v>46327</v>
      </c>
      <c r="F209" s="452">
        <v>46336</v>
      </c>
      <c r="G209" t="s">
        <v>280</v>
      </c>
      <c r="H209" t="s">
        <v>282</v>
      </c>
      <c r="I209" t="s">
        <v>743</v>
      </c>
      <c r="J209">
        <v>-249.9</v>
      </c>
      <c r="K209">
        <v>-249.9</v>
      </c>
      <c r="O209" t="s">
        <v>571</v>
      </c>
      <c r="Q209" t="s">
        <v>471</v>
      </c>
      <c r="R209">
        <v>0</v>
      </c>
    </row>
    <row r="210" spans="1:18" x14ac:dyDescent="0.3">
      <c r="A210">
        <v>204976</v>
      </c>
      <c r="B210" t="s">
        <v>568</v>
      </c>
      <c r="C210" t="s">
        <v>685</v>
      </c>
      <c r="D210" t="s">
        <v>658</v>
      </c>
      <c r="E210" s="452">
        <v>46327</v>
      </c>
      <c r="F210" s="452">
        <v>46354</v>
      </c>
      <c r="G210" t="s">
        <v>672</v>
      </c>
      <c r="H210" t="s">
        <v>243</v>
      </c>
      <c r="I210" t="s">
        <v>686</v>
      </c>
      <c r="J210">
        <v>-300</v>
      </c>
      <c r="K210">
        <v>-300</v>
      </c>
      <c r="O210" t="s">
        <v>571</v>
      </c>
      <c r="Q210" t="s">
        <v>471</v>
      </c>
      <c r="R210">
        <v>0</v>
      </c>
    </row>
    <row r="211" spans="1:18" x14ac:dyDescent="0.3">
      <c r="A211">
        <v>192996</v>
      </c>
      <c r="B211" t="s">
        <v>568</v>
      </c>
      <c r="C211" t="s">
        <v>763</v>
      </c>
      <c r="D211" t="s">
        <v>658</v>
      </c>
      <c r="E211" s="452">
        <v>46327</v>
      </c>
      <c r="F211" s="452">
        <v>46361</v>
      </c>
      <c r="G211" t="s">
        <v>297</v>
      </c>
      <c r="H211" t="s">
        <v>302</v>
      </c>
      <c r="I211" t="s">
        <v>764</v>
      </c>
      <c r="J211">
        <v>-900</v>
      </c>
      <c r="K211">
        <v>-900</v>
      </c>
      <c r="O211" t="s">
        <v>571</v>
      </c>
      <c r="Q211" t="s">
        <v>471</v>
      </c>
      <c r="R211">
        <v>0</v>
      </c>
    </row>
    <row r="212" spans="1:18" x14ac:dyDescent="0.3">
      <c r="A212">
        <v>196432</v>
      </c>
      <c r="B212" t="s">
        <v>568</v>
      </c>
      <c r="C212" t="s">
        <v>665</v>
      </c>
      <c r="D212" t="s">
        <v>658</v>
      </c>
      <c r="E212" s="452">
        <v>46327</v>
      </c>
      <c r="F212" s="452">
        <v>46362</v>
      </c>
      <c r="G212" t="s">
        <v>666</v>
      </c>
      <c r="H212" t="s">
        <v>667</v>
      </c>
      <c r="I212" t="s">
        <v>668</v>
      </c>
      <c r="J212">
        <v>-25000</v>
      </c>
      <c r="K212">
        <v>-25000</v>
      </c>
      <c r="O212" t="s">
        <v>571</v>
      </c>
      <c r="Q212" t="s">
        <v>471</v>
      </c>
      <c r="R212">
        <v>0</v>
      </c>
    </row>
    <row r="213" spans="1:18" x14ac:dyDescent="0.3">
      <c r="A213">
        <v>192110</v>
      </c>
      <c r="B213" t="s">
        <v>568</v>
      </c>
      <c r="C213" t="s">
        <v>767</v>
      </c>
      <c r="D213" t="s">
        <v>658</v>
      </c>
      <c r="E213" s="452">
        <v>46327</v>
      </c>
      <c r="F213" s="452">
        <v>46361</v>
      </c>
      <c r="G213" t="s">
        <v>309</v>
      </c>
      <c r="H213" t="s">
        <v>315</v>
      </c>
      <c r="I213" t="s">
        <v>768</v>
      </c>
      <c r="J213">
        <v>-940.94</v>
      </c>
      <c r="K213">
        <v>-940.94</v>
      </c>
      <c r="O213" t="s">
        <v>571</v>
      </c>
      <c r="Q213" t="s">
        <v>471</v>
      </c>
      <c r="R213">
        <v>0</v>
      </c>
    </row>
    <row r="214" spans="1:18" x14ac:dyDescent="0.3">
      <c r="A214">
        <v>192614</v>
      </c>
      <c r="B214" t="s">
        <v>568</v>
      </c>
      <c r="C214" t="s">
        <v>682</v>
      </c>
      <c r="D214" t="s">
        <v>658</v>
      </c>
      <c r="E214" s="452">
        <v>46327</v>
      </c>
      <c r="F214" s="452">
        <v>46346</v>
      </c>
      <c r="G214" t="s">
        <v>683</v>
      </c>
      <c r="H214" t="s">
        <v>289</v>
      </c>
      <c r="I214" t="s">
        <v>684</v>
      </c>
      <c r="J214">
        <v>-1500</v>
      </c>
      <c r="K214">
        <v>-1500</v>
      </c>
      <c r="O214" t="s">
        <v>571</v>
      </c>
      <c r="Q214" t="s">
        <v>471</v>
      </c>
      <c r="R214">
        <v>0</v>
      </c>
    </row>
    <row r="215" spans="1:18" x14ac:dyDescent="0.3">
      <c r="A215">
        <v>191831</v>
      </c>
      <c r="B215" t="s">
        <v>568</v>
      </c>
      <c r="C215" t="s">
        <v>765</v>
      </c>
      <c r="D215" t="s">
        <v>658</v>
      </c>
      <c r="E215" s="452">
        <v>46327</v>
      </c>
      <c r="F215" s="452">
        <v>46351</v>
      </c>
      <c r="G215" t="s">
        <v>265</v>
      </c>
      <c r="H215" t="s">
        <v>268</v>
      </c>
      <c r="I215" t="s">
        <v>766</v>
      </c>
      <c r="J215">
        <v>-5000</v>
      </c>
      <c r="K215">
        <v>-5000</v>
      </c>
      <c r="O215" t="s">
        <v>571</v>
      </c>
      <c r="Q215" t="s">
        <v>471</v>
      </c>
      <c r="R215">
        <v>0</v>
      </c>
    </row>
    <row r="216" spans="1:18" x14ac:dyDescent="0.3">
      <c r="A216">
        <v>192183</v>
      </c>
      <c r="B216" t="s">
        <v>568</v>
      </c>
      <c r="C216" t="s">
        <v>773</v>
      </c>
      <c r="D216" t="s">
        <v>658</v>
      </c>
      <c r="E216" s="452">
        <v>46327</v>
      </c>
      <c r="F216" s="452">
        <v>46346</v>
      </c>
      <c r="G216" t="s">
        <v>265</v>
      </c>
      <c r="H216" t="s">
        <v>271</v>
      </c>
      <c r="I216" t="s">
        <v>774</v>
      </c>
      <c r="J216">
        <v>-550</v>
      </c>
      <c r="K216">
        <v>-550</v>
      </c>
      <c r="O216" t="s">
        <v>571</v>
      </c>
      <c r="Q216" t="s">
        <v>471</v>
      </c>
      <c r="R216">
        <v>0</v>
      </c>
    </row>
    <row r="217" spans="1:18" x14ac:dyDescent="0.3">
      <c r="A217">
        <v>199995</v>
      </c>
      <c r="B217" t="s">
        <v>568</v>
      </c>
      <c r="C217" t="s">
        <v>771</v>
      </c>
      <c r="D217" t="s">
        <v>658</v>
      </c>
      <c r="E217" s="452">
        <v>46327</v>
      </c>
      <c r="F217" s="452">
        <v>46371</v>
      </c>
      <c r="G217" t="s">
        <v>677</v>
      </c>
      <c r="H217" t="s">
        <v>678</v>
      </c>
      <c r="I217" t="s">
        <v>745</v>
      </c>
      <c r="J217">
        <v>-1750</v>
      </c>
      <c r="K217">
        <v>-1750</v>
      </c>
      <c r="M217" t="s">
        <v>772</v>
      </c>
      <c r="N217" t="s">
        <v>135</v>
      </c>
      <c r="O217" t="s">
        <v>571</v>
      </c>
      <c r="Q217" t="s">
        <v>471</v>
      </c>
      <c r="R217">
        <v>0</v>
      </c>
    </row>
    <row r="218" spans="1:18" x14ac:dyDescent="0.3">
      <c r="A218">
        <v>199348</v>
      </c>
      <c r="B218" t="s">
        <v>568</v>
      </c>
      <c r="C218" t="s">
        <v>753</v>
      </c>
      <c r="D218" t="s">
        <v>658</v>
      </c>
      <c r="E218" s="452">
        <v>46327</v>
      </c>
      <c r="F218" s="452">
        <v>46371</v>
      </c>
      <c r="G218" t="s">
        <v>677</v>
      </c>
      <c r="H218" t="s">
        <v>678</v>
      </c>
      <c r="I218" t="s">
        <v>754</v>
      </c>
      <c r="J218">
        <v>-8000</v>
      </c>
      <c r="K218">
        <v>-8000</v>
      </c>
      <c r="M218" t="s">
        <v>755</v>
      </c>
      <c r="N218" t="s">
        <v>132</v>
      </c>
      <c r="O218" t="s">
        <v>571</v>
      </c>
      <c r="Q218" t="s">
        <v>471</v>
      </c>
      <c r="R218">
        <v>0</v>
      </c>
    </row>
    <row r="219" spans="1:18" x14ac:dyDescent="0.3">
      <c r="A219">
        <v>192496</v>
      </c>
      <c r="B219" t="s">
        <v>568</v>
      </c>
      <c r="C219" t="s">
        <v>778</v>
      </c>
      <c r="D219" t="s">
        <v>658</v>
      </c>
      <c r="E219" s="452">
        <v>46327</v>
      </c>
      <c r="F219" s="452">
        <v>46346</v>
      </c>
      <c r="G219" t="s">
        <v>309</v>
      </c>
      <c r="H219" t="s">
        <v>313</v>
      </c>
      <c r="I219" t="s">
        <v>779</v>
      </c>
      <c r="J219">
        <v>-185</v>
      </c>
      <c r="K219">
        <v>-185</v>
      </c>
      <c r="O219" t="s">
        <v>571</v>
      </c>
      <c r="Q219" t="s">
        <v>471</v>
      </c>
      <c r="R219">
        <v>0</v>
      </c>
    </row>
    <row r="220" spans="1:18" x14ac:dyDescent="0.3">
      <c r="A220">
        <v>99350</v>
      </c>
      <c r="B220" t="s">
        <v>568</v>
      </c>
      <c r="C220" t="s">
        <v>569</v>
      </c>
      <c r="E220" s="452">
        <v>46327</v>
      </c>
      <c r="F220" s="452">
        <v>46336</v>
      </c>
      <c r="G220" t="s">
        <v>257</v>
      </c>
      <c r="H220" t="s">
        <v>263</v>
      </c>
      <c r="I220" t="s">
        <v>570</v>
      </c>
      <c r="J220">
        <v>-12000</v>
      </c>
      <c r="K220">
        <v>-12000</v>
      </c>
      <c r="O220" t="s">
        <v>571</v>
      </c>
      <c r="Q220" t="s">
        <v>471</v>
      </c>
      <c r="R220">
        <v>0</v>
      </c>
    </row>
    <row r="221" spans="1:18" x14ac:dyDescent="0.3">
      <c r="A221">
        <v>191819</v>
      </c>
      <c r="B221" t="s">
        <v>568</v>
      </c>
      <c r="C221" t="s">
        <v>740</v>
      </c>
      <c r="D221" t="s">
        <v>658</v>
      </c>
      <c r="E221" s="452">
        <v>46327</v>
      </c>
      <c r="F221" s="452">
        <v>46351</v>
      </c>
      <c r="G221" t="s">
        <v>265</v>
      </c>
      <c r="H221" t="s">
        <v>266</v>
      </c>
      <c r="I221" t="s">
        <v>741</v>
      </c>
      <c r="J221">
        <v>-9000</v>
      </c>
      <c r="K221">
        <v>-9000</v>
      </c>
      <c r="O221" t="s">
        <v>571</v>
      </c>
      <c r="Q221" t="s">
        <v>471</v>
      </c>
      <c r="R221">
        <v>0</v>
      </c>
    </row>
    <row r="222" spans="1:18" x14ac:dyDescent="0.3">
      <c r="A222">
        <v>191975</v>
      </c>
      <c r="B222" t="s">
        <v>568</v>
      </c>
      <c r="C222" t="s">
        <v>727</v>
      </c>
      <c r="D222" t="s">
        <v>658</v>
      </c>
      <c r="E222" s="452">
        <v>46327</v>
      </c>
      <c r="F222" s="452">
        <v>46346</v>
      </c>
      <c r="G222" t="s">
        <v>265</v>
      </c>
      <c r="H222" t="s">
        <v>272</v>
      </c>
      <c r="I222" t="s">
        <v>728</v>
      </c>
      <c r="J222">
        <v>-1000</v>
      </c>
      <c r="K222">
        <v>-1000</v>
      </c>
      <c r="O222" t="s">
        <v>571</v>
      </c>
      <c r="Q222" t="s">
        <v>471</v>
      </c>
      <c r="R222">
        <v>0</v>
      </c>
    </row>
    <row r="223" spans="1:18" x14ac:dyDescent="0.3">
      <c r="A223">
        <v>193421</v>
      </c>
      <c r="B223" t="s">
        <v>568</v>
      </c>
      <c r="C223" t="s">
        <v>723</v>
      </c>
      <c r="D223" t="s">
        <v>658</v>
      </c>
      <c r="E223" s="452">
        <v>46327</v>
      </c>
      <c r="F223" s="452">
        <v>46344</v>
      </c>
      <c r="G223" t="s">
        <v>724</v>
      </c>
      <c r="H223" t="s">
        <v>725</v>
      </c>
      <c r="I223" t="s">
        <v>726</v>
      </c>
      <c r="J223">
        <v>-400</v>
      </c>
      <c r="K223">
        <v>-400</v>
      </c>
      <c r="O223" t="s">
        <v>571</v>
      </c>
      <c r="Q223" t="s">
        <v>471</v>
      </c>
      <c r="R223">
        <v>0</v>
      </c>
    </row>
    <row r="224" spans="1:18" x14ac:dyDescent="0.3">
      <c r="A224">
        <v>192323</v>
      </c>
      <c r="B224" t="s">
        <v>568</v>
      </c>
      <c r="C224" t="s">
        <v>749</v>
      </c>
      <c r="D224" t="s">
        <v>658</v>
      </c>
      <c r="E224" s="452">
        <v>46327</v>
      </c>
      <c r="F224" s="452">
        <v>46359</v>
      </c>
      <c r="G224" t="s">
        <v>297</v>
      </c>
      <c r="H224" t="s">
        <v>298</v>
      </c>
      <c r="I224" t="s">
        <v>750</v>
      </c>
      <c r="J224">
        <v>-3000</v>
      </c>
      <c r="K224">
        <v>-3000</v>
      </c>
      <c r="M224" t="s">
        <v>751</v>
      </c>
      <c r="N224" t="s">
        <v>752</v>
      </c>
      <c r="O224" t="s">
        <v>571</v>
      </c>
      <c r="Q224" t="s">
        <v>471</v>
      </c>
      <c r="R224">
        <v>0</v>
      </c>
    </row>
    <row r="225" spans="1:18" x14ac:dyDescent="0.3">
      <c r="A225">
        <v>196084</v>
      </c>
      <c r="B225" t="s">
        <v>568</v>
      </c>
      <c r="C225" t="s">
        <v>671</v>
      </c>
      <c r="D225" t="s">
        <v>658</v>
      </c>
      <c r="E225" s="452">
        <v>46327</v>
      </c>
      <c r="F225" s="452">
        <v>46321</v>
      </c>
      <c r="G225" t="s">
        <v>672</v>
      </c>
      <c r="H225" t="s">
        <v>240</v>
      </c>
      <c r="I225" t="s">
        <v>687</v>
      </c>
      <c r="J225">
        <v>-800</v>
      </c>
      <c r="K225">
        <v>-800</v>
      </c>
      <c r="O225" t="s">
        <v>571</v>
      </c>
      <c r="Q225" t="s">
        <v>471</v>
      </c>
      <c r="R225">
        <v>0</v>
      </c>
    </row>
    <row r="226" spans="1:18" x14ac:dyDescent="0.3">
      <c r="A226">
        <v>191743</v>
      </c>
      <c r="B226" t="s">
        <v>568</v>
      </c>
      <c r="C226" t="s">
        <v>735</v>
      </c>
      <c r="D226" t="s">
        <v>658</v>
      </c>
      <c r="E226" s="452">
        <v>46327</v>
      </c>
      <c r="F226" s="452">
        <v>46341</v>
      </c>
      <c r="G226" t="s">
        <v>309</v>
      </c>
      <c r="H226" t="s">
        <v>310</v>
      </c>
      <c r="I226" t="s">
        <v>736</v>
      </c>
      <c r="J226">
        <v>-2317.0300000000002</v>
      </c>
      <c r="K226">
        <v>-2317.0300000000002</v>
      </c>
      <c r="O226" t="s">
        <v>571</v>
      </c>
      <c r="Q226" t="s">
        <v>471</v>
      </c>
      <c r="R226">
        <v>0</v>
      </c>
    </row>
    <row r="227" spans="1:18" x14ac:dyDescent="0.3">
      <c r="A227">
        <v>192380</v>
      </c>
      <c r="B227" t="s">
        <v>568</v>
      </c>
      <c r="C227" t="s">
        <v>733</v>
      </c>
      <c r="D227" t="s">
        <v>658</v>
      </c>
      <c r="E227" s="452">
        <v>46327</v>
      </c>
      <c r="F227" s="452">
        <v>46368</v>
      </c>
      <c r="G227" t="s">
        <v>297</v>
      </c>
      <c r="H227" t="s">
        <v>299</v>
      </c>
      <c r="I227" t="s">
        <v>734</v>
      </c>
      <c r="J227">
        <v>-500</v>
      </c>
      <c r="K227">
        <v>-500</v>
      </c>
      <c r="O227" t="s">
        <v>571</v>
      </c>
      <c r="Q227" t="s">
        <v>471</v>
      </c>
      <c r="R227">
        <v>0</v>
      </c>
    </row>
    <row r="228" spans="1:18" x14ac:dyDescent="0.3">
      <c r="A228">
        <v>197938</v>
      </c>
      <c r="B228" t="s">
        <v>568</v>
      </c>
      <c r="C228" t="s">
        <v>688</v>
      </c>
      <c r="D228" t="s">
        <v>658</v>
      </c>
      <c r="E228" s="452">
        <v>46327</v>
      </c>
      <c r="F228" s="452">
        <v>46346</v>
      </c>
      <c r="G228" t="s">
        <v>666</v>
      </c>
      <c r="H228" t="s">
        <v>667</v>
      </c>
      <c r="I228" t="s">
        <v>689</v>
      </c>
      <c r="J228">
        <v>-2656</v>
      </c>
      <c r="K228">
        <v>-2656</v>
      </c>
      <c r="O228" t="s">
        <v>571</v>
      </c>
      <c r="Q228" t="s">
        <v>471</v>
      </c>
      <c r="R228">
        <v>0</v>
      </c>
    </row>
    <row r="229" spans="1:18" x14ac:dyDescent="0.3">
      <c r="A229">
        <v>192084</v>
      </c>
      <c r="B229" t="s">
        <v>568</v>
      </c>
      <c r="C229" t="s">
        <v>731</v>
      </c>
      <c r="D229" t="s">
        <v>658</v>
      </c>
      <c r="E229" s="452">
        <v>46327</v>
      </c>
      <c r="F229" s="452">
        <v>46341</v>
      </c>
      <c r="G229" t="s">
        <v>319</v>
      </c>
      <c r="H229" t="s">
        <v>321</v>
      </c>
      <c r="I229" t="s">
        <v>732</v>
      </c>
      <c r="J229">
        <v>-150</v>
      </c>
      <c r="K229">
        <v>-150</v>
      </c>
      <c r="O229" t="s">
        <v>571</v>
      </c>
      <c r="Q229" t="s">
        <v>471</v>
      </c>
      <c r="R229">
        <v>0</v>
      </c>
    </row>
    <row r="230" spans="1:18" x14ac:dyDescent="0.3">
      <c r="A230">
        <v>192125</v>
      </c>
      <c r="B230" t="s">
        <v>568</v>
      </c>
      <c r="C230" t="s">
        <v>761</v>
      </c>
      <c r="D230" t="s">
        <v>658</v>
      </c>
      <c r="E230" s="452">
        <v>46327</v>
      </c>
      <c r="F230" s="452">
        <v>46346</v>
      </c>
      <c r="G230" t="s">
        <v>309</v>
      </c>
      <c r="H230" t="s">
        <v>312</v>
      </c>
      <c r="I230" t="s">
        <v>762</v>
      </c>
      <c r="J230">
        <v>-300</v>
      </c>
      <c r="K230">
        <v>-300</v>
      </c>
      <c r="O230" t="s">
        <v>571</v>
      </c>
      <c r="Q230" t="s">
        <v>471</v>
      </c>
      <c r="R230">
        <v>0</v>
      </c>
    </row>
    <row r="231" spans="1:18" x14ac:dyDescent="0.3">
      <c r="A231">
        <v>199983</v>
      </c>
      <c r="B231" t="s">
        <v>568</v>
      </c>
      <c r="C231" t="s">
        <v>747</v>
      </c>
      <c r="D231" t="s">
        <v>658</v>
      </c>
      <c r="E231" s="452">
        <v>46327</v>
      </c>
      <c r="F231" s="452">
        <v>46371</v>
      </c>
      <c r="G231" t="s">
        <v>677</v>
      </c>
      <c r="H231" t="s">
        <v>678</v>
      </c>
      <c r="I231" t="s">
        <v>745</v>
      </c>
      <c r="J231">
        <v>-600</v>
      </c>
      <c r="K231">
        <v>-600</v>
      </c>
      <c r="M231" t="s">
        <v>748</v>
      </c>
      <c r="N231" t="s">
        <v>75</v>
      </c>
      <c r="O231" t="s">
        <v>571</v>
      </c>
      <c r="Q231" t="s">
        <v>471</v>
      </c>
      <c r="R231">
        <v>0</v>
      </c>
    </row>
    <row r="232" spans="1:18" x14ac:dyDescent="0.3">
      <c r="A232">
        <v>192908</v>
      </c>
      <c r="B232" t="s">
        <v>568</v>
      </c>
      <c r="C232" t="s">
        <v>671</v>
      </c>
      <c r="D232" t="s">
        <v>658</v>
      </c>
      <c r="E232" s="452">
        <v>46327</v>
      </c>
      <c r="F232" s="452">
        <v>46327</v>
      </c>
      <c r="G232" t="s">
        <v>672</v>
      </c>
      <c r="H232" t="s">
        <v>240</v>
      </c>
      <c r="I232" t="s">
        <v>681</v>
      </c>
      <c r="J232">
        <v>-300</v>
      </c>
      <c r="K232">
        <v>-300</v>
      </c>
      <c r="O232" t="s">
        <v>571</v>
      </c>
      <c r="Q232" t="s">
        <v>471</v>
      </c>
      <c r="R232">
        <v>0</v>
      </c>
    </row>
    <row r="233" spans="1:18" x14ac:dyDescent="0.3">
      <c r="A233">
        <v>192864</v>
      </c>
      <c r="B233" t="s">
        <v>568</v>
      </c>
      <c r="C233" t="s">
        <v>662</v>
      </c>
      <c r="D233" t="s">
        <v>658</v>
      </c>
      <c r="E233" s="452">
        <v>46327</v>
      </c>
      <c r="F233" s="452">
        <v>46346</v>
      </c>
      <c r="G233" t="s">
        <v>280</v>
      </c>
      <c r="H233" t="s">
        <v>284</v>
      </c>
      <c r="I233" t="s">
        <v>663</v>
      </c>
      <c r="J233">
        <v>-181.27</v>
      </c>
      <c r="K233">
        <v>-181.27</v>
      </c>
      <c r="O233" t="s">
        <v>571</v>
      </c>
      <c r="Q233" t="s">
        <v>471</v>
      </c>
      <c r="R233">
        <v>0</v>
      </c>
    </row>
    <row r="234" spans="1:18" x14ac:dyDescent="0.3">
      <c r="A234">
        <v>197951</v>
      </c>
      <c r="B234" t="s">
        <v>568</v>
      </c>
      <c r="C234" t="s">
        <v>688</v>
      </c>
      <c r="D234" t="s">
        <v>658</v>
      </c>
      <c r="E234" s="452">
        <v>46327</v>
      </c>
      <c r="F234" s="452">
        <v>46366</v>
      </c>
      <c r="G234" t="s">
        <v>666</v>
      </c>
      <c r="H234" t="s">
        <v>667</v>
      </c>
      <c r="I234" t="s">
        <v>738</v>
      </c>
      <c r="J234">
        <v>-2656</v>
      </c>
      <c r="K234">
        <v>-2656</v>
      </c>
      <c r="O234" t="s">
        <v>571</v>
      </c>
      <c r="Q234" t="s">
        <v>471</v>
      </c>
      <c r="R234">
        <v>0</v>
      </c>
    </row>
    <row r="235" spans="1:18" x14ac:dyDescent="0.3">
      <c r="A235">
        <v>200008</v>
      </c>
      <c r="B235" t="s">
        <v>568</v>
      </c>
      <c r="C235" t="s">
        <v>759</v>
      </c>
      <c r="D235" t="s">
        <v>658</v>
      </c>
      <c r="E235" s="452">
        <v>46327</v>
      </c>
      <c r="F235" s="452">
        <v>46365</v>
      </c>
      <c r="G235" t="s">
        <v>677</v>
      </c>
      <c r="H235" t="s">
        <v>678</v>
      </c>
      <c r="I235" t="s">
        <v>745</v>
      </c>
      <c r="J235">
        <v>-1125</v>
      </c>
      <c r="K235">
        <v>-1125</v>
      </c>
      <c r="M235" t="s">
        <v>760</v>
      </c>
      <c r="N235" t="s">
        <v>131</v>
      </c>
      <c r="O235" t="s">
        <v>571</v>
      </c>
      <c r="Q235" t="s">
        <v>471</v>
      </c>
      <c r="R235">
        <v>0</v>
      </c>
    </row>
    <row r="236" spans="1:18" x14ac:dyDescent="0.3">
      <c r="A236">
        <v>196682</v>
      </c>
      <c r="B236" t="s">
        <v>568</v>
      </c>
      <c r="C236" t="s">
        <v>665</v>
      </c>
      <c r="D236" t="s">
        <v>658</v>
      </c>
      <c r="E236" s="452">
        <v>46327</v>
      </c>
      <c r="F236" s="452">
        <v>46346</v>
      </c>
      <c r="G236" t="s">
        <v>666</v>
      </c>
      <c r="H236" t="s">
        <v>667</v>
      </c>
      <c r="I236" t="s">
        <v>756</v>
      </c>
      <c r="J236">
        <v>-5000</v>
      </c>
      <c r="K236">
        <v>-5000</v>
      </c>
      <c r="O236" t="s">
        <v>571</v>
      </c>
      <c r="Q236" t="s">
        <v>471</v>
      </c>
      <c r="R236">
        <v>0</v>
      </c>
    </row>
    <row r="237" spans="1:18" x14ac:dyDescent="0.3">
      <c r="A237">
        <v>199955</v>
      </c>
      <c r="B237" t="s">
        <v>568</v>
      </c>
      <c r="C237" t="s">
        <v>676</v>
      </c>
      <c r="D237" t="s">
        <v>658</v>
      </c>
      <c r="E237" s="452">
        <v>46327</v>
      </c>
      <c r="F237" s="452">
        <v>46357</v>
      </c>
      <c r="G237" t="s">
        <v>677</v>
      </c>
      <c r="H237" t="s">
        <v>678</v>
      </c>
      <c r="I237" t="s">
        <v>745</v>
      </c>
      <c r="J237">
        <v>-1350</v>
      </c>
      <c r="K237">
        <v>-1350</v>
      </c>
      <c r="M237" t="s">
        <v>680</v>
      </c>
      <c r="N237" t="s">
        <v>134</v>
      </c>
      <c r="O237" t="s">
        <v>571</v>
      </c>
      <c r="Q237" t="s">
        <v>471</v>
      </c>
      <c r="R237">
        <v>0</v>
      </c>
    </row>
    <row r="238" spans="1:18" x14ac:dyDescent="0.3">
      <c r="A238">
        <v>192826</v>
      </c>
      <c r="B238" t="s">
        <v>568</v>
      </c>
      <c r="C238" t="s">
        <v>757</v>
      </c>
      <c r="D238" t="s">
        <v>658</v>
      </c>
      <c r="E238" s="452">
        <v>46327</v>
      </c>
      <c r="F238" s="452">
        <v>46341</v>
      </c>
      <c r="G238" t="s">
        <v>309</v>
      </c>
      <c r="H238" t="s">
        <v>317</v>
      </c>
      <c r="I238" t="s">
        <v>758</v>
      </c>
      <c r="J238">
        <v>-350</v>
      </c>
      <c r="K238">
        <v>-350</v>
      </c>
      <c r="O238" t="s">
        <v>571</v>
      </c>
      <c r="Q238" t="s">
        <v>471</v>
      </c>
      <c r="R238">
        <v>0</v>
      </c>
    </row>
    <row r="239" spans="1:18" x14ac:dyDescent="0.3">
      <c r="A239">
        <v>196072</v>
      </c>
      <c r="B239" t="s">
        <v>568</v>
      </c>
      <c r="C239" t="s">
        <v>671</v>
      </c>
      <c r="D239" t="s">
        <v>658</v>
      </c>
      <c r="E239" s="452">
        <v>46327</v>
      </c>
      <c r="F239" s="452">
        <v>46323</v>
      </c>
      <c r="G239" t="s">
        <v>672</v>
      </c>
      <c r="H239" t="s">
        <v>240</v>
      </c>
      <c r="I239" t="s">
        <v>691</v>
      </c>
      <c r="J239">
        <v>-2500</v>
      </c>
      <c r="K239">
        <v>-2500</v>
      </c>
      <c r="O239" t="s">
        <v>571</v>
      </c>
      <c r="Q239" t="s">
        <v>471</v>
      </c>
      <c r="R239">
        <v>0</v>
      </c>
    </row>
    <row r="240" spans="1:18" x14ac:dyDescent="0.3">
      <c r="A240">
        <v>213330</v>
      </c>
      <c r="B240" t="s">
        <v>568</v>
      </c>
      <c r="C240" t="s">
        <v>676</v>
      </c>
      <c r="D240" t="s">
        <v>658</v>
      </c>
      <c r="E240" s="452">
        <v>46327</v>
      </c>
      <c r="F240" s="452">
        <v>46371</v>
      </c>
      <c r="G240" t="s">
        <v>677</v>
      </c>
      <c r="H240" t="s">
        <v>678</v>
      </c>
      <c r="I240" t="s">
        <v>679</v>
      </c>
      <c r="J240">
        <v>-1350</v>
      </c>
      <c r="K240">
        <v>-1350</v>
      </c>
      <c r="M240" t="s">
        <v>680</v>
      </c>
      <c r="N240" t="s">
        <v>134</v>
      </c>
      <c r="O240" t="s">
        <v>571</v>
      </c>
      <c r="Q240" t="s">
        <v>471</v>
      </c>
      <c r="R240">
        <v>0</v>
      </c>
    </row>
    <row r="241" spans="1:18" x14ac:dyDescent="0.3">
      <c r="A241">
        <v>175532</v>
      </c>
      <c r="B241" t="s">
        <v>568</v>
      </c>
      <c r="C241" t="s">
        <v>606</v>
      </c>
      <c r="D241" t="s">
        <v>780</v>
      </c>
      <c r="E241" s="452">
        <v>46327</v>
      </c>
      <c r="F241" s="452">
        <v>46328</v>
      </c>
      <c r="G241" t="s">
        <v>613</v>
      </c>
      <c r="H241" t="s">
        <v>369</v>
      </c>
      <c r="I241" t="s">
        <v>614</v>
      </c>
      <c r="J241">
        <v>-5792.21</v>
      </c>
      <c r="K241">
        <v>-5792.21</v>
      </c>
      <c r="O241" t="s">
        <v>571</v>
      </c>
      <c r="Q241" t="s">
        <v>471</v>
      </c>
      <c r="R241">
        <v>0</v>
      </c>
    </row>
    <row r="242" spans="1:18" x14ac:dyDescent="0.3">
      <c r="A242">
        <v>191867</v>
      </c>
      <c r="B242" t="s">
        <v>568</v>
      </c>
      <c r="C242" t="s">
        <v>708</v>
      </c>
      <c r="D242" t="s">
        <v>658</v>
      </c>
      <c r="E242" s="452">
        <v>46327</v>
      </c>
      <c r="F242" s="452">
        <v>46346</v>
      </c>
      <c r="G242" t="s">
        <v>280</v>
      </c>
      <c r="H242" t="s">
        <v>283</v>
      </c>
      <c r="I242" t="s">
        <v>737</v>
      </c>
      <c r="J242">
        <v>-400</v>
      </c>
      <c r="K242">
        <v>-400</v>
      </c>
      <c r="O242" t="s">
        <v>571</v>
      </c>
      <c r="Q242" t="s">
        <v>471</v>
      </c>
      <c r="R242">
        <v>0</v>
      </c>
    </row>
    <row r="243" spans="1:18" x14ac:dyDescent="0.3">
      <c r="A243">
        <v>199361</v>
      </c>
      <c r="B243" t="s">
        <v>568</v>
      </c>
      <c r="C243" t="s">
        <v>744</v>
      </c>
      <c r="D243" t="s">
        <v>658</v>
      </c>
      <c r="E243" s="452">
        <v>46327</v>
      </c>
      <c r="F243" s="452">
        <v>46365</v>
      </c>
      <c r="G243" t="s">
        <v>677</v>
      </c>
      <c r="H243" t="s">
        <v>678</v>
      </c>
      <c r="I243" t="s">
        <v>745</v>
      </c>
      <c r="J243">
        <v>-1500</v>
      </c>
      <c r="K243">
        <v>-1500</v>
      </c>
      <c r="M243" t="s">
        <v>746</v>
      </c>
      <c r="N243" t="s">
        <v>131</v>
      </c>
      <c r="O243" t="s">
        <v>571</v>
      </c>
      <c r="Q243" t="s">
        <v>471</v>
      </c>
      <c r="R243">
        <v>0</v>
      </c>
    </row>
    <row r="244" spans="1:18" x14ac:dyDescent="0.3">
      <c r="A244">
        <v>175489</v>
      </c>
      <c r="B244" t="s">
        <v>568</v>
      </c>
      <c r="C244" t="s">
        <v>606</v>
      </c>
      <c r="E244" s="452">
        <v>46327</v>
      </c>
      <c r="F244" s="452">
        <v>46357</v>
      </c>
      <c r="G244" t="s">
        <v>257</v>
      </c>
      <c r="H244" t="s">
        <v>258</v>
      </c>
      <c r="I244" t="s">
        <v>607</v>
      </c>
      <c r="J244">
        <v>-34700</v>
      </c>
      <c r="K244">
        <v>-34700</v>
      </c>
      <c r="O244" t="s">
        <v>571</v>
      </c>
      <c r="Q244" t="s">
        <v>471</v>
      </c>
      <c r="R244">
        <v>0</v>
      </c>
    </row>
    <row r="245" spans="1:18" x14ac:dyDescent="0.3">
      <c r="A245">
        <v>208301</v>
      </c>
      <c r="B245" t="s">
        <v>568</v>
      </c>
      <c r="C245" t="s">
        <v>430</v>
      </c>
      <c r="D245" t="s">
        <v>658</v>
      </c>
      <c r="E245" s="452">
        <v>46325</v>
      </c>
      <c r="F245" s="452">
        <v>46346</v>
      </c>
      <c r="G245" t="s">
        <v>697</v>
      </c>
      <c r="H245" t="s">
        <v>207</v>
      </c>
      <c r="J245">
        <v>-2100</v>
      </c>
      <c r="K245">
        <v>-2100</v>
      </c>
      <c r="O245" t="s">
        <v>571</v>
      </c>
      <c r="Q245" t="s">
        <v>470</v>
      </c>
      <c r="R245">
        <v>0</v>
      </c>
    </row>
    <row r="246" spans="1:18" x14ac:dyDescent="0.3">
      <c r="A246">
        <v>208521</v>
      </c>
      <c r="B246" t="s">
        <v>568</v>
      </c>
      <c r="C246" t="s">
        <v>699</v>
      </c>
      <c r="D246" t="s">
        <v>658</v>
      </c>
      <c r="E246" s="452">
        <v>46325</v>
      </c>
      <c r="F246" s="452">
        <v>46346</v>
      </c>
      <c r="G246" t="s">
        <v>697</v>
      </c>
      <c r="H246" t="s">
        <v>700</v>
      </c>
      <c r="J246">
        <v>-1300</v>
      </c>
      <c r="K246">
        <v>-1300</v>
      </c>
      <c r="O246" t="s">
        <v>571</v>
      </c>
      <c r="Q246" t="s">
        <v>470</v>
      </c>
      <c r="R246">
        <v>0</v>
      </c>
    </row>
    <row r="247" spans="1:18" x14ac:dyDescent="0.3">
      <c r="A247">
        <v>190630</v>
      </c>
      <c r="B247" t="s">
        <v>568</v>
      </c>
      <c r="C247" t="s">
        <v>50</v>
      </c>
      <c r="D247" t="s">
        <v>658</v>
      </c>
      <c r="E247" s="452">
        <v>46325</v>
      </c>
      <c r="F247" s="452">
        <v>46346</v>
      </c>
      <c r="G247" t="s">
        <v>694</v>
      </c>
      <c r="H247" t="s">
        <v>50</v>
      </c>
      <c r="I247" t="s">
        <v>695</v>
      </c>
      <c r="J247">
        <v>-15000</v>
      </c>
      <c r="K247">
        <v>-15000</v>
      </c>
      <c r="O247" t="s">
        <v>571</v>
      </c>
      <c r="Q247" t="s">
        <v>470</v>
      </c>
      <c r="R247">
        <v>0</v>
      </c>
    </row>
    <row r="248" spans="1:18" x14ac:dyDescent="0.3">
      <c r="A248">
        <v>192891</v>
      </c>
      <c r="B248" t="s">
        <v>568</v>
      </c>
      <c r="C248" t="s">
        <v>692</v>
      </c>
      <c r="D248" t="s">
        <v>658</v>
      </c>
      <c r="E248" s="452">
        <v>46325</v>
      </c>
      <c r="F248" s="452">
        <v>46331</v>
      </c>
      <c r="G248" t="s">
        <v>309</v>
      </c>
      <c r="H248" t="s">
        <v>317</v>
      </c>
      <c r="I248" t="s">
        <v>693</v>
      </c>
      <c r="J248">
        <v>-1500</v>
      </c>
      <c r="K248">
        <v>-1500</v>
      </c>
      <c r="O248" t="s">
        <v>571</v>
      </c>
      <c r="Q248" t="s">
        <v>470</v>
      </c>
      <c r="R248">
        <v>0</v>
      </c>
    </row>
    <row r="249" spans="1:18" x14ac:dyDescent="0.3">
      <c r="A249">
        <v>197360</v>
      </c>
      <c r="B249" t="s">
        <v>568</v>
      </c>
      <c r="C249" t="s">
        <v>699</v>
      </c>
      <c r="D249" t="s">
        <v>658</v>
      </c>
      <c r="E249" s="452">
        <v>46325</v>
      </c>
      <c r="F249" s="452">
        <v>46346</v>
      </c>
      <c r="G249" t="s">
        <v>309</v>
      </c>
      <c r="H249" t="s">
        <v>310</v>
      </c>
      <c r="I249" t="s">
        <v>701</v>
      </c>
      <c r="J249">
        <v>-100</v>
      </c>
      <c r="K249">
        <v>-100</v>
      </c>
      <c r="O249" t="s">
        <v>571</v>
      </c>
      <c r="Q249" t="s">
        <v>470</v>
      </c>
      <c r="R249">
        <v>0</v>
      </c>
    </row>
    <row r="250" spans="1:18" x14ac:dyDescent="0.3">
      <c r="A250">
        <v>202404</v>
      </c>
      <c r="B250" t="s">
        <v>568</v>
      </c>
      <c r="C250" t="s">
        <v>696</v>
      </c>
      <c r="D250" t="s">
        <v>658</v>
      </c>
      <c r="E250" s="452">
        <v>46325</v>
      </c>
      <c r="F250" s="452">
        <v>46335</v>
      </c>
      <c r="G250" t="s">
        <v>672</v>
      </c>
      <c r="H250" t="s">
        <v>248</v>
      </c>
      <c r="J250">
        <v>-54.5</v>
      </c>
      <c r="K250">
        <v>-54.5</v>
      </c>
      <c r="O250" t="s">
        <v>571</v>
      </c>
      <c r="Q250" t="s">
        <v>470</v>
      </c>
      <c r="R250">
        <v>0</v>
      </c>
    </row>
    <row r="251" spans="1:18" x14ac:dyDescent="0.3">
      <c r="A251">
        <v>207042</v>
      </c>
      <c r="B251" t="s">
        <v>568</v>
      </c>
      <c r="C251" t="s">
        <v>431</v>
      </c>
      <c r="D251" t="s">
        <v>658</v>
      </c>
      <c r="E251" s="452">
        <v>46325</v>
      </c>
      <c r="F251" s="452">
        <v>46346</v>
      </c>
      <c r="G251" t="s">
        <v>697</v>
      </c>
      <c r="H251" t="s">
        <v>212</v>
      </c>
      <c r="I251" t="s">
        <v>698</v>
      </c>
      <c r="J251">
        <v>-3500</v>
      </c>
      <c r="K251">
        <v>-3500</v>
      </c>
      <c r="O251" t="s">
        <v>571</v>
      </c>
      <c r="Q251" t="s">
        <v>470</v>
      </c>
      <c r="R251">
        <v>0</v>
      </c>
    </row>
    <row r="252" spans="1:18" x14ac:dyDescent="0.3">
      <c r="A252">
        <v>236435</v>
      </c>
      <c r="B252" t="s">
        <v>568</v>
      </c>
      <c r="C252" t="s">
        <v>51</v>
      </c>
      <c r="D252" t="s">
        <v>658</v>
      </c>
      <c r="E252" s="452">
        <v>46325</v>
      </c>
      <c r="F252" s="452">
        <v>46336</v>
      </c>
      <c r="G252" t="s">
        <v>265</v>
      </c>
      <c r="H252" t="s">
        <v>272</v>
      </c>
      <c r="J252">
        <v>-50</v>
      </c>
      <c r="K252">
        <v>-50</v>
      </c>
      <c r="O252" t="s">
        <v>571</v>
      </c>
      <c r="Q252" t="s">
        <v>470</v>
      </c>
      <c r="R252">
        <v>0</v>
      </c>
    </row>
    <row r="253" spans="1:18" x14ac:dyDescent="0.3">
      <c r="A253">
        <v>209524</v>
      </c>
      <c r="B253" t="s">
        <v>568</v>
      </c>
      <c r="C253" t="s">
        <v>654</v>
      </c>
      <c r="D253" t="s">
        <v>658</v>
      </c>
      <c r="E253" s="452">
        <v>46323</v>
      </c>
      <c r="F253" s="452">
        <v>46346</v>
      </c>
      <c r="G253" t="s">
        <v>702</v>
      </c>
      <c r="H253" t="s">
        <v>343</v>
      </c>
      <c r="J253">
        <v>-37000</v>
      </c>
      <c r="K253">
        <v>-37000</v>
      </c>
      <c r="O253" t="s">
        <v>571</v>
      </c>
      <c r="Q253" t="s">
        <v>470</v>
      </c>
      <c r="R253">
        <v>0</v>
      </c>
    </row>
    <row r="254" spans="1:18" x14ac:dyDescent="0.3">
      <c r="A254">
        <v>197882</v>
      </c>
      <c r="B254" t="s">
        <v>568</v>
      </c>
      <c r="C254" t="s">
        <v>704</v>
      </c>
      <c r="D254" t="s">
        <v>658</v>
      </c>
      <c r="E254" s="452">
        <v>46320</v>
      </c>
      <c r="F254" s="452">
        <v>46351</v>
      </c>
      <c r="G254" t="s">
        <v>705</v>
      </c>
      <c r="H254" t="s">
        <v>114</v>
      </c>
      <c r="I254" t="s">
        <v>706</v>
      </c>
      <c r="J254">
        <v>-15000</v>
      </c>
      <c r="K254">
        <v>-15000</v>
      </c>
      <c r="O254" t="s">
        <v>571</v>
      </c>
      <c r="Q254" t="s">
        <v>470</v>
      </c>
      <c r="R254">
        <v>0</v>
      </c>
    </row>
    <row r="255" spans="1:18" x14ac:dyDescent="0.3">
      <c r="A255">
        <v>98071</v>
      </c>
      <c r="B255" t="s">
        <v>568</v>
      </c>
      <c r="C255" t="s">
        <v>628</v>
      </c>
      <c r="D255" t="s">
        <v>781</v>
      </c>
      <c r="E255" s="452">
        <v>46318</v>
      </c>
      <c r="F255" s="452">
        <v>46317</v>
      </c>
      <c r="G255" t="s">
        <v>613</v>
      </c>
      <c r="H255" t="s">
        <v>369</v>
      </c>
      <c r="I255" t="s">
        <v>630</v>
      </c>
      <c r="J255">
        <v>-20000</v>
      </c>
      <c r="K255">
        <v>-20000</v>
      </c>
      <c r="O255" t="s">
        <v>631</v>
      </c>
      <c r="Q255" t="s">
        <v>470</v>
      </c>
      <c r="R255">
        <v>0</v>
      </c>
    </row>
    <row r="256" spans="1:18" x14ac:dyDescent="0.3">
      <c r="A256">
        <v>191878</v>
      </c>
      <c r="B256" t="s">
        <v>568</v>
      </c>
      <c r="C256" t="s">
        <v>708</v>
      </c>
      <c r="D256" t="s">
        <v>658</v>
      </c>
      <c r="E256" s="452">
        <v>46315</v>
      </c>
      <c r="F256" s="452">
        <v>46331</v>
      </c>
      <c r="G256" t="s">
        <v>280</v>
      </c>
      <c r="H256" t="s">
        <v>282</v>
      </c>
      <c r="I256" t="s">
        <v>709</v>
      </c>
      <c r="J256">
        <v>-150</v>
      </c>
      <c r="K256">
        <v>-150</v>
      </c>
      <c r="O256" t="s">
        <v>571</v>
      </c>
      <c r="Q256" t="s">
        <v>470</v>
      </c>
      <c r="R256">
        <v>0</v>
      </c>
    </row>
    <row r="257" spans="1:18" x14ac:dyDescent="0.3">
      <c r="A257">
        <v>192934</v>
      </c>
      <c r="B257" t="s">
        <v>568</v>
      </c>
      <c r="C257" t="s">
        <v>671</v>
      </c>
      <c r="D257" t="s">
        <v>658</v>
      </c>
      <c r="E257" s="452">
        <v>46310</v>
      </c>
      <c r="F257" s="452">
        <v>46310</v>
      </c>
      <c r="G257" t="s">
        <v>672</v>
      </c>
      <c r="H257" t="s">
        <v>240</v>
      </c>
      <c r="I257" t="s">
        <v>673</v>
      </c>
      <c r="J257">
        <v>-300</v>
      </c>
      <c r="K257">
        <v>-300</v>
      </c>
      <c r="O257" t="s">
        <v>571</v>
      </c>
      <c r="Q257" t="s">
        <v>470</v>
      </c>
      <c r="R257">
        <v>0</v>
      </c>
    </row>
    <row r="258" spans="1:18" x14ac:dyDescent="0.3">
      <c r="A258">
        <v>192146</v>
      </c>
      <c r="B258" t="s">
        <v>568</v>
      </c>
      <c r="C258" t="s">
        <v>711</v>
      </c>
      <c r="D258" t="s">
        <v>658</v>
      </c>
      <c r="E258" s="452">
        <v>46310</v>
      </c>
      <c r="F258" s="452">
        <v>46341</v>
      </c>
      <c r="G258" t="s">
        <v>280</v>
      </c>
      <c r="H258" t="s">
        <v>286</v>
      </c>
      <c r="I258" t="s">
        <v>712</v>
      </c>
      <c r="J258">
        <v>-389</v>
      </c>
      <c r="K258">
        <v>-389</v>
      </c>
      <c r="O258" t="s">
        <v>571</v>
      </c>
      <c r="Q258" t="s">
        <v>470</v>
      </c>
      <c r="R258">
        <v>0</v>
      </c>
    </row>
    <row r="259" spans="1:18" x14ac:dyDescent="0.3">
      <c r="A259">
        <v>192879</v>
      </c>
      <c r="B259" t="s">
        <v>568</v>
      </c>
      <c r="C259" t="s">
        <v>692</v>
      </c>
      <c r="D259" t="s">
        <v>658</v>
      </c>
      <c r="E259" s="452">
        <v>46310</v>
      </c>
      <c r="F259" s="452">
        <v>46315</v>
      </c>
      <c r="G259" t="s">
        <v>309</v>
      </c>
      <c r="H259" t="s">
        <v>317</v>
      </c>
      <c r="I259" t="s">
        <v>710</v>
      </c>
      <c r="J259">
        <v>-1500</v>
      </c>
      <c r="K259">
        <v>-1500</v>
      </c>
      <c r="O259" t="s">
        <v>571</v>
      </c>
      <c r="Q259" t="s">
        <v>470</v>
      </c>
      <c r="R259">
        <v>0</v>
      </c>
    </row>
    <row r="260" spans="1:18" x14ac:dyDescent="0.3">
      <c r="A260">
        <v>191902</v>
      </c>
      <c r="B260" t="s">
        <v>568</v>
      </c>
      <c r="C260" t="s">
        <v>713</v>
      </c>
      <c r="D260" t="s">
        <v>658</v>
      </c>
      <c r="E260" s="452">
        <v>46307</v>
      </c>
      <c r="F260" s="452">
        <v>46319</v>
      </c>
      <c r="G260" t="s">
        <v>265</v>
      </c>
      <c r="H260" t="s">
        <v>267</v>
      </c>
      <c r="I260" t="s">
        <v>714</v>
      </c>
      <c r="J260">
        <v>-2100</v>
      </c>
      <c r="K260">
        <v>-2100</v>
      </c>
      <c r="O260" t="s">
        <v>571</v>
      </c>
      <c r="Q260" t="s">
        <v>470</v>
      </c>
      <c r="R260">
        <v>0</v>
      </c>
    </row>
    <row r="261" spans="1:18" x14ac:dyDescent="0.3">
      <c r="A261">
        <v>192815</v>
      </c>
      <c r="B261" t="s">
        <v>568</v>
      </c>
      <c r="C261" t="s">
        <v>715</v>
      </c>
      <c r="D261" t="s">
        <v>658</v>
      </c>
      <c r="E261" s="452">
        <v>46305</v>
      </c>
      <c r="F261" s="452">
        <v>46336</v>
      </c>
      <c r="G261" t="s">
        <v>319</v>
      </c>
      <c r="H261" t="s">
        <v>320</v>
      </c>
      <c r="I261" t="s">
        <v>716</v>
      </c>
      <c r="J261">
        <v>-285.56</v>
      </c>
      <c r="K261">
        <v>-285.56</v>
      </c>
      <c r="O261" t="s">
        <v>571</v>
      </c>
      <c r="Q261" t="s">
        <v>470</v>
      </c>
      <c r="R261">
        <v>0</v>
      </c>
    </row>
    <row r="262" spans="1:18" x14ac:dyDescent="0.3">
      <c r="A262">
        <v>191914</v>
      </c>
      <c r="B262" t="s">
        <v>568</v>
      </c>
      <c r="C262" t="s">
        <v>713</v>
      </c>
      <c r="D262" t="s">
        <v>658</v>
      </c>
      <c r="E262" s="452">
        <v>46303</v>
      </c>
      <c r="F262" s="452">
        <v>46319</v>
      </c>
      <c r="G262" t="s">
        <v>265</v>
      </c>
      <c r="H262" t="s">
        <v>267</v>
      </c>
      <c r="I262" t="s">
        <v>717</v>
      </c>
      <c r="J262">
        <v>-3100</v>
      </c>
      <c r="K262">
        <v>-3100</v>
      </c>
      <c r="O262" t="s">
        <v>571</v>
      </c>
      <c r="Q262" t="s">
        <v>470</v>
      </c>
      <c r="R262">
        <v>0</v>
      </c>
    </row>
    <row r="263" spans="1:18" x14ac:dyDescent="0.3">
      <c r="A263">
        <v>192921</v>
      </c>
      <c r="B263" t="s">
        <v>568</v>
      </c>
      <c r="C263" t="s">
        <v>671</v>
      </c>
      <c r="D263" t="s">
        <v>658</v>
      </c>
      <c r="E263" s="452">
        <v>46303</v>
      </c>
      <c r="F263" s="452">
        <v>46303</v>
      </c>
      <c r="G263" t="s">
        <v>672</v>
      </c>
      <c r="H263" t="s">
        <v>240</v>
      </c>
      <c r="I263" t="s">
        <v>674</v>
      </c>
      <c r="J263">
        <v>-300</v>
      </c>
      <c r="K263">
        <v>-300</v>
      </c>
      <c r="O263" t="s">
        <v>571</v>
      </c>
      <c r="Q263" t="s">
        <v>470</v>
      </c>
      <c r="R263">
        <v>0</v>
      </c>
    </row>
    <row r="264" spans="1:18" x14ac:dyDescent="0.3">
      <c r="A264">
        <v>223199</v>
      </c>
      <c r="B264" t="s">
        <v>568</v>
      </c>
      <c r="C264" t="s">
        <v>654</v>
      </c>
      <c r="D264" t="s">
        <v>782</v>
      </c>
      <c r="E264" s="452">
        <v>46303</v>
      </c>
      <c r="F264" s="452">
        <v>46325</v>
      </c>
      <c r="G264" t="s">
        <v>613</v>
      </c>
      <c r="H264" t="s">
        <v>369</v>
      </c>
      <c r="I264" t="s">
        <v>656</v>
      </c>
      <c r="J264">
        <v>-13662.94</v>
      </c>
      <c r="K264">
        <v>-13662.94</v>
      </c>
      <c r="O264" t="s">
        <v>571</v>
      </c>
      <c r="Q264" t="s">
        <v>470</v>
      </c>
      <c r="R264">
        <v>0</v>
      </c>
    </row>
    <row r="265" spans="1:18" x14ac:dyDescent="0.3">
      <c r="A265">
        <v>218680</v>
      </c>
      <c r="B265" t="s">
        <v>568</v>
      </c>
      <c r="C265" t="s">
        <v>606</v>
      </c>
      <c r="D265" t="s">
        <v>658</v>
      </c>
      <c r="E265" s="452">
        <v>46296</v>
      </c>
      <c r="F265" s="452">
        <v>46336</v>
      </c>
      <c r="G265" t="s">
        <v>683</v>
      </c>
      <c r="H265" t="s">
        <v>289</v>
      </c>
      <c r="I265" t="s">
        <v>722</v>
      </c>
      <c r="J265">
        <v>-499.04</v>
      </c>
      <c r="K265">
        <v>-499.04</v>
      </c>
      <c r="O265" t="s">
        <v>571</v>
      </c>
      <c r="Q265" t="s">
        <v>470</v>
      </c>
      <c r="R265">
        <v>0</v>
      </c>
    </row>
    <row r="266" spans="1:18" x14ac:dyDescent="0.3">
      <c r="A266">
        <v>227723</v>
      </c>
      <c r="B266" t="s">
        <v>568</v>
      </c>
      <c r="C266" t="s">
        <v>720</v>
      </c>
      <c r="D266" t="s">
        <v>658</v>
      </c>
      <c r="E266" s="452">
        <v>46296</v>
      </c>
      <c r="F266" s="452">
        <v>46331</v>
      </c>
      <c r="G266" t="s">
        <v>280</v>
      </c>
      <c r="H266" t="s">
        <v>287</v>
      </c>
      <c r="I266" t="s">
        <v>777</v>
      </c>
      <c r="J266">
        <v>-436.5</v>
      </c>
      <c r="K266">
        <v>-436.5</v>
      </c>
      <c r="O266" t="s">
        <v>571</v>
      </c>
      <c r="Q266" t="s">
        <v>470</v>
      </c>
      <c r="R266">
        <v>0</v>
      </c>
    </row>
    <row r="267" spans="1:18" x14ac:dyDescent="0.3">
      <c r="A267">
        <v>218665</v>
      </c>
      <c r="B267" t="s">
        <v>568</v>
      </c>
      <c r="C267" t="s">
        <v>606</v>
      </c>
      <c r="D267" t="s">
        <v>658</v>
      </c>
      <c r="E267" s="452">
        <v>46296</v>
      </c>
      <c r="F267" s="452">
        <v>46376</v>
      </c>
      <c r="G267" t="s">
        <v>257</v>
      </c>
      <c r="H267" t="s">
        <v>258</v>
      </c>
      <c r="I267" t="s">
        <v>783</v>
      </c>
      <c r="J267">
        <v>-9067.9500000000007</v>
      </c>
      <c r="K267">
        <v>-9067.9500000000007</v>
      </c>
      <c r="O267" t="s">
        <v>571</v>
      </c>
      <c r="Q267" t="s">
        <v>470</v>
      </c>
      <c r="R267">
        <v>0</v>
      </c>
    </row>
    <row r="268" spans="1:18" x14ac:dyDescent="0.3">
      <c r="A268">
        <v>215979</v>
      </c>
      <c r="B268" t="s">
        <v>568</v>
      </c>
      <c r="C268" t="s">
        <v>606</v>
      </c>
      <c r="D268" t="s">
        <v>658</v>
      </c>
      <c r="E268" s="452">
        <v>46296</v>
      </c>
      <c r="F268" s="452">
        <v>46336</v>
      </c>
      <c r="G268" t="s">
        <v>257</v>
      </c>
      <c r="H268" t="s">
        <v>260</v>
      </c>
      <c r="I268" t="s">
        <v>784</v>
      </c>
      <c r="J268">
        <v>-2935.69</v>
      </c>
      <c r="K268">
        <v>-2935.69</v>
      </c>
      <c r="O268" t="s">
        <v>571</v>
      </c>
      <c r="Q268" t="s">
        <v>470</v>
      </c>
      <c r="R268">
        <v>0</v>
      </c>
    </row>
    <row r="269" spans="1:18" x14ac:dyDescent="0.3">
      <c r="A269">
        <v>192083</v>
      </c>
      <c r="B269" t="s">
        <v>568</v>
      </c>
      <c r="C269" t="s">
        <v>731</v>
      </c>
      <c r="D269" t="s">
        <v>658</v>
      </c>
      <c r="E269" s="452">
        <v>46296</v>
      </c>
      <c r="F269" s="452">
        <v>46310</v>
      </c>
      <c r="G269" t="s">
        <v>319</v>
      </c>
      <c r="H269" t="s">
        <v>321</v>
      </c>
      <c r="I269" t="s">
        <v>732</v>
      </c>
      <c r="J269">
        <v>-150</v>
      </c>
      <c r="K269">
        <v>-150</v>
      </c>
      <c r="O269" t="s">
        <v>571</v>
      </c>
      <c r="Q269" t="s">
        <v>470</v>
      </c>
      <c r="R269">
        <v>0</v>
      </c>
    </row>
    <row r="270" spans="1:18" x14ac:dyDescent="0.3">
      <c r="A270">
        <v>199982</v>
      </c>
      <c r="B270" t="s">
        <v>568</v>
      </c>
      <c r="C270" t="s">
        <v>747</v>
      </c>
      <c r="D270" t="s">
        <v>658</v>
      </c>
      <c r="E270" s="452">
        <v>46296</v>
      </c>
      <c r="F270" s="452">
        <v>46341</v>
      </c>
      <c r="G270" t="s">
        <v>677</v>
      </c>
      <c r="H270" t="s">
        <v>678</v>
      </c>
      <c r="I270" t="s">
        <v>745</v>
      </c>
      <c r="J270">
        <v>-600</v>
      </c>
      <c r="K270">
        <v>-600</v>
      </c>
      <c r="M270" t="s">
        <v>748</v>
      </c>
      <c r="N270" t="s">
        <v>75</v>
      </c>
      <c r="O270" t="s">
        <v>571</v>
      </c>
      <c r="Q270" t="s">
        <v>470</v>
      </c>
      <c r="R270">
        <v>0</v>
      </c>
    </row>
    <row r="271" spans="1:18" x14ac:dyDescent="0.3">
      <c r="A271">
        <v>192322</v>
      </c>
      <c r="B271" t="s">
        <v>568</v>
      </c>
      <c r="C271" t="s">
        <v>749</v>
      </c>
      <c r="D271" t="s">
        <v>658</v>
      </c>
      <c r="E271" s="452">
        <v>46296</v>
      </c>
      <c r="F271" s="452">
        <v>46329</v>
      </c>
      <c r="G271" t="s">
        <v>297</v>
      </c>
      <c r="H271" t="s">
        <v>298</v>
      </c>
      <c r="I271" t="s">
        <v>750</v>
      </c>
      <c r="J271">
        <v>-3000</v>
      </c>
      <c r="K271">
        <v>-3000</v>
      </c>
      <c r="M271" t="s">
        <v>751</v>
      </c>
      <c r="N271" t="s">
        <v>752</v>
      </c>
      <c r="O271" t="s">
        <v>571</v>
      </c>
      <c r="Q271" t="s">
        <v>470</v>
      </c>
      <c r="R271">
        <v>0</v>
      </c>
    </row>
    <row r="272" spans="1:18" x14ac:dyDescent="0.3">
      <c r="A272">
        <v>192109</v>
      </c>
      <c r="B272" t="s">
        <v>568</v>
      </c>
      <c r="C272" t="s">
        <v>767</v>
      </c>
      <c r="D272" t="s">
        <v>658</v>
      </c>
      <c r="E272" s="452">
        <v>46296</v>
      </c>
      <c r="F272" s="452">
        <v>46331</v>
      </c>
      <c r="G272" t="s">
        <v>309</v>
      </c>
      <c r="H272" t="s">
        <v>315</v>
      </c>
      <c r="I272" t="s">
        <v>768</v>
      </c>
      <c r="J272">
        <v>-940.94</v>
      </c>
      <c r="K272">
        <v>-940.94</v>
      </c>
      <c r="O272" t="s">
        <v>571</v>
      </c>
      <c r="Q272" t="s">
        <v>470</v>
      </c>
      <c r="R272">
        <v>0</v>
      </c>
    </row>
    <row r="273" spans="1:18" x14ac:dyDescent="0.3">
      <c r="A273">
        <v>199994</v>
      </c>
      <c r="B273" t="s">
        <v>568</v>
      </c>
      <c r="C273" t="s">
        <v>771</v>
      </c>
      <c r="D273" t="s">
        <v>658</v>
      </c>
      <c r="E273" s="452">
        <v>46296</v>
      </c>
      <c r="F273" s="452">
        <v>46341</v>
      </c>
      <c r="G273" t="s">
        <v>677</v>
      </c>
      <c r="H273" t="s">
        <v>678</v>
      </c>
      <c r="I273" t="s">
        <v>745</v>
      </c>
      <c r="J273">
        <v>-1750</v>
      </c>
      <c r="K273">
        <v>-1750</v>
      </c>
      <c r="M273" t="s">
        <v>772</v>
      </c>
      <c r="N273" t="s">
        <v>135</v>
      </c>
      <c r="O273" t="s">
        <v>571</v>
      </c>
      <c r="Q273" t="s">
        <v>470</v>
      </c>
      <c r="R273">
        <v>0</v>
      </c>
    </row>
    <row r="274" spans="1:18" x14ac:dyDescent="0.3">
      <c r="A274">
        <v>191974</v>
      </c>
      <c r="B274" t="s">
        <v>568</v>
      </c>
      <c r="C274" t="s">
        <v>727</v>
      </c>
      <c r="D274" t="s">
        <v>658</v>
      </c>
      <c r="E274" s="452">
        <v>46296</v>
      </c>
      <c r="F274" s="452">
        <v>46315</v>
      </c>
      <c r="G274" t="s">
        <v>265</v>
      </c>
      <c r="H274" t="s">
        <v>272</v>
      </c>
      <c r="I274" t="s">
        <v>728</v>
      </c>
      <c r="J274">
        <v>-1000</v>
      </c>
      <c r="K274">
        <v>-1000</v>
      </c>
      <c r="O274" t="s">
        <v>571</v>
      </c>
      <c r="Q274" t="s">
        <v>470</v>
      </c>
      <c r="R274">
        <v>0</v>
      </c>
    </row>
    <row r="275" spans="1:18" x14ac:dyDescent="0.3">
      <c r="A275">
        <v>204975</v>
      </c>
      <c r="B275" t="s">
        <v>568</v>
      </c>
      <c r="C275" t="s">
        <v>685</v>
      </c>
      <c r="D275" t="s">
        <v>658</v>
      </c>
      <c r="E275" s="452">
        <v>46296</v>
      </c>
      <c r="F275" s="452">
        <v>46323</v>
      </c>
      <c r="G275" t="s">
        <v>672</v>
      </c>
      <c r="H275" t="s">
        <v>243</v>
      </c>
      <c r="I275" t="s">
        <v>686</v>
      </c>
      <c r="J275">
        <v>-300</v>
      </c>
      <c r="K275">
        <v>-300</v>
      </c>
      <c r="O275" t="s">
        <v>571</v>
      </c>
      <c r="Q275" t="s">
        <v>470</v>
      </c>
      <c r="R275">
        <v>0</v>
      </c>
    </row>
    <row r="276" spans="1:18" x14ac:dyDescent="0.3">
      <c r="A276">
        <v>197937</v>
      </c>
      <c r="B276" t="s">
        <v>568</v>
      </c>
      <c r="C276" t="s">
        <v>688</v>
      </c>
      <c r="D276" t="s">
        <v>658</v>
      </c>
      <c r="E276" s="452">
        <v>46296</v>
      </c>
      <c r="F276" s="452">
        <v>46315</v>
      </c>
      <c r="G276" t="s">
        <v>666</v>
      </c>
      <c r="H276" t="s">
        <v>667</v>
      </c>
      <c r="I276" t="s">
        <v>689</v>
      </c>
      <c r="J276">
        <v>-2656</v>
      </c>
      <c r="K276">
        <v>-2656</v>
      </c>
      <c r="O276" t="s">
        <v>571</v>
      </c>
      <c r="Q276" t="s">
        <v>470</v>
      </c>
      <c r="R276">
        <v>0</v>
      </c>
    </row>
    <row r="277" spans="1:18" x14ac:dyDescent="0.3">
      <c r="A277">
        <v>192182</v>
      </c>
      <c r="B277" t="s">
        <v>568</v>
      </c>
      <c r="C277" t="s">
        <v>773</v>
      </c>
      <c r="D277" t="s">
        <v>658</v>
      </c>
      <c r="E277" s="452">
        <v>46296</v>
      </c>
      <c r="F277" s="452">
        <v>46315</v>
      </c>
      <c r="G277" t="s">
        <v>265</v>
      </c>
      <c r="H277" t="s">
        <v>271</v>
      </c>
      <c r="I277" t="s">
        <v>774</v>
      </c>
      <c r="J277">
        <v>-550</v>
      </c>
      <c r="K277">
        <v>-550</v>
      </c>
      <c r="O277" t="s">
        <v>571</v>
      </c>
      <c r="Q277" t="s">
        <v>470</v>
      </c>
      <c r="R277">
        <v>0</v>
      </c>
    </row>
    <row r="278" spans="1:18" x14ac:dyDescent="0.3">
      <c r="A278">
        <v>192124</v>
      </c>
      <c r="B278" t="s">
        <v>568</v>
      </c>
      <c r="C278" t="s">
        <v>761</v>
      </c>
      <c r="D278" t="s">
        <v>658</v>
      </c>
      <c r="E278" s="452">
        <v>46296</v>
      </c>
      <c r="F278" s="452">
        <v>46315</v>
      </c>
      <c r="G278" t="s">
        <v>309</v>
      </c>
      <c r="H278" t="s">
        <v>312</v>
      </c>
      <c r="I278" t="s">
        <v>762</v>
      </c>
      <c r="J278">
        <v>-300</v>
      </c>
      <c r="K278">
        <v>-300</v>
      </c>
      <c r="O278" t="s">
        <v>571</v>
      </c>
      <c r="Q278" t="s">
        <v>470</v>
      </c>
      <c r="R278">
        <v>0</v>
      </c>
    </row>
    <row r="279" spans="1:18" x14ac:dyDescent="0.3">
      <c r="A279">
        <v>200007</v>
      </c>
      <c r="B279" t="s">
        <v>568</v>
      </c>
      <c r="C279" t="s">
        <v>759</v>
      </c>
      <c r="D279" t="s">
        <v>658</v>
      </c>
      <c r="E279" s="452">
        <v>46296</v>
      </c>
      <c r="F279" s="452">
        <v>46335</v>
      </c>
      <c r="G279" t="s">
        <v>677</v>
      </c>
      <c r="H279" t="s">
        <v>678</v>
      </c>
      <c r="I279" t="s">
        <v>745</v>
      </c>
      <c r="J279">
        <v>-1125</v>
      </c>
      <c r="K279">
        <v>-1125</v>
      </c>
      <c r="M279" t="s">
        <v>760</v>
      </c>
      <c r="N279" t="s">
        <v>131</v>
      </c>
      <c r="O279" t="s">
        <v>571</v>
      </c>
      <c r="Q279" t="s">
        <v>470</v>
      </c>
      <c r="R279">
        <v>0</v>
      </c>
    </row>
    <row r="280" spans="1:18" x14ac:dyDescent="0.3">
      <c r="A280">
        <v>199954</v>
      </c>
      <c r="B280" t="s">
        <v>568</v>
      </c>
      <c r="C280" t="s">
        <v>676</v>
      </c>
      <c r="D280" t="s">
        <v>658</v>
      </c>
      <c r="E280" s="452">
        <v>46296</v>
      </c>
      <c r="F280" s="452">
        <v>46327</v>
      </c>
      <c r="G280" t="s">
        <v>677</v>
      </c>
      <c r="H280" t="s">
        <v>678</v>
      </c>
      <c r="I280" t="s">
        <v>745</v>
      </c>
      <c r="J280">
        <v>-1350</v>
      </c>
      <c r="K280">
        <v>-1350</v>
      </c>
      <c r="M280" t="s">
        <v>680</v>
      </c>
      <c r="N280" t="s">
        <v>134</v>
      </c>
      <c r="O280" t="s">
        <v>571</v>
      </c>
      <c r="Q280" t="s">
        <v>470</v>
      </c>
      <c r="R280">
        <v>0</v>
      </c>
    </row>
    <row r="281" spans="1:18" x14ac:dyDescent="0.3">
      <c r="A281">
        <v>196431</v>
      </c>
      <c r="B281" t="s">
        <v>568</v>
      </c>
      <c r="C281" t="s">
        <v>665</v>
      </c>
      <c r="D281" t="s">
        <v>658</v>
      </c>
      <c r="E281" s="452">
        <v>46296</v>
      </c>
      <c r="F281" s="452">
        <v>46332</v>
      </c>
      <c r="G281" t="s">
        <v>666</v>
      </c>
      <c r="H281" t="s">
        <v>667</v>
      </c>
      <c r="I281" t="s">
        <v>668</v>
      </c>
      <c r="J281">
        <v>-25000</v>
      </c>
      <c r="K281">
        <v>-25000</v>
      </c>
      <c r="O281" t="s">
        <v>571</v>
      </c>
      <c r="Q281" t="s">
        <v>470</v>
      </c>
      <c r="R281">
        <v>0</v>
      </c>
    </row>
    <row r="282" spans="1:18" x14ac:dyDescent="0.3">
      <c r="A282">
        <v>175488</v>
      </c>
      <c r="B282" t="s">
        <v>568</v>
      </c>
      <c r="C282" t="s">
        <v>606</v>
      </c>
      <c r="E282" s="452">
        <v>46296</v>
      </c>
      <c r="F282" s="452">
        <v>46336</v>
      </c>
      <c r="G282" t="s">
        <v>257</v>
      </c>
      <c r="H282" t="s">
        <v>258</v>
      </c>
      <c r="I282" t="s">
        <v>785</v>
      </c>
      <c r="J282">
        <v>-32970</v>
      </c>
      <c r="K282">
        <v>-32970</v>
      </c>
      <c r="O282" t="s">
        <v>571</v>
      </c>
      <c r="Q282" t="s">
        <v>470</v>
      </c>
      <c r="R282">
        <v>0</v>
      </c>
    </row>
    <row r="283" spans="1:18" x14ac:dyDescent="0.3">
      <c r="A283">
        <v>191866</v>
      </c>
      <c r="B283" t="s">
        <v>568</v>
      </c>
      <c r="C283" t="s">
        <v>708</v>
      </c>
      <c r="D283" t="s">
        <v>658</v>
      </c>
      <c r="E283" s="452">
        <v>46296</v>
      </c>
      <c r="F283" s="452">
        <v>46315</v>
      </c>
      <c r="G283" t="s">
        <v>280</v>
      </c>
      <c r="H283" t="s">
        <v>283</v>
      </c>
      <c r="I283" t="s">
        <v>737</v>
      </c>
      <c r="J283">
        <v>-400</v>
      </c>
      <c r="K283">
        <v>-400</v>
      </c>
      <c r="O283" t="s">
        <v>571</v>
      </c>
      <c r="Q283" t="s">
        <v>470</v>
      </c>
      <c r="R283">
        <v>0</v>
      </c>
    </row>
    <row r="284" spans="1:18" x14ac:dyDescent="0.3">
      <c r="A284">
        <v>213329</v>
      </c>
      <c r="B284" t="s">
        <v>568</v>
      </c>
      <c r="C284" t="s">
        <v>676</v>
      </c>
      <c r="D284" t="s">
        <v>658</v>
      </c>
      <c r="E284" s="452">
        <v>46296</v>
      </c>
      <c r="F284" s="452">
        <v>46341</v>
      </c>
      <c r="G284" t="s">
        <v>677</v>
      </c>
      <c r="H284" t="s">
        <v>678</v>
      </c>
      <c r="I284" t="s">
        <v>679</v>
      </c>
      <c r="J284">
        <v>-1350</v>
      </c>
      <c r="K284">
        <v>-1350</v>
      </c>
      <c r="M284" t="s">
        <v>680</v>
      </c>
      <c r="N284" t="s">
        <v>134</v>
      </c>
      <c r="O284" t="s">
        <v>571</v>
      </c>
      <c r="Q284" t="s">
        <v>470</v>
      </c>
      <c r="R284">
        <v>0</v>
      </c>
    </row>
    <row r="285" spans="1:18" x14ac:dyDescent="0.3">
      <c r="A285">
        <v>196681</v>
      </c>
      <c r="B285" t="s">
        <v>568</v>
      </c>
      <c r="C285" t="s">
        <v>665</v>
      </c>
      <c r="D285" t="s">
        <v>658</v>
      </c>
      <c r="E285" s="452">
        <v>46296</v>
      </c>
      <c r="F285" s="452">
        <v>46315</v>
      </c>
      <c r="G285" t="s">
        <v>666</v>
      </c>
      <c r="H285" t="s">
        <v>667</v>
      </c>
      <c r="I285" t="s">
        <v>756</v>
      </c>
      <c r="J285">
        <v>-5000</v>
      </c>
      <c r="K285">
        <v>-5000</v>
      </c>
      <c r="O285" t="s">
        <v>571</v>
      </c>
      <c r="Q285" t="s">
        <v>470</v>
      </c>
      <c r="R285">
        <v>0</v>
      </c>
    </row>
    <row r="286" spans="1:18" x14ac:dyDescent="0.3">
      <c r="A286">
        <v>175531</v>
      </c>
      <c r="B286" t="s">
        <v>568</v>
      </c>
      <c r="C286" t="s">
        <v>606</v>
      </c>
      <c r="D286" t="s">
        <v>786</v>
      </c>
      <c r="E286" s="452">
        <v>46296</v>
      </c>
      <c r="F286" s="452">
        <v>46297</v>
      </c>
      <c r="G286" t="s">
        <v>613</v>
      </c>
      <c r="H286" t="s">
        <v>369</v>
      </c>
      <c r="I286" t="s">
        <v>614</v>
      </c>
      <c r="J286">
        <v>-5792.21</v>
      </c>
      <c r="K286">
        <v>-5792.21</v>
      </c>
      <c r="O286" t="s">
        <v>571</v>
      </c>
      <c r="Q286" t="s">
        <v>470</v>
      </c>
      <c r="R286">
        <v>0</v>
      </c>
    </row>
    <row r="287" spans="1:18" x14ac:dyDescent="0.3">
      <c r="A287">
        <v>192863</v>
      </c>
      <c r="B287" t="s">
        <v>568</v>
      </c>
      <c r="C287" t="s">
        <v>662</v>
      </c>
      <c r="D287" t="s">
        <v>658</v>
      </c>
      <c r="E287" s="452">
        <v>46296</v>
      </c>
      <c r="F287" s="452">
        <v>46315</v>
      </c>
      <c r="G287" t="s">
        <v>280</v>
      </c>
      <c r="H287" t="s">
        <v>284</v>
      </c>
      <c r="I287" t="s">
        <v>663</v>
      </c>
      <c r="J287">
        <v>-181.27</v>
      </c>
      <c r="K287">
        <v>-181.27</v>
      </c>
      <c r="O287" t="s">
        <v>571</v>
      </c>
      <c r="Q287" t="s">
        <v>470</v>
      </c>
      <c r="R287">
        <v>0</v>
      </c>
    </row>
    <row r="288" spans="1:18" x14ac:dyDescent="0.3">
      <c r="A288">
        <v>192825</v>
      </c>
      <c r="B288" t="s">
        <v>568</v>
      </c>
      <c r="C288" t="s">
        <v>757</v>
      </c>
      <c r="D288" t="s">
        <v>658</v>
      </c>
      <c r="E288" s="452">
        <v>46296</v>
      </c>
      <c r="F288" s="452">
        <v>46310</v>
      </c>
      <c r="G288" t="s">
        <v>309</v>
      </c>
      <c r="H288" t="s">
        <v>317</v>
      </c>
      <c r="I288" t="s">
        <v>758</v>
      </c>
      <c r="J288">
        <v>-350</v>
      </c>
      <c r="K288">
        <v>-350</v>
      </c>
      <c r="O288" t="s">
        <v>571</v>
      </c>
      <c r="Q288" t="s">
        <v>470</v>
      </c>
      <c r="R288">
        <v>0</v>
      </c>
    </row>
    <row r="289" spans="1:18" x14ac:dyDescent="0.3">
      <c r="A289">
        <v>192907</v>
      </c>
      <c r="B289" t="s">
        <v>568</v>
      </c>
      <c r="C289" t="s">
        <v>671</v>
      </c>
      <c r="D289" t="s">
        <v>658</v>
      </c>
      <c r="E289" s="452">
        <v>46296</v>
      </c>
      <c r="F289" s="452">
        <v>46296</v>
      </c>
      <c r="G289" t="s">
        <v>672</v>
      </c>
      <c r="H289" t="s">
        <v>240</v>
      </c>
      <c r="I289" t="s">
        <v>681</v>
      </c>
      <c r="J289">
        <v>-300</v>
      </c>
      <c r="K289">
        <v>-300</v>
      </c>
      <c r="O289" t="s">
        <v>571</v>
      </c>
      <c r="Q289" t="s">
        <v>470</v>
      </c>
      <c r="R289">
        <v>0</v>
      </c>
    </row>
    <row r="290" spans="1:18" x14ac:dyDescent="0.3">
      <c r="A290">
        <v>197950</v>
      </c>
      <c r="B290" t="s">
        <v>568</v>
      </c>
      <c r="C290" t="s">
        <v>688</v>
      </c>
      <c r="D290" t="s">
        <v>658</v>
      </c>
      <c r="E290" s="452">
        <v>46296</v>
      </c>
      <c r="F290" s="452">
        <v>46336</v>
      </c>
      <c r="G290" t="s">
        <v>666</v>
      </c>
      <c r="H290" t="s">
        <v>667</v>
      </c>
      <c r="I290" t="s">
        <v>738</v>
      </c>
      <c r="J290">
        <v>-2656</v>
      </c>
      <c r="K290">
        <v>-2656</v>
      </c>
      <c r="O290" t="s">
        <v>571</v>
      </c>
      <c r="Q290" t="s">
        <v>470</v>
      </c>
      <c r="R290">
        <v>0</v>
      </c>
    </row>
    <row r="291" spans="1:18" x14ac:dyDescent="0.3">
      <c r="A291">
        <v>192995</v>
      </c>
      <c r="B291" t="s">
        <v>568</v>
      </c>
      <c r="C291" t="s">
        <v>763</v>
      </c>
      <c r="D291" t="s">
        <v>658</v>
      </c>
      <c r="E291" s="452">
        <v>46296</v>
      </c>
      <c r="F291" s="452">
        <v>46331</v>
      </c>
      <c r="G291" t="s">
        <v>297</v>
      </c>
      <c r="H291" t="s">
        <v>302</v>
      </c>
      <c r="I291" t="s">
        <v>764</v>
      </c>
      <c r="J291">
        <v>-900</v>
      </c>
      <c r="K291">
        <v>-900</v>
      </c>
      <c r="O291" t="s">
        <v>571</v>
      </c>
      <c r="Q291" t="s">
        <v>470</v>
      </c>
      <c r="R291">
        <v>0</v>
      </c>
    </row>
    <row r="292" spans="1:18" x14ac:dyDescent="0.3">
      <c r="A292">
        <v>193020</v>
      </c>
      <c r="B292" t="s">
        <v>568</v>
      </c>
      <c r="C292" t="s">
        <v>769</v>
      </c>
      <c r="D292" t="s">
        <v>658</v>
      </c>
      <c r="E292" s="452">
        <v>46296</v>
      </c>
      <c r="F292" s="452">
        <v>46331</v>
      </c>
      <c r="G292" t="s">
        <v>280</v>
      </c>
      <c r="H292" t="s">
        <v>283</v>
      </c>
      <c r="I292" t="s">
        <v>770</v>
      </c>
      <c r="J292">
        <v>-23.5</v>
      </c>
      <c r="K292">
        <v>-23.5</v>
      </c>
      <c r="O292" t="s">
        <v>571</v>
      </c>
      <c r="Q292" t="s">
        <v>470</v>
      </c>
      <c r="R292">
        <v>0</v>
      </c>
    </row>
    <row r="293" spans="1:18" x14ac:dyDescent="0.3">
      <c r="A293">
        <v>191830</v>
      </c>
      <c r="B293" t="s">
        <v>568</v>
      </c>
      <c r="C293" t="s">
        <v>765</v>
      </c>
      <c r="D293" t="s">
        <v>658</v>
      </c>
      <c r="E293" s="452">
        <v>46296</v>
      </c>
      <c r="F293" s="452">
        <v>46320</v>
      </c>
      <c r="G293" t="s">
        <v>265</v>
      </c>
      <c r="H293" t="s">
        <v>268</v>
      </c>
      <c r="I293" t="s">
        <v>766</v>
      </c>
      <c r="J293">
        <v>-5000</v>
      </c>
      <c r="K293">
        <v>-5000</v>
      </c>
      <c r="O293" t="s">
        <v>571</v>
      </c>
      <c r="Q293" t="s">
        <v>470</v>
      </c>
      <c r="R293">
        <v>0</v>
      </c>
    </row>
    <row r="294" spans="1:18" x14ac:dyDescent="0.3">
      <c r="A294">
        <v>193420</v>
      </c>
      <c r="B294" t="s">
        <v>568</v>
      </c>
      <c r="C294" t="s">
        <v>723</v>
      </c>
      <c r="D294" t="s">
        <v>658</v>
      </c>
      <c r="E294" s="452">
        <v>46296</v>
      </c>
      <c r="F294" s="452">
        <v>46313</v>
      </c>
      <c r="G294" t="s">
        <v>724</v>
      </c>
      <c r="H294" t="s">
        <v>725</v>
      </c>
      <c r="I294" t="s">
        <v>726</v>
      </c>
      <c r="J294">
        <v>-400</v>
      </c>
      <c r="K294">
        <v>-400</v>
      </c>
      <c r="O294" t="s">
        <v>571</v>
      </c>
      <c r="Q294" t="s">
        <v>470</v>
      </c>
      <c r="R294">
        <v>0</v>
      </c>
    </row>
    <row r="295" spans="1:18" x14ac:dyDescent="0.3">
      <c r="A295">
        <v>192613</v>
      </c>
      <c r="B295" t="s">
        <v>568</v>
      </c>
      <c r="C295" t="s">
        <v>682</v>
      </c>
      <c r="D295" t="s">
        <v>658</v>
      </c>
      <c r="E295" s="452">
        <v>46296</v>
      </c>
      <c r="F295" s="452">
        <v>46315</v>
      </c>
      <c r="G295" t="s">
        <v>683</v>
      </c>
      <c r="H295" t="s">
        <v>289</v>
      </c>
      <c r="I295" t="s">
        <v>684</v>
      </c>
      <c r="J295">
        <v>-1500</v>
      </c>
      <c r="K295">
        <v>-1500</v>
      </c>
      <c r="O295" t="s">
        <v>571</v>
      </c>
      <c r="Q295" t="s">
        <v>470</v>
      </c>
      <c r="R295">
        <v>0</v>
      </c>
    </row>
    <row r="296" spans="1:18" x14ac:dyDescent="0.3">
      <c r="A296">
        <v>199347</v>
      </c>
      <c r="B296" t="s">
        <v>568</v>
      </c>
      <c r="C296" t="s">
        <v>753</v>
      </c>
      <c r="D296" t="s">
        <v>658</v>
      </c>
      <c r="E296" s="452">
        <v>46296</v>
      </c>
      <c r="F296" s="452">
        <v>46341</v>
      </c>
      <c r="G296" t="s">
        <v>677</v>
      </c>
      <c r="H296" t="s">
        <v>678</v>
      </c>
      <c r="I296" t="s">
        <v>754</v>
      </c>
      <c r="J296">
        <v>-8000</v>
      </c>
      <c r="K296">
        <v>-8000</v>
      </c>
      <c r="M296" t="s">
        <v>755</v>
      </c>
      <c r="N296" t="s">
        <v>132</v>
      </c>
      <c r="O296" t="s">
        <v>571</v>
      </c>
      <c r="Q296" t="s">
        <v>470</v>
      </c>
      <c r="R296">
        <v>0</v>
      </c>
    </row>
    <row r="297" spans="1:18" x14ac:dyDescent="0.3">
      <c r="A297">
        <v>192495</v>
      </c>
      <c r="B297" t="s">
        <v>568</v>
      </c>
      <c r="C297" t="s">
        <v>778</v>
      </c>
      <c r="D297" t="s">
        <v>658</v>
      </c>
      <c r="E297" s="452">
        <v>46296</v>
      </c>
      <c r="F297" s="452">
        <v>46315</v>
      </c>
      <c r="G297" t="s">
        <v>309</v>
      </c>
      <c r="H297" t="s">
        <v>313</v>
      </c>
      <c r="I297" t="s">
        <v>779</v>
      </c>
      <c r="J297">
        <v>-185</v>
      </c>
      <c r="K297">
        <v>-185</v>
      </c>
      <c r="O297" t="s">
        <v>571</v>
      </c>
      <c r="Q297" t="s">
        <v>470</v>
      </c>
      <c r="R297">
        <v>0</v>
      </c>
    </row>
    <row r="298" spans="1:18" x14ac:dyDescent="0.3">
      <c r="A298">
        <v>99349</v>
      </c>
      <c r="B298" t="s">
        <v>568</v>
      </c>
      <c r="C298" t="s">
        <v>569</v>
      </c>
      <c r="E298" s="452">
        <v>46296</v>
      </c>
      <c r="F298" s="452">
        <v>46305</v>
      </c>
      <c r="G298" t="s">
        <v>257</v>
      </c>
      <c r="H298" t="s">
        <v>263</v>
      </c>
      <c r="I298" t="s">
        <v>570</v>
      </c>
      <c r="J298">
        <v>-12000</v>
      </c>
      <c r="K298">
        <v>-12000</v>
      </c>
      <c r="O298" t="s">
        <v>571</v>
      </c>
      <c r="Q298" t="s">
        <v>470</v>
      </c>
      <c r="R298">
        <v>0</v>
      </c>
    </row>
    <row r="299" spans="1:18" x14ac:dyDescent="0.3">
      <c r="A299">
        <v>191742</v>
      </c>
      <c r="B299" t="s">
        <v>568</v>
      </c>
      <c r="C299" t="s">
        <v>735</v>
      </c>
      <c r="D299" t="s">
        <v>658</v>
      </c>
      <c r="E299" s="452">
        <v>46296</v>
      </c>
      <c r="F299" s="452">
        <v>46310</v>
      </c>
      <c r="G299" t="s">
        <v>309</v>
      </c>
      <c r="H299" t="s">
        <v>310</v>
      </c>
      <c r="I299" t="s">
        <v>736</v>
      </c>
      <c r="J299">
        <v>-2317.0300000000002</v>
      </c>
      <c r="K299">
        <v>-2317.0300000000002</v>
      </c>
      <c r="O299" t="s">
        <v>571</v>
      </c>
      <c r="Q299" t="s">
        <v>470</v>
      </c>
      <c r="R299">
        <v>0</v>
      </c>
    </row>
    <row r="300" spans="1:18" x14ac:dyDescent="0.3">
      <c r="A300">
        <v>192379</v>
      </c>
      <c r="B300" t="s">
        <v>568</v>
      </c>
      <c r="C300" t="s">
        <v>733</v>
      </c>
      <c r="D300" t="s">
        <v>658</v>
      </c>
      <c r="E300" s="452">
        <v>46296</v>
      </c>
      <c r="F300" s="452">
        <v>46338</v>
      </c>
      <c r="G300" t="s">
        <v>297</v>
      </c>
      <c r="H300" t="s">
        <v>299</v>
      </c>
      <c r="I300" t="s">
        <v>734</v>
      </c>
      <c r="J300">
        <v>-500</v>
      </c>
      <c r="K300">
        <v>-500</v>
      </c>
      <c r="O300" t="s">
        <v>571</v>
      </c>
      <c r="Q300" t="s">
        <v>470</v>
      </c>
      <c r="R300">
        <v>0</v>
      </c>
    </row>
    <row r="301" spans="1:18" x14ac:dyDescent="0.3">
      <c r="A301">
        <v>196083</v>
      </c>
      <c r="B301" t="s">
        <v>568</v>
      </c>
      <c r="C301" t="s">
        <v>671</v>
      </c>
      <c r="D301" t="s">
        <v>658</v>
      </c>
      <c r="E301" s="452">
        <v>46296</v>
      </c>
      <c r="F301" s="452">
        <v>46291</v>
      </c>
      <c r="G301" t="s">
        <v>672</v>
      </c>
      <c r="H301" t="s">
        <v>240</v>
      </c>
      <c r="I301" t="s">
        <v>687</v>
      </c>
      <c r="J301">
        <v>-800</v>
      </c>
      <c r="K301">
        <v>-800</v>
      </c>
      <c r="O301" t="s">
        <v>571</v>
      </c>
      <c r="Q301" t="s">
        <v>470</v>
      </c>
      <c r="R301">
        <v>0</v>
      </c>
    </row>
    <row r="302" spans="1:18" x14ac:dyDescent="0.3">
      <c r="A302">
        <v>191818</v>
      </c>
      <c r="B302" t="s">
        <v>568</v>
      </c>
      <c r="C302" t="s">
        <v>740</v>
      </c>
      <c r="D302" t="s">
        <v>658</v>
      </c>
      <c r="E302" s="452">
        <v>46296</v>
      </c>
      <c r="F302" s="452">
        <v>46320</v>
      </c>
      <c r="G302" t="s">
        <v>265</v>
      </c>
      <c r="H302" t="s">
        <v>266</v>
      </c>
      <c r="I302" t="s">
        <v>741</v>
      </c>
      <c r="J302">
        <v>-9000</v>
      </c>
      <c r="K302">
        <v>-9000</v>
      </c>
      <c r="O302" t="s">
        <v>571</v>
      </c>
      <c r="Q302" t="s">
        <v>470</v>
      </c>
      <c r="R302">
        <v>0</v>
      </c>
    </row>
    <row r="303" spans="1:18" x14ac:dyDescent="0.3">
      <c r="A303">
        <v>196071</v>
      </c>
      <c r="B303" t="s">
        <v>568</v>
      </c>
      <c r="C303" t="s">
        <v>671</v>
      </c>
      <c r="D303" t="s">
        <v>658</v>
      </c>
      <c r="E303" s="452">
        <v>46296</v>
      </c>
      <c r="F303" s="452">
        <v>46293</v>
      </c>
      <c r="G303" t="s">
        <v>672</v>
      </c>
      <c r="H303" t="s">
        <v>240</v>
      </c>
      <c r="I303" t="s">
        <v>691</v>
      </c>
      <c r="J303">
        <v>-2500</v>
      </c>
      <c r="K303">
        <v>-2500</v>
      </c>
      <c r="O303" t="s">
        <v>571</v>
      </c>
      <c r="Q303" t="s">
        <v>470</v>
      </c>
      <c r="R303">
        <v>0</v>
      </c>
    </row>
    <row r="304" spans="1:18" x14ac:dyDescent="0.3">
      <c r="A304">
        <v>192346</v>
      </c>
      <c r="B304" t="s">
        <v>568</v>
      </c>
      <c r="C304" t="s">
        <v>742</v>
      </c>
      <c r="D304" t="s">
        <v>658</v>
      </c>
      <c r="E304" s="452">
        <v>46296</v>
      </c>
      <c r="F304" s="452">
        <v>46305</v>
      </c>
      <c r="G304" t="s">
        <v>280</v>
      </c>
      <c r="H304" t="s">
        <v>282</v>
      </c>
      <c r="I304" t="s">
        <v>743</v>
      </c>
      <c r="J304">
        <v>-249.9</v>
      </c>
      <c r="K304">
        <v>-249.9</v>
      </c>
      <c r="O304" t="s">
        <v>571</v>
      </c>
      <c r="Q304" t="s">
        <v>470</v>
      </c>
      <c r="R304">
        <v>0</v>
      </c>
    </row>
    <row r="305" spans="1:18" x14ac:dyDescent="0.3">
      <c r="A305">
        <v>199360</v>
      </c>
      <c r="B305" t="s">
        <v>568</v>
      </c>
      <c r="C305" t="s">
        <v>744</v>
      </c>
      <c r="D305" t="s">
        <v>658</v>
      </c>
      <c r="E305" s="452">
        <v>46296</v>
      </c>
      <c r="F305" s="452">
        <v>46335</v>
      </c>
      <c r="G305" t="s">
        <v>677</v>
      </c>
      <c r="H305" t="s">
        <v>678</v>
      </c>
      <c r="I305" t="s">
        <v>745</v>
      </c>
      <c r="J305">
        <v>-1500</v>
      </c>
      <c r="K305">
        <v>-1500</v>
      </c>
      <c r="M305" t="s">
        <v>746</v>
      </c>
      <c r="N305" t="s">
        <v>131</v>
      </c>
      <c r="O305" t="s">
        <v>571</v>
      </c>
      <c r="Q305" t="s">
        <v>470</v>
      </c>
      <c r="R305">
        <v>0</v>
      </c>
    </row>
    <row r="306" spans="1:18" x14ac:dyDescent="0.3">
      <c r="A306">
        <v>207041</v>
      </c>
      <c r="B306" t="s">
        <v>568</v>
      </c>
      <c r="C306" t="s">
        <v>431</v>
      </c>
      <c r="D306" t="s">
        <v>658</v>
      </c>
      <c r="E306" s="452">
        <v>46295</v>
      </c>
      <c r="F306" s="452">
        <v>46315</v>
      </c>
      <c r="G306" t="s">
        <v>697</v>
      </c>
      <c r="H306" t="s">
        <v>212</v>
      </c>
      <c r="I306" t="s">
        <v>698</v>
      </c>
      <c r="J306">
        <v>-3500</v>
      </c>
      <c r="K306">
        <v>-3500</v>
      </c>
      <c r="O306" t="s">
        <v>571</v>
      </c>
      <c r="Q306" t="s">
        <v>469</v>
      </c>
      <c r="R306">
        <v>0</v>
      </c>
    </row>
    <row r="307" spans="1:18" x14ac:dyDescent="0.3">
      <c r="A307">
        <v>190629</v>
      </c>
      <c r="B307" t="s">
        <v>568</v>
      </c>
      <c r="C307" t="s">
        <v>50</v>
      </c>
      <c r="D307" t="s">
        <v>658</v>
      </c>
      <c r="E307" s="452">
        <v>46295</v>
      </c>
      <c r="F307" s="452">
        <v>46315</v>
      </c>
      <c r="G307" t="s">
        <v>694</v>
      </c>
      <c r="H307" t="s">
        <v>50</v>
      </c>
      <c r="I307" t="s">
        <v>695</v>
      </c>
      <c r="J307">
        <v>-15000</v>
      </c>
      <c r="K307">
        <v>-15000</v>
      </c>
      <c r="O307" t="s">
        <v>571</v>
      </c>
      <c r="Q307" t="s">
        <v>469</v>
      </c>
      <c r="R307">
        <v>0</v>
      </c>
    </row>
    <row r="308" spans="1:18" x14ac:dyDescent="0.3">
      <c r="A308">
        <v>192890</v>
      </c>
      <c r="B308" t="s">
        <v>568</v>
      </c>
      <c r="C308" t="s">
        <v>692</v>
      </c>
      <c r="D308" t="s">
        <v>658</v>
      </c>
      <c r="E308" s="452">
        <v>46295</v>
      </c>
      <c r="F308" s="452">
        <v>46300</v>
      </c>
      <c r="G308" t="s">
        <v>309</v>
      </c>
      <c r="H308" t="s">
        <v>317</v>
      </c>
      <c r="I308" t="s">
        <v>693</v>
      </c>
      <c r="J308">
        <v>-1500</v>
      </c>
      <c r="K308">
        <v>-1500</v>
      </c>
      <c r="O308" t="s">
        <v>571</v>
      </c>
      <c r="Q308" t="s">
        <v>469</v>
      </c>
      <c r="R308">
        <v>0</v>
      </c>
    </row>
    <row r="309" spans="1:18" x14ac:dyDescent="0.3">
      <c r="A309">
        <v>208300</v>
      </c>
      <c r="B309" t="s">
        <v>568</v>
      </c>
      <c r="C309" t="s">
        <v>430</v>
      </c>
      <c r="D309" t="s">
        <v>658</v>
      </c>
      <c r="E309" s="452">
        <v>46295</v>
      </c>
      <c r="F309" s="452">
        <v>46315</v>
      </c>
      <c r="G309" t="s">
        <v>697</v>
      </c>
      <c r="H309" t="s">
        <v>207</v>
      </c>
      <c r="J309">
        <v>-2100</v>
      </c>
      <c r="K309">
        <v>-2100</v>
      </c>
      <c r="O309" t="s">
        <v>571</v>
      </c>
      <c r="Q309" t="s">
        <v>469</v>
      </c>
      <c r="R309">
        <v>0</v>
      </c>
    </row>
    <row r="310" spans="1:18" x14ac:dyDescent="0.3">
      <c r="A310">
        <v>202403</v>
      </c>
      <c r="B310" t="s">
        <v>568</v>
      </c>
      <c r="C310" t="s">
        <v>696</v>
      </c>
      <c r="D310" t="s">
        <v>658</v>
      </c>
      <c r="E310" s="452">
        <v>46295</v>
      </c>
      <c r="F310" s="452">
        <v>46304</v>
      </c>
      <c r="G310" t="s">
        <v>672</v>
      </c>
      <c r="H310" t="s">
        <v>248</v>
      </c>
      <c r="J310">
        <v>-54.5</v>
      </c>
      <c r="K310">
        <v>-54.5</v>
      </c>
      <c r="O310" t="s">
        <v>571</v>
      </c>
      <c r="Q310" t="s">
        <v>469</v>
      </c>
      <c r="R310">
        <v>0</v>
      </c>
    </row>
    <row r="311" spans="1:18" x14ac:dyDescent="0.3">
      <c r="A311">
        <v>208520</v>
      </c>
      <c r="B311" t="s">
        <v>568</v>
      </c>
      <c r="C311" t="s">
        <v>699</v>
      </c>
      <c r="D311" t="s">
        <v>658</v>
      </c>
      <c r="E311" s="452">
        <v>46295</v>
      </c>
      <c r="F311" s="452">
        <v>46315</v>
      </c>
      <c r="G311" t="s">
        <v>697</v>
      </c>
      <c r="H311" t="s">
        <v>700</v>
      </c>
      <c r="J311">
        <v>-1300</v>
      </c>
      <c r="K311">
        <v>-1300</v>
      </c>
      <c r="O311" t="s">
        <v>571</v>
      </c>
      <c r="Q311" t="s">
        <v>469</v>
      </c>
      <c r="R311">
        <v>0</v>
      </c>
    </row>
    <row r="312" spans="1:18" x14ac:dyDescent="0.3">
      <c r="A312">
        <v>197359</v>
      </c>
      <c r="B312" t="s">
        <v>568</v>
      </c>
      <c r="C312" t="s">
        <v>699</v>
      </c>
      <c r="D312" t="s">
        <v>658</v>
      </c>
      <c r="E312" s="452">
        <v>46295</v>
      </c>
      <c r="F312" s="452">
        <v>46315</v>
      </c>
      <c r="G312" t="s">
        <v>309</v>
      </c>
      <c r="H312" t="s">
        <v>310</v>
      </c>
      <c r="I312" t="s">
        <v>701</v>
      </c>
      <c r="J312">
        <v>-100</v>
      </c>
      <c r="K312">
        <v>-100</v>
      </c>
      <c r="O312" t="s">
        <v>571</v>
      </c>
      <c r="Q312" t="s">
        <v>469</v>
      </c>
      <c r="R312">
        <v>0</v>
      </c>
    </row>
    <row r="313" spans="1:18" x14ac:dyDescent="0.3">
      <c r="A313">
        <v>226426</v>
      </c>
      <c r="B313" t="s">
        <v>568</v>
      </c>
      <c r="C313" t="s">
        <v>347</v>
      </c>
      <c r="D313" t="s">
        <v>658</v>
      </c>
      <c r="E313" s="452">
        <v>46295</v>
      </c>
      <c r="F313" s="452">
        <v>46325</v>
      </c>
      <c r="G313" t="s">
        <v>702</v>
      </c>
      <c r="H313" t="s">
        <v>347</v>
      </c>
      <c r="I313" t="s">
        <v>5</v>
      </c>
      <c r="J313">
        <v>-36970.120000000003</v>
      </c>
      <c r="K313">
        <v>-36970.120000000003</v>
      </c>
      <c r="O313" t="s">
        <v>571</v>
      </c>
      <c r="Q313" t="s">
        <v>469</v>
      </c>
      <c r="R313">
        <v>0</v>
      </c>
    </row>
    <row r="314" spans="1:18" x14ac:dyDescent="0.3">
      <c r="A314">
        <v>226421</v>
      </c>
      <c r="B314" t="s">
        <v>568</v>
      </c>
      <c r="C314" t="s">
        <v>703</v>
      </c>
      <c r="D314" t="s">
        <v>658</v>
      </c>
      <c r="E314" s="452">
        <v>46295</v>
      </c>
      <c r="F314" s="452">
        <v>46325</v>
      </c>
      <c r="G314" t="s">
        <v>702</v>
      </c>
      <c r="H314" t="s">
        <v>345</v>
      </c>
      <c r="I314" t="s">
        <v>5</v>
      </c>
      <c r="J314">
        <v>-16065.03</v>
      </c>
      <c r="K314">
        <v>-16065.03</v>
      </c>
      <c r="O314" t="s">
        <v>571</v>
      </c>
      <c r="Q314" t="s">
        <v>469</v>
      </c>
      <c r="R314">
        <v>0</v>
      </c>
    </row>
    <row r="315" spans="1:18" x14ac:dyDescent="0.3">
      <c r="A315">
        <v>236434</v>
      </c>
      <c r="B315" t="s">
        <v>568</v>
      </c>
      <c r="C315" t="s">
        <v>51</v>
      </c>
      <c r="D315" t="s">
        <v>658</v>
      </c>
      <c r="E315" s="452">
        <v>46295</v>
      </c>
      <c r="F315" s="452">
        <v>46305</v>
      </c>
      <c r="G315" t="s">
        <v>265</v>
      </c>
      <c r="H315" t="s">
        <v>272</v>
      </c>
      <c r="J315">
        <v>-50</v>
      </c>
      <c r="K315">
        <v>-50</v>
      </c>
      <c r="O315" t="s">
        <v>571</v>
      </c>
      <c r="Q315" t="s">
        <v>469</v>
      </c>
      <c r="R315">
        <v>0</v>
      </c>
    </row>
    <row r="316" spans="1:18" x14ac:dyDescent="0.3">
      <c r="A316">
        <v>209523</v>
      </c>
      <c r="B316" t="s">
        <v>568</v>
      </c>
      <c r="C316" t="s">
        <v>654</v>
      </c>
      <c r="D316" t="s">
        <v>658</v>
      </c>
      <c r="E316" s="452">
        <v>46293</v>
      </c>
      <c r="F316" s="452">
        <v>46315</v>
      </c>
      <c r="G316" t="s">
        <v>702</v>
      </c>
      <c r="H316" t="s">
        <v>343</v>
      </c>
      <c r="J316">
        <v>-37000</v>
      </c>
      <c r="K316">
        <v>-37000</v>
      </c>
      <c r="O316" t="s">
        <v>571</v>
      </c>
      <c r="Q316" t="s">
        <v>469</v>
      </c>
      <c r="R316">
        <v>0</v>
      </c>
    </row>
    <row r="317" spans="1:18" x14ac:dyDescent="0.3">
      <c r="A317">
        <v>197881</v>
      </c>
      <c r="B317" t="s">
        <v>568</v>
      </c>
      <c r="C317" t="s">
        <v>704</v>
      </c>
      <c r="D317" t="s">
        <v>658</v>
      </c>
      <c r="E317" s="452">
        <v>46290</v>
      </c>
      <c r="F317" s="452">
        <v>46320</v>
      </c>
      <c r="G317" t="s">
        <v>705</v>
      </c>
      <c r="H317" t="s">
        <v>114</v>
      </c>
      <c r="I317" t="s">
        <v>706</v>
      </c>
      <c r="J317">
        <v>-15000</v>
      </c>
      <c r="K317">
        <v>-15000</v>
      </c>
      <c r="O317" t="s">
        <v>571</v>
      </c>
      <c r="Q317" t="s">
        <v>469</v>
      </c>
      <c r="R317">
        <v>0</v>
      </c>
    </row>
    <row r="318" spans="1:18" x14ac:dyDescent="0.3">
      <c r="A318">
        <v>98070</v>
      </c>
      <c r="B318" t="s">
        <v>568</v>
      </c>
      <c r="C318" t="s">
        <v>628</v>
      </c>
      <c r="D318" t="s">
        <v>787</v>
      </c>
      <c r="E318" s="452">
        <v>46288</v>
      </c>
      <c r="F318" s="452">
        <v>46287</v>
      </c>
      <c r="G318" t="s">
        <v>613</v>
      </c>
      <c r="H318" t="s">
        <v>369</v>
      </c>
      <c r="I318" t="s">
        <v>630</v>
      </c>
      <c r="J318">
        <v>-20000</v>
      </c>
      <c r="K318">
        <v>-20000</v>
      </c>
      <c r="O318" t="s">
        <v>631</v>
      </c>
      <c r="Q318" t="s">
        <v>469</v>
      </c>
      <c r="R318">
        <v>0</v>
      </c>
    </row>
    <row r="319" spans="1:18" x14ac:dyDescent="0.3">
      <c r="A319">
        <v>191877</v>
      </c>
      <c r="B319" t="s">
        <v>568</v>
      </c>
      <c r="C319" t="s">
        <v>708</v>
      </c>
      <c r="D319" t="s">
        <v>658</v>
      </c>
      <c r="E319" s="452">
        <v>46285</v>
      </c>
      <c r="F319" s="452">
        <v>46300</v>
      </c>
      <c r="G319" t="s">
        <v>280</v>
      </c>
      <c r="H319" t="s">
        <v>282</v>
      </c>
      <c r="I319" t="s">
        <v>709</v>
      </c>
      <c r="J319">
        <v>-150</v>
      </c>
      <c r="K319">
        <v>-150</v>
      </c>
      <c r="O319" t="s">
        <v>571</v>
      </c>
      <c r="Q319" t="s">
        <v>469</v>
      </c>
      <c r="R319">
        <v>0</v>
      </c>
    </row>
    <row r="320" spans="1:18" x14ac:dyDescent="0.3">
      <c r="A320">
        <v>192878</v>
      </c>
      <c r="B320" t="s">
        <v>568</v>
      </c>
      <c r="C320" t="s">
        <v>692</v>
      </c>
      <c r="D320" t="s">
        <v>658</v>
      </c>
      <c r="E320" s="452">
        <v>46280</v>
      </c>
      <c r="F320" s="452">
        <v>46285</v>
      </c>
      <c r="G320" t="s">
        <v>309</v>
      </c>
      <c r="H320" t="s">
        <v>317</v>
      </c>
      <c r="I320" t="s">
        <v>710</v>
      </c>
      <c r="J320">
        <v>-1500</v>
      </c>
      <c r="K320">
        <v>-1500</v>
      </c>
      <c r="O320" t="s">
        <v>571</v>
      </c>
      <c r="Q320" t="s">
        <v>469</v>
      </c>
      <c r="R320">
        <v>0</v>
      </c>
    </row>
    <row r="321" spans="1:18" x14ac:dyDescent="0.3">
      <c r="A321">
        <v>192933</v>
      </c>
      <c r="B321" t="s">
        <v>568</v>
      </c>
      <c r="C321" t="s">
        <v>671</v>
      </c>
      <c r="D321" t="s">
        <v>658</v>
      </c>
      <c r="E321" s="452">
        <v>46280</v>
      </c>
      <c r="F321" s="452">
        <v>46280</v>
      </c>
      <c r="G321" t="s">
        <v>672</v>
      </c>
      <c r="H321" t="s">
        <v>240</v>
      </c>
      <c r="I321" t="s">
        <v>673</v>
      </c>
      <c r="J321">
        <v>-300</v>
      </c>
      <c r="K321">
        <v>-300</v>
      </c>
      <c r="O321" t="s">
        <v>571</v>
      </c>
      <c r="Q321" t="s">
        <v>469</v>
      </c>
      <c r="R321">
        <v>0</v>
      </c>
    </row>
    <row r="322" spans="1:18" x14ac:dyDescent="0.3">
      <c r="A322">
        <v>192145</v>
      </c>
      <c r="B322" t="s">
        <v>568</v>
      </c>
      <c r="C322" t="s">
        <v>711</v>
      </c>
      <c r="D322" t="s">
        <v>658</v>
      </c>
      <c r="E322" s="452">
        <v>46280</v>
      </c>
      <c r="F322" s="452">
        <v>46310</v>
      </c>
      <c r="G322" t="s">
        <v>280</v>
      </c>
      <c r="H322" t="s">
        <v>286</v>
      </c>
      <c r="I322" t="s">
        <v>712</v>
      </c>
      <c r="J322">
        <v>-389</v>
      </c>
      <c r="K322">
        <v>-389</v>
      </c>
      <c r="O322" t="s">
        <v>571</v>
      </c>
      <c r="Q322" t="s">
        <v>469</v>
      </c>
      <c r="R322">
        <v>0</v>
      </c>
    </row>
    <row r="323" spans="1:18" x14ac:dyDescent="0.3">
      <c r="A323">
        <v>191901</v>
      </c>
      <c r="B323" t="s">
        <v>568</v>
      </c>
      <c r="C323" t="s">
        <v>713</v>
      </c>
      <c r="D323" t="s">
        <v>658</v>
      </c>
      <c r="E323" s="452">
        <v>46277</v>
      </c>
      <c r="F323" s="452">
        <v>46289</v>
      </c>
      <c r="G323" t="s">
        <v>265</v>
      </c>
      <c r="H323" t="s">
        <v>267</v>
      </c>
      <c r="I323" t="s">
        <v>714</v>
      </c>
      <c r="J323">
        <v>-2100</v>
      </c>
      <c r="K323">
        <v>-2100</v>
      </c>
      <c r="O323" t="s">
        <v>571</v>
      </c>
      <c r="Q323" t="s">
        <v>469</v>
      </c>
      <c r="R323">
        <v>0</v>
      </c>
    </row>
    <row r="324" spans="1:18" x14ac:dyDescent="0.3">
      <c r="A324">
        <v>192814</v>
      </c>
      <c r="B324" t="s">
        <v>568</v>
      </c>
      <c r="C324" t="s">
        <v>715</v>
      </c>
      <c r="D324" t="s">
        <v>658</v>
      </c>
      <c r="E324" s="452">
        <v>46275</v>
      </c>
      <c r="F324" s="452">
        <v>46305</v>
      </c>
      <c r="G324" t="s">
        <v>319</v>
      </c>
      <c r="H324" t="s">
        <v>320</v>
      </c>
      <c r="I324" t="s">
        <v>716</v>
      </c>
      <c r="J324">
        <v>-285.56</v>
      </c>
      <c r="K324">
        <v>-285.56</v>
      </c>
      <c r="O324" t="s">
        <v>571</v>
      </c>
      <c r="Q324" t="s">
        <v>469</v>
      </c>
      <c r="R324">
        <v>0</v>
      </c>
    </row>
    <row r="325" spans="1:18" x14ac:dyDescent="0.3">
      <c r="A325">
        <v>192920</v>
      </c>
      <c r="B325" t="s">
        <v>568</v>
      </c>
      <c r="C325" t="s">
        <v>671</v>
      </c>
      <c r="D325" t="s">
        <v>658</v>
      </c>
      <c r="E325" s="452">
        <v>46273</v>
      </c>
      <c r="F325" s="452">
        <v>46273</v>
      </c>
      <c r="G325" t="s">
        <v>672</v>
      </c>
      <c r="H325" t="s">
        <v>240</v>
      </c>
      <c r="I325" t="s">
        <v>674</v>
      </c>
      <c r="J325">
        <v>-300</v>
      </c>
      <c r="K325">
        <v>-300</v>
      </c>
      <c r="O325" t="s">
        <v>571</v>
      </c>
      <c r="Q325" t="s">
        <v>469</v>
      </c>
      <c r="R325">
        <v>0</v>
      </c>
    </row>
    <row r="326" spans="1:18" x14ac:dyDescent="0.3">
      <c r="A326">
        <v>191913</v>
      </c>
      <c r="B326" t="s">
        <v>568</v>
      </c>
      <c r="C326" t="s">
        <v>713</v>
      </c>
      <c r="D326" t="s">
        <v>658</v>
      </c>
      <c r="E326" s="452">
        <v>46273</v>
      </c>
      <c r="F326" s="452">
        <v>46289</v>
      </c>
      <c r="G326" t="s">
        <v>265</v>
      </c>
      <c r="H326" t="s">
        <v>267</v>
      </c>
      <c r="I326" t="s">
        <v>717</v>
      </c>
      <c r="J326">
        <v>-3100</v>
      </c>
      <c r="K326">
        <v>-3100</v>
      </c>
      <c r="O326" t="s">
        <v>571</v>
      </c>
      <c r="Q326" t="s">
        <v>469</v>
      </c>
      <c r="R326">
        <v>0</v>
      </c>
    </row>
    <row r="327" spans="1:18" x14ac:dyDescent="0.3">
      <c r="A327">
        <v>223198</v>
      </c>
      <c r="B327" t="s">
        <v>568</v>
      </c>
      <c r="C327" t="s">
        <v>654</v>
      </c>
      <c r="D327" t="s">
        <v>788</v>
      </c>
      <c r="E327" s="452">
        <v>46273</v>
      </c>
      <c r="F327" s="452">
        <v>46295</v>
      </c>
      <c r="G327" t="s">
        <v>613</v>
      </c>
      <c r="H327" t="s">
        <v>369</v>
      </c>
      <c r="I327" t="s">
        <v>656</v>
      </c>
      <c r="J327">
        <v>-13662.94</v>
      </c>
      <c r="K327">
        <v>-13662.94</v>
      </c>
      <c r="O327" t="s">
        <v>571</v>
      </c>
      <c r="Q327" t="s">
        <v>469</v>
      </c>
      <c r="R327">
        <v>0</v>
      </c>
    </row>
    <row r="328" spans="1:18" x14ac:dyDescent="0.3">
      <c r="A328">
        <v>242104</v>
      </c>
      <c r="B328" t="s">
        <v>568</v>
      </c>
      <c r="C328" t="s">
        <v>789</v>
      </c>
      <c r="D328" t="s">
        <v>658</v>
      </c>
      <c r="E328" s="452">
        <v>46272</v>
      </c>
      <c r="F328" s="452">
        <v>46282</v>
      </c>
      <c r="G328" t="s">
        <v>790</v>
      </c>
      <c r="H328" t="s">
        <v>204</v>
      </c>
      <c r="I328" t="s">
        <v>791</v>
      </c>
      <c r="J328">
        <v>-4000</v>
      </c>
      <c r="K328">
        <v>-4000</v>
      </c>
      <c r="O328" t="s">
        <v>571</v>
      </c>
      <c r="Q328" t="s">
        <v>469</v>
      </c>
      <c r="R328">
        <v>0</v>
      </c>
    </row>
    <row r="329" spans="1:18" x14ac:dyDescent="0.3">
      <c r="A329">
        <v>218664</v>
      </c>
      <c r="B329" t="s">
        <v>568</v>
      </c>
      <c r="C329" t="s">
        <v>606</v>
      </c>
      <c r="D329" t="s">
        <v>658</v>
      </c>
      <c r="E329" s="452">
        <v>46266</v>
      </c>
      <c r="F329" s="452">
        <v>46346</v>
      </c>
      <c r="G329" t="s">
        <v>257</v>
      </c>
      <c r="H329" t="s">
        <v>258</v>
      </c>
      <c r="I329" t="s">
        <v>783</v>
      </c>
      <c r="J329">
        <v>-9067.9500000000007</v>
      </c>
      <c r="K329">
        <v>-9067.9500000000007</v>
      </c>
      <c r="O329" t="s">
        <v>571</v>
      </c>
      <c r="Q329" t="s">
        <v>469</v>
      </c>
      <c r="R329">
        <v>0</v>
      </c>
    </row>
    <row r="330" spans="1:18" x14ac:dyDescent="0.3">
      <c r="A330">
        <v>227722</v>
      </c>
      <c r="B330" t="s">
        <v>568</v>
      </c>
      <c r="C330" t="s">
        <v>720</v>
      </c>
      <c r="D330" t="s">
        <v>658</v>
      </c>
      <c r="E330" s="452">
        <v>46266</v>
      </c>
      <c r="F330" s="452">
        <v>46300</v>
      </c>
      <c r="G330" t="s">
        <v>280</v>
      </c>
      <c r="H330" t="s">
        <v>287</v>
      </c>
      <c r="I330" t="s">
        <v>777</v>
      </c>
      <c r="J330">
        <v>-436.5</v>
      </c>
      <c r="K330">
        <v>-436.5</v>
      </c>
      <c r="O330" t="s">
        <v>571</v>
      </c>
      <c r="Q330" t="s">
        <v>469</v>
      </c>
      <c r="R330">
        <v>0</v>
      </c>
    </row>
    <row r="331" spans="1:18" x14ac:dyDescent="0.3">
      <c r="A331">
        <v>218679</v>
      </c>
      <c r="B331" t="s">
        <v>568</v>
      </c>
      <c r="C331" t="s">
        <v>606</v>
      </c>
      <c r="D331" t="s">
        <v>658</v>
      </c>
      <c r="E331" s="452">
        <v>46266</v>
      </c>
      <c r="F331" s="452">
        <v>46305</v>
      </c>
      <c r="G331" t="s">
        <v>683</v>
      </c>
      <c r="H331" t="s">
        <v>289</v>
      </c>
      <c r="I331" t="s">
        <v>722</v>
      </c>
      <c r="J331">
        <v>-499.04</v>
      </c>
      <c r="K331">
        <v>-499.04</v>
      </c>
      <c r="O331" t="s">
        <v>571</v>
      </c>
      <c r="Q331" t="s">
        <v>469</v>
      </c>
      <c r="R331">
        <v>0</v>
      </c>
    </row>
    <row r="332" spans="1:18" x14ac:dyDescent="0.3">
      <c r="A332">
        <v>215978</v>
      </c>
      <c r="B332" t="s">
        <v>568</v>
      </c>
      <c r="C332" t="s">
        <v>606</v>
      </c>
      <c r="D332" t="s">
        <v>658</v>
      </c>
      <c r="E332" s="452">
        <v>46266</v>
      </c>
      <c r="F332" s="452">
        <v>46305</v>
      </c>
      <c r="G332" t="s">
        <v>257</v>
      </c>
      <c r="H332" t="s">
        <v>260</v>
      </c>
      <c r="I332" t="s">
        <v>784</v>
      </c>
      <c r="J332">
        <v>-2935.69</v>
      </c>
      <c r="K332">
        <v>-2935.69</v>
      </c>
      <c r="O332" t="s">
        <v>571</v>
      </c>
      <c r="Q332" t="s">
        <v>469</v>
      </c>
      <c r="R332">
        <v>0</v>
      </c>
    </row>
    <row r="333" spans="1:18" x14ac:dyDescent="0.3">
      <c r="A333">
        <v>197949</v>
      </c>
      <c r="B333" t="s">
        <v>568</v>
      </c>
      <c r="C333" t="s">
        <v>688</v>
      </c>
      <c r="D333" t="s">
        <v>658</v>
      </c>
      <c r="E333" s="452">
        <v>46266</v>
      </c>
      <c r="F333" s="452">
        <v>46305</v>
      </c>
      <c r="G333" t="s">
        <v>666</v>
      </c>
      <c r="H333" t="s">
        <v>667</v>
      </c>
      <c r="I333" t="s">
        <v>738</v>
      </c>
      <c r="J333">
        <v>-2656</v>
      </c>
      <c r="K333">
        <v>-2656</v>
      </c>
      <c r="O333" t="s">
        <v>571</v>
      </c>
      <c r="Q333" t="s">
        <v>469</v>
      </c>
      <c r="R333">
        <v>0</v>
      </c>
    </row>
    <row r="334" spans="1:18" x14ac:dyDescent="0.3">
      <c r="A334">
        <v>191817</v>
      </c>
      <c r="B334" t="s">
        <v>568</v>
      </c>
      <c r="C334" t="s">
        <v>740</v>
      </c>
      <c r="D334" t="s">
        <v>658</v>
      </c>
      <c r="E334" s="452">
        <v>46266</v>
      </c>
      <c r="F334" s="452">
        <v>46290</v>
      </c>
      <c r="G334" t="s">
        <v>265</v>
      </c>
      <c r="H334" t="s">
        <v>266</v>
      </c>
      <c r="I334" t="s">
        <v>741</v>
      </c>
      <c r="J334">
        <v>-9000</v>
      </c>
      <c r="K334">
        <v>-9000</v>
      </c>
      <c r="O334" t="s">
        <v>571</v>
      </c>
      <c r="Q334" t="s">
        <v>469</v>
      </c>
      <c r="R334">
        <v>0</v>
      </c>
    </row>
    <row r="335" spans="1:18" x14ac:dyDescent="0.3">
      <c r="A335">
        <v>199359</v>
      </c>
      <c r="B335" t="s">
        <v>568</v>
      </c>
      <c r="C335" t="s">
        <v>744</v>
      </c>
      <c r="D335" t="s">
        <v>658</v>
      </c>
      <c r="E335" s="452">
        <v>46266</v>
      </c>
      <c r="F335" s="452">
        <v>46304</v>
      </c>
      <c r="G335" t="s">
        <v>677</v>
      </c>
      <c r="H335" t="s">
        <v>678</v>
      </c>
      <c r="I335" t="s">
        <v>745</v>
      </c>
      <c r="J335">
        <v>-1500</v>
      </c>
      <c r="K335">
        <v>-1500</v>
      </c>
      <c r="M335" t="s">
        <v>746</v>
      </c>
      <c r="N335" t="s">
        <v>131</v>
      </c>
      <c r="O335" t="s">
        <v>571</v>
      </c>
      <c r="Q335" t="s">
        <v>469</v>
      </c>
      <c r="R335">
        <v>0</v>
      </c>
    </row>
    <row r="336" spans="1:18" x14ac:dyDescent="0.3">
      <c r="A336">
        <v>199953</v>
      </c>
      <c r="B336" t="s">
        <v>568</v>
      </c>
      <c r="C336" t="s">
        <v>676</v>
      </c>
      <c r="D336" t="s">
        <v>658</v>
      </c>
      <c r="E336" s="452">
        <v>46266</v>
      </c>
      <c r="F336" s="452">
        <v>46296</v>
      </c>
      <c r="G336" t="s">
        <v>677</v>
      </c>
      <c r="H336" t="s">
        <v>678</v>
      </c>
      <c r="I336" t="s">
        <v>745</v>
      </c>
      <c r="J336">
        <v>-1350</v>
      </c>
      <c r="K336">
        <v>-1350</v>
      </c>
      <c r="M336" t="s">
        <v>680</v>
      </c>
      <c r="N336" t="s">
        <v>134</v>
      </c>
      <c r="O336" t="s">
        <v>571</v>
      </c>
      <c r="Q336" t="s">
        <v>469</v>
      </c>
      <c r="R336">
        <v>0</v>
      </c>
    </row>
    <row r="337" spans="1:18" x14ac:dyDescent="0.3">
      <c r="A337">
        <v>192082</v>
      </c>
      <c r="B337" t="s">
        <v>568</v>
      </c>
      <c r="C337" t="s">
        <v>731</v>
      </c>
      <c r="D337" t="s">
        <v>658</v>
      </c>
      <c r="E337" s="452">
        <v>46266</v>
      </c>
      <c r="F337" s="452">
        <v>46280</v>
      </c>
      <c r="G337" t="s">
        <v>319</v>
      </c>
      <c r="H337" t="s">
        <v>321</v>
      </c>
      <c r="I337" t="s">
        <v>732</v>
      </c>
      <c r="J337">
        <v>-150</v>
      </c>
      <c r="K337">
        <v>-150</v>
      </c>
      <c r="O337" t="s">
        <v>571</v>
      </c>
      <c r="Q337" t="s">
        <v>469</v>
      </c>
      <c r="R337">
        <v>0</v>
      </c>
    </row>
    <row r="338" spans="1:18" x14ac:dyDescent="0.3">
      <c r="A338">
        <v>191973</v>
      </c>
      <c r="B338" t="s">
        <v>568</v>
      </c>
      <c r="C338" t="s">
        <v>727</v>
      </c>
      <c r="D338" t="s">
        <v>658</v>
      </c>
      <c r="E338" s="452">
        <v>46266</v>
      </c>
      <c r="F338" s="452">
        <v>46285</v>
      </c>
      <c r="G338" t="s">
        <v>265</v>
      </c>
      <c r="H338" t="s">
        <v>272</v>
      </c>
      <c r="I338" t="s">
        <v>728</v>
      </c>
      <c r="J338">
        <v>-1000</v>
      </c>
      <c r="K338">
        <v>-1000</v>
      </c>
      <c r="O338" t="s">
        <v>571</v>
      </c>
      <c r="Q338" t="s">
        <v>469</v>
      </c>
      <c r="R338">
        <v>0</v>
      </c>
    </row>
    <row r="339" spans="1:18" x14ac:dyDescent="0.3">
      <c r="A339">
        <v>191741</v>
      </c>
      <c r="B339" t="s">
        <v>568</v>
      </c>
      <c r="C339" t="s">
        <v>735</v>
      </c>
      <c r="D339" t="s">
        <v>658</v>
      </c>
      <c r="E339" s="452">
        <v>46266</v>
      </c>
      <c r="F339" s="452">
        <v>46280</v>
      </c>
      <c r="G339" t="s">
        <v>309</v>
      </c>
      <c r="H339" t="s">
        <v>310</v>
      </c>
      <c r="I339" t="s">
        <v>736</v>
      </c>
      <c r="J339">
        <v>-2317.0300000000002</v>
      </c>
      <c r="K339">
        <v>-2317.0300000000002</v>
      </c>
      <c r="O339" t="s">
        <v>571</v>
      </c>
      <c r="Q339" t="s">
        <v>469</v>
      </c>
      <c r="R339">
        <v>0</v>
      </c>
    </row>
    <row r="340" spans="1:18" x14ac:dyDescent="0.3">
      <c r="A340">
        <v>191829</v>
      </c>
      <c r="B340" t="s">
        <v>568</v>
      </c>
      <c r="C340" t="s">
        <v>765</v>
      </c>
      <c r="D340" t="s">
        <v>658</v>
      </c>
      <c r="E340" s="452">
        <v>46266</v>
      </c>
      <c r="F340" s="452">
        <v>46290</v>
      </c>
      <c r="G340" t="s">
        <v>265</v>
      </c>
      <c r="H340" t="s">
        <v>268</v>
      </c>
      <c r="I340" t="s">
        <v>766</v>
      </c>
      <c r="J340">
        <v>-5000</v>
      </c>
      <c r="K340">
        <v>-5000</v>
      </c>
      <c r="O340" t="s">
        <v>571</v>
      </c>
      <c r="Q340" t="s">
        <v>469</v>
      </c>
      <c r="R340">
        <v>0</v>
      </c>
    </row>
    <row r="341" spans="1:18" x14ac:dyDescent="0.3">
      <c r="A341">
        <v>199346</v>
      </c>
      <c r="B341" t="s">
        <v>568</v>
      </c>
      <c r="C341" t="s">
        <v>753</v>
      </c>
      <c r="D341" t="s">
        <v>658</v>
      </c>
      <c r="E341" s="452">
        <v>46266</v>
      </c>
      <c r="F341" s="452">
        <v>46310</v>
      </c>
      <c r="G341" t="s">
        <v>677</v>
      </c>
      <c r="H341" t="s">
        <v>678</v>
      </c>
      <c r="I341" t="s">
        <v>754</v>
      </c>
      <c r="J341">
        <v>-8000</v>
      </c>
      <c r="K341">
        <v>-8000</v>
      </c>
      <c r="M341" t="s">
        <v>755</v>
      </c>
      <c r="N341" t="s">
        <v>132</v>
      </c>
      <c r="O341" t="s">
        <v>571</v>
      </c>
      <c r="Q341" t="s">
        <v>469</v>
      </c>
      <c r="R341">
        <v>0</v>
      </c>
    </row>
    <row r="342" spans="1:18" x14ac:dyDescent="0.3">
      <c r="A342">
        <v>197936</v>
      </c>
      <c r="B342" t="s">
        <v>568</v>
      </c>
      <c r="C342" t="s">
        <v>688</v>
      </c>
      <c r="D342" t="s">
        <v>658</v>
      </c>
      <c r="E342" s="452">
        <v>46266</v>
      </c>
      <c r="F342" s="452">
        <v>46285</v>
      </c>
      <c r="G342" t="s">
        <v>666</v>
      </c>
      <c r="H342" t="s">
        <v>667</v>
      </c>
      <c r="I342" t="s">
        <v>689</v>
      </c>
      <c r="J342">
        <v>-2656</v>
      </c>
      <c r="K342">
        <v>-2656</v>
      </c>
      <c r="O342" t="s">
        <v>571</v>
      </c>
      <c r="Q342" t="s">
        <v>469</v>
      </c>
      <c r="R342">
        <v>0</v>
      </c>
    </row>
    <row r="343" spans="1:18" x14ac:dyDescent="0.3">
      <c r="A343">
        <v>191865</v>
      </c>
      <c r="B343" t="s">
        <v>568</v>
      </c>
      <c r="C343" t="s">
        <v>708</v>
      </c>
      <c r="D343" t="s">
        <v>658</v>
      </c>
      <c r="E343" s="452">
        <v>46266</v>
      </c>
      <c r="F343" s="452">
        <v>46285</v>
      </c>
      <c r="G343" t="s">
        <v>280</v>
      </c>
      <c r="H343" t="s">
        <v>283</v>
      </c>
      <c r="I343" t="s">
        <v>737</v>
      </c>
      <c r="J343">
        <v>-400</v>
      </c>
      <c r="K343">
        <v>-400</v>
      </c>
      <c r="O343" t="s">
        <v>571</v>
      </c>
      <c r="Q343" t="s">
        <v>469</v>
      </c>
      <c r="R343">
        <v>0</v>
      </c>
    </row>
    <row r="344" spans="1:18" x14ac:dyDescent="0.3">
      <c r="A344">
        <v>192994</v>
      </c>
      <c r="B344" t="s">
        <v>568</v>
      </c>
      <c r="C344" t="s">
        <v>763</v>
      </c>
      <c r="D344" t="s">
        <v>658</v>
      </c>
      <c r="E344" s="452">
        <v>46266</v>
      </c>
      <c r="F344" s="452">
        <v>46300</v>
      </c>
      <c r="G344" t="s">
        <v>297</v>
      </c>
      <c r="H344" t="s">
        <v>302</v>
      </c>
      <c r="I344" t="s">
        <v>764</v>
      </c>
      <c r="J344">
        <v>-900</v>
      </c>
      <c r="K344">
        <v>-900</v>
      </c>
      <c r="O344" t="s">
        <v>571</v>
      </c>
      <c r="Q344" t="s">
        <v>469</v>
      </c>
      <c r="R344">
        <v>0</v>
      </c>
    </row>
    <row r="345" spans="1:18" x14ac:dyDescent="0.3">
      <c r="A345">
        <v>192612</v>
      </c>
      <c r="B345" t="s">
        <v>568</v>
      </c>
      <c r="C345" t="s">
        <v>682</v>
      </c>
      <c r="D345" t="s">
        <v>658</v>
      </c>
      <c r="E345" s="452">
        <v>46266</v>
      </c>
      <c r="F345" s="452">
        <v>46285</v>
      </c>
      <c r="G345" t="s">
        <v>683</v>
      </c>
      <c r="H345" t="s">
        <v>289</v>
      </c>
      <c r="I345" t="s">
        <v>684</v>
      </c>
      <c r="J345">
        <v>-1500</v>
      </c>
      <c r="K345">
        <v>-1500</v>
      </c>
      <c r="O345" t="s">
        <v>571</v>
      </c>
      <c r="Q345" t="s">
        <v>469</v>
      </c>
      <c r="R345">
        <v>0</v>
      </c>
    </row>
    <row r="346" spans="1:18" x14ac:dyDescent="0.3">
      <c r="A346">
        <v>99348</v>
      </c>
      <c r="B346" t="s">
        <v>568</v>
      </c>
      <c r="C346" t="s">
        <v>569</v>
      </c>
      <c r="E346" s="452">
        <v>46266</v>
      </c>
      <c r="F346" s="452">
        <v>46275</v>
      </c>
      <c r="G346" t="s">
        <v>257</v>
      </c>
      <c r="H346" t="s">
        <v>263</v>
      </c>
      <c r="I346" t="s">
        <v>570</v>
      </c>
      <c r="J346">
        <v>-12000</v>
      </c>
      <c r="K346">
        <v>-12000</v>
      </c>
      <c r="O346" t="s">
        <v>571</v>
      </c>
      <c r="Q346" t="s">
        <v>469</v>
      </c>
      <c r="R346">
        <v>0</v>
      </c>
    </row>
    <row r="347" spans="1:18" x14ac:dyDescent="0.3">
      <c r="A347">
        <v>192494</v>
      </c>
      <c r="B347" t="s">
        <v>568</v>
      </c>
      <c r="C347" t="s">
        <v>778</v>
      </c>
      <c r="D347" t="s">
        <v>658</v>
      </c>
      <c r="E347" s="452">
        <v>46266</v>
      </c>
      <c r="F347" s="452">
        <v>46285</v>
      </c>
      <c r="G347" t="s">
        <v>309</v>
      </c>
      <c r="H347" t="s">
        <v>313</v>
      </c>
      <c r="I347" t="s">
        <v>779</v>
      </c>
      <c r="J347">
        <v>-185</v>
      </c>
      <c r="K347">
        <v>-185</v>
      </c>
      <c r="O347" t="s">
        <v>571</v>
      </c>
      <c r="Q347" t="s">
        <v>469</v>
      </c>
      <c r="R347">
        <v>0</v>
      </c>
    </row>
    <row r="348" spans="1:18" x14ac:dyDescent="0.3">
      <c r="A348">
        <v>196430</v>
      </c>
      <c r="B348" t="s">
        <v>568</v>
      </c>
      <c r="C348" t="s">
        <v>665</v>
      </c>
      <c r="D348" t="s">
        <v>658</v>
      </c>
      <c r="E348" s="452">
        <v>46266</v>
      </c>
      <c r="F348" s="452">
        <v>46301</v>
      </c>
      <c r="G348" t="s">
        <v>666</v>
      </c>
      <c r="H348" t="s">
        <v>667</v>
      </c>
      <c r="I348" t="s">
        <v>668</v>
      </c>
      <c r="J348">
        <v>-25000</v>
      </c>
      <c r="K348">
        <v>-25000</v>
      </c>
      <c r="O348" t="s">
        <v>571</v>
      </c>
      <c r="Q348" t="s">
        <v>469</v>
      </c>
      <c r="R348">
        <v>0</v>
      </c>
    </row>
    <row r="349" spans="1:18" x14ac:dyDescent="0.3">
      <c r="A349">
        <v>192378</v>
      </c>
      <c r="B349" t="s">
        <v>568</v>
      </c>
      <c r="C349" t="s">
        <v>733</v>
      </c>
      <c r="D349" t="s">
        <v>658</v>
      </c>
      <c r="E349" s="452">
        <v>46266</v>
      </c>
      <c r="F349" s="452">
        <v>46307</v>
      </c>
      <c r="G349" t="s">
        <v>297</v>
      </c>
      <c r="H349" t="s">
        <v>299</v>
      </c>
      <c r="I349" t="s">
        <v>734</v>
      </c>
      <c r="J349">
        <v>-500</v>
      </c>
      <c r="K349">
        <v>-500</v>
      </c>
      <c r="O349" t="s">
        <v>571</v>
      </c>
      <c r="Q349" t="s">
        <v>469</v>
      </c>
      <c r="R349">
        <v>0</v>
      </c>
    </row>
    <row r="350" spans="1:18" x14ac:dyDescent="0.3">
      <c r="A350">
        <v>199981</v>
      </c>
      <c r="B350" t="s">
        <v>568</v>
      </c>
      <c r="C350" t="s">
        <v>747</v>
      </c>
      <c r="D350" t="s">
        <v>658</v>
      </c>
      <c r="E350" s="452">
        <v>46266</v>
      </c>
      <c r="F350" s="452">
        <v>46310</v>
      </c>
      <c r="G350" t="s">
        <v>677</v>
      </c>
      <c r="H350" t="s">
        <v>678</v>
      </c>
      <c r="I350" t="s">
        <v>745</v>
      </c>
      <c r="J350">
        <v>-600</v>
      </c>
      <c r="K350">
        <v>-600</v>
      </c>
      <c r="M350" t="s">
        <v>748</v>
      </c>
      <c r="N350" t="s">
        <v>75</v>
      </c>
      <c r="O350" t="s">
        <v>571</v>
      </c>
      <c r="Q350" t="s">
        <v>469</v>
      </c>
      <c r="R350">
        <v>0</v>
      </c>
    </row>
    <row r="351" spans="1:18" x14ac:dyDescent="0.3">
      <c r="A351">
        <v>192824</v>
      </c>
      <c r="B351" t="s">
        <v>568</v>
      </c>
      <c r="C351" t="s">
        <v>757</v>
      </c>
      <c r="D351" t="s">
        <v>658</v>
      </c>
      <c r="E351" s="452">
        <v>46266</v>
      </c>
      <c r="F351" s="452">
        <v>46280</v>
      </c>
      <c r="G351" t="s">
        <v>309</v>
      </c>
      <c r="H351" t="s">
        <v>317</v>
      </c>
      <c r="I351" t="s">
        <v>758</v>
      </c>
      <c r="J351">
        <v>-350</v>
      </c>
      <c r="K351">
        <v>-350</v>
      </c>
      <c r="O351" t="s">
        <v>571</v>
      </c>
      <c r="Q351" t="s">
        <v>469</v>
      </c>
      <c r="R351">
        <v>0</v>
      </c>
    </row>
    <row r="352" spans="1:18" x14ac:dyDescent="0.3">
      <c r="A352">
        <v>193419</v>
      </c>
      <c r="B352" t="s">
        <v>568</v>
      </c>
      <c r="C352" t="s">
        <v>723</v>
      </c>
      <c r="D352" t="s">
        <v>658</v>
      </c>
      <c r="E352" s="452">
        <v>46266</v>
      </c>
      <c r="F352" s="452">
        <v>46283</v>
      </c>
      <c r="G352" t="s">
        <v>724</v>
      </c>
      <c r="H352" t="s">
        <v>725</v>
      </c>
      <c r="I352" t="s">
        <v>726</v>
      </c>
      <c r="J352">
        <v>-400</v>
      </c>
      <c r="K352">
        <v>-400</v>
      </c>
      <c r="O352" t="s">
        <v>571</v>
      </c>
      <c r="Q352" t="s">
        <v>469</v>
      </c>
      <c r="R352">
        <v>0</v>
      </c>
    </row>
    <row r="353" spans="1:18" x14ac:dyDescent="0.3">
      <c r="A353">
        <v>192862</v>
      </c>
      <c r="B353" t="s">
        <v>568</v>
      </c>
      <c r="C353" t="s">
        <v>662</v>
      </c>
      <c r="D353" t="s">
        <v>658</v>
      </c>
      <c r="E353" s="452">
        <v>46266</v>
      </c>
      <c r="F353" s="452">
        <v>46285</v>
      </c>
      <c r="G353" t="s">
        <v>280</v>
      </c>
      <c r="H353" t="s">
        <v>284</v>
      </c>
      <c r="I353" t="s">
        <v>663</v>
      </c>
      <c r="J353">
        <v>-181.27</v>
      </c>
      <c r="K353">
        <v>-181.27</v>
      </c>
      <c r="O353" t="s">
        <v>571</v>
      </c>
      <c r="Q353" t="s">
        <v>469</v>
      </c>
      <c r="R353">
        <v>0</v>
      </c>
    </row>
    <row r="354" spans="1:18" x14ac:dyDescent="0.3">
      <c r="A354">
        <v>192345</v>
      </c>
      <c r="B354" t="s">
        <v>568</v>
      </c>
      <c r="C354" t="s">
        <v>742</v>
      </c>
      <c r="D354" t="s">
        <v>658</v>
      </c>
      <c r="E354" s="452">
        <v>46266</v>
      </c>
      <c r="F354" s="452">
        <v>46275</v>
      </c>
      <c r="G354" t="s">
        <v>280</v>
      </c>
      <c r="H354" t="s">
        <v>282</v>
      </c>
      <c r="I354" t="s">
        <v>743</v>
      </c>
      <c r="J354">
        <v>-249.9</v>
      </c>
      <c r="K354">
        <v>-249.9</v>
      </c>
      <c r="O354" t="s">
        <v>571</v>
      </c>
      <c r="Q354" t="s">
        <v>469</v>
      </c>
      <c r="R354">
        <v>0</v>
      </c>
    </row>
    <row r="355" spans="1:18" x14ac:dyDescent="0.3">
      <c r="A355">
        <v>196082</v>
      </c>
      <c r="B355" t="s">
        <v>568</v>
      </c>
      <c r="C355" t="s">
        <v>671</v>
      </c>
      <c r="D355" t="s">
        <v>658</v>
      </c>
      <c r="E355" s="452">
        <v>46266</v>
      </c>
      <c r="F355" s="452">
        <v>46260</v>
      </c>
      <c r="G355" t="s">
        <v>672</v>
      </c>
      <c r="H355" t="s">
        <v>240</v>
      </c>
      <c r="I355" t="s">
        <v>687</v>
      </c>
      <c r="J355">
        <v>-800</v>
      </c>
      <c r="K355">
        <v>-800</v>
      </c>
      <c r="O355" t="s">
        <v>571</v>
      </c>
      <c r="Q355" t="s">
        <v>469</v>
      </c>
      <c r="R355">
        <v>0</v>
      </c>
    </row>
    <row r="356" spans="1:18" x14ac:dyDescent="0.3">
      <c r="A356">
        <v>175530</v>
      </c>
      <c r="B356" t="s">
        <v>568</v>
      </c>
      <c r="C356" t="s">
        <v>606</v>
      </c>
      <c r="D356" t="s">
        <v>792</v>
      </c>
      <c r="E356" s="452">
        <v>46266</v>
      </c>
      <c r="F356" s="452">
        <v>46267</v>
      </c>
      <c r="G356" t="s">
        <v>613</v>
      </c>
      <c r="H356" t="s">
        <v>369</v>
      </c>
      <c r="I356" t="s">
        <v>614</v>
      </c>
      <c r="J356">
        <v>-5792.21</v>
      </c>
      <c r="K356">
        <v>-5792.21</v>
      </c>
      <c r="O356" t="s">
        <v>571</v>
      </c>
      <c r="Q356" t="s">
        <v>469</v>
      </c>
      <c r="R356">
        <v>0</v>
      </c>
    </row>
    <row r="357" spans="1:18" x14ac:dyDescent="0.3">
      <c r="A357">
        <v>192321</v>
      </c>
      <c r="B357" t="s">
        <v>568</v>
      </c>
      <c r="C357" t="s">
        <v>749</v>
      </c>
      <c r="D357" t="s">
        <v>658</v>
      </c>
      <c r="E357" s="452">
        <v>46266</v>
      </c>
      <c r="F357" s="452">
        <v>46298</v>
      </c>
      <c r="G357" t="s">
        <v>297</v>
      </c>
      <c r="H357" t="s">
        <v>298</v>
      </c>
      <c r="I357" t="s">
        <v>750</v>
      </c>
      <c r="J357">
        <v>-3000</v>
      </c>
      <c r="K357">
        <v>-3000</v>
      </c>
      <c r="M357" t="s">
        <v>751</v>
      </c>
      <c r="N357" t="s">
        <v>752</v>
      </c>
      <c r="O357" t="s">
        <v>571</v>
      </c>
      <c r="Q357" t="s">
        <v>469</v>
      </c>
      <c r="R357">
        <v>0</v>
      </c>
    </row>
    <row r="358" spans="1:18" x14ac:dyDescent="0.3">
      <c r="A358">
        <v>204974</v>
      </c>
      <c r="B358" t="s">
        <v>568</v>
      </c>
      <c r="C358" t="s">
        <v>685</v>
      </c>
      <c r="D358" t="s">
        <v>658</v>
      </c>
      <c r="E358" s="452">
        <v>46266</v>
      </c>
      <c r="F358" s="452">
        <v>46293</v>
      </c>
      <c r="G358" t="s">
        <v>672</v>
      </c>
      <c r="H358" t="s">
        <v>243</v>
      </c>
      <c r="I358" t="s">
        <v>686</v>
      </c>
      <c r="J358">
        <v>-300</v>
      </c>
      <c r="K358">
        <v>-300</v>
      </c>
      <c r="O358" t="s">
        <v>571</v>
      </c>
      <c r="Q358" t="s">
        <v>469</v>
      </c>
      <c r="R358">
        <v>0</v>
      </c>
    </row>
    <row r="359" spans="1:18" x14ac:dyDescent="0.3">
      <c r="A359">
        <v>192181</v>
      </c>
      <c r="B359" t="s">
        <v>568</v>
      </c>
      <c r="C359" t="s">
        <v>773</v>
      </c>
      <c r="D359" t="s">
        <v>658</v>
      </c>
      <c r="E359" s="452">
        <v>46266</v>
      </c>
      <c r="F359" s="452">
        <v>46285</v>
      </c>
      <c r="G359" t="s">
        <v>265</v>
      </c>
      <c r="H359" t="s">
        <v>271</v>
      </c>
      <c r="I359" t="s">
        <v>774</v>
      </c>
      <c r="J359">
        <v>-550</v>
      </c>
      <c r="K359">
        <v>-550</v>
      </c>
      <c r="O359" t="s">
        <v>571</v>
      </c>
      <c r="Q359" t="s">
        <v>469</v>
      </c>
      <c r="R359">
        <v>0</v>
      </c>
    </row>
    <row r="360" spans="1:18" x14ac:dyDescent="0.3">
      <c r="A360">
        <v>213328</v>
      </c>
      <c r="B360" t="s">
        <v>568</v>
      </c>
      <c r="C360" t="s">
        <v>676</v>
      </c>
      <c r="D360" t="s">
        <v>658</v>
      </c>
      <c r="E360" s="452">
        <v>46266</v>
      </c>
      <c r="F360" s="452">
        <v>46310</v>
      </c>
      <c r="G360" t="s">
        <v>677</v>
      </c>
      <c r="H360" t="s">
        <v>678</v>
      </c>
      <c r="I360" t="s">
        <v>679</v>
      </c>
      <c r="J360">
        <v>-1350</v>
      </c>
      <c r="K360">
        <v>-1350</v>
      </c>
      <c r="M360" t="s">
        <v>680</v>
      </c>
      <c r="N360" t="s">
        <v>134</v>
      </c>
      <c r="O360" t="s">
        <v>571</v>
      </c>
      <c r="Q360" t="s">
        <v>469</v>
      </c>
      <c r="R360">
        <v>0</v>
      </c>
    </row>
    <row r="361" spans="1:18" x14ac:dyDescent="0.3">
      <c r="A361">
        <v>175485</v>
      </c>
      <c r="B361" t="s">
        <v>568</v>
      </c>
      <c r="C361" t="s">
        <v>606</v>
      </c>
      <c r="E361" s="452">
        <v>46266</v>
      </c>
      <c r="F361" s="452">
        <v>46305</v>
      </c>
      <c r="G361" t="s">
        <v>257</v>
      </c>
      <c r="H361" t="s">
        <v>258</v>
      </c>
      <c r="I361" t="s">
        <v>785</v>
      </c>
      <c r="J361">
        <v>-32970</v>
      </c>
      <c r="K361">
        <v>-32970</v>
      </c>
      <c r="O361" t="s">
        <v>571</v>
      </c>
      <c r="Q361" t="s">
        <v>469</v>
      </c>
      <c r="R361">
        <v>0</v>
      </c>
    </row>
    <row r="362" spans="1:18" x14ac:dyDescent="0.3">
      <c r="A362">
        <v>196679</v>
      </c>
      <c r="B362" t="s">
        <v>568</v>
      </c>
      <c r="C362" t="s">
        <v>665</v>
      </c>
      <c r="D362" t="s">
        <v>658</v>
      </c>
      <c r="E362" s="452">
        <v>46266</v>
      </c>
      <c r="F362" s="452">
        <v>46285</v>
      </c>
      <c r="G362" t="s">
        <v>666</v>
      </c>
      <c r="H362" t="s">
        <v>667</v>
      </c>
      <c r="I362" t="s">
        <v>756</v>
      </c>
      <c r="J362">
        <v>-5000</v>
      </c>
      <c r="K362">
        <v>-5000</v>
      </c>
      <c r="O362" t="s">
        <v>571</v>
      </c>
      <c r="Q362" t="s">
        <v>469</v>
      </c>
      <c r="R362">
        <v>0</v>
      </c>
    </row>
    <row r="363" spans="1:18" x14ac:dyDescent="0.3">
      <c r="A363">
        <v>200006</v>
      </c>
      <c r="B363" t="s">
        <v>568</v>
      </c>
      <c r="C363" t="s">
        <v>759</v>
      </c>
      <c r="D363" t="s">
        <v>658</v>
      </c>
      <c r="E363" s="452">
        <v>46266</v>
      </c>
      <c r="F363" s="452">
        <v>46304</v>
      </c>
      <c r="G363" t="s">
        <v>677</v>
      </c>
      <c r="H363" t="s">
        <v>678</v>
      </c>
      <c r="I363" t="s">
        <v>745</v>
      </c>
      <c r="J363">
        <v>-1125</v>
      </c>
      <c r="K363">
        <v>-1125</v>
      </c>
      <c r="M363" t="s">
        <v>760</v>
      </c>
      <c r="N363" t="s">
        <v>131</v>
      </c>
      <c r="O363" t="s">
        <v>571</v>
      </c>
      <c r="Q363" t="s">
        <v>469</v>
      </c>
      <c r="R363">
        <v>0</v>
      </c>
    </row>
    <row r="364" spans="1:18" x14ac:dyDescent="0.3">
      <c r="A364">
        <v>192123</v>
      </c>
      <c r="B364" t="s">
        <v>568</v>
      </c>
      <c r="C364" t="s">
        <v>761</v>
      </c>
      <c r="D364" t="s">
        <v>658</v>
      </c>
      <c r="E364" s="452">
        <v>46266</v>
      </c>
      <c r="F364" s="452">
        <v>46285</v>
      </c>
      <c r="G364" t="s">
        <v>309</v>
      </c>
      <c r="H364" t="s">
        <v>312</v>
      </c>
      <c r="I364" t="s">
        <v>762</v>
      </c>
      <c r="J364">
        <v>-300</v>
      </c>
      <c r="K364">
        <v>-300</v>
      </c>
      <c r="O364" t="s">
        <v>571</v>
      </c>
      <c r="Q364" t="s">
        <v>469</v>
      </c>
      <c r="R364">
        <v>0</v>
      </c>
    </row>
    <row r="365" spans="1:18" x14ac:dyDescent="0.3">
      <c r="A365">
        <v>192906</v>
      </c>
      <c r="B365" t="s">
        <v>568</v>
      </c>
      <c r="C365" t="s">
        <v>671</v>
      </c>
      <c r="D365" t="s">
        <v>658</v>
      </c>
      <c r="E365" s="452">
        <v>46266</v>
      </c>
      <c r="F365" s="452">
        <v>46266</v>
      </c>
      <c r="G365" t="s">
        <v>672</v>
      </c>
      <c r="H365" t="s">
        <v>240</v>
      </c>
      <c r="I365" t="s">
        <v>681</v>
      </c>
      <c r="J365">
        <v>-300</v>
      </c>
      <c r="K365">
        <v>-300</v>
      </c>
      <c r="O365" t="s">
        <v>571</v>
      </c>
      <c r="Q365" t="s">
        <v>469</v>
      </c>
      <c r="R365">
        <v>0</v>
      </c>
    </row>
    <row r="366" spans="1:18" x14ac:dyDescent="0.3">
      <c r="A366">
        <v>199993</v>
      </c>
      <c r="B366" t="s">
        <v>568</v>
      </c>
      <c r="C366" t="s">
        <v>771</v>
      </c>
      <c r="D366" t="s">
        <v>658</v>
      </c>
      <c r="E366" s="452">
        <v>46266</v>
      </c>
      <c r="F366" s="452">
        <v>46310</v>
      </c>
      <c r="G366" t="s">
        <v>677</v>
      </c>
      <c r="H366" t="s">
        <v>678</v>
      </c>
      <c r="I366" t="s">
        <v>745</v>
      </c>
      <c r="J366">
        <v>-1750</v>
      </c>
      <c r="K366">
        <v>-1750</v>
      </c>
      <c r="M366" t="s">
        <v>772</v>
      </c>
      <c r="N366" t="s">
        <v>135</v>
      </c>
      <c r="O366" t="s">
        <v>571</v>
      </c>
      <c r="Q366" t="s">
        <v>469</v>
      </c>
      <c r="R366">
        <v>0</v>
      </c>
    </row>
    <row r="367" spans="1:18" x14ac:dyDescent="0.3">
      <c r="A367">
        <v>192108</v>
      </c>
      <c r="B367" t="s">
        <v>568</v>
      </c>
      <c r="C367" t="s">
        <v>767</v>
      </c>
      <c r="D367" t="s">
        <v>658</v>
      </c>
      <c r="E367" s="452">
        <v>46266</v>
      </c>
      <c r="F367" s="452">
        <v>46300</v>
      </c>
      <c r="G367" t="s">
        <v>309</v>
      </c>
      <c r="H367" t="s">
        <v>315</v>
      </c>
      <c r="I367" t="s">
        <v>768</v>
      </c>
      <c r="J367">
        <v>-940.94</v>
      </c>
      <c r="K367">
        <v>-940.94</v>
      </c>
      <c r="O367" t="s">
        <v>571</v>
      </c>
      <c r="Q367" t="s">
        <v>469</v>
      </c>
      <c r="R367">
        <v>0</v>
      </c>
    </row>
    <row r="368" spans="1:18" x14ac:dyDescent="0.3">
      <c r="A368">
        <v>196070</v>
      </c>
      <c r="B368" t="s">
        <v>568</v>
      </c>
      <c r="C368" t="s">
        <v>671</v>
      </c>
      <c r="D368" t="s">
        <v>658</v>
      </c>
      <c r="E368" s="452">
        <v>46266</v>
      </c>
      <c r="F368" s="452">
        <v>46262</v>
      </c>
      <c r="G368" t="s">
        <v>672</v>
      </c>
      <c r="H368" t="s">
        <v>240</v>
      </c>
      <c r="I368" t="s">
        <v>691</v>
      </c>
      <c r="J368">
        <v>-2500</v>
      </c>
      <c r="K368">
        <v>-2500</v>
      </c>
      <c r="O368" t="s">
        <v>571</v>
      </c>
      <c r="Q368" t="s">
        <v>469</v>
      </c>
      <c r="R368">
        <v>0</v>
      </c>
    </row>
    <row r="369" spans="1:18" x14ac:dyDescent="0.3">
      <c r="A369">
        <v>193019</v>
      </c>
      <c r="B369" t="s">
        <v>568</v>
      </c>
      <c r="C369" t="s">
        <v>769</v>
      </c>
      <c r="D369" t="s">
        <v>658</v>
      </c>
      <c r="E369" s="452">
        <v>46266</v>
      </c>
      <c r="F369" s="452">
        <v>46300</v>
      </c>
      <c r="G369" t="s">
        <v>280</v>
      </c>
      <c r="H369" t="s">
        <v>283</v>
      </c>
      <c r="I369" t="s">
        <v>770</v>
      </c>
      <c r="J369">
        <v>-23.5</v>
      </c>
      <c r="K369">
        <v>-23.5</v>
      </c>
      <c r="O369" t="s">
        <v>571</v>
      </c>
      <c r="Q369" t="s">
        <v>469</v>
      </c>
      <c r="R369">
        <v>0</v>
      </c>
    </row>
    <row r="370" spans="1:18" x14ac:dyDescent="0.3">
      <c r="A370">
        <v>242103</v>
      </c>
      <c r="B370" t="s">
        <v>568</v>
      </c>
      <c r="C370" t="s">
        <v>789</v>
      </c>
      <c r="D370" t="s">
        <v>658</v>
      </c>
      <c r="E370" s="452">
        <v>46265</v>
      </c>
      <c r="F370" s="452">
        <v>46275</v>
      </c>
      <c r="G370" t="s">
        <v>790</v>
      </c>
      <c r="H370" t="s">
        <v>204</v>
      </c>
      <c r="I370" t="s">
        <v>791</v>
      </c>
      <c r="J370">
        <v>-4000</v>
      </c>
      <c r="K370">
        <v>-4000</v>
      </c>
      <c r="O370" t="s">
        <v>571</v>
      </c>
      <c r="Q370" t="s">
        <v>468</v>
      </c>
      <c r="R370">
        <v>0</v>
      </c>
    </row>
    <row r="371" spans="1:18" x14ac:dyDescent="0.3">
      <c r="A371">
        <v>236433</v>
      </c>
      <c r="B371" t="s">
        <v>568</v>
      </c>
      <c r="C371" t="s">
        <v>51</v>
      </c>
      <c r="D371" t="s">
        <v>658</v>
      </c>
      <c r="E371" s="452">
        <v>46264</v>
      </c>
      <c r="F371" s="452">
        <v>46275</v>
      </c>
      <c r="G371" t="s">
        <v>265</v>
      </c>
      <c r="H371" t="s">
        <v>272</v>
      </c>
      <c r="J371">
        <v>-50</v>
      </c>
      <c r="K371">
        <v>-50</v>
      </c>
      <c r="O371" t="s">
        <v>571</v>
      </c>
      <c r="Q371" t="s">
        <v>468</v>
      </c>
      <c r="R371">
        <v>0</v>
      </c>
    </row>
    <row r="372" spans="1:18" x14ac:dyDescent="0.3">
      <c r="A372">
        <v>192889</v>
      </c>
      <c r="B372" t="s">
        <v>568</v>
      </c>
      <c r="C372" t="s">
        <v>692</v>
      </c>
      <c r="D372" t="s">
        <v>658</v>
      </c>
      <c r="E372" s="452">
        <v>46264</v>
      </c>
      <c r="F372" s="452">
        <v>46270</v>
      </c>
      <c r="G372" t="s">
        <v>309</v>
      </c>
      <c r="H372" t="s">
        <v>317</v>
      </c>
      <c r="I372" t="s">
        <v>693</v>
      </c>
      <c r="J372">
        <v>-1500</v>
      </c>
      <c r="K372">
        <v>-1500</v>
      </c>
      <c r="O372" t="s">
        <v>571</v>
      </c>
      <c r="Q372" t="s">
        <v>468</v>
      </c>
      <c r="R372">
        <v>0</v>
      </c>
    </row>
    <row r="373" spans="1:18" x14ac:dyDescent="0.3">
      <c r="A373">
        <v>190628</v>
      </c>
      <c r="B373" t="s">
        <v>568</v>
      </c>
      <c r="C373" t="s">
        <v>50</v>
      </c>
      <c r="D373" t="s">
        <v>658</v>
      </c>
      <c r="E373" s="452">
        <v>46264</v>
      </c>
      <c r="F373" s="452">
        <v>46285</v>
      </c>
      <c r="G373" t="s">
        <v>694</v>
      </c>
      <c r="H373" t="s">
        <v>50</v>
      </c>
      <c r="I373" t="s">
        <v>695</v>
      </c>
      <c r="J373">
        <v>-15000</v>
      </c>
      <c r="K373">
        <v>-15000</v>
      </c>
      <c r="O373" t="s">
        <v>571</v>
      </c>
      <c r="Q373" t="s">
        <v>468</v>
      </c>
      <c r="R373">
        <v>0</v>
      </c>
    </row>
    <row r="374" spans="1:18" x14ac:dyDescent="0.3">
      <c r="A374">
        <v>197358</v>
      </c>
      <c r="B374" t="s">
        <v>568</v>
      </c>
      <c r="C374" t="s">
        <v>699</v>
      </c>
      <c r="D374" t="s">
        <v>658</v>
      </c>
      <c r="E374" s="452">
        <v>46264</v>
      </c>
      <c r="F374" s="452">
        <v>46285</v>
      </c>
      <c r="G374" t="s">
        <v>309</v>
      </c>
      <c r="H374" t="s">
        <v>310</v>
      </c>
      <c r="I374" t="s">
        <v>701</v>
      </c>
      <c r="J374">
        <v>-100</v>
      </c>
      <c r="K374">
        <v>-100</v>
      </c>
      <c r="O374" t="s">
        <v>571</v>
      </c>
      <c r="Q374" t="s">
        <v>468</v>
      </c>
      <c r="R374">
        <v>0</v>
      </c>
    </row>
    <row r="375" spans="1:18" x14ac:dyDescent="0.3">
      <c r="A375">
        <v>208519</v>
      </c>
      <c r="B375" t="s">
        <v>568</v>
      </c>
      <c r="C375" t="s">
        <v>699</v>
      </c>
      <c r="D375" t="s">
        <v>658</v>
      </c>
      <c r="E375" s="452">
        <v>46264</v>
      </c>
      <c r="F375" s="452">
        <v>46285</v>
      </c>
      <c r="G375" t="s">
        <v>697</v>
      </c>
      <c r="H375" t="s">
        <v>700</v>
      </c>
      <c r="J375">
        <v>-1300</v>
      </c>
      <c r="K375">
        <v>-1300</v>
      </c>
      <c r="O375" t="s">
        <v>571</v>
      </c>
      <c r="Q375" t="s">
        <v>468</v>
      </c>
      <c r="R375">
        <v>0</v>
      </c>
    </row>
    <row r="376" spans="1:18" x14ac:dyDescent="0.3">
      <c r="A376">
        <v>208299</v>
      </c>
      <c r="B376" t="s">
        <v>568</v>
      </c>
      <c r="C376" t="s">
        <v>430</v>
      </c>
      <c r="D376" t="s">
        <v>658</v>
      </c>
      <c r="E376" s="452">
        <v>46264</v>
      </c>
      <c r="F376" s="452">
        <v>46285</v>
      </c>
      <c r="G376" t="s">
        <v>697</v>
      </c>
      <c r="H376" t="s">
        <v>207</v>
      </c>
      <c r="J376">
        <v>-2100</v>
      </c>
      <c r="K376">
        <v>-2100</v>
      </c>
      <c r="O376" t="s">
        <v>571</v>
      </c>
      <c r="Q376" t="s">
        <v>468</v>
      </c>
      <c r="R376">
        <v>0</v>
      </c>
    </row>
    <row r="377" spans="1:18" x14ac:dyDescent="0.3">
      <c r="A377">
        <v>207040</v>
      </c>
      <c r="B377" t="s">
        <v>568</v>
      </c>
      <c r="C377" t="s">
        <v>431</v>
      </c>
      <c r="D377" t="s">
        <v>658</v>
      </c>
      <c r="E377" s="452">
        <v>46264</v>
      </c>
      <c r="F377" s="452">
        <v>46285</v>
      </c>
      <c r="G377" t="s">
        <v>697</v>
      </c>
      <c r="H377" t="s">
        <v>212</v>
      </c>
      <c r="I377" t="s">
        <v>698</v>
      </c>
      <c r="J377">
        <v>-3500</v>
      </c>
      <c r="K377">
        <v>-3500</v>
      </c>
      <c r="O377" t="s">
        <v>571</v>
      </c>
      <c r="Q377" t="s">
        <v>468</v>
      </c>
      <c r="R377">
        <v>0</v>
      </c>
    </row>
    <row r="378" spans="1:18" x14ac:dyDescent="0.3">
      <c r="A378">
        <v>202402</v>
      </c>
      <c r="B378" t="s">
        <v>568</v>
      </c>
      <c r="C378" t="s">
        <v>696</v>
      </c>
      <c r="D378" t="s">
        <v>658</v>
      </c>
      <c r="E378" s="452">
        <v>46264</v>
      </c>
      <c r="F378" s="452">
        <v>46274</v>
      </c>
      <c r="G378" t="s">
        <v>672</v>
      </c>
      <c r="H378" t="s">
        <v>248</v>
      </c>
      <c r="J378">
        <v>-54.5</v>
      </c>
      <c r="K378">
        <v>-54.5</v>
      </c>
      <c r="O378" t="s">
        <v>571</v>
      </c>
      <c r="Q378" t="s">
        <v>468</v>
      </c>
      <c r="R378">
        <v>0</v>
      </c>
    </row>
    <row r="379" spans="1:18" x14ac:dyDescent="0.3">
      <c r="A379">
        <v>209522</v>
      </c>
      <c r="B379" t="s">
        <v>568</v>
      </c>
      <c r="C379" t="s">
        <v>654</v>
      </c>
      <c r="D379" t="s">
        <v>658</v>
      </c>
      <c r="E379" s="452">
        <v>46262</v>
      </c>
      <c r="F379" s="452">
        <v>46285</v>
      </c>
      <c r="G379" t="s">
        <v>702</v>
      </c>
      <c r="H379" t="s">
        <v>343</v>
      </c>
      <c r="J379">
        <v>-37000</v>
      </c>
      <c r="K379">
        <v>-37000</v>
      </c>
      <c r="O379" t="s">
        <v>571</v>
      </c>
      <c r="Q379" t="s">
        <v>468</v>
      </c>
      <c r="R379">
        <v>0</v>
      </c>
    </row>
    <row r="380" spans="1:18" x14ac:dyDescent="0.3">
      <c r="A380">
        <v>197880</v>
      </c>
      <c r="B380" t="s">
        <v>568</v>
      </c>
      <c r="C380" t="s">
        <v>704</v>
      </c>
      <c r="D380" t="s">
        <v>658</v>
      </c>
      <c r="E380" s="452">
        <v>46259</v>
      </c>
      <c r="F380" s="452">
        <v>46290</v>
      </c>
      <c r="G380" t="s">
        <v>705</v>
      </c>
      <c r="H380" t="s">
        <v>114</v>
      </c>
      <c r="I380" t="s">
        <v>706</v>
      </c>
      <c r="J380">
        <v>-15000</v>
      </c>
      <c r="K380">
        <v>-15000</v>
      </c>
      <c r="O380" t="s">
        <v>571</v>
      </c>
      <c r="Q380" t="s">
        <v>468</v>
      </c>
      <c r="R380">
        <v>0</v>
      </c>
    </row>
    <row r="381" spans="1:18" x14ac:dyDescent="0.3">
      <c r="A381">
        <v>242102</v>
      </c>
      <c r="B381" t="s">
        <v>568</v>
      </c>
      <c r="C381" t="s">
        <v>789</v>
      </c>
      <c r="D381" t="s">
        <v>658</v>
      </c>
      <c r="E381" s="452">
        <v>46258</v>
      </c>
      <c r="F381" s="452">
        <v>46268</v>
      </c>
      <c r="G381" t="s">
        <v>790</v>
      </c>
      <c r="H381" t="s">
        <v>204</v>
      </c>
      <c r="I381" t="s">
        <v>791</v>
      </c>
      <c r="J381">
        <v>-4000</v>
      </c>
      <c r="K381">
        <v>-4000</v>
      </c>
      <c r="O381" t="s">
        <v>571</v>
      </c>
      <c r="Q381" t="s">
        <v>468</v>
      </c>
      <c r="R381">
        <v>0</v>
      </c>
    </row>
    <row r="382" spans="1:18" x14ac:dyDescent="0.3">
      <c r="A382">
        <v>98069</v>
      </c>
      <c r="B382" t="s">
        <v>568</v>
      </c>
      <c r="C382" t="s">
        <v>628</v>
      </c>
      <c r="D382" t="s">
        <v>793</v>
      </c>
      <c r="E382" s="452">
        <v>46257</v>
      </c>
      <c r="F382" s="452">
        <v>46256</v>
      </c>
      <c r="G382" t="s">
        <v>613</v>
      </c>
      <c r="H382" t="s">
        <v>369</v>
      </c>
      <c r="I382" t="s">
        <v>630</v>
      </c>
      <c r="J382">
        <v>-20000</v>
      </c>
      <c r="K382">
        <v>-20000</v>
      </c>
      <c r="O382" t="s">
        <v>631</v>
      </c>
      <c r="Q382" t="s">
        <v>468</v>
      </c>
      <c r="R382">
        <v>0</v>
      </c>
    </row>
    <row r="383" spans="1:18" x14ac:dyDescent="0.3">
      <c r="A383">
        <v>191876</v>
      </c>
      <c r="B383" t="s">
        <v>568</v>
      </c>
      <c r="C383" t="s">
        <v>708</v>
      </c>
      <c r="D383" t="s">
        <v>658</v>
      </c>
      <c r="E383" s="452">
        <v>46254</v>
      </c>
      <c r="F383" s="452">
        <v>46270</v>
      </c>
      <c r="G383" t="s">
        <v>280</v>
      </c>
      <c r="H383" t="s">
        <v>282</v>
      </c>
      <c r="I383" t="s">
        <v>709</v>
      </c>
      <c r="J383">
        <v>-150</v>
      </c>
      <c r="K383">
        <v>-150</v>
      </c>
      <c r="O383" t="s">
        <v>571</v>
      </c>
      <c r="Q383" t="s">
        <v>468</v>
      </c>
      <c r="R383">
        <v>0</v>
      </c>
    </row>
    <row r="384" spans="1:18" x14ac:dyDescent="0.3">
      <c r="A384">
        <v>242101</v>
      </c>
      <c r="B384" t="s">
        <v>568</v>
      </c>
      <c r="C384" t="s">
        <v>789</v>
      </c>
      <c r="D384" t="s">
        <v>658</v>
      </c>
      <c r="E384" s="452">
        <v>46251</v>
      </c>
      <c r="F384" s="452">
        <v>46261</v>
      </c>
      <c r="G384" t="s">
        <v>790</v>
      </c>
      <c r="H384" t="s">
        <v>204</v>
      </c>
      <c r="I384" t="s">
        <v>791</v>
      </c>
      <c r="J384">
        <v>-4000</v>
      </c>
      <c r="K384">
        <v>-4000</v>
      </c>
      <c r="O384" t="s">
        <v>571</v>
      </c>
      <c r="Q384" t="s">
        <v>468</v>
      </c>
      <c r="R384">
        <v>0</v>
      </c>
    </row>
    <row r="385" spans="1:18" x14ac:dyDescent="0.3">
      <c r="A385">
        <v>192877</v>
      </c>
      <c r="B385" t="s">
        <v>568</v>
      </c>
      <c r="C385" t="s">
        <v>692</v>
      </c>
      <c r="D385" t="s">
        <v>658</v>
      </c>
      <c r="E385" s="452">
        <v>46249</v>
      </c>
      <c r="F385" s="452">
        <v>46254</v>
      </c>
      <c r="G385" t="s">
        <v>309</v>
      </c>
      <c r="H385" t="s">
        <v>317</v>
      </c>
      <c r="I385" t="s">
        <v>710</v>
      </c>
      <c r="J385">
        <v>-1500</v>
      </c>
      <c r="K385">
        <v>-1500</v>
      </c>
      <c r="O385" t="s">
        <v>571</v>
      </c>
      <c r="Q385" t="s">
        <v>468</v>
      </c>
      <c r="R385">
        <v>0</v>
      </c>
    </row>
    <row r="386" spans="1:18" x14ac:dyDescent="0.3">
      <c r="A386">
        <v>192932</v>
      </c>
      <c r="B386" t="s">
        <v>568</v>
      </c>
      <c r="C386" t="s">
        <v>671</v>
      </c>
      <c r="D386" t="s">
        <v>794</v>
      </c>
      <c r="E386" s="452">
        <v>46249</v>
      </c>
      <c r="F386" s="452">
        <v>46251</v>
      </c>
      <c r="G386" t="s">
        <v>672</v>
      </c>
      <c r="H386" t="s">
        <v>240</v>
      </c>
      <c r="I386" t="s">
        <v>795</v>
      </c>
      <c r="J386">
        <v>-300</v>
      </c>
      <c r="K386">
        <v>-300</v>
      </c>
      <c r="O386" t="s">
        <v>631</v>
      </c>
      <c r="Q386" t="s">
        <v>468</v>
      </c>
      <c r="R386">
        <v>0</v>
      </c>
    </row>
    <row r="387" spans="1:18" x14ac:dyDescent="0.3">
      <c r="A387">
        <v>192144</v>
      </c>
      <c r="B387" t="s">
        <v>568</v>
      </c>
      <c r="C387" t="s">
        <v>711</v>
      </c>
      <c r="D387" t="s">
        <v>658</v>
      </c>
      <c r="E387" s="452">
        <v>46249</v>
      </c>
      <c r="F387" s="452">
        <v>46280</v>
      </c>
      <c r="G387" t="s">
        <v>280</v>
      </c>
      <c r="H387" t="s">
        <v>286</v>
      </c>
      <c r="I387" t="s">
        <v>712</v>
      </c>
      <c r="J387">
        <v>-389</v>
      </c>
      <c r="K387">
        <v>-389</v>
      </c>
      <c r="O387" t="s">
        <v>571</v>
      </c>
      <c r="Q387" t="s">
        <v>468</v>
      </c>
      <c r="R387">
        <v>0</v>
      </c>
    </row>
    <row r="388" spans="1:18" x14ac:dyDescent="0.3">
      <c r="A388">
        <v>191900</v>
      </c>
      <c r="B388" t="s">
        <v>568</v>
      </c>
      <c r="C388" t="s">
        <v>713</v>
      </c>
      <c r="D388" t="s">
        <v>658</v>
      </c>
      <c r="E388" s="452">
        <v>46246</v>
      </c>
      <c r="F388" s="452">
        <v>46258</v>
      </c>
      <c r="G388" t="s">
        <v>265</v>
      </c>
      <c r="H388" t="s">
        <v>267</v>
      </c>
      <c r="I388" t="s">
        <v>714</v>
      </c>
      <c r="J388">
        <v>-2100</v>
      </c>
      <c r="K388">
        <v>-2100</v>
      </c>
      <c r="O388" t="s">
        <v>571</v>
      </c>
      <c r="Q388" t="s">
        <v>468</v>
      </c>
      <c r="R388">
        <v>0</v>
      </c>
    </row>
    <row r="389" spans="1:18" x14ac:dyDescent="0.3">
      <c r="A389">
        <v>192813</v>
      </c>
      <c r="B389" t="s">
        <v>568</v>
      </c>
      <c r="C389" t="s">
        <v>715</v>
      </c>
      <c r="D389" t="s">
        <v>658</v>
      </c>
      <c r="E389" s="452">
        <v>46244</v>
      </c>
      <c r="F389" s="452">
        <v>46275</v>
      </c>
      <c r="G389" t="s">
        <v>319</v>
      </c>
      <c r="H389" t="s">
        <v>320</v>
      </c>
      <c r="I389" t="s">
        <v>716</v>
      </c>
      <c r="J389">
        <v>-285.56</v>
      </c>
      <c r="K389">
        <v>-285.56</v>
      </c>
      <c r="O389" t="s">
        <v>571</v>
      </c>
      <c r="Q389" t="s">
        <v>468</v>
      </c>
      <c r="R389">
        <v>0</v>
      </c>
    </row>
    <row r="390" spans="1:18" x14ac:dyDescent="0.3">
      <c r="A390">
        <v>242100</v>
      </c>
      <c r="B390" t="s">
        <v>568</v>
      </c>
      <c r="C390" t="s">
        <v>789</v>
      </c>
      <c r="D390" t="s">
        <v>658</v>
      </c>
      <c r="E390" s="452">
        <v>46244</v>
      </c>
      <c r="F390" s="452">
        <v>46254</v>
      </c>
      <c r="G390" t="s">
        <v>790</v>
      </c>
      <c r="H390" t="s">
        <v>204</v>
      </c>
      <c r="I390" t="s">
        <v>791</v>
      </c>
      <c r="J390">
        <v>-4000</v>
      </c>
      <c r="K390">
        <v>-4000</v>
      </c>
      <c r="O390" t="s">
        <v>571</v>
      </c>
      <c r="Q390" t="s">
        <v>468</v>
      </c>
      <c r="R390">
        <v>0</v>
      </c>
    </row>
    <row r="391" spans="1:18" x14ac:dyDescent="0.3">
      <c r="A391">
        <v>223197</v>
      </c>
      <c r="B391" t="s">
        <v>568</v>
      </c>
      <c r="C391" t="s">
        <v>654</v>
      </c>
      <c r="D391" t="s">
        <v>796</v>
      </c>
      <c r="E391" s="452">
        <v>46242</v>
      </c>
      <c r="F391" s="452">
        <v>46264</v>
      </c>
      <c r="G391" t="s">
        <v>613</v>
      </c>
      <c r="H391" t="s">
        <v>369</v>
      </c>
      <c r="I391" t="s">
        <v>656</v>
      </c>
      <c r="J391">
        <v>-13662.94</v>
      </c>
      <c r="K391">
        <v>-13662.94</v>
      </c>
      <c r="O391" t="s">
        <v>571</v>
      </c>
      <c r="Q391" t="s">
        <v>468</v>
      </c>
      <c r="R391">
        <v>0</v>
      </c>
    </row>
    <row r="392" spans="1:18" x14ac:dyDescent="0.3">
      <c r="A392">
        <v>191912</v>
      </c>
      <c r="B392" t="s">
        <v>568</v>
      </c>
      <c r="C392" t="s">
        <v>713</v>
      </c>
      <c r="D392" t="s">
        <v>658</v>
      </c>
      <c r="E392" s="452">
        <v>46242</v>
      </c>
      <c r="F392" s="452">
        <v>46258</v>
      </c>
      <c r="G392" t="s">
        <v>265</v>
      </c>
      <c r="H392" t="s">
        <v>267</v>
      </c>
      <c r="I392" t="s">
        <v>717</v>
      </c>
      <c r="J392">
        <v>-3100</v>
      </c>
      <c r="K392">
        <v>-3100</v>
      </c>
      <c r="O392" t="s">
        <v>571</v>
      </c>
      <c r="Q392" t="s">
        <v>468</v>
      </c>
      <c r="R392">
        <v>0</v>
      </c>
    </row>
    <row r="393" spans="1:18" x14ac:dyDescent="0.3">
      <c r="A393">
        <v>192918</v>
      </c>
      <c r="B393" t="s">
        <v>568</v>
      </c>
      <c r="C393" t="s">
        <v>671</v>
      </c>
      <c r="D393" t="s">
        <v>797</v>
      </c>
      <c r="E393" s="452">
        <v>46242</v>
      </c>
      <c r="F393" s="452">
        <v>46244</v>
      </c>
      <c r="G393" t="s">
        <v>672</v>
      </c>
      <c r="H393" t="s">
        <v>240</v>
      </c>
      <c r="I393" t="s">
        <v>798</v>
      </c>
      <c r="J393">
        <v>-300</v>
      </c>
      <c r="K393">
        <v>-300</v>
      </c>
      <c r="O393" t="s">
        <v>631</v>
      </c>
      <c r="Q393" t="s">
        <v>468</v>
      </c>
      <c r="R393">
        <v>0</v>
      </c>
    </row>
    <row r="394" spans="1:18" x14ac:dyDescent="0.3">
      <c r="A394">
        <v>242099</v>
      </c>
      <c r="B394" t="s">
        <v>568</v>
      </c>
      <c r="C394" t="s">
        <v>789</v>
      </c>
      <c r="D394" t="s">
        <v>658</v>
      </c>
      <c r="E394" s="452">
        <v>46237</v>
      </c>
      <c r="F394" s="452">
        <v>46247</v>
      </c>
      <c r="G394" t="s">
        <v>790</v>
      </c>
      <c r="H394" t="s">
        <v>204</v>
      </c>
      <c r="I394" t="s">
        <v>791</v>
      </c>
      <c r="J394">
        <v>-4000</v>
      </c>
      <c r="K394">
        <v>-4000</v>
      </c>
      <c r="O394" t="s">
        <v>571</v>
      </c>
      <c r="Q394" t="s">
        <v>468</v>
      </c>
      <c r="R394">
        <v>0</v>
      </c>
    </row>
    <row r="395" spans="1:18" x14ac:dyDescent="0.3">
      <c r="A395">
        <v>218678</v>
      </c>
      <c r="B395" t="s">
        <v>568</v>
      </c>
      <c r="C395" t="s">
        <v>606</v>
      </c>
      <c r="D395" t="s">
        <v>658</v>
      </c>
      <c r="E395" s="452">
        <v>46235</v>
      </c>
      <c r="F395" s="452">
        <v>46275</v>
      </c>
      <c r="G395" t="s">
        <v>683</v>
      </c>
      <c r="H395" t="s">
        <v>289</v>
      </c>
      <c r="I395" t="s">
        <v>722</v>
      </c>
      <c r="J395">
        <v>-499.04</v>
      </c>
      <c r="K395">
        <v>-499.04</v>
      </c>
      <c r="O395" t="s">
        <v>571</v>
      </c>
      <c r="Q395" t="s">
        <v>468</v>
      </c>
      <c r="R395">
        <v>0</v>
      </c>
    </row>
    <row r="396" spans="1:18" x14ac:dyDescent="0.3">
      <c r="A396">
        <v>239895</v>
      </c>
      <c r="B396" t="s">
        <v>568</v>
      </c>
      <c r="C396" t="s">
        <v>799</v>
      </c>
      <c r="D396" t="s">
        <v>800</v>
      </c>
      <c r="E396" s="452">
        <v>46235</v>
      </c>
      <c r="F396" s="452">
        <v>46252</v>
      </c>
      <c r="G396" t="s">
        <v>801</v>
      </c>
      <c r="H396" t="s">
        <v>351</v>
      </c>
      <c r="I396" t="s">
        <v>802</v>
      </c>
      <c r="J396">
        <v>-2430</v>
      </c>
      <c r="K396">
        <v>-2430</v>
      </c>
      <c r="O396" t="s">
        <v>631</v>
      </c>
      <c r="Q396" t="s">
        <v>468</v>
      </c>
      <c r="R396">
        <v>0</v>
      </c>
    </row>
    <row r="397" spans="1:18" x14ac:dyDescent="0.3">
      <c r="A397">
        <v>218663</v>
      </c>
      <c r="B397" t="s">
        <v>568</v>
      </c>
      <c r="C397" t="s">
        <v>606</v>
      </c>
      <c r="D397" t="s">
        <v>658</v>
      </c>
      <c r="E397" s="452">
        <v>46235</v>
      </c>
      <c r="F397" s="452">
        <v>46315</v>
      </c>
      <c r="G397" t="s">
        <v>257</v>
      </c>
      <c r="H397" t="s">
        <v>258</v>
      </c>
      <c r="I397" t="s">
        <v>783</v>
      </c>
      <c r="J397">
        <v>-9067.9500000000007</v>
      </c>
      <c r="K397">
        <v>-9067.9500000000007</v>
      </c>
      <c r="O397" t="s">
        <v>571</v>
      </c>
      <c r="Q397" t="s">
        <v>468</v>
      </c>
      <c r="R397">
        <v>0</v>
      </c>
    </row>
    <row r="398" spans="1:18" x14ac:dyDescent="0.3">
      <c r="A398">
        <v>227721</v>
      </c>
      <c r="B398" t="s">
        <v>568</v>
      </c>
      <c r="C398" t="s">
        <v>720</v>
      </c>
      <c r="D398" t="s">
        <v>658</v>
      </c>
      <c r="E398" s="452">
        <v>46235</v>
      </c>
      <c r="F398" s="452">
        <v>46270</v>
      </c>
      <c r="G398" t="s">
        <v>280</v>
      </c>
      <c r="H398" t="s">
        <v>287</v>
      </c>
      <c r="I398" t="s">
        <v>777</v>
      </c>
      <c r="J398">
        <v>-436.5</v>
      </c>
      <c r="K398">
        <v>-436.5</v>
      </c>
      <c r="O398" t="s">
        <v>571</v>
      </c>
      <c r="Q398" t="s">
        <v>468</v>
      </c>
      <c r="R398">
        <v>0</v>
      </c>
    </row>
    <row r="399" spans="1:18" x14ac:dyDescent="0.3">
      <c r="A399">
        <v>191740</v>
      </c>
      <c r="B399" t="s">
        <v>568</v>
      </c>
      <c r="C399" t="s">
        <v>735</v>
      </c>
      <c r="D399" t="s">
        <v>658</v>
      </c>
      <c r="E399" s="452">
        <v>46235</v>
      </c>
      <c r="F399" s="452">
        <v>46249</v>
      </c>
      <c r="G399" t="s">
        <v>309</v>
      </c>
      <c r="H399" t="s">
        <v>310</v>
      </c>
      <c r="I399" t="s">
        <v>736</v>
      </c>
      <c r="J399">
        <v>-2317.0300000000002</v>
      </c>
      <c r="K399">
        <v>-2317.0300000000002</v>
      </c>
      <c r="O399" t="s">
        <v>571</v>
      </c>
      <c r="Q399" t="s">
        <v>468</v>
      </c>
      <c r="R399">
        <v>0</v>
      </c>
    </row>
    <row r="400" spans="1:18" x14ac:dyDescent="0.3">
      <c r="A400">
        <v>196081</v>
      </c>
      <c r="B400" t="s">
        <v>568</v>
      </c>
      <c r="C400" t="s">
        <v>671</v>
      </c>
      <c r="D400" t="s">
        <v>658</v>
      </c>
      <c r="E400" s="452">
        <v>46235</v>
      </c>
      <c r="F400" s="452">
        <v>46229</v>
      </c>
      <c r="G400" t="s">
        <v>672</v>
      </c>
      <c r="H400" t="s">
        <v>240</v>
      </c>
      <c r="I400" t="s">
        <v>687</v>
      </c>
      <c r="J400">
        <v>-800</v>
      </c>
      <c r="K400">
        <v>-800</v>
      </c>
      <c r="O400" t="s">
        <v>571</v>
      </c>
      <c r="Q400" t="s">
        <v>468</v>
      </c>
      <c r="R400">
        <v>0</v>
      </c>
    </row>
    <row r="401" spans="1:18" x14ac:dyDescent="0.3">
      <c r="A401">
        <v>191864</v>
      </c>
      <c r="B401" t="s">
        <v>568</v>
      </c>
      <c r="C401" t="s">
        <v>708</v>
      </c>
      <c r="D401" t="s">
        <v>658</v>
      </c>
      <c r="E401" s="452">
        <v>46235</v>
      </c>
      <c r="F401" s="452">
        <v>46254</v>
      </c>
      <c r="G401" t="s">
        <v>280</v>
      </c>
      <c r="H401" t="s">
        <v>283</v>
      </c>
      <c r="I401" t="s">
        <v>737</v>
      </c>
      <c r="J401">
        <v>-400</v>
      </c>
      <c r="K401">
        <v>-400</v>
      </c>
      <c r="O401" t="s">
        <v>571</v>
      </c>
      <c r="Q401" t="s">
        <v>468</v>
      </c>
      <c r="R401">
        <v>0</v>
      </c>
    </row>
    <row r="402" spans="1:18" x14ac:dyDescent="0.3">
      <c r="A402">
        <v>191816</v>
      </c>
      <c r="B402" t="s">
        <v>568</v>
      </c>
      <c r="C402" t="s">
        <v>740</v>
      </c>
      <c r="D402" t="s">
        <v>658</v>
      </c>
      <c r="E402" s="452">
        <v>46235</v>
      </c>
      <c r="F402" s="452">
        <v>46259</v>
      </c>
      <c r="G402" t="s">
        <v>265</v>
      </c>
      <c r="H402" t="s">
        <v>266</v>
      </c>
      <c r="I402" t="s">
        <v>741</v>
      </c>
      <c r="J402">
        <v>-9000</v>
      </c>
      <c r="K402">
        <v>-9000</v>
      </c>
      <c r="O402" t="s">
        <v>571</v>
      </c>
      <c r="Q402" t="s">
        <v>468</v>
      </c>
      <c r="R402">
        <v>0</v>
      </c>
    </row>
    <row r="403" spans="1:18" x14ac:dyDescent="0.3">
      <c r="A403">
        <v>196069</v>
      </c>
      <c r="B403" t="s">
        <v>568</v>
      </c>
      <c r="C403" t="s">
        <v>671</v>
      </c>
      <c r="D403" t="s">
        <v>658</v>
      </c>
      <c r="E403" s="452">
        <v>46235</v>
      </c>
      <c r="F403" s="452">
        <v>46231</v>
      </c>
      <c r="G403" t="s">
        <v>672</v>
      </c>
      <c r="H403" t="s">
        <v>240</v>
      </c>
      <c r="I403" t="s">
        <v>691</v>
      </c>
      <c r="J403">
        <v>-2500</v>
      </c>
      <c r="K403">
        <v>-2500</v>
      </c>
      <c r="O403" t="s">
        <v>571</v>
      </c>
      <c r="Q403" t="s">
        <v>468</v>
      </c>
      <c r="R403">
        <v>0</v>
      </c>
    </row>
    <row r="404" spans="1:18" x14ac:dyDescent="0.3">
      <c r="A404">
        <v>193418</v>
      </c>
      <c r="B404" t="s">
        <v>568</v>
      </c>
      <c r="C404" t="s">
        <v>723</v>
      </c>
      <c r="D404" t="s">
        <v>658</v>
      </c>
      <c r="E404" s="452">
        <v>46235</v>
      </c>
      <c r="F404" s="452">
        <v>46252</v>
      </c>
      <c r="G404" t="s">
        <v>724</v>
      </c>
      <c r="H404" t="s">
        <v>725</v>
      </c>
      <c r="I404" t="s">
        <v>726</v>
      </c>
      <c r="J404">
        <v>-400</v>
      </c>
      <c r="K404">
        <v>-400</v>
      </c>
      <c r="O404" t="s">
        <v>571</v>
      </c>
      <c r="Q404" t="s">
        <v>468</v>
      </c>
      <c r="R404">
        <v>0</v>
      </c>
    </row>
    <row r="405" spans="1:18" x14ac:dyDescent="0.3">
      <c r="A405">
        <v>191828</v>
      </c>
      <c r="B405" t="s">
        <v>568</v>
      </c>
      <c r="C405" t="s">
        <v>765</v>
      </c>
      <c r="D405" t="s">
        <v>658</v>
      </c>
      <c r="E405" s="452">
        <v>46235</v>
      </c>
      <c r="F405" s="452">
        <v>46259</v>
      </c>
      <c r="G405" t="s">
        <v>265</v>
      </c>
      <c r="H405" t="s">
        <v>268</v>
      </c>
      <c r="I405" t="s">
        <v>766</v>
      </c>
      <c r="J405">
        <v>-5000</v>
      </c>
      <c r="K405">
        <v>-5000</v>
      </c>
      <c r="O405" t="s">
        <v>571</v>
      </c>
      <c r="Q405" t="s">
        <v>468</v>
      </c>
      <c r="R405">
        <v>0</v>
      </c>
    </row>
    <row r="406" spans="1:18" x14ac:dyDescent="0.3">
      <c r="A406">
        <v>196429</v>
      </c>
      <c r="B406" t="s">
        <v>568</v>
      </c>
      <c r="C406" t="s">
        <v>665</v>
      </c>
      <c r="D406" t="s">
        <v>658</v>
      </c>
      <c r="E406" s="452">
        <v>46235</v>
      </c>
      <c r="F406" s="452">
        <v>46271</v>
      </c>
      <c r="G406" t="s">
        <v>666</v>
      </c>
      <c r="H406" t="s">
        <v>667</v>
      </c>
      <c r="I406" t="s">
        <v>668</v>
      </c>
      <c r="J406">
        <v>-25000</v>
      </c>
      <c r="K406">
        <v>-25000</v>
      </c>
      <c r="O406" t="s">
        <v>571</v>
      </c>
      <c r="Q406" t="s">
        <v>468</v>
      </c>
      <c r="R406">
        <v>0</v>
      </c>
    </row>
    <row r="407" spans="1:18" x14ac:dyDescent="0.3">
      <c r="A407">
        <v>192823</v>
      </c>
      <c r="B407" t="s">
        <v>568</v>
      </c>
      <c r="C407" t="s">
        <v>757</v>
      </c>
      <c r="D407" t="s">
        <v>658</v>
      </c>
      <c r="E407" s="452">
        <v>46235</v>
      </c>
      <c r="F407" s="452">
        <v>46249</v>
      </c>
      <c r="G407" t="s">
        <v>309</v>
      </c>
      <c r="H407" t="s">
        <v>317</v>
      </c>
      <c r="I407" t="s">
        <v>758</v>
      </c>
      <c r="J407">
        <v>-350</v>
      </c>
      <c r="K407">
        <v>-350</v>
      </c>
      <c r="O407" t="s">
        <v>571</v>
      </c>
      <c r="Q407" t="s">
        <v>468</v>
      </c>
      <c r="R407">
        <v>0</v>
      </c>
    </row>
    <row r="408" spans="1:18" x14ac:dyDescent="0.3">
      <c r="A408">
        <v>193018</v>
      </c>
      <c r="B408" t="s">
        <v>568</v>
      </c>
      <c r="C408" t="s">
        <v>769</v>
      </c>
      <c r="D408" t="s">
        <v>658</v>
      </c>
      <c r="E408" s="452">
        <v>46235</v>
      </c>
      <c r="F408" s="452">
        <v>46270</v>
      </c>
      <c r="G408" t="s">
        <v>280</v>
      </c>
      <c r="H408" t="s">
        <v>283</v>
      </c>
      <c r="I408" t="s">
        <v>770</v>
      </c>
      <c r="J408">
        <v>-23.5</v>
      </c>
      <c r="K408">
        <v>-23.5</v>
      </c>
      <c r="O408" t="s">
        <v>571</v>
      </c>
      <c r="Q408" t="s">
        <v>468</v>
      </c>
      <c r="R408">
        <v>0</v>
      </c>
    </row>
    <row r="409" spans="1:18" x14ac:dyDescent="0.3">
      <c r="A409">
        <v>192993</v>
      </c>
      <c r="B409" t="s">
        <v>568</v>
      </c>
      <c r="C409" t="s">
        <v>763</v>
      </c>
      <c r="D409" t="s">
        <v>658</v>
      </c>
      <c r="E409" s="452">
        <v>46235</v>
      </c>
      <c r="F409" s="452">
        <v>46270</v>
      </c>
      <c r="G409" t="s">
        <v>297</v>
      </c>
      <c r="H409" t="s">
        <v>302</v>
      </c>
      <c r="I409" t="s">
        <v>764</v>
      </c>
      <c r="J409">
        <v>-900</v>
      </c>
      <c r="K409">
        <v>-900</v>
      </c>
      <c r="O409" t="s">
        <v>571</v>
      </c>
      <c r="Q409" t="s">
        <v>468</v>
      </c>
      <c r="R409">
        <v>0</v>
      </c>
    </row>
    <row r="410" spans="1:18" x14ac:dyDescent="0.3">
      <c r="A410">
        <v>196678</v>
      </c>
      <c r="B410" t="s">
        <v>568</v>
      </c>
      <c r="C410" t="s">
        <v>665</v>
      </c>
      <c r="D410" t="s">
        <v>658</v>
      </c>
      <c r="E410" s="452">
        <v>46235</v>
      </c>
      <c r="F410" s="452">
        <v>46254</v>
      </c>
      <c r="G410" t="s">
        <v>666</v>
      </c>
      <c r="H410" t="s">
        <v>667</v>
      </c>
      <c r="I410" t="s">
        <v>756</v>
      </c>
      <c r="J410">
        <v>-5000</v>
      </c>
      <c r="K410">
        <v>-5000</v>
      </c>
      <c r="O410" t="s">
        <v>571</v>
      </c>
      <c r="Q410" t="s">
        <v>468</v>
      </c>
      <c r="R410">
        <v>0</v>
      </c>
    </row>
    <row r="411" spans="1:18" x14ac:dyDescent="0.3">
      <c r="A411">
        <v>192905</v>
      </c>
      <c r="B411" t="s">
        <v>568</v>
      </c>
      <c r="C411" t="s">
        <v>671</v>
      </c>
      <c r="D411" t="s">
        <v>803</v>
      </c>
      <c r="E411" s="452">
        <v>46235</v>
      </c>
      <c r="F411" s="452">
        <v>46237</v>
      </c>
      <c r="G411" t="s">
        <v>672</v>
      </c>
      <c r="H411" t="s">
        <v>240</v>
      </c>
      <c r="I411" t="s">
        <v>804</v>
      </c>
      <c r="J411">
        <v>-300</v>
      </c>
      <c r="K411">
        <v>-300</v>
      </c>
      <c r="O411" t="s">
        <v>631</v>
      </c>
      <c r="Q411" t="s">
        <v>468</v>
      </c>
      <c r="R411">
        <v>0</v>
      </c>
    </row>
    <row r="412" spans="1:18" x14ac:dyDescent="0.3">
      <c r="A412">
        <v>192861</v>
      </c>
      <c r="B412" t="s">
        <v>568</v>
      </c>
      <c r="C412" t="s">
        <v>662</v>
      </c>
      <c r="D412" t="s">
        <v>658</v>
      </c>
      <c r="E412" s="452">
        <v>46235</v>
      </c>
      <c r="F412" s="452">
        <v>46254</v>
      </c>
      <c r="G412" t="s">
        <v>280</v>
      </c>
      <c r="H412" t="s">
        <v>284</v>
      </c>
      <c r="I412" t="s">
        <v>663</v>
      </c>
      <c r="J412">
        <v>-181.27</v>
      </c>
      <c r="K412">
        <v>-181.27</v>
      </c>
      <c r="O412" t="s">
        <v>571</v>
      </c>
      <c r="Q412" t="s">
        <v>468</v>
      </c>
      <c r="R412">
        <v>0</v>
      </c>
    </row>
    <row r="413" spans="1:18" x14ac:dyDescent="0.3">
      <c r="A413">
        <v>192611</v>
      </c>
      <c r="B413" t="s">
        <v>568</v>
      </c>
      <c r="C413" t="s">
        <v>682</v>
      </c>
      <c r="D413" t="s">
        <v>658</v>
      </c>
      <c r="E413" s="452">
        <v>46235</v>
      </c>
      <c r="F413" s="452">
        <v>46254</v>
      </c>
      <c r="G413" t="s">
        <v>683</v>
      </c>
      <c r="H413" t="s">
        <v>289</v>
      </c>
      <c r="I413" t="s">
        <v>684</v>
      </c>
      <c r="J413">
        <v>-1500</v>
      </c>
      <c r="K413">
        <v>-1500</v>
      </c>
      <c r="O413" t="s">
        <v>571</v>
      </c>
      <c r="Q413" t="s">
        <v>468</v>
      </c>
      <c r="R413">
        <v>0</v>
      </c>
    </row>
    <row r="414" spans="1:18" x14ac:dyDescent="0.3">
      <c r="A414">
        <v>192493</v>
      </c>
      <c r="B414" t="s">
        <v>568</v>
      </c>
      <c r="C414" t="s">
        <v>778</v>
      </c>
      <c r="D414" t="s">
        <v>658</v>
      </c>
      <c r="E414" s="452">
        <v>46235</v>
      </c>
      <c r="F414" s="452">
        <v>46254</v>
      </c>
      <c r="G414" t="s">
        <v>309</v>
      </c>
      <c r="H414" t="s">
        <v>313</v>
      </c>
      <c r="I414" t="s">
        <v>779</v>
      </c>
      <c r="J414">
        <v>-185</v>
      </c>
      <c r="K414">
        <v>-185</v>
      </c>
      <c r="O414" t="s">
        <v>571</v>
      </c>
      <c r="Q414" t="s">
        <v>468</v>
      </c>
      <c r="R414">
        <v>0</v>
      </c>
    </row>
    <row r="415" spans="1:18" x14ac:dyDescent="0.3">
      <c r="A415">
        <v>192377</v>
      </c>
      <c r="B415" t="s">
        <v>568</v>
      </c>
      <c r="C415" t="s">
        <v>733</v>
      </c>
      <c r="D415" t="s">
        <v>658</v>
      </c>
      <c r="E415" s="452">
        <v>46235</v>
      </c>
      <c r="F415" s="452">
        <v>46277</v>
      </c>
      <c r="G415" t="s">
        <v>297</v>
      </c>
      <c r="H415" t="s">
        <v>299</v>
      </c>
      <c r="I415" t="s">
        <v>734</v>
      </c>
      <c r="J415">
        <v>-500</v>
      </c>
      <c r="K415">
        <v>-500</v>
      </c>
      <c r="O415" t="s">
        <v>571</v>
      </c>
      <c r="Q415" t="s">
        <v>468</v>
      </c>
      <c r="R415">
        <v>0</v>
      </c>
    </row>
    <row r="416" spans="1:18" x14ac:dyDescent="0.3">
      <c r="A416">
        <v>192344</v>
      </c>
      <c r="B416" t="s">
        <v>568</v>
      </c>
      <c r="C416" t="s">
        <v>742</v>
      </c>
      <c r="D416" t="s">
        <v>658</v>
      </c>
      <c r="E416" s="452">
        <v>46235</v>
      </c>
      <c r="F416" s="452">
        <v>46244</v>
      </c>
      <c r="G416" t="s">
        <v>280</v>
      </c>
      <c r="H416" t="s">
        <v>282</v>
      </c>
      <c r="I416" t="s">
        <v>743</v>
      </c>
      <c r="J416">
        <v>-249.9</v>
      </c>
      <c r="K416">
        <v>-249.9</v>
      </c>
      <c r="O416" t="s">
        <v>571</v>
      </c>
      <c r="Q416" t="s">
        <v>468</v>
      </c>
      <c r="R416">
        <v>0</v>
      </c>
    </row>
    <row r="417" spans="1:18" x14ac:dyDescent="0.3">
      <c r="A417">
        <v>192320</v>
      </c>
      <c r="B417" t="s">
        <v>568</v>
      </c>
      <c r="C417" t="s">
        <v>749</v>
      </c>
      <c r="D417" t="s">
        <v>658</v>
      </c>
      <c r="E417" s="452">
        <v>46235</v>
      </c>
      <c r="F417" s="452">
        <v>46268</v>
      </c>
      <c r="G417" t="s">
        <v>297</v>
      </c>
      <c r="H417" t="s">
        <v>298</v>
      </c>
      <c r="I417" t="s">
        <v>750</v>
      </c>
      <c r="J417">
        <v>-3000</v>
      </c>
      <c r="K417">
        <v>-3000</v>
      </c>
      <c r="M417" t="s">
        <v>751</v>
      </c>
      <c r="N417" t="s">
        <v>752</v>
      </c>
      <c r="O417" t="s">
        <v>571</v>
      </c>
      <c r="Q417" t="s">
        <v>468</v>
      </c>
      <c r="R417">
        <v>0</v>
      </c>
    </row>
    <row r="418" spans="1:18" x14ac:dyDescent="0.3">
      <c r="A418">
        <v>191972</v>
      </c>
      <c r="B418" t="s">
        <v>568</v>
      </c>
      <c r="C418" t="s">
        <v>727</v>
      </c>
      <c r="D418" t="s">
        <v>658</v>
      </c>
      <c r="E418" s="452">
        <v>46235</v>
      </c>
      <c r="F418" s="452">
        <v>46254</v>
      </c>
      <c r="G418" t="s">
        <v>265</v>
      </c>
      <c r="H418" t="s">
        <v>272</v>
      </c>
      <c r="I418" t="s">
        <v>728</v>
      </c>
      <c r="J418">
        <v>-1000</v>
      </c>
      <c r="K418">
        <v>-1000</v>
      </c>
      <c r="O418" t="s">
        <v>571</v>
      </c>
      <c r="Q418" t="s">
        <v>468</v>
      </c>
      <c r="R418">
        <v>0</v>
      </c>
    </row>
    <row r="419" spans="1:18" x14ac:dyDescent="0.3">
      <c r="A419">
        <v>192180</v>
      </c>
      <c r="B419" t="s">
        <v>568</v>
      </c>
      <c r="C419" t="s">
        <v>773</v>
      </c>
      <c r="D419" t="s">
        <v>658</v>
      </c>
      <c r="E419" s="452">
        <v>46235</v>
      </c>
      <c r="F419" s="452">
        <v>46254</v>
      </c>
      <c r="G419" t="s">
        <v>265</v>
      </c>
      <c r="H419" t="s">
        <v>271</v>
      </c>
      <c r="I419" t="s">
        <v>774</v>
      </c>
      <c r="J419">
        <v>-550</v>
      </c>
      <c r="K419">
        <v>-550</v>
      </c>
      <c r="O419" t="s">
        <v>571</v>
      </c>
      <c r="Q419" t="s">
        <v>468</v>
      </c>
      <c r="R419">
        <v>0</v>
      </c>
    </row>
    <row r="420" spans="1:18" x14ac:dyDescent="0.3">
      <c r="A420">
        <v>192122</v>
      </c>
      <c r="B420" t="s">
        <v>568</v>
      </c>
      <c r="C420" t="s">
        <v>761</v>
      </c>
      <c r="D420" t="s">
        <v>658</v>
      </c>
      <c r="E420" s="452">
        <v>46235</v>
      </c>
      <c r="F420" s="452">
        <v>46254</v>
      </c>
      <c r="G420" t="s">
        <v>309</v>
      </c>
      <c r="H420" t="s">
        <v>312</v>
      </c>
      <c r="I420" t="s">
        <v>762</v>
      </c>
      <c r="J420">
        <v>-300</v>
      </c>
      <c r="K420">
        <v>-300</v>
      </c>
      <c r="O420" t="s">
        <v>571</v>
      </c>
      <c r="Q420" t="s">
        <v>468</v>
      </c>
      <c r="R420">
        <v>0</v>
      </c>
    </row>
    <row r="421" spans="1:18" x14ac:dyDescent="0.3">
      <c r="A421">
        <v>197935</v>
      </c>
      <c r="B421" t="s">
        <v>568</v>
      </c>
      <c r="C421" t="s">
        <v>688</v>
      </c>
      <c r="D421" t="s">
        <v>805</v>
      </c>
      <c r="E421" s="452">
        <v>46235</v>
      </c>
      <c r="F421" s="452">
        <v>46254</v>
      </c>
      <c r="G421" t="s">
        <v>666</v>
      </c>
      <c r="H421" t="s">
        <v>667</v>
      </c>
      <c r="I421" t="s">
        <v>806</v>
      </c>
      <c r="J421">
        <v>-2656</v>
      </c>
      <c r="K421">
        <v>-2656</v>
      </c>
      <c r="O421" t="s">
        <v>631</v>
      </c>
      <c r="Q421" t="s">
        <v>468</v>
      </c>
      <c r="R421">
        <v>0</v>
      </c>
    </row>
    <row r="422" spans="1:18" x14ac:dyDescent="0.3">
      <c r="A422">
        <v>192081</v>
      </c>
      <c r="B422" t="s">
        <v>568</v>
      </c>
      <c r="C422" t="s">
        <v>731</v>
      </c>
      <c r="D422" t="s">
        <v>658</v>
      </c>
      <c r="E422" s="452">
        <v>46235</v>
      </c>
      <c r="F422" s="452">
        <v>46249</v>
      </c>
      <c r="G422" t="s">
        <v>319</v>
      </c>
      <c r="H422" t="s">
        <v>321</v>
      </c>
      <c r="I422" t="s">
        <v>732</v>
      </c>
      <c r="J422">
        <v>-150</v>
      </c>
      <c r="K422">
        <v>-150</v>
      </c>
      <c r="O422" t="s">
        <v>571</v>
      </c>
      <c r="Q422" t="s">
        <v>468</v>
      </c>
      <c r="R422">
        <v>0</v>
      </c>
    </row>
    <row r="423" spans="1:18" x14ac:dyDescent="0.3">
      <c r="A423">
        <v>192107</v>
      </c>
      <c r="B423" t="s">
        <v>568</v>
      </c>
      <c r="C423" t="s">
        <v>767</v>
      </c>
      <c r="D423" t="s">
        <v>658</v>
      </c>
      <c r="E423" s="452">
        <v>46235</v>
      </c>
      <c r="F423" s="452">
        <v>46270</v>
      </c>
      <c r="G423" t="s">
        <v>309</v>
      </c>
      <c r="H423" t="s">
        <v>315</v>
      </c>
      <c r="I423" t="s">
        <v>768</v>
      </c>
      <c r="J423">
        <v>-940.94</v>
      </c>
      <c r="K423">
        <v>-940.94</v>
      </c>
      <c r="O423" t="s">
        <v>571</v>
      </c>
      <c r="Q423" t="s">
        <v>468</v>
      </c>
      <c r="R423">
        <v>0</v>
      </c>
    </row>
    <row r="424" spans="1:18" x14ac:dyDescent="0.3">
      <c r="A424">
        <v>199992</v>
      </c>
      <c r="B424" t="s">
        <v>568</v>
      </c>
      <c r="C424" t="s">
        <v>771</v>
      </c>
      <c r="D424" t="s">
        <v>658</v>
      </c>
      <c r="E424" s="452">
        <v>46235</v>
      </c>
      <c r="F424" s="452">
        <v>46280</v>
      </c>
      <c r="G424" t="s">
        <v>677</v>
      </c>
      <c r="H424" t="s">
        <v>678</v>
      </c>
      <c r="I424" t="s">
        <v>745</v>
      </c>
      <c r="J424">
        <v>-1750</v>
      </c>
      <c r="K424">
        <v>-1750</v>
      </c>
      <c r="M424" t="s">
        <v>772</v>
      </c>
      <c r="N424" t="s">
        <v>135</v>
      </c>
      <c r="O424" t="s">
        <v>571</v>
      </c>
      <c r="Q424" t="s">
        <v>468</v>
      </c>
      <c r="R424">
        <v>0</v>
      </c>
    </row>
    <row r="425" spans="1:18" x14ac:dyDescent="0.3">
      <c r="A425">
        <v>199952</v>
      </c>
      <c r="B425" t="s">
        <v>568</v>
      </c>
      <c r="C425" t="s">
        <v>676</v>
      </c>
      <c r="D425" t="s">
        <v>658</v>
      </c>
      <c r="E425" s="452">
        <v>46235</v>
      </c>
      <c r="F425" s="452">
        <v>46266</v>
      </c>
      <c r="G425" t="s">
        <v>677</v>
      </c>
      <c r="H425" t="s">
        <v>678</v>
      </c>
      <c r="I425" t="s">
        <v>745</v>
      </c>
      <c r="J425">
        <v>-1350</v>
      </c>
      <c r="K425">
        <v>-1350</v>
      </c>
      <c r="M425" t="s">
        <v>680</v>
      </c>
      <c r="N425" t="s">
        <v>134</v>
      </c>
      <c r="O425" t="s">
        <v>571</v>
      </c>
      <c r="Q425" t="s">
        <v>468</v>
      </c>
      <c r="R425">
        <v>0</v>
      </c>
    </row>
    <row r="426" spans="1:18" x14ac:dyDescent="0.3">
      <c r="A426">
        <v>175529</v>
      </c>
      <c r="B426" t="s">
        <v>568</v>
      </c>
      <c r="C426" t="s">
        <v>606</v>
      </c>
      <c r="D426" t="s">
        <v>807</v>
      </c>
      <c r="E426" s="452">
        <v>46235</v>
      </c>
      <c r="F426" s="452">
        <v>46236</v>
      </c>
      <c r="G426" t="s">
        <v>613</v>
      </c>
      <c r="H426" t="s">
        <v>369</v>
      </c>
      <c r="I426" t="s">
        <v>614</v>
      </c>
      <c r="J426">
        <v>-5792.21</v>
      </c>
      <c r="K426">
        <v>-5792.21</v>
      </c>
      <c r="O426" t="s">
        <v>571</v>
      </c>
      <c r="Q426" t="s">
        <v>468</v>
      </c>
      <c r="R426">
        <v>0</v>
      </c>
    </row>
    <row r="427" spans="1:18" x14ac:dyDescent="0.3">
      <c r="A427">
        <v>199358</v>
      </c>
      <c r="B427" t="s">
        <v>568</v>
      </c>
      <c r="C427" t="s">
        <v>744</v>
      </c>
      <c r="D427" t="s">
        <v>658</v>
      </c>
      <c r="E427" s="452">
        <v>46235</v>
      </c>
      <c r="F427" s="452">
        <v>46274</v>
      </c>
      <c r="G427" t="s">
        <v>677</v>
      </c>
      <c r="H427" t="s">
        <v>678</v>
      </c>
      <c r="I427" t="s">
        <v>745</v>
      </c>
      <c r="J427">
        <v>-1500</v>
      </c>
      <c r="K427">
        <v>-1500</v>
      </c>
      <c r="M427" t="s">
        <v>746</v>
      </c>
      <c r="N427" t="s">
        <v>131</v>
      </c>
      <c r="O427" t="s">
        <v>571</v>
      </c>
      <c r="Q427" t="s">
        <v>468</v>
      </c>
      <c r="R427">
        <v>0</v>
      </c>
    </row>
    <row r="428" spans="1:18" x14ac:dyDescent="0.3">
      <c r="A428">
        <v>215977</v>
      </c>
      <c r="B428" t="s">
        <v>568</v>
      </c>
      <c r="C428" t="s">
        <v>606</v>
      </c>
      <c r="D428" t="s">
        <v>658</v>
      </c>
      <c r="E428" s="452">
        <v>46235</v>
      </c>
      <c r="F428" s="452">
        <v>46275</v>
      </c>
      <c r="G428" t="s">
        <v>257</v>
      </c>
      <c r="H428" t="s">
        <v>260</v>
      </c>
      <c r="I428" t="s">
        <v>784</v>
      </c>
      <c r="J428">
        <v>-2935.69</v>
      </c>
      <c r="K428">
        <v>-2935.69</v>
      </c>
      <c r="O428" t="s">
        <v>571</v>
      </c>
      <c r="Q428" t="s">
        <v>468</v>
      </c>
      <c r="R428">
        <v>0</v>
      </c>
    </row>
    <row r="429" spans="1:18" x14ac:dyDescent="0.3">
      <c r="A429">
        <v>99347</v>
      </c>
      <c r="B429" t="s">
        <v>568</v>
      </c>
      <c r="C429" t="s">
        <v>569</v>
      </c>
      <c r="E429" s="452">
        <v>46235</v>
      </c>
      <c r="F429" s="452">
        <v>46244</v>
      </c>
      <c r="G429" t="s">
        <v>257</v>
      </c>
      <c r="H429" t="s">
        <v>263</v>
      </c>
      <c r="I429" t="s">
        <v>570</v>
      </c>
      <c r="J429">
        <v>-12000</v>
      </c>
      <c r="K429">
        <v>-12000</v>
      </c>
      <c r="O429" t="s">
        <v>571</v>
      </c>
      <c r="Q429" t="s">
        <v>468</v>
      </c>
      <c r="R429">
        <v>0</v>
      </c>
    </row>
    <row r="430" spans="1:18" x14ac:dyDescent="0.3">
      <c r="A430">
        <v>197948</v>
      </c>
      <c r="B430" t="s">
        <v>568</v>
      </c>
      <c r="C430" t="s">
        <v>688</v>
      </c>
      <c r="D430" t="s">
        <v>805</v>
      </c>
      <c r="E430" s="452">
        <v>46235</v>
      </c>
      <c r="F430" s="452">
        <v>46275</v>
      </c>
      <c r="G430" t="s">
        <v>666</v>
      </c>
      <c r="H430" t="s">
        <v>667</v>
      </c>
      <c r="I430" t="s">
        <v>808</v>
      </c>
      <c r="J430">
        <v>-2656</v>
      </c>
      <c r="K430">
        <v>-2656</v>
      </c>
      <c r="O430" t="s">
        <v>631</v>
      </c>
      <c r="Q430" t="s">
        <v>468</v>
      </c>
      <c r="R430">
        <v>0</v>
      </c>
    </row>
    <row r="431" spans="1:18" x14ac:dyDescent="0.3">
      <c r="A431">
        <v>204973</v>
      </c>
      <c r="B431" t="s">
        <v>568</v>
      </c>
      <c r="C431" t="s">
        <v>685</v>
      </c>
      <c r="D431" t="s">
        <v>658</v>
      </c>
      <c r="E431" s="452">
        <v>46235</v>
      </c>
      <c r="F431" s="452">
        <v>46262</v>
      </c>
      <c r="G431" t="s">
        <v>672</v>
      </c>
      <c r="H431" t="s">
        <v>243</v>
      </c>
      <c r="I431" t="s">
        <v>686</v>
      </c>
      <c r="J431">
        <v>-300</v>
      </c>
      <c r="K431">
        <v>-300</v>
      </c>
      <c r="O431" t="s">
        <v>571</v>
      </c>
      <c r="Q431" t="s">
        <v>468</v>
      </c>
      <c r="R431">
        <v>0</v>
      </c>
    </row>
    <row r="432" spans="1:18" x14ac:dyDescent="0.3">
      <c r="A432">
        <v>199345</v>
      </c>
      <c r="B432" t="s">
        <v>568</v>
      </c>
      <c r="C432" t="s">
        <v>753</v>
      </c>
      <c r="D432" t="s">
        <v>658</v>
      </c>
      <c r="E432" s="452">
        <v>46235</v>
      </c>
      <c r="F432" s="452">
        <v>46280</v>
      </c>
      <c r="G432" t="s">
        <v>677</v>
      </c>
      <c r="H432" t="s">
        <v>678</v>
      </c>
      <c r="I432" t="s">
        <v>754</v>
      </c>
      <c r="J432">
        <v>-8000</v>
      </c>
      <c r="K432">
        <v>-8000</v>
      </c>
      <c r="M432" t="s">
        <v>755</v>
      </c>
      <c r="N432" t="s">
        <v>132</v>
      </c>
      <c r="O432" t="s">
        <v>571</v>
      </c>
      <c r="Q432" t="s">
        <v>468</v>
      </c>
      <c r="R432">
        <v>0</v>
      </c>
    </row>
    <row r="433" spans="1:18" x14ac:dyDescent="0.3">
      <c r="A433">
        <v>213327</v>
      </c>
      <c r="B433" t="s">
        <v>568</v>
      </c>
      <c r="C433" t="s">
        <v>676</v>
      </c>
      <c r="D433" t="s">
        <v>658</v>
      </c>
      <c r="E433" s="452">
        <v>46235</v>
      </c>
      <c r="F433" s="452">
        <v>46280</v>
      </c>
      <c r="G433" t="s">
        <v>677</v>
      </c>
      <c r="H433" t="s">
        <v>678</v>
      </c>
      <c r="I433" t="s">
        <v>679</v>
      </c>
      <c r="J433">
        <v>-1350</v>
      </c>
      <c r="K433">
        <v>-1350</v>
      </c>
      <c r="M433" t="s">
        <v>680</v>
      </c>
      <c r="N433" t="s">
        <v>134</v>
      </c>
      <c r="O433" t="s">
        <v>571</v>
      </c>
      <c r="Q433" t="s">
        <v>468</v>
      </c>
      <c r="R433">
        <v>0</v>
      </c>
    </row>
    <row r="434" spans="1:18" x14ac:dyDescent="0.3">
      <c r="A434">
        <v>199980</v>
      </c>
      <c r="B434" t="s">
        <v>568</v>
      </c>
      <c r="C434" t="s">
        <v>747</v>
      </c>
      <c r="D434" t="s">
        <v>658</v>
      </c>
      <c r="E434" s="452">
        <v>46235</v>
      </c>
      <c r="F434" s="452">
        <v>46280</v>
      </c>
      <c r="G434" t="s">
        <v>677</v>
      </c>
      <c r="H434" t="s">
        <v>678</v>
      </c>
      <c r="I434" t="s">
        <v>745</v>
      </c>
      <c r="J434">
        <v>-600</v>
      </c>
      <c r="K434">
        <v>-600</v>
      </c>
      <c r="M434" t="s">
        <v>748</v>
      </c>
      <c r="N434" t="s">
        <v>75</v>
      </c>
      <c r="O434" t="s">
        <v>571</v>
      </c>
      <c r="Q434" t="s">
        <v>468</v>
      </c>
      <c r="R434">
        <v>0</v>
      </c>
    </row>
    <row r="435" spans="1:18" x14ac:dyDescent="0.3">
      <c r="A435">
        <v>175484</v>
      </c>
      <c r="B435" t="s">
        <v>568</v>
      </c>
      <c r="C435" t="s">
        <v>606</v>
      </c>
      <c r="E435" s="452">
        <v>46235</v>
      </c>
      <c r="F435" s="452">
        <v>46275</v>
      </c>
      <c r="G435" t="s">
        <v>257</v>
      </c>
      <c r="H435" t="s">
        <v>258</v>
      </c>
      <c r="I435" t="s">
        <v>785</v>
      </c>
      <c r="J435">
        <v>-32970</v>
      </c>
      <c r="K435">
        <v>-32970</v>
      </c>
      <c r="O435" t="s">
        <v>571</v>
      </c>
      <c r="Q435" t="s">
        <v>468</v>
      </c>
      <c r="R435">
        <v>0</v>
      </c>
    </row>
    <row r="436" spans="1:18" x14ac:dyDescent="0.3">
      <c r="A436">
        <v>200005</v>
      </c>
      <c r="B436" t="s">
        <v>568</v>
      </c>
      <c r="C436" t="s">
        <v>759</v>
      </c>
      <c r="D436" t="s">
        <v>658</v>
      </c>
      <c r="E436" s="452">
        <v>46235</v>
      </c>
      <c r="F436" s="452">
        <v>46274</v>
      </c>
      <c r="G436" t="s">
        <v>677</v>
      </c>
      <c r="H436" t="s">
        <v>678</v>
      </c>
      <c r="I436" t="s">
        <v>745</v>
      </c>
      <c r="J436">
        <v>-1125</v>
      </c>
      <c r="K436">
        <v>-1125</v>
      </c>
      <c r="M436" t="s">
        <v>760</v>
      </c>
      <c r="N436" t="s">
        <v>131</v>
      </c>
      <c r="O436" t="s">
        <v>571</v>
      </c>
      <c r="Q436" t="s">
        <v>468</v>
      </c>
      <c r="R436">
        <v>0</v>
      </c>
    </row>
    <row r="437" spans="1:18" x14ac:dyDescent="0.3">
      <c r="A437">
        <v>208518</v>
      </c>
      <c r="B437" t="s">
        <v>568</v>
      </c>
      <c r="C437" t="s">
        <v>699</v>
      </c>
      <c r="D437" t="s">
        <v>658</v>
      </c>
      <c r="E437" s="452">
        <v>46233</v>
      </c>
      <c r="F437" s="452">
        <v>46254</v>
      </c>
      <c r="G437" t="s">
        <v>697</v>
      </c>
      <c r="H437" t="s">
        <v>700</v>
      </c>
      <c r="J437">
        <v>-1300</v>
      </c>
      <c r="K437">
        <v>-1300</v>
      </c>
      <c r="O437" t="s">
        <v>571</v>
      </c>
      <c r="Q437" t="s">
        <v>467</v>
      </c>
      <c r="R437">
        <v>0</v>
      </c>
    </row>
    <row r="438" spans="1:18" x14ac:dyDescent="0.3">
      <c r="A438">
        <v>207039</v>
      </c>
      <c r="B438" t="s">
        <v>568</v>
      </c>
      <c r="C438" t="s">
        <v>431</v>
      </c>
      <c r="D438" t="s">
        <v>658</v>
      </c>
      <c r="E438" s="452">
        <v>46233</v>
      </c>
      <c r="F438" s="452">
        <v>46254</v>
      </c>
      <c r="G438" t="s">
        <v>697</v>
      </c>
      <c r="H438" t="s">
        <v>212</v>
      </c>
      <c r="I438" t="s">
        <v>698</v>
      </c>
      <c r="J438">
        <v>-3500</v>
      </c>
      <c r="K438">
        <v>-3500</v>
      </c>
      <c r="O438" t="s">
        <v>571</v>
      </c>
      <c r="Q438" t="s">
        <v>467</v>
      </c>
      <c r="R438">
        <v>0</v>
      </c>
    </row>
    <row r="439" spans="1:18" x14ac:dyDescent="0.3">
      <c r="A439">
        <v>192888</v>
      </c>
      <c r="B439" t="s">
        <v>568</v>
      </c>
      <c r="C439" t="s">
        <v>692</v>
      </c>
      <c r="D439" t="s">
        <v>658</v>
      </c>
      <c r="E439" s="452">
        <v>46233</v>
      </c>
      <c r="F439" s="452">
        <v>46239</v>
      </c>
      <c r="G439" t="s">
        <v>309</v>
      </c>
      <c r="H439" t="s">
        <v>317</v>
      </c>
      <c r="I439" t="s">
        <v>693</v>
      </c>
      <c r="J439">
        <v>-1500</v>
      </c>
      <c r="K439">
        <v>-1500</v>
      </c>
      <c r="O439" t="s">
        <v>571</v>
      </c>
      <c r="Q439" t="s">
        <v>467</v>
      </c>
      <c r="R439">
        <v>0</v>
      </c>
    </row>
    <row r="440" spans="1:18" x14ac:dyDescent="0.3">
      <c r="A440">
        <v>190627</v>
      </c>
      <c r="B440" t="s">
        <v>568</v>
      </c>
      <c r="C440" t="s">
        <v>50</v>
      </c>
      <c r="D440" t="s">
        <v>658</v>
      </c>
      <c r="E440" s="452">
        <v>46233</v>
      </c>
      <c r="F440" s="452">
        <v>46254</v>
      </c>
      <c r="G440" t="s">
        <v>694</v>
      </c>
      <c r="H440" t="s">
        <v>50</v>
      </c>
      <c r="I440" t="s">
        <v>695</v>
      </c>
      <c r="J440">
        <v>-15000</v>
      </c>
      <c r="K440">
        <v>-15000</v>
      </c>
      <c r="O440" t="s">
        <v>571</v>
      </c>
      <c r="Q440" t="s">
        <v>467</v>
      </c>
      <c r="R440">
        <v>0</v>
      </c>
    </row>
    <row r="441" spans="1:18" x14ac:dyDescent="0.3">
      <c r="A441">
        <v>202401</v>
      </c>
      <c r="B441" t="s">
        <v>568</v>
      </c>
      <c r="C441" t="s">
        <v>696</v>
      </c>
      <c r="D441" t="s">
        <v>658</v>
      </c>
      <c r="E441" s="452">
        <v>46233</v>
      </c>
      <c r="F441" s="452">
        <v>46243</v>
      </c>
      <c r="G441" t="s">
        <v>672</v>
      </c>
      <c r="H441" t="s">
        <v>248</v>
      </c>
      <c r="J441">
        <v>-54.5</v>
      </c>
      <c r="K441">
        <v>-54.5</v>
      </c>
      <c r="O441" t="s">
        <v>571</v>
      </c>
      <c r="Q441" t="s">
        <v>467</v>
      </c>
      <c r="R441">
        <v>0</v>
      </c>
    </row>
    <row r="442" spans="1:18" x14ac:dyDescent="0.3">
      <c r="A442">
        <v>197357</v>
      </c>
      <c r="B442" t="s">
        <v>568</v>
      </c>
      <c r="C442" t="s">
        <v>699</v>
      </c>
      <c r="D442" t="s">
        <v>658</v>
      </c>
      <c r="E442" s="452">
        <v>46233</v>
      </c>
      <c r="F442" s="452">
        <v>46254</v>
      </c>
      <c r="G442" t="s">
        <v>309</v>
      </c>
      <c r="H442" t="s">
        <v>310</v>
      </c>
      <c r="I442" t="s">
        <v>701</v>
      </c>
      <c r="J442">
        <v>-100</v>
      </c>
      <c r="K442">
        <v>-100</v>
      </c>
      <c r="O442" t="s">
        <v>571</v>
      </c>
      <c r="Q442" t="s">
        <v>467</v>
      </c>
      <c r="R442">
        <v>0</v>
      </c>
    </row>
    <row r="443" spans="1:18" x14ac:dyDescent="0.3">
      <c r="A443">
        <v>208298</v>
      </c>
      <c r="B443" t="s">
        <v>568</v>
      </c>
      <c r="C443" t="s">
        <v>430</v>
      </c>
      <c r="D443" t="s">
        <v>658</v>
      </c>
      <c r="E443" s="452">
        <v>46233</v>
      </c>
      <c r="F443" s="452">
        <v>46254</v>
      </c>
      <c r="G443" t="s">
        <v>697</v>
      </c>
      <c r="H443" t="s">
        <v>207</v>
      </c>
      <c r="J443">
        <v>-2100</v>
      </c>
      <c r="K443">
        <v>-2100</v>
      </c>
      <c r="O443" t="s">
        <v>571</v>
      </c>
      <c r="Q443" t="s">
        <v>467</v>
      </c>
      <c r="R443">
        <v>0</v>
      </c>
    </row>
    <row r="444" spans="1:18" x14ac:dyDescent="0.3">
      <c r="A444">
        <v>236432</v>
      </c>
      <c r="B444" t="s">
        <v>568</v>
      </c>
      <c r="C444" t="s">
        <v>51</v>
      </c>
      <c r="D444" t="s">
        <v>658</v>
      </c>
      <c r="E444" s="452">
        <v>46233</v>
      </c>
      <c r="F444" s="452">
        <v>46244</v>
      </c>
      <c r="G444" t="s">
        <v>265</v>
      </c>
      <c r="H444" t="s">
        <v>272</v>
      </c>
      <c r="J444">
        <v>-50</v>
      </c>
      <c r="K444">
        <v>-50</v>
      </c>
      <c r="O444" t="s">
        <v>571</v>
      </c>
      <c r="Q444" t="s">
        <v>467</v>
      </c>
      <c r="R444">
        <v>0</v>
      </c>
    </row>
    <row r="445" spans="1:18" x14ac:dyDescent="0.3">
      <c r="A445">
        <v>209521</v>
      </c>
      <c r="B445" t="s">
        <v>568</v>
      </c>
      <c r="C445" t="s">
        <v>654</v>
      </c>
      <c r="D445" t="s">
        <v>658</v>
      </c>
      <c r="E445" s="452">
        <v>46231</v>
      </c>
      <c r="F445" s="452">
        <v>46254</v>
      </c>
      <c r="G445" t="s">
        <v>702</v>
      </c>
      <c r="H445" t="s">
        <v>343</v>
      </c>
      <c r="J445">
        <v>-37000</v>
      </c>
      <c r="K445">
        <v>-37000</v>
      </c>
      <c r="O445" t="s">
        <v>571</v>
      </c>
      <c r="Q445" t="s">
        <v>467</v>
      </c>
      <c r="R445">
        <v>0</v>
      </c>
    </row>
    <row r="446" spans="1:18" x14ac:dyDescent="0.3">
      <c r="A446">
        <v>242098</v>
      </c>
      <c r="B446" t="s">
        <v>568</v>
      </c>
      <c r="C446" t="s">
        <v>789</v>
      </c>
      <c r="D446" t="s">
        <v>658</v>
      </c>
      <c r="E446" s="452">
        <v>46230</v>
      </c>
      <c r="F446" s="452">
        <v>46240</v>
      </c>
      <c r="G446" t="s">
        <v>790</v>
      </c>
      <c r="H446" t="s">
        <v>204</v>
      </c>
      <c r="I446" t="s">
        <v>791</v>
      </c>
      <c r="J446">
        <v>-4000</v>
      </c>
      <c r="K446">
        <v>-4000</v>
      </c>
      <c r="O446" t="s">
        <v>571</v>
      </c>
      <c r="Q446" t="s">
        <v>467</v>
      </c>
      <c r="R446">
        <v>0</v>
      </c>
    </row>
    <row r="447" spans="1:18" x14ac:dyDescent="0.3">
      <c r="A447">
        <v>197879</v>
      </c>
      <c r="B447" t="s">
        <v>568</v>
      </c>
      <c r="C447" t="s">
        <v>704</v>
      </c>
      <c r="D447" t="s">
        <v>658</v>
      </c>
      <c r="E447" s="452">
        <v>46228</v>
      </c>
      <c r="F447" s="452">
        <v>46259</v>
      </c>
      <c r="G447" t="s">
        <v>705</v>
      </c>
      <c r="H447" t="s">
        <v>114</v>
      </c>
      <c r="I447" t="s">
        <v>706</v>
      </c>
      <c r="J447">
        <v>-15000</v>
      </c>
      <c r="K447">
        <v>-15000</v>
      </c>
      <c r="O447" t="s">
        <v>571</v>
      </c>
      <c r="Q447" t="s">
        <v>467</v>
      </c>
      <c r="R447">
        <v>0</v>
      </c>
    </row>
    <row r="448" spans="1:18" x14ac:dyDescent="0.3">
      <c r="A448">
        <v>98068</v>
      </c>
      <c r="B448" t="s">
        <v>568</v>
      </c>
      <c r="C448" t="s">
        <v>628</v>
      </c>
      <c r="D448" t="s">
        <v>809</v>
      </c>
      <c r="E448" s="452">
        <v>46226</v>
      </c>
      <c r="F448" s="452">
        <v>46225</v>
      </c>
      <c r="G448" t="s">
        <v>613</v>
      </c>
      <c r="H448" t="s">
        <v>369</v>
      </c>
      <c r="I448" t="s">
        <v>630</v>
      </c>
      <c r="J448">
        <v>-100000</v>
      </c>
      <c r="K448">
        <v>-100000</v>
      </c>
      <c r="O448" t="s">
        <v>631</v>
      </c>
      <c r="Q448" t="s">
        <v>467</v>
      </c>
      <c r="R448">
        <v>0</v>
      </c>
    </row>
    <row r="449" spans="1:18" x14ac:dyDescent="0.3">
      <c r="A449">
        <v>191875</v>
      </c>
      <c r="B449" t="s">
        <v>568</v>
      </c>
      <c r="C449" t="s">
        <v>708</v>
      </c>
      <c r="D449" t="s">
        <v>658</v>
      </c>
      <c r="E449" s="452">
        <v>46223</v>
      </c>
      <c r="F449" s="452">
        <v>46239</v>
      </c>
      <c r="G449" t="s">
        <v>280</v>
      </c>
      <c r="H449" t="s">
        <v>282</v>
      </c>
      <c r="I449" t="s">
        <v>709</v>
      </c>
      <c r="J449">
        <v>-150</v>
      </c>
      <c r="K449">
        <v>-150</v>
      </c>
      <c r="O449" t="s">
        <v>571</v>
      </c>
      <c r="Q449" t="s">
        <v>467</v>
      </c>
      <c r="R449">
        <v>0</v>
      </c>
    </row>
    <row r="450" spans="1:18" x14ac:dyDescent="0.3">
      <c r="A450">
        <v>242097</v>
      </c>
      <c r="B450" t="s">
        <v>568</v>
      </c>
      <c r="C450" t="s">
        <v>789</v>
      </c>
      <c r="D450" t="s">
        <v>658</v>
      </c>
      <c r="E450" s="452">
        <v>46223</v>
      </c>
      <c r="F450" s="452">
        <v>46233</v>
      </c>
      <c r="G450" t="s">
        <v>790</v>
      </c>
      <c r="H450" t="s">
        <v>204</v>
      </c>
      <c r="I450" t="s">
        <v>791</v>
      </c>
      <c r="J450">
        <v>-4000</v>
      </c>
      <c r="K450">
        <v>-4000</v>
      </c>
      <c r="O450" t="s">
        <v>571</v>
      </c>
      <c r="Q450" t="s">
        <v>467</v>
      </c>
      <c r="R450">
        <v>0</v>
      </c>
    </row>
    <row r="451" spans="1:18" x14ac:dyDescent="0.3">
      <c r="A451">
        <v>192876</v>
      </c>
      <c r="B451" t="s">
        <v>568</v>
      </c>
      <c r="C451" t="s">
        <v>692</v>
      </c>
      <c r="D451" t="s">
        <v>658</v>
      </c>
      <c r="E451" s="452">
        <v>46218</v>
      </c>
      <c r="F451" s="452">
        <v>46223</v>
      </c>
      <c r="G451" t="s">
        <v>309</v>
      </c>
      <c r="H451" t="s">
        <v>317</v>
      </c>
      <c r="I451" t="s">
        <v>710</v>
      </c>
      <c r="J451">
        <v>-1500</v>
      </c>
      <c r="K451">
        <v>-1500</v>
      </c>
      <c r="O451" t="s">
        <v>571</v>
      </c>
      <c r="Q451" t="s">
        <v>467</v>
      </c>
      <c r="R451">
        <v>0</v>
      </c>
    </row>
    <row r="452" spans="1:18" x14ac:dyDescent="0.3">
      <c r="A452">
        <v>192931</v>
      </c>
      <c r="B452" t="s">
        <v>568</v>
      </c>
      <c r="C452" t="s">
        <v>671</v>
      </c>
      <c r="D452" t="s">
        <v>810</v>
      </c>
      <c r="E452" s="452">
        <v>46218</v>
      </c>
      <c r="F452" s="452">
        <v>46218</v>
      </c>
      <c r="G452" t="s">
        <v>672</v>
      </c>
      <c r="H452" t="s">
        <v>240</v>
      </c>
      <c r="I452" t="s">
        <v>811</v>
      </c>
      <c r="J452">
        <v>-300</v>
      </c>
      <c r="K452">
        <v>-300</v>
      </c>
      <c r="O452" t="s">
        <v>631</v>
      </c>
      <c r="Q452" t="s">
        <v>467</v>
      </c>
      <c r="R452">
        <v>0</v>
      </c>
    </row>
    <row r="453" spans="1:18" x14ac:dyDescent="0.3">
      <c r="A453">
        <v>192143</v>
      </c>
      <c r="B453" t="s">
        <v>568</v>
      </c>
      <c r="C453" t="s">
        <v>711</v>
      </c>
      <c r="D453" t="s">
        <v>658</v>
      </c>
      <c r="E453" s="452">
        <v>46218</v>
      </c>
      <c r="F453" s="452">
        <v>46249</v>
      </c>
      <c r="G453" t="s">
        <v>280</v>
      </c>
      <c r="H453" t="s">
        <v>286</v>
      </c>
      <c r="I453" t="s">
        <v>712</v>
      </c>
      <c r="J453">
        <v>-389</v>
      </c>
      <c r="K453">
        <v>-389</v>
      </c>
      <c r="O453" t="s">
        <v>571</v>
      </c>
      <c r="Q453" t="s">
        <v>467</v>
      </c>
      <c r="R453">
        <v>0</v>
      </c>
    </row>
    <row r="454" spans="1:18" x14ac:dyDescent="0.3">
      <c r="A454">
        <v>229049</v>
      </c>
      <c r="B454" t="s">
        <v>568</v>
      </c>
      <c r="C454" t="s">
        <v>812</v>
      </c>
      <c r="D454" t="s">
        <v>658</v>
      </c>
      <c r="E454" s="452">
        <v>46216</v>
      </c>
      <c r="F454" s="452">
        <v>46237</v>
      </c>
      <c r="G454" t="s">
        <v>813</v>
      </c>
      <c r="H454" t="s">
        <v>60</v>
      </c>
      <c r="I454" t="s">
        <v>814</v>
      </c>
      <c r="J454">
        <v>-1400</v>
      </c>
      <c r="K454">
        <v>-1400</v>
      </c>
      <c r="O454" t="s">
        <v>571</v>
      </c>
      <c r="Q454" t="s">
        <v>467</v>
      </c>
      <c r="R454">
        <v>0</v>
      </c>
    </row>
    <row r="455" spans="1:18" x14ac:dyDescent="0.3">
      <c r="A455">
        <v>242095</v>
      </c>
      <c r="B455" t="s">
        <v>568</v>
      </c>
      <c r="C455" t="s">
        <v>789</v>
      </c>
      <c r="D455" t="s">
        <v>658</v>
      </c>
      <c r="E455" s="452">
        <v>46216</v>
      </c>
      <c r="F455" s="452">
        <v>46226</v>
      </c>
      <c r="G455" t="s">
        <v>790</v>
      </c>
      <c r="H455" t="s">
        <v>204</v>
      </c>
      <c r="I455" t="s">
        <v>791</v>
      </c>
      <c r="J455">
        <v>-4000</v>
      </c>
      <c r="K455">
        <v>-4000</v>
      </c>
      <c r="O455" t="s">
        <v>571</v>
      </c>
      <c r="Q455" t="s">
        <v>467</v>
      </c>
      <c r="R455">
        <v>0</v>
      </c>
    </row>
    <row r="456" spans="1:18" x14ac:dyDescent="0.3">
      <c r="A456">
        <v>191899</v>
      </c>
      <c r="B456" t="s">
        <v>568</v>
      </c>
      <c r="C456" t="s">
        <v>713</v>
      </c>
      <c r="D456" t="s">
        <v>658</v>
      </c>
      <c r="E456" s="452">
        <v>46215</v>
      </c>
      <c r="F456" s="452">
        <v>46227</v>
      </c>
      <c r="G456" t="s">
        <v>265</v>
      </c>
      <c r="H456" t="s">
        <v>267</v>
      </c>
      <c r="I456" t="s">
        <v>714</v>
      </c>
      <c r="J456">
        <v>-2100</v>
      </c>
      <c r="K456">
        <v>-2100</v>
      </c>
      <c r="O456" t="s">
        <v>571</v>
      </c>
      <c r="Q456" t="s">
        <v>467</v>
      </c>
      <c r="R456">
        <v>0</v>
      </c>
    </row>
    <row r="457" spans="1:18" x14ac:dyDescent="0.3">
      <c r="A457">
        <v>192812</v>
      </c>
      <c r="B457" t="s">
        <v>568</v>
      </c>
      <c r="C457" t="s">
        <v>715</v>
      </c>
      <c r="D457" t="s">
        <v>658</v>
      </c>
      <c r="E457" s="452">
        <v>46213</v>
      </c>
      <c r="F457" s="452">
        <v>46244</v>
      </c>
      <c r="G457" t="s">
        <v>319</v>
      </c>
      <c r="H457" t="s">
        <v>320</v>
      </c>
      <c r="I457" t="s">
        <v>716</v>
      </c>
      <c r="J457">
        <v>-285.56</v>
      </c>
      <c r="K457">
        <v>-285.56</v>
      </c>
      <c r="O457" t="s">
        <v>571</v>
      </c>
      <c r="Q457" t="s">
        <v>467</v>
      </c>
      <c r="R457">
        <v>0</v>
      </c>
    </row>
    <row r="458" spans="1:18" x14ac:dyDescent="0.3">
      <c r="A458">
        <v>191911</v>
      </c>
      <c r="B458" t="s">
        <v>568</v>
      </c>
      <c r="C458" t="s">
        <v>713</v>
      </c>
      <c r="D458" t="s">
        <v>658</v>
      </c>
      <c r="E458" s="452">
        <v>46211</v>
      </c>
      <c r="F458" s="452">
        <v>46227</v>
      </c>
      <c r="G458" t="s">
        <v>265</v>
      </c>
      <c r="H458" t="s">
        <v>267</v>
      </c>
      <c r="I458" t="s">
        <v>717</v>
      </c>
      <c r="J458">
        <v>-3100</v>
      </c>
      <c r="K458">
        <v>-3100</v>
      </c>
      <c r="O458" t="s">
        <v>571</v>
      </c>
      <c r="Q458" t="s">
        <v>467</v>
      </c>
      <c r="R458">
        <v>0</v>
      </c>
    </row>
    <row r="459" spans="1:18" x14ac:dyDescent="0.3">
      <c r="A459">
        <v>192917</v>
      </c>
      <c r="B459" t="s">
        <v>568</v>
      </c>
      <c r="C459" t="s">
        <v>671</v>
      </c>
      <c r="D459" t="s">
        <v>815</v>
      </c>
      <c r="E459" s="452">
        <v>46211</v>
      </c>
      <c r="F459" s="452">
        <v>46211</v>
      </c>
      <c r="G459" t="s">
        <v>672</v>
      </c>
      <c r="H459" t="s">
        <v>240</v>
      </c>
      <c r="I459" t="s">
        <v>816</v>
      </c>
      <c r="J459">
        <v>-300</v>
      </c>
      <c r="K459">
        <v>-300</v>
      </c>
      <c r="O459" t="s">
        <v>631</v>
      </c>
      <c r="Q459" t="s">
        <v>467</v>
      </c>
      <c r="R459">
        <v>0</v>
      </c>
    </row>
    <row r="460" spans="1:18" x14ac:dyDescent="0.3">
      <c r="A460">
        <v>223196</v>
      </c>
      <c r="B460" t="s">
        <v>568</v>
      </c>
      <c r="C460" t="s">
        <v>654</v>
      </c>
      <c r="D460" t="s">
        <v>817</v>
      </c>
      <c r="E460" s="452">
        <v>46211</v>
      </c>
      <c r="F460" s="452">
        <v>46233</v>
      </c>
      <c r="G460" t="s">
        <v>613</v>
      </c>
      <c r="H460" t="s">
        <v>369</v>
      </c>
      <c r="I460" t="s">
        <v>656</v>
      </c>
      <c r="J460">
        <v>-13662.94</v>
      </c>
      <c r="K460">
        <v>-13662.94</v>
      </c>
      <c r="O460" t="s">
        <v>571</v>
      </c>
      <c r="Q460" t="s">
        <v>467</v>
      </c>
      <c r="R460">
        <v>0</v>
      </c>
    </row>
    <row r="461" spans="1:18" x14ac:dyDescent="0.3">
      <c r="A461">
        <v>242094</v>
      </c>
      <c r="B461" t="s">
        <v>568</v>
      </c>
      <c r="C461" t="s">
        <v>789</v>
      </c>
      <c r="D461" t="s">
        <v>658</v>
      </c>
      <c r="E461" s="452">
        <v>46209</v>
      </c>
      <c r="F461" s="452">
        <v>46219</v>
      </c>
      <c r="G461" t="s">
        <v>790</v>
      </c>
      <c r="H461" t="s">
        <v>204</v>
      </c>
      <c r="I461" t="s">
        <v>791</v>
      </c>
      <c r="J461">
        <v>-4000</v>
      </c>
      <c r="K461">
        <v>-4000</v>
      </c>
      <c r="O461" t="s">
        <v>571</v>
      </c>
      <c r="Q461" t="s">
        <v>467</v>
      </c>
      <c r="R461">
        <v>0</v>
      </c>
    </row>
    <row r="462" spans="1:18" x14ac:dyDescent="0.3">
      <c r="A462">
        <v>229048</v>
      </c>
      <c r="B462" t="s">
        <v>568</v>
      </c>
      <c r="C462" t="s">
        <v>812</v>
      </c>
      <c r="D462" t="s">
        <v>818</v>
      </c>
      <c r="E462" s="452">
        <v>46209</v>
      </c>
      <c r="F462" s="452">
        <v>46230</v>
      </c>
      <c r="G462" t="s">
        <v>813</v>
      </c>
      <c r="H462" t="s">
        <v>60</v>
      </c>
      <c r="I462" t="s">
        <v>814</v>
      </c>
      <c r="J462">
        <v>-1400</v>
      </c>
      <c r="K462">
        <v>-1400</v>
      </c>
      <c r="O462" t="s">
        <v>631</v>
      </c>
      <c r="Q462" t="s">
        <v>467</v>
      </c>
      <c r="R462">
        <v>0</v>
      </c>
    </row>
    <row r="463" spans="1:18" x14ac:dyDescent="0.3">
      <c r="A463">
        <v>242931</v>
      </c>
      <c r="B463" t="s">
        <v>568</v>
      </c>
      <c r="C463" t="s">
        <v>723</v>
      </c>
      <c r="D463" t="s">
        <v>819</v>
      </c>
      <c r="E463" s="452">
        <v>46206</v>
      </c>
      <c r="F463" s="452">
        <v>46203</v>
      </c>
      <c r="G463" t="s">
        <v>724</v>
      </c>
      <c r="H463" t="s">
        <v>725</v>
      </c>
      <c r="J463">
        <v>-1</v>
      </c>
      <c r="K463">
        <v>-1</v>
      </c>
      <c r="O463" t="s">
        <v>631</v>
      </c>
      <c r="P463" t="s">
        <v>820</v>
      </c>
      <c r="Q463" t="s">
        <v>467</v>
      </c>
      <c r="R463">
        <v>0</v>
      </c>
    </row>
    <row r="464" spans="1:18" x14ac:dyDescent="0.3">
      <c r="A464">
        <v>242891</v>
      </c>
      <c r="B464" t="s">
        <v>568</v>
      </c>
      <c r="C464" t="s">
        <v>821</v>
      </c>
      <c r="D464" t="s">
        <v>819</v>
      </c>
      <c r="E464" s="452">
        <v>46206</v>
      </c>
      <c r="F464" s="452">
        <v>46223</v>
      </c>
      <c r="G464" t="s">
        <v>801</v>
      </c>
      <c r="H464" t="s">
        <v>354</v>
      </c>
      <c r="I464" t="s">
        <v>822</v>
      </c>
      <c r="J464">
        <v>-800</v>
      </c>
      <c r="K464">
        <v>-800</v>
      </c>
      <c r="O464" t="s">
        <v>631</v>
      </c>
      <c r="Q464" t="s">
        <v>467</v>
      </c>
      <c r="R464">
        <v>0</v>
      </c>
    </row>
    <row r="465" spans="1:18" x14ac:dyDescent="0.3">
      <c r="A465">
        <v>242401</v>
      </c>
      <c r="B465" t="s">
        <v>568</v>
      </c>
      <c r="C465" t="s">
        <v>823</v>
      </c>
      <c r="D465" t="s">
        <v>824</v>
      </c>
      <c r="E465" s="452">
        <v>46205</v>
      </c>
      <c r="F465" s="452">
        <v>46208</v>
      </c>
      <c r="G465" t="s">
        <v>297</v>
      </c>
      <c r="H465" t="s">
        <v>308</v>
      </c>
      <c r="I465" t="s">
        <v>825</v>
      </c>
      <c r="J465">
        <v>-22.35</v>
      </c>
      <c r="K465">
        <v>0</v>
      </c>
      <c r="O465" t="s">
        <v>631</v>
      </c>
      <c r="Q465" t="s">
        <v>467</v>
      </c>
      <c r="R465">
        <v>0</v>
      </c>
    </row>
    <row r="466" spans="1:18" x14ac:dyDescent="0.3">
      <c r="A466">
        <v>242281</v>
      </c>
      <c r="B466" t="s">
        <v>568</v>
      </c>
      <c r="C466" t="s">
        <v>826</v>
      </c>
      <c r="D466" t="s">
        <v>827</v>
      </c>
      <c r="E466" s="452">
        <v>46204</v>
      </c>
      <c r="F466" s="452">
        <v>46218</v>
      </c>
      <c r="G466" t="s">
        <v>297</v>
      </c>
      <c r="H466" t="s">
        <v>304</v>
      </c>
      <c r="I466" t="s">
        <v>828</v>
      </c>
      <c r="J466">
        <v>-1500</v>
      </c>
      <c r="K466">
        <v>-1500</v>
      </c>
      <c r="O466" t="s">
        <v>631</v>
      </c>
      <c r="Q466" t="s">
        <v>467</v>
      </c>
      <c r="R466">
        <v>0</v>
      </c>
    </row>
    <row r="467" spans="1:18" x14ac:dyDescent="0.3">
      <c r="A467">
        <v>233693</v>
      </c>
      <c r="B467" t="s">
        <v>568</v>
      </c>
      <c r="C467" t="s">
        <v>829</v>
      </c>
      <c r="D467" t="s">
        <v>830</v>
      </c>
      <c r="E467" s="452">
        <v>46204</v>
      </c>
      <c r="F467" s="452">
        <v>46205</v>
      </c>
      <c r="G467" t="s">
        <v>697</v>
      </c>
      <c r="H467" t="s">
        <v>216</v>
      </c>
      <c r="I467" t="s">
        <v>831</v>
      </c>
      <c r="J467">
        <v>-5275.29</v>
      </c>
      <c r="K467">
        <v>-5275.29</v>
      </c>
      <c r="O467" t="s">
        <v>631</v>
      </c>
      <c r="P467" t="s">
        <v>832</v>
      </c>
      <c r="Q467" t="s">
        <v>467</v>
      </c>
      <c r="R467">
        <v>0</v>
      </c>
    </row>
    <row r="468" spans="1:18" x14ac:dyDescent="0.3">
      <c r="A468">
        <v>239894</v>
      </c>
      <c r="B468" t="s">
        <v>568</v>
      </c>
      <c r="C468" t="s">
        <v>799</v>
      </c>
      <c r="D468" t="s">
        <v>833</v>
      </c>
      <c r="E468" s="452">
        <v>46204</v>
      </c>
      <c r="F468" s="452">
        <v>46221</v>
      </c>
      <c r="G468" t="s">
        <v>801</v>
      </c>
      <c r="H468" t="s">
        <v>351</v>
      </c>
      <c r="I468" t="s">
        <v>834</v>
      </c>
      <c r="J468">
        <v>-3500</v>
      </c>
      <c r="K468">
        <v>-3500</v>
      </c>
      <c r="O468" t="s">
        <v>631</v>
      </c>
      <c r="Q468" t="s">
        <v>467</v>
      </c>
      <c r="R468">
        <v>0</v>
      </c>
    </row>
    <row r="469" spans="1:18" x14ac:dyDescent="0.3">
      <c r="A469">
        <v>242285</v>
      </c>
      <c r="B469" t="s">
        <v>568</v>
      </c>
      <c r="C469" t="s">
        <v>835</v>
      </c>
      <c r="D469" t="s">
        <v>836</v>
      </c>
      <c r="E469" s="452">
        <v>46204</v>
      </c>
      <c r="F469" s="452">
        <v>46218</v>
      </c>
      <c r="G469" t="s">
        <v>683</v>
      </c>
      <c r="H469" t="s">
        <v>293</v>
      </c>
      <c r="I469" t="s">
        <v>837</v>
      </c>
      <c r="J469">
        <v>-360</v>
      </c>
      <c r="K469">
        <v>-360</v>
      </c>
      <c r="O469" t="s">
        <v>631</v>
      </c>
      <c r="Q469" t="s">
        <v>467</v>
      </c>
      <c r="R469">
        <v>0</v>
      </c>
    </row>
    <row r="470" spans="1:18" x14ac:dyDescent="0.3">
      <c r="A470">
        <v>241932</v>
      </c>
      <c r="B470" t="s">
        <v>568</v>
      </c>
      <c r="C470" t="s">
        <v>723</v>
      </c>
      <c r="D470" t="s">
        <v>819</v>
      </c>
      <c r="E470" s="452">
        <v>46204</v>
      </c>
      <c r="F470" s="452">
        <v>46198</v>
      </c>
      <c r="G470" t="s">
        <v>724</v>
      </c>
      <c r="H470" t="s">
        <v>725</v>
      </c>
      <c r="J470">
        <v>-1</v>
      </c>
      <c r="K470">
        <v>-1</v>
      </c>
      <c r="O470" t="s">
        <v>631</v>
      </c>
      <c r="P470" t="s">
        <v>820</v>
      </c>
      <c r="Q470" t="s">
        <v>467</v>
      </c>
      <c r="R470">
        <v>0</v>
      </c>
    </row>
    <row r="471" spans="1:18" x14ac:dyDescent="0.3">
      <c r="A471">
        <v>241937</v>
      </c>
      <c r="B471" t="s">
        <v>568</v>
      </c>
      <c r="C471" t="s">
        <v>723</v>
      </c>
      <c r="D471" t="s">
        <v>819</v>
      </c>
      <c r="E471" s="452">
        <v>46204</v>
      </c>
      <c r="F471" s="452">
        <v>46199</v>
      </c>
      <c r="G471" t="s">
        <v>724</v>
      </c>
      <c r="H471" t="s">
        <v>725</v>
      </c>
      <c r="J471">
        <v>-0.5</v>
      </c>
      <c r="K471">
        <v>-0.5</v>
      </c>
      <c r="O471" t="s">
        <v>631</v>
      </c>
      <c r="P471" t="s">
        <v>820</v>
      </c>
      <c r="Q471" t="s">
        <v>467</v>
      </c>
      <c r="R471">
        <v>0</v>
      </c>
    </row>
    <row r="472" spans="1:18" x14ac:dyDescent="0.3">
      <c r="A472">
        <v>227720</v>
      </c>
      <c r="B472" t="s">
        <v>568</v>
      </c>
      <c r="C472" t="s">
        <v>720</v>
      </c>
      <c r="D472" t="s">
        <v>658</v>
      </c>
      <c r="E472" s="452">
        <v>46204</v>
      </c>
      <c r="F472" s="452">
        <v>46239</v>
      </c>
      <c r="G472" t="s">
        <v>280</v>
      </c>
      <c r="H472" t="s">
        <v>287</v>
      </c>
      <c r="I472" t="s">
        <v>777</v>
      </c>
      <c r="J472">
        <v>-436.5</v>
      </c>
      <c r="K472">
        <v>-436.5</v>
      </c>
      <c r="O472" t="s">
        <v>571</v>
      </c>
      <c r="Q472" t="s">
        <v>467</v>
      </c>
      <c r="R472">
        <v>0</v>
      </c>
    </row>
    <row r="473" spans="1:18" x14ac:dyDescent="0.3">
      <c r="A473">
        <v>218661</v>
      </c>
      <c r="B473" t="s">
        <v>568</v>
      </c>
      <c r="C473" t="s">
        <v>606</v>
      </c>
      <c r="D473" t="s">
        <v>658</v>
      </c>
      <c r="E473" s="452">
        <v>46204</v>
      </c>
      <c r="F473" s="452">
        <v>46285</v>
      </c>
      <c r="G473" t="s">
        <v>257</v>
      </c>
      <c r="H473" t="s">
        <v>258</v>
      </c>
      <c r="I473" t="s">
        <v>783</v>
      </c>
      <c r="J473">
        <v>-6340.57</v>
      </c>
      <c r="K473">
        <v>-6340.57</v>
      </c>
      <c r="O473" t="s">
        <v>571</v>
      </c>
      <c r="Q473" t="s">
        <v>467</v>
      </c>
      <c r="R473">
        <v>0</v>
      </c>
    </row>
    <row r="474" spans="1:18" x14ac:dyDescent="0.3">
      <c r="A474">
        <v>218677</v>
      </c>
      <c r="B474" t="s">
        <v>568</v>
      </c>
      <c r="C474" t="s">
        <v>606</v>
      </c>
      <c r="D474" t="s">
        <v>658</v>
      </c>
      <c r="E474" s="452">
        <v>46204</v>
      </c>
      <c r="F474" s="452">
        <v>46244</v>
      </c>
      <c r="G474" t="s">
        <v>683</v>
      </c>
      <c r="H474" t="s">
        <v>289</v>
      </c>
      <c r="I474" t="s">
        <v>722</v>
      </c>
      <c r="J474">
        <v>-499.04</v>
      </c>
      <c r="K474">
        <v>-499.04</v>
      </c>
      <c r="O474" t="s">
        <v>571</v>
      </c>
      <c r="Q474" t="s">
        <v>467</v>
      </c>
      <c r="R474">
        <v>0</v>
      </c>
    </row>
    <row r="475" spans="1:18" x14ac:dyDescent="0.3">
      <c r="A475">
        <v>196428</v>
      </c>
      <c r="B475" t="s">
        <v>568</v>
      </c>
      <c r="C475" t="s">
        <v>665</v>
      </c>
      <c r="D475" t="s">
        <v>658</v>
      </c>
      <c r="E475" s="452">
        <v>46204</v>
      </c>
      <c r="F475" s="452">
        <v>46240</v>
      </c>
      <c r="G475" t="s">
        <v>666</v>
      </c>
      <c r="H475" t="s">
        <v>667</v>
      </c>
      <c r="I475" t="s">
        <v>668</v>
      </c>
      <c r="J475">
        <v>-25000</v>
      </c>
      <c r="K475">
        <v>-25000</v>
      </c>
      <c r="O475" t="s">
        <v>571</v>
      </c>
      <c r="Q475" t="s">
        <v>467</v>
      </c>
      <c r="R475">
        <v>0</v>
      </c>
    </row>
    <row r="476" spans="1:18" x14ac:dyDescent="0.3">
      <c r="A476">
        <v>192376</v>
      </c>
      <c r="B476" t="s">
        <v>568</v>
      </c>
      <c r="C476" t="s">
        <v>733</v>
      </c>
      <c r="D476" t="s">
        <v>658</v>
      </c>
      <c r="E476" s="452">
        <v>46204</v>
      </c>
      <c r="F476" s="452">
        <v>46246</v>
      </c>
      <c r="G476" t="s">
        <v>297</v>
      </c>
      <c r="H476" t="s">
        <v>299</v>
      </c>
      <c r="I476" t="s">
        <v>734</v>
      </c>
      <c r="J476">
        <v>-500</v>
      </c>
      <c r="K476">
        <v>-500</v>
      </c>
      <c r="O476" t="s">
        <v>571</v>
      </c>
      <c r="Q476" t="s">
        <v>467</v>
      </c>
      <c r="R476">
        <v>0</v>
      </c>
    </row>
    <row r="477" spans="1:18" x14ac:dyDescent="0.3">
      <c r="A477">
        <v>193417</v>
      </c>
      <c r="B477" t="s">
        <v>568</v>
      </c>
      <c r="C477" t="s">
        <v>723</v>
      </c>
      <c r="D477" t="s">
        <v>658</v>
      </c>
      <c r="E477" s="452">
        <v>46204</v>
      </c>
      <c r="F477" s="452">
        <v>46221</v>
      </c>
      <c r="G477" t="s">
        <v>724</v>
      </c>
      <c r="H477" t="s">
        <v>725</v>
      </c>
      <c r="I477" t="s">
        <v>726</v>
      </c>
      <c r="J477">
        <v>-400</v>
      </c>
      <c r="K477">
        <v>-400</v>
      </c>
      <c r="O477" t="s">
        <v>571</v>
      </c>
      <c r="Q477" t="s">
        <v>467</v>
      </c>
      <c r="R477">
        <v>0</v>
      </c>
    </row>
    <row r="478" spans="1:18" x14ac:dyDescent="0.3">
      <c r="A478">
        <v>192492</v>
      </c>
      <c r="B478" t="s">
        <v>568</v>
      </c>
      <c r="C478" t="s">
        <v>778</v>
      </c>
      <c r="D478" t="s">
        <v>658</v>
      </c>
      <c r="E478" s="452">
        <v>46204</v>
      </c>
      <c r="F478" s="452">
        <v>46223</v>
      </c>
      <c r="G478" t="s">
        <v>309</v>
      </c>
      <c r="H478" t="s">
        <v>313</v>
      </c>
      <c r="I478" t="s">
        <v>779</v>
      </c>
      <c r="J478">
        <v>-185</v>
      </c>
      <c r="K478">
        <v>-185</v>
      </c>
      <c r="O478" t="s">
        <v>571</v>
      </c>
      <c r="Q478" t="s">
        <v>467</v>
      </c>
      <c r="R478">
        <v>0</v>
      </c>
    </row>
    <row r="479" spans="1:18" x14ac:dyDescent="0.3">
      <c r="A479">
        <v>199344</v>
      </c>
      <c r="B479" t="s">
        <v>568</v>
      </c>
      <c r="C479" t="s">
        <v>753</v>
      </c>
      <c r="D479" t="s">
        <v>658</v>
      </c>
      <c r="E479" s="452">
        <v>46204</v>
      </c>
      <c r="F479" s="452">
        <v>46249</v>
      </c>
      <c r="G479" t="s">
        <v>677</v>
      </c>
      <c r="H479" t="s">
        <v>678</v>
      </c>
      <c r="I479" t="s">
        <v>754</v>
      </c>
      <c r="J479">
        <v>-8000</v>
      </c>
      <c r="K479">
        <v>-8000</v>
      </c>
      <c r="M479" t="s">
        <v>755</v>
      </c>
      <c r="N479" t="s">
        <v>132</v>
      </c>
      <c r="O479" t="s">
        <v>571</v>
      </c>
      <c r="Q479" t="s">
        <v>467</v>
      </c>
      <c r="R479">
        <v>0</v>
      </c>
    </row>
    <row r="480" spans="1:18" x14ac:dyDescent="0.3">
      <c r="A480">
        <v>199357</v>
      </c>
      <c r="B480" t="s">
        <v>568</v>
      </c>
      <c r="C480" t="s">
        <v>744</v>
      </c>
      <c r="D480" t="s">
        <v>658</v>
      </c>
      <c r="E480" s="452">
        <v>46204</v>
      </c>
      <c r="F480" s="452">
        <v>46243</v>
      </c>
      <c r="G480" t="s">
        <v>677</v>
      </c>
      <c r="H480" t="s">
        <v>678</v>
      </c>
      <c r="I480" t="s">
        <v>745</v>
      </c>
      <c r="J480">
        <v>-1500</v>
      </c>
      <c r="K480">
        <v>-1500</v>
      </c>
      <c r="M480" t="s">
        <v>746</v>
      </c>
      <c r="N480" t="s">
        <v>131</v>
      </c>
      <c r="O480" t="s">
        <v>571</v>
      </c>
      <c r="Q480" t="s">
        <v>467</v>
      </c>
      <c r="R480">
        <v>0</v>
      </c>
    </row>
    <row r="481" spans="1:18" x14ac:dyDescent="0.3">
      <c r="A481">
        <v>192106</v>
      </c>
      <c r="B481" t="s">
        <v>568</v>
      </c>
      <c r="C481" t="s">
        <v>767</v>
      </c>
      <c r="D481" t="s">
        <v>658</v>
      </c>
      <c r="E481" s="452">
        <v>46204</v>
      </c>
      <c r="F481" s="452">
        <v>46239</v>
      </c>
      <c r="G481" t="s">
        <v>309</v>
      </c>
      <c r="H481" t="s">
        <v>315</v>
      </c>
      <c r="I481" t="s">
        <v>768</v>
      </c>
      <c r="J481">
        <v>-940.94</v>
      </c>
      <c r="K481">
        <v>-940.94</v>
      </c>
      <c r="O481" t="s">
        <v>571</v>
      </c>
      <c r="Q481" t="s">
        <v>467</v>
      </c>
      <c r="R481">
        <v>0</v>
      </c>
    </row>
    <row r="482" spans="1:18" x14ac:dyDescent="0.3">
      <c r="A482">
        <v>192343</v>
      </c>
      <c r="B482" t="s">
        <v>568</v>
      </c>
      <c r="C482" t="s">
        <v>742</v>
      </c>
      <c r="D482" t="s">
        <v>838</v>
      </c>
      <c r="E482" s="452">
        <v>46204</v>
      </c>
      <c r="F482" s="452">
        <v>46213</v>
      </c>
      <c r="G482" t="s">
        <v>280</v>
      </c>
      <c r="H482" t="s">
        <v>282</v>
      </c>
      <c r="I482" t="s">
        <v>839</v>
      </c>
      <c r="J482">
        <v>-249.9</v>
      </c>
      <c r="K482">
        <v>-249.9</v>
      </c>
      <c r="O482" t="s">
        <v>631</v>
      </c>
      <c r="Q482" t="s">
        <v>467</v>
      </c>
      <c r="R482">
        <v>0</v>
      </c>
    </row>
    <row r="483" spans="1:18" x14ac:dyDescent="0.3">
      <c r="A483">
        <v>99346</v>
      </c>
      <c r="B483" t="s">
        <v>568</v>
      </c>
      <c r="C483" t="s">
        <v>569</v>
      </c>
      <c r="E483" s="452">
        <v>46204</v>
      </c>
      <c r="F483" s="452">
        <v>46213</v>
      </c>
      <c r="G483" t="s">
        <v>257</v>
      </c>
      <c r="H483" t="s">
        <v>263</v>
      </c>
      <c r="I483" t="s">
        <v>570</v>
      </c>
      <c r="J483">
        <v>-12000</v>
      </c>
      <c r="K483">
        <v>-12000</v>
      </c>
      <c r="O483" t="s">
        <v>571</v>
      </c>
      <c r="Q483" t="s">
        <v>467</v>
      </c>
      <c r="R483">
        <v>0</v>
      </c>
    </row>
    <row r="484" spans="1:18" x14ac:dyDescent="0.3">
      <c r="A484">
        <v>191971</v>
      </c>
      <c r="B484" t="s">
        <v>568</v>
      </c>
      <c r="C484" t="s">
        <v>727</v>
      </c>
      <c r="D484" t="s">
        <v>658</v>
      </c>
      <c r="E484" s="452">
        <v>46204</v>
      </c>
      <c r="F484" s="452">
        <v>46223</v>
      </c>
      <c r="G484" t="s">
        <v>265</v>
      </c>
      <c r="H484" t="s">
        <v>272</v>
      </c>
      <c r="I484" t="s">
        <v>728</v>
      </c>
      <c r="J484">
        <v>-1000</v>
      </c>
      <c r="K484">
        <v>-1000</v>
      </c>
      <c r="O484" t="s">
        <v>571</v>
      </c>
      <c r="Q484" t="s">
        <v>467</v>
      </c>
      <c r="R484">
        <v>0</v>
      </c>
    </row>
    <row r="485" spans="1:18" x14ac:dyDescent="0.3">
      <c r="A485">
        <v>199951</v>
      </c>
      <c r="B485" t="s">
        <v>568</v>
      </c>
      <c r="C485" t="s">
        <v>676</v>
      </c>
      <c r="D485" t="s">
        <v>658</v>
      </c>
      <c r="E485" s="452">
        <v>46204</v>
      </c>
      <c r="F485" s="452">
        <v>46235</v>
      </c>
      <c r="G485" t="s">
        <v>677</v>
      </c>
      <c r="H485" t="s">
        <v>678</v>
      </c>
      <c r="I485" t="s">
        <v>745</v>
      </c>
      <c r="J485">
        <v>-1350</v>
      </c>
      <c r="K485">
        <v>-1350</v>
      </c>
      <c r="M485" t="s">
        <v>680</v>
      </c>
      <c r="N485" t="s">
        <v>134</v>
      </c>
      <c r="O485" t="s">
        <v>571</v>
      </c>
      <c r="Q485" t="s">
        <v>467</v>
      </c>
      <c r="R485">
        <v>0</v>
      </c>
    </row>
    <row r="486" spans="1:18" x14ac:dyDescent="0.3">
      <c r="A486">
        <v>196080</v>
      </c>
      <c r="B486" t="s">
        <v>568</v>
      </c>
      <c r="C486" t="s">
        <v>671</v>
      </c>
      <c r="D486" t="s">
        <v>840</v>
      </c>
      <c r="E486" s="452">
        <v>46204</v>
      </c>
      <c r="F486" s="452">
        <v>46198</v>
      </c>
      <c r="G486" t="s">
        <v>672</v>
      </c>
      <c r="H486" t="s">
        <v>240</v>
      </c>
      <c r="I486" t="s">
        <v>687</v>
      </c>
      <c r="J486">
        <v>-698.46</v>
      </c>
      <c r="K486">
        <v>-698.46</v>
      </c>
      <c r="O486" t="s">
        <v>631</v>
      </c>
      <c r="P486" t="s">
        <v>820</v>
      </c>
      <c r="Q486" t="s">
        <v>467</v>
      </c>
      <c r="R486">
        <v>0</v>
      </c>
    </row>
    <row r="487" spans="1:18" x14ac:dyDescent="0.3">
      <c r="A487">
        <v>192319</v>
      </c>
      <c r="B487" t="s">
        <v>568</v>
      </c>
      <c r="C487" t="s">
        <v>749</v>
      </c>
      <c r="D487" t="s">
        <v>658</v>
      </c>
      <c r="E487" s="452">
        <v>46204</v>
      </c>
      <c r="F487" s="452">
        <v>46237</v>
      </c>
      <c r="G487" t="s">
        <v>297</v>
      </c>
      <c r="H487" t="s">
        <v>298</v>
      </c>
      <c r="I487" t="s">
        <v>750</v>
      </c>
      <c r="J487">
        <v>-3000</v>
      </c>
      <c r="K487">
        <v>-3000</v>
      </c>
      <c r="M487" t="s">
        <v>751</v>
      </c>
      <c r="N487" t="s">
        <v>752</v>
      </c>
      <c r="O487" t="s">
        <v>571</v>
      </c>
      <c r="Q487" t="s">
        <v>467</v>
      </c>
      <c r="R487">
        <v>0</v>
      </c>
    </row>
    <row r="488" spans="1:18" x14ac:dyDescent="0.3">
      <c r="A488">
        <v>197934</v>
      </c>
      <c r="B488" t="s">
        <v>568</v>
      </c>
      <c r="C488" t="s">
        <v>688</v>
      </c>
      <c r="D488" t="s">
        <v>841</v>
      </c>
      <c r="E488" s="452">
        <v>46204</v>
      </c>
      <c r="F488" s="452">
        <v>46223</v>
      </c>
      <c r="G488" t="s">
        <v>666</v>
      </c>
      <c r="H488" t="s">
        <v>667</v>
      </c>
      <c r="I488" t="s">
        <v>842</v>
      </c>
      <c r="J488">
        <v>-2656</v>
      </c>
      <c r="K488">
        <v>-2656</v>
      </c>
      <c r="O488" t="s">
        <v>631</v>
      </c>
      <c r="Q488" t="s">
        <v>467</v>
      </c>
      <c r="R488">
        <v>0</v>
      </c>
    </row>
    <row r="489" spans="1:18" x14ac:dyDescent="0.3">
      <c r="A489">
        <v>204972</v>
      </c>
      <c r="B489" t="s">
        <v>568</v>
      </c>
      <c r="C489" t="s">
        <v>685</v>
      </c>
      <c r="D489" t="s">
        <v>658</v>
      </c>
      <c r="E489" s="452">
        <v>46204</v>
      </c>
      <c r="F489" s="452">
        <v>46231</v>
      </c>
      <c r="G489" t="s">
        <v>672</v>
      </c>
      <c r="H489" t="s">
        <v>243</v>
      </c>
      <c r="I489" t="s">
        <v>686</v>
      </c>
      <c r="J489">
        <v>-300</v>
      </c>
      <c r="K489">
        <v>-300</v>
      </c>
      <c r="O489" t="s">
        <v>571</v>
      </c>
      <c r="Q489" t="s">
        <v>467</v>
      </c>
      <c r="R489">
        <v>0</v>
      </c>
    </row>
    <row r="490" spans="1:18" x14ac:dyDescent="0.3">
      <c r="A490">
        <v>192080</v>
      </c>
      <c r="B490" t="s">
        <v>568</v>
      </c>
      <c r="C490" t="s">
        <v>731</v>
      </c>
      <c r="D490" t="s">
        <v>658</v>
      </c>
      <c r="E490" s="452">
        <v>46204</v>
      </c>
      <c r="F490" s="452">
        <v>46218</v>
      </c>
      <c r="G490" t="s">
        <v>319</v>
      </c>
      <c r="H490" t="s">
        <v>321</v>
      </c>
      <c r="I490" t="s">
        <v>732</v>
      </c>
      <c r="J490">
        <v>-150</v>
      </c>
      <c r="K490">
        <v>-150</v>
      </c>
      <c r="O490" t="s">
        <v>571</v>
      </c>
      <c r="Q490" t="s">
        <v>467</v>
      </c>
      <c r="R490">
        <v>0</v>
      </c>
    </row>
    <row r="491" spans="1:18" x14ac:dyDescent="0.3">
      <c r="A491">
        <v>199979</v>
      </c>
      <c r="B491" t="s">
        <v>568</v>
      </c>
      <c r="C491" t="s">
        <v>747</v>
      </c>
      <c r="D491" t="s">
        <v>658</v>
      </c>
      <c r="E491" s="452">
        <v>46204</v>
      </c>
      <c r="F491" s="452">
        <v>46249</v>
      </c>
      <c r="G491" t="s">
        <v>677</v>
      </c>
      <c r="H491" t="s">
        <v>678</v>
      </c>
      <c r="I491" t="s">
        <v>745</v>
      </c>
      <c r="J491">
        <v>-600</v>
      </c>
      <c r="K491">
        <v>-600</v>
      </c>
      <c r="M491" t="s">
        <v>748</v>
      </c>
      <c r="N491" t="s">
        <v>75</v>
      </c>
      <c r="O491" t="s">
        <v>571</v>
      </c>
      <c r="Q491" t="s">
        <v>467</v>
      </c>
      <c r="R491">
        <v>0</v>
      </c>
    </row>
    <row r="492" spans="1:18" x14ac:dyDescent="0.3">
      <c r="A492">
        <v>215976</v>
      </c>
      <c r="B492" t="s">
        <v>568</v>
      </c>
      <c r="C492" t="s">
        <v>606</v>
      </c>
      <c r="D492" t="s">
        <v>658</v>
      </c>
      <c r="E492" s="452">
        <v>46204</v>
      </c>
      <c r="F492" s="452">
        <v>46244</v>
      </c>
      <c r="G492" t="s">
        <v>257</v>
      </c>
      <c r="H492" t="s">
        <v>260</v>
      </c>
      <c r="I492" t="s">
        <v>784</v>
      </c>
      <c r="J492">
        <v>-2935.69</v>
      </c>
      <c r="K492">
        <v>-2935.69</v>
      </c>
      <c r="O492" t="s">
        <v>571</v>
      </c>
      <c r="Q492" t="s">
        <v>467</v>
      </c>
      <c r="R492">
        <v>0</v>
      </c>
    </row>
    <row r="493" spans="1:18" x14ac:dyDescent="0.3">
      <c r="A493">
        <v>192179</v>
      </c>
      <c r="B493" t="s">
        <v>568</v>
      </c>
      <c r="C493" t="s">
        <v>773</v>
      </c>
      <c r="D493" t="s">
        <v>658</v>
      </c>
      <c r="E493" s="452">
        <v>46204</v>
      </c>
      <c r="F493" s="452">
        <v>46223</v>
      </c>
      <c r="G493" t="s">
        <v>265</v>
      </c>
      <c r="H493" t="s">
        <v>271</v>
      </c>
      <c r="I493" t="s">
        <v>774</v>
      </c>
      <c r="J493">
        <v>-550</v>
      </c>
      <c r="K493">
        <v>-550</v>
      </c>
      <c r="O493" t="s">
        <v>571</v>
      </c>
      <c r="Q493" t="s">
        <v>467</v>
      </c>
      <c r="R493">
        <v>0</v>
      </c>
    </row>
    <row r="494" spans="1:18" x14ac:dyDescent="0.3">
      <c r="A494">
        <v>193017</v>
      </c>
      <c r="B494" t="s">
        <v>568</v>
      </c>
      <c r="C494" t="s">
        <v>769</v>
      </c>
      <c r="D494" t="s">
        <v>658</v>
      </c>
      <c r="E494" s="452">
        <v>46204</v>
      </c>
      <c r="F494" s="452">
        <v>46239</v>
      </c>
      <c r="G494" t="s">
        <v>280</v>
      </c>
      <c r="H494" t="s">
        <v>283</v>
      </c>
      <c r="I494" t="s">
        <v>770</v>
      </c>
      <c r="J494">
        <v>-23.5</v>
      </c>
      <c r="K494">
        <v>-23.5</v>
      </c>
      <c r="O494" t="s">
        <v>571</v>
      </c>
      <c r="Q494" t="s">
        <v>467</v>
      </c>
      <c r="R494">
        <v>0</v>
      </c>
    </row>
    <row r="495" spans="1:18" x14ac:dyDescent="0.3">
      <c r="A495">
        <v>213326</v>
      </c>
      <c r="B495" t="s">
        <v>568</v>
      </c>
      <c r="C495" t="s">
        <v>676</v>
      </c>
      <c r="D495" t="s">
        <v>658</v>
      </c>
      <c r="E495" s="452">
        <v>46204</v>
      </c>
      <c r="F495" s="452">
        <v>46249</v>
      </c>
      <c r="G495" t="s">
        <v>677</v>
      </c>
      <c r="H495" t="s">
        <v>678</v>
      </c>
      <c r="I495" t="s">
        <v>679</v>
      </c>
      <c r="J495">
        <v>-1350</v>
      </c>
      <c r="K495">
        <v>-1350</v>
      </c>
      <c r="M495" t="s">
        <v>680</v>
      </c>
      <c r="N495" t="s">
        <v>134</v>
      </c>
      <c r="O495" t="s">
        <v>571</v>
      </c>
      <c r="Q495" t="s">
        <v>467</v>
      </c>
      <c r="R495">
        <v>0</v>
      </c>
    </row>
    <row r="496" spans="1:18" x14ac:dyDescent="0.3">
      <c r="A496">
        <v>192121</v>
      </c>
      <c r="B496" t="s">
        <v>568</v>
      </c>
      <c r="C496" t="s">
        <v>761</v>
      </c>
      <c r="D496" t="s">
        <v>658</v>
      </c>
      <c r="E496" s="452">
        <v>46204</v>
      </c>
      <c r="F496" s="452">
        <v>46223</v>
      </c>
      <c r="G496" t="s">
        <v>309</v>
      </c>
      <c r="H496" t="s">
        <v>312</v>
      </c>
      <c r="I496" t="s">
        <v>762</v>
      </c>
      <c r="J496">
        <v>-300</v>
      </c>
      <c r="K496">
        <v>-300</v>
      </c>
      <c r="O496" t="s">
        <v>571</v>
      </c>
      <c r="Q496" t="s">
        <v>467</v>
      </c>
      <c r="R496">
        <v>0</v>
      </c>
    </row>
    <row r="497" spans="1:18" x14ac:dyDescent="0.3">
      <c r="A497">
        <v>191827</v>
      </c>
      <c r="B497" t="s">
        <v>568</v>
      </c>
      <c r="C497" t="s">
        <v>765</v>
      </c>
      <c r="D497" t="s">
        <v>658</v>
      </c>
      <c r="E497" s="452">
        <v>46204</v>
      </c>
      <c r="F497" s="452">
        <v>46228</v>
      </c>
      <c r="G497" t="s">
        <v>265</v>
      </c>
      <c r="H497" t="s">
        <v>268</v>
      </c>
      <c r="I497" t="s">
        <v>766</v>
      </c>
      <c r="J497">
        <v>-5000</v>
      </c>
      <c r="K497">
        <v>-5000</v>
      </c>
      <c r="O497" t="s">
        <v>571</v>
      </c>
      <c r="Q497" t="s">
        <v>467</v>
      </c>
      <c r="R497">
        <v>0</v>
      </c>
    </row>
    <row r="498" spans="1:18" x14ac:dyDescent="0.3">
      <c r="A498">
        <v>191739</v>
      </c>
      <c r="B498" t="s">
        <v>568</v>
      </c>
      <c r="C498" t="s">
        <v>735</v>
      </c>
      <c r="D498" t="s">
        <v>843</v>
      </c>
      <c r="E498" s="452">
        <v>46204</v>
      </c>
      <c r="F498" s="452">
        <v>46218</v>
      </c>
      <c r="G498" t="s">
        <v>309</v>
      </c>
      <c r="H498" t="s">
        <v>310</v>
      </c>
      <c r="I498" t="s">
        <v>736</v>
      </c>
      <c r="J498">
        <v>-2317.0300000000002</v>
      </c>
      <c r="K498">
        <v>-2282.27</v>
      </c>
      <c r="O498" t="s">
        <v>631</v>
      </c>
      <c r="Q498" t="s">
        <v>467</v>
      </c>
      <c r="R498">
        <v>0</v>
      </c>
    </row>
    <row r="499" spans="1:18" x14ac:dyDescent="0.3">
      <c r="A499">
        <v>175528</v>
      </c>
      <c r="B499" t="s">
        <v>568</v>
      </c>
      <c r="C499" t="s">
        <v>606</v>
      </c>
      <c r="D499" t="s">
        <v>844</v>
      </c>
      <c r="E499" s="452">
        <v>46204</v>
      </c>
      <c r="F499" s="452">
        <v>46206</v>
      </c>
      <c r="G499" t="s">
        <v>613</v>
      </c>
      <c r="H499" t="s">
        <v>369</v>
      </c>
      <c r="I499" t="s">
        <v>614</v>
      </c>
      <c r="J499">
        <v>-5792.21</v>
      </c>
      <c r="K499">
        <v>-5792.21</v>
      </c>
      <c r="O499" t="s">
        <v>631</v>
      </c>
      <c r="P499" t="s">
        <v>832</v>
      </c>
      <c r="Q499" t="s">
        <v>467</v>
      </c>
      <c r="R499">
        <v>0</v>
      </c>
    </row>
    <row r="500" spans="1:18" x14ac:dyDescent="0.3">
      <c r="A500">
        <v>200004</v>
      </c>
      <c r="B500" t="s">
        <v>568</v>
      </c>
      <c r="C500" t="s">
        <v>759</v>
      </c>
      <c r="D500" t="s">
        <v>658</v>
      </c>
      <c r="E500" s="452">
        <v>46204</v>
      </c>
      <c r="F500" s="452">
        <v>46243</v>
      </c>
      <c r="G500" t="s">
        <v>677</v>
      </c>
      <c r="H500" t="s">
        <v>678</v>
      </c>
      <c r="I500" t="s">
        <v>745</v>
      </c>
      <c r="J500">
        <v>-1125</v>
      </c>
      <c r="K500">
        <v>-1125</v>
      </c>
      <c r="M500" t="s">
        <v>760</v>
      </c>
      <c r="N500" t="s">
        <v>131</v>
      </c>
      <c r="O500" t="s">
        <v>571</v>
      </c>
      <c r="Q500" t="s">
        <v>467</v>
      </c>
      <c r="R500">
        <v>0</v>
      </c>
    </row>
    <row r="501" spans="1:18" x14ac:dyDescent="0.3">
      <c r="A501">
        <v>192904</v>
      </c>
      <c r="B501" t="s">
        <v>568</v>
      </c>
      <c r="C501" t="s">
        <v>671</v>
      </c>
      <c r="D501" t="s">
        <v>845</v>
      </c>
      <c r="E501" s="452">
        <v>46204</v>
      </c>
      <c r="F501" s="452">
        <v>46204</v>
      </c>
      <c r="G501" t="s">
        <v>672</v>
      </c>
      <c r="H501" t="s">
        <v>240</v>
      </c>
      <c r="I501" t="s">
        <v>846</v>
      </c>
      <c r="J501">
        <v>-300</v>
      </c>
      <c r="K501">
        <v>-300</v>
      </c>
      <c r="O501" t="s">
        <v>631</v>
      </c>
      <c r="P501" t="s">
        <v>832</v>
      </c>
      <c r="Q501" t="s">
        <v>467</v>
      </c>
      <c r="R501">
        <v>0</v>
      </c>
    </row>
    <row r="502" spans="1:18" x14ac:dyDescent="0.3">
      <c r="A502">
        <v>192859</v>
      </c>
      <c r="B502" t="s">
        <v>568</v>
      </c>
      <c r="C502" t="s">
        <v>662</v>
      </c>
      <c r="D502" t="s">
        <v>658</v>
      </c>
      <c r="E502" s="452">
        <v>46204</v>
      </c>
      <c r="F502" s="452">
        <v>46223</v>
      </c>
      <c r="G502" t="s">
        <v>280</v>
      </c>
      <c r="H502" t="s">
        <v>284</v>
      </c>
      <c r="I502" t="s">
        <v>663</v>
      </c>
      <c r="J502">
        <v>-181.27</v>
      </c>
      <c r="K502">
        <v>-181.27</v>
      </c>
      <c r="O502" t="s">
        <v>571</v>
      </c>
      <c r="Q502" t="s">
        <v>467</v>
      </c>
      <c r="R502">
        <v>0</v>
      </c>
    </row>
    <row r="503" spans="1:18" x14ac:dyDescent="0.3">
      <c r="A503">
        <v>192822</v>
      </c>
      <c r="B503" t="s">
        <v>568</v>
      </c>
      <c r="C503" t="s">
        <v>757</v>
      </c>
      <c r="D503" t="s">
        <v>836</v>
      </c>
      <c r="E503" s="452">
        <v>46204</v>
      </c>
      <c r="F503" s="452">
        <v>46218</v>
      </c>
      <c r="G503" t="s">
        <v>309</v>
      </c>
      <c r="H503" t="s">
        <v>317</v>
      </c>
      <c r="I503" t="s">
        <v>847</v>
      </c>
      <c r="J503">
        <v>-350</v>
      </c>
      <c r="K503">
        <v>-350</v>
      </c>
      <c r="O503" t="s">
        <v>631</v>
      </c>
      <c r="Q503" t="s">
        <v>467</v>
      </c>
      <c r="R503">
        <v>0</v>
      </c>
    </row>
    <row r="504" spans="1:18" x14ac:dyDescent="0.3">
      <c r="A504">
        <v>191863</v>
      </c>
      <c r="B504" t="s">
        <v>568</v>
      </c>
      <c r="C504" t="s">
        <v>708</v>
      </c>
      <c r="D504" t="s">
        <v>658</v>
      </c>
      <c r="E504" s="452">
        <v>46204</v>
      </c>
      <c r="F504" s="452">
        <v>46223</v>
      </c>
      <c r="G504" t="s">
        <v>280</v>
      </c>
      <c r="H504" t="s">
        <v>283</v>
      </c>
      <c r="I504" t="s">
        <v>737</v>
      </c>
      <c r="J504">
        <v>-400</v>
      </c>
      <c r="K504">
        <v>-400</v>
      </c>
      <c r="O504" t="s">
        <v>571</v>
      </c>
      <c r="Q504" t="s">
        <v>467</v>
      </c>
      <c r="R504">
        <v>0</v>
      </c>
    </row>
    <row r="505" spans="1:18" x14ac:dyDescent="0.3">
      <c r="A505">
        <v>197947</v>
      </c>
      <c r="B505" t="s">
        <v>568</v>
      </c>
      <c r="C505" t="s">
        <v>688</v>
      </c>
      <c r="D505" t="s">
        <v>841</v>
      </c>
      <c r="E505" s="452">
        <v>46204</v>
      </c>
      <c r="F505" s="452">
        <v>46244</v>
      </c>
      <c r="G505" t="s">
        <v>666</v>
      </c>
      <c r="H505" t="s">
        <v>667</v>
      </c>
      <c r="I505" t="s">
        <v>848</v>
      </c>
      <c r="J505">
        <v>-2656</v>
      </c>
      <c r="K505">
        <v>-2656</v>
      </c>
      <c r="O505" t="s">
        <v>631</v>
      </c>
      <c r="Q505" t="s">
        <v>467</v>
      </c>
      <c r="R505">
        <v>0</v>
      </c>
    </row>
    <row r="506" spans="1:18" x14ac:dyDescent="0.3">
      <c r="A506">
        <v>191815</v>
      </c>
      <c r="B506" t="s">
        <v>568</v>
      </c>
      <c r="C506" t="s">
        <v>740</v>
      </c>
      <c r="D506" t="s">
        <v>658</v>
      </c>
      <c r="E506" s="452">
        <v>46204</v>
      </c>
      <c r="F506" s="452">
        <v>46228</v>
      </c>
      <c r="G506" t="s">
        <v>265</v>
      </c>
      <c r="H506" t="s">
        <v>266</v>
      </c>
      <c r="I506" t="s">
        <v>741</v>
      </c>
      <c r="J506">
        <v>-9000</v>
      </c>
      <c r="K506">
        <v>-9000</v>
      </c>
      <c r="O506" t="s">
        <v>571</v>
      </c>
      <c r="Q506" t="s">
        <v>467</v>
      </c>
      <c r="R506">
        <v>0</v>
      </c>
    </row>
    <row r="507" spans="1:18" x14ac:dyDescent="0.3">
      <c r="A507">
        <v>199991</v>
      </c>
      <c r="B507" t="s">
        <v>568</v>
      </c>
      <c r="C507" t="s">
        <v>771</v>
      </c>
      <c r="D507" t="s">
        <v>658</v>
      </c>
      <c r="E507" s="452">
        <v>46204</v>
      </c>
      <c r="F507" s="452">
        <v>46249</v>
      </c>
      <c r="G507" t="s">
        <v>677</v>
      </c>
      <c r="H507" t="s">
        <v>678</v>
      </c>
      <c r="I507" t="s">
        <v>745</v>
      </c>
      <c r="J507">
        <v>-1750</v>
      </c>
      <c r="K507">
        <v>-1750</v>
      </c>
      <c r="M507" t="s">
        <v>772</v>
      </c>
      <c r="N507" t="s">
        <v>135</v>
      </c>
      <c r="O507" t="s">
        <v>571</v>
      </c>
      <c r="Q507" t="s">
        <v>467</v>
      </c>
      <c r="R507">
        <v>0</v>
      </c>
    </row>
    <row r="508" spans="1:18" x14ac:dyDescent="0.3">
      <c r="A508">
        <v>192610</v>
      </c>
      <c r="B508" t="s">
        <v>568</v>
      </c>
      <c r="C508" t="s">
        <v>682</v>
      </c>
      <c r="D508" t="s">
        <v>849</v>
      </c>
      <c r="E508" s="452">
        <v>46204</v>
      </c>
      <c r="F508" s="452">
        <v>46223</v>
      </c>
      <c r="G508" t="s">
        <v>683</v>
      </c>
      <c r="H508" t="s">
        <v>289</v>
      </c>
      <c r="I508" t="s">
        <v>850</v>
      </c>
      <c r="J508">
        <v>-1500</v>
      </c>
      <c r="K508">
        <v>-1500</v>
      </c>
      <c r="O508" t="s">
        <v>631</v>
      </c>
      <c r="Q508" t="s">
        <v>467</v>
      </c>
      <c r="R508">
        <v>0</v>
      </c>
    </row>
    <row r="509" spans="1:18" x14ac:dyDescent="0.3">
      <c r="A509">
        <v>196677</v>
      </c>
      <c r="B509" t="s">
        <v>568</v>
      </c>
      <c r="C509" t="s">
        <v>665</v>
      </c>
      <c r="D509" t="s">
        <v>658</v>
      </c>
      <c r="E509" s="452">
        <v>46204</v>
      </c>
      <c r="F509" s="452">
        <v>46223</v>
      </c>
      <c r="G509" t="s">
        <v>666</v>
      </c>
      <c r="H509" t="s">
        <v>667</v>
      </c>
      <c r="I509" t="s">
        <v>756</v>
      </c>
      <c r="J509">
        <v>-5000</v>
      </c>
      <c r="K509">
        <v>-5000</v>
      </c>
      <c r="O509" t="s">
        <v>571</v>
      </c>
      <c r="Q509" t="s">
        <v>467</v>
      </c>
      <c r="R509">
        <v>0</v>
      </c>
    </row>
    <row r="510" spans="1:18" x14ac:dyDescent="0.3">
      <c r="A510">
        <v>196068</v>
      </c>
      <c r="B510" t="s">
        <v>568</v>
      </c>
      <c r="C510" t="s">
        <v>671</v>
      </c>
      <c r="D510" t="s">
        <v>851</v>
      </c>
      <c r="E510" s="452">
        <v>46204</v>
      </c>
      <c r="F510" s="452">
        <v>46202</v>
      </c>
      <c r="G510" t="s">
        <v>672</v>
      </c>
      <c r="H510" t="s">
        <v>240</v>
      </c>
      <c r="I510" t="s">
        <v>691</v>
      </c>
      <c r="J510">
        <v>-1723.84</v>
      </c>
      <c r="K510">
        <v>-1723.84</v>
      </c>
      <c r="O510" t="s">
        <v>631</v>
      </c>
      <c r="P510" t="s">
        <v>820</v>
      </c>
      <c r="Q510" t="s">
        <v>467</v>
      </c>
      <c r="R510">
        <v>0</v>
      </c>
    </row>
    <row r="511" spans="1:18" x14ac:dyDescent="0.3">
      <c r="A511">
        <v>175483</v>
      </c>
      <c r="B511" t="s">
        <v>568</v>
      </c>
      <c r="C511" t="s">
        <v>606</v>
      </c>
      <c r="D511" t="s">
        <v>833</v>
      </c>
      <c r="E511" s="452">
        <v>46204</v>
      </c>
      <c r="F511" s="452">
        <v>46244</v>
      </c>
      <c r="G511" t="s">
        <v>257</v>
      </c>
      <c r="H511" t="s">
        <v>258</v>
      </c>
      <c r="I511" t="s">
        <v>785</v>
      </c>
      <c r="J511">
        <v>-34700</v>
      </c>
      <c r="K511">
        <v>-34700</v>
      </c>
      <c r="O511" t="s">
        <v>571</v>
      </c>
      <c r="Q511" t="s">
        <v>467</v>
      </c>
      <c r="R511">
        <v>0</v>
      </c>
    </row>
    <row r="512" spans="1:18" x14ac:dyDescent="0.3">
      <c r="A512">
        <v>192992</v>
      </c>
      <c r="B512" t="s">
        <v>568</v>
      </c>
      <c r="C512" t="s">
        <v>763</v>
      </c>
      <c r="D512" t="s">
        <v>658</v>
      </c>
      <c r="E512" s="452">
        <v>46204</v>
      </c>
      <c r="F512" s="452">
        <v>46239</v>
      </c>
      <c r="G512" t="s">
        <v>297</v>
      </c>
      <c r="H512" t="s">
        <v>302</v>
      </c>
      <c r="I512" t="s">
        <v>764</v>
      </c>
      <c r="J512">
        <v>-900</v>
      </c>
      <c r="K512">
        <v>-900</v>
      </c>
      <c r="O512" t="s">
        <v>571</v>
      </c>
      <c r="Q512" t="s">
        <v>467</v>
      </c>
      <c r="R512">
        <v>0</v>
      </c>
    </row>
    <row r="513" spans="1:18" x14ac:dyDescent="0.3">
      <c r="A513">
        <v>197356</v>
      </c>
      <c r="B513" t="s">
        <v>568</v>
      </c>
      <c r="C513" t="s">
        <v>699</v>
      </c>
      <c r="D513" t="s">
        <v>658</v>
      </c>
      <c r="E513" s="452">
        <v>46203</v>
      </c>
      <c r="F513" s="452">
        <v>46223</v>
      </c>
      <c r="G513" t="s">
        <v>309</v>
      </c>
      <c r="H513" t="s">
        <v>310</v>
      </c>
      <c r="I513" t="s">
        <v>701</v>
      </c>
      <c r="J513">
        <v>-100</v>
      </c>
      <c r="K513">
        <v>-100</v>
      </c>
      <c r="O513" t="s">
        <v>571</v>
      </c>
      <c r="Q513" t="s">
        <v>466</v>
      </c>
      <c r="R513">
        <v>0</v>
      </c>
    </row>
    <row r="514" spans="1:18" x14ac:dyDescent="0.3">
      <c r="A514">
        <v>208517</v>
      </c>
      <c r="B514" t="s">
        <v>568</v>
      </c>
      <c r="C514" t="s">
        <v>699</v>
      </c>
      <c r="D514" t="s">
        <v>658</v>
      </c>
      <c r="E514" s="452">
        <v>46203</v>
      </c>
      <c r="F514" s="452">
        <v>46223</v>
      </c>
      <c r="G514" t="s">
        <v>697</v>
      </c>
      <c r="H514" t="s">
        <v>700</v>
      </c>
      <c r="J514">
        <v>-1300</v>
      </c>
      <c r="K514">
        <v>-1300</v>
      </c>
      <c r="O514" t="s">
        <v>571</v>
      </c>
      <c r="Q514" t="s">
        <v>466</v>
      </c>
      <c r="R514">
        <v>0</v>
      </c>
    </row>
    <row r="515" spans="1:18" x14ac:dyDescent="0.3">
      <c r="A515">
        <v>202400</v>
      </c>
      <c r="B515" t="s">
        <v>568</v>
      </c>
      <c r="C515" t="s">
        <v>696</v>
      </c>
      <c r="D515" t="s">
        <v>852</v>
      </c>
      <c r="E515" s="452">
        <v>46203</v>
      </c>
      <c r="F515" s="452">
        <v>46225</v>
      </c>
      <c r="G515" t="s">
        <v>672</v>
      </c>
      <c r="H515" t="s">
        <v>248</v>
      </c>
      <c r="J515">
        <v>-59.15</v>
      </c>
      <c r="K515">
        <v>-59.15</v>
      </c>
      <c r="O515" t="s">
        <v>631</v>
      </c>
      <c r="Q515" t="s">
        <v>466</v>
      </c>
      <c r="R515">
        <v>0</v>
      </c>
    </row>
    <row r="516" spans="1:18" x14ac:dyDescent="0.3">
      <c r="A516">
        <v>192887</v>
      </c>
      <c r="B516" t="s">
        <v>568</v>
      </c>
      <c r="C516" t="s">
        <v>692</v>
      </c>
      <c r="D516" t="s">
        <v>658</v>
      </c>
      <c r="E516" s="452">
        <v>46203</v>
      </c>
      <c r="F516" s="452">
        <v>46208</v>
      </c>
      <c r="G516" t="s">
        <v>309</v>
      </c>
      <c r="H516" t="s">
        <v>317</v>
      </c>
      <c r="I516" t="s">
        <v>693</v>
      </c>
      <c r="J516">
        <v>-1500</v>
      </c>
      <c r="K516">
        <v>-1500</v>
      </c>
      <c r="O516" t="s">
        <v>571</v>
      </c>
      <c r="Q516" t="s">
        <v>466</v>
      </c>
      <c r="R516">
        <v>0</v>
      </c>
    </row>
    <row r="517" spans="1:18" x14ac:dyDescent="0.3">
      <c r="A517">
        <v>207038</v>
      </c>
      <c r="B517" t="s">
        <v>568</v>
      </c>
      <c r="C517" t="s">
        <v>431</v>
      </c>
      <c r="D517" t="s">
        <v>658</v>
      </c>
      <c r="E517" s="452">
        <v>46203</v>
      </c>
      <c r="F517" s="452">
        <v>46223</v>
      </c>
      <c r="G517" t="s">
        <v>697</v>
      </c>
      <c r="H517" t="s">
        <v>212</v>
      </c>
      <c r="I517" t="s">
        <v>698</v>
      </c>
      <c r="J517">
        <v>-3500</v>
      </c>
      <c r="K517">
        <v>-3500</v>
      </c>
      <c r="O517" t="s">
        <v>571</v>
      </c>
      <c r="Q517" t="s">
        <v>466</v>
      </c>
      <c r="R517">
        <v>0</v>
      </c>
    </row>
    <row r="518" spans="1:18" x14ac:dyDescent="0.3">
      <c r="A518">
        <v>190626</v>
      </c>
      <c r="B518" t="s">
        <v>568</v>
      </c>
      <c r="C518" t="s">
        <v>50</v>
      </c>
      <c r="D518" t="s">
        <v>658</v>
      </c>
      <c r="E518" s="452">
        <v>46203</v>
      </c>
      <c r="F518" s="452">
        <v>46223</v>
      </c>
      <c r="G518" t="s">
        <v>694</v>
      </c>
      <c r="H518" t="s">
        <v>50</v>
      </c>
      <c r="I518" t="s">
        <v>695</v>
      </c>
      <c r="J518">
        <v>-15000</v>
      </c>
      <c r="K518">
        <v>-15000</v>
      </c>
      <c r="O518" t="s">
        <v>571</v>
      </c>
      <c r="Q518" t="s">
        <v>466</v>
      </c>
      <c r="R518">
        <v>0</v>
      </c>
    </row>
    <row r="519" spans="1:18" x14ac:dyDescent="0.3">
      <c r="A519">
        <v>208297</v>
      </c>
      <c r="B519" t="s">
        <v>568</v>
      </c>
      <c r="C519" t="s">
        <v>430</v>
      </c>
      <c r="D519" t="s">
        <v>658</v>
      </c>
      <c r="E519" s="452">
        <v>46203</v>
      </c>
      <c r="F519" s="452">
        <v>46223</v>
      </c>
      <c r="G519" t="s">
        <v>697</v>
      </c>
      <c r="H519" t="s">
        <v>207</v>
      </c>
      <c r="J519">
        <v>-2100</v>
      </c>
      <c r="K519">
        <v>-2100</v>
      </c>
      <c r="O519" t="s">
        <v>571</v>
      </c>
      <c r="Q519" t="s">
        <v>466</v>
      </c>
      <c r="R519">
        <v>0</v>
      </c>
    </row>
    <row r="520" spans="1:18" x14ac:dyDescent="0.3">
      <c r="A520">
        <v>226420</v>
      </c>
      <c r="B520" t="s">
        <v>568</v>
      </c>
      <c r="C520" t="s">
        <v>703</v>
      </c>
      <c r="D520" t="s">
        <v>658</v>
      </c>
      <c r="E520" s="452">
        <v>46203</v>
      </c>
      <c r="F520" s="452">
        <v>46233</v>
      </c>
      <c r="G520" t="s">
        <v>702</v>
      </c>
      <c r="H520" t="s">
        <v>345</v>
      </c>
      <c r="I520" t="s">
        <v>4</v>
      </c>
      <c r="J520">
        <v>-15088.85</v>
      </c>
      <c r="K520">
        <v>-15088.85</v>
      </c>
      <c r="O520" t="s">
        <v>571</v>
      </c>
      <c r="Q520" t="s">
        <v>466</v>
      </c>
      <c r="R520">
        <v>0</v>
      </c>
    </row>
    <row r="521" spans="1:18" x14ac:dyDescent="0.3">
      <c r="A521">
        <v>243185</v>
      </c>
      <c r="B521" t="s">
        <v>568</v>
      </c>
      <c r="C521" t="s">
        <v>853</v>
      </c>
      <c r="D521" t="s">
        <v>854</v>
      </c>
      <c r="E521" s="452">
        <v>46203</v>
      </c>
      <c r="F521" s="452">
        <v>46209</v>
      </c>
      <c r="G521" t="s">
        <v>265</v>
      </c>
      <c r="H521" t="s">
        <v>276</v>
      </c>
      <c r="I521" t="s">
        <v>855</v>
      </c>
      <c r="J521">
        <v>-75</v>
      </c>
      <c r="K521">
        <v>-75</v>
      </c>
      <c r="O521" t="s">
        <v>631</v>
      </c>
      <c r="Q521" t="s">
        <v>466</v>
      </c>
      <c r="R521">
        <v>0</v>
      </c>
    </row>
    <row r="522" spans="1:18" x14ac:dyDescent="0.3">
      <c r="A522">
        <v>236430</v>
      </c>
      <c r="B522" t="s">
        <v>568</v>
      </c>
      <c r="C522" t="s">
        <v>51</v>
      </c>
      <c r="D522" t="s">
        <v>658</v>
      </c>
      <c r="E522" s="452">
        <v>46203</v>
      </c>
      <c r="F522" s="452">
        <v>46213</v>
      </c>
      <c r="G522" t="s">
        <v>265</v>
      </c>
      <c r="H522" t="s">
        <v>272</v>
      </c>
      <c r="J522">
        <v>-50</v>
      </c>
      <c r="K522">
        <v>-50</v>
      </c>
      <c r="O522" t="s">
        <v>571</v>
      </c>
      <c r="Q522" t="s">
        <v>466</v>
      </c>
      <c r="R522">
        <v>0</v>
      </c>
    </row>
    <row r="523" spans="1:18" x14ac:dyDescent="0.3">
      <c r="A523">
        <v>226425</v>
      </c>
      <c r="B523" t="s">
        <v>568</v>
      </c>
      <c r="C523" t="s">
        <v>347</v>
      </c>
      <c r="D523" t="s">
        <v>658</v>
      </c>
      <c r="E523" s="452">
        <v>46203</v>
      </c>
      <c r="F523" s="452">
        <v>46233</v>
      </c>
      <c r="G523" t="s">
        <v>702</v>
      </c>
      <c r="H523" t="s">
        <v>347</v>
      </c>
      <c r="I523" t="s">
        <v>4</v>
      </c>
      <c r="J523">
        <v>-34723.67</v>
      </c>
      <c r="K523">
        <v>-34723.67</v>
      </c>
      <c r="O523" t="s">
        <v>571</v>
      </c>
      <c r="Q523" t="s">
        <v>466</v>
      </c>
      <c r="R523">
        <v>0</v>
      </c>
    </row>
    <row r="524" spans="1:18" x14ac:dyDescent="0.3">
      <c r="A524">
        <v>242434</v>
      </c>
      <c r="B524" t="s">
        <v>568</v>
      </c>
      <c r="C524" t="s">
        <v>856</v>
      </c>
      <c r="D524" t="s">
        <v>819</v>
      </c>
      <c r="E524" s="452">
        <v>46203</v>
      </c>
      <c r="F524" s="452">
        <v>46203</v>
      </c>
      <c r="G524" t="s">
        <v>857</v>
      </c>
      <c r="H524" t="s">
        <v>118</v>
      </c>
      <c r="J524">
        <v>-17.96</v>
      </c>
      <c r="K524">
        <v>-17.96</v>
      </c>
      <c r="O524" t="s">
        <v>631</v>
      </c>
      <c r="P524" t="s">
        <v>820</v>
      </c>
      <c r="Q524" t="s">
        <v>466</v>
      </c>
      <c r="R524">
        <v>0</v>
      </c>
    </row>
    <row r="525" spans="1:18" x14ac:dyDescent="0.3">
      <c r="A525">
        <v>242416</v>
      </c>
      <c r="B525" t="s">
        <v>568</v>
      </c>
      <c r="C525" t="s">
        <v>858</v>
      </c>
      <c r="D525" t="s">
        <v>819</v>
      </c>
      <c r="E525" s="452">
        <v>46203</v>
      </c>
      <c r="F525" s="452">
        <v>46203</v>
      </c>
      <c r="G525" t="s">
        <v>857</v>
      </c>
      <c r="H525" t="s">
        <v>118</v>
      </c>
      <c r="J525">
        <v>-264.14999999999998</v>
      </c>
      <c r="K525">
        <v>-264.14999999999998</v>
      </c>
      <c r="O525" t="s">
        <v>631</v>
      </c>
      <c r="P525" t="s">
        <v>820</v>
      </c>
      <c r="Q525" t="s">
        <v>466</v>
      </c>
      <c r="R525">
        <v>0</v>
      </c>
    </row>
    <row r="526" spans="1:18" x14ac:dyDescent="0.3">
      <c r="A526">
        <v>242414</v>
      </c>
      <c r="B526" t="s">
        <v>568</v>
      </c>
      <c r="C526" t="s">
        <v>859</v>
      </c>
      <c r="D526" t="s">
        <v>819</v>
      </c>
      <c r="E526" s="452">
        <v>46203</v>
      </c>
      <c r="F526" s="452">
        <v>46203</v>
      </c>
      <c r="G526" t="s">
        <v>857</v>
      </c>
      <c r="H526" t="s">
        <v>118</v>
      </c>
      <c r="J526">
        <v>-61.45</v>
      </c>
      <c r="K526">
        <v>-61.45</v>
      </c>
      <c r="O526" t="s">
        <v>631</v>
      </c>
      <c r="P526" t="s">
        <v>820</v>
      </c>
      <c r="Q526" t="s">
        <v>466</v>
      </c>
      <c r="R526">
        <v>0</v>
      </c>
    </row>
    <row r="527" spans="1:18" x14ac:dyDescent="0.3">
      <c r="A527">
        <v>242436</v>
      </c>
      <c r="B527" t="s">
        <v>568</v>
      </c>
      <c r="C527" t="s">
        <v>860</v>
      </c>
      <c r="D527" t="s">
        <v>819</v>
      </c>
      <c r="E527" s="452">
        <v>46203</v>
      </c>
      <c r="F527" s="452">
        <v>46203</v>
      </c>
      <c r="G527" t="s">
        <v>857</v>
      </c>
      <c r="H527" t="s">
        <v>118</v>
      </c>
      <c r="J527">
        <v>-113.03</v>
      </c>
      <c r="K527">
        <v>-113.03</v>
      </c>
      <c r="O527" t="s">
        <v>631</v>
      </c>
      <c r="P527" t="s">
        <v>820</v>
      </c>
      <c r="Q527" t="s">
        <v>466</v>
      </c>
      <c r="R527">
        <v>0</v>
      </c>
    </row>
    <row r="528" spans="1:18" x14ac:dyDescent="0.3">
      <c r="A528">
        <v>242029</v>
      </c>
      <c r="B528" t="s">
        <v>568</v>
      </c>
      <c r="C528" t="s">
        <v>861</v>
      </c>
      <c r="D528" t="s">
        <v>862</v>
      </c>
      <c r="E528" s="452">
        <v>46203</v>
      </c>
      <c r="F528" s="452">
        <v>46213</v>
      </c>
      <c r="G528" t="s">
        <v>257</v>
      </c>
      <c r="H528" t="s">
        <v>264</v>
      </c>
      <c r="I528" t="s">
        <v>863</v>
      </c>
      <c r="J528">
        <v>-236.35</v>
      </c>
      <c r="K528">
        <v>-236.35</v>
      </c>
      <c r="O528" t="s">
        <v>631</v>
      </c>
      <c r="Q528" t="s">
        <v>466</v>
      </c>
      <c r="R528">
        <v>0</v>
      </c>
    </row>
    <row r="529" spans="1:18" x14ac:dyDescent="0.3">
      <c r="A529">
        <v>242258</v>
      </c>
      <c r="B529" t="s">
        <v>568</v>
      </c>
      <c r="C529" t="s">
        <v>763</v>
      </c>
      <c r="D529" t="s">
        <v>864</v>
      </c>
      <c r="E529" s="452">
        <v>46203</v>
      </c>
      <c r="F529" s="452">
        <v>46208</v>
      </c>
      <c r="G529" t="s">
        <v>297</v>
      </c>
      <c r="H529" t="s">
        <v>302</v>
      </c>
      <c r="I529" t="s">
        <v>865</v>
      </c>
      <c r="J529">
        <v>-293.93</v>
      </c>
      <c r="K529">
        <v>-293.93</v>
      </c>
      <c r="O529" t="s">
        <v>631</v>
      </c>
      <c r="Q529" t="s">
        <v>466</v>
      </c>
      <c r="R529">
        <v>0</v>
      </c>
    </row>
    <row r="530" spans="1:18" x14ac:dyDescent="0.3">
      <c r="A530">
        <v>242269</v>
      </c>
      <c r="B530" t="s">
        <v>568</v>
      </c>
      <c r="C530" t="s">
        <v>789</v>
      </c>
      <c r="D530" t="s">
        <v>866</v>
      </c>
      <c r="E530" s="452">
        <v>46202</v>
      </c>
      <c r="F530" s="452">
        <v>46212</v>
      </c>
      <c r="G530" t="s">
        <v>790</v>
      </c>
      <c r="H530" t="s">
        <v>204</v>
      </c>
      <c r="I530" t="s">
        <v>867</v>
      </c>
      <c r="J530">
        <v>-4653</v>
      </c>
      <c r="K530">
        <v>-4653</v>
      </c>
      <c r="O530" t="s">
        <v>631</v>
      </c>
      <c r="Q530" t="s">
        <v>466</v>
      </c>
      <c r="R530">
        <v>0</v>
      </c>
    </row>
    <row r="531" spans="1:18" x14ac:dyDescent="0.3">
      <c r="A531">
        <v>229047</v>
      </c>
      <c r="B531" t="s">
        <v>568</v>
      </c>
      <c r="C531" t="s">
        <v>812</v>
      </c>
      <c r="D531" t="s">
        <v>658</v>
      </c>
      <c r="E531" s="452">
        <v>46202</v>
      </c>
      <c r="F531" s="452">
        <v>46223</v>
      </c>
      <c r="G531" t="s">
        <v>813</v>
      </c>
      <c r="H531" t="s">
        <v>60</v>
      </c>
      <c r="I531" t="s">
        <v>868</v>
      </c>
      <c r="J531">
        <v>-1400</v>
      </c>
      <c r="K531">
        <v>-1400</v>
      </c>
      <c r="O531" t="s">
        <v>631</v>
      </c>
      <c r="Q531" t="s">
        <v>466</v>
      </c>
      <c r="R531">
        <v>0</v>
      </c>
    </row>
    <row r="532" spans="1:18" x14ac:dyDescent="0.3">
      <c r="A532">
        <v>209520</v>
      </c>
      <c r="B532" t="s">
        <v>568</v>
      </c>
      <c r="C532" t="s">
        <v>654</v>
      </c>
      <c r="D532" t="s">
        <v>658</v>
      </c>
      <c r="E532" s="452">
        <v>46201</v>
      </c>
      <c r="F532" s="452">
        <v>46223</v>
      </c>
      <c r="G532" t="s">
        <v>702</v>
      </c>
      <c r="H532" t="s">
        <v>343</v>
      </c>
      <c r="J532">
        <v>-37000</v>
      </c>
      <c r="K532">
        <v>-37000</v>
      </c>
      <c r="O532" t="s">
        <v>571</v>
      </c>
      <c r="Q532" t="s">
        <v>466</v>
      </c>
      <c r="R532">
        <v>0</v>
      </c>
    </row>
    <row r="533" spans="1:18" x14ac:dyDescent="0.3">
      <c r="A533">
        <v>197878</v>
      </c>
      <c r="B533" t="s">
        <v>568</v>
      </c>
      <c r="C533" t="s">
        <v>704</v>
      </c>
      <c r="D533" t="s">
        <v>658</v>
      </c>
      <c r="E533" s="452">
        <v>46198</v>
      </c>
      <c r="F533" s="452">
        <v>46228</v>
      </c>
      <c r="G533" t="s">
        <v>705</v>
      </c>
      <c r="H533" t="s">
        <v>114</v>
      </c>
      <c r="I533" t="s">
        <v>706</v>
      </c>
      <c r="J533">
        <v>-15000</v>
      </c>
      <c r="K533">
        <v>-15000</v>
      </c>
      <c r="O533" t="s">
        <v>571</v>
      </c>
      <c r="Q533" t="s">
        <v>466</v>
      </c>
      <c r="R533">
        <v>0</v>
      </c>
    </row>
    <row r="534" spans="1:18" x14ac:dyDescent="0.3">
      <c r="A534">
        <v>240974</v>
      </c>
      <c r="B534" t="s">
        <v>568</v>
      </c>
      <c r="C534" t="s">
        <v>723</v>
      </c>
      <c r="D534" t="s">
        <v>819</v>
      </c>
      <c r="E534" s="452">
        <v>46198</v>
      </c>
      <c r="F534" s="452">
        <v>46195</v>
      </c>
      <c r="G534" t="s">
        <v>724</v>
      </c>
      <c r="H534" t="s">
        <v>725</v>
      </c>
      <c r="J534">
        <v>-16</v>
      </c>
      <c r="K534">
        <v>-16</v>
      </c>
      <c r="O534" t="s">
        <v>631</v>
      </c>
      <c r="P534" t="s">
        <v>820</v>
      </c>
      <c r="Q534" t="s">
        <v>466</v>
      </c>
      <c r="R534">
        <v>0</v>
      </c>
    </row>
    <row r="535" spans="1:18" x14ac:dyDescent="0.3">
      <c r="A535">
        <v>242274</v>
      </c>
      <c r="B535" t="s">
        <v>568</v>
      </c>
      <c r="C535" t="s">
        <v>869</v>
      </c>
      <c r="D535" t="s">
        <v>870</v>
      </c>
      <c r="E535" s="452">
        <v>46196</v>
      </c>
      <c r="F535" s="452">
        <v>46211</v>
      </c>
      <c r="G535" t="s">
        <v>297</v>
      </c>
      <c r="H535" t="s">
        <v>305</v>
      </c>
      <c r="I535" t="s">
        <v>871</v>
      </c>
      <c r="J535">
        <v>-538.20000000000005</v>
      </c>
      <c r="K535">
        <v>-538.20000000000005</v>
      </c>
      <c r="O535" t="s">
        <v>631</v>
      </c>
      <c r="Q535" t="s">
        <v>466</v>
      </c>
      <c r="R535">
        <v>0</v>
      </c>
    </row>
    <row r="536" spans="1:18" x14ac:dyDescent="0.3">
      <c r="A536">
        <v>98067</v>
      </c>
      <c r="B536" t="s">
        <v>568</v>
      </c>
      <c r="C536" t="s">
        <v>628</v>
      </c>
      <c r="D536" t="s">
        <v>872</v>
      </c>
      <c r="E536" s="452">
        <v>46196</v>
      </c>
      <c r="F536" s="452">
        <v>46195</v>
      </c>
      <c r="G536" t="s">
        <v>613</v>
      </c>
      <c r="H536" t="s">
        <v>369</v>
      </c>
      <c r="I536" t="s">
        <v>630</v>
      </c>
      <c r="J536">
        <v>-20000</v>
      </c>
      <c r="K536">
        <v>-20000</v>
      </c>
      <c r="O536" t="s">
        <v>631</v>
      </c>
      <c r="P536" t="s">
        <v>820</v>
      </c>
      <c r="Q536" t="s">
        <v>466</v>
      </c>
      <c r="R536">
        <v>0</v>
      </c>
    </row>
    <row r="537" spans="1:18" x14ac:dyDescent="0.3">
      <c r="A537">
        <v>240208</v>
      </c>
      <c r="B537" t="s">
        <v>568</v>
      </c>
      <c r="C537" t="s">
        <v>873</v>
      </c>
      <c r="D537" t="s">
        <v>874</v>
      </c>
      <c r="E537" s="452">
        <v>46195</v>
      </c>
      <c r="F537" s="452">
        <v>46209</v>
      </c>
      <c r="G537" t="s">
        <v>297</v>
      </c>
      <c r="H537" t="s">
        <v>308</v>
      </c>
      <c r="I537" t="s">
        <v>875</v>
      </c>
      <c r="J537">
        <v>-358.15</v>
      </c>
      <c r="K537">
        <v>0</v>
      </c>
      <c r="O537" t="s">
        <v>631</v>
      </c>
      <c r="P537" t="s">
        <v>832</v>
      </c>
      <c r="Q537" t="s">
        <v>466</v>
      </c>
      <c r="R537">
        <v>0</v>
      </c>
    </row>
    <row r="538" spans="1:18" x14ac:dyDescent="0.3">
      <c r="A538">
        <v>226138</v>
      </c>
      <c r="B538" t="s">
        <v>568</v>
      </c>
      <c r="C538" t="s">
        <v>789</v>
      </c>
      <c r="D538" t="s">
        <v>876</v>
      </c>
      <c r="E538" s="452">
        <v>46195</v>
      </c>
      <c r="F538" s="452">
        <v>46205</v>
      </c>
      <c r="G538" t="s">
        <v>790</v>
      </c>
      <c r="H538" t="s">
        <v>204</v>
      </c>
      <c r="I538" t="s">
        <v>877</v>
      </c>
      <c r="J538">
        <v>-4521</v>
      </c>
      <c r="K538">
        <v>-4521</v>
      </c>
      <c r="O538" t="s">
        <v>631</v>
      </c>
      <c r="P538" t="s">
        <v>832</v>
      </c>
      <c r="Q538" t="s">
        <v>466</v>
      </c>
      <c r="R538">
        <v>0</v>
      </c>
    </row>
    <row r="539" spans="1:18" x14ac:dyDescent="0.3">
      <c r="A539">
        <v>229046</v>
      </c>
      <c r="B539" t="s">
        <v>568</v>
      </c>
      <c r="C539" t="s">
        <v>812</v>
      </c>
      <c r="D539" t="s">
        <v>878</v>
      </c>
      <c r="E539" s="452">
        <v>46195</v>
      </c>
      <c r="F539" s="452">
        <v>46216</v>
      </c>
      <c r="G539" t="s">
        <v>813</v>
      </c>
      <c r="H539" t="s">
        <v>60</v>
      </c>
      <c r="I539" t="s">
        <v>879</v>
      </c>
      <c r="J539">
        <v>-3200</v>
      </c>
      <c r="K539">
        <v>-3200</v>
      </c>
      <c r="O539" t="s">
        <v>631</v>
      </c>
      <c r="Q539" t="s">
        <v>466</v>
      </c>
      <c r="R539">
        <v>0</v>
      </c>
    </row>
    <row r="540" spans="1:18" x14ac:dyDescent="0.3">
      <c r="A540">
        <v>242272</v>
      </c>
      <c r="B540" t="s">
        <v>568</v>
      </c>
      <c r="C540" t="s">
        <v>682</v>
      </c>
      <c r="D540" t="s">
        <v>880</v>
      </c>
      <c r="E540" s="452">
        <v>46195</v>
      </c>
      <c r="F540" s="452">
        <v>46210</v>
      </c>
      <c r="G540" t="s">
        <v>683</v>
      </c>
      <c r="H540" t="s">
        <v>292</v>
      </c>
      <c r="I540" t="s">
        <v>881</v>
      </c>
      <c r="J540">
        <v>-64.599999999999994</v>
      </c>
      <c r="K540">
        <v>-64.599999999999994</v>
      </c>
      <c r="O540" t="s">
        <v>631</v>
      </c>
      <c r="Q540" t="s">
        <v>466</v>
      </c>
      <c r="R540">
        <v>0</v>
      </c>
    </row>
    <row r="541" spans="1:18" x14ac:dyDescent="0.3">
      <c r="A541">
        <v>240278</v>
      </c>
      <c r="B541" t="s">
        <v>568</v>
      </c>
      <c r="C541" t="s">
        <v>708</v>
      </c>
      <c r="D541" t="s">
        <v>882</v>
      </c>
      <c r="E541" s="452">
        <v>46193</v>
      </c>
      <c r="F541" s="452">
        <v>46198</v>
      </c>
      <c r="G541" t="s">
        <v>280</v>
      </c>
      <c r="H541" t="s">
        <v>281</v>
      </c>
      <c r="I541" t="s">
        <v>883</v>
      </c>
      <c r="J541">
        <v>-159.96</v>
      </c>
      <c r="K541">
        <v>0</v>
      </c>
      <c r="O541" t="s">
        <v>631</v>
      </c>
      <c r="P541" t="s">
        <v>832</v>
      </c>
      <c r="Q541" t="s">
        <v>466</v>
      </c>
      <c r="R541">
        <v>0</v>
      </c>
    </row>
    <row r="542" spans="1:18" x14ac:dyDescent="0.3">
      <c r="A542">
        <v>191874</v>
      </c>
      <c r="B542" t="s">
        <v>568</v>
      </c>
      <c r="C542" t="s">
        <v>708</v>
      </c>
      <c r="D542" t="s">
        <v>884</v>
      </c>
      <c r="E542" s="452">
        <v>46193</v>
      </c>
      <c r="F542" s="452">
        <v>46208</v>
      </c>
      <c r="G542" t="s">
        <v>280</v>
      </c>
      <c r="H542" t="s">
        <v>282</v>
      </c>
      <c r="I542" t="s">
        <v>885</v>
      </c>
      <c r="J542">
        <v>-104.37</v>
      </c>
      <c r="K542">
        <v>-104.37</v>
      </c>
      <c r="O542" t="s">
        <v>631</v>
      </c>
      <c r="Q542" t="s">
        <v>466</v>
      </c>
      <c r="R542">
        <v>0</v>
      </c>
    </row>
    <row r="543" spans="1:18" x14ac:dyDescent="0.3">
      <c r="A543">
        <v>240039</v>
      </c>
      <c r="B543" t="s">
        <v>568</v>
      </c>
      <c r="C543" t="s">
        <v>723</v>
      </c>
      <c r="D543" t="s">
        <v>819</v>
      </c>
      <c r="E543" s="452">
        <v>46192</v>
      </c>
      <c r="F543" s="452">
        <v>46190</v>
      </c>
      <c r="G543" t="s">
        <v>724</v>
      </c>
      <c r="H543" t="s">
        <v>725</v>
      </c>
      <c r="J543">
        <v>-2</v>
      </c>
      <c r="K543">
        <v>-2</v>
      </c>
      <c r="O543" t="s">
        <v>631</v>
      </c>
      <c r="P543" t="s">
        <v>820</v>
      </c>
      <c r="Q543" t="s">
        <v>466</v>
      </c>
      <c r="R543">
        <v>0</v>
      </c>
    </row>
    <row r="544" spans="1:18" x14ac:dyDescent="0.3">
      <c r="A544">
        <v>239390</v>
      </c>
      <c r="B544" t="s">
        <v>568</v>
      </c>
      <c r="C544" t="s">
        <v>886</v>
      </c>
      <c r="D544" t="s">
        <v>887</v>
      </c>
      <c r="E544" s="452">
        <v>46190</v>
      </c>
      <c r="F544" s="452">
        <v>46205</v>
      </c>
      <c r="G544" t="s">
        <v>801</v>
      </c>
      <c r="H544" t="s">
        <v>358</v>
      </c>
      <c r="I544" t="s">
        <v>888</v>
      </c>
      <c r="J544">
        <v>-1750</v>
      </c>
      <c r="K544">
        <v>-1750</v>
      </c>
      <c r="O544" t="s">
        <v>631</v>
      </c>
      <c r="P544" t="s">
        <v>832</v>
      </c>
      <c r="Q544" t="s">
        <v>466</v>
      </c>
      <c r="R544">
        <v>0</v>
      </c>
    </row>
    <row r="545" spans="1:18" x14ac:dyDescent="0.3">
      <c r="A545">
        <v>240651</v>
      </c>
      <c r="B545" t="s">
        <v>568</v>
      </c>
      <c r="C545" t="s">
        <v>889</v>
      </c>
      <c r="D545" t="s">
        <v>890</v>
      </c>
      <c r="E545" s="452">
        <v>46189</v>
      </c>
      <c r="F545" s="452">
        <v>46203</v>
      </c>
      <c r="G545" t="s">
        <v>297</v>
      </c>
      <c r="H545" t="s">
        <v>305</v>
      </c>
      <c r="I545" t="s">
        <v>891</v>
      </c>
      <c r="J545">
        <v>-170</v>
      </c>
      <c r="K545">
        <v>-170</v>
      </c>
      <c r="O545" t="s">
        <v>631</v>
      </c>
      <c r="P545" t="s">
        <v>820</v>
      </c>
      <c r="Q545" t="s">
        <v>466</v>
      </c>
      <c r="R545">
        <v>0</v>
      </c>
    </row>
    <row r="546" spans="1:18" x14ac:dyDescent="0.3">
      <c r="A546">
        <v>229045</v>
      </c>
      <c r="B546" t="s">
        <v>568</v>
      </c>
      <c r="C546" t="s">
        <v>812</v>
      </c>
      <c r="D546" t="s">
        <v>892</v>
      </c>
      <c r="E546" s="452">
        <v>46188</v>
      </c>
      <c r="F546" s="452">
        <v>46209</v>
      </c>
      <c r="G546" t="s">
        <v>813</v>
      </c>
      <c r="H546" t="s">
        <v>60</v>
      </c>
      <c r="I546" t="s">
        <v>893</v>
      </c>
      <c r="J546">
        <v>-1400</v>
      </c>
      <c r="K546">
        <v>-1400</v>
      </c>
      <c r="O546" t="s">
        <v>631</v>
      </c>
      <c r="Q546" t="s">
        <v>466</v>
      </c>
      <c r="R546">
        <v>0</v>
      </c>
    </row>
    <row r="547" spans="1:18" x14ac:dyDescent="0.3">
      <c r="A547">
        <v>226137</v>
      </c>
      <c r="B547" t="s">
        <v>568</v>
      </c>
      <c r="C547" t="s">
        <v>789</v>
      </c>
      <c r="D547" t="s">
        <v>894</v>
      </c>
      <c r="E547" s="452">
        <v>46188</v>
      </c>
      <c r="F547" s="452">
        <v>46198</v>
      </c>
      <c r="G547" t="s">
        <v>790</v>
      </c>
      <c r="H547" t="s">
        <v>204</v>
      </c>
      <c r="I547" t="s">
        <v>895</v>
      </c>
      <c r="J547">
        <v>-5247</v>
      </c>
      <c r="K547">
        <v>-5247</v>
      </c>
      <c r="O547" t="s">
        <v>631</v>
      </c>
      <c r="Q547" t="s">
        <v>466</v>
      </c>
      <c r="R547">
        <v>0</v>
      </c>
    </row>
    <row r="548" spans="1:18" x14ac:dyDescent="0.3">
      <c r="A548">
        <v>192142</v>
      </c>
      <c r="B548" t="s">
        <v>568</v>
      </c>
      <c r="C548" t="s">
        <v>711</v>
      </c>
      <c r="D548" t="s">
        <v>896</v>
      </c>
      <c r="E548" s="452">
        <v>46188</v>
      </c>
      <c r="F548" s="452">
        <v>46213</v>
      </c>
      <c r="G548" t="s">
        <v>280</v>
      </c>
      <c r="H548" t="s">
        <v>286</v>
      </c>
      <c r="I548" t="s">
        <v>897</v>
      </c>
      <c r="J548">
        <v>-389</v>
      </c>
      <c r="K548">
        <v>-389</v>
      </c>
      <c r="O548" t="s">
        <v>631</v>
      </c>
      <c r="Q548" t="s">
        <v>466</v>
      </c>
      <c r="R548">
        <v>0</v>
      </c>
    </row>
    <row r="549" spans="1:18" x14ac:dyDescent="0.3">
      <c r="A549">
        <v>192875</v>
      </c>
      <c r="B549" t="s">
        <v>568</v>
      </c>
      <c r="C549" t="s">
        <v>692</v>
      </c>
      <c r="D549" t="s">
        <v>898</v>
      </c>
      <c r="E549" s="452">
        <v>46188</v>
      </c>
      <c r="F549" s="452">
        <v>46195</v>
      </c>
      <c r="G549" t="s">
        <v>309</v>
      </c>
      <c r="H549" t="s">
        <v>317</v>
      </c>
      <c r="I549" t="s">
        <v>899</v>
      </c>
      <c r="J549">
        <v>-1200</v>
      </c>
      <c r="K549">
        <v>-1200</v>
      </c>
      <c r="O549" t="s">
        <v>631</v>
      </c>
      <c r="P549" t="s">
        <v>820</v>
      </c>
      <c r="Q549" t="s">
        <v>466</v>
      </c>
      <c r="R549">
        <v>0</v>
      </c>
    </row>
    <row r="550" spans="1:18" x14ac:dyDescent="0.3">
      <c r="A550">
        <v>192930</v>
      </c>
      <c r="B550" t="s">
        <v>568</v>
      </c>
      <c r="C550" t="s">
        <v>671</v>
      </c>
      <c r="D550" t="s">
        <v>900</v>
      </c>
      <c r="E550" s="452">
        <v>46188</v>
      </c>
      <c r="F550" s="452">
        <v>46188</v>
      </c>
      <c r="G550" t="s">
        <v>672</v>
      </c>
      <c r="H550" t="s">
        <v>240</v>
      </c>
      <c r="I550" t="s">
        <v>901</v>
      </c>
      <c r="J550">
        <v>-300</v>
      </c>
      <c r="K550">
        <v>-300</v>
      </c>
      <c r="O550" t="s">
        <v>631</v>
      </c>
      <c r="P550" t="s">
        <v>820</v>
      </c>
      <c r="Q550" t="s">
        <v>466</v>
      </c>
      <c r="R550">
        <v>0</v>
      </c>
    </row>
    <row r="551" spans="1:18" x14ac:dyDescent="0.3">
      <c r="A551">
        <v>191898</v>
      </c>
      <c r="B551" t="s">
        <v>568</v>
      </c>
      <c r="C551" t="s">
        <v>713</v>
      </c>
      <c r="D551" t="s">
        <v>902</v>
      </c>
      <c r="E551" s="452">
        <v>46185</v>
      </c>
      <c r="F551" s="452">
        <v>46197</v>
      </c>
      <c r="G551" t="s">
        <v>265</v>
      </c>
      <c r="H551" t="s">
        <v>267</v>
      </c>
      <c r="I551" t="s">
        <v>903</v>
      </c>
      <c r="J551">
        <v>-1700.6</v>
      </c>
      <c r="K551">
        <v>-1700.6</v>
      </c>
      <c r="O551" t="s">
        <v>631</v>
      </c>
      <c r="P551" t="s">
        <v>820</v>
      </c>
      <c r="Q551" t="s">
        <v>466</v>
      </c>
      <c r="R551">
        <v>0</v>
      </c>
    </row>
    <row r="552" spans="1:18" x14ac:dyDescent="0.3">
      <c r="A552">
        <v>237893</v>
      </c>
      <c r="B552" t="s">
        <v>568</v>
      </c>
      <c r="C552" t="s">
        <v>904</v>
      </c>
      <c r="D552" t="s">
        <v>905</v>
      </c>
      <c r="E552" s="452">
        <v>46184</v>
      </c>
      <c r="F552" s="452">
        <v>46185</v>
      </c>
      <c r="G552" t="s">
        <v>906</v>
      </c>
      <c r="H552" t="s">
        <v>294</v>
      </c>
      <c r="I552" t="s">
        <v>907</v>
      </c>
      <c r="J552">
        <v>-332.97</v>
      </c>
      <c r="K552">
        <v>0</v>
      </c>
      <c r="O552" t="s">
        <v>631</v>
      </c>
      <c r="P552" t="s">
        <v>820</v>
      </c>
      <c r="Q552" t="s">
        <v>466</v>
      </c>
      <c r="R552">
        <v>0</v>
      </c>
    </row>
    <row r="553" spans="1:18" x14ac:dyDescent="0.3">
      <c r="A553">
        <v>238101</v>
      </c>
      <c r="B553" t="s">
        <v>568</v>
      </c>
      <c r="C553" t="s">
        <v>908</v>
      </c>
      <c r="D553" t="s">
        <v>909</v>
      </c>
      <c r="E553" s="452">
        <v>46184</v>
      </c>
      <c r="F553" s="452">
        <v>46188</v>
      </c>
      <c r="G553" t="s">
        <v>297</v>
      </c>
      <c r="H553" t="s">
        <v>308</v>
      </c>
      <c r="I553" t="s">
        <v>875</v>
      </c>
      <c r="J553">
        <v>-378.1</v>
      </c>
      <c r="K553">
        <v>0</v>
      </c>
      <c r="O553" t="s">
        <v>631</v>
      </c>
      <c r="P553" t="s">
        <v>820</v>
      </c>
      <c r="Q553" t="s">
        <v>466</v>
      </c>
      <c r="R553">
        <v>0</v>
      </c>
    </row>
    <row r="554" spans="1:18" x14ac:dyDescent="0.3">
      <c r="A554">
        <v>238514</v>
      </c>
      <c r="B554" t="s">
        <v>568</v>
      </c>
      <c r="C554" t="s">
        <v>910</v>
      </c>
      <c r="D554" t="s">
        <v>819</v>
      </c>
      <c r="E554" s="452">
        <v>46183</v>
      </c>
      <c r="F554" s="452">
        <v>46183</v>
      </c>
      <c r="G554" t="s">
        <v>724</v>
      </c>
      <c r="H554" t="s">
        <v>725</v>
      </c>
      <c r="J554">
        <v>-155</v>
      </c>
      <c r="K554">
        <v>-155</v>
      </c>
      <c r="O554" t="s">
        <v>631</v>
      </c>
      <c r="P554" t="s">
        <v>820</v>
      </c>
      <c r="Q554" t="s">
        <v>466</v>
      </c>
      <c r="R554">
        <v>0</v>
      </c>
    </row>
    <row r="555" spans="1:18" x14ac:dyDescent="0.3">
      <c r="A555">
        <v>192811</v>
      </c>
      <c r="B555" t="s">
        <v>568</v>
      </c>
      <c r="C555" t="s">
        <v>715</v>
      </c>
      <c r="D555" t="s">
        <v>911</v>
      </c>
      <c r="E555" s="452">
        <v>46183</v>
      </c>
      <c r="F555" s="452">
        <v>46213</v>
      </c>
      <c r="G555" t="s">
        <v>319</v>
      </c>
      <c r="H555" t="s">
        <v>320</v>
      </c>
      <c r="I555" t="s">
        <v>912</v>
      </c>
      <c r="J555">
        <v>-296.45999999999998</v>
      </c>
      <c r="K555">
        <v>-296.45999999999998</v>
      </c>
      <c r="O555" t="s">
        <v>631</v>
      </c>
      <c r="Q555" t="s">
        <v>466</v>
      </c>
      <c r="R555">
        <v>0</v>
      </c>
    </row>
    <row r="556" spans="1:18" x14ac:dyDescent="0.3">
      <c r="A556">
        <v>237526</v>
      </c>
      <c r="B556" t="s">
        <v>568</v>
      </c>
      <c r="C556" t="s">
        <v>908</v>
      </c>
      <c r="D556" t="s">
        <v>913</v>
      </c>
      <c r="E556" s="452">
        <v>46182</v>
      </c>
      <c r="F556" s="452">
        <v>46188</v>
      </c>
      <c r="G556" t="s">
        <v>297</v>
      </c>
      <c r="H556" t="s">
        <v>308</v>
      </c>
      <c r="I556" t="s">
        <v>875</v>
      </c>
      <c r="J556">
        <v>-89.63</v>
      </c>
      <c r="K556">
        <v>0</v>
      </c>
      <c r="O556" t="s">
        <v>631</v>
      </c>
      <c r="P556" t="s">
        <v>820</v>
      </c>
      <c r="Q556" t="s">
        <v>466</v>
      </c>
      <c r="R556">
        <v>0</v>
      </c>
    </row>
    <row r="557" spans="1:18" x14ac:dyDescent="0.3">
      <c r="A557">
        <v>229044</v>
      </c>
      <c r="B557" t="s">
        <v>568</v>
      </c>
      <c r="C557" t="s">
        <v>812</v>
      </c>
      <c r="D557" t="s">
        <v>914</v>
      </c>
      <c r="E557" s="452">
        <v>46181</v>
      </c>
      <c r="F557" s="452">
        <v>46202</v>
      </c>
      <c r="G557" t="s">
        <v>813</v>
      </c>
      <c r="H557" t="s">
        <v>60</v>
      </c>
      <c r="I557" t="s">
        <v>915</v>
      </c>
      <c r="J557">
        <v>-1300</v>
      </c>
      <c r="K557">
        <v>-1300</v>
      </c>
      <c r="O557" t="s">
        <v>631</v>
      </c>
      <c r="P557" t="s">
        <v>820</v>
      </c>
      <c r="Q557" t="s">
        <v>466</v>
      </c>
      <c r="R557">
        <v>0</v>
      </c>
    </row>
    <row r="558" spans="1:18" x14ac:dyDescent="0.3">
      <c r="A558">
        <v>226136</v>
      </c>
      <c r="B558" t="s">
        <v>568</v>
      </c>
      <c r="C558" t="s">
        <v>789</v>
      </c>
      <c r="D558" t="s">
        <v>916</v>
      </c>
      <c r="E558" s="452">
        <v>46181</v>
      </c>
      <c r="F558" s="452">
        <v>46191</v>
      </c>
      <c r="G558" t="s">
        <v>790</v>
      </c>
      <c r="H558" t="s">
        <v>204</v>
      </c>
      <c r="I558" t="s">
        <v>917</v>
      </c>
      <c r="J558">
        <v>-5216.4399999999996</v>
      </c>
      <c r="K558">
        <v>-5216.4399999999996</v>
      </c>
      <c r="O558" t="s">
        <v>631</v>
      </c>
      <c r="P558" t="s">
        <v>820</v>
      </c>
      <c r="Q558" t="s">
        <v>466</v>
      </c>
      <c r="R558">
        <v>0</v>
      </c>
    </row>
    <row r="559" spans="1:18" x14ac:dyDescent="0.3">
      <c r="A559">
        <v>223195</v>
      </c>
      <c r="B559" t="s">
        <v>568</v>
      </c>
      <c r="C559" t="s">
        <v>654</v>
      </c>
      <c r="D559" t="s">
        <v>918</v>
      </c>
      <c r="E559" s="452">
        <v>46181</v>
      </c>
      <c r="F559" s="452">
        <v>46203</v>
      </c>
      <c r="G559" t="s">
        <v>613</v>
      </c>
      <c r="H559" t="s">
        <v>369</v>
      </c>
      <c r="I559" t="s">
        <v>656</v>
      </c>
      <c r="J559">
        <v>-13945.76</v>
      </c>
      <c r="K559">
        <v>-13945.76</v>
      </c>
      <c r="O559" t="s">
        <v>631</v>
      </c>
      <c r="P559" t="s">
        <v>820</v>
      </c>
      <c r="Q559" t="s">
        <v>466</v>
      </c>
      <c r="R559">
        <v>0</v>
      </c>
    </row>
    <row r="560" spans="1:18" x14ac:dyDescent="0.3">
      <c r="A560">
        <v>192916</v>
      </c>
      <c r="B560" t="s">
        <v>568</v>
      </c>
      <c r="C560" t="s">
        <v>671</v>
      </c>
      <c r="D560" t="s">
        <v>919</v>
      </c>
      <c r="E560" s="452">
        <v>46181</v>
      </c>
      <c r="F560" s="452">
        <v>46181</v>
      </c>
      <c r="G560" t="s">
        <v>672</v>
      </c>
      <c r="H560" t="s">
        <v>240</v>
      </c>
      <c r="I560" t="s">
        <v>674</v>
      </c>
      <c r="J560">
        <v>-300</v>
      </c>
      <c r="K560">
        <v>-300</v>
      </c>
      <c r="O560" t="s">
        <v>631</v>
      </c>
      <c r="P560" t="s">
        <v>820</v>
      </c>
      <c r="Q560" t="s">
        <v>466</v>
      </c>
      <c r="R560">
        <v>0</v>
      </c>
    </row>
    <row r="561" spans="1:18" x14ac:dyDescent="0.3">
      <c r="A561">
        <v>191910</v>
      </c>
      <c r="B561" t="s">
        <v>568</v>
      </c>
      <c r="C561" t="s">
        <v>713</v>
      </c>
      <c r="D561" t="s">
        <v>920</v>
      </c>
      <c r="E561" s="452">
        <v>46181</v>
      </c>
      <c r="F561" s="452">
        <v>46197</v>
      </c>
      <c r="G561" t="s">
        <v>265</v>
      </c>
      <c r="H561" t="s">
        <v>267</v>
      </c>
      <c r="I561" t="s">
        <v>921</v>
      </c>
      <c r="J561">
        <v>-1685.41</v>
      </c>
      <c r="K561">
        <v>-1685.41</v>
      </c>
      <c r="O561" t="s">
        <v>631</v>
      </c>
      <c r="P561" t="s">
        <v>820</v>
      </c>
      <c r="Q561" t="s">
        <v>466</v>
      </c>
      <c r="R561">
        <v>0</v>
      </c>
    </row>
    <row r="562" spans="1:18" x14ac:dyDescent="0.3">
      <c r="A562">
        <v>239610</v>
      </c>
      <c r="B562" t="s">
        <v>568</v>
      </c>
      <c r="C562" t="s">
        <v>922</v>
      </c>
      <c r="D562" t="s">
        <v>923</v>
      </c>
      <c r="E562" s="452">
        <v>46179</v>
      </c>
      <c r="F562" s="452">
        <v>46199</v>
      </c>
      <c r="G562" t="s">
        <v>297</v>
      </c>
      <c r="H562" t="s">
        <v>305</v>
      </c>
      <c r="I562" t="s">
        <v>924</v>
      </c>
      <c r="J562">
        <v>-1265</v>
      </c>
      <c r="K562">
        <v>-1265</v>
      </c>
      <c r="O562" t="s">
        <v>631</v>
      </c>
      <c r="P562" t="s">
        <v>820</v>
      </c>
      <c r="Q562" t="s">
        <v>466</v>
      </c>
      <c r="R562">
        <v>0</v>
      </c>
    </row>
    <row r="563" spans="1:18" x14ac:dyDescent="0.3">
      <c r="A563">
        <v>237848</v>
      </c>
      <c r="B563" t="s">
        <v>568</v>
      </c>
      <c r="C563" t="s">
        <v>925</v>
      </c>
      <c r="D563" t="s">
        <v>926</v>
      </c>
      <c r="E563" s="452">
        <v>46178</v>
      </c>
      <c r="F563" s="452">
        <v>46192</v>
      </c>
      <c r="G563" t="s">
        <v>297</v>
      </c>
      <c r="H563" t="s">
        <v>305</v>
      </c>
      <c r="I563" t="s">
        <v>927</v>
      </c>
      <c r="J563">
        <v>-2460</v>
      </c>
      <c r="K563">
        <v>-2460</v>
      </c>
      <c r="O563" t="s">
        <v>631</v>
      </c>
      <c r="P563" t="s">
        <v>820</v>
      </c>
      <c r="Q563" t="s">
        <v>466</v>
      </c>
      <c r="R563">
        <v>0</v>
      </c>
    </row>
    <row r="564" spans="1:18" x14ac:dyDescent="0.3">
      <c r="A564">
        <v>237853</v>
      </c>
      <c r="B564" t="s">
        <v>568</v>
      </c>
      <c r="C564" t="s">
        <v>889</v>
      </c>
      <c r="D564" t="s">
        <v>928</v>
      </c>
      <c r="E564" s="452">
        <v>46178</v>
      </c>
      <c r="F564" s="452">
        <v>46192</v>
      </c>
      <c r="G564" t="s">
        <v>297</v>
      </c>
      <c r="H564" t="s">
        <v>305</v>
      </c>
      <c r="I564" t="s">
        <v>929</v>
      </c>
      <c r="J564">
        <v>-203</v>
      </c>
      <c r="K564">
        <v>-203</v>
      </c>
      <c r="O564" t="s">
        <v>631</v>
      </c>
      <c r="P564" t="s">
        <v>820</v>
      </c>
      <c r="Q564" t="s">
        <v>466</v>
      </c>
      <c r="R564">
        <v>0</v>
      </c>
    </row>
    <row r="565" spans="1:18" x14ac:dyDescent="0.3">
      <c r="A565">
        <v>241399</v>
      </c>
      <c r="B565" t="s">
        <v>568</v>
      </c>
      <c r="C565" t="s">
        <v>853</v>
      </c>
      <c r="D565" t="s">
        <v>930</v>
      </c>
      <c r="E565" s="452">
        <v>46174</v>
      </c>
      <c r="F565" s="452">
        <v>46208</v>
      </c>
      <c r="G565" t="s">
        <v>931</v>
      </c>
      <c r="H565" t="s">
        <v>932</v>
      </c>
      <c r="I565" t="s">
        <v>933</v>
      </c>
      <c r="J565">
        <v>-34.21</v>
      </c>
      <c r="K565">
        <v>-34.21</v>
      </c>
      <c r="O565" t="s">
        <v>631</v>
      </c>
      <c r="Q565" t="s">
        <v>466</v>
      </c>
      <c r="R565">
        <v>0</v>
      </c>
    </row>
    <row r="566" spans="1:18" x14ac:dyDescent="0.3">
      <c r="A566">
        <v>241400</v>
      </c>
      <c r="B566" t="s">
        <v>568</v>
      </c>
      <c r="C566" t="s">
        <v>853</v>
      </c>
      <c r="D566" t="s">
        <v>934</v>
      </c>
      <c r="E566" s="452">
        <v>46174</v>
      </c>
      <c r="F566" s="452">
        <v>46208</v>
      </c>
      <c r="G566" t="s">
        <v>931</v>
      </c>
      <c r="H566" t="s">
        <v>932</v>
      </c>
      <c r="I566" t="s">
        <v>933</v>
      </c>
      <c r="J566">
        <v>-8.9700000000000006</v>
      </c>
      <c r="K566">
        <v>-8.9700000000000006</v>
      </c>
      <c r="O566" t="s">
        <v>631</v>
      </c>
      <c r="Q566" t="s">
        <v>466</v>
      </c>
      <c r="R566">
        <v>0</v>
      </c>
    </row>
    <row r="567" spans="1:18" x14ac:dyDescent="0.3">
      <c r="A567">
        <v>241447</v>
      </c>
      <c r="B567" t="s">
        <v>568</v>
      </c>
      <c r="C567" t="s">
        <v>853</v>
      </c>
      <c r="D567" t="s">
        <v>935</v>
      </c>
      <c r="E567" s="452">
        <v>46174</v>
      </c>
      <c r="F567" s="452">
        <v>46208</v>
      </c>
      <c r="G567" t="s">
        <v>931</v>
      </c>
      <c r="H567" t="s">
        <v>932</v>
      </c>
      <c r="I567" t="s">
        <v>936</v>
      </c>
      <c r="J567">
        <v>-13.56</v>
      </c>
      <c r="K567">
        <v>-13.56</v>
      </c>
      <c r="O567" t="s">
        <v>631</v>
      </c>
      <c r="Q567" t="s">
        <v>466</v>
      </c>
      <c r="R567">
        <v>0</v>
      </c>
    </row>
    <row r="568" spans="1:18" x14ac:dyDescent="0.3">
      <c r="A568">
        <v>243024</v>
      </c>
      <c r="B568" t="s">
        <v>568</v>
      </c>
      <c r="C568" t="s">
        <v>937</v>
      </c>
      <c r="E568" s="452">
        <v>46174</v>
      </c>
      <c r="F568" s="452">
        <v>46179</v>
      </c>
      <c r="G568" t="s">
        <v>666</v>
      </c>
      <c r="H568" t="s">
        <v>667</v>
      </c>
      <c r="J568">
        <v>-4206.46</v>
      </c>
      <c r="K568">
        <v>-4206.46</v>
      </c>
      <c r="O568" t="s">
        <v>631</v>
      </c>
      <c r="P568" t="s">
        <v>832</v>
      </c>
      <c r="Q568" t="s">
        <v>466</v>
      </c>
      <c r="R568">
        <v>0</v>
      </c>
    </row>
    <row r="569" spans="1:18" x14ac:dyDescent="0.3">
      <c r="A569">
        <v>241448</v>
      </c>
      <c r="B569" t="s">
        <v>568</v>
      </c>
      <c r="C569" t="s">
        <v>853</v>
      </c>
      <c r="D569" t="s">
        <v>938</v>
      </c>
      <c r="E569" s="452">
        <v>46174</v>
      </c>
      <c r="F569" s="452">
        <v>46208</v>
      </c>
      <c r="G569" t="s">
        <v>265</v>
      </c>
      <c r="H569" t="s">
        <v>269</v>
      </c>
      <c r="I569" t="s">
        <v>939</v>
      </c>
      <c r="J569">
        <v>-34.4</v>
      </c>
      <c r="K569">
        <v>-34.4</v>
      </c>
      <c r="O569" t="s">
        <v>631</v>
      </c>
      <c r="Q569" t="s">
        <v>466</v>
      </c>
      <c r="R569">
        <v>0</v>
      </c>
    </row>
    <row r="570" spans="1:18" x14ac:dyDescent="0.3">
      <c r="A570">
        <v>243025</v>
      </c>
      <c r="B570" t="s">
        <v>568</v>
      </c>
      <c r="C570" t="s">
        <v>940</v>
      </c>
      <c r="E570" s="452">
        <v>46174</v>
      </c>
      <c r="F570" s="452">
        <v>46179</v>
      </c>
      <c r="G570" t="s">
        <v>666</v>
      </c>
      <c r="H570" t="s">
        <v>667</v>
      </c>
      <c r="J570">
        <v>-2976.64</v>
      </c>
      <c r="K570">
        <v>-2976.64</v>
      </c>
      <c r="O570" t="s">
        <v>631</v>
      </c>
      <c r="P570" t="s">
        <v>832</v>
      </c>
      <c r="Q570" t="s">
        <v>466</v>
      </c>
      <c r="R570">
        <v>0</v>
      </c>
    </row>
    <row r="571" spans="1:18" x14ac:dyDescent="0.3">
      <c r="A571">
        <v>241449</v>
      </c>
      <c r="B571" t="s">
        <v>568</v>
      </c>
      <c r="C571" t="s">
        <v>853</v>
      </c>
      <c r="D571" t="s">
        <v>941</v>
      </c>
      <c r="E571" s="452">
        <v>46174</v>
      </c>
      <c r="F571" s="452">
        <v>46208</v>
      </c>
      <c r="G571" t="s">
        <v>683</v>
      </c>
      <c r="H571" t="s">
        <v>292</v>
      </c>
      <c r="I571" t="s">
        <v>942</v>
      </c>
      <c r="J571">
        <v>-256.60000000000002</v>
      </c>
      <c r="K571">
        <v>-256.60000000000002</v>
      </c>
      <c r="O571" t="s">
        <v>631</v>
      </c>
      <c r="Q571" t="s">
        <v>466</v>
      </c>
      <c r="R571">
        <v>0</v>
      </c>
    </row>
    <row r="572" spans="1:18" x14ac:dyDescent="0.3">
      <c r="A572">
        <v>241450</v>
      </c>
      <c r="B572" t="s">
        <v>568</v>
      </c>
      <c r="C572" t="s">
        <v>853</v>
      </c>
      <c r="D572" t="s">
        <v>943</v>
      </c>
      <c r="E572" s="452">
        <v>46174</v>
      </c>
      <c r="F572" s="452">
        <v>46208</v>
      </c>
      <c r="G572" t="s">
        <v>931</v>
      </c>
      <c r="H572" t="s">
        <v>932</v>
      </c>
      <c r="I572" t="s">
        <v>944</v>
      </c>
      <c r="J572">
        <v>-60</v>
      </c>
      <c r="K572">
        <v>-60</v>
      </c>
      <c r="O572" t="s">
        <v>631</v>
      </c>
      <c r="Q572" t="s">
        <v>466</v>
      </c>
      <c r="R572">
        <v>0</v>
      </c>
    </row>
    <row r="573" spans="1:18" x14ac:dyDescent="0.3">
      <c r="A573">
        <v>243026</v>
      </c>
      <c r="B573" t="s">
        <v>568</v>
      </c>
      <c r="C573" t="s">
        <v>945</v>
      </c>
      <c r="E573" s="452">
        <v>46174</v>
      </c>
      <c r="F573" s="452">
        <v>46179</v>
      </c>
      <c r="G573" t="s">
        <v>666</v>
      </c>
      <c r="H573" t="s">
        <v>667</v>
      </c>
      <c r="J573">
        <v>-4998.82</v>
      </c>
      <c r="K573">
        <v>-4998.82</v>
      </c>
      <c r="O573" t="s">
        <v>631</v>
      </c>
      <c r="P573" t="s">
        <v>832</v>
      </c>
      <c r="Q573" t="s">
        <v>466</v>
      </c>
      <c r="R573">
        <v>0</v>
      </c>
    </row>
    <row r="574" spans="1:18" x14ac:dyDescent="0.3">
      <c r="A574">
        <v>241451</v>
      </c>
      <c r="B574" t="s">
        <v>568</v>
      </c>
      <c r="C574" t="s">
        <v>853</v>
      </c>
      <c r="D574" t="s">
        <v>946</v>
      </c>
      <c r="E574" s="452">
        <v>46174</v>
      </c>
      <c r="F574" s="452">
        <v>46208</v>
      </c>
      <c r="G574" t="s">
        <v>931</v>
      </c>
      <c r="H574" t="s">
        <v>932</v>
      </c>
      <c r="I574" t="s">
        <v>944</v>
      </c>
      <c r="J574">
        <v>-75</v>
      </c>
      <c r="K574">
        <v>-75</v>
      </c>
      <c r="O574" t="s">
        <v>631</v>
      </c>
      <c r="Q574" t="s">
        <v>466</v>
      </c>
      <c r="R574">
        <v>0</v>
      </c>
    </row>
    <row r="575" spans="1:18" x14ac:dyDescent="0.3">
      <c r="A575">
        <v>241453</v>
      </c>
      <c r="B575" t="s">
        <v>568</v>
      </c>
      <c r="C575" t="s">
        <v>853</v>
      </c>
      <c r="D575" t="s">
        <v>947</v>
      </c>
      <c r="E575" s="452">
        <v>46174</v>
      </c>
      <c r="F575" s="452">
        <v>46208</v>
      </c>
      <c r="G575" t="s">
        <v>931</v>
      </c>
      <c r="H575" t="s">
        <v>932</v>
      </c>
      <c r="I575" t="s">
        <v>948</v>
      </c>
      <c r="J575">
        <v>-35.99</v>
      </c>
      <c r="K575">
        <v>-35.99</v>
      </c>
      <c r="O575" t="s">
        <v>631</v>
      </c>
      <c r="Q575" t="s">
        <v>466</v>
      </c>
      <c r="R575">
        <v>0</v>
      </c>
    </row>
    <row r="576" spans="1:18" x14ac:dyDescent="0.3">
      <c r="A576">
        <v>241456</v>
      </c>
      <c r="B576" t="s">
        <v>568</v>
      </c>
      <c r="C576" t="s">
        <v>853</v>
      </c>
      <c r="D576" t="s">
        <v>949</v>
      </c>
      <c r="E576" s="452">
        <v>46174</v>
      </c>
      <c r="F576" s="452">
        <v>46208</v>
      </c>
      <c r="G576" t="s">
        <v>931</v>
      </c>
      <c r="H576" t="s">
        <v>932</v>
      </c>
      <c r="I576" t="s">
        <v>950</v>
      </c>
      <c r="J576">
        <v>-18.18</v>
      </c>
      <c r="K576">
        <v>-18.18</v>
      </c>
      <c r="O576" t="s">
        <v>631</v>
      </c>
      <c r="Q576" t="s">
        <v>466</v>
      </c>
      <c r="R576">
        <v>0</v>
      </c>
    </row>
    <row r="577" spans="1:18" x14ac:dyDescent="0.3">
      <c r="A577">
        <v>227719</v>
      </c>
      <c r="B577" t="s">
        <v>568</v>
      </c>
      <c r="C577" t="s">
        <v>720</v>
      </c>
      <c r="D577" t="s">
        <v>951</v>
      </c>
      <c r="E577" s="452">
        <v>46174</v>
      </c>
      <c r="F577" s="452">
        <v>46208</v>
      </c>
      <c r="G577" t="s">
        <v>280</v>
      </c>
      <c r="H577" t="s">
        <v>287</v>
      </c>
      <c r="I577" t="s">
        <v>952</v>
      </c>
      <c r="J577">
        <v>-436.5</v>
      </c>
      <c r="K577">
        <v>-436.5</v>
      </c>
      <c r="O577" t="s">
        <v>631</v>
      </c>
      <c r="Q577" t="s">
        <v>466</v>
      </c>
      <c r="R577">
        <v>0</v>
      </c>
    </row>
    <row r="578" spans="1:18" x14ac:dyDescent="0.3">
      <c r="A578">
        <v>243022</v>
      </c>
      <c r="B578" t="s">
        <v>568</v>
      </c>
      <c r="C578" t="s">
        <v>953</v>
      </c>
      <c r="E578" s="452">
        <v>46174</v>
      </c>
      <c r="F578" s="452">
        <v>46179</v>
      </c>
      <c r="G578" t="s">
        <v>666</v>
      </c>
      <c r="H578" t="s">
        <v>667</v>
      </c>
      <c r="J578">
        <v>-2970.82</v>
      </c>
      <c r="K578">
        <v>-2970.82</v>
      </c>
      <c r="O578" t="s">
        <v>631</v>
      </c>
      <c r="P578" t="s">
        <v>832</v>
      </c>
      <c r="Q578" t="s">
        <v>466</v>
      </c>
      <c r="R578">
        <v>0</v>
      </c>
    </row>
    <row r="579" spans="1:18" x14ac:dyDescent="0.3">
      <c r="A579">
        <v>243023</v>
      </c>
      <c r="B579" t="s">
        <v>568</v>
      </c>
      <c r="C579" t="s">
        <v>829</v>
      </c>
      <c r="E579" s="452">
        <v>46174</v>
      </c>
      <c r="F579" s="452">
        <v>46179</v>
      </c>
      <c r="G579" t="s">
        <v>666</v>
      </c>
      <c r="H579" t="s">
        <v>667</v>
      </c>
      <c r="J579">
        <v>-2168.0300000000002</v>
      </c>
      <c r="K579">
        <v>-2168.0300000000002</v>
      </c>
      <c r="O579" t="s">
        <v>631</v>
      </c>
      <c r="P579" t="s">
        <v>832</v>
      </c>
      <c r="Q579" t="s">
        <v>466</v>
      </c>
      <c r="R579">
        <v>0</v>
      </c>
    </row>
    <row r="580" spans="1:18" x14ac:dyDescent="0.3">
      <c r="A580">
        <v>241395</v>
      </c>
      <c r="B580" t="s">
        <v>568</v>
      </c>
      <c r="C580" t="s">
        <v>853</v>
      </c>
      <c r="D580" t="s">
        <v>954</v>
      </c>
      <c r="E580" s="452">
        <v>46174</v>
      </c>
      <c r="F580" s="452">
        <v>46208</v>
      </c>
      <c r="G580" t="s">
        <v>931</v>
      </c>
      <c r="H580" t="s">
        <v>932</v>
      </c>
      <c r="I580" t="s">
        <v>933</v>
      </c>
      <c r="J580">
        <v>-21.64</v>
      </c>
      <c r="K580">
        <v>-21.64</v>
      </c>
      <c r="O580" t="s">
        <v>631</v>
      </c>
      <c r="Q580" t="s">
        <v>466</v>
      </c>
      <c r="R580">
        <v>0</v>
      </c>
    </row>
    <row r="581" spans="1:18" x14ac:dyDescent="0.3">
      <c r="A581">
        <v>226135</v>
      </c>
      <c r="B581" t="s">
        <v>568</v>
      </c>
      <c r="C581" t="s">
        <v>789</v>
      </c>
      <c r="D581" t="s">
        <v>955</v>
      </c>
      <c r="E581" s="452">
        <v>46174</v>
      </c>
      <c r="F581" s="452">
        <v>46184</v>
      </c>
      <c r="G581" t="s">
        <v>790</v>
      </c>
      <c r="H581" t="s">
        <v>204</v>
      </c>
      <c r="I581" t="s">
        <v>956</v>
      </c>
      <c r="J581">
        <v>-4389</v>
      </c>
      <c r="K581">
        <v>-4389</v>
      </c>
      <c r="O581" t="s">
        <v>631</v>
      </c>
      <c r="P581" t="s">
        <v>820</v>
      </c>
      <c r="Q581" t="s">
        <v>466</v>
      </c>
      <c r="R581">
        <v>0</v>
      </c>
    </row>
    <row r="582" spans="1:18" x14ac:dyDescent="0.3">
      <c r="A582">
        <v>241398</v>
      </c>
      <c r="B582" t="s">
        <v>568</v>
      </c>
      <c r="C582" t="s">
        <v>853</v>
      </c>
      <c r="D582" t="s">
        <v>957</v>
      </c>
      <c r="E582" s="452">
        <v>46174</v>
      </c>
      <c r="F582" s="452">
        <v>46208</v>
      </c>
      <c r="G582" t="s">
        <v>931</v>
      </c>
      <c r="H582" t="s">
        <v>932</v>
      </c>
      <c r="I582" t="s">
        <v>944</v>
      </c>
      <c r="J582">
        <v>-60</v>
      </c>
      <c r="K582">
        <v>-60</v>
      </c>
      <c r="O582" t="s">
        <v>631</v>
      </c>
      <c r="Q582" t="s">
        <v>466</v>
      </c>
      <c r="R582">
        <v>0</v>
      </c>
    </row>
    <row r="583" spans="1:18" x14ac:dyDescent="0.3">
      <c r="A583">
        <v>218660</v>
      </c>
      <c r="B583" t="s">
        <v>568</v>
      </c>
      <c r="C583" t="s">
        <v>606</v>
      </c>
      <c r="D583" t="s">
        <v>658</v>
      </c>
      <c r="E583" s="452">
        <v>46174</v>
      </c>
      <c r="F583" s="452">
        <v>46254</v>
      </c>
      <c r="G583" t="s">
        <v>257</v>
      </c>
      <c r="H583" t="s">
        <v>258</v>
      </c>
      <c r="I583" t="s">
        <v>958</v>
      </c>
      <c r="J583">
        <v>-6340.57</v>
      </c>
      <c r="K583">
        <v>-6340.57</v>
      </c>
      <c r="O583" t="s">
        <v>631</v>
      </c>
      <c r="Q583" t="s">
        <v>466</v>
      </c>
      <c r="R583">
        <v>0</v>
      </c>
    </row>
    <row r="584" spans="1:18" x14ac:dyDescent="0.3">
      <c r="A584">
        <v>218676</v>
      </c>
      <c r="B584" t="s">
        <v>568</v>
      </c>
      <c r="C584" t="s">
        <v>606</v>
      </c>
      <c r="D584" t="s">
        <v>959</v>
      </c>
      <c r="E584" s="452">
        <v>46174</v>
      </c>
      <c r="F584" s="452">
        <v>46213</v>
      </c>
      <c r="G584" t="s">
        <v>683</v>
      </c>
      <c r="H584" t="s">
        <v>289</v>
      </c>
      <c r="I584" t="s">
        <v>960</v>
      </c>
      <c r="J584">
        <v>-724.21</v>
      </c>
      <c r="K584">
        <v>-724.21</v>
      </c>
      <c r="O584" t="s">
        <v>631</v>
      </c>
      <c r="Q584" t="s">
        <v>466</v>
      </c>
      <c r="R584">
        <v>0</v>
      </c>
    </row>
    <row r="585" spans="1:18" x14ac:dyDescent="0.3">
      <c r="A585">
        <v>241455</v>
      </c>
      <c r="B585" t="s">
        <v>568</v>
      </c>
      <c r="C585" t="s">
        <v>853</v>
      </c>
      <c r="D585" t="s">
        <v>961</v>
      </c>
      <c r="E585" s="452">
        <v>46174</v>
      </c>
      <c r="F585" s="452">
        <v>46208</v>
      </c>
      <c r="G585" t="s">
        <v>683</v>
      </c>
      <c r="H585" t="s">
        <v>292</v>
      </c>
      <c r="I585" t="s">
        <v>962</v>
      </c>
      <c r="J585">
        <v>-25</v>
      </c>
      <c r="K585">
        <v>-25</v>
      </c>
      <c r="O585" t="s">
        <v>631</v>
      </c>
      <c r="Q585" t="s">
        <v>466</v>
      </c>
      <c r="R585">
        <v>0</v>
      </c>
    </row>
    <row r="586" spans="1:18" x14ac:dyDescent="0.3">
      <c r="A586">
        <v>241397</v>
      </c>
      <c r="B586" t="s">
        <v>568</v>
      </c>
      <c r="C586" t="s">
        <v>853</v>
      </c>
      <c r="D586" t="s">
        <v>963</v>
      </c>
      <c r="E586" s="452">
        <v>46174</v>
      </c>
      <c r="F586" s="452">
        <v>46208</v>
      </c>
      <c r="G586" t="s">
        <v>931</v>
      </c>
      <c r="H586" t="s">
        <v>932</v>
      </c>
      <c r="I586" t="s">
        <v>964</v>
      </c>
      <c r="J586">
        <v>-21.08</v>
      </c>
      <c r="K586">
        <v>-21.08</v>
      </c>
      <c r="O586" t="s">
        <v>631</v>
      </c>
      <c r="Q586" t="s">
        <v>466</v>
      </c>
      <c r="R586">
        <v>0</v>
      </c>
    </row>
    <row r="587" spans="1:18" x14ac:dyDescent="0.3">
      <c r="A587">
        <v>241390</v>
      </c>
      <c r="B587" t="s">
        <v>568</v>
      </c>
      <c r="C587" t="s">
        <v>853</v>
      </c>
      <c r="D587" t="s">
        <v>965</v>
      </c>
      <c r="E587" s="452">
        <v>46174</v>
      </c>
      <c r="F587" s="452">
        <v>46208</v>
      </c>
      <c r="G587" t="s">
        <v>931</v>
      </c>
      <c r="H587" t="s">
        <v>932</v>
      </c>
      <c r="I587" t="s">
        <v>964</v>
      </c>
      <c r="J587">
        <v>-14.09</v>
      </c>
      <c r="K587">
        <v>-14.09</v>
      </c>
      <c r="O587" t="s">
        <v>631</v>
      </c>
      <c r="Q587" t="s">
        <v>466</v>
      </c>
      <c r="R587">
        <v>0</v>
      </c>
    </row>
    <row r="588" spans="1:18" x14ac:dyDescent="0.3">
      <c r="A588">
        <v>238975</v>
      </c>
      <c r="B588" t="s">
        <v>568</v>
      </c>
      <c r="C588" t="s">
        <v>945</v>
      </c>
      <c r="E588" s="452">
        <v>46174</v>
      </c>
      <c r="F588" s="452">
        <v>46192</v>
      </c>
      <c r="G588" t="s">
        <v>666</v>
      </c>
      <c r="H588" t="s">
        <v>667</v>
      </c>
      <c r="J588">
        <v>-944.02</v>
      </c>
      <c r="K588">
        <v>-944.02</v>
      </c>
      <c r="O588" t="s">
        <v>631</v>
      </c>
      <c r="P588" t="s">
        <v>820</v>
      </c>
      <c r="Q588" t="s">
        <v>466</v>
      </c>
      <c r="R588">
        <v>0</v>
      </c>
    </row>
    <row r="589" spans="1:18" x14ac:dyDescent="0.3">
      <c r="A589">
        <v>241389</v>
      </c>
      <c r="B589" t="s">
        <v>568</v>
      </c>
      <c r="C589" t="s">
        <v>853</v>
      </c>
      <c r="D589" t="s">
        <v>966</v>
      </c>
      <c r="E589" s="452">
        <v>46174</v>
      </c>
      <c r="F589" s="452">
        <v>46208</v>
      </c>
      <c r="G589" t="s">
        <v>683</v>
      </c>
      <c r="H589" t="s">
        <v>292</v>
      </c>
      <c r="I589" t="s">
        <v>967</v>
      </c>
      <c r="J589">
        <v>-94.4</v>
      </c>
      <c r="K589">
        <v>-94.4</v>
      </c>
      <c r="O589" t="s">
        <v>631</v>
      </c>
      <c r="Q589" t="s">
        <v>466</v>
      </c>
      <c r="R589">
        <v>0</v>
      </c>
    </row>
    <row r="590" spans="1:18" x14ac:dyDescent="0.3">
      <c r="A590">
        <v>241387</v>
      </c>
      <c r="B590" t="s">
        <v>568</v>
      </c>
      <c r="C590" t="s">
        <v>853</v>
      </c>
      <c r="D590" t="s">
        <v>968</v>
      </c>
      <c r="E590" s="452">
        <v>46174</v>
      </c>
      <c r="F590" s="452">
        <v>46208</v>
      </c>
      <c r="G590" t="s">
        <v>931</v>
      </c>
      <c r="H590" t="s">
        <v>932</v>
      </c>
      <c r="I590" t="s">
        <v>969</v>
      </c>
      <c r="J590">
        <v>-67.56</v>
      </c>
      <c r="K590">
        <v>-67.56</v>
      </c>
      <c r="O590" t="s">
        <v>631</v>
      </c>
      <c r="Q590" t="s">
        <v>466</v>
      </c>
      <c r="R590">
        <v>0</v>
      </c>
    </row>
    <row r="591" spans="1:18" x14ac:dyDescent="0.3">
      <c r="A591">
        <v>241386</v>
      </c>
      <c r="B591" t="s">
        <v>568</v>
      </c>
      <c r="C591" t="s">
        <v>853</v>
      </c>
      <c r="D591" t="s">
        <v>970</v>
      </c>
      <c r="E591" s="452">
        <v>46174</v>
      </c>
      <c r="F591" s="452">
        <v>46208</v>
      </c>
      <c r="G591" t="s">
        <v>931</v>
      </c>
      <c r="H591" t="s">
        <v>932</v>
      </c>
      <c r="I591" t="s">
        <v>964</v>
      </c>
      <c r="J591">
        <v>-3.43</v>
      </c>
      <c r="K591">
        <v>-3.43</v>
      </c>
      <c r="O591" t="s">
        <v>631</v>
      </c>
      <c r="Q591" t="s">
        <v>466</v>
      </c>
      <c r="R591">
        <v>0</v>
      </c>
    </row>
    <row r="592" spans="1:18" x14ac:dyDescent="0.3">
      <c r="A592">
        <v>241385</v>
      </c>
      <c r="B592" t="s">
        <v>568</v>
      </c>
      <c r="C592" t="s">
        <v>853</v>
      </c>
      <c r="D592" t="s">
        <v>971</v>
      </c>
      <c r="E592" s="452">
        <v>46174</v>
      </c>
      <c r="F592" s="452">
        <v>46208</v>
      </c>
      <c r="G592" t="s">
        <v>265</v>
      </c>
      <c r="H592" t="s">
        <v>276</v>
      </c>
      <c r="I592" t="s">
        <v>972</v>
      </c>
      <c r="J592">
        <v>-49.03</v>
      </c>
      <c r="K592">
        <v>-49.03</v>
      </c>
      <c r="O592" t="s">
        <v>631</v>
      </c>
      <c r="Q592" t="s">
        <v>466</v>
      </c>
      <c r="R592">
        <v>0</v>
      </c>
    </row>
    <row r="593" spans="1:18" x14ac:dyDescent="0.3">
      <c r="A593">
        <v>238976</v>
      </c>
      <c r="B593" t="s">
        <v>568</v>
      </c>
      <c r="C593" t="s">
        <v>940</v>
      </c>
      <c r="E593" s="452">
        <v>46174</v>
      </c>
      <c r="F593" s="452">
        <v>46192</v>
      </c>
      <c r="G593" t="s">
        <v>666</v>
      </c>
      <c r="H593" t="s">
        <v>667</v>
      </c>
      <c r="J593">
        <v>-944.02</v>
      </c>
      <c r="K593">
        <v>-944.02</v>
      </c>
      <c r="O593" t="s">
        <v>631</v>
      </c>
      <c r="P593" t="s">
        <v>820</v>
      </c>
      <c r="Q593" t="s">
        <v>466</v>
      </c>
      <c r="R593">
        <v>0</v>
      </c>
    </row>
    <row r="594" spans="1:18" x14ac:dyDescent="0.3">
      <c r="A594">
        <v>238977</v>
      </c>
      <c r="B594" t="s">
        <v>568</v>
      </c>
      <c r="C594" t="s">
        <v>829</v>
      </c>
      <c r="E594" s="452">
        <v>46174</v>
      </c>
      <c r="F594" s="452">
        <v>46192</v>
      </c>
      <c r="G594" t="s">
        <v>666</v>
      </c>
      <c r="H594" t="s">
        <v>667</v>
      </c>
      <c r="J594">
        <v>-901.03</v>
      </c>
      <c r="K594">
        <v>-901.03</v>
      </c>
      <c r="O594" t="s">
        <v>631</v>
      </c>
      <c r="P594" t="s">
        <v>820</v>
      </c>
      <c r="Q594" t="s">
        <v>466</v>
      </c>
      <c r="R594">
        <v>0</v>
      </c>
    </row>
    <row r="595" spans="1:18" x14ac:dyDescent="0.3">
      <c r="A595">
        <v>238978</v>
      </c>
      <c r="B595" t="s">
        <v>568</v>
      </c>
      <c r="C595" t="s">
        <v>937</v>
      </c>
      <c r="E595" s="452">
        <v>46174</v>
      </c>
      <c r="F595" s="452">
        <v>46192</v>
      </c>
      <c r="G595" t="s">
        <v>666</v>
      </c>
      <c r="H595" t="s">
        <v>667</v>
      </c>
      <c r="J595">
        <v>-1563.06</v>
      </c>
      <c r="K595">
        <v>-1563.06</v>
      </c>
      <c r="O595" t="s">
        <v>631</v>
      </c>
      <c r="P595" t="s">
        <v>820</v>
      </c>
      <c r="Q595" t="s">
        <v>466</v>
      </c>
      <c r="R595">
        <v>0</v>
      </c>
    </row>
    <row r="596" spans="1:18" x14ac:dyDescent="0.3">
      <c r="A596">
        <v>241394</v>
      </c>
      <c r="B596" t="s">
        <v>568</v>
      </c>
      <c r="C596" t="s">
        <v>853</v>
      </c>
      <c r="D596" t="s">
        <v>973</v>
      </c>
      <c r="E596" s="452">
        <v>46174</v>
      </c>
      <c r="F596" s="452">
        <v>46208</v>
      </c>
      <c r="G596" t="s">
        <v>265</v>
      </c>
      <c r="H596" t="s">
        <v>273</v>
      </c>
      <c r="I596" t="s">
        <v>974</v>
      </c>
      <c r="J596">
        <v>-66.3</v>
      </c>
      <c r="K596">
        <v>-66.3</v>
      </c>
      <c r="O596" t="s">
        <v>631</v>
      </c>
      <c r="Q596" t="s">
        <v>466</v>
      </c>
      <c r="R596">
        <v>0</v>
      </c>
    </row>
    <row r="597" spans="1:18" x14ac:dyDescent="0.3">
      <c r="A597">
        <v>241396</v>
      </c>
      <c r="B597" t="s">
        <v>568</v>
      </c>
      <c r="C597" t="s">
        <v>853</v>
      </c>
      <c r="D597" t="s">
        <v>975</v>
      </c>
      <c r="E597" s="452">
        <v>46174</v>
      </c>
      <c r="F597" s="452">
        <v>46208</v>
      </c>
      <c r="G597" t="s">
        <v>931</v>
      </c>
      <c r="H597" t="s">
        <v>932</v>
      </c>
      <c r="I597" t="s">
        <v>976</v>
      </c>
      <c r="J597">
        <v>-49.8</v>
      </c>
      <c r="K597">
        <v>-49.8</v>
      </c>
      <c r="O597" t="s">
        <v>631</v>
      </c>
      <c r="Q597" t="s">
        <v>466</v>
      </c>
      <c r="R597">
        <v>0</v>
      </c>
    </row>
    <row r="598" spans="1:18" x14ac:dyDescent="0.3">
      <c r="A598">
        <v>241368</v>
      </c>
      <c r="B598" t="s">
        <v>568</v>
      </c>
      <c r="C598" t="s">
        <v>853</v>
      </c>
      <c r="D598" t="s">
        <v>977</v>
      </c>
      <c r="E598" s="452">
        <v>46174</v>
      </c>
      <c r="F598" s="452">
        <v>46208</v>
      </c>
      <c r="G598" t="s">
        <v>265</v>
      </c>
      <c r="H598" t="s">
        <v>269</v>
      </c>
      <c r="I598" t="s">
        <v>978</v>
      </c>
      <c r="J598">
        <v>-259.3</v>
      </c>
      <c r="K598">
        <v>-259.3</v>
      </c>
      <c r="O598" t="s">
        <v>631</v>
      </c>
      <c r="Q598" t="s">
        <v>466</v>
      </c>
      <c r="R598">
        <v>0</v>
      </c>
    </row>
    <row r="599" spans="1:18" x14ac:dyDescent="0.3">
      <c r="A599">
        <v>241369</v>
      </c>
      <c r="B599" t="s">
        <v>568</v>
      </c>
      <c r="C599" t="s">
        <v>853</v>
      </c>
      <c r="D599" t="s">
        <v>979</v>
      </c>
      <c r="E599" s="452">
        <v>46174</v>
      </c>
      <c r="F599" s="452">
        <v>46208</v>
      </c>
      <c r="G599" t="s">
        <v>931</v>
      </c>
      <c r="H599" t="s">
        <v>932</v>
      </c>
      <c r="I599" t="s">
        <v>980</v>
      </c>
      <c r="J599">
        <v>-11.77</v>
      </c>
      <c r="K599">
        <v>-11.77</v>
      </c>
      <c r="O599" t="s">
        <v>631</v>
      </c>
      <c r="Q599" t="s">
        <v>466</v>
      </c>
      <c r="R599">
        <v>0</v>
      </c>
    </row>
    <row r="600" spans="1:18" x14ac:dyDescent="0.3">
      <c r="A600">
        <v>241370</v>
      </c>
      <c r="B600" t="s">
        <v>568</v>
      </c>
      <c r="C600" t="s">
        <v>853</v>
      </c>
      <c r="D600" t="s">
        <v>981</v>
      </c>
      <c r="E600" s="452">
        <v>46174</v>
      </c>
      <c r="F600" s="452">
        <v>46208</v>
      </c>
      <c r="G600" t="s">
        <v>931</v>
      </c>
      <c r="H600" t="s">
        <v>932</v>
      </c>
      <c r="I600" t="s">
        <v>982</v>
      </c>
      <c r="J600">
        <v>-72.12</v>
      </c>
      <c r="K600">
        <v>-72.12</v>
      </c>
      <c r="O600" t="s">
        <v>631</v>
      </c>
      <c r="Q600" t="s">
        <v>466</v>
      </c>
      <c r="R600">
        <v>0</v>
      </c>
    </row>
    <row r="601" spans="1:18" x14ac:dyDescent="0.3">
      <c r="A601">
        <v>241376</v>
      </c>
      <c r="B601" t="s">
        <v>568</v>
      </c>
      <c r="C601" t="s">
        <v>853</v>
      </c>
      <c r="D601" t="s">
        <v>983</v>
      </c>
      <c r="E601" s="452">
        <v>46174</v>
      </c>
      <c r="F601" s="452">
        <v>46208</v>
      </c>
      <c r="G601" t="s">
        <v>931</v>
      </c>
      <c r="H601" t="s">
        <v>932</v>
      </c>
      <c r="I601" t="s">
        <v>984</v>
      </c>
      <c r="J601">
        <v>-13.5</v>
      </c>
      <c r="K601">
        <v>-13.5</v>
      </c>
      <c r="O601" t="s">
        <v>631</v>
      </c>
      <c r="Q601" t="s">
        <v>466</v>
      </c>
      <c r="R601">
        <v>0</v>
      </c>
    </row>
    <row r="602" spans="1:18" x14ac:dyDescent="0.3">
      <c r="A602">
        <v>241378</v>
      </c>
      <c r="B602" t="s">
        <v>568</v>
      </c>
      <c r="C602" t="s">
        <v>853</v>
      </c>
      <c r="D602" t="s">
        <v>985</v>
      </c>
      <c r="E602" s="452">
        <v>46174</v>
      </c>
      <c r="F602" s="452">
        <v>46208</v>
      </c>
      <c r="G602" t="s">
        <v>931</v>
      </c>
      <c r="H602" t="s">
        <v>986</v>
      </c>
      <c r="I602" t="s">
        <v>987</v>
      </c>
      <c r="J602">
        <v>-75</v>
      </c>
      <c r="K602">
        <v>-75</v>
      </c>
      <c r="O602" t="s">
        <v>631</v>
      </c>
      <c r="Q602" t="s">
        <v>466</v>
      </c>
      <c r="R602">
        <v>0</v>
      </c>
    </row>
    <row r="603" spans="1:18" x14ac:dyDescent="0.3">
      <c r="A603">
        <v>241380</v>
      </c>
      <c r="B603" t="s">
        <v>568</v>
      </c>
      <c r="C603" t="s">
        <v>853</v>
      </c>
      <c r="D603" t="s">
        <v>988</v>
      </c>
      <c r="E603" s="452">
        <v>46174</v>
      </c>
      <c r="F603" s="452">
        <v>46208</v>
      </c>
      <c r="G603" t="s">
        <v>265</v>
      </c>
      <c r="H603" t="s">
        <v>269</v>
      </c>
      <c r="I603" t="s">
        <v>989</v>
      </c>
      <c r="J603">
        <v>-33</v>
      </c>
      <c r="K603">
        <v>-33</v>
      </c>
      <c r="O603" t="s">
        <v>631</v>
      </c>
      <c r="Q603" t="s">
        <v>466</v>
      </c>
      <c r="R603">
        <v>0</v>
      </c>
    </row>
    <row r="604" spans="1:18" x14ac:dyDescent="0.3">
      <c r="A604">
        <v>241382</v>
      </c>
      <c r="B604" t="s">
        <v>568</v>
      </c>
      <c r="C604" t="s">
        <v>853</v>
      </c>
      <c r="D604" t="s">
        <v>990</v>
      </c>
      <c r="E604" s="452">
        <v>46174</v>
      </c>
      <c r="F604" s="452">
        <v>46208</v>
      </c>
      <c r="G604" t="s">
        <v>931</v>
      </c>
      <c r="H604" t="s">
        <v>932</v>
      </c>
      <c r="I604" t="s">
        <v>991</v>
      </c>
      <c r="J604">
        <v>-40.770000000000003</v>
      </c>
      <c r="K604">
        <v>-40.770000000000003</v>
      </c>
      <c r="O604" t="s">
        <v>631</v>
      </c>
      <c r="Q604" t="s">
        <v>466</v>
      </c>
      <c r="R604">
        <v>0</v>
      </c>
    </row>
    <row r="605" spans="1:18" x14ac:dyDescent="0.3">
      <c r="A605">
        <v>238974</v>
      </c>
      <c r="B605" t="s">
        <v>568</v>
      </c>
      <c r="C605" t="s">
        <v>953</v>
      </c>
      <c r="E605" s="452">
        <v>46174</v>
      </c>
      <c r="F605" s="452">
        <v>46192</v>
      </c>
      <c r="G605" t="s">
        <v>666</v>
      </c>
      <c r="H605" t="s">
        <v>667</v>
      </c>
      <c r="J605">
        <v>-702.01</v>
      </c>
      <c r="K605">
        <v>-702.01</v>
      </c>
      <c r="O605" t="s">
        <v>631</v>
      </c>
      <c r="P605" t="s">
        <v>820</v>
      </c>
      <c r="Q605" t="s">
        <v>466</v>
      </c>
      <c r="R605">
        <v>0</v>
      </c>
    </row>
    <row r="606" spans="1:18" x14ac:dyDescent="0.3">
      <c r="A606">
        <v>236938</v>
      </c>
      <c r="B606" t="s">
        <v>568</v>
      </c>
      <c r="C606" t="s">
        <v>992</v>
      </c>
      <c r="D606" t="s">
        <v>993</v>
      </c>
      <c r="E606" s="452">
        <v>46174</v>
      </c>
      <c r="F606" s="452">
        <v>46188</v>
      </c>
      <c r="G606" t="s">
        <v>801</v>
      </c>
      <c r="H606" t="s">
        <v>350</v>
      </c>
      <c r="I606" t="s">
        <v>994</v>
      </c>
      <c r="J606">
        <v>-10000</v>
      </c>
      <c r="K606">
        <v>-10000</v>
      </c>
      <c r="O606" t="s">
        <v>631</v>
      </c>
      <c r="P606" t="s">
        <v>820</v>
      </c>
      <c r="Q606" t="s">
        <v>466</v>
      </c>
      <c r="R606">
        <v>0</v>
      </c>
    </row>
    <row r="607" spans="1:18" x14ac:dyDescent="0.3">
      <c r="A607">
        <v>241392</v>
      </c>
      <c r="B607" t="s">
        <v>568</v>
      </c>
      <c r="C607" t="s">
        <v>853</v>
      </c>
      <c r="D607" t="s">
        <v>995</v>
      </c>
      <c r="E607" s="452">
        <v>46174</v>
      </c>
      <c r="F607" s="452">
        <v>46208</v>
      </c>
      <c r="G607" t="s">
        <v>931</v>
      </c>
      <c r="H607" t="s">
        <v>932</v>
      </c>
      <c r="I607" t="s">
        <v>996</v>
      </c>
      <c r="J607">
        <v>-32.229999999999997</v>
      </c>
      <c r="K607">
        <v>-32.229999999999997</v>
      </c>
      <c r="O607" t="s">
        <v>631</v>
      </c>
      <c r="Q607" t="s">
        <v>466</v>
      </c>
      <c r="R607">
        <v>0</v>
      </c>
    </row>
    <row r="608" spans="1:18" x14ac:dyDescent="0.3">
      <c r="A608">
        <v>241391</v>
      </c>
      <c r="B608" t="s">
        <v>568</v>
      </c>
      <c r="C608" t="s">
        <v>853</v>
      </c>
      <c r="D608" t="s">
        <v>997</v>
      </c>
      <c r="E608" s="452">
        <v>46174</v>
      </c>
      <c r="F608" s="452">
        <v>46208</v>
      </c>
      <c r="G608" t="s">
        <v>683</v>
      </c>
      <c r="H608" t="s">
        <v>292</v>
      </c>
      <c r="I608" t="s">
        <v>998</v>
      </c>
      <c r="J608">
        <v>-48</v>
      </c>
      <c r="K608">
        <v>-48</v>
      </c>
      <c r="O608" t="s">
        <v>631</v>
      </c>
      <c r="Q608" t="s">
        <v>466</v>
      </c>
      <c r="R608">
        <v>0</v>
      </c>
    </row>
    <row r="609" spans="1:18" x14ac:dyDescent="0.3">
      <c r="A609">
        <v>237861</v>
      </c>
      <c r="B609" t="s">
        <v>568</v>
      </c>
      <c r="C609" t="s">
        <v>999</v>
      </c>
      <c r="D609" t="s">
        <v>1000</v>
      </c>
      <c r="E609" s="452">
        <v>46174</v>
      </c>
      <c r="F609" s="452">
        <v>46188</v>
      </c>
      <c r="G609" t="s">
        <v>683</v>
      </c>
      <c r="H609" t="s">
        <v>290</v>
      </c>
      <c r="I609" t="s">
        <v>1001</v>
      </c>
      <c r="J609">
        <v>-1217</v>
      </c>
      <c r="K609">
        <v>-1217</v>
      </c>
      <c r="O609" t="s">
        <v>631</v>
      </c>
      <c r="P609" t="s">
        <v>820</v>
      </c>
      <c r="Q609" t="s">
        <v>466</v>
      </c>
      <c r="R609">
        <v>0</v>
      </c>
    </row>
    <row r="610" spans="1:18" x14ac:dyDescent="0.3">
      <c r="A610">
        <v>237891</v>
      </c>
      <c r="B610" t="s">
        <v>568</v>
      </c>
      <c r="C610" t="s">
        <v>799</v>
      </c>
      <c r="D610" t="s">
        <v>1002</v>
      </c>
      <c r="E610" s="452">
        <v>46174</v>
      </c>
      <c r="F610" s="452">
        <v>46191</v>
      </c>
      <c r="G610" t="s">
        <v>801</v>
      </c>
      <c r="H610" t="s">
        <v>351</v>
      </c>
      <c r="I610" t="s">
        <v>1003</v>
      </c>
      <c r="J610">
        <v>-3500</v>
      </c>
      <c r="K610">
        <v>-3500</v>
      </c>
      <c r="O610" t="s">
        <v>631</v>
      </c>
      <c r="P610" t="s">
        <v>1004</v>
      </c>
      <c r="Q610" t="s">
        <v>466</v>
      </c>
      <c r="R610">
        <v>0</v>
      </c>
    </row>
    <row r="611" spans="1:18" x14ac:dyDescent="0.3">
      <c r="A611">
        <v>237953</v>
      </c>
      <c r="B611" t="s">
        <v>568</v>
      </c>
      <c r="C611" t="s">
        <v>1005</v>
      </c>
      <c r="D611" t="s">
        <v>1006</v>
      </c>
      <c r="E611" s="452">
        <v>46174</v>
      </c>
      <c r="F611" s="452">
        <v>46189</v>
      </c>
      <c r="G611" t="s">
        <v>1007</v>
      </c>
      <c r="H611" t="s">
        <v>80</v>
      </c>
      <c r="I611" t="s">
        <v>1008</v>
      </c>
      <c r="J611">
        <v>-1300</v>
      </c>
      <c r="K611">
        <v>-1300</v>
      </c>
      <c r="O611" t="s">
        <v>631</v>
      </c>
      <c r="P611" t="s">
        <v>820</v>
      </c>
      <c r="Q611" t="s">
        <v>466</v>
      </c>
      <c r="R611">
        <v>0</v>
      </c>
    </row>
    <row r="612" spans="1:18" x14ac:dyDescent="0.3">
      <c r="A612">
        <v>237952</v>
      </c>
      <c r="B612" t="s">
        <v>568</v>
      </c>
      <c r="C612" t="s">
        <v>1009</v>
      </c>
      <c r="D612" t="s">
        <v>1010</v>
      </c>
      <c r="E612" s="452">
        <v>46174</v>
      </c>
      <c r="F612" s="452">
        <v>46189</v>
      </c>
      <c r="G612" t="s">
        <v>1007</v>
      </c>
      <c r="H612" t="s">
        <v>80</v>
      </c>
      <c r="I612" t="s">
        <v>1008</v>
      </c>
      <c r="J612">
        <v>-1300</v>
      </c>
      <c r="K612">
        <v>-1300</v>
      </c>
      <c r="O612" t="s">
        <v>631</v>
      </c>
      <c r="P612" t="s">
        <v>820</v>
      </c>
      <c r="Q612" t="s">
        <v>466</v>
      </c>
      <c r="R612">
        <v>0</v>
      </c>
    </row>
    <row r="613" spans="1:18" x14ac:dyDescent="0.3">
      <c r="A613">
        <v>237947</v>
      </c>
      <c r="B613" t="s">
        <v>568</v>
      </c>
      <c r="C613" t="s">
        <v>1011</v>
      </c>
      <c r="D613" t="s">
        <v>926</v>
      </c>
      <c r="E613" s="452">
        <v>46174</v>
      </c>
      <c r="F613" s="452">
        <v>46188</v>
      </c>
      <c r="G613" t="s">
        <v>1007</v>
      </c>
      <c r="H613" t="s">
        <v>80</v>
      </c>
      <c r="I613" t="s">
        <v>1012</v>
      </c>
      <c r="J613">
        <v>-217.45</v>
      </c>
      <c r="K613">
        <v>-217.45</v>
      </c>
      <c r="O613" t="s">
        <v>631</v>
      </c>
      <c r="P613" t="s">
        <v>820</v>
      </c>
      <c r="Q613" t="s">
        <v>466</v>
      </c>
      <c r="R613">
        <v>0</v>
      </c>
    </row>
    <row r="614" spans="1:18" x14ac:dyDescent="0.3">
      <c r="A614">
        <v>237950</v>
      </c>
      <c r="B614" t="s">
        <v>568</v>
      </c>
      <c r="C614" t="s">
        <v>1013</v>
      </c>
      <c r="D614" t="s">
        <v>1014</v>
      </c>
      <c r="E614" s="452">
        <v>46174</v>
      </c>
      <c r="F614" s="452">
        <v>46188</v>
      </c>
      <c r="G614" t="s">
        <v>1007</v>
      </c>
      <c r="H614" t="s">
        <v>80</v>
      </c>
      <c r="I614" t="s">
        <v>1015</v>
      </c>
      <c r="J614">
        <v>-920</v>
      </c>
      <c r="K614">
        <v>-920</v>
      </c>
      <c r="O614" t="s">
        <v>631</v>
      </c>
      <c r="P614" t="s">
        <v>820</v>
      </c>
      <c r="Q614" t="s">
        <v>466</v>
      </c>
      <c r="R614">
        <v>0</v>
      </c>
    </row>
    <row r="615" spans="1:18" x14ac:dyDescent="0.3">
      <c r="A615">
        <v>200003</v>
      </c>
      <c r="B615" t="s">
        <v>568</v>
      </c>
      <c r="C615" t="s">
        <v>759</v>
      </c>
      <c r="D615" t="s">
        <v>1016</v>
      </c>
      <c r="E615" s="452">
        <v>46174</v>
      </c>
      <c r="F615" s="452">
        <v>46212</v>
      </c>
      <c r="G615" t="s">
        <v>677</v>
      </c>
      <c r="H615" t="s">
        <v>678</v>
      </c>
      <c r="I615" t="s">
        <v>745</v>
      </c>
      <c r="J615">
        <v>-1125</v>
      </c>
      <c r="K615">
        <v>-1125</v>
      </c>
      <c r="M615" t="s">
        <v>760</v>
      </c>
      <c r="N615" t="s">
        <v>131</v>
      </c>
      <c r="O615" t="s">
        <v>631</v>
      </c>
      <c r="Q615" t="s">
        <v>466</v>
      </c>
      <c r="R615">
        <v>0</v>
      </c>
    </row>
    <row r="616" spans="1:18" x14ac:dyDescent="0.3">
      <c r="A616">
        <v>191814</v>
      </c>
      <c r="B616" t="s">
        <v>568</v>
      </c>
      <c r="C616" t="s">
        <v>740</v>
      </c>
      <c r="D616" t="s">
        <v>1017</v>
      </c>
      <c r="E616" s="452">
        <v>46174</v>
      </c>
      <c r="F616" s="452">
        <v>46198</v>
      </c>
      <c r="G616" t="s">
        <v>265</v>
      </c>
      <c r="H616" t="s">
        <v>266</v>
      </c>
      <c r="I616" t="s">
        <v>1018</v>
      </c>
      <c r="J616">
        <v>-4503.8599999999997</v>
      </c>
      <c r="K616">
        <v>-4503.8599999999997</v>
      </c>
      <c r="O616" t="s">
        <v>631</v>
      </c>
      <c r="P616" t="s">
        <v>832</v>
      </c>
      <c r="Q616" t="s">
        <v>466</v>
      </c>
      <c r="R616">
        <v>0</v>
      </c>
    </row>
    <row r="617" spans="1:18" x14ac:dyDescent="0.3">
      <c r="A617">
        <v>192120</v>
      </c>
      <c r="B617" t="s">
        <v>568</v>
      </c>
      <c r="C617" t="s">
        <v>761</v>
      </c>
      <c r="D617" t="s">
        <v>1019</v>
      </c>
      <c r="E617" s="452">
        <v>46174</v>
      </c>
      <c r="F617" s="452">
        <v>46193</v>
      </c>
      <c r="G617" t="s">
        <v>309</v>
      </c>
      <c r="H617" t="s">
        <v>312</v>
      </c>
      <c r="I617" t="s">
        <v>1020</v>
      </c>
      <c r="J617">
        <v>-300</v>
      </c>
      <c r="K617">
        <v>-300</v>
      </c>
      <c r="O617" t="s">
        <v>631</v>
      </c>
      <c r="P617" t="s">
        <v>820</v>
      </c>
      <c r="Q617" t="s">
        <v>466</v>
      </c>
      <c r="R617">
        <v>0</v>
      </c>
    </row>
    <row r="618" spans="1:18" x14ac:dyDescent="0.3">
      <c r="A618">
        <v>99345</v>
      </c>
      <c r="B618" t="s">
        <v>568</v>
      </c>
      <c r="C618" t="s">
        <v>569</v>
      </c>
      <c r="D618" t="s">
        <v>1021</v>
      </c>
      <c r="E618" s="452">
        <v>46174</v>
      </c>
      <c r="F618" s="452">
        <v>46183</v>
      </c>
      <c r="G618" t="s">
        <v>257</v>
      </c>
      <c r="H618" t="s">
        <v>263</v>
      </c>
      <c r="I618" t="s">
        <v>570</v>
      </c>
      <c r="J618">
        <v>-12000</v>
      </c>
      <c r="K618">
        <v>-12000</v>
      </c>
      <c r="O618" t="s">
        <v>631</v>
      </c>
      <c r="P618" t="s">
        <v>820</v>
      </c>
      <c r="Q618" t="s">
        <v>466</v>
      </c>
      <c r="R618">
        <v>0</v>
      </c>
    </row>
    <row r="619" spans="1:18" x14ac:dyDescent="0.3">
      <c r="A619">
        <v>204971</v>
      </c>
      <c r="B619" t="s">
        <v>568</v>
      </c>
      <c r="C619" t="s">
        <v>685</v>
      </c>
      <c r="D619" t="s">
        <v>1022</v>
      </c>
      <c r="E619" s="452">
        <v>46174</v>
      </c>
      <c r="F619" s="452">
        <v>46201</v>
      </c>
      <c r="G619" t="s">
        <v>672</v>
      </c>
      <c r="H619" t="s">
        <v>243</v>
      </c>
      <c r="I619" t="s">
        <v>686</v>
      </c>
      <c r="J619">
        <v>-69.22</v>
      </c>
      <c r="K619">
        <v>-69.22</v>
      </c>
      <c r="O619" t="s">
        <v>631</v>
      </c>
      <c r="P619" t="s">
        <v>820</v>
      </c>
      <c r="Q619" t="s">
        <v>466</v>
      </c>
      <c r="R619">
        <v>0</v>
      </c>
    </row>
    <row r="620" spans="1:18" x14ac:dyDescent="0.3">
      <c r="A620">
        <v>192318</v>
      </c>
      <c r="B620" t="s">
        <v>568</v>
      </c>
      <c r="C620" t="s">
        <v>749</v>
      </c>
      <c r="D620" t="s">
        <v>1023</v>
      </c>
      <c r="E620" s="452">
        <v>46174</v>
      </c>
      <c r="F620" s="452">
        <v>46207</v>
      </c>
      <c r="G620" t="s">
        <v>297</v>
      </c>
      <c r="H620" t="s">
        <v>298</v>
      </c>
      <c r="I620" t="s">
        <v>1024</v>
      </c>
      <c r="J620">
        <v>-3000</v>
      </c>
      <c r="K620">
        <v>-3000</v>
      </c>
      <c r="M620" t="s">
        <v>751</v>
      </c>
      <c r="N620" t="s">
        <v>752</v>
      </c>
      <c r="O620" t="s">
        <v>631</v>
      </c>
      <c r="Q620" t="s">
        <v>466</v>
      </c>
      <c r="R620">
        <v>0</v>
      </c>
    </row>
    <row r="621" spans="1:18" x14ac:dyDescent="0.3">
      <c r="A621">
        <v>192342</v>
      </c>
      <c r="B621" t="s">
        <v>568</v>
      </c>
      <c r="C621" t="s">
        <v>742</v>
      </c>
      <c r="D621" t="s">
        <v>1025</v>
      </c>
      <c r="E621" s="452">
        <v>46174</v>
      </c>
      <c r="F621" s="452">
        <v>46183</v>
      </c>
      <c r="G621" t="s">
        <v>280</v>
      </c>
      <c r="H621" t="s">
        <v>282</v>
      </c>
      <c r="I621" t="s">
        <v>1026</v>
      </c>
      <c r="J621">
        <v>-249.9</v>
      </c>
      <c r="K621">
        <v>-249.9</v>
      </c>
      <c r="O621" t="s">
        <v>631</v>
      </c>
      <c r="P621" t="s">
        <v>820</v>
      </c>
      <c r="Q621" t="s">
        <v>466</v>
      </c>
      <c r="R621">
        <v>0</v>
      </c>
    </row>
    <row r="622" spans="1:18" x14ac:dyDescent="0.3">
      <c r="A622">
        <v>193416</v>
      </c>
      <c r="B622" t="s">
        <v>568</v>
      </c>
      <c r="C622" t="s">
        <v>723</v>
      </c>
      <c r="D622" t="s">
        <v>1027</v>
      </c>
      <c r="E622" s="452">
        <v>46174</v>
      </c>
      <c r="F622" s="452">
        <v>46191</v>
      </c>
      <c r="G622" t="s">
        <v>724</v>
      </c>
      <c r="H622" t="s">
        <v>725</v>
      </c>
      <c r="I622" t="s">
        <v>1028</v>
      </c>
      <c r="J622">
        <v>-700</v>
      </c>
      <c r="K622">
        <v>-700</v>
      </c>
      <c r="O622" t="s">
        <v>631</v>
      </c>
      <c r="P622" t="s">
        <v>820</v>
      </c>
      <c r="Q622" t="s">
        <v>466</v>
      </c>
      <c r="R622">
        <v>0</v>
      </c>
    </row>
    <row r="623" spans="1:18" x14ac:dyDescent="0.3">
      <c r="A623">
        <v>192375</v>
      </c>
      <c r="B623" t="s">
        <v>568</v>
      </c>
      <c r="C623" t="s">
        <v>733</v>
      </c>
      <c r="D623" t="s">
        <v>1029</v>
      </c>
      <c r="E623" s="452">
        <v>46174</v>
      </c>
      <c r="F623" s="452">
        <v>46215</v>
      </c>
      <c r="G623" t="s">
        <v>297</v>
      </c>
      <c r="H623" t="s">
        <v>299</v>
      </c>
      <c r="I623" t="s">
        <v>1030</v>
      </c>
      <c r="J623">
        <v>-500</v>
      </c>
      <c r="K623">
        <v>-500</v>
      </c>
      <c r="O623" t="s">
        <v>631</v>
      </c>
      <c r="Q623" t="s">
        <v>466</v>
      </c>
      <c r="R623">
        <v>0</v>
      </c>
    </row>
    <row r="624" spans="1:18" x14ac:dyDescent="0.3">
      <c r="A624">
        <v>192491</v>
      </c>
      <c r="B624" t="s">
        <v>568</v>
      </c>
      <c r="C624" t="s">
        <v>778</v>
      </c>
      <c r="D624" t="s">
        <v>1031</v>
      </c>
      <c r="E624" s="452">
        <v>46174</v>
      </c>
      <c r="F624" s="452">
        <v>46193</v>
      </c>
      <c r="G624" t="s">
        <v>309</v>
      </c>
      <c r="H624" t="s">
        <v>313</v>
      </c>
      <c r="I624" t="s">
        <v>1032</v>
      </c>
      <c r="J624">
        <v>-185</v>
      </c>
      <c r="K624">
        <v>-185</v>
      </c>
      <c r="O624" t="s">
        <v>631</v>
      </c>
      <c r="P624" t="s">
        <v>820</v>
      </c>
      <c r="Q624" t="s">
        <v>466</v>
      </c>
      <c r="R624">
        <v>0</v>
      </c>
    </row>
    <row r="625" spans="1:18" x14ac:dyDescent="0.3">
      <c r="A625">
        <v>193016</v>
      </c>
      <c r="B625" t="s">
        <v>568</v>
      </c>
      <c r="C625" t="s">
        <v>769</v>
      </c>
      <c r="D625" t="s">
        <v>864</v>
      </c>
      <c r="E625" s="452">
        <v>46174</v>
      </c>
      <c r="F625" s="452">
        <v>46208</v>
      </c>
      <c r="G625" t="s">
        <v>280</v>
      </c>
      <c r="H625" t="s">
        <v>283</v>
      </c>
      <c r="I625" t="s">
        <v>1033</v>
      </c>
      <c r="J625">
        <v>-23.9</v>
      </c>
      <c r="K625">
        <v>-23.9</v>
      </c>
      <c r="O625" t="s">
        <v>631</v>
      </c>
      <c r="Q625" t="s">
        <v>466</v>
      </c>
      <c r="R625">
        <v>0</v>
      </c>
    </row>
    <row r="626" spans="1:18" x14ac:dyDescent="0.3">
      <c r="A626">
        <v>192609</v>
      </c>
      <c r="B626" t="s">
        <v>568</v>
      </c>
      <c r="C626" t="s">
        <v>682</v>
      </c>
      <c r="D626" t="s">
        <v>1034</v>
      </c>
      <c r="E626" s="452">
        <v>46174</v>
      </c>
      <c r="F626" s="452">
        <v>46193</v>
      </c>
      <c r="G626" t="s">
        <v>683</v>
      </c>
      <c r="H626" t="s">
        <v>289</v>
      </c>
      <c r="I626" t="s">
        <v>1035</v>
      </c>
      <c r="J626">
        <v>-1500</v>
      </c>
      <c r="K626">
        <v>-1500</v>
      </c>
      <c r="O626" t="s">
        <v>631</v>
      </c>
      <c r="P626" t="s">
        <v>820</v>
      </c>
      <c r="Q626" t="s">
        <v>466</v>
      </c>
      <c r="R626">
        <v>0</v>
      </c>
    </row>
    <row r="627" spans="1:18" x14ac:dyDescent="0.3">
      <c r="A627">
        <v>192821</v>
      </c>
      <c r="B627" t="s">
        <v>568</v>
      </c>
      <c r="C627" t="s">
        <v>757</v>
      </c>
      <c r="D627" t="s">
        <v>864</v>
      </c>
      <c r="E627" s="452">
        <v>46174</v>
      </c>
      <c r="F627" s="452">
        <v>46188</v>
      </c>
      <c r="G627" t="s">
        <v>309</v>
      </c>
      <c r="H627" t="s">
        <v>317</v>
      </c>
      <c r="I627" t="s">
        <v>1036</v>
      </c>
      <c r="J627">
        <v>-350</v>
      </c>
      <c r="K627">
        <v>-350</v>
      </c>
      <c r="O627" t="s">
        <v>631</v>
      </c>
      <c r="P627" t="s">
        <v>820</v>
      </c>
      <c r="Q627" t="s">
        <v>466</v>
      </c>
      <c r="R627">
        <v>0</v>
      </c>
    </row>
    <row r="628" spans="1:18" x14ac:dyDescent="0.3">
      <c r="A628">
        <v>192903</v>
      </c>
      <c r="B628" t="s">
        <v>568</v>
      </c>
      <c r="C628" t="s">
        <v>671</v>
      </c>
      <c r="D628" t="s">
        <v>1037</v>
      </c>
      <c r="E628" s="452">
        <v>46174</v>
      </c>
      <c r="F628" s="452">
        <v>46174</v>
      </c>
      <c r="G628" t="s">
        <v>672</v>
      </c>
      <c r="H628" t="s">
        <v>240</v>
      </c>
      <c r="I628" t="s">
        <v>1038</v>
      </c>
      <c r="J628">
        <v>-300</v>
      </c>
      <c r="K628">
        <v>-300</v>
      </c>
      <c r="O628" t="s">
        <v>631</v>
      </c>
      <c r="P628" t="s">
        <v>820</v>
      </c>
      <c r="Q628" t="s">
        <v>466</v>
      </c>
      <c r="R628">
        <v>0</v>
      </c>
    </row>
    <row r="629" spans="1:18" x14ac:dyDescent="0.3">
      <c r="A629">
        <v>213325</v>
      </c>
      <c r="B629" t="s">
        <v>568</v>
      </c>
      <c r="C629" t="s">
        <v>676</v>
      </c>
      <c r="D629" t="s">
        <v>1039</v>
      </c>
      <c r="E629" s="452">
        <v>46174</v>
      </c>
      <c r="F629" s="452">
        <v>46218</v>
      </c>
      <c r="G629" t="s">
        <v>677</v>
      </c>
      <c r="H629" t="s">
        <v>678</v>
      </c>
      <c r="I629" t="s">
        <v>679</v>
      </c>
      <c r="J629">
        <v>-1350</v>
      </c>
      <c r="K629">
        <v>-1350</v>
      </c>
      <c r="M629" t="s">
        <v>680</v>
      </c>
      <c r="N629" t="s">
        <v>134</v>
      </c>
      <c r="O629" t="s">
        <v>631</v>
      </c>
      <c r="Q629" t="s">
        <v>466</v>
      </c>
      <c r="R629">
        <v>0</v>
      </c>
    </row>
    <row r="630" spans="1:18" x14ac:dyDescent="0.3">
      <c r="A630">
        <v>175527</v>
      </c>
      <c r="B630" t="s">
        <v>568</v>
      </c>
      <c r="C630" t="s">
        <v>606</v>
      </c>
      <c r="D630" t="s">
        <v>1040</v>
      </c>
      <c r="E630" s="452">
        <v>46174</v>
      </c>
      <c r="F630" s="452">
        <v>46175</v>
      </c>
      <c r="G630" t="s">
        <v>613</v>
      </c>
      <c r="H630" t="s">
        <v>369</v>
      </c>
      <c r="I630" t="s">
        <v>614</v>
      </c>
      <c r="J630">
        <v>-5792.21</v>
      </c>
      <c r="K630">
        <v>-5792.21</v>
      </c>
      <c r="O630" t="s">
        <v>631</v>
      </c>
      <c r="P630" t="s">
        <v>820</v>
      </c>
      <c r="Q630" t="s">
        <v>466</v>
      </c>
      <c r="R630">
        <v>0</v>
      </c>
    </row>
    <row r="631" spans="1:18" x14ac:dyDescent="0.3">
      <c r="A631">
        <v>175482</v>
      </c>
      <c r="B631" t="s">
        <v>568</v>
      </c>
      <c r="C631" t="s">
        <v>606</v>
      </c>
      <c r="D631" t="s">
        <v>959</v>
      </c>
      <c r="E631" s="452">
        <v>46174</v>
      </c>
      <c r="F631" s="452">
        <v>46213</v>
      </c>
      <c r="G631" t="s">
        <v>257</v>
      </c>
      <c r="H631" t="s">
        <v>258</v>
      </c>
      <c r="I631" t="s">
        <v>785</v>
      </c>
      <c r="J631">
        <v>-34700</v>
      </c>
      <c r="K631">
        <v>-26634.51</v>
      </c>
      <c r="O631" t="s">
        <v>631</v>
      </c>
      <c r="Q631" t="s">
        <v>466</v>
      </c>
      <c r="R631">
        <v>0</v>
      </c>
    </row>
    <row r="632" spans="1:18" x14ac:dyDescent="0.3">
      <c r="A632">
        <v>196079</v>
      </c>
      <c r="B632" t="s">
        <v>568</v>
      </c>
      <c r="C632" t="s">
        <v>671</v>
      </c>
      <c r="D632" t="s">
        <v>1041</v>
      </c>
      <c r="E632" s="452">
        <v>46174</v>
      </c>
      <c r="F632" s="452">
        <v>46168</v>
      </c>
      <c r="G632" t="s">
        <v>672</v>
      </c>
      <c r="H632" t="s">
        <v>240</v>
      </c>
      <c r="I632" t="s">
        <v>687</v>
      </c>
      <c r="J632">
        <v>-655.75</v>
      </c>
      <c r="K632">
        <v>-655.75</v>
      </c>
      <c r="O632" t="s">
        <v>631</v>
      </c>
      <c r="P632" t="s">
        <v>820</v>
      </c>
      <c r="Q632" t="s">
        <v>466</v>
      </c>
      <c r="R632">
        <v>0</v>
      </c>
    </row>
    <row r="633" spans="1:18" x14ac:dyDescent="0.3">
      <c r="A633">
        <v>191826</v>
      </c>
      <c r="B633" t="s">
        <v>568</v>
      </c>
      <c r="C633" t="s">
        <v>765</v>
      </c>
      <c r="D633" t="s">
        <v>1042</v>
      </c>
      <c r="E633" s="452">
        <v>46174</v>
      </c>
      <c r="F633" s="452">
        <v>46197</v>
      </c>
      <c r="G633" t="s">
        <v>265</v>
      </c>
      <c r="H633" t="s">
        <v>268</v>
      </c>
      <c r="I633" t="s">
        <v>1043</v>
      </c>
      <c r="J633">
        <v>-4330.3</v>
      </c>
      <c r="K633">
        <v>-4330.3</v>
      </c>
      <c r="O633" t="s">
        <v>631</v>
      </c>
      <c r="P633" t="s">
        <v>820</v>
      </c>
      <c r="Q633" t="s">
        <v>466</v>
      </c>
      <c r="R633">
        <v>0</v>
      </c>
    </row>
    <row r="634" spans="1:18" x14ac:dyDescent="0.3">
      <c r="A634">
        <v>197933</v>
      </c>
      <c r="B634" t="s">
        <v>568</v>
      </c>
      <c r="C634" t="s">
        <v>688</v>
      </c>
      <c r="D634" t="s">
        <v>1044</v>
      </c>
      <c r="E634" s="452">
        <v>46174</v>
      </c>
      <c r="F634" s="452">
        <v>46193</v>
      </c>
      <c r="G634" t="s">
        <v>666</v>
      </c>
      <c r="H634" t="s">
        <v>667</v>
      </c>
      <c r="I634" t="s">
        <v>1045</v>
      </c>
      <c r="J634">
        <v>-2656</v>
      </c>
      <c r="K634">
        <v>-2656</v>
      </c>
      <c r="O634" t="s">
        <v>631</v>
      </c>
      <c r="P634" t="s">
        <v>820</v>
      </c>
      <c r="Q634" t="s">
        <v>466</v>
      </c>
      <c r="R634">
        <v>0</v>
      </c>
    </row>
    <row r="635" spans="1:18" x14ac:dyDescent="0.3">
      <c r="A635">
        <v>192079</v>
      </c>
      <c r="B635" t="s">
        <v>568</v>
      </c>
      <c r="C635" t="s">
        <v>731</v>
      </c>
      <c r="D635" t="s">
        <v>1046</v>
      </c>
      <c r="E635" s="452">
        <v>46174</v>
      </c>
      <c r="F635" s="452">
        <v>46188</v>
      </c>
      <c r="G635" t="s">
        <v>319</v>
      </c>
      <c r="H635" t="s">
        <v>321</v>
      </c>
      <c r="I635" t="s">
        <v>1047</v>
      </c>
      <c r="J635">
        <v>-143.38</v>
      </c>
      <c r="K635">
        <v>-143.38</v>
      </c>
      <c r="O635" t="s">
        <v>631</v>
      </c>
      <c r="P635" t="s">
        <v>820</v>
      </c>
      <c r="Q635" t="s">
        <v>466</v>
      </c>
      <c r="R635">
        <v>0</v>
      </c>
    </row>
    <row r="636" spans="1:18" x14ac:dyDescent="0.3">
      <c r="A636">
        <v>191738</v>
      </c>
      <c r="B636" t="s">
        <v>568</v>
      </c>
      <c r="C636" t="s">
        <v>735</v>
      </c>
      <c r="D636" t="s">
        <v>1048</v>
      </c>
      <c r="E636" s="452">
        <v>46174</v>
      </c>
      <c r="F636" s="452">
        <v>46188</v>
      </c>
      <c r="G636" t="s">
        <v>309</v>
      </c>
      <c r="H636" t="s">
        <v>310</v>
      </c>
      <c r="I636" t="s">
        <v>736</v>
      </c>
      <c r="J636">
        <v>-2282.27</v>
      </c>
      <c r="K636">
        <v>-2282.27</v>
      </c>
      <c r="O636" t="s">
        <v>631</v>
      </c>
      <c r="P636" t="s">
        <v>820</v>
      </c>
      <c r="Q636" t="s">
        <v>466</v>
      </c>
      <c r="R636">
        <v>0</v>
      </c>
    </row>
    <row r="637" spans="1:18" x14ac:dyDescent="0.3">
      <c r="A637">
        <v>215975</v>
      </c>
      <c r="B637" t="s">
        <v>568</v>
      </c>
      <c r="C637" t="s">
        <v>606</v>
      </c>
      <c r="D637" t="s">
        <v>959</v>
      </c>
      <c r="E637" s="452">
        <v>46174</v>
      </c>
      <c r="F637" s="452">
        <v>46213</v>
      </c>
      <c r="G637" t="s">
        <v>257</v>
      </c>
      <c r="H637" t="s">
        <v>260</v>
      </c>
      <c r="I637" t="s">
        <v>1049</v>
      </c>
      <c r="J637">
        <v>-2935.69</v>
      </c>
      <c r="K637">
        <v>-2935.69</v>
      </c>
      <c r="O637" t="s">
        <v>631</v>
      </c>
      <c r="Q637" t="s">
        <v>466</v>
      </c>
      <c r="R637">
        <v>0</v>
      </c>
    </row>
    <row r="638" spans="1:18" x14ac:dyDescent="0.3">
      <c r="A638">
        <v>199356</v>
      </c>
      <c r="B638" t="s">
        <v>568</v>
      </c>
      <c r="C638" t="s">
        <v>744</v>
      </c>
      <c r="D638" t="s">
        <v>658</v>
      </c>
      <c r="E638" s="452">
        <v>46174</v>
      </c>
      <c r="F638" s="452">
        <v>46212</v>
      </c>
      <c r="G638" t="s">
        <v>677</v>
      </c>
      <c r="H638" t="s">
        <v>678</v>
      </c>
      <c r="I638" t="s">
        <v>745</v>
      </c>
      <c r="J638">
        <v>-1500</v>
      </c>
      <c r="K638">
        <v>-1500</v>
      </c>
      <c r="M638" t="s">
        <v>746</v>
      </c>
      <c r="N638" t="s">
        <v>131</v>
      </c>
      <c r="O638" t="s">
        <v>571</v>
      </c>
      <c r="Q638" t="s">
        <v>466</v>
      </c>
      <c r="R638">
        <v>0</v>
      </c>
    </row>
    <row r="639" spans="1:18" x14ac:dyDescent="0.3">
      <c r="A639">
        <v>199978</v>
      </c>
      <c r="B639" t="s">
        <v>568</v>
      </c>
      <c r="C639" t="s">
        <v>747</v>
      </c>
      <c r="D639" t="s">
        <v>1050</v>
      </c>
      <c r="E639" s="452">
        <v>46174</v>
      </c>
      <c r="F639" s="452">
        <v>46218</v>
      </c>
      <c r="G639" t="s">
        <v>677</v>
      </c>
      <c r="H639" t="s">
        <v>678</v>
      </c>
      <c r="I639" t="s">
        <v>745</v>
      </c>
      <c r="J639">
        <v>-600</v>
      </c>
      <c r="K639">
        <v>-600</v>
      </c>
      <c r="M639" t="s">
        <v>748</v>
      </c>
      <c r="N639" t="s">
        <v>75</v>
      </c>
      <c r="O639" t="s">
        <v>631</v>
      </c>
      <c r="Q639" t="s">
        <v>466</v>
      </c>
      <c r="R639">
        <v>0</v>
      </c>
    </row>
    <row r="640" spans="1:18" x14ac:dyDescent="0.3">
      <c r="A640">
        <v>192105</v>
      </c>
      <c r="B640" t="s">
        <v>568</v>
      </c>
      <c r="C640" t="s">
        <v>767</v>
      </c>
      <c r="D640" t="s">
        <v>1051</v>
      </c>
      <c r="E640" s="452">
        <v>46174</v>
      </c>
      <c r="F640" s="452">
        <v>46208</v>
      </c>
      <c r="G640" t="s">
        <v>309</v>
      </c>
      <c r="H640" t="s">
        <v>315</v>
      </c>
      <c r="I640" t="s">
        <v>1052</v>
      </c>
      <c r="J640">
        <v>-981.02</v>
      </c>
      <c r="K640">
        <v>-981.02</v>
      </c>
      <c r="O640" t="s">
        <v>631</v>
      </c>
      <c r="Q640" t="s">
        <v>466</v>
      </c>
      <c r="R640">
        <v>0</v>
      </c>
    </row>
    <row r="641" spans="1:18" x14ac:dyDescent="0.3">
      <c r="A641">
        <v>191862</v>
      </c>
      <c r="B641" t="s">
        <v>568</v>
      </c>
      <c r="C641" t="s">
        <v>708</v>
      </c>
      <c r="D641" t="s">
        <v>1053</v>
      </c>
      <c r="E641" s="452">
        <v>46174</v>
      </c>
      <c r="F641" s="452">
        <v>46194</v>
      </c>
      <c r="G641" t="s">
        <v>280</v>
      </c>
      <c r="H641" t="s">
        <v>283</v>
      </c>
      <c r="I641" t="s">
        <v>1054</v>
      </c>
      <c r="J641">
        <v>-343.21</v>
      </c>
      <c r="K641">
        <v>-343.71</v>
      </c>
      <c r="O641" t="s">
        <v>631</v>
      </c>
      <c r="P641" t="s">
        <v>820</v>
      </c>
      <c r="Q641" t="s">
        <v>466</v>
      </c>
      <c r="R641">
        <v>0</v>
      </c>
    </row>
    <row r="642" spans="1:18" x14ac:dyDescent="0.3">
      <c r="A642">
        <v>199343</v>
      </c>
      <c r="B642" t="s">
        <v>568</v>
      </c>
      <c r="C642" t="s">
        <v>753</v>
      </c>
      <c r="D642" t="s">
        <v>1055</v>
      </c>
      <c r="E642" s="452">
        <v>46174</v>
      </c>
      <c r="F642" s="452">
        <v>46218</v>
      </c>
      <c r="G642" t="s">
        <v>677</v>
      </c>
      <c r="H642" t="s">
        <v>678</v>
      </c>
      <c r="I642" t="s">
        <v>754</v>
      </c>
      <c r="J642">
        <v>-8000</v>
      </c>
      <c r="K642">
        <v>-8000</v>
      </c>
      <c r="M642" t="s">
        <v>755</v>
      </c>
      <c r="N642" t="s">
        <v>132</v>
      </c>
      <c r="O642" t="s">
        <v>631</v>
      </c>
      <c r="Q642" t="s">
        <v>466</v>
      </c>
      <c r="R642">
        <v>0</v>
      </c>
    </row>
    <row r="643" spans="1:18" x14ac:dyDescent="0.3">
      <c r="A643">
        <v>191970</v>
      </c>
      <c r="B643" t="s">
        <v>568</v>
      </c>
      <c r="C643" t="s">
        <v>727</v>
      </c>
      <c r="D643" t="s">
        <v>1056</v>
      </c>
      <c r="E643" s="452">
        <v>46174</v>
      </c>
      <c r="F643" s="452">
        <v>46203</v>
      </c>
      <c r="G643" t="s">
        <v>265</v>
      </c>
      <c r="H643" t="s">
        <v>272</v>
      </c>
      <c r="I643" t="s">
        <v>1057</v>
      </c>
      <c r="J643">
        <v>-655.5</v>
      </c>
      <c r="K643">
        <v>-655.5</v>
      </c>
      <c r="O643" t="s">
        <v>631</v>
      </c>
      <c r="P643" t="s">
        <v>820</v>
      </c>
      <c r="Q643" t="s">
        <v>466</v>
      </c>
      <c r="R643">
        <v>0</v>
      </c>
    </row>
    <row r="644" spans="1:18" x14ac:dyDescent="0.3">
      <c r="A644">
        <v>199990</v>
      </c>
      <c r="B644" t="s">
        <v>568</v>
      </c>
      <c r="C644" t="s">
        <v>771</v>
      </c>
      <c r="D644" t="s">
        <v>1058</v>
      </c>
      <c r="E644" s="452">
        <v>46174</v>
      </c>
      <c r="F644" s="452">
        <v>46218</v>
      </c>
      <c r="G644" t="s">
        <v>677</v>
      </c>
      <c r="H644" t="s">
        <v>678</v>
      </c>
      <c r="I644" t="s">
        <v>745</v>
      </c>
      <c r="J644">
        <v>-1750</v>
      </c>
      <c r="K644">
        <v>-1750</v>
      </c>
      <c r="M644" t="s">
        <v>772</v>
      </c>
      <c r="N644" t="s">
        <v>135</v>
      </c>
      <c r="O644" t="s">
        <v>631</v>
      </c>
      <c r="Q644" t="s">
        <v>466</v>
      </c>
      <c r="R644">
        <v>0</v>
      </c>
    </row>
    <row r="645" spans="1:18" x14ac:dyDescent="0.3">
      <c r="A645">
        <v>196067</v>
      </c>
      <c r="B645" t="s">
        <v>568</v>
      </c>
      <c r="C645" t="s">
        <v>671</v>
      </c>
      <c r="D645" t="s">
        <v>1059</v>
      </c>
      <c r="E645" s="452">
        <v>46174</v>
      </c>
      <c r="F645" s="452">
        <v>46170</v>
      </c>
      <c r="G645" t="s">
        <v>672</v>
      </c>
      <c r="H645" t="s">
        <v>240</v>
      </c>
      <c r="I645" t="s">
        <v>691</v>
      </c>
      <c r="J645">
        <v>-1654.6</v>
      </c>
      <c r="K645">
        <v>-1654.6</v>
      </c>
      <c r="O645" t="s">
        <v>631</v>
      </c>
      <c r="P645" t="s">
        <v>820</v>
      </c>
      <c r="Q645" t="s">
        <v>466</v>
      </c>
      <c r="R645">
        <v>0</v>
      </c>
    </row>
    <row r="646" spans="1:18" x14ac:dyDescent="0.3">
      <c r="A646">
        <v>197946</v>
      </c>
      <c r="B646" t="s">
        <v>568</v>
      </c>
      <c r="C646" t="s">
        <v>688</v>
      </c>
      <c r="D646" t="s">
        <v>1044</v>
      </c>
      <c r="E646" s="452">
        <v>46174</v>
      </c>
      <c r="F646" s="452">
        <v>46213</v>
      </c>
      <c r="G646" t="s">
        <v>666</v>
      </c>
      <c r="H646" t="s">
        <v>667</v>
      </c>
      <c r="I646" t="s">
        <v>1060</v>
      </c>
      <c r="J646">
        <v>-2656</v>
      </c>
      <c r="K646">
        <v>-2656</v>
      </c>
      <c r="O646" t="s">
        <v>631</v>
      </c>
      <c r="Q646" t="s">
        <v>466</v>
      </c>
      <c r="R646">
        <v>0</v>
      </c>
    </row>
    <row r="647" spans="1:18" x14ac:dyDescent="0.3">
      <c r="A647">
        <v>199950</v>
      </c>
      <c r="B647" t="s">
        <v>568</v>
      </c>
      <c r="C647" t="s">
        <v>676</v>
      </c>
      <c r="D647" t="s">
        <v>1039</v>
      </c>
      <c r="E647" s="452">
        <v>46174</v>
      </c>
      <c r="F647" s="452">
        <v>46204</v>
      </c>
      <c r="G647" t="s">
        <v>677</v>
      </c>
      <c r="H647" t="s">
        <v>678</v>
      </c>
      <c r="I647" t="s">
        <v>745</v>
      </c>
      <c r="J647">
        <v>-1350</v>
      </c>
      <c r="K647">
        <v>-1350</v>
      </c>
      <c r="M647" t="s">
        <v>680</v>
      </c>
      <c r="N647" t="s">
        <v>134</v>
      </c>
      <c r="O647" t="s">
        <v>631</v>
      </c>
      <c r="P647" t="s">
        <v>820</v>
      </c>
      <c r="Q647" t="s">
        <v>466</v>
      </c>
      <c r="R647">
        <v>0</v>
      </c>
    </row>
    <row r="648" spans="1:18" x14ac:dyDescent="0.3">
      <c r="A648">
        <v>192858</v>
      </c>
      <c r="B648" t="s">
        <v>568</v>
      </c>
      <c r="C648" t="s">
        <v>662</v>
      </c>
      <c r="D648" t="s">
        <v>1061</v>
      </c>
      <c r="E648" s="452">
        <v>46173</v>
      </c>
      <c r="F648" s="452">
        <v>46193</v>
      </c>
      <c r="G648" t="s">
        <v>280</v>
      </c>
      <c r="H648" t="s">
        <v>284</v>
      </c>
      <c r="I648" t="s">
        <v>1062</v>
      </c>
      <c r="J648">
        <v>-181.27</v>
      </c>
      <c r="K648">
        <v>-181.27</v>
      </c>
      <c r="O648" t="s">
        <v>631</v>
      </c>
      <c r="P648" t="s">
        <v>820</v>
      </c>
      <c r="Q648" t="s">
        <v>465</v>
      </c>
      <c r="R648">
        <v>0</v>
      </c>
    </row>
    <row r="649" spans="1:18" x14ac:dyDescent="0.3">
      <c r="A649">
        <v>236705</v>
      </c>
      <c r="B649" t="s">
        <v>568</v>
      </c>
      <c r="C649" t="s">
        <v>1063</v>
      </c>
      <c r="D649" t="s">
        <v>1064</v>
      </c>
      <c r="E649" s="452">
        <v>46173</v>
      </c>
      <c r="F649" s="452">
        <v>46189</v>
      </c>
      <c r="G649" t="s">
        <v>1007</v>
      </c>
      <c r="H649" t="s">
        <v>102</v>
      </c>
      <c r="I649" t="s">
        <v>1065</v>
      </c>
      <c r="J649">
        <v>0</v>
      </c>
      <c r="K649">
        <v>-4240</v>
      </c>
      <c r="O649" t="s">
        <v>631</v>
      </c>
      <c r="P649" t="s">
        <v>820</v>
      </c>
      <c r="Q649" t="s">
        <v>465</v>
      </c>
      <c r="R649">
        <v>0</v>
      </c>
    </row>
    <row r="650" spans="1:18" x14ac:dyDescent="0.3">
      <c r="A650">
        <v>236227</v>
      </c>
      <c r="B650" t="s">
        <v>568</v>
      </c>
      <c r="C650" t="s">
        <v>1066</v>
      </c>
      <c r="E650" s="452">
        <v>46173</v>
      </c>
      <c r="F650" s="452">
        <v>46173</v>
      </c>
      <c r="G650" t="s">
        <v>857</v>
      </c>
      <c r="H650" t="s">
        <v>120</v>
      </c>
      <c r="I650" t="s">
        <v>1067</v>
      </c>
      <c r="J650">
        <v>-875.59</v>
      </c>
      <c r="K650">
        <v>-875.59</v>
      </c>
      <c r="O650" t="s">
        <v>631</v>
      </c>
      <c r="P650" t="s">
        <v>820</v>
      </c>
      <c r="Q650" t="s">
        <v>465</v>
      </c>
      <c r="R650">
        <v>0</v>
      </c>
    </row>
    <row r="651" spans="1:18" x14ac:dyDescent="0.3">
      <c r="A651">
        <v>237052</v>
      </c>
      <c r="B651" t="s">
        <v>568</v>
      </c>
      <c r="C651" t="s">
        <v>859</v>
      </c>
      <c r="E651" s="452">
        <v>46173</v>
      </c>
      <c r="F651" s="452">
        <v>46173</v>
      </c>
      <c r="G651" t="s">
        <v>857</v>
      </c>
      <c r="H651" t="s">
        <v>118</v>
      </c>
      <c r="J651">
        <v>-111.82</v>
      </c>
      <c r="K651">
        <v>-111.82</v>
      </c>
      <c r="O651" t="s">
        <v>631</v>
      </c>
      <c r="P651" t="s">
        <v>820</v>
      </c>
      <c r="Q651" t="s">
        <v>465</v>
      </c>
      <c r="R651">
        <v>0</v>
      </c>
    </row>
    <row r="652" spans="1:18" x14ac:dyDescent="0.3">
      <c r="A652">
        <v>237057</v>
      </c>
      <c r="B652" t="s">
        <v>568</v>
      </c>
      <c r="C652" t="s">
        <v>860</v>
      </c>
      <c r="E652" s="452">
        <v>46173</v>
      </c>
      <c r="F652" s="452">
        <v>46173</v>
      </c>
      <c r="G652" t="s">
        <v>857</v>
      </c>
      <c r="H652" t="s">
        <v>118</v>
      </c>
      <c r="J652">
        <v>-94.91</v>
      </c>
      <c r="K652">
        <v>-94.91</v>
      </c>
      <c r="O652" t="s">
        <v>631</v>
      </c>
      <c r="P652" t="s">
        <v>820</v>
      </c>
      <c r="Q652" t="s">
        <v>465</v>
      </c>
      <c r="R652">
        <v>0</v>
      </c>
    </row>
    <row r="653" spans="1:18" x14ac:dyDescent="0.3">
      <c r="A653">
        <v>237078</v>
      </c>
      <c r="B653" t="s">
        <v>568</v>
      </c>
      <c r="C653" t="s">
        <v>858</v>
      </c>
      <c r="E653" s="452">
        <v>46173</v>
      </c>
      <c r="F653" s="452">
        <v>46173</v>
      </c>
      <c r="G653" t="s">
        <v>857</v>
      </c>
      <c r="H653" t="s">
        <v>118</v>
      </c>
      <c r="J653">
        <v>-23.98</v>
      </c>
      <c r="K653">
        <v>-23.98</v>
      </c>
      <c r="O653" t="s">
        <v>631</v>
      </c>
      <c r="P653" t="s">
        <v>820</v>
      </c>
      <c r="Q653" t="s">
        <v>465</v>
      </c>
      <c r="R653">
        <v>0</v>
      </c>
    </row>
    <row r="654" spans="1:18" x14ac:dyDescent="0.3">
      <c r="A654">
        <v>236709</v>
      </c>
      <c r="B654" t="s">
        <v>568</v>
      </c>
      <c r="C654" t="s">
        <v>856</v>
      </c>
      <c r="E654" s="452">
        <v>46173</v>
      </c>
      <c r="F654" s="452">
        <v>46173</v>
      </c>
      <c r="G654" t="s">
        <v>857</v>
      </c>
      <c r="H654" t="s">
        <v>118</v>
      </c>
      <c r="J654">
        <v>-41.03</v>
      </c>
      <c r="K654">
        <v>-41.03</v>
      </c>
      <c r="O654" t="s">
        <v>631</v>
      </c>
      <c r="P654" t="s">
        <v>820</v>
      </c>
      <c r="Q654" t="s">
        <v>465</v>
      </c>
      <c r="R654">
        <v>0</v>
      </c>
    </row>
    <row r="655" spans="1:18" x14ac:dyDescent="0.3">
      <c r="A655">
        <v>235703</v>
      </c>
      <c r="B655" t="s">
        <v>568</v>
      </c>
      <c r="C655" t="s">
        <v>1068</v>
      </c>
      <c r="E655" s="452">
        <v>46173</v>
      </c>
      <c r="F655" s="452">
        <v>46173</v>
      </c>
      <c r="G655" t="s">
        <v>857</v>
      </c>
      <c r="H655" t="s">
        <v>118</v>
      </c>
      <c r="I655" t="s">
        <v>1069</v>
      </c>
      <c r="J655">
        <v>-4258.75</v>
      </c>
      <c r="K655">
        <v>-4258.75</v>
      </c>
      <c r="O655" t="s">
        <v>631</v>
      </c>
      <c r="P655" t="s">
        <v>820</v>
      </c>
      <c r="Q655" t="s">
        <v>465</v>
      </c>
      <c r="R655">
        <v>0</v>
      </c>
    </row>
    <row r="656" spans="1:18" x14ac:dyDescent="0.3">
      <c r="A656">
        <v>229043</v>
      </c>
      <c r="B656" t="s">
        <v>568</v>
      </c>
      <c r="C656" t="s">
        <v>812</v>
      </c>
      <c r="D656" t="s">
        <v>1070</v>
      </c>
      <c r="E656" s="452">
        <v>46173</v>
      </c>
      <c r="F656" s="452">
        <v>46195</v>
      </c>
      <c r="G656" t="s">
        <v>813</v>
      </c>
      <c r="H656" t="s">
        <v>60</v>
      </c>
      <c r="I656" t="s">
        <v>1071</v>
      </c>
      <c r="J656">
        <v>-1400</v>
      </c>
      <c r="K656">
        <v>-1400</v>
      </c>
      <c r="O656" t="s">
        <v>631</v>
      </c>
      <c r="P656" t="s">
        <v>820</v>
      </c>
      <c r="Q656" t="s">
        <v>465</v>
      </c>
      <c r="R656">
        <v>0</v>
      </c>
    </row>
    <row r="657" spans="1:18" x14ac:dyDescent="0.3">
      <c r="A657">
        <v>236442</v>
      </c>
      <c r="B657" t="s">
        <v>568</v>
      </c>
      <c r="C657" t="s">
        <v>51</v>
      </c>
      <c r="D657" t="s">
        <v>1072</v>
      </c>
      <c r="E657" s="452">
        <v>46172</v>
      </c>
      <c r="F657" s="452">
        <v>46183</v>
      </c>
      <c r="G657" t="s">
        <v>265</v>
      </c>
      <c r="H657" t="s">
        <v>272</v>
      </c>
      <c r="I657" t="s">
        <v>1073</v>
      </c>
      <c r="J657">
        <v>-36.22</v>
      </c>
      <c r="K657">
        <v>-36.22</v>
      </c>
      <c r="O657" t="s">
        <v>631</v>
      </c>
      <c r="P657" t="s">
        <v>820</v>
      </c>
      <c r="Q657" t="s">
        <v>465</v>
      </c>
      <c r="R657">
        <v>0</v>
      </c>
    </row>
    <row r="658" spans="1:18" x14ac:dyDescent="0.3">
      <c r="A658">
        <v>238950</v>
      </c>
      <c r="B658" t="s">
        <v>568</v>
      </c>
      <c r="C658" t="s">
        <v>1074</v>
      </c>
      <c r="D658" t="s">
        <v>819</v>
      </c>
      <c r="E658" s="452">
        <v>46172</v>
      </c>
      <c r="F658" s="452">
        <v>46172</v>
      </c>
      <c r="G658" t="s">
        <v>931</v>
      </c>
      <c r="H658" t="s">
        <v>932</v>
      </c>
      <c r="J658">
        <v>8069.8</v>
      </c>
      <c r="K658">
        <v>0</v>
      </c>
      <c r="O658" t="s">
        <v>631</v>
      </c>
      <c r="P658" t="s">
        <v>820</v>
      </c>
      <c r="Q658" t="s">
        <v>465</v>
      </c>
      <c r="R658">
        <v>0</v>
      </c>
    </row>
    <row r="659" spans="1:18" x14ac:dyDescent="0.3">
      <c r="A659">
        <v>238951</v>
      </c>
      <c r="B659" t="s">
        <v>568</v>
      </c>
      <c r="C659" t="s">
        <v>1074</v>
      </c>
      <c r="D659" t="s">
        <v>819</v>
      </c>
      <c r="E659" s="452">
        <v>46172</v>
      </c>
      <c r="F659" s="452">
        <v>46172</v>
      </c>
      <c r="G659" t="s">
        <v>931</v>
      </c>
      <c r="H659" t="s">
        <v>1075</v>
      </c>
      <c r="J659">
        <v>102.01</v>
      </c>
      <c r="K659">
        <v>0</v>
      </c>
      <c r="O659" t="s">
        <v>631</v>
      </c>
      <c r="P659" t="s">
        <v>820</v>
      </c>
      <c r="Q659" t="s">
        <v>465</v>
      </c>
      <c r="R659">
        <v>0</v>
      </c>
    </row>
    <row r="660" spans="1:18" x14ac:dyDescent="0.3">
      <c r="A660">
        <v>207037</v>
      </c>
      <c r="B660" t="s">
        <v>568</v>
      </c>
      <c r="C660" t="s">
        <v>431</v>
      </c>
      <c r="D660" t="s">
        <v>1076</v>
      </c>
      <c r="E660" s="452">
        <v>46172</v>
      </c>
      <c r="F660" s="452">
        <v>46192</v>
      </c>
      <c r="G660" t="s">
        <v>697</v>
      </c>
      <c r="H660" t="s">
        <v>212</v>
      </c>
      <c r="I660" t="s">
        <v>1077</v>
      </c>
      <c r="J660">
        <v>-2872.34</v>
      </c>
      <c r="K660">
        <v>-2872.34</v>
      </c>
      <c r="O660" t="s">
        <v>631</v>
      </c>
      <c r="P660" t="s">
        <v>820</v>
      </c>
      <c r="Q660" t="s">
        <v>465</v>
      </c>
      <c r="R660">
        <v>0</v>
      </c>
    </row>
    <row r="661" spans="1:18" x14ac:dyDescent="0.3">
      <c r="A661">
        <v>192886</v>
      </c>
      <c r="B661" t="s">
        <v>568</v>
      </c>
      <c r="C661" t="s">
        <v>692</v>
      </c>
      <c r="D661" t="s">
        <v>1078</v>
      </c>
      <c r="E661" s="452">
        <v>46172</v>
      </c>
      <c r="F661" s="452">
        <v>46188</v>
      </c>
      <c r="G661" t="s">
        <v>309</v>
      </c>
      <c r="H661" t="s">
        <v>317</v>
      </c>
      <c r="I661" t="s">
        <v>1079</v>
      </c>
      <c r="J661">
        <v>-760</v>
      </c>
      <c r="K661">
        <v>-760</v>
      </c>
      <c r="O661" t="s">
        <v>631</v>
      </c>
      <c r="Q661" t="s">
        <v>465</v>
      </c>
      <c r="R661">
        <v>0</v>
      </c>
    </row>
    <row r="662" spans="1:18" x14ac:dyDescent="0.3">
      <c r="A662">
        <v>197355</v>
      </c>
      <c r="B662" t="s">
        <v>568</v>
      </c>
      <c r="C662" t="s">
        <v>699</v>
      </c>
      <c r="D662" t="s">
        <v>1072</v>
      </c>
      <c r="E662" s="452">
        <v>46172</v>
      </c>
      <c r="F662" s="452">
        <v>46192</v>
      </c>
      <c r="G662" t="s">
        <v>309</v>
      </c>
      <c r="H662" t="s">
        <v>310</v>
      </c>
      <c r="I662" t="s">
        <v>701</v>
      </c>
      <c r="J662">
        <v>-34.76</v>
      </c>
      <c r="K662">
        <v>-34.76</v>
      </c>
      <c r="O662" t="s">
        <v>631</v>
      </c>
      <c r="P662" t="s">
        <v>820</v>
      </c>
      <c r="Q662" t="s">
        <v>465</v>
      </c>
      <c r="R662">
        <v>0</v>
      </c>
    </row>
    <row r="663" spans="1:18" x14ac:dyDescent="0.3">
      <c r="A663">
        <v>208296</v>
      </c>
      <c r="B663" t="s">
        <v>568</v>
      </c>
      <c r="C663" t="s">
        <v>430</v>
      </c>
      <c r="D663" t="s">
        <v>1080</v>
      </c>
      <c r="E663" s="452">
        <v>46172</v>
      </c>
      <c r="F663" s="452">
        <v>46192</v>
      </c>
      <c r="G663" t="s">
        <v>697</v>
      </c>
      <c r="H663" t="s">
        <v>207</v>
      </c>
      <c r="I663" t="s">
        <v>1081</v>
      </c>
      <c r="J663">
        <v>-2207.41</v>
      </c>
      <c r="K663">
        <v>-2207.41</v>
      </c>
      <c r="O663" t="s">
        <v>631</v>
      </c>
      <c r="P663" t="s">
        <v>820</v>
      </c>
      <c r="Q663" t="s">
        <v>465</v>
      </c>
      <c r="R663">
        <v>0</v>
      </c>
    </row>
    <row r="664" spans="1:18" x14ac:dyDescent="0.3">
      <c r="A664">
        <v>202399</v>
      </c>
      <c r="B664" t="s">
        <v>568</v>
      </c>
      <c r="C664" t="s">
        <v>696</v>
      </c>
      <c r="D664" t="s">
        <v>1082</v>
      </c>
      <c r="E664" s="452">
        <v>46172</v>
      </c>
      <c r="F664" s="452">
        <v>46182</v>
      </c>
      <c r="G664" t="s">
        <v>672</v>
      </c>
      <c r="H664" t="s">
        <v>248</v>
      </c>
      <c r="J664">
        <v>-273.75</v>
      </c>
      <c r="K664">
        <v>-273.75</v>
      </c>
      <c r="O664" t="s">
        <v>631</v>
      </c>
      <c r="P664" t="s">
        <v>820</v>
      </c>
      <c r="Q664" t="s">
        <v>465</v>
      </c>
      <c r="R664">
        <v>0</v>
      </c>
    </row>
    <row r="665" spans="1:18" x14ac:dyDescent="0.3">
      <c r="A665">
        <v>190625</v>
      </c>
      <c r="B665" t="s">
        <v>568</v>
      </c>
      <c r="C665" t="s">
        <v>50</v>
      </c>
      <c r="D665" t="s">
        <v>1072</v>
      </c>
      <c r="E665" s="452">
        <v>46172</v>
      </c>
      <c r="F665" s="452">
        <v>46195</v>
      </c>
      <c r="G665" t="s">
        <v>694</v>
      </c>
      <c r="H665" t="s">
        <v>50</v>
      </c>
      <c r="I665" t="s">
        <v>695</v>
      </c>
      <c r="J665">
        <v>-13358.4</v>
      </c>
      <c r="K665">
        <v>-13358.4</v>
      </c>
      <c r="O665" t="s">
        <v>631</v>
      </c>
      <c r="P665" t="s">
        <v>820</v>
      </c>
      <c r="Q665" t="s">
        <v>465</v>
      </c>
      <c r="R665">
        <v>0</v>
      </c>
    </row>
    <row r="666" spans="1:18" x14ac:dyDescent="0.3">
      <c r="A666">
        <v>208516</v>
      </c>
      <c r="B666" t="s">
        <v>568</v>
      </c>
      <c r="C666" t="s">
        <v>699</v>
      </c>
      <c r="D666" t="s">
        <v>658</v>
      </c>
      <c r="E666" s="452">
        <v>46172</v>
      </c>
      <c r="F666" s="452">
        <v>46192</v>
      </c>
      <c r="G666" t="s">
        <v>697</v>
      </c>
      <c r="H666" t="s">
        <v>700</v>
      </c>
      <c r="J666">
        <v>-1300</v>
      </c>
      <c r="K666">
        <v>-1300</v>
      </c>
      <c r="O666" t="s">
        <v>571</v>
      </c>
      <c r="Q666" t="s">
        <v>465</v>
      </c>
      <c r="R666">
        <v>0</v>
      </c>
    </row>
    <row r="667" spans="1:18" x14ac:dyDescent="0.3">
      <c r="A667">
        <v>209519</v>
      </c>
      <c r="B667" t="s">
        <v>568</v>
      </c>
      <c r="C667" t="s">
        <v>654</v>
      </c>
      <c r="D667" t="s">
        <v>1072</v>
      </c>
      <c r="E667" s="452">
        <v>46170</v>
      </c>
      <c r="F667" s="452">
        <v>46195</v>
      </c>
      <c r="G667" t="s">
        <v>702</v>
      </c>
      <c r="H667" t="s">
        <v>343</v>
      </c>
      <c r="J667">
        <v>-44909.85</v>
      </c>
      <c r="K667">
        <v>-44909.85</v>
      </c>
      <c r="O667" t="s">
        <v>631</v>
      </c>
      <c r="P667" t="s">
        <v>820</v>
      </c>
      <c r="Q667" t="s">
        <v>465</v>
      </c>
      <c r="R667">
        <v>0</v>
      </c>
    </row>
    <row r="668" spans="1:18" x14ac:dyDescent="0.3">
      <c r="A668">
        <v>235054</v>
      </c>
      <c r="B668" t="s">
        <v>568</v>
      </c>
      <c r="C668" t="s">
        <v>823</v>
      </c>
      <c r="D668" t="s">
        <v>1083</v>
      </c>
      <c r="E668" s="452">
        <v>46170</v>
      </c>
      <c r="F668" s="452">
        <v>46178</v>
      </c>
      <c r="G668" t="s">
        <v>297</v>
      </c>
      <c r="H668" t="s">
        <v>308</v>
      </c>
      <c r="I668" t="s">
        <v>825</v>
      </c>
      <c r="J668">
        <v>-22.31</v>
      </c>
      <c r="K668">
        <v>0</v>
      </c>
      <c r="O668" t="s">
        <v>631</v>
      </c>
      <c r="P668" t="s">
        <v>820</v>
      </c>
      <c r="Q668" t="s">
        <v>465</v>
      </c>
      <c r="R668">
        <v>0</v>
      </c>
    </row>
    <row r="669" spans="1:18" x14ac:dyDescent="0.3">
      <c r="A669">
        <v>236526</v>
      </c>
      <c r="B669" t="s">
        <v>568</v>
      </c>
      <c r="C669" t="s">
        <v>1084</v>
      </c>
      <c r="D669" t="s">
        <v>1085</v>
      </c>
      <c r="E669" s="452">
        <v>46168</v>
      </c>
      <c r="F669" s="452">
        <v>46183</v>
      </c>
      <c r="G669" t="s">
        <v>906</v>
      </c>
      <c r="H669" t="s">
        <v>295</v>
      </c>
      <c r="I669" t="s">
        <v>1086</v>
      </c>
      <c r="J669">
        <v>0</v>
      </c>
      <c r="K669">
        <v>-100</v>
      </c>
      <c r="O669" t="s">
        <v>631</v>
      </c>
      <c r="Q669" t="s">
        <v>465</v>
      </c>
      <c r="R669">
        <v>0</v>
      </c>
    </row>
    <row r="670" spans="1:18" x14ac:dyDescent="0.3">
      <c r="A670">
        <v>226134</v>
      </c>
      <c r="B670" t="s">
        <v>568</v>
      </c>
      <c r="C670" t="s">
        <v>789</v>
      </c>
      <c r="D670" t="s">
        <v>1087</v>
      </c>
      <c r="E670" s="452">
        <v>46167</v>
      </c>
      <c r="F670" s="452">
        <v>46177</v>
      </c>
      <c r="G670" t="s">
        <v>790</v>
      </c>
      <c r="H670" t="s">
        <v>204</v>
      </c>
      <c r="I670" t="s">
        <v>1088</v>
      </c>
      <c r="J670">
        <v>-4103</v>
      </c>
      <c r="K670">
        <v>-4103</v>
      </c>
      <c r="O670" t="s">
        <v>631</v>
      </c>
      <c r="P670" t="s">
        <v>820</v>
      </c>
      <c r="Q670" t="s">
        <v>465</v>
      </c>
      <c r="R670">
        <v>0</v>
      </c>
    </row>
    <row r="671" spans="1:18" x14ac:dyDescent="0.3">
      <c r="A671">
        <v>236699</v>
      </c>
      <c r="B671" t="s">
        <v>568</v>
      </c>
      <c r="C671" t="s">
        <v>773</v>
      </c>
      <c r="D671" t="s">
        <v>1089</v>
      </c>
      <c r="E671" s="452">
        <v>46167</v>
      </c>
      <c r="F671" s="452">
        <v>46185</v>
      </c>
      <c r="G671" t="s">
        <v>265</v>
      </c>
      <c r="H671" t="s">
        <v>271</v>
      </c>
      <c r="I671" t="s">
        <v>1090</v>
      </c>
      <c r="J671">
        <v>-600</v>
      </c>
      <c r="K671">
        <v>-600</v>
      </c>
      <c r="O671" t="s">
        <v>631</v>
      </c>
      <c r="P671" t="s">
        <v>820</v>
      </c>
      <c r="Q671" t="s">
        <v>465</v>
      </c>
      <c r="R671">
        <v>0</v>
      </c>
    </row>
    <row r="672" spans="1:18" x14ac:dyDescent="0.3">
      <c r="A672">
        <v>236530</v>
      </c>
      <c r="B672" t="s">
        <v>568</v>
      </c>
      <c r="C672" t="s">
        <v>662</v>
      </c>
      <c r="D672" t="s">
        <v>1091</v>
      </c>
      <c r="E672" s="452">
        <v>46167</v>
      </c>
      <c r="F672" s="452">
        <v>46181</v>
      </c>
      <c r="G672" t="s">
        <v>683</v>
      </c>
      <c r="H672" t="s">
        <v>290</v>
      </c>
      <c r="I672" t="s">
        <v>1092</v>
      </c>
      <c r="J672">
        <v>-660</v>
      </c>
      <c r="K672">
        <v>-660</v>
      </c>
      <c r="O672" t="s">
        <v>631</v>
      </c>
      <c r="P672" t="s">
        <v>820</v>
      </c>
      <c r="Q672" t="s">
        <v>465</v>
      </c>
      <c r="R672">
        <v>0</v>
      </c>
    </row>
    <row r="673" spans="1:18" x14ac:dyDescent="0.3">
      <c r="A673">
        <v>229042</v>
      </c>
      <c r="B673" t="s">
        <v>568</v>
      </c>
      <c r="C673" t="s">
        <v>812</v>
      </c>
      <c r="D673" t="s">
        <v>1093</v>
      </c>
      <c r="E673" s="452">
        <v>46167</v>
      </c>
      <c r="F673" s="452">
        <v>46188</v>
      </c>
      <c r="G673" t="s">
        <v>813</v>
      </c>
      <c r="H673" t="s">
        <v>60</v>
      </c>
      <c r="I673" t="s">
        <v>1094</v>
      </c>
      <c r="J673">
        <v>-1400</v>
      </c>
      <c r="K673">
        <v>-1400</v>
      </c>
      <c r="O673" t="s">
        <v>631</v>
      </c>
      <c r="P673" t="s">
        <v>820</v>
      </c>
      <c r="Q673" t="s">
        <v>465</v>
      </c>
      <c r="R673">
        <v>0</v>
      </c>
    </row>
    <row r="674" spans="1:18" x14ac:dyDescent="0.3">
      <c r="A674">
        <v>197877</v>
      </c>
      <c r="B674" t="s">
        <v>568</v>
      </c>
      <c r="C674" t="s">
        <v>704</v>
      </c>
      <c r="D674" t="s">
        <v>1095</v>
      </c>
      <c r="E674" s="452">
        <v>46167</v>
      </c>
      <c r="F674" s="452">
        <v>46198</v>
      </c>
      <c r="G674" t="s">
        <v>705</v>
      </c>
      <c r="H674" t="s">
        <v>114</v>
      </c>
      <c r="I674" t="s">
        <v>1096</v>
      </c>
      <c r="J674">
        <v>-9630</v>
      </c>
      <c r="K674">
        <v>-9630</v>
      </c>
      <c r="O674" t="s">
        <v>631</v>
      </c>
      <c r="P674" t="s">
        <v>820</v>
      </c>
      <c r="Q674" t="s">
        <v>465</v>
      </c>
      <c r="R674">
        <v>0</v>
      </c>
    </row>
    <row r="675" spans="1:18" x14ac:dyDescent="0.3">
      <c r="A675">
        <v>98066</v>
      </c>
      <c r="B675" t="s">
        <v>568</v>
      </c>
      <c r="C675" t="s">
        <v>628</v>
      </c>
      <c r="D675" t="s">
        <v>1097</v>
      </c>
      <c r="E675" s="452">
        <v>46165</v>
      </c>
      <c r="F675" s="452">
        <v>46164</v>
      </c>
      <c r="G675" t="s">
        <v>613</v>
      </c>
      <c r="H675" t="s">
        <v>369</v>
      </c>
      <c r="I675" t="s">
        <v>630</v>
      </c>
      <c r="J675">
        <v>-20000</v>
      </c>
      <c r="K675">
        <v>-20000</v>
      </c>
      <c r="O675" t="s">
        <v>631</v>
      </c>
      <c r="P675" t="s">
        <v>820</v>
      </c>
      <c r="Q675" t="s">
        <v>465</v>
      </c>
      <c r="R675">
        <v>0</v>
      </c>
    </row>
    <row r="676" spans="1:18" x14ac:dyDescent="0.3">
      <c r="A676">
        <v>236003</v>
      </c>
      <c r="B676" t="s">
        <v>568</v>
      </c>
      <c r="C676" t="s">
        <v>1068</v>
      </c>
      <c r="E676" s="452">
        <v>46165</v>
      </c>
      <c r="F676" s="452">
        <v>46166</v>
      </c>
      <c r="G676" t="s">
        <v>280</v>
      </c>
      <c r="H676" t="s">
        <v>285</v>
      </c>
      <c r="I676" t="s">
        <v>1098</v>
      </c>
      <c r="J676">
        <v>-47.31</v>
      </c>
      <c r="K676">
        <v>-47.31</v>
      </c>
      <c r="O676" t="s">
        <v>631</v>
      </c>
      <c r="P676" t="s">
        <v>820</v>
      </c>
      <c r="Q676" t="s">
        <v>465</v>
      </c>
      <c r="R676">
        <v>0</v>
      </c>
    </row>
    <row r="677" spans="1:18" x14ac:dyDescent="0.3">
      <c r="A677">
        <v>236002</v>
      </c>
      <c r="B677" t="s">
        <v>568</v>
      </c>
      <c r="C677" t="s">
        <v>1068</v>
      </c>
      <c r="E677" s="452">
        <v>46164</v>
      </c>
      <c r="F677" s="452">
        <v>46165</v>
      </c>
      <c r="G677" t="s">
        <v>280</v>
      </c>
      <c r="H677" t="s">
        <v>285</v>
      </c>
      <c r="I677" t="s">
        <v>1098</v>
      </c>
      <c r="J677">
        <v>-120.16</v>
      </c>
      <c r="K677">
        <v>-120.16</v>
      </c>
      <c r="O677" t="s">
        <v>631</v>
      </c>
      <c r="P677" t="s">
        <v>820</v>
      </c>
      <c r="Q677" t="s">
        <v>465</v>
      </c>
      <c r="R677">
        <v>0</v>
      </c>
    </row>
    <row r="678" spans="1:18" x14ac:dyDescent="0.3">
      <c r="A678">
        <v>234259</v>
      </c>
      <c r="B678" t="s">
        <v>568</v>
      </c>
      <c r="C678" t="s">
        <v>723</v>
      </c>
      <c r="E678" s="452">
        <v>46163</v>
      </c>
      <c r="F678" s="452">
        <v>46163</v>
      </c>
      <c r="G678" t="s">
        <v>724</v>
      </c>
      <c r="H678" t="s">
        <v>725</v>
      </c>
      <c r="J678">
        <v>-16</v>
      </c>
      <c r="K678">
        <v>-16</v>
      </c>
      <c r="O678" t="s">
        <v>631</v>
      </c>
      <c r="P678" t="s">
        <v>820</v>
      </c>
      <c r="Q678" t="s">
        <v>465</v>
      </c>
      <c r="R678">
        <v>0</v>
      </c>
    </row>
    <row r="679" spans="1:18" x14ac:dyDescent="0.3">
      <c r="A679">
        <v>236001</v>
      </c>
      <c r="B679" t="s">
        <v>568</v>
      </c>
      <c r="C679" t="s">
        <v>1068</v>
      </c>
      <c r="E679" s="452">
        <v>46163</v>
      </c>
      <c r="F679" s="452">
        <v>46164</v>
      </c>
      <c r="G679" t="s">
        <v>280</v>
      </c>
      <c r="H679" t="s">
        <v>285</v>
      </c>
      <c r="I679" t="s">
        <v>1098</v>
      </c>
      <c r="J679">
        <v>-95.61</v>
      </c>
      <c r="K679">
        <v>-95.61</v>
      </c>
      <c r="O679" t="s">
        <v>631</v>
      </c>
      <c r="P679" t="s">
        <v>820</v>
      </c>
      <c r="Q679" t="s">
        <v>465</v>
      </c>
      <c r="R679">
        <v>0</v>
      </c>
    </row>
    <row r="680" spans="1:18" x14ac:dyDescent="0.3">
      <c r="A680">
        <v>234750</v>
      </c>
      <c r="B680" t="s">
        <v>568</v>
      </c>
      <c r="C680" t="s">
        <v>1099</v>
      </c>
      <c r="D680" t="s">
        <v>1100</v>
      </c>
      <c r="E680" s="452">
        <v>46163</v>
      </c>
      <c r="F680" s="452">
        <v>46178</v>
      </c>
      <c r="G680" t="s">
        <v>297</v>
      </c>
      <c r="H680" t="s">
        <v>304</v>
      </c>
      <c r="I680" t="s">
        <v>1101</v>
      </c>
      <c r="J680">
        <v>0</v>
      </c>
      <c r="K680">
        <v>-300</v>
      </c>
      <c r="M680" t="s">
        <v>1102</v>
      </c>
      <c r="N680" t="s">
        <v>1102</v>
      </c>
      <c r="O680" t="s">
        <v>631</v>
      </c>
      <c r="P680" t="s">
        <v>820</v>
      </c>
      <c r="Q680" t="s">
        <v>465</v>
      </c>
      <c r="R680">
        <v>0</v>
      </c>
    </row>
    <row r="681" spans="1:18" x14ac:dyDescent="0.3">
      <c r="A681">
        <v>236000</v>
      </c>
      <c r="B681" t="s">
        <v>568</v>
      </c>
      <c r="C681" t="s">
        <v>1068</v>
      </c>
      <c r="E681" s="452">
        <v>46162</v>
      </c>
      <c r="F681" s="452">
        <v>46163</v>
      </c>
      <c r="G681" t="s">
        <v>280</v>
      </c>
      <c r="H681" t="s">
        <v>285</v>
      </c>
      <c r="I681" t="s">
        <v>1098</v>
      </c>
      <c r="J681">
        <v>-68.86</v>
      </c>
      <c r="K681">
        <v>-68.86</v>
      </c>
      <c r="O681" t="s">
        <v>631</v>
      </c>
      <c r="P681" t="s">
        <v>820</v>
      </c>
      <c r="Q681" t="s">
        <v>465</v>
      </c>
      <c r="R681">
        <v>0</v>
      </c>
    </row>
    <row r="682" spans="1:18" x14ac:dyDescent="0.3">
      <c r="A682">
        <v>191873</v>
      </c>
      <c r="B682" t="s">
        <v>568</v>
      </c>
      <c r="C682" t="s">
        <v>708</v>
      </c>
      <c r="D682" t="s">
        <v>1103</v>
      </c>
      <c r="E682" s="452">
        <v>46162</v>
      </c>
      <c r="F682" s="452">
        <v>46178</v>
      </c>
      <c r="G682" t="s">
        <v>280</v>
      </c>
      <c r="H682" t="s">
        <v>282</v>
      </c>
      <c r="I682" t="s">
        <v>1104</v>
      </c>
      <c r="J682">
        <v>-104.37</v>
      </c>
      <c r="K682">
        <v>-104.37</v>
      </c>
      <c r="O682" t="s">
        <v>631</v>
      </c>
      <c r="P682" t="s">
        <v>820</v>
      </c>
      <c r="Q682" t="s">
        <v>465</v>
      </c>
      <c r="R682">
        <v>0</v>
      </c>
    </row>
    <row r="683" spans="1:18" x14ac:dyDescent="0.3">
      <c r="A683">
        <v>233321</v>
      </c>
      <c r="B683" t="s">
        <v>568</v>
      </c>
      <c r="C683" t="s">
        <v>1105</v>
      </c>
      <c r="E683" s="452">
        <v>46161</v>
      </c>
      <c r="F683" s="452">
        <v>46161</v>
      </c>
      <c r="G683" t="s">
        <v>724</v>
      </c>
      <c r="H683" t="s">
        <v>725</v>
      </c>
      <c r="J683">
        <v>-39.9</v>
      </c>
      <c r="K683">
        <v>-39.9</v>
      </c>
      <c r="O683" t="s">
        <v>631</v>
      </c>
      <c r="P683" t="s">
        <v>820</v>
      </c>
      <c r="Q683" t="s">
        <v>465</v>
      </c>
      <c r="R683">
        <v>0</v>
      </c>
    </row>
    <row r="684" spans="1:18" x14ac:dyDescent="0.3">
      <c r="A684">
        <v>235999</v>
      </c>
      <c r="B684" t="s">
        <v>568</v>
      </c>
      <c r="C684" t="s">
        <v>1068</v>
      </c>
      <c r="E684" s="452">
        <v>46161</v>
      </c>
      <c r="F684" s="452">
        <v>46162</v>
      </c>
      <c r="G684" t="s">
        <v>280</v>
      </c>
      <c r="H684" t="s">
        <v>285</v>
      </c>
      <c r="I684" t="s">
        <v>1098</v>
      </c>
      <c r="J684">
        <v>-68.42</v>
      </c>
      <c r="K684">
        <v>-68.42</v>
      </c>
      <c r="O684" t="s">
        <v>631</v>
      </c>
      <c r="P684" t="s">
        <v>820</v>
      </c>
      <c r="Q684" t="s">
        <v>465</v>
      </c>
      <c r="R684">
        <v>0</v>
      </c>
    </row>
    <row r="685" spans="1:18" x14ac:dyDescent="0.3">
      <c r="A685">
        <v>226133</v>
      </c>
      <c r="B685" t="s">
        <v>568</v>
      </c>
      <c r="C685" t="s">
        <v>789</v>
      </c>
      <c r="D685" t="s">
        <v>1106</v>
      </c>
      <c r="E685" s="452">
        <v>46160</v>
      </c>
      <c r="F685" s="452">
        <v>46170</v>
      </c>
      <c r="G685" t="s">
        <v>790</v>
      </c>
      <c r="H685" t="s">
        <v>204</v>
      </c>
      <c r="I685" t="s">
        <v>1107</v>
      </c>
      <c r="J685">
        <v>-4645.6499999999996</v>
      </c>
      <c r="K685">
        <v>-4645.6499999999996</v>
      </c>
      <c r="O685" t="s">
        <v>631</v>
      </c>
      <c r="P685" t="s">
        <v>820</v>
      </c>
      <c r="Q685" t="s">
        <v>465</v>
      </c>
      <c r="R685">
        <v>0</v>
      </c>
    </row>
    <row r="686" spans="1:18" x14ac:dyDescent="0.3">
      <c r="A686">
        <v>235998</v>
      </c>
      <c r="B686" t="s">
        <v>568</v>
      </c>
      <c r="C686" t="s">
        <v>1068</v>
      </c>
      <c r="E686" s="452">
        <v>46160</v>
      </c>
      <c r="F686" s="452">
        <v>46161</v>
      </c>
      <c r="G686" t="s">
        <v>280</v>
      </c>
      <c r="H686" t="s">
        <v>285</v>
      </c>
      <c r="I686" t="s">
        <v>1098</v>
      </c>
      <c r="J686">
        <v>-45.4</v>
      </c>
      <c r="K686">
        <v>-45.4</v>
      </c>
      <c r="O686" t="s">
        <v>631</v>
      </c>
      <c r="P686" t="s">
        <v>820</v>
      </c>
      <c r="Q686" t="s">
        <v>465</v>
      </c>
      <c r="R686">
        <v>0</v>
      </c>
    </row>
    <row r="687" spans="1:18" x14ac:dyDescent="0.3">
      <c r="A687">
        <v>229041</v>
      </c>
      <c r="B687" t="s">
        <v>568</v>
      </c>
      <c r="C687" t="s">
        <v>812</v>
      </c>
      <c r="D687" t="s">
        <v>1108</v>
      </c>
      <c r="E687" s="452">
        <v>46160</v>
      </c>
      <c r="F687" s="452">
        <v>46181</v>
      </c>
      <c r="G687" t="s">
        <v>813</v>
      </c>
      <c r="H687" t="s">
        <v>60</v>
      </c>
      <c r="I687" t="s">
        <v>1109</v>
      </c>
      <c r="J687">
        <v>-1400</v>
      </c>
      <c r="K687">
        <v>-1400</v>
      </c>
      <c r="O687" t="s">
        <v>631</v>
      </c>
      <c r="P687" t="s">
        <v>820</v>
      </c>
      <c r="Q687" t="s">
        <v>465</v>
      </c>
      <c r="R687">
        <v>0</v>
      </c>
    </row>
    <row r="688" spans="1:18" x14ac:dyDescent="0.3">
      <c r="A688">
        <v>233330</v>
      </c>
      <c r="B688" t="s">
        <v>568</v>
      </c>
      <c r="C688" t="s">
        <v>723</v>
      </c>
      <c r="E688" s="452">
        <v>46160</v>
      </c>
      <c r="F688" s="452">
        <v>46160</v>
      </c>
      <c r="G688" t="s">
        <v>724</v>
      </c>
      <c r="H688" t="s">
        <v>725</v>
      </c>
      <c r="J688">
        <v>-2</v>
      </c>
      <c r="K688">
        <v>-2</v>
      </c>
      <c r="O688" t="s">
        <v>631</v>
      </c>
      <c r="P688" t="s">
        <v>820</v>
      </c>
      <c r="Q688" t="s">
        <v>465</v>
      </c>
      <c r="R688">
        <v>0</v>
      </c>
    </row>
    <row r="689" spans="1:18" x14ac:dyDescent="0.3">
      <c r="A689">
        <v>235997</v>
      </c>
      <c r="B689" t="s">
        <v>568</v>
      </c>
      <c r="C689" t="s">
        <v>1068</v>
      </c>
      <c r="E689" s="452">
        <v>46158</v>
      </c>
      <c r="F689" s="452">
        <v>46159</v>
      </c>
      <c r="G689" t="s">
        <v>280</v>
      </c>
      <c r="H689" t="s">
        <v>285</v>
      </c>
      <c r="I689" t="s">
        <v>1098</v>
      </c>
      <c r="J689">
        <v>-194.06</v>
      </c>
      <c r="K689">
        <v>-194.06</v>
      </c>
      <c r="O689" t="s">
        <v>631</v>
      </c>
      <c r="P689" t="s">
        <v>820</v>
      </c>
      <c r="Q689" t="s">
        <v>465</v>
      </c>
      <c r="R689">
        <v>0</v>
      </c>
    </row>
    <row r="690" spans="1:18" x14ac:dyDescent="0.3">
      <c r="A690">
        <v>235996</v>
      </c>
      <c r="B690" t="s">
        <v>568</v>
      </c>
      <c r="C690" t="s">
        <v>1068</v>
      </c>
      <c r="E690" s="452">
        <v>46157</v>
      </c>
      <c r="F690" s="452">
        <v>46158</v>
      </c>
      <c r="G690" t="s">
        <v>280</v>
      </c>
      <c r="H690" t="s">
        <v>285</v>
      </c>
      <c r="I690" t="s">
        <v>1098</v>
      </c>
      <c r="J690">
        <v>-88.47</v>
      </c>
      <c r="K690">
        <v>-88.47</v>
      </c>
      <c r="O690" t="s">
        <v>631</v>
      </c>
      <c r="P690" t="s">
        <v>820</v>
      </c>
      <c r="Q690" t="s">
        <v>465</v>
      </c>
      <c r="R690">
        <v>0</v>
      </c>
    </row>
    <row r="691" spans="1:18" x14ac:dyDescent="0.3">
      <c r="A691">
        <v>232490</v>
      </c>
      <c r="B691" t="s">
        <v>568</v>
      </c>
      <c r="C691" t="s">
        <v>1105</v>
      </c>
      <c r="E691" s="452">
        <v>46157</v>
      </c>
      <c r="F691" s="452">
        <v>46157</v>
      </c>
      <c r="G691" t="s">
        <v>857</v>
      </c>
      <c r="H691" t="s">
        <v>118</v>
      </c>
      <c r="I691" t="s">
        <v>1110</v>
      </c>
      <c r="J691">
        <v>-500</v>
      </c>
      <c r="K691">
        <v>-500</v>
      </c>
      <c r="O691" t="s">
        <v>631</v>
      </c>
      <c r="P691" t="s">
        <v>820</v>
      </c>
      <c r="Q691" t="s">
        <v>465</v>
      </c>
      <c r="R691">
        <v>0</v>
      </c>
    </row>
    <row r="692" spans="1:18" x14ac:dyDescent="0.3">
      <c r="A692">
        <v>192874</v>
      </c>
      <c r="B692" t="s">
        <v>568</v>
      </c>
      <c r="C692" t="s">
        <v>692</v>
      </c>
      <c r="D692" t="s">
        <v>1111</v>
      </c>
      <c r="E692" s="452">
        <v>46157</v>
      </c>
      <c r="F692" s="452">
        <v>46167</v>
      </c>
      <c r="G692" t="s">
        <v>309</v>
      </c>
      <c r="H692" t="s">
        <v>317</v>
      </c>
      <c r="I692" t="s">
        <v>1112</v>
      </c>
      <c r="J692">
        <v>-950</v>
      </c>
      <c r="K692">
        <v>-950</v>
      </c>
      <c r="O692" t="s">
        <v>631</v>
      </c>
      <c r="P692" t="s">
        <v>820</v>
      </c>
      <c r="Q692" t="s">
        <v>465</v>
      </c>
      <c r="R692">
        <v>0</v>
      </c>
    </row>
    <row r="693" spans="1:18" x14ac:dyDescent="0.3">
      <c r="A693">
        <v>192141</v>
      </c>
      <c r="B693" t="s">
        <v>568</v>
      </c>
      <c r="C693" t="s">
        <v>711</v>
      </c>
      <c r="D693" t="s">
        <v>1113</v>
      </c>
      <c r="E693" s="452">
        <v>46157</v>
      </c>
      <c r="F693" s="452">
        <v>46185</v>
      </c>
      <c r="G693" t="s">
        <v>280</v>
      </c>
      <c r="H693" t="s">
        <v>286</v>
      </c>
      <c r="I693" t="s">
        <v>1114</v>
      </c>
      <c r="J693">
        <v>-389</v>
      </c>
      <c r="K693">
        <v>-389</v>
      </c>
      <c r="O693" t="s">
        <v>631</v>
      </c>
      <c r="P693" t="s">
        <v>820</v>
      </c>
      <c r="Q693" t="s">
        <v>465</v>
      </c>
      <c r="R693">
        <v>0</v>
      </c>
    </row>
    <row r="694" spans="1:18" x14ac:dyDescent="0.3">
      <c r="A694">
        <v>192929</v>
      </c>
      <c r="B694" t="s">
        <v>568</v>
      </c>
      <c r="C694" t="s">
        <v>671</v>
      </c>
      <c r="D694" t="s">
        <v>1115</v>
      </c>
      <c r="E694" s="452">
        <v>46157</v>
      </c>
      <c r="F694" s="452">
        <v>46157</v>
      </c>
      <c r="G694" t="s">
        <v>672</v>
      </c>
      <c r="H694" t="s">
        <v>240</v>
      </c>
      <c r="I694" t="s">
        <v>1116</v>
      </c>
      <c r="J694">
        <v>-300</v>
      </c>
      <c r="K694">
        <v>-300</v>
      </c>
      <c r="O694" t="s">
        <v>631</v>
      </c>
      <c r="P694" t="s">
        <v>820</v>
      </c>
      <c r="Q694" t="s">
        <v>465</v>
      </c>
      <c r="R694">
        <v>0</v>
      </c>
    </row>
    <row r="695" spans="1:18" x14ac:dyDescent="0.3">
      <c r="A695">
        <v>235995</v>
      </c>
      <c r="B695" t="s">
        <v>568</v>
      </c>
      <c r="C695" t="s">
        <v>1068</v>
      </c>
      <c r="E695" s="452">
        <v>46156</v>
      </c>
      <c r="F695" s="452">
        <v>46157</v>
      </c>
      <c r="G695" t="s">
        <v>280</v>
      </c>
      <c r="H695" t="s">
        <v>285</v>
      </c>
      <c r="I695" t="s">
        <v>1098</v>
      </c>
      <c r="J695">
        <v>-87.38</v>
      </c>
      <c r="K695">
        <v>-87.38</v>
      </c>
      <c r="O695" t="s">
        <v>631</v>
      </c>
      <c r="P695" t="s">
        <v>820</v>
      </c>
      <c r="Q695" t="s">
        <v>465</v>
      </c>
      <c r="R695">
        <v>0</v>
      </c>
    </row>
    <row r="696" spans="1:18" x14ac:dyDescent="0.3">
      <c r="A696">
        <v>235994</v>
      </c>
      <c r="B696" t="s">
        <v>568</v>
      </c>
      <c r="C696" t="s">
        <v>1068</v>
      </c>
      <c r="E696" s="452">
        <v>46155</v>
      </c>
      <c r="F696" s="452">
        <v>46156</v>
      </c>
      <c r="G696" t="s">
        <v>280</v>
      </c>
      <c r="H696" t="s">
        <v>285</v>
      </c>
      <c r="I696" t="s">
        <v>1098</v>
      </c>
      <c r="J696">
        <v>-105.3</v>
      </c>
      <c r="K696">
        <v>-105.3</v>
      </c>
      <c r="O696" t="s">
        <v>631</v>
      </c>
      <c r="P696" t="s">
        <v>820</v>
      </c>
      <c r="Q696" t="s">
        <v>465</v>
      </c>
      <c r="R696">
        <v>0</v>
      </c>
    </row>
    <row r="697" spans="1:18" x14ac:dyDescent="0.3">
      <c r="A697">
        <v>235993</v>
      </c>
      <c r="B697" t="s">
        <v>568</v>
      </c>
      <c r="C697" t="s">
        <v>1068</v>
      </c>
      <c r="E697" s="452">
        <v>46154</v>
      </c>
      <c r="F697" s="452">
        <v>46155</v>
      </c>
      <c r="G697" t="s">
        <v>280</v>
      </c>
      <c r="H697" t="s">
        <v>285</v>
      </c>
      <c r="I697" t="s">
        <v>1098</v>
      </c>
      <c r="J697">
        <v>-78.150000000000006</v>
      </c>
      <c r="K697">
        <v>-78.150000000000006</v>
      </c>
      <c r="O697" t="s">
        <v>631</v>
      </c>
      <c r="P697" t="s">
        <v>820</v>
      </c>
      <c r="Q697" t="s">
        <v>465</v>
      </c>
      <c r="R697">
        <v>0</v>
      </c>
    </row>
    <row r="698" spans="1:18" x14ac:dyDescent="0.3">
      <c r="A698">
        <v>231000</v>
      </c>
      <c r="B698" t="s">
        <v>568</v>
      </c>
      <c r="C698" t="s">
        <v>908</v>
      </c>
      <c r="D698" t="s">
        <v>1117</v>
      </c>
      <c r="E698" s="452">
        <v>46154</v>
      </c>
      <c r="F698" s="452">
        <v>46157</v>
      </c>
      <c r="G698" t="s">
        <v>297</v>
      </c>
      <c r="H698" t="s">
        <v>308</v>
      </c>
      <c r="I698" t="s">
        <v>1118</v>
      </c>
      <c r="J698">
        <v>-378.55</v>
      </c>
      <c r="K698">
        <v>0</v>
      </c>
      <c r="O698" t="s">
        <v>631</v>
      </c>
      <c r="P698" t="s">
        <v>832</v>
      </c>
      <c r="Q698" t="s">
        <v>465</v>
      </c>
      <c r="R698">
        <v>0</v>
      </c>
    </row>
    <row r="699" spans="1:18" x14ac:dyDescent="0.3">
      <c r="A699">
        <v>231027</v>
      </c>
      <c r="B699" t="s">
        <v>568</v>
      </c>
      <c r="C699" t="s">
        <v>908</v>
      </c>
      <c r="D699" t="s">
        <v>1119</v>
      </c>
      <c r="E699" s="452">
        <v>46154</v>
      </c>
      <c r="F699" s="452">
        <v>46157</v>
      </c>
      <c r="G699" t="s">
        <v>297</v>
      </c>
      <c r="H699" t="s">
        <v>308</v>
      </c>
      <c r="I699" t="s">
        <v>1118</v>
      </c>
      <c r="J699">
        <v>-89.74</v>
      </c>
      <c r="K699">
        <v>0</v>
      </c>
      <c r="O699" t="s">
        <v>631</v>
      </c>
      <c r="P699" t="s">
        <v>832</v>
      </c>
      <c r="Q699" t="s">
        <v>465</v>
      </c>
      <c r="R699">
        <v>0</v>
      </c>
    </row>
    <row r="700" spans="1:18" x14ac:dyDescent="0.3">
      <c r="A700">
        <v>231052</v>
      </c>
      <c r="B700" t="s">
        <v>568</v>
      </c>
      <c r="C700" t="s">
        <v>708</v>
      </c>
      <c r="D700" t="s">
        <v>819</v>
      </c>
      <c r="E700" s="452">
        <v>46154</v>
      </c>
      <c r="F700" s="452">
        <v>46167</v>
      </c>
      <c r="G700" t="s">
        <v>280</v>
      </c>
      <c r="H700" t="s">
        <v>281</v>
      </c>
      <c r="I700" t="s">
        <v>1120</v>
      </c>
      <c r="J700">
        <v>-159.96</v>
      </c>
      <c r="K700">
        <v>0</v>
      </c>
      <c r="O700" t="s">
        <v>631</v>
      </c>
      <c r="P700" t="s">
        <v>820</v>
      </c>
      <c r="Q700" t="s">
        <v>465</v>
      </c>
      <c r="R700">
        <v>0</v>
      </c>
    </row>
    <row r="701" spans="1:18" x14ac:dyDescent="0.3">
      <c r="A701">
        <v>191897</v>
      </c>
      <c r="B701" t="s">
        <v>568</v>
      </c>
      <c r="C701" t="s">
        <v>713</v>
      </c>
      <c r="D701" t="s">
        <v>1121</v>
      </c>
      <c r="E701" s="452">
        <v>46154</v>
      </c>
      <c r="F701" s="452">
        <v>46167</v>
      </c>
      <c r="G701" t="s">
        <v>265</v>
      </c>
      <c r="H701" t="s">
        <v>267</v>
      </c>
      <c r="I701" t="s">
        <v>1122</v>
      </c>
      <c r="J701">
        <v>-1965.45</v>
      </c>
      <c r="K701">
        <v>-1965.45</v>
      </c>
      <c r="O701" t="s">
        <v>631</v>
      </c>
      <c r="P701" t="s">
        <v>820</v>
      </c>
      <c r="Q701" t="s">
        <v>465</v>
      </c>
      <c r="R701">
        <v>0</v>
      </c>
    </row>
    <row r="702" spans="1:18" x14ac:dyDescent="0.3">
      <c r="A702">
        <v>235992</v>
      </c>
      <c r="B702" t="s">
        <v>568</v>
      </c>
      <c r="C702" t="s">
        <v>1068</v>
      </c>
      <c r="E702" s="452">
        <v>46153</v>
      </c>
      <c r="F702" s="452">
        <v>46154</v>
      </c>
      <c r="G702" t="s">
        <v>280</v>
      </c>
      <c r="H702" t="s">
        <v>285</v>
      </c>
      <c r="I702" t="s">
        <v>1098</v>
      </c>
      <c r="J702">
        <v>-37.96</v>
      </c>
      <c r="K702">
        <v>-37.96</v>
      </c>
      <c r="O702" t="s">
        <v>631</v>
      </c>
      <c r="P702" t="s">
        <v>820</v>
      </c>
      <c r="Q702" t="s">
        <v>465</v>
      </c>
      <c r="R702">
        <v>0</v>
      </c>
    </row>
    <row r="703" spans="1:18" x14ac:dyDescent="0.3">
      <c r="A703">
        <v>229040</v>
      </c>
      <c r="B703" t="s">
        <v>568</v>
      </c>
      <c r="C703" t="s">
        <v>812</v>
      </c>
      <c r="D703" t="s">
        <v>1123</v>
      </c>
      <c r="E703" s="452">
        <v>46153</v>
      </c>
      <c r="F703" s="452">
        <v>46174</v>
      </c>
      <c r="G703" t="s">
        <v>813</v>
      </c>
      <c r="H703" t="s">
        <v>60</v>
      </c>
      <c r="I703" t="s">
        <v>1124</v>
      </c>
      <c r="J703">
        <v>-1400</v>
      </c>
      <c r="K703">
        <v>-1400</v>
      </c>
      <c r="O703" t="s">
        <v>631</v>
      </c>
      <c r="P703" t="s">
        <v>820</v>
      </c>
      <c r="Q703" t="s">
        <v>465</v>
      </c>
      <c r="R703">
        <v>0</v>
      </c>
    </row>
    <row r="704" spans="1:18" x14ac:dyDescent="0.3">
      <c r="A704">
        <v>231786</v>
      </c>
      <c r="B704" t="s">
        <v>568</v>
      </c>
      <c r="C704" t="s">
        <v>910</v>
      </c>
      <c r="E704" s="452">
        <v>46153</v>
      </c>
      <c r="F704" s="452">
        <v>46153</v>
      </c>
      <c r="G704" t="s">
        <v>724</v>
      </c>
      <c r="H704" t="s">
        <v>725</v>
      </c>
      <c r="J704">
        <v>-155</v>
      </c>
      <c r="K704">
        <v>-155</v>
      </c>
      <c r="O704" t="s">
        <v>631</v>
      </c>
      <c r="P704" t="s">
        <v>820</v>
      </c>
      <c r="Q704" t="s">
        <v>465</v>
      </c>
      <c r="R704">
        <v>0</v>
      </c>
    </row>
    <row r="705" spans="1:18" x14ac:dyDescent="0.3">
      <c r="A705">
        <v>231711</v>
      </c>
      <c r="B705" t="s">
        <v>568</v>
      </c>
      <c r="C705" t="s">
        <v>723</v>
      </c>
      <c r="E705" s="452">
        <v>46153</v>
      </c>
      <c r="F705" s="452">
        <v>46153</v>
      </c>
      <c r="G705" t="s">
        <v>724</v>
      </c>
      <c r="H705" t="s">
        <v>725</v>
      </c>
      <c r="J705">
        <v>-2</v>
      </c>
      <c r="K705">
        <v>-2</v>
      </c>
      <c r="O705" t="s">
        <v>631</v>
      </c>
      <c r="P705" t="s">
        <v>820</v>
      </c>
      <c r="Q705" t="s">
        <v>465</v>
      </c>
      <c r="R705">
        <v>0</v>
      </c>
    </row>
    <row r="706" spans="1:18" x14ac:dyDescent="0.3">
      <c r="A706">
        <v>226132</v>
      </c>
      <c r="B706" t="s">
        <v>568</v>
      </c>
      <c r="C706" t="s">
        <v>789</v>
      </c>
      <c r="D706" t="s">
        <v>1125</v>
      </c>
      <c r="E706" s="452">
        <v>46153</v>
      </c>
      <c r="F706" s="452">
        <v>46163</v>
      </c>
      <c r="G706" t="s">
        <v>790</v>
      </c>
      <c r="H706" t="s">
        <v>204</v>
      </c>
      <c r="I706" t="s">
        <v>1126</v>
      </c>
      <c r="J706">
        <v>-5214</v>
      </c>
      <c r="K706">
        <v>-5214</v>
      </c>
      <c r="O706" t="s">
        <v>631</v>
      </c>
      <c r="P706" t="s">
        <v>820</v>
      </c>
      <c r="Q706" t="s">
        <v>465</v>
      </c>
      <c r="R706">
        <v>0</v>
      </c>
    </row>
    <row r="707" spans="1:18" x14ac:dyDescent="0.3">
      <c r="A707">
        <v>192810</v>
      </c>
      <c r="B707" t="s">
        <v>568</v>
      </c>
      <c r="C707" t="s">
        <v>715</v>
      </c>
      <c r="D707" t="s">
        <v>1127</v>
      </c>
      <c r="E707" s="452">
        <v>46152</v>
      </c>
      <c r="F707" s="452">
        <v>46183</v>
      </c>
      <c r="G707" t="s">
        <v>319</v>
      </c>
      <c r="H707" t="s">
        <v>320</v>
      </c>
      <c r="I707" t="s">
        <v>1128</v>
      </c>
      <c r="J707">
        <v>-296.45999999999998</v>
      </c>
      <c r="K707">
        <v>-296.45999999999998</v>
      </c>
      <c r="O707" t="s">
        <v>631</v>
      </c>
      <c r="P707" t="s">
        <v>820</v>
      </c>
      <c r="Q707" t="s">
        <v>465</v>
      </c>
      <c r="R707">
        <v>0</v>
      </c>
    </row>
    <row r="708" spans="1:18" x14ac:dyDescent="0.3">
      <c r="A708">
        <v>235991</v>
      </c>
      <c r="B708" t="s">
        <v>568</v>
      </c>
      <c r="C708" t="s">
        <v>1068</v>
      </c>
      <c r="E708" s="452">
        <v>46151</v>
      </c>
      <c r="F708" s="452">
        <v>46152</v>
      </c>
      <c r="G708" t="s">
        <v>280</v>
      </c>
      <c r="H708" t="s">
        <v>285</v>
      </c>
      <c r="I708" t="s">
        <v>1098</v>
      </c>
      <c r="J708">
        <v>-173.43</v>
      </c>
      <c r="K708">
        <v>-173.43</v>
      </c>
      <c r="O708" t="s">
        <v>631</v>
      </c>
      <c r="P708" t="s">
        <v>820</v>
      </c>
      <c r="Q708" t="s">
        <v>465</v>
      </c>
      <c r="R708">
        <v>0</v>
      </c>
    </row>
    <row r="709" spans="1:18" x14ac:dyDescent="0.3">
      <c r="A709">
        <v>235990</v>
      </c>
      <c r="B709" t="s">
        <v>568</v>
      </c>
      <c r="C709" t="s">
        <v>1068</v>
      </c>
      <c r="E709" s="452">
        <v>46150</v>
      </c>
      <c r="F709" s="452">
        <v>46151</v>
      </c>
      <c r="G709" t="s">
        <v>280</v>
      </c>
      <c r="H709" t="s">
        <v>285</v>
      </c>
      <c r="I709" t="s">
        <v>1098</v>
      </c>
      <c r="J709">
        <v>-2.0099999999999998</v>
      </c>
      <c r="K709">
        <v>-2.0099999999999998</v>
      </c>
      <c r="O709" t="s">
        <v>631</v>
      </c>
      <c r="P709" t="s">
        <v>820</v>
      </c>
      <c r="Q709" t="s">
        <v>465</v>
      </c>
      <c r="R709">
        <v>0</v>
      </c>
    </row>
    <row r="710" spans="1:18" x14ac:dyDescent="0.3">
      <c r="A710">
        <v>235989</v>
      </c>
      <c r="B710" t="s">
        <v>568</v>
      </c>
      <c r="C710" t="s">
        <v>1068</v>
      </c>
      <c r="E710" s="452">
        <v>46150</v>
      </c>
      <c r="F710" s="452">
        <v>46151</v>
      </c>
      <c r="G710" t="s">
        <v>280</v>
      </c>
      <c r="H710" t="s">
        <v>285</v>
      </c>
      <c r="I710" t="s">
        <v>1098</v>
      </c>
      <c r="J710">
        <v>-131.18</v>
      </c>
      <c r="K710">
        <v>-131.18</v>
      </c>
      <c r="O710" t="s">
        <v>631</v>
      </c>
      <c r="P710" t="s">
        <v>820</v>
      </c>
      <c r="Q710" t="s">
        <v>465</v>
      </c>
      <c r="R710">
        <v>0</v>
      </c>
    </row>
    <row r="711" spans="1:18" x14ac:dyDescent="0.3">
      <c r="A711">
        <v>234859</v>
      </c>
      <c r="B711" t="s">
        <v>568</v>
      </c>
      <c r="C711" t="s">
        <v>1129</v>
      </c>
      <c r="D711" t="s">
        <v>1130</v>
      </c>
      <c r="E711" s="452">
        <v>46150</v>
      </c>
      <c r="F711" s="452">
        <v>46178</v>
      </c>
      <c r="G711" t="s">
        <v>801</v>
      </c>
      <c r="H711" t="s">
        <v>358</v>
      </c>
      <c r="I711" t="s">
        <v>1131</v>
      </c>
      <c r="J711">
        <v>-1863</v>
      </c>
      <c r="K711">
        <v>-1863</v>
      </c>
      <c r="O711" t="s">
        <v>631</v>
      </c>
      <c r="P711" t="s">
        <v>1004</v>
      </c>
      <c r="Q711" t="s">
        <v>465</v>
      </c>
      <c r="R711">
        <v>0</v>
      </c>
    </row>
    <row r="712" spans="1:18" x14ac:dyDescent="0.3">
      <c r="A712">
        <v>223194</v>
      </c>
      <c r="B712" t="s">
        <v>568</v>
      </c>
      <c r="C712" t="s">
        <v>654</v>
      </c>
      <c r="D712" t="s">
        <v>1132</v>
      </c>
      <c r="E712" s="452">
        <v>46150</v>
      </c>
      <c r="F712" s="452">
        <v>46171</v>
      </c>
      <c r="G712" t="s">
        <v>613</v>
      </c>
      <c r="H712" t="s">
        <v>369</v>
      </c>
      <c r="I712" t="s">
        <v>1133</v>
      </c>
      <c r="J712">
        <v>-13799.56</v>
      </c>
      <c r="K712">
        <v>-13799.56</v>
      </c>
      <c r="O712" t="s">
        <v>631</v>
      </c>
      <c r="P712" t="s">
        <v>820</v>
      </c>
      <c r="Q712" t="s">
        <v>465</v>
      </c>
      <c r="R712">
        <v>0</v>
      </c>
    </row>
    <row r="713" spans="1:18" x14ac:dyDescent="0.3">
      <c r="A713">
        <v>191909</v>
      </c>
      <c r="B713" t="s">
        <v>568</v>
      </c>
      <c r="C713" t="s">
        <v>713</v>
      </c>
      <c r="D713" t="s">
        <v>1134</v>
      </c>
      <c r="E713" s="452">
        <v>46150</v>
      </c>
      <c r="F713" s="452">
        <v>46167</v>
      </c>
      <c r="G713" t="s">
        <v>265</v>
      </c>
      <c r="H713" t="s">
        <v>267</v>
      </c>
      <c r="I713" t="s">
        <v>1135</v>
      </c>
      <c r="J713">
        <v>-2380.14</v>
      </c>
      <c r="K713">
        <v>-2380.14</v>
      </c>
      <c r="O713" t="s">
        <v>631</v>
      </c>
      <c r="P713" t="s">
        <v>820</v>
      </c>
      <c r="Q713" t="s">
        <v>465</v>
      </c>
      <c r="R713">
        <v>0</v>
      </c>
    </row>
    <row r="714" spans="1:18" x14ac:dyDescent="0.3">
      <c r="A714">
        <v>192915</v>
      </c>
      <c r="B714" t="s">
        <v>568</v>
      </c>
      <c r="C714" t="s">
        <v>671</v>
      </c>
      <c r="D714" t="s">
        <v>1136</v>
      </c>
      <c r="E714" s="452">
        <v>46150</v>
      </c>
      <c r="F714" s="452">
        <v>46150</v>
      </c>
      <c r="G714" t="s">
        <v>672</v>
      </c>
      <c r="H714" t="s">
        <v>240</v>
      </c>
      <c r="I714" t="s">
        <v>1137</v>
      </c>
      <c r="J714">
        <v>-300</v>
      </c>
      <c r="K714">
        <v>-300</v>
      </c>
      <c r="O714" t="s">
        <v>631</v>
      </c>
      <c r="P714" t="s">
        <v>820</v>
      </c>
      <c r="Q714" t="s">
        <v>465</v>
      </c>
      <c r="R714">
        <v>0</v>
      </c>
    </row>
    <row r="715" spans="1:18" x14ac:dyDescent="0.3">
      <c r="A715">
        <v>235988</v>
      </c>
      <c r="B715" t="s">
        <v>568</v>
      </c>
      <c r="C715" t="s">
        <v>1068</v>
      </c>
      <c r="E715" s="452">
        <v>46149</v>
      </c>
      <c r="F715" s="452">
        <v>46150</v>
      </c>
      <c r="G715" t="s">
        <v>280</v>
      </c>
      <c r="H715" t="s">
        <v>285</v>
      </c>
      <c r="I715" t="s">
        <v>1098</v>
      </c>
      <c r="J715">
        <v>-89.05</v>
      </c>
      <c r="K715">
        <v>-89.05</v>
      </c>
      <c r="O715" t="s">
        <v>631</v>
      </c>
      <c r="P715" t="s">
        <v>820</v>
      </c>
      <c r="Q715" t="s">
        <v>465</v>
      </c>
      <c r="R715">
        <v>0</v>
      </c>
    </row>
    <row r="716" spans="1:18" x14ac:dyDescent="0.3">
      <c r="A716">
        <v>235987</v>
      </c>
      <c r="B716" t="s">
        <v>568</v>
      </c>
      <c r="C716" t="s">
        <v>1068</v>
      </c>
      <c r="E716" s="452">
        <v>46148</v>
      </c>
      <c r="F716" s="452">
        <v>46149</v>
      </c>
      <c r="G716" t="s">
        <v>280</v>
      </c>
      <c r="H716" t="s">
        <v>285</v>
      </c>
      <c r="I716" t="s">
        <v>1098</v>
      </c>
      <c r="J716">
        <v>-86.32</v>
      </c>
      <c r="K716">
        <v>-86.32</v>
      </c>
      <c r="O716" t="s">
        <v>631</v>
      </c>
      <c r="P716" t="s">
        <v>820</v>
      </c>
      <c r="Q716" t="s">
        <v>465</v>
      </c>
      <c r="R716">
        <v>0</v>
      </c>
    </row>
    <row r="717" spans="1:18" x14ac:dyDescent="0.3">
      <c r="A717">
        <v>235986</v>
      </c>
      <c r="B717" t="s">
        <v>568</v>
      </c>
      <c r="C717" t="s">
        <v>1068</v>
      </c>
      <c r="E717" s="452">
        <v>46147</v>
      </c>
      <c r="F717" s="452">
        <v>46148</v>
      </c>
      <c r="G717" t="s">
        <v>280</v>
      </c>
      <c r="H717" t="s">
        <v>285</v>
      </c>
      <c r="I717" t="s">
        <v>1098</v>
      </c>
      <c r="J717">
        <v>-100.09</v>
      </c>
      <c r="K717">
        <v>-100.09</v>
      </c>
      <c r="O717" t="s">
        <v>631</v>
      </c>
      <c r="P717" t="s">
        <v>820</v>
      </c>
      <c r="Q717" t="s">
        <v>465</v>
      </c>
      <c r="R717">
        <v>0</v>
      </c>
    </row>
    <row r="718" spans="1:18" x14ac:dyDescent="0.3">
      <c r="A718">
        <v>235985</v>
      </c>
      <c r="B718" t="s">
        <v>568</v>
      </c>
      <c r="C718" t="s">
        <v>1068</v>
      </c>
      <c r="E718" s="452">
        <v>46146</v>
      </c>
      <c r="F718" s="452">
        <v>46147</v>
      </c>
      <c r="G718" t="s">
        <v>280</v>
      </c>
      <c r="H718" t="s">
        <v>285</v>
      </c>
      <c r="I718" t="s">
        <v>1098</v>
      </c>
      <c r="J718">
        <v>-42.59</v>
      </c>
      <c r="K718">
        <v>-42.59</v>
      </c>
      <c r="O718" t="s">
        <v>631</v>
      </c>
      <c r="P718" t="s">
        <v>820</v>
      </c>
      <c r="Q718" t="s">
        <v>465</v>
      </c>
      <c r="R718">
        <v>0</v>
      </c>
    </row>
    <row r="719" spans="1:18" x14ac:dyDescent="0.3">
      <c r="A719">
        <v>218052</v>
      </c>
      <c r="B719" t="s">
        <v>568</v>
      </c>
      <c r="C719" t="s">
        <v>812</v>
      </c>
      <c r="D719" t="s">
        <v>1138</v>
      </c>
      <c r="E719" s="452">
        <v>46146</v>
      </c>
      <c r="F719" s="452">
        <v>46167</v>
      </c>
      <c r="G719" t="s">
        <v>813</v>
      </c>
      <c r="H719" t="s">
        <v>60</v>
      </c>
      <c r="I719" t="s">
        <v>1139</v>
      </c>
      <c r="J719">
        <v>-2800</v>
      </c>
      <c r="K719">
        <v>-2800</v>
      </c>
      <c r="O719" t="s">
        <v>631</v>
      </c>
      <c r="P719" t="s">
        <v>820</v>
      </c>
      <c r="Q719" t="s">
        <v>465</v>
      </c>
      <c r="R719">
        <v>0</v>
      </c>
    </row>
    <row r="720" spans="1:18" x14ac:dyDescent="0.3">
      <c r="A720">
        <v>235983</v>
      </c>
      <c r="B720" t="s">
        <v>568</v>
      </c>
      <c r="C720" t="s">
        <v>1068</v>
      </c>
      <c r="E720" s="452">
        <v>46144</v>
      </c>
      <c r="F720" s="452">
        <v>46145</v>
      </c>
      <c r="G720" t="s">
        <v>280</v>
      </c>
      <c r="H720" t="s">
        <v>285</v>
      </c>
      <c r="I720" t="s">
        <v>1098</v>
      </c>
      <c r="J720">
        <v>-213.29</v>
      </c>
      <c r="K720">
        <v>-213.29</v>
      </c>
      <c r="O720" t="s">
        <v>631</v>
      </c>
      <c r="P720" t="s">
        <v>820</v>
      </c>
      <c r="Q720" t="s">
        <v>465</v>
      </c>
      <c r="R720">
        <v>0</v>
      </c>
    </row>
    <row r="721" spans="1:18" x14ac:dyDescent="0.3">
      <c r="A721">
        <v>235984</v>
      </c>
      <c r="B721" t="s">
        <v>568</v>
      </c>
      <c r="C721" t="s">
        <v>1068</v>
      </c>
      <c r="E721" s="452">
        <v>46144</v>
      </c>
      <c r="F721" s="452">
        <v>46145</v>
      </c>
      <c r="G721" t="s">
        <v>280</v>
      </c>
      <c r="H721" t="s">
        <v>285</v>
      </c>
      <c r="I721" t="s">
        <v>1098</v>
      </c>
      <c r="J721">
        <v>-1.87</v>
      </c>
      <c r="K721">
        <v>-1.87</v>
      </c>
      <c r="O721" t="s">
        <v>631</v>
      </c>
      <c r="P721" t="s">
        <v>820</v>
      </c>
      <c r="Q721" t="s">
        <v>465</v>
      </c>
      <c r="R721">
        <v>0</v>
      </c>
    </row>
    <row r="722" spans="1:18" x14ac:dyDescent="0.3">
      <c r="A722">
        <v>234539</v>
      </c>
      <c r="B722" t="s">
        <v>568</v>
      </c>
      <c r="C722" t="s">
        <v>853</v>
      </c>
      <c r="D722" t="s">
        <v>1140</v>
      </c>
      <c r="E722" s="452">
        <v>46143</v>
      </c>
      <c r="F722" s="452">
        <v>46178</v>
      </c>
      <c r="G722" t="s">
        <v>931</v>
      </c>
      <c r="H722" t="s">
        <v>932</v>
      </c>
      <c r="I722" t="s">
        <v>1141</v>
      </c>
      <c r="J722">
        <v>-58.18</v>
      </c>
      <c r="K722">
        <v>-58.18</v>
      </c>
      <c r="O722" t="s">
        <v>631</v>
      </c>
      <c r="P722" t="s">
        <v>820</v>
      </c>
      <c r="Q722" t="s">
        <v>465</v>
      </c>
      <c r="R722">
        <v>0</v>
      </c>
    </row>
    <row r="723" spans="1:18" x14ac:dyDescent="0.3">
      <c r="A723">
        <v>234530</v>
      </c>
      <c r="B723" t="s">
        <v>568</v>
      </c>
      <c r="C723" t="s">
        <v>853</v>
      </c>
      <c r="D723" t="s">
        <v>1142</v>
      </c>
      <c r="E723" s="452">
        <v>46143</v>
      </c>
      <c r="F723" s="452">
        <v>46178</v>
      </c>
      <c r="G723" t="s">
        <v>265</v>
      </c>
      <c r="H723" t="s">
        <v>269</v>
      </c>
      <c r="I723" t="s">
        <v>1143</v>
      </c>
      <c r="J723">
        <v>-62</v>
      </c>
      <c r="K723">
        <v>-62</v>
      </c>
      <c r="O723" t="s">
        <v>631</v>
      </c>
      <c r="P723" t="s">
        <v>820</v>
      </c>
      <c r="Q723" t="s">
        <v>465</v>
      </c>
      <c r="R723">
        <v>0</v>
      </c>
    </row>
    <row r="724" spans="1:18" x14ac:dyDescent="0.3">
      <c r="A724">
        <v>234532</v>
      </c>
      <c r="B724" t="s">
        <v>568</v>
      </c>
      <c r="C724" t="s">
        <v>853</v>
      </c>
      <c r="D724" t="s">
        <v>1144</v>
      </c>
      <c r="E724" s="452">
        <v>46143</v>
      </c>
      <c r="F724" s="452">
        <v>46178</v>
      </c>
      <c r="G724" t="s">
        <v>265</v>
      </c>
      <c r="H724" t="s">
        <v>273</v>
      </c>
      <c r="I724" t="s">
        <v>1145</v>
      </c>
      <c r="J724">
        <v>-4</v>
      </c>
      <c r="K724">
        <v>-4</v>
      </c>
      <c r="O724" t="s">
        <v>631</v>
      </c>
      <c r="P724" t="s">
        <v>820</v>
      </c>
      <c r="Q724" t="s">
        <v>465</v>
      </c>
      <c r="R724">
        <v>0</v>
      </c>
    </row>
    <row r="725" spans="1:18" x14ac:dyDescent="0.3">
      <c r="A725">
        <v>234533</v>
      </c>
      <c r="B725" t="s">
        <v>568</v>
      </c>
      <c r="C725" t="s">
        <v>853</v>
      </c>
      <c r="D725" t="s">
        <v>1146</v>
      </c>
      <c r="E725" s="452">
        <v>46143</v>
      </c>
      <c r="F725" s="452">
        <v>46178</v>
      </c>
      <c r="G725" t="s">
        <v>683</v>
      </c>
      <c r="H725" t="s">
        <v>292</v>
      </c>
      <c r="I725" t="s">
        <v>1147</v>
      </c>
      <c r="J725">
        <v>-30</v>
      </c>
      <c r="K725">
        <v>-30</v>
      </c>
      <c r="O725" t="s">
        <v>631</v>
      </c>
      <c r="P725" t="s">
        <v>820</v>
      </c>
      <c r="Q725" t="s">
        <v>465</v>
      </c>
      <c r="R725">
        <v>0</v>
      </c>
    </row>
    <row r="726" spans="1:18" x14ac:dyDescent="0.3">
      <c r="A726">
        <v>236799</v>
      </c>
      <c r="B726" t="s">
        <v>568</v>
      </c>
      <c r="C726" t="s">
        <v>853</v>
      </c>
      <c r="D726" t="s">
        <v>1148</v>
      </c>
      <c r="E726" s="452">
        <v>46143</v>
      </c>
      <c r="F726" s="452">
        <v>46178</v>
      </c>
      <c r="G726" t="s">
        <v>931</v>
      </c>
      <c r="H726" t="s">
        <v>932</v>
      </c>
      <c r="I726" t="s">
        <v>1149</v>
      </c>
      <c r="J726">
        <v>-14.15</v>
      </c>
      <c r="K726">
        <v>-14.15</v>
      </c>
      <c r="O726" t="s">
        <v>631</v>
      </c>
      <c r="P726" t="s">
        <v>820</v>
      </c>
      <c r="Q726" t="s">
        <v>465</v>
      </c>
      <c r="R726">
        <v>0</v>
      </c>
    </row>
    <row r="727" spans="1:18" x14ac:dyDescent="0.3">
      <c r="A727">
        <v>234534</v>
      </c>
      <c r="B727" t="s">
        <v>568</v>
      </c>
      <c r="C727" t="s">
        <v>853</v>
      </c>
      <c r="D727" t="s">
        <v>1150</v>
      </c>
      <c r="E727" s="452">
        <v>46143</v>
      </c>
      <c r="F727" s="452">
        <v>46178</v>
      </c>
      <c r="G727" t="s">
        <v>931</v>
      </c>
      <c r="H727" t="s">
        <v>932</v>
      </c>
      <c r="I727" t="s">
        <v>1151</v>
      </c>
      <c r="J727">
        <v>-36.130000000000003</v>
      </c>
      <c r="K727">
        <v>-36.130000000000003</v>
      </c>
      <c r="O727" t="s">
        <v>631</v>
      </c>
      <c r="P727" t="s">
        <v>820</v>
      </c>
      <c r="Q727" t="s">
        <v>465</v>
      </c>
      <c r="R727">
        <v>0</v>
      </c>
    </row>
    <row r="728" spans="1:18" x14ac:dyDescent="0.3">
      <c r="A728">
        <v>234535</v>
      </c>
      <c r="B728" t="s">
        <v>568</v>
      </c>
      <c r="C728" t="s">
        <v>853</v>
      </c>
      <c r="D728" t="s">
        <v>1152</v>
      </c>
      <c r="E728" s="452">
        <v>46143</v>
      </c>
      <c r="F728" s="452">
        <v>46178</v>
      </c>
      <c r="G728" t="s">
        <v>931</v>
      </c>
      <c r="H728" t="s">
        <v>932</v>
      </c>
      <c r="I728" t="s">
        <v>1153</v>
      </c>
      <c r="J728">
        <v>-60.03</v>
      </c>
      <c r="K728">
        <v>-60.03</v>
      </c>
      <c r="O728" t="s">
        <v>631</v>
      </c>
      <c r="P728" t="s">
        <v>820</v>
      </c>
      <c r="Q728" t="s">
        <v>465</v>
      </c>
      <c r="R728">
        <v>0</v>
      </c>
    </row>
    <row r="729" spans="1:18" x14ac:dyDescent="0.3">
      <c r="A729">
        <v>234536</v>
      </c>
      <c r="B729" t="s">
        <v>568</v>
      </c>
      <c r="C729" t="s">
        <v>853</v>
      </c>
      <c r="D729" t="s">
        <v>1154</v>
      </c>
      <c r="E729" s="452">
        <v>46143</v>
      </c>
      <c r="F729" s="452">
        <v>46178</v>
      </c>
      <c r="G729" t="s">
        <v>931</v>
      </c>
      <c r="H729" t="s">
        <v>932</v>
      </c>
      <c r="I729" t="s">
        <v>1155</v>
      </c>
      <c r="J729">
        <v>-15.6</v>
      </c>
      <c r="K729">
        <v>-15.6</v>
      </c>
      <c r="O729" t="s">
        <v>631</v>
      </c>
      <c r="P729" t="s">
        <v>820</v>
      </c>
      <c r="Q729" t="s">
        <v>465</v>
      </c>
      <c r="R729">
        <v>0</v>
      </c>
    </row>
    <row r="730" spans="1:18" x14ac:dyDescent="0.3">
      <c r="A730">
        <v>234537</v>
      </c>
      <c r="B730" t="s">
        <v>568</v>
      </c>
      <c r="C730" t="s">
        <v>853</v>
      </c>
      <c r="D730" t="s">
        <v>1156</v>
      </c>
      <c r="E730" s="452">
        <v>46143</v>
      </c>
      <c r="F730" s="452">
        <v>46178</v>
      </c>
      <c r="G730" t="s">
        <v>931</v>
      </c>
      <c r="H730" t="s">
        <v>932</v>
      </c>
      <c r="I730" t="s">
        <v>1157</v>
      </c>
      <c r="J730">
        <v>-25.17</v>
      </c>
      <c r="K730">
        <v>-25.17</v>
      </c>
      <c r="O730" t="s">
        <v>631</v>
      </c>
      <c r="P730" t="s">
        <v>820</v>
      </c>
      <c r="Q730" t="s">
        <v>465</v>
      </c>
      <c r="R730">
        <v>0</v>
      </c>
    </row>
    <row r="731" spans="1:18" x14ac:dyDescent="0.3">
      <c r="A731">
        <v>234529</v>
      </c>
      <c r="B731" t="s">
        <v>568</v>
      </c>
      <c r="C731" t="s">
        <v>853</v>
      </c>
      <c r="D731" t="s">
        <v>1158</v>
      </c>
      <c r="E731" s="452">
        <v>46143</v>
      </c>
      <c r="F731" s="452">
        <v>46178</v>
      </c>
      <c r="G731" t="s">
        <v>931</v>
      </c>
      <c r="H731" t="s">
        <v>932</v>
      </c>
      <c r="I731" t="s">
        <v>1159</v>
      </c>
      <c r="J731">
        <v>-51.91</v>
      </c>
      <c r="K731">
        <v>-51.91</v>
      </c>
      <c r="O731" t="s">
        <v>631</v>
      </c>
      <c r="P731" t="s">
        <v>820</v>
      </c>
      <c r="Q731" t="s">
        <v>465</v>
      </c>
      <c r="R731">
        <v>0</v>
      </c>
    </row>
    <row r="732" spans="1:18" x14ac:dyDescent="0.3">
      <c r="A732">
        <v>234541</v>
      </c>
      <c r="B732" t="s">
        <v>568</v>
      </c>
      <c r="C732" t="s">
        <v>853</v>
      </c>
      <c r="D732" t="s">
        <v>1160</v>
      </c>
      <c r="E732" s="452">
        <v>46143</v>
      </c>
      <c r="F732" s="452">
        <v>46178</v>
      </c>
      <c r="G732" t="s">
        <v>931</v>
      </c>
      <c r="H732" t="s">
        <v>932</v>
      </c>
      <c r="I732" t="s">
        <v>1161</v>
      </c>
      <c r="J732">
        <v>-22.76</v>
      </c>
      <c r="K732">
        <v>-22.76</v>
      </c>
      <c r="O732" t="s">
        <v>631</v>
      </c>
      <c r="P732" t="s">
        <v>820</v>
      </c>
      <c r="Q732" t="s">
        <v>465</v>
      </c>
      <c r="R732">
        <v>0</v>
      </c>
    </row>
    <row r="733" spans="1:18" x14ac:dyDescent="0.3">
      <c r="A733">
        <v>234543</v>
      </c>
      <c r="B733" t="s">
        <v>568</v>
      </c>
      <c r="C733" t="s">
        <v>853</v>
      </c>
      <c r="D733" t="s">
        <v>1162</v>
      </c>
      <c r="E733" s="452">
        <v>46143</v>
      </c>
      <c r="F733" s="452">
        <v>46178</v>
      </c>
      <c r="G733" t="s">
        <v>265</v>
      </c>
      <c r="H733" t="s">
        <v>276</v>
      </c>
      <c r="I733" t="s">
        <v>1163</v>
      </c>
      <c r="J733">
        <v>-24.79</v>
      </c>
      <c r="K733">
        <v>-24.79</v>
      </c>
      <c r="O733" t="s">
        <v>631</v>
      </c>
      <c r="P733" t="s">
        <v>820</v>
      </c>
      <c r="Q733" t="s">
        <v>465</v>
      </c>
      <c r="R733">
        <v>0</v>
      </c>
    </row>
    <row r="734" spans="1:18" x14ac:dyDescent="0.3">
      <c r="A734">
        <v>234545</v>
      </c>
      <c r="B734" t="s">
        <v>568</v>
      </c>
      <c r="C734" t="s">
        <v>853</v>
      </c>
      <c r="D734" t="s">
        <v>1164</v>
      </c>
      <c r="E734" s="452">
        <v>46143</v>
      </c>
      <c r="F734" s="452">
        <v>46178</v>
      </c>
      <c r="G734" t="s">
        <v>265</v>
      </c>
      <c r="H734" t="s">
        <v>270</v>
      </c>
      <c r="I734" t="s">
        <v>1165</v>
      </c>
      <c r="J734">
        <v>-69</v>
      </c>
      <c r="K734">
        <v>-69</v>
      </c>
      <c r="O734" t="s">
        <v>631</v>
      </c>
      <c r="P734" t="s">
        <v>820</v>
      </c>
      <c r="Q734" t="s">
        <v>465</v>
      </c>
      <c r="R734">
        <v>0</v>
      </c>
    </row>
    <row r="735" spans="1:18" x14ac:dyDescent="0.3">
      <c r="A735">
        <v>234519</v>
      </c>
      <c r="B735" t="s">
        <v>568</v>
      </c>
      <c r="C735" t="s">
        <v>853</v>
      </c>
      <c r="D735" t="s">
        <v>1166</v>
      </c>
      <c r="E735" s="452">
        <v>46143</v>
      </c>
      <c r="F735" s="452">
        <v>46178</v>
      </c>
      <c r="G735" t="s">
        <v>931</v>
      </c>
      <c r="H735" t="s">
        <v>932</v>
      </c>
      <c r="I735" t="s">
        <v>1167</v>
      </c>
      <c r="J735">
        <v>-5</v>
      </c>
      <c r="K735">
        <v>-5</v>
      </c>
      <c r="O735" t="s">
        <v>631</v>
      </c>
      <c r="P735" t="s">
        <v>820</v>
      </c>
      <c r="Q735" t="s">
        <v>465</v>
      </c>
      <c r="R735">
        <v>0</v>
      </c>
    </row>
    <row r="736" spans="1:18" x14ac:dyDescent="0.3">
      <c r="A736">
        <v>234547</v>
      </c>
      <c r="B736" t="s">
        <v>568</v>
      </c>
      <c r="C736" t="s">
        <v>853</v>
      </c>
      <c r="D736" t="s">
        <v>1168</v>
      </c>
      <c r="E736" s="452">
        <v>46143</v>
      </c>
      <c r="F736" s="452">
        <v>46178</v>
      </c>
      <c r="G736" t="s">
        <v>931</v>
      </c>
      <c r="H736" t="s">
        <v>932</v>
      </c>
      <c r="I736" t="s">
        <v>1169</v>
      </c>
      <c r="J736">
        <v>-58.62</v>
      </c>
      <c r="K736">
        <v>-58.62</v>
      </c>
      <c r="O736" t="s">
        <v>631</v>
      </c>
      <c r="P736" t="s">
        <v>820</v>
      </c>
      <c r="Q736" t="s">
        <v>465</v>
      </c>
      <c r="R736">
        <v>0</v>
      </c>
    </row>
    <row r="737" spans="1:18" x14ac:dyDescent="0.3">
      <c r="A737">
        <v>236732</v>
      </c>
      <c r="B737" t="s">
        <v>568</v>
      </c>
      <c r="C737" t="s">
        <v>940</v>
      </c>
      <c r="E737" s="452">
        <v>46143</v>
      </c>
      <c r="F737" s="452">
        <v>46178</v>
      </c>
      <c r="G737" t="s">
        <v>666</v>
      </c>
      <c r="H737" t="s">
        <v>667</v>
      </c>
      <c r="J737">
        <v>-2982.93</v>
      </c>
      <c r="K737">
        <v>-2982.93</v>
      </c>
      <c r="O737" t="s">
        <v>631</v>
      </c>
      <c r="P737" t="s">
        <v>820</v>
      </c>
      <c r="Q737" t="s">
        <v>465</v>
      </c>
      <c r="R737">
        <v>0</v>
      </c>
    </row>
    <row r="738" spans="1:18" x14ac:dyDescent="0.3">
      <c r="A738">
        <v>234584</v>
      </c>
      <c r="B738" t="s">
        <v>568</v>
      </c>
      <c r="C738" t="s">
        <v>853</v>
      </c>
      <c r="D738" t="s">
        <v>1170</v>
      </c>
      <c r="E738" s="452">
        <v>46143</v>
      </c>
      <c r="F738" s="452">
        <v>46178</v>
      </c>
      <c r="G738" t="s">
        <v>931</v>
      </c>
      <c r="H738" t="s">
        <v>932</v>
      </c>
      <c r="I738" t="s">
        <v>1169</v>
      </c>
      <c r="J738">
        <v>-32.97</v>
      </c>
      <c r="K738">
        <v>-32.97</v>
      </c>
      <c r="O738" t="s">
        <v>631</v>
      </c>
      <c r="P738" t="s">
        <v>820</v>
      </c>
      <c r="Q738" t="s">
        <v>465</v>
      </c>
      <c r="R738">
        <v>0</v>
      </c>
    </row>
    <row r="739" spans="1:18" x14ac:dyDescent="0.3">
      <c r="A739">
        <v>232796</v>
      </c>
      <c r="B739" t="s">
        <v>568</v>
      </c>
      <c r="C739" t="s">
        <v>940</v>
      </c>
      <c r="E739" s="452">
        <v>46143</v>
      </c>
      <c r="F739" s="452">
        <v>46162</v>
      </c>
      <c r="G739" t="s">
        <v>666</v>
      </c>
      <c r="H739" t="s">
        <v>667</v>
      </c>
      <c r="J739">
        <v>-712.71</v>
      </c>
      <c r="K739">
        <v>-712.71</v>
      </c>
      <c r="O739" t="s">
        <v>631</v>
      </c>
      <c r="P739" t="s">
        <v>820</v>
      </c>
      <c r="Q739" t="s">
        <v>465</v>
      </c>
      <c r="R739">
        <v>0</v>
      </c>
    </row>
    <row r="740" spans="1:18" x14ac:dyDescent="0.3">
      <c r="A740">
        <v>234522</v>
      </c>
      <c r="B740" t="s">
        <v>568</v>
      </c>
      <c r="C740" t="s">
        <v>853</v>
      </c>
      <c r="D740" t="s">
        <v>1171</v>
      </c>
      <c r="E740" s="452">
        <v>46143</v>
      </c>
      <c r="F740" s="452">
        <v>46178</v>
      </c>
      <c r="G740" t="s">
        <v>265</v>
      </c>
      <c r="H740" t="s">
        <v>273</v>
      </c>
      <c r="I740" t="s">
        <v>1172</v>
      </c>
      <c r="J740">
        <v>-46.88</v>
      </c>
      <c r="K740">
        <v>-46.88</v>
      </c>
      <c r="O740" t="s">
        <v>631</v>
      </c>
      <c r="P740" t="s">
        <v>820</v>
      </c>
      <c r="Q740" t="s">
        <v>465</v>
      </c>
      <c r="R740">
        <v>0</v>
      </c>
    </row>
    <row r="741" spans="1:18" x14ac:dyDescent="0.3">
      <c r="A741">
        <v>234521</v>
      </c>
      <c r="B741" t="s">
        <v>568</v>
      </c>
      <c r="C741" t="s">
        <v>853</v>
      </c>
      <c r="D741" t="s">
        <v>1173</v>
      </c>
      <c r="E741" s="452">
        <v>46143</v>
      </c>
      <c r="F741" s="452">
        <v>46178</v>
      </c>
      <c r="G741" t="s">
        <v>931</v>
      </c>
      <c r="H741" t="s">
        <v>932</v>
      </c>
      <c r="I741" t="s">
        <v>1174</v>
      </c>
      <c r="J741">
        <v>-60</v>
      </c>
      <c r="K741">
        <v>-60</v>
      </c>
      <c r="O741" t="s">
        <v>631</v>
      </c>
      <c r="P741" t="s">
        <v>820</v>
      </c>
      <c r="Q741" t="s">
        <v>465</v>
      </c>
      <c r="R741">
        <v>0</v>
      </c>
    </row>
    <row r="742" spans="1:18" x14ac:dyDescent="0.3">
      <c r="A742">
        <v>234520</v>
      </c>
      <c r="B742" t="s">
        <v>568</v>
      </c>
      <c r="C742" t="s">
        <v>853</v>
      </c>
      <c r="D742" t="s">
        <v>1175</v>
      </c>
      <c r="E742" s="452">
        <v>46143</v>
      </c>
      <c r="F742" s="452">
        <v>46178</v>
      </c>
      <c r="G742" t="s">
        <v>931</v>
      </c>
      <c r="H742" t="s">
        <v>932</v>
      </c>
      <c r="I742" t="s">
        <v>1155</v>
      </c>
      <c r="J742">
        <v>-19.5</v>
      </c>
      <c r="K742">
        <v>-19.5</v>
      </c>
      <c r="O742" t="s">
        <v>631</v>
      </c>
      <c r="P742" t="s">
        <v>820</v>
      </c>
      <c r="Q742" t="s">
        <v>465</v>
      </c>
      <c r="R742">
        <v>0</v>
      </c>
    </row>
    <row r="743" spans="1:18" x14ac:dyDescent="0.3">
      <c r="A743">
        <v>232061</v>
      </c>
      <c r="B743" t="s">
        <v>568</v>
      </c>
      <c r="C743" t="s">
        <v>1176</v>
      </c>
      <c r="D743" t="s">
        <v>1177</v>
      </c>
      <c r="E743" s="452">
        <v>46143</v>
      </c>
      <c r="F743" s="452">
        <v>46157</v>
      </c>
      <c r="G743" t="s">
        <v>1007</v>
      </c>
      <c r="H743" t="s">
        <v>105</v>
      </c>
      <c r="I743" t="s">
        <v>1178</v>
      </c>
      <c r="J743">
        <v>0</v>
      </c>
      <c r="K743">
        <v>-1060</v>
      </c>
      <c r="O743" t="s">
        <v>631</v>
      </c>
      <c r="P743" t="s">
        <v>820</v>
      </c>
      <c r="Q743" t="s">
        <v>465</v>
      </c>
      <c r="R743">
        <v>0</v>
      </c>
    </row>
    <row r="744" spans="1:18" x14ac:dyDescent="0.3">
      <c r="A744">
        <v>233958</v>
      </c>
      <c r="B744" t="s">
        <v>568</v>
      </c>
      <c r="C744" t="s">
        <v>676</v>
      </c>
      <c r="D744" t="s">
        <v>1179</v>
      </c>
      <c r="E744" s="452">
        <v>46143</v>
      </c>
      <c r="F744" s="452">
        <v>46198</v>
      </c>
      <c r="G744" t="s">
        <v>705</v>
      </c>
      <c r="H744" t="s">
        <v>114</v>
      </c>
      <c r="I744" t="s">
        <v>1180</v>
      </c>
      <c r="J744">
        <v>-3390</v>
      </c>
      <c r="K744">
        <v>-3390</v>
      </c>
      <c r="M744" t="s">
        <v>680</v>
      </c>
      <c r="N744" t="s">
        <v>134</v>
      </c>
      <c r="O744" t="s">
        <v>631</v>
      </c>
      <c r="P744" t="s">
        <v>820</v>
      </c>
      <c r="Q744" t="s">
        <v>465</v>
      </c>
      <c r="R744">
        <v>0</v>
      </c>
    </row>
    <row r="745" spans="1:18" x14ac:dyDescent="0.3">
      <c r="A745">
        <v>236733</v>
      </c>
      <c r="B745" t="s">
        <v>568</v>
      </c>
      <c r="C745" t="s">
        <v>945</v>
      </c>
      <c r="E745" s="452">
        <v>46143</v>
      </c>
      <c r="F745" s="452">
        <v>46178</v>
      </c>
      <c r="G745" t="s">
        <v>666</v>
      </c>
      <c r="H745" t="s">
        <v>667</v>
      </c>
      <c r="J745">
        <v>-2776.29</v>
      </c>
      <c r="K745">
        <v>-2776.29</v>
      </c>
      <c r="O745" t="s">
        <v>631</v>
      </c>
      <c r="P745" t="s">
        <v>820</v>
      </c>
      <c r="Q745" t="s">
        <v>465</v>
      </c>
      <c r="R745">
        <v>0</v>
      </c>
    </row>
    <row r="746" spans="1:18" x14ac:dyDescent="0.3">
      <c r="A746">
        <v>232794</v>
      </c>
      <c r="B746" t="s">
        <v>568</v>
      </c>
      <c r="C746" t="s">
        <v>953</v>
      </c>
      <c r="E746" s="452">
        <v>46143</v>
      </c>
      <c r="F746" s="452">
        <v>46162</v>
      </c>
      <c r="G746" t="s">
        <v>666</v>
      </c>
      <c r="H746" t="s">
        <v>667</v>
      </c>
      <c r="J746">
        <v>-1027.5999999999999</v>
      </c>
      <c r="K746">
        <v>-1027.5999999999999</v>
      </c>
      <c r="O746" t="s">
        <v>631</v>
      </c>
      <c r="P746" t="s">
        <v>820</v>
      </c>
      <c r="Q746" t="s">
        <v>465</v>
      </c>
      <c r="R746">
        <v>0</v>
      </c>
    </row>
    <row r="747" spans="1:18" x14ac:dyDescent="0.3">
      <c r="A747">
        <v>232795</v>
      </c>
      <c r="B747" t="s">
        <v>568</v>
      </c>
      <c r="C747" t="s">
        <v>945</v>
      </c>
      <c r="E747" s="452">
        <v>46143</v>
      </c>
      <c r="F747" s="452">
        <v>46162</v>
      </c>
      <c r="G747" t="s">
        <v>666</v>
      </c>
      <c r="H747" t="s">
        <v>667</v>
      </c>
      <c r="J747">
        <v>-944.02</v>
      </c>
      <c r="K747">
        <v>-944.02</v>
      </c>
      <c r="O747" t="s">
        <v>631</v>
      </c>
      <c r="P747" t="s">
        <v>820</v>
      </c>
      <c r="Q747" t="s">
        <v>465</v>
      </c>
      <c r="R747">
        <v>0</v>
      </c>
    </row>
    <row r="748" spans="1:18" x14ac:dyDescent="0.3">
      <c r="A748">
        <v>234523</v>
      </c>
      <c r="B748" t="s">
        <v>568</v>
      </c>
      <c r="C748" t="s">
        <v>853</v>
      </c>
      <c r="D748" t="s">
        <v>1181</v>
      </c>
      <c r="E748" s="452">
        <v>46143</v>
      </c>
      <c r="F748" s="452">
        <v>46178</v>
      </c>
      <c r="G748" t="s">
        <v>931</v>
      </c>
      <c r="H748" t="s">
        <v>932</v>
      </c>
      <c r="I748" t="s">
        <v>1182</v>
      </c>
      <c r="J748">
        <v>-80.33</v>
      </c>
      <c r="K748">
        <v>-80.33</v>
      </c>
      <c r="O748" t="s">
        <v>631</v>
      </c>
      <c r="P748" t="s">
        <v>820</v>
      </c>
      <c r="Q748" t="s">
        <v>465</v>
      </c>
      <c r="R748">
        <v>0</v>
      </c>
    </row>
    <row r="749" spans="1:18" x14ac:dyDescent="0.3">
      <c r="A749">
        <v>234578</v>
      </c>
      <c r="B749" t="s">
        <v>568</v>
      </c>
      <c r="C749" t="s">
        <v>853</v>
      </c>
      <c r="D749" t="s">
        <v>1183</v>
      </c>
      <c r="E749" s="452">
        <v>46143</v>
      </c>
      <c r="F749" s="452">
        <v>46178</v>
      </c>
      <c r="G749" t="s">
        <v>931</v>
      </c>
      <c r="H749" t="s">
        <v>932</v>
      </c>
      <c r="I749" t="s">
        <v>1155</v>
      </c>
      <c r="J749">
        <v>-19.5</v>
      </c>
      <c r="K749">
        <v>-19.5</v>
      </c>
      <c r="O749" t="s">
        <v>631</v>
      </c>
      <c r="P749" t="s">
        <v>820</v>
      </c>
      <c r="Q749" t="s">
        <v>465</v>
      </c>
      <c r="R749">
        <v>0</v>
      </c>
    </row>
    <row r="750" spans="1:18" x14ac:dyDescent="0.3">
      <c r="A750">
        <v>234580</v>
      </c>
      <c r="B750" t="s">
        <v>568</v>
      </c>
      <c r="C750" t="s">
        <v>853</v>
      </c>
      <c r="D750" t="s">
        <v>1184</v>
      </c>
      <c r="E750" s="452">
        <v>46143</v>
      </c>
      <c r="F750" s="452">
        <v>46178</v>
      </c>
      <c r="G750" t="s">
        <v>931</v>
      </c>
      <c r="H750" t="s">
        <v>932</v>
      </c>
      <c r="I750" t="s">
        <v>1155</v>
      </c>
      <c r="J750">
        <v>-24.4</v>
      </c>
      <c r="K750">
        <v>-24.4</v>
      </c>
      <c r="O750" t="s">
        <v>631</v>
      </c>
      <c r="P750" t="s">
        <v>820</v>
      </c>
      <c r="Q750" t="s">
        <v>465</v>
      </c>
      <c r="R750">
        <v>0</v>
      </c>
    </row>
    <row r="751" spans="1:18" x14ac:dyDescent="0.3">
      <c r="A751">
        <v>234581</v>
      </c>
      <c r="B751" t="s">
        <v>568</v>
      </c>
      <c r="C751" t="s">
        <v>853</v>
      </c>
      <c r="D751" t="s">
        <v>1185</v>
      </c>
      <c r="E751" s="452">
        <v>46143</v>
      </c>
      <c r="F751" s="452">
        <v>46178</v>
      </c>
      <c r="G751" t="s">
        <v>931</v>
      </c>
      <c r="H751" t="s">
        <v>932</v>
      </c>
      <c r="I751" t="s">
        <v>1186</v>
      </c>
      <c r="J751">
        <v>-27.75</v>
      </c>
      <c r="K751">
        <v>-27.75</v>
      </c>
      <c r="O751" t="s">
        <v>631</v>
      </c>
      <c r="P751" t="s">
        <v>820</v>
      </c>
      <c r="Q751" t="s">
        <v>465</v>
      </c>
      <c r="R751">
        <v>0</v>
      </c>
    </row>
    <row r="752" spans="1:18" x14ac:dyDescent="0.3">
      <c r="A752">
        <v>234524</v>
      </c>
      <c r="B752" t="s">
        <v>568</v>
      </c>
      <c r="C752" t="s">
        <v>853</v>
      </c>
      <c r="D752" t="s">
        <v>1187</v>
      </c>
      <c r="E752" s="452">
        <v>46143</v>
      </c>
      <c r="F752" s="452">
        <v>46178</v>
      </c>
      <c r="G752" t="s">
        <v>265</v>
      </c>
      <c r="H752" t="s">
        <v>273</v>
      </c>
      <c r="I752" t="s">
        <v>1188</v>
      </c>
      <c r="J752">
        <v>-115.96</v>
      </c>
      <c r="K752">
        <v>-115.96</v>
      </c>
      <c r="O752" t="s">
        <v>631</v>
      </c>
      <c r="P752" t="s">
        <v>820</v>
      </c>
      <c r="Q752" t="s">
        <v>465</v>
      </c>
      <c r="R752">
        <v>0</v>
      </c>
    </row>
    <row r="753" spans="1:18" x14ac:dyDescent="0.3">
      <c r="A753">
        <v>232797</v>
      </c>
      <c r="B753" t="s">
        <v>568</v>
      </c>
      <c r="C753" t="s">
        <v>829</v>
      </c>
      <c r="E753" s="452">
        <v>46143</v>
      </c>
      <c r="F753" s="452">
        <v>46162</v>
      </c>
      <c r="G753" t="s">
        <v>666</v>
      </c>
      <c r="H753" t="s">
        <v>667</v>
      </c>
      <c r="J753">
        <v>-944.02</v>
      </c>
      <c r="K753">
        <v>-944.02</v>
      </c>
      <c r="O753" t="s">
        <v>631</v>
      </c>
      <c r="P753" t="s">
        <v>820</v>
      </c>
      <c r="Q753" t="s">
        <v>465</v>
      </c>
      <c r="R753">
        <v>0</v>
      </c>
    </row>
    <row r="754" spans="1:18" x14ac:dyDescent="0.3">
      <c r="A754">
        <v>234525</v>
      </c>
      <c r="B754" t="s">
        <v>568</v>
      </c>
      <c r="C754" t="s">
        <v>853</v>
      </c>
      <c r="D754" t="s">
        <v>1189</v>
      </c>
      <c r="E754" s="452">
        <v>46143</v>
      </c>
      <c r="F754" s="452">
        <v>46178</v>
      </c>
      <c r="G754" t="s">
        <v>931</v>
      </c>
      <c r="H754" t="s">
        <v>932</v>
      </c>
      <c r="I754" t="s">
        <v>1190</v>
      </c>
      <c r="J754">
        <v>-4.88</v>
      </c>
      <c r="K754">
        <v>-4.88</v>
      </c>
      <c r="O754" t="s">
        <v>631</v>
      </c>
      <c r="P754" t="s">
        <v>820</v>
      </c>
      <c r="Q754" t="s">
        <v>465</v>
      </c>
      <c r="R754">
        <v>0</v>
      </c>
    </row>
    <row r="755" spans="1:18" x14ac:dyDescent="0.3">
      <c r="A755">
        <v>234527</v>
      </c>
      <c r="B755" t="s">
        <v>568</v>
      </c>
      <c r="C755" t="s">
        <v>853</v>
      </c>
      <c r="D755" t="s">
        <v>1191</v>
      </c>
      <c r="E755" s="452">
        <v>46143</v>
      </c>
      <c r="F755" s="452">
        <v>46178</v>
      </c>
      <c r="G755" t="s">
        <v>265</v>
      </c>
      <c r="H755" t="s">
        <v>269</v>
      </c>
      <c r="I755" t="s">
        <v>1143</v>
      </c>
      <c r="J755">
        <v>-18.5</v>
      </c>
      <c r="K755">
        <v>-18.5</v>
      </c>
      <c r="O755" t="s">
        <v>631</v>
      </c>
      <c r="P755" t="s">
        <v>820</v>
      </c>
      <c r="Q755" t="s">
        <v>465</v>
      </c>
      <c r="R755">
        <v>0</v>
      </c>
    </row>
    <row r="756" spans="1:18" x14ac:dyDescent="0.3">
      <c r="A756">
        <v>227987</v>
      </c>
      <c r="B756" t="s">
        <v>568</v>
      </c>
      <c r="C756" t="s">
        <v>853</v>
      </c>
      <c r="D756" t="s">
        <v>1192</v>
      </c>
      <c r="E756" s="452">
        <v>46143</v>
      </c>
      <c r="F756" s="452">
        <v>46178</v>
      </c>
      <c r="G756" t="s">
        <v>931</v>
      </c>
      <c r="H756" t="s">
        <v>932</v>
      </c>
      <c r="I756" t="s">
        <v>1193</v>
      </c>
      <c r="J756">
        <v>-35.81</v>
      </c>
      <c r="K756">
        <v>-35.81</v>
      </c>
      <c r="O756" t="s">
        <v>631</v>
      </c>
      <c r="P756" t="s">
        <v>820</v>
      </c>
      <c r="Q756" t="s">
        <v>465</v>
      </c>
      <c r="R756">
        <v>0</v>
      </c>
    </row>
    <row r="757" spans="1:18" x14ac:dyDescent="0.3">
      <c r="A757">
        <v>234565</v>
      </c>
      <c r="B757" t="s">
        <v>568</v>
      </c>
      <c r="C757" t="s">
        <v>853</v>
      </c>
      <c r="D757" t="s">
        <v>1194</v>
      </c>
      <c r="E757" s="452">
        <v>46143</v>
      </c>
      <c r="F757" s="452">
        <v>46178</v>
      </c>
      <c r="G757" t="s">
        <v>265</v>
      </c>
      <c r="H757" t="s">
        <v>273</v>
      </c>
      <c r="I757" t="s">
        <v>1195</v>
      </c>
      <c r="J757">
        <v>-124.94</v>
      </c>
      <c r="K757">
        <v>-124.94</v>
      </c>
      <c r="O757" t="s">
        <v>631</v>
      </c>
      <c r="P757" t="s">
        <v>820</v>
      </c>
      <c r="Q757" t="s">
        <v>465</v>
      </c>
      <c r="R757">
        <v>0</v>
      </c>
    </row>
    <row r="758" spans="1:18" x14ac:dyDescent="0.3">
      <c r="A758">
        <v>234563</v>
      </c>
      <c r="B758" t="s">
        <v>568</v>
      </c>
      <c r="C758" t="s">
        <v>853</v>
      </c>
      <c r="D758" t="s">
        <v>1196</v>
      </c>
      <c r="E758" s="452">
        <v>46143</v>
      </c>
      <c r="F758" s="452">
        <v>46178</v>
      </c>
      <c r="G758" t="s">
        <v>683</v>
      </c>
      <c r="H758" t="s">
        <v>292</v>
      </c>
      <c r="I758" t="s">
        <v>1197</v>
      </c>
      <c r="J758">
        <v>-170</v>
      </c>
      <c r="K758">
        <v>-170</v>
      </c>
      <c r="O758" t="s">
        <v>631</v>
      </c>
      <c r="P758" t="s">
        <v>820</v>
      </c>
      <c r="Q758" t="s">
        <v>465</v>
      </c>
      <c r="R758">
        <v>0</v>
      </c>
    </row>
    <row r="759" spans="1:18" x14ac:dyDescent="0.3">
      <c r="A759">
        <v>234561</v>
      </c>
      <c r="B759" t="s">
        <v>568</v>
      </c>
      <c r="C759" t="s">
        <v>853</v>
      </c>
      <c r="D759" t="s">
        <v>1198</v>
      </c>
      <c r="E759" s="452">
        <v>46143</v>
      </c>
      <c r="F759" s="452">
        <v>46178</v>
      </c>
      <c r="G759" t="s">
        <v>265</v>
      </c>
      <c r="H759" t="s">
        <v>273</v>
      </c>
      <c r="I759" t="s">
        <v>1199</v>
      </c>
      <c r="J759">
        <v>-221.6</v>
      </c>
      <c r="K759">
        <v>-221.6</v>
      </c>
      <c r="O759" t="s">
        <v>631</v>
      </c>
      <c r="P759" t="s">
        <v>820</v>
      </c>
      <c r="Q759" t="s">
        <v>465</v>
      </c>
      <c r="R759">
        <v>0</v>
      </c>
    </row>
    <row r="760" spans="1:18" x14ac:dyDescent="0.3">
      <c r="A760">
        <v>235982</v>
      </c>
      <c r="B760" t="s">
        <v>568</v>
      </c>
      <c r="C760" t="s">
        <v>1068</v>
      </c>
      <c r="E760" s="452">
        <v>46143</v>
      </c>
      <c r="F760" s="452">
        <v>46144</v>
      </c>
      <c r="G760" t="s">
        <v>280</v>
      </c>
      <c r="H760" t="s">
        <v>285</v>
      </c>
      <c r="I760" t="s">
        <v>1098</v>
      </c>
      <c r="J760">
        <v>-123.09</v>
      </c>
      <c r="K760">
        <v>-123.09</v>
      </c>
      <c r="O760" t="s">
        <v>631</v>
      </c>
      <c r="P760" t="s">
        <v>820</v>
      </c>
      <c r="Q760" t="s">
        <v>465</v>
      </c>
      <c r="R760">
        <v>0</v>
      </c>
    </row>
    <row r="761" spans="1:18" x14ac:dyDescent="0.3">
      <c r="A761">
        <v>235981</v>
      </c>
      <c r="B761" t="s">
        <v>568</v>
      </c>
      <c r="C761" t="s">
        <v>1068</v>
      </c>
      <c r="E761" s="452">
        <v>46143</v>
      </c>
      <c r="F761" s="452">
        <v>46143</v>
      </c>
      <c r="G761" t="s">
        <v>280</v>
      </c>
      <c r="H761" t="s">
        <v>285</v>
      </c>
      <c r="I761" t="s">
        <v>1200</v>
      </c>
      <c r="J761">
        <v>-160</v>
      </c>
      <c r="K761">
        <v>-160</v>
      </c>
      <c r="O761" t="s">
        <v>631</v>
      </c>
      <c r="P761" t="s">
        <v>820</v>
      </c>
      <c r="Q761" t="s">
        <v>465</v>
      </c>
      <c r="R761">
        <v>0</v>
      </c>
    </row>
    <row r="762" spans="1:18" x14ac:dyDescent="0.3">
      <c r="A762">
        <v>235980</v>
      </c>
      <c r="B762" t="s">
        <v>568</v>
      </c>
      <c r="C762" t="s">
        <v>1068</v>
      </c>
      <c r="E762" s="452">
        <v>46143</v>
      </c>
      <c r="F762" s="452">
        <v>46143</v>
      </c>
      <c r="G762" t="s">
        <v>280</v>
      </c>
      <c r="H762" t="s">
        <v>285</v>
      </c>
      <c r="I762" t="s">
        <v>1201</v>
      </c>
      <c r="J762">
        <v>-60</v>
      </c>
      <c r="K762">
        <v>-60</v>
      </c>
      <c r="O762" t="s">
        <v>631</v>
      </c>
      <c r="P762" t="s">
        <v>820</v>
      </c>
      <c r="Q762" t="s">
        <v>465</v>
      </c>
      <c r="R762">
        <v>0</v>
      </c>
    </row>
    <row r="763" spans="1:18" x14ac:dyDescent="0.3">
      <c r="A763">
        <v>235979</v>
      </c>
      <c r="B763" t="s">
        <v>568</v>
      </c>
      <c r="C763" t="s">
        <v>1068</v>
      </c>
      <c r="E763" s="452">
        <v>46143</v>
      </c>
      <c r="F763" s="452">
        <v>46143</v>
      </c>
      <c r="G763" t="s">
        <v>280</v>
      </c>
      <c r="H763" t="s">
        <v>285</v>
      </c>
      <c r="I763" t="s">
        <v>1202</v>
      </c>
      <c r="J763">
        <v>-40</v>
      </c>
      <c r="K763">
        <v>-40</v>
      </c>
      <c r="O763" t="s">
        <v>631</v>
      </c>
      <c r="P763" t="s">
        <v>820</v>
      </c>
      <c r="Q763" t="s">
        <v>465</v>
      </c>
      <c r="R763">
        <v>0</v>
      </c>
    </row>
    <row r="764" spans="1:18" x14ac:dyDescent="0.3">
      <c r="A764">
        <v>234559</v>
      </c>
      <c r="B764" t="s">
        <v>568</v>
      </c>
      <c r="C764" t="s">
        <v>853</v>
      </c>
      <c r="D764" t="s">
        <v>1203</v>
      </c>
      <c r="E764" s="452">
        <v>46143</v>
      </c>
      <c r="F764" s="452">
        <v>46178</v>
      </c>
      <c r="G764" t="s">
        <v>265</v>
      </c>
      <c r="H764" t="s">
        <v>273</v>
      </c>
      <c r="I764" t="s">
        <v>1204</v>
      </c>
      <c r="J764">
        <v>-42.8</v>
      </c>
      <c r="K764">
        <v>-42.8</v>
      </c>
      <c r="O764" t="s">
        <v>631</v>
      </c>
      <c r="P764" t="s">
        <v>820</v>
      </c>
      <c r="Q764" t="s">
        <v>465</v>
      </c>
      <c r="R764">
        <v>0</v>
      </c>
    </row>
    <row r="765" spans="1:18" x14ac:dyDescent="0.3">
      <c r="A765">
        <v>234558</v>
      </c>
      <c r="B765" t="s">
        <v>568</v>
      </c>
      <c r="C765" t="s">
        <v>853</v>
      </c>
      <c r="D765" t="s">
        <v>1205</v>
      </c>
      <c r="E765" s="452">
        <v>46143</v>
      </c>
      <c r="F765" s="452">
        <v>46178</v>
      </c>
      <c r="G765" t="s">
        <v>683</v>
      </c>
      <c r="H765" t="s">
        <v>292</v>
      </c>
      <c r="I765" t="s">
        <v>1206</v>
      </c>
      <c r="J765">
        <v>-103.1</v>
      </c>
      <c r="K765">
        <v>-103.1</v>
      </c>
      <c r="O765" t="s">
        <v>631</v>
      </c>
      <c r="P765" t="s">
        <v>820</v>
      </c>
      <c r="Q765" t="s">
        <v>465</v>
      </c>
      <c r="R765">
        <v>0</v>
      </c>
    </row>
    <row r="766" spans="1:18" x14ac:dyDescent="0.3">
      <c r="A766">
        <v>234586</v>
      </c>
      <c r="B766" t="s">
        <v>568</v>
      </c>
      <c r="C766" t="s">
        <v>853</v>
      </c>
      <c r="D766" t="s">
        <v>1207</v>
      </c>
      <c r="E766" s="452">
        <v>46143</v>
      </c>
      <c r="F766" s="452">
        <v>46178</v>
      </c>
      <c r="G766" t="s">
        <v>931</v>
      </c>
      <c r="H766" t="s">
        <v>932</v>
      </c>
      <c r="I766" t="s">
        <v>1174</v>
      </c>
      <c r="J766">
        <v>-75</v>
      </c>
      <c r="K766">
        <v>-75</v>
      </c>
      <c r="O766" t="s">
        <v>631</v>
      </c>
      <c r="P766" t="s">
        <v>820</v>
      </c>
      <c r="Q766" t="s">
        <v>465</v>
      </c>
      <c r="R766">
        <v>0</v>
      </c>
    </row>
    <row r="767" spans="1:18" x14ac:dyDescent="0.3">
      <c r="A767">
        <v>234566</v>
      </c>
      <c r="B767" t="s">
        <v>568</v>
      </c>
      <c r="C767" t="s">
        <v>853</v>
      </c>
      <c r="D767" t="s">
        <v>1208</v>
      </c>
      <c r="E767" s="452">
        <v>46143</v>
      </c>
      <c r="F767" s="452">
        <v>46178</v>
      </c>
      <c r="G767" t="s">
        <v>265</v>
      </c>
      <c r="H767" t="s">
        <v>273</v>
      </c>
      <c r="I767" t="s">
        <v>1209</v>
      </c>
      <c r="J767">
        <v>-400</v>
      </c>
      <c r="K767">
        <v>-400</v>
      </c>
      <c r="O767" t="s">
        <v>631</v>
      </c>
      <c r="P767" t="s">
        <v>820</v>
      </c>
      <c r="Q767" t="s">
        <v>465</v>
      </c>
      <c r="R767">
        <v>0</v>
      </c>
    </row>
    <row r="768" spans="1:18" x14ac:dyDescent="0.3">
      <c r="A768">
        <v>234568</v>
      </c>
      <c r="B768" t="s">
        <v>568</v>
      </c>
      <c r="C768" t="s">
        <v>853</v>
      </c>
      <c r="D768" t="s">
        <v>1210</v>
      </c>
      <c r="E768" s="452">
        <v>46143</v>
      </c>
      <c r="F768" s="452">
        <v>46178</v>
      </c>
      <c r="G768" t="s">
        <v>265</v>
      </c>
      <c r="H768" t="s">
        <v>269</v>
      </c>
      <c r="I768" t="s">
        <v>1211</v>
      </c>
      <c r="J768">
        <v>-20</v>
      </c>
      <c r="K768">
        <v>-20</v>
      </c>
      <c r="O768" t="s">
        <v>631</v>
      </c>
      <c r="P768" t="s">
        <v>820</v>
      </c>
      <c r="Q768" t="s">
        <v>465</v>
      </c>
      <c r="R768">
        <v>0</v>
      </c>
    </row>
    <row r="769" spans="1:18" x14ac:dyDescent="0.3">
      <c r="A769">
        <v>234569</v>
      </c>
      <c r="B769" t="s">
        <v>568</v>
      </c>
      <c r="C769" t="s">
        <v>853</v>
      </c>
      <c r="D769" t="s">
        <v>1212</v>
      </c>
      <c r="E769" s="452">
        <v>46143</v>
      </c>
      <c r="F769" s="452">
        <v>46178</v>
      </c>
      <c r="G769" t="s">
        <v>265</v>
      </c>
      <c r="H769" t="s">
        <v>273</v>
      </c>
      <c r="I769" t="s">
        <v>1213</v>
      </c>
      <c r="J769">
        <v>-180</v>
      </c>
      <c r="K769">
        <v>-180</v>
      </c>
      <c r="O769" t="s">
        <v>631</v>
      </c>
      <c r="P769" t="s">
        <v>820</v>
      </c>
      <c r="Q769" t="s">
        <v>465</v>
      </c>
      <c r="R769">
        <v>0</v>
      </c>
    </row>
    <row r="770" spans="1:18" x14ac:dyDescent="0.3">
      <c r="A770">
        <v>234571</v>
      </c>
      <c r="B770" t="s">
        <v>568</v>
      </c>
      <c r="C770" t="s">
        <v>853</v>
      </c>
      <c r="D770" t="s">
        <v>1214</v>
      </c>
      <c r="E770" s="452">
        <v>46143</v>
      </c>
      <c r="F770" s="452">
        <v>46178</v>
      </c>
      <c r="G770" t="s">
        <v>683</v>
      </c>
      <c r="H770" t="s">
        <v>292</v>
      </c>
      <c r="I770" t="s">
        <v>1215</v>
      </c>
      <c r="J770">
        <v>-174</v>
      </c>
      <c r="K770">
        <v>-174</v>
      </c>
      <c r="O770" t="s">
        <v>631</v>
      </c>
      <c r="P770" t="s">
        <v>820</v>
      </c>
      <c r="Q770" t="s">
        <v>465</v>
      </c>
      <c r="R770">
        <v>0</v>
      </c>
    </row>
    <row r="771" spans="1:18" x14ac:dyDescent="0.3">
      <c r="A771">
        <v>227718</v>
      </c>
      <c r="B771" t="s">
        <v>568</v>
      </c>
      <c r="C771" t="s">
        <v>720</v>
      </c>
      <c r="D771" t="s">
        <v>1216</v>
      </c>
      <c r="E771" s="452">
        <v>46143</v>
      </c>
      <c r="F771" s="452">
        <v>46178</v>
      </c>
      <c r="G771" t="s">
        <v>280</v>
      </c>
      <c r="H771" t="s">
        <v>287</v>
      </c>
      <c r="I771" t="s">
        <v>1217</v>
      </c>
      <c r="J771">
        <v>-436.5</v>
      </c>
      <c r="K771">
        <v>-436.5</v>
      </c>
      <c r="O771" t="s">
        <v>631</v>
      </c>
      <c r="P771" t="s">
        <v>820</v>
      </c>
      <c r="Q771" t="s">
        <v>465</v>
      </c>
      <c r="R771">
        <v>0</v>
      </c>
    </row>
    <row r="772" spans="1:18" x14ac:dyDescent="0.3">
      <c r="A772">
        <v>234553</v>
      </c>
      <c r="B772" t="s">
        <v>568</v>
      </c>
      <c r="C772" t="s">
        <v>853</v>
      </c>
      <c r="D772" t="s">
        <v>1218</v>
      </c>
      <c r="E772" s="452">
        <v>46143</v>
      </c>
      <c r="F772" s="452">
        <v>46178</v>
      </c>
      <c r="G772" t="s">
        <v>265</v>
      </c>
      <c r="H772" t="s">
        <v>273</v>
      </c>
      <c r="I772" t="s">
        <v>1219</v>
      </c>
      <c r="J772">
        <v>-60</v>
      </c>
      <c r="K772">
        <v>-60</v>
      </c>
      <c r="O772" t="s">
        <v>631</v>
      </c>
      <c r="P772" t="s">
        <v>820</v>
      </c>
      <c r="Q772" t="s">
        <v>465</v>
      </c>
      <c r="R772">
        <v>0</v>
      </c>
    </row>
    <row r="773" spans="1:18" x14ac:dyDescent="0.3">
      <c r="A773">
        <v>234549</v>
      </c>
      <c r="B773" t="s">
        <v>568</v>
      </c>
      <c r="C773" t="s">
        <v>853</v>
      </c>
      <c r="D773" t="s">
        <v>1220</v>
      </c>
      <c r="E773" s="452">
        <v>46143</v>
      </c>
      <c r="F773" s="452">
        <v>46178</v>
      </c>
      <c r="G773" t="s">
        <v>931</v>
      </c>
      <c r="H773" t="s">
        <v>932</v>
      </c>
      <c r="I773" t="s">
        <v>1221</v>
      </c>
      <c r="J773">
        <v>-18.09</v>
      </c>
      <c r="K773">
        <v>-18.09</v>
      </c>
      <c r="O773" t="s">
        <v>631</v>
      </c>
      <c r="P773" t="s">
        <v>820</v>
      </c>
      <c r="Q773" t="s">
        <v>465</v>
      </c>
      <c r="R773">
        <v>0</v>
      </c>
    </row>
    <row r="774" spans="1:18" x14ac:dyDescent="0.3">
      <c r="A774">
        <v>234761</v>
      </c>
      <c r="B774" t="s">
        <v>568</v>
      </c>
      <c r="C774" t="s">
        <v>853</v>
      </c>
      <c r="D774" t="s">
        <v>1222</v>
      </c>
      <c r="E774" s="452">
        <v>46143</v>
      </c>
      <c r="F774" s="452">
        <v>46178</v>
      </c>
      <c r="G774" t="s">
        <v>265</v>
      </c>
      <c r="H774" t="s">
        <v>269</v>
      </c>
      <c r="I774" t="s">
        <v>1211</v>
      </c>
      <c r="J774">
        <v>-26</v>
      </c>
      <c r="K774">
        <v>-26</v>
      </c>
      <c r="O774" t="s">
        <v>631</v>
      </c>
      <c r="P774" t="s">
        <v>820</v>
      </c>
      <c r="Q774" t="s">
        <v>465</v>
      </c>
      <c r="R774">
        <v>0</v>
      </c>
    </row>
    <row r="775" spans="1:18" x14ac:dyDescent="0.3">
      <c r="A775">
        <v>236731</v>
      </c>
      <c r="B775" t="s">
        <v>568</v>
      </c>
      <c r="C775" t="s">
        <v>937</v>
      </c>
      <c r="E775" s="452">
        <v>46143</v>
      </c>
      <c r="F775" s="452">
        <v>46178</v>
      </c>
      <c r="G775" t="s">
        <v>666</v>
      </c>
      <c r="H775" t="s">
        <v>667</v>
      </c>
      <c r="J775">
        <v>-890.05</v>
      </c>
      <c r="K775">
        <v>-890.05</v>
      </c>
      <c r="O775" t="s">
        <v>631</v>
      </c>
      <c r="P775" t="s">
        <v>820</v>
      </c>
      <c r="Q775" t="s">
        <v>465</v>
      </c>
      <c r="R775">
        <v>0</v>
      </c>
    </row>
    <row r="776" spans="1:18" x14ac:dyDescent="0.3">
      <c r="A776">
        <v>236730</v>
      </c>
      <c r="B776" t="s">
        <v>568</v>
      </c>
      <c r="C776" t="s">
        <v>829</v>
      </c>
      <c r="E776" s="452">
        <v>46143</v>
      </c>
      <c r="F776" s="452">
        <v>46178</v>
      </c>
      <c r="G776" t="s">
        <v>666</v>
      </c>
      <c r="H776" t="s">
        <v>667</v>
      </c>
      <c r="J776">
        <v>-3516.13</v>
      </c>
      <c r="K776">
        <v>-3516.13</v>
      </c>
      <c r="O776" t="s">
        <v>631</v>
      </c>
      <c r="P776" t="s">
        <v>820</v>
      </c>
      <c r="Q776" t="s">
        <v>465</v>
      </c>
      <c r="R776">
        <v>0</v>
      </c>
    </row>
    <row r="777" spans="1:18" x14ac:dyDescent="0.3">
      <c r="A777">
        <v>236729</v>
      </c>
      <c r="B777" t="s">
        <v>568</v>
      </c>
      <c r="C777" t="s">
        <v>953</v>
      </c>
      <c r="E777" s="452">
        <v>46143</v>
      </c>
      <c r="F777" s="452">
        <v>46178</v>
      </c>
      <c r="G777" t="s">
        <v>666</v>
      </c>
      <c r="H777" t="s">
        <v>667</v>
      </c>
      <c r="J777">
        <v>-4038.3</v>
      </c>
      <c r="K777">
        <v>-4038.3</v>
      </c>
      <c r="O777" t="s">
        <v>631</v>
      </c>
      <c r="P777" t="s">
        <v>820</v>
      </c>
      <c r="Q777" t="s">
        <v>465</v>
      </c>
      <c r="R777">
        <v>0</v>
      </c>
    </row>
    <row r="778" spans="1:18" x14ac:dyDescent="0.3">
      <c r="A778">
        <v>234550</v>
      </c>
      <c r="B778" t="s">
        <v>568</v>
      </c>
      <c r="C778" t="s">
        <v>853</v>
      </c>
      <c r="D778" t="s">
        <v>1223</v>
      </c>
      <c r="E778" s="452">
        <v>46143</v>
      </c>
      <c r="F778" s="452">
        <v>46178</v>
      </c>
      <c r="G778" t="s">
        <v>683</v>
      </c>
      <c r="H778" t="s">
        <v>292</v>
      </c>
      <c r="I778" t="s">
        <v>1224</v>
      </c>
      <c r="J778">
        <v>-20</v>
      </c>
      <c r="K778">
        <v>-20</v>
      </c>
      <c r="O778" t="s">
        <v>631</v>
      </c>
      <c r="P778" t="s">
        <v>820</v>
      </c>
      <c r="Q778" t="s">
        <v>465</v>
      </c>
      <c r="R778">
        <v>0</v>
      </c>
    </row>
    <row r="779" spans="1:18" x14ac:dyDescent="0.3">
      <c r="A779">
        <v>234552</v>
      </c>
      <c r="B779" t="s">
        <v>568</v>
      </c>
      <c r="C779" t="s">
        <v>853</v>
      </c>
      <c r="D779" t="s">
        <v>1225</v>
      </c>
      <c r="E779" s="452">
        <v>46143</v>
      </c>
      <c r="F779" s="452">
        <v>46178</v>
      </c>
      <c r="G779" t="s">
        <v>265</v>
      </c>
      <c r="H779" t="s">
        <v>276</v>
      </c>
      <c r="I779" t="s">
        <v>1163</v>
      </c>
      <c r="J779">
        <v>-50.9</v>
      </c>
      <c r="K779">
        <v>-50.9</v>
      </c>
      <c r="O779" t="s">
        <v>631</v>
      </c>
      <c r="P779" t="s">
        <v>820</v>
      </c>
      <c r="Q779" t="s">
        <v>465</v>
      </c>
      <c r="R779">
        <v>0</v>
      </c>
    </row>
    <row r="780" spans="1:18" x14ac:dyDescent="0.3">
      <c r="A780">
        <v>218659</v>
      </c>
      <c r="B780" t="s">
        <v>568</v>
      </c>
      <c r="C780" t="s">
        <v>606</v>
      </c>
      <c r="D780" t="s">
        <v>1226</v>
      </c>
      <c r="E780" s="452">
        <v>46143</v>
      </c>
      <c r="F780" s="452">
        <v>46223</v>
      </c>
      <c r="G780" t="s">
        <v>257</v>
      </c>
      <c r="H780" t="s">
        <v>258</v>
      </c>
      <c r="I780" t="s">
        <v>1227</v>
      </c>
      <c r="J780">
        <v>-6340.57</v>
      </c>
      <c r="K780">
        <v>-6340.57</v>
      </c>
      <c r="O780" t="s">
        <v>631</v>
      </c>
      <c r="Q780" t="s">
        <v>465</v>
      </c>
      <c r="R780">
        <v>0</v>
      </c>
    </row>
    <row r="781" spans="1:18" x14ac:dyDescent="0.3">
      <c r="A781">
        <v>234555</v>
      </c>
      <c r="B781" t="s">
        <v>568</v>
      </c>
      <c r="C781" t="s">
        <v>853</v>
      </c>
      <c r="D781" t="s">
        <v>1228</v>
      </c>
      <c r="E781" s="452">
        <v>46143</v>
      </c>
      <c r="F781" s="452">
        <v>46178</v>
      </c>
      <c r="G781" t="s">
        <v>931</v>
      </c>
      <c r="H781" t="s">
        <v>932</v>
      </c>
      <c r="I781" t="s">
        <v>1155</v>
      </c>
      <c r="J781">
        <v>-123.47</v>
      </c>
      <c r="K781">
        <v>-123.47</v>
      </c>
      <c r="O781" t="s">
        <v>631</v>
      </c>
      <c r="P781" t="s">
        <v>820</v>
      </c>
      <c r="Q781" t="s">
        <v>465</v>
      </c>
      <c r="R781">
        <v>0</v>
      </c>
    </row>
    <row r="782" spans="1:18" x14ac:dyDescent="0.3">
      <c r="A782">
        <v>234556</v>
      </c>
      <c r="B782" t="s">
        <v>568</v>
      </c>
      <c r="C782" t="s">
        <v>853</v>
      </c>
      <c r="D782" t="s">
        <v>1229</v>
      </c>
      <c r="E782" s="452">
        <v>46143</v>
      </c>
      <c r="F782" s="452">
        <v>46178</v>
      </c>
      <c r="G782" t="s">
        <v>683</v>
      </c>
      <c r="H782" t="s">
        <v>292</v>
      </c>
      <c r="I782" t="s">
        <v>1230</v>
      </c>
      <c r="J782">
        <v>-6.9</v>
      </c>
      <c r="K782">
        <v>-6.9</v>
      </c>
      <c r="O782" t="s">
        <v>631</v>
      </c>
      <c r="P782" t="s">
        <v>820</v>
      </c>
      <c r="Q782" t="s">
        <v>465</v>
      </c>
      <c r="R782">
        <v>0</v>
      </c>
    </row>
    <row r="783" spans="1:18" x14ac:dyDescent="0.3">
      <c r="A783">
        <v>229038</v>
      </c>
      <c r="B783" t="s">
        <v>568</v>
      </c>
      <c r="C783" t="s">
        <v>789</v>
      </c>
      <c r="D783" t="s">
        <v>1231</v>
      </c>
      <c r="E783" s="452">
        <v>46143</v>
      </c>
      <c r="F783" s="452">
        <v>46156</v>
      </c>
      <c r="G783" t="s">
        <v>790</v>
      </c>
      <c r="H783" t="s">
        <v>204</v>
      </c>
      <c r="I783" t="s">
        <v>1232</v>
      </c>
      <c r="J783">
        <v>-2122</v>
      </c>
      <c r="K783">
        <v>-2122</v>
      </c>
      <c r="O783" t="s">
        <v>631</v>
      </c>
      <c r="P783" t="s">
        <v>820</v>
      </c>
      <c r="Q783" t="s">
        <v>465</v>
      </c>
      <c r="R783">
        <v>0</v>
      </c>
    </row>
    <row r="784" spans="1:18" x14ac:dyDescent="0.3">
      <c r="A784">
        <v>234576</v>
      </c>
      <c r="B784" t="s">
        <v>568</v>
      </c>
      <c r="C784" t="s">
        <v>853</v>
      </c>
      <c r="D784" t="s">
        <v>1233</v>
      </c>
      <c r="E784" s="452">
        <v>46143</v>
      </c>
      <c r="F784" s="452">
        <v>46178</v>
      </c>
      <c r="G784" t="s">
        <v>931</v>
      </c>
      <c r="H784" t="s">
        <v>932</v>
      </c>
      <c r="I784" t="s">
        <v>1155</v>
      </c>
      <c r="J784">
        <v>-54.56</v>
      </c>
      <c r="K784">
        <v>-54.56</v>
      </c>
      <c r="O784" t="s">
        <v>631</v>
      </c>
      <c r="P784" t="s">
        <v>820</v>
      </c>
      <c r="Q784" t="s">
        <v>465</v>
      </c>
      <c r="R784">
        <v>0</v>
      </c>
    </row>
    <row r="785" spans="1:18" x14ac:dyDescent="0.3">
      <c r="A785">
        <v>234574</v>
      </c>
      <c r="B785" t="s">
        <v>568</v>
      </c>
      <c r="C785" t="s">
        <v>853</v>
      </c>
      <c r="D785" t="s">
        <v>1234</v>
      </c>
      <c r="E785" s="452">
        <v>46143</v>
      </c>
      <c r="F785" s="452">
        <v>46178</v>
      </c>
      <c r="G785" t="s">
        <v>931</v>
      </c>
      <c r="H785" t="s">
        <v>932</v>
      </c>
      <c r="I785" t="s">
        <v>1155</v>
      </c>
      <c r="J785">
        <v>-34.770000000000003</v>
      </c>
      <c r="K785">
        <v>-34.770000000000003</v>
      </c>
      <c r="O785" t="s">
        <v>631</v>
      </c>
      <c r="P785" t="s">
        <v>820</v>
      </c>
      <c r="Q785" t="s">
        <v>465</v>
      </c>
      <c r="R785">
        <v>0</v>
      </c>
    </row>
    <row r="786" spans="1:18" x14ac:dyDescent="0.3">
      <c r="A786">
        <v>234573</v>
      </c>
      <c r="B786" t="s">
        <v>568</v>
      </c>
      <c r="C786" t="s">
        <v>853</v>
      </c>
      <c r="D786" t="s">
        <v>1235</v>
      </c>
      <c r="E786" s="452">
        <v>46143</v>
      </c>
      <c r="F786" s="452">
        <v>46178</v>
      </c>
      <c r="G786" t="s">
        <v>265</v>
      </c>
      <c r="H786" t="s">
        <v>269</v>
      </c>
      <c r="I786" t="s">
        <v>1236</v>
      </c>
      <c r="J786">
        <v>-86</v>
      </c>
      <c r="K786">
        <v>-86</v>
      </c>
      <c r="O786" t="s">
        <v>631</v>
      </c>
      <c r="P786" t="s">
        <v>820</v>
      </c>
      <c r="Q786" t="s">
        <v>465</v>
      </c>
      <c r="R786">
        <v>0</v>
      </c>
    </row>
    <row r="787" spans="1:18" x14ac:dyDescent="0.3">
      <c r="A787">
        <v>199342</v>
      </c>
      <c r="B787" t="s">
        <v>568</v>
      </c>
      <c r="C787" t="s">
        <v>753</v>
      </c>
      <c r="D787" t="s">
        <v>1237</v>
      </c>
      <c r="E787" s="452">
        <v>46143</v>
      </c>
      <c r="F787" s="452">
        <v>46188</v>
      </c>
      <c r="G787" t="s">
        <v>677</v>
      </c>
      <c r="H787" t="s">
        <v>678</v>
      </c>
      <c r="I787" t="s">
        <v>754</v>
      </c>
      <c r="J787">
        <v>-8000</v>
      </c>
      <c r="K787">
        <v>-8000</v>
      </c>
      <c r="M787" t="s">
        <v>755</v>
      </c>
      <c r="N787" t="s">
        <v>132</v>
      </c>
      <c r="O787" t="s">
        <v>631</v>
      </c>
      <c r="P787" t="s">
        <v>820</v>
      </c>
      <c r="Q787" t="s">
        <v>465</v>
      </c>
      <c r="R787">
        <v>0</v>
      </c>
    </row>
    <row r="788" spans="1:18" x14ac:dyDescent="0.3">
      <c r="A788">
        <v>192490</v>
      </c>
      <c r="B788" t="s">
        <v>568</v>
      </c>
      <c r="C788" t="s">
        <v>778</v>
      </c>
      <c r="D788" t="s">
        <v>1238</v>
      </c>
      <c r="E788" s="452">
        <v>46143</v>
      </c>
      <c r="F788" s="452">
        <v>46162</v>
      </c>
      <c r="G788" t="s">
        <v>309</v>
      </c>
      <c r="H788" t="s">
        <v>313</v>
      </c>
      <c r="I788" t="s">
        <v>1239</v>
      </c>
      <c r="J788">
        <v>-185</v>
      </c>
      <c r="K788">
        <v>-185</v>
      </c>
      <c r="O788" t="s">
        <v>631</v>
      </c>
      <c r="P788" t="s">
        <v>820</v>
      </c>
      <c r="Q788" t="s">
        <v>465</v>
      </c>
      <c r="R788">
        <v>0</v>
      </c>
    </row>
    <row r="789" spans="1:18" x14ac:dyDescent="0.3">
      <c r="A789">
        <v>193015</v>
      </c>
      <c r="B789" t="s">
        <v>568</v>
      </c>
      <c r="C789" t="s">
        <v>769</v>
      </c>
      <c r="D789" t="s">
        <v>1240</v>
      </c>
      <c r="E789" s="452">
        <v>46143</v>
      </c>
      <c r="F789" s="452">
        <v>46178</v>
      </c>
      <c r="G789" t="s">
        <v>280</v>
      </c>
      <c r="H789" t="s">
        <v>283</v>
      </c>
      <c r="I789" t="s">
        <v>1241</v>
      </c>
      <c r="J789">
        <v>-23.9</v>
      </c>
      <c r="K789">
        <v>-23.9</v>
      </c>
      <c r="O789" t="s">
        <v>631</v>
      </c>
      <c r="P789" t="s">
        <v>820</v>
      </c>
      <c r="Q789" t="s">
        <v>465</v>
      </c>
      <c r="R789">
        <v>0</v>
      </c>
    </row>
    <row r="790" spans="1:18" x14ac:dyDescent="0.3">
      <c r="A790">
        <v>193415</v>
      </c>
      <c r="B790" t="s">
        <v>568</v>
      </c>
      <c r="C790" t="s">
        <v>723</v>
      </c>
      <c r="D790" t="s">
        <v>1242</v>
      </c>
      <c r="E790" s="452">
        <v>46143</v>
      </c>
      <c r="F790" s="452">
        <v>46160</v>
      </c>
      <c r="G790" t="s">
        <v>724</v>
      </c>
      <c r="H790" t="s">
        <v>725</v>
      </c>
      <c r="I790" t="s">
        <v>1243</v>
      </c>
      <c r="J790">
        <v>-700</v>
      </c>
      <c r="K790">
        <v>-700</v>
      </c>
      <c r="O790" t="s">
        <v>631</v>
      </c>
      <c r="P790" t="s">
        <v>820</v>
      </c>
      <c r="Q790" t="s">
        <v>465</v>
      </c>
      <c r="R790">
        <v>0</v>
      </c>
    </row>
    <row r="791" spans="1:18" x14ac:dyDescent="0.3">
      <c r="A791">
        <v>196066</v>
      </c>
      <c r="B791" t="s">
        <v>568</v>
      </c>
      <c r="C791" t="s">
        <v>671</v>
      </c>
      <c r="D791" t="s">
        <v>1244</v>
      </c>
      <c r="E791" s="452">
        <v>46143</v>
      </c>
      <c r="F791" s="452">
        <v>46140</v>
      </c>
      <c r="G791" t="s">
        <v>672</v>
      </c>
      <c r="H791" t="s">
        <v>240</v>
      </c>
      <c r="I791" t="s">
        <v>691</v>
      </c>
      <c r="J791">
        <v>-1795.55</v>
      </c>
      <c r="K791">
        <v>-1795.55</v>
      </c>
      <c r="O791" t="s">
        <v>631</v>
      </c>
      <c r="P791" t="s">
        <v>820</v>
      </c>
      <c r="Q791" t="s">
        <v>465</v>
      </c>
      <c r="R791">
        <v>0</v>
      </c>
    </row>
    <row r="792" spans="1:18" x14ac:dyDescent="0.3">
      <c r="A792">
        <v>192608</v>
      </c>
      <c r="B792" t="s">
        <v>568</v>
      </c>
      <c r="C792" t="s">
        <v>682</v>
      </c>
      <c r="D792" t="s">
        <v>1245</v>
      </c>
      <c r="E792" s="452">
        <v>46143</v>
      </c>
      <c r="F792" s="452">
        <v>46162</v>
      </c>
      <c r="G792" t="s">
        <v>683</v>
      </c>
      <c r="H792" t="s">
        <v>289</v>
      </c>
      <c r="I792" t="s">
        <v>1246</v>
      </c>
      <c r="J792">
        <v>-1500</v>
      </c>
      <c r="K792">
        <v>-1500</v>
      </c>
      <c r="O792" t="s">
        <v>631</v>
      </c>
      <c r="P792" t="s">
        <v>820</v>
      </c>
      <c r="Q792" t="s">
        <v>465</v>
      </c>
      <c r="R792">
        <v>0</v>
      </c>
    </row>
    <row r="793" spans="1:18" x14ac:dyDescent="0.3">
      <c r="A793">
        <v>191969</v>
      </c>
      <c r="B793" t="s">
        <v>568</v>
      </c>
      <c r="C793" t="s">
        <v>727</v>
      </c>
      <c r="D793" t="s">
        <v>1247</v>
      </c>
      <c r="E793" s="452">
        <v>46143</v>
      </c>
      <c r="F793" s="452">
        <v>46169</v>
      </c>
      <c r="G793" t="s">
        <v>265</v>
      </c>
      <c r="H793" t="s">
        <v>272</v>
      </c>
      <c r="I793" t="s">
        <v>1248</v>
      </c>
      <c r="J793">
        <v>-688.27</v>
      </c>
      <c r="K793">
        <v>-688.27</v>
      </c>
      <c r="O793" t="s">
        <v>631</v>
      </c>
      <c r="P793" t="s">
        <v>820</v>
      </c>
      <c r="Q793" t="s">
        <v>465</v>
      </c>
      <c r="R793">
        <v>0</v>
      </c>
    </row>
    <row r="794" spans="1:18" x14ac:dyDescent="0.3">
      <c r="A794">
        <v>199949</v>
      </c>
      <c r="B794" t="s">
        <v>568</v>
      </c>
      <c r="C794" t="s">
        <v>676</v>
      </c>
      <c r="D794" t="s">
        <v>1249</v>
      </c>
      <c r="E794" s="452">
        <v>46143</v>
      </c>
      <c r="F794" s="452">
        <v>46174</v>
      </c>
      <c r="G794" t="s">
        <v>677</v>
      </c>
      <c r="H794" t="s">
        <v>678</v>
      </c>
      <c r="I794" t="s">
        <v>745</v>
      </c>
      <c r="J794">
        <v>-1350</v>
      </c>
      <c r="K794">
        <v>-1350</v>
      </c>
      <c r="M794" t="s">
        <v>680</v>
      </c>
      <c r="N794" t="s">
        <v>134</v>
      </c>
      <c r="O794" t="s">
        <v>631</v>
      </c>
      <c r="P794" t="s">
        <v>820</v>
      </c>
      <c r="Q794" t="s">
        <v>465</v>
      </c>
      <c r="R794">
        <v>0</v>
      </c>
    </row>
    <row r="795" spans="1:18" x14ac:dyDescent="0.3">
      <c r="A795">
        <v>191861</v>
      </c>
      <c r="B795" t="s">
        <v>568</v>
      </c>
      <c r="C795" t="s">
        <v>708</v>
      </c>
      <c r="D795" t="s">
        <v>1250</v>
      </c>
      <c r="E795" s="452">
        <v>46143</v>
      </c>
      <c r="F795" s="452">
        <v>46163</v>
      </c>
      <c r="G795" t="s">
        <v>280</v>
      </c>
      <c r="H795" t="s">
        <v>283</v>
      </c>
      <c r="I795" t="s">
        <v>1251</v>
      </c>
      <c r="J795">
        <v>-334.6</v>
      </c>
      <c r="K795">
        <v>-334.6</v>
      </c>
      <c r="O795" t="s">
        <v>631</v>
      </c>
      <c r="P795" t="s">
        <v>820</v>
      </c>
      <c r="Q795" t="s">
        <v>465</v>
      </c>
      <c r="R795">
        <v>0</v>
      </c>
    </row>
    <row r="796" spans="1:18" x14ac:dyDescent="0.3">
      <c r="A796">
        <v>192820</v>
      </c>
      <c r="B796" t="s">
        <v>568</v>
      </c>
      <c r="C796" t="s">
        <v>757</v>
      </c>
      <c r="D796" t="s">
        <v>1240</v>
      </c>
      <c r="E796" s="452">
        <v>46143</v>
      </c>
      <c r="F796" s="452">
        <v>46157</v>
      </c>
      <c r="G796" t="s">
        <v>309</v>
      </c>
      <c r="H796" t="s">
        <v>317</v>
      </c>
      <c r="I796" t="s">
        <v>1252</v>
      </c>
      <c r="J796">
        <v>-350</v>
      </c>
      <c r="K796">
        <v>-350</v>
      </c>
      <c r="O796" t="s">
        <v>631</v>
      </c>
      <c r="P796" t="s">
        <v>820</v>
      </c>
      <c r="Q796" t="s">
        <v>465</v>
      </c>
      <c r="R796">
        <v>0</v>
      </c>
    </row>
    <row r="797" spans="1:18" x14ac:dyDescent="0.3">
      <c r="A797">
        <v>192374</v>
      </c>
      <c r="B797" t="s">
        <v>568</v>
      </c>
      <c r="C797" t="s">
        <v>733</v>
      </c>
      <c r="D797" t="s">
        <v>1253</v>
      </c>
      <c r="E797" s="452">
        <v>46143</v>
      </c>
      <c r="F797" s="452">
        <v>46185</v>
      </c>
      <c r="G797" t="s">
        <v>297</v>
      </c>
      <c r="H797" t="s">
        <v>299</v>
      </c>
      <c r="I797" t="s">
        <v>1254</v>
      </c>
      <c r="J797">
        <v>-500</v>
      </c>
      <c r="K797">
        <v>-500</v>
      </c>
      <c r="O797" t="s">
        <v>631</v>
      </c>
      <c r="P797" t="s">
        <v>820</v>
      </c>
      <c r="Q797" t="s">
        <v>465</v>
      </c>
      <c r="R797">
        <v>0</v>
      </c>
    </row>
    <row r="798" spans="1:18" x14ac:dyDescent="0.3">
      <c r="A798">
        <v>196078</v>
      </c>
      <c r="B798" t="s">
        <v>568</v>
      </c>
      <c r="C798" t="s">
        <v>671</v>
      </c>
      <c r="D798" t="s">
        <v>1255</v>
      </c>
      <c r="E798" s="452">
        <v>46143</v>
      </c>
      <c r="F798" s="452">
        <v>46140</v>
      </c>
      <c r="G798" t="s">
        <v>672</v>
      </c>
      <c r="H798" t="s">
        <v>240</v>
      </c>
      <c r="I798" t="s">
        <v>687</v>
      </c>
      <c r="J798">
        <v>-724.97</v>
      </c>
      <c r="K798">
        <v>-724.97</v>
      </c>
      <c r="O798" t="s">
        <v>631</v>
      </c>
      <c r="P798" t="s">
        <v>820</v>
      </c>
      <c r="Q798" t="s">
        <v>465</v>
      </c>
      <c r="R798">
        <v>0</v>
      </c>
    </row>
    <row r="799" spans="1:18" x14ac:dyDescent="0.3">
      <c r="A799">
        <v>199355</v>
      </c>
      <c r="B799" t="s">
        <v>568</v>
      </c>
      <c r="C799" t="s">
        <v>744</v>
      </c>
      <c r="D799" t="s">
        <v>1256</v>
      </c>
      <c r="E799" s="452">
        <v>46143</v>
      </c>
      <c r="F799" s="452">
        <v>46182</v>
      </c>
      <c r="G799" t="s">
        <v>677</v>
      </c>
      <c r="H799" t="s">
        <v>678</v>
      </c>
      <c r="I799" t="s">
        <v>745</v>
      </c>
      <c r="J799">
        <v>-2000</v>
      </c>
      <c r="K799">
        <v>-2000</v>
      </c>
      <c r="M799" t="s">
        <v>746</v>
      </c>
      <c r="N799" t="s">
        <v>131</v>
      </c>
      <c r="O799" t="s">
        <v>631</v>
      </c>
      <c r="P799" t="s">
        <v>820</v>
      </c>
      <c r="Q799" t="s">
        <v>465</v>
      </c>
      <c r="R799">
        <v>0</v>
      </c>
    </row>
    <row r="800" spans="1:18" x14ac:dyDescent="0.3">
      <c r="A800">
        <v>192177</v>
      </c>
      <c r="B800" t="s">
        <v>568</v>
      </c>
      <c r="C800" t="s">
        <v>1257</v>
      </c>
      <c r="D800" t="s">
        <v>1258</v>
      </c>
      <c r="E800" s="452">
        <v>46143</v>
      </c>
      <c r="F800" s="452">
        <v>46162</v>
      </c>
      <c r="G800" t="s">
        <v>265</v>
      </c>
      <c r="H800" t="s">
        <v>271</v>
      </c>
      <c r="I800" t="s">
        <v>1259</v>
      </c>
      <c r="J800">
        <v>-550</v>
      </c>
      <c r="K800">
        <v>-550</v>
      </c>
      <c r="O800" t="s">
        <v>631</v>
      </c>
      <c r="P800" t="s">
        <v>820</v>
      </c>
      <c r="Q800" t="s">
        <v>465</v>
      </c>
      <c r="R800">
        <v>0</v>
      </c>
    </row>
    <row r="801" spans="1:18" x14ac:dyDescent="0.3">
      <c r="A801">
        <v>192119</v>
      </c>
      <c r="B801" t="s">
        <v>568</v>
      </c>
      <c r="C801" t="s">
        <v>761</v>
      </c>
      <c r="D801" t="s">
        <v>1260</v>
      </c>
      <c r="E801" s="452">
        <v>46143</v>
      </c>
      <c r="F801" s="452">
        <v>46162</v>
      </c>
      <c r="G801" t="s">
        <v>309</v>
      </c>
      <c r="H801" t="s">
        <v>312</v>
      </c>
      <c r="I801" t="s">
        <v>1261</v>
      </c>
      <c r="J801">
        <v>-300</v>
      </c>
      <c r="K801">
        <v>-300</v>
      </c>
      <c r="O801" t="s">
        <v>631</v>
      </c>
      <c r="P801" t="s">
        <v>820</v>
      </c>
      <c r="Q801" t="s">
        <v>465</v>
      </c>
      <c r="R801">
        <v>0</v>
      </c>
    </row>
    <row r="802" spans="1:18" x14ac:dyDescent="0.3">
      <c r="A802">
        <v>175481</v>
      </c>
      <c r="B802" t="s">
        <v>568</v>
      </c>
      <c r="C802" t="s">
        <v>606</v>
      </c>
      <c r="D802" t="s">
        <v>1226</v>
      </c>
      <c r="E802" s="452">
        <v>46143</v>
      </c>
      <c r="F802" s="452">
        <v>46183</v>
      </c>
      <c r="G802" t="s">
        <v>257</v>
      </c>
      <c r="H802" t="s">
        <v>258</v>
      </c>
      <c r="I802" t="s">
        <v>1262</v>
      </c>
      <c r="J802">
        <v>-28364.51</v>
      </c>
      <c r="K802">
        <v>-26634.51</v>
      </c>
      <c r="O802" t="s">
        <v>631</v>
      </c>
      <c r="P802" t="s">
        <v>820</v>
      </c>
      <c r="Q802" t="s">
        <v>465</v>
      </c>
      <c r="R802">
        <v>0</v>
      </c>
    </row>
    <row r="803" spans="1:18" x14ac:dyDescent="0.3">
      <c r="A803">
        <v>191813</v>
      </c>
      <c r="B803" t="s">
        <v>568</v>
      </c>
      <c r="C803" t="s">
        <v>740</v>
      </c>
      <c r="D803" t="s">
        <v>1263</v>
      </c>
      <c r="E803" s="452">
        <v>46143</v>
      </c>
      <c r="F803" s="452">
        <v>46167</v>
      </c>
      <c r="G803" t="s">
        <v>265</v>
      </c>
      <c r="H803" t="s">
        <v>266</v>
      </c>
      <c r="I803" t="s">
        <v>1264</v>
      </c>
      <c r="J803">
        <v>-4940.7299999999996</v>
      </c>
      <c r="K803">
        <v>-4940.7299999999996</v>
      </c>
      <c r="O803" t="s">
        <v>631</v>
      </c>
      <c r="P803" t="s">
        <v>820</v>
      </c>
      <c r="Q803" t="s">
        <v>465</v>
      </c>
      <c r="R803">
        <v>0</v>
      </c>
    </row>
    <row r="804" spans="1:18" x14ac:dyDescent="0.3">
      <c r="A804">
        <v>200002</v>
      </c>
      <c r="B804" t="s">
        <v>568</v>
      </c>
      <c r="C804" t="s">
        <v>759</v>
      </c>
      <c r="D804" t="s">
        <v>923</v>
      </c>
      <c r="E804" s="452">
        <v>46143</v>
      </c>
      <c r="F804" s="452">
        <v>46182</v>
      </c>
      <c r="G804" t="s">
        <v>677</v>
      </c>
      <c r="H804" t="s">
        <v>678</v>
      </c>
      <c r="I804" t="s">
        <v>745</v>
      </c>
      <c r="J804">
        <v>-1125</v>
      </c>
      <c r="K804">
        <v>-1125</v>
      </c>
      <c r="M804" t="s">
        <v>760</v>
      </c>
      <c r="N804" t="s">
        <v>131</v>
      </c>
      <c r="O804" t="s">
        <v>631</v>
      </c>
      <c r="P804" t="s">
        <v>820</v>
      </c>
      <c r="Q804" t="s">
        <v>465</v>
      </c>
      <c r="R804">
        <v>0</v>
      </c>
    </row>
    <row r="805" spans="1:18" x14ac:dyDescent="0.3">
      <c r="A805">
        <v>197945</v>
      </c>
      <c r="B805" t="s">
        <v>568</v>
      </c>
      <c r="C805" t="s">
        <v>688</v>
      </c>
      <c r="D805" t="s">
        <v>1265</v>
      </c>
      <c r="E805" s="452">
        <v>46143</v>
      </c>
      <c r="F805" s="452">
        <v>46183</v>
      </c>
      <c r="G805" t="s">
        <v>666</v>
      </c>
      <c r="H805" t="s">
        <v>667</v>
      </c>
      <c r="I805" t="s">
        <v>1266</v>
      </c>
      <c r="J805">
        <v>-2656</v>
      </c>
      <c r="K805">
        <v>-2656</v>
      </c>
      <c r="O805" t="s">
        <v>631</v>
      </c>
      <c r="P805" t="s">
        <v>820</v>
      </c>
      <c r="Q805" t="s">
        <v>465</v>
      </c>
      <c r="R805">
        <v>0</v>
      </c>
    </row>
    <row r="806" spans="1:18" x14ac:dyDescent="0.3">
      <c r="A806">
        <v>215974</v>
      </c>
      <c r="B806" t="s">
        <v>568</v>
      </c>
      <c r="C806" t="s">
        <v>606</v>
      </c>
      <c r="D806" t="s">
        <v>1226</v>
      </c>
      <c r="E806" s="452">
        <v>46143</v>
      </c>
      <c r="F806" s="452">
        <v>46183</v>
      </c>
      <c r="G806" t="s">
        <v>257</v>
      </c>
      <c r="H806" t="s">
        <v>260</v>
      </c>
      <c r="I806" t="s">
        <v>1267</v>
      </c>
      <c r="J806">
        <v>-2935.69</v>
      </c>
      <c r="K806">
        <v>-2935.69</v>
      </c>
      <c r="O806" t="s">
        <v>631</v>
      </c>
      <c r="P806" t="s">
        <v>820</v>
      </c>
      <c r="Q806" t="s">
        <v>465</v>
      </c>
      <c r="R806">
        <v>0</v>
      </c>
    </row>
    <row r="807" spans="1:18" x14ac:dyDescent="0.3">
      <c r="A807">
        <v>99344</v>
      </c>
      <c r="B807" t="s">
        <v>568</v>
      </c>
      <c r="C807" t="s">
        <v>569</v>
      </c>
      <c r="D807" t="s">
        <v>1021</v>
      </c>
      <c r="E807" s="452">
        <v>46143</v>
      </c>
      <c r="F807" s="452">
        <v>46152</v>
      </c>
      <c r="G807" t="s">
        <v>257</v>
      </c>
      <c r="H807" t="s">
        <v>263</v>
      </c>
      <c r="I807" t="s">
        <v>570</v>
      </c>
      <c r="J807">
        <v>-12000</v>
      </c>
      <c r="K807">
        <v>-12000</v>
      </c>
      <c r="O807" t="s">
        <v>631</v>
      </c>
      <c r="P807" t="s">
        <v>820</v>
      </c>
      <c r="Q807" t="s">
        <v>465</v>
      </c>
      <c r="R807">
        <v>0</v>
      </c>
    </row>
    <row r="808" spans="1:18" x14ac:dyDescent="0.3">
      <c r="A808">
        <v>192104</v>
      </c>
      <c r="B808" t="s">
        <v>568</v>
      </c>
      <c r="C808" t="s">
        <v>767</v>
      </c>
      <c r="D808" t="s">
        <v>1268</v>
      </c>
      <c r="E808" s="452">
        <v>46143</v>
      </c>
      <c r="F808" s="452">
        <v>46178</v>
      </c>
      <c r="G808" t="s">
        <v>309</v>
      </c>
      <c r="H808" t="s">
        <v>315</v>
      </c>
      <c r="I808" t="s">
        <v>1269</v>
      </c>
      <c r="J808">
        <v>-981.02</v>
      </c>
      <c r="K808">
        <v>-981.02</v>
      </c>
      <c r="O808" t="s">
        <v>631</v>
      </c>
      <c r="P808" t="s">
        <v>820</v>
      </c>
      <c r="Q808" t="s">
        <v>465</v>
      </c>
      <c r="R808">
        <v>0</v>
      </c>
    </row>
    <row r="809" spans="1:18" x14ac:dyDescent="0.3">
      <c r="A809">
        <v>175526</v>
      </c>
      <c r="B809" t="s">
        <v>568</v>
      </c>
      <c r="C809" t="s">
        <v>606</v>
      </c>
      <c r="D809" t="s">
        <v>1270</v>
      </c>
      <c r="E809" s="452">
        <v>46143</v>
      </c>
      <c r="F809" s="452">
        <v>46146</v>
      </c>
      <c r="G809" t="s">
        <v>613</v>
      </c>
      <c r="H809" t="s">
        <v>369</v>
      </c>
      <c r="I809" t="s">
        <v>614</v>
      </c>
      <c r="J809">
        <v>-5792.21</v>
      </c>
      <c r="K809">
        <v>-5792.21</v>
      </c>
      <c r="O809" t="s">
        <v>631</v>
      </c>
      <c r="P809" t="s">
        <v>820</v>
      </c>
      <c r="Q809" t="s">
        <v>465</v>
      </c>
      <c r="R809">
        <v>0</v>
      </c>
    </row>
    <row r="810" spans="1:18" x14ac:dyDescent="0.3">
      <c r="A810">
        <v>197932</v>
      </c>
      <c r="B810" t="s">
        <v>568</v>
      </c>
      <c r="C810" t="s">
        <v>688</v>
      </c>
      <c r="D810" t="s">
        <v>1265</v>
      </c>
      <c r="E810" s="452">
        <v>46143</v>
      </c>
      <c r="F810" s="452">
        <v>46162</v>
      </c>
      <c r="G810" t="s">
        <v>666</v>
      </c>
      <c r="H810" t="s">
        <v>667</v>
      </c>
      <c r="I810" t="s">
        <v>1271</v>
      </c>
      <c r="J810">
        <v>-2656</v>
      </c>
      <c r="K810">
        <v>-2656</v>
      </c>
      <c r="O810" t="s">
        <v>631</v>
      </c>
      <c r="P810" t="s">
        <v>820</v>
      </c>
      <c r="Q810" t="s">
        <v>465</v>
      </c>
      <c r="R810">
        <v>0</v>
      </c>
    </row>
    <row r="811" spans="1:18" x14ac:dyDescent="0.3">
      <c r="A811">
        <v>191825</v>
      </c>
      <c r="B811" t="s">
        <v>568</v>
      </c>
      <c r="C811" t="s">
        <v>765</v>
      </c>
      <c r="D811" t="s">
        <v>1272</v>
      </c>
      <c r="E811" s="452">
        <v>46143</v>
      </c>
      <c r="F811" s="452">
        <v>46168</v>
      </c>
      <c r="G811" t="s">
        <v>265</v>
      </c>
      <c r="H811" t="s">
        <v>268</v>
      </c>
      <c r="I811" t="s">
        <v>1273</v>
      </c>
      <c r="J811">
        <v>-4164.8</v>
      </c>
      <c r="K811">
        <v>-4164.8</v>
      </c>
      <c r="O811" t="s">
        <v>631</v>
      </c>
      <c r="P811" t="s">
        <v>820</v>
      </c>
      <c r="Q811" t="s">
        <v>465</v>
      </c>
      <c r="R811">
        <v>0</v>
      </c>
    </row>
    <row r="812" spans="1:18" x14ac:dyDescent="0.3">
      <c r="A812">
        <v>192857</v>
      </c>
      <c r="B812" t="s">
        <v>568</v>
      </c>
      <c r="C812" t="s">
        <v>662</v>
      </c>
      <c r="D812" t="s">
        <v>1274</v>
      </c>
      <c r="E812" s="452">
        <v>46143</v>
      </c>
      <c r="F812" s="452">
        <v>46162</v>
      </c>
      <c r="G812" t="s">
        <v>280</v>
      </c>
      <c r="H812" t="s">
        <v>284</v>
      </c>
      <c r="I812" t="s">
        <v>1062</v>
      </c>
      <c r="J812">
        <v>-181.27</v>
      </c>
      <c r="K812">
        <v>-181.27</v>
      </c>
      <c r="O812" t="s">
        <v>631</v>
      </c>
      <c r="P812" t="s">
        <v>820</v>
      </c>
      <c r="Q812" t="s">
        <v>465</v>
      </c>
      <c r="R812">
        <v>0</v>
      </c>
    </row>
    <row r="813" spans="1:18" x14ac:dyDescent="0.3">
      <c r="A813">
        <v>199989</v>
      </c>
      <c r="B813" t="s">
        <v>568</v>
      </c>
      <c r="C813" t="s">
        <v>771</v>
      </c>
      <c r="D813" t="s">
        <v>1275</v>
      </c>
      <c r="E813" s="452">
        <v>46143</v>
      </c>
      <c r="F813" s="452">
        <v>46183</v>
      </c>
      <c r="G813" t="s">
        <v>677</v>
      </c>
      <c r="H813" t="s">
        <v>678</v>
      </c>
      <c r="I813" t="s">
        <v>745</v>
      </c>
      <c r="J813">
        <v>-1750</v>
      </c>
      <c r="K813">
        <v>-1750</v>
      </c>
      <c r="M813" t="s">
        <v>772</v>
      </c>
      <c r="N813" t="s">
        <v>135</v>
      </c>
      <c r="O813" t="s">
        <v>631</v>
      </c>
      <c r="P813" t="s">
        <v>820</v>
      </c>
      <c r="Q813" t="s">
        <v>465</v>
      </c>
      <c r="R813">
        <v>0</v>
      </c>
    </row>
    <row r="814" spans="1:18" x14ac:dyDescent="0.3">
      <c r="A814">
        <v>192317</v>
      </c>
      <c r="B814" t="s">
        <v>568</v>
      </c>
      <c r="C814" t="s">
        <v>749</v>
      </c>
      <c r="D814" t="s">
        <v>1276</v>
      </c>
      <c r="E814" s="452">
        <v>46143</v>
      </c>
      <c r="F814" s="452">
        <v>46177</v>
      </c>
      <c r="G814" t="s">
        <v>297</v>
      </c>
      <c r="H814" t="s">
        <v>298</v>
      </c>
      <c r="I814" t="s">
        <v>1277</v>
      </c>
      <c r="J814">
        <v>-3000</v>
      </c>
      <c r="K814">
        <v>-3000</v>
      </c>
      <c r="M814" t="s">
        <v>751</v>
      </c>
      <c r="N814" t="s">
        <v>752</v>
      </c>
      <c r="O814" t="s">
        <v>631</v>
      </c>
      <c r="Q814" t="s">
        <v>465</v>
      </c>
      <c r="R814">
        <v>0</v>
      </c>
    </row>
    <row r="815" spans="1:18" x14ac:dyDescent="0.3">
      <c r="A815">
        <v>192341</v>
      </c>
      <c r="B815" t="s">
        <v>568</v>
      </c>
      <c r="C815" t="s">
        <v>742</v>
      </c>
      <c r="D815" t="s">
        <v>1278</v>
      </c>
      <c r="E815" s="452">
        <v>46143</v>
      </c>
      <c r="F815" s="452">
        <v>46155</v>
      </c>
      <c r="G815" t="s">
        <v>280</v>
      </c>
      <c r="H815" t="s">
        <v>282</v>
      </c>
      <c r="I815" t="s">
        <v>1279</v>
      </c>
      <c r="J815">
        <v>-249.9</v>
      </c>
      <c r="K815">
        <v>-249.9</v>
      </c>
      <c r="O815" t="s">
        <v>631</v>
      </c>
      <c r="P815" t="s">
        <v>820</v>
      </c>
      <c r="Q815" t="s">
        <v>465</v>
      </c>
      <c r="R815">
        <v>0</v>
      </c>
    </row>
    <row r="816" spans="1:18" x14ac:dyDescent="0.3">
      <c r="A816">
        <v>199977</v>
      </c>
      <c r="B816" t="s">
        <v>568</v>
      </c>
      <c r="C816" t="s">
        <v>747</v>
      </c>
      <c r="D816" t="s">
        <v>1280</v>
      </c>
      <c r="E816" s="452">
        <v>46143</v>
      </c>
      <c r="F816" s="452">
        <v>46188</v>
      </c>
      <c r="G816" t="s">
        <v>677</v>
      </c>
      <c r="H816" t="s">
        <v>678</v>
      </c>
      <c r="I816" t="s">
        <v>745</v>
      </c>
      <c r="J816">
        <v>-600</v>
      </c>
      <c r="K816">
        <v>-600</v>
      </c>
      <c r="M816" t="s">
        <v>748</v>
      </c>
      <c r="N816" t="s">
        <v>75</v>
      </c>
      <c r="O816" t="s">
        <v>631</v>
      </c>
      <c r="P816" t="s">
        <v>820</v>
      </c>
      <c r="Q816" t="s">
        <v>465</v>
      </c>
      <c r="R816">
        <v>0</v>
      </c>
    </row>
    <row r="817" spans="1:18" x14ac:dyDescent="0.3">
      <c r="A817">
        <v>204970</v>
      </c>
      <c r="B817" t="s">
        <v>568</v>
      </c>
      <c r="C817" t="s">
        <v>685</v>
      </c>
      <c r="D817" t="s">
        <v>1281</v>
      </c>
      <c r="E817" s="452">
        <v>46143</v>
      </c>
      <c r="F817" s="452">
        <v>46172</v>
      </c>
      <c r="G817" t="s">
        <v>672</v>
      </c>
      <c r="H817" t="s">
        <v>243</v>
      </c>
      <c r="I817" t="s">
        <v>686</v>
      </c>
      <c r="J817">
        <v>-69.22</v>
      </c>
      <c r="K817">
        <v>-69.22</v>
      </c>
      <c r="O817" t="s">
        <v>631</v>
      </c>
      <c r="P817" t="s">
        <v>820</v>
      </c>
      <c r="Q817" t="s">
        <v>465</v>
      </c>
      <c r="R817">
        <v>0</v>
      </c>
    </row>
    <row r="818" spans="1:18" x14ac:dyDescent="0.3">
      <c r="A818">
        <v>192902</v>
      </c>
      <c r="B818" t="s">
        <v>568</v>
      </c>
      <c r="C818" t="s">
        <v>671</v>
      </c>
      <c r="D818" t="s">
        <v>1282</v>
      </c>
      <c r="E818" s="452">
        <v>46143</v>
      </c>
      <c r="F818" s="452">
        <v>46143</v>
      </c>
      <c r="G818" t="s">
        <v>672</v>
      </c>
      <c r="H818" t="s">
        <v>240</v>
      </c>
      <c r="I818" t="s">
        <v>1283</v>
      </c>
      <c r="J818">
        <v>-300</v>
      </c>
      <c r="K818">
        <v>-300</v>
      </c>
      <c r="O818" t="s">
        <v>631</v>
      </c>
      <c r="P818" t="s">
        <v>820</v>
      </c>
      <c r="Q818" t="s">
        <v>465</v>
      </c>
      <c r="R818">
        <v>0</v>
      </c>
    </row>
    <row r="819" spans="1:18" x14ac:dyDescent="0.3">
      <c r="A819">
        <v>213324</v>
      </c>
      <c r="B819" t="s">
        <v>568</v>
      </c>
      <c r="C819" t="s">
        <v>676</v>
      </c>
      <c r="D819" t="s">
        <v>1249</v>
      </c>
      <c r="E819" s="452">
        <v>46143</v>
      </c>
      <c r="F819" s="452">
        <v>46188</v>
      </c>
      <c r="G819" t="s">
        <v>677</v>
      </c>
      <c r="H819" t="s">
        <v>678</v>
      </c>
      <c r="I819" t="s">
        <v>679</v>
      </c>
      <c r="J819">
        <v>-1350</v>
      </c>
      <c r="K819">
        <v>-1350</v>
      </c>
      <c r="M819" t="s">
        <v>680</v>
      </c>
      <c r="N819" t="s">
        <v>134</v>
      </c>
      <c r="O819" t="s">
        <v>631</v>
      </c>
      <c r="P819" t="s">
        <v>820</v>
      </c>
      <c r="Q819" t="s">
        <v>465</v>
      </c>
      <c r="R819">
        <v>0</v>
      </c>
    </row>
    <row r="820" spans="1:18" x14ac:dyDescent="0.3">
      <c r="A820">
        <v>192078</v>
      </c>
      <c r="B820" t="s">
        <v>568</v>
      </c>
      <c r="C820" t="s">
        <v>731</v>
      </c>
      <c r="D820" t="s">
        <v>1284</v>
      </c>
      <c r="E820" s="452">
        <v>46143</v>
      </c>
      <c r="F820" s="452">
        <v>46157</v>
      </c>
      <c r="G820" t="s">
        <v>319</v>
      </c>
      <c r="H820" t="s">
        <v>321</v>
      </c>
      <c r="I820" t="s">
        <v>1285</v>
      </c>
      <c r="J820">
        <v>-130.96</v>
      </c>
      <c r="K820">
        <v>-130.96</v>
      </c>
      <c r="O820" t="s">
        <v>631</v>
      </c>
      <c r="P820" t="s">
        <v>820</v>
      </c>
      <c r="Q820" t="s">
        <v>465</v>
      </c>
      <c r="R820">
        <v>0</v>
      </c>
    </row>
    <row r="821" spans="1:18" x14ac:dyDescent="0.3">
      <c r="A821">
        <v>191737</v>
      </c>
      <c r="B821" t="s">
        <v>568</v>
      </c>
      <c r="C821" t="s">
        <v>735</v>
      </c>
      <c r="D821" t="s">
        <v>1286</v>
      </c>
      <c r="E821" s="452">
        <v>46143</v>
      </c>
      <c r="F821" s="452">
        <v>46157</v>
      </c>
      <c r="G821" t="s">
        <v>309</v>
      </c>
      <c r="H821" t="s">
        <v>310</v>
      </c>
      <c r="I821" t="s">
        <v>1287</v>
      </c>
      <c r="J821">
        <v>-2282.27</v>
      </c>
      <c r="K821">
        <v>-2282.27</v>
      </c>
      <c r="O821" t="s">
        <v>631</v>
      </c>
      <c r="P821" t="s">
        <v>820</v>
      </c>
      <c r="Q821" t="s">
        <v>465</v>
      </c>
      <c r="R821">
        <v>0</v>
      </c>
    </row>
    <row r="822" spans="1:18" x14ac:dyDescent="0.3">
      <c r="A822">
        <v>192885</v>
      </c>
      <c r="B822" t="s">
        <v>568</v>
      </c>
      <c r="C822" t="s">
        <v>692</v>
      </c>
      <c r="D822" t="s">
        <v>1288</v>
      </c>
      <c r="E822" s="452">
        <v>46142</v>
      </c>
      <c r="F822" s="452">
        <v>46153</v>
      </c>
      <c r="G822" t="s">
        <v>309</v>
      </c>
      <c r="H822" t="s">
        <v>317</v>
      </c>
      <c r="I822" t="s">
        <v>1289</v>
      </c>
      <c r="J822">
        <v>-950</v>
      </c>
      <c r="K822">
        <v>-950</v>
      </c>
      <c r="O822" t="s">
        <v>631</v>
      </c>
      <c r="P822" t="s">
        <v>820</v>
      </c>
      <c r="Q822" t="s">
        <v>464</v>
      </c>
      <c r="R822">
        <v>0</v>
      </c>
    </row>
    <row r="823" spans="1:18" x14ac:dyDescent="0.3">
      <c r="A823">
        <v>208515</v>
      </c>
      <c r="B823" t="s">
        <v>568</v>
      </c>
      <c r="C823" t="s">
        <v>699</v>
      </c>
      <c r="D823" t="s">
        <v>1290</v>
      </c>
      <c r="E823" s="452">
        <v>46142</v>
      </c>
      <c r="F823" s="452">
        <v>46162</v>
      </c>
      <c r="G823" t="s">
        <v>697</v>
      </c>
      <c r="H823" t="s">
        <v>700</v>
      </c>
      <c r="I823" t="s">
        <v>1291</v>
      </c>
      <c r="J823">
        <v>-1714.6</v>
      </c>
      <c r="K823">
        <v>-1714.6</v>
      </c>
      <c r="O823" t="s">
        <v>631</v>
      </c>
      <c r="P823" t="s">
        <v>820</v>
      </c>
      <c r="Q823" t="s">
        <v>464</v>
      </c>
      <c r="R823">
        <v>0</v>
      </c>
    </row>
    <row r="824" spans="1:18" x14ac:dyDescent="0.3">
      <c r="A824">
        <v>208295</v>
      </c>
      <c r="B824" t="s">
        <v>568</v>
      </c>
      <c r="C824" t="s">
        <v>430</v>
      </c>
      <c r="D824" t="s">
        <v>1292</v>
      </c>
      <c r="E824" s="452">
        <v>46142</v>
      </c>
      <c r="F824" s="452">
        <v>46162</v>
      </c>
      <c r="G824" t="s">
        <v>697</v>
      </c>
      <c r="H824" t="s">
        <v>207</v>
      </c>
      <c r="I824" t="s">
        <v>1293</v>
      </c>
      <c r="J824">
        <v>-2225.4699999999998</v>
      </c>
      <c r="K824">
        <v>-2225.4699999999998</v>
      </c>
      <c r="O824" t="s">
        <v>631</v>
      </c>
      <c r="P824" t="s">
        <v>820</v>
      </c>
      <c r="Q824" t="s">
        <v>464</v>
      </c>
      <c r="R824">
        <v>0</v>
      </c>
    </row>
    <row r="825" spans="1:18" x14ac:dyDescent="0.3">
      <c r="A825">
        <v>207036</v>
      </c>
      <c r="B825" t="s">
        <v>568</v>
      </c>
      <c r="C825" t="s">
        <v>431</v>
      </c>
      <c r="D825" t="s">
        <v>1294</v>
      </c>
      <c r="E825" s="452">
        <v>46142</v>
      </c>
      <c r="F825" s="452">
        <v>46162</v>
      </c>
      <c r="G825" t="s">
        <v>697</v>
      </c>
      <c r="H825" t="s">
        <v>212</v>
      </c>
      <c r="I825" t="s">
        <v>1295</v>
      </c>
      <c r="J825">
        <v>-2908.99</v>
      </c>
      <c r="K825">
        <v>-2908.99</v>
      </c>
      <c r="O825" t="s">
        <v>631</v>
      </c>
      <c r="P825" t="s">
        <v>820</v>
      </c>
      <c r="Q825" t="s">
        <v>464</v>
      </c>
      <c r="R825">
        <v>0</v>
      </c>
    </row>
    <row r="826" spans="1:18" x14ac:dyDescent="0.3">
      <c r="A826">
        <v>197354</v>
      </c>
      <c r="B826" t="s">
        <v>568</v>
      </c>
      <c r="C826" t="s">
        <v>699</v>
      </c>
      <c r="D826" t="s">
        <v>1296</v>
      </c>
      <c r="E826" s="452">
        <v>46142</v>
      </c>
      <c r="F826" s="452">
        <v>46162</v>
      </c>
      <c r="G826" t="s">
        <v>309</v>
      </c>
      <c r="H826" t="s">
        <v>310</v>
      </c>
      <c r="I826" t="s">
        <v>701</v>
      </c>
      <c r="J826">
        <v>-34.76</v>
      </c>
      <c r="K826">
        <v>-34.76</v>
      </c>
      <c r="O826" t="s">
        <v>631</v>
      </c>
      <c r="P826" t="s">
        <v>820</v>
      </c>
      <c r="Q826" t="s">
        <v>464</v>
      </c>
      <c r="R826">
        <v>0</v>
      </c>
    </row>
    <row r="827" spans="1:18" x14ac:dyDescent="0.3">
      <c r="A827">
        <v>202398</v>
      </c>
      <c r="B827" t="s">
        <v>568</v>
      </c>
      <c r="C827" t="s">
        <v>696</v>
      </c>
      <c r="D827" t="s">
        <v>1297</v>
      </c>
      <c r="E827" s="452">
        <v>46142</v>
      </c>
      <c r="F827" s="452">
        <v>46153</v>
      </c>
      <c r="G827" t="s">
        <v>672</v>
      </c>
      <c r="H827" t="s">
        <v>248</v>
      </c>
      <c r="J827">
        <v>-273.75</v>
      </c>
      <c r="K827">
        <v>-273.75</v>
      </c>
      <c r="O827" t="s">
        <v>631</v>
      </c>
      <c r="P827" t="s">
        <v>820</v>
      </c>
      <c r="Q827" t="s">
        <v>464</v>
      </c>
      <c r="R827">
        <v>0</v>
      </c>
    </row>
    <row r="828" spans="1:18" x14ac:dyDescent="0.3">
      <c r="A828">
        <v>190624</v>
      </c>
      <c r="B828" t="s">
        <v>568</v>
      </c>
      <c r="C828" t="s">
        <v>50</v>
      </c>
      <c r="D828" t="s">
        <v>1296</v>
      </c>
      <c r="E828" s="452">
        <v>46142</v>
      </c>
      <c r="F828" s="452">
        <v>46162</v>
      </c>
      <c r="G828" t="s">
        <v>694</v>
      </c>
      <c r="H828" t="s">
        <v>50</v>
      </c>
      <c r="I828" t="s">
        <v>695</v>
      </c>
      <c r="J828">
        <v>-12562.77</v>
      </c>
      <c r="K828">
        <v>-12562.77</v>
      </c>
      <c r="O828" t="s">
        <v>631</v>
      </c>
      <c r="P828" t="s">
        <v>820</v>
      </c>
      <c r="Q828" t="s">
        <v>464</v>
      </c>
      <c r="R828">
        <v>0</v>
      </c>
    </row>
    <row r="829" spans="1:18" x14ac:dyDescent="0.3">
      <c r="A829">
        <v>226131</v>
      </c>
      <c r="B829" t="s">
        <v>568</v>
      </c>
      <c r="C829" t="s">
        <v>789</v>
      </c>
      <c r="D829" t="s">
        <v>1231</v>
      </c>
      <c r="E829" s="452">
        <v>46142</v>
      </c>
      <c r="F829" s="452">
        <v>46156</v>
      </c>
      <c r="G829" t="s">
        <v>790</v>
      </c>
      <c r="H829" t="s">
        <v>204</v>
      </c>
      <c r="I829" t="s">
        <v>1298</v>
      </c>
      <c r="J829">
        <v>-2322</v>
      </c>
      <c r="K829">
        <v>-2322</v>
      </c>
      <c r="O829" t="s">
        <v>631</v>
      </c>
      <c r="P829" t="s">
        <v>820</v>
      </c>
      <c r="Q829" t="s">
        <v>464</v>
      </c>
      <c r="R829">
        <v>0</v>
      </c>
    </row>
    <row r="830" spans="1:18" x14ac:dyDescent="0.3">
      <c r="A830">
        <v>227717</v>
      </c>
      <c r="B830" t="s">
        <v>568</v>
      </c>
      <c r="C830" t="s">
        <v>720</v>
      </c>
      <c r="D830" t="s">
        <v>1299</v>
      </c>
      <c r="E830" s="452">
        <v>46142</v>
      </c>
      <c r="F830" s="452">
        <v>46178</v>
      </c>
      <c r="G830" t="s">
        <v>280</v>
      </c>
      <c r="H830" t="s">
        <v>287</v>
      </c>
      <c r="I830" t="s">
        <v>1300</v>
      </c>
      <c r="J830">
        <v>-436.5</v>
      </c>
      <c r="K830">
        <v>-436.5</v>
      </c>
      <c r="O830" t="s">
        <v>631</v>
      </c>
      <c r="P830" t="s">
        <v>820</v>
      </c>
      <c r="Q830" t="s">
        <v>464</v>
      </c>
      <c r="R830">
        <v>0</v>
      </c>
    </row>
    <row r="831" spans="1:18" x14ac:dyDescent="0.3">
      <c r="A831">
        <v>230021</v>
      </c>
      <c r="B831" t="s">
        <v>568</v>
      </c>
      <c r="C831" t="s">
        <v>945</v>
      </c>
      <c r="E831" s="452">
        <v>46142</v>
      </c>
      <c r="F831" s="452">
        <v>46149</v>
      </c>
      <c r="G831" t="s">
        <v>666</v>
      </c>
      <c r="H831" t="s">
        <v>667</v>
      </c>
      <c r="J831">
        <v>-858.17</v>
      </c>
      <c r="K831">
        <v>-858.17</v>
      </c>
      <c r="O831" t="s">
        <v>631</v>
      </c>
      <c r="P831" t="s">
        <v>820</v>
      </c>
      <c r="Q831" t="s">
        <v>464</v>
      </c>
      <c r="R831">
        <v>0</v>
      </c>
    </row>
    <row r="832" spans="1:18" x14ac:dyDescent="0.3">
      <c r="A832">
        <v>230842</v>
      </c>
      <c r="B832" t="s">
        <v>568</v>
      </c>
      <c r="C832" t="s">
        <v>1301</v>
      </c>
      <c r="E832" s="452">
        <v>46142</v>
      </c>
      <c r="F832" s="452">
        <v>46142</v>
      </c>
      <c r="G832" t="s">
        <v>857</v>
      </c>
      <c r="H832" t="s">
        <v>120</v>
      </c>
      <c r="I832" t="s">
        <v>1302</v>
      </c>
      <c r="J832">
        <v>-2229.29</v>
      </c>
      <c r="K832">
        <v>-2229.29</v>
      </c>
      <c r="O832" t="s">
        <v>631</v>
      </c>
      <c r="P832" t="s">
        <v>820</v>
      </c>
      <c r="Q832" t="s">
        <v>464</v>
      </c>
      <c r="R832">
        <v>0</v>
      </c>
    </row>
    <row r="833" spans="1:18" x14ac:dyDescent="0.3">
      <c r="A833">
        <v>230020</v>
      </c>
      <c r="B833" t="s">
        <v>568</v>
      </c>
      <c r="C833" t="s">
        <v>940</v>
      </c>
      <c r="E833" s="452">
        <v>46142</v>
      </c>
      <c r="F833" s="452">
        <v>46149</v>
      </c>
      <c r="G833" t="s">
        <v>666</v>
      </c>
      <c r="H833" t="s">
        <v>667</v>
      </c>
      <c r="J833">
        <v>-3928.93</v>
      </c>
      <c r="K833">
        <v>-3928.93</v>
      </c>
      <c r="O833" t="s">
        <v>631</v>
      </c>
      <c r="P833" t="s">
        <v>820</v>
      </c>
      <c r="Q833" t="s">
        <v>464</v>
      </c>
      <c r="R833">
        <v>0</v>
      </c>
    </row>
    <row r="834" spans="1:18" x14ac:dyDescent="0.3">
      <c r="A834">
        <v>230019</v>
      </c>
      <c r="B834" t="s">
        <v>568</v>
      </c>
      <c r="C834" t="s">
        <v>937</v>
      </c>
      <c r="E834" s="452">
        <v>46142</v>
      </c>
      <c r="F834" s="452">
        <v>46149</v>
      </c>
      <c r="G834" t="s">
        <v>666</v>
      </c>
      <c r="H834" t="s">
        <v>667</v>
      </c>
      <c r="J834">
        <v>-3543.49</v>
      </c>
      <c r="K834">
        <v>-3543.49</v>
      </c>
      <c r="O834" t="s">
        <v>631</v>
      </c>
      <c r="P834" t="s">
        <v>820</v>
      </c>
      <c r="Q834" t="s">
        <v>464</v>
      </c>
      <c r="R834">
        <v>0</v>
      </c>
    </row>
    <row r="835" spans="1:18" x14ac:dyDescent="0.3">
      <c r="A835">
        <v>230018</v>
      </c>
      <c r="B835" t="s">
        <v>568</v>
      </c>
      <c r="C835" t="s">
        <v>829</v>
      </c>
      <c r="E835" s="452">
        <v>46142</v>
      </c>
      <c r="F835" s="452">
        <v>46149</v>
      </c>
      <c r="G835" t="s">
        <v>666</v>
      </c>
      <c r="H835" t="s">
        <v>667</v>
      </c>
      <c r="J835">
        <v>-2554.65</v>
      </c>
      <c r="K835">
        <v>-2554.65</v>
      </c>
      <c r="O835" t="s">
        <v>631</v>
      </c>
      <c r="P835" t="s">
        <v>820</v>
      </c>
      <c r="Q835" t="s">
        <v>464</v>
      </c>
      <c r="R835">
        <v>0</v>
      </c>
    </row>
    <row r="836" spans="1:18" x14ac:dyDescent="0.3">
      <c r="A836">
        <v>230017</v>
      </c>
      <c r="B836" t="s">
        <v>568</v>
      </c>
      <c r="C836" t="s">
        <v>953</v>
      </c>
      <c r="E836" s="452">
        <v>46142</v>
      </c>
      <c r="F836" s="452">
        <v>46149</v>
      </c>
      <c r="G836" t="s">
        <v>666</v>
      </c>
      <c r="H836" t="s">
        <v>667</v>
      </c>
      <c r="J836">
        <v>-3118.1</v>
      </c>
      <c r="K836">
        <v>-3118.1</v>
      </c>
      <c r="O836" t="s">
        <v>631</v>
      </c>
      <c r="P836" t="s">
        <v>820</v>
      </c>
      <c r="Q836" t="s">
        <v>464</v>
      </c>
      <c r="R836">
        <v>0</v>
      </c>
    </row>
    <row r="837" spans="1:18" x14ac:dyDescent="0.3">
      <c r="A837">
        <v>229468</v>
      </c>
      <c r="B837" t="s">
        <v>568</v>
      </c>
      <c r="C837" t="s">
        <v>676</v>
      </c>
      <c r="D837" t="s">
        <v>1303</v>
      </c>
      <c r="E837" s="452">
        <v>46142</v>
      </c>
      <c r="F837" s="452">
        <v>46167</v>
      </c>
      <c r="G837" t="s">
        <v>705</v>
      </c>
      <c r="H837" t="s">
        <v>114</v>
      </c>
      <c r="I837" t="s">
        <v>1304</v>
      </c>
      <c r="J837">
        <v>-3710</v>
      </c>
      <c r="K837">
        <v>-3710</v>
      </c>
      <c r="M837" t="s">
        <v>680</v>
      </c>
      <c r="N837" t="s">
        <v>134</v>
      </c>
      <c r="O837" t="s">
        <v>631</v>
      </c>
      <c r="P837" t="s">
        <v>820</v>
      </c>
      <c r="Q837" t="s">
        <v>464</v>
      </c>
      <c r="R837">
        <v>0</v>
      </c>
    </row>
    <row r="838" spans="1:18" x14ac:dyDescent="0.3">
      <c r="A838">
        <v>228576</v>
      </c>
      <c r="B838" t="s">
        <v>568</v>
      </c>
      <c r="C838" t="s">
        <v>859</v>
      </c>
      <c r="E838" s="452">
        <v>46142</v>
      </c>
      <c r="F838" s="452">
        <v>46142</v>
      </c>
      <c r="G838" t="s">
        <v>857</v>
      </c>
      <c r="H838" t="s">
        <v>118</v>
      </c>
      <c r="J838">
        <v>-135.22999999999999</v>
      </c>
      <c r="K838">
        <v>-135.22999999999999</v>
      </c>
      <c r="O838" t="s">
        <v>631</v>
      </c>
      <c r="P838" t="s">
        <v>820</v>
      </c>
      <c r="Q838" t="s">
        <v>464</v>
      </c>
      <c r="R838">
        <v>0</v>
      </c>
    </row>
    <row r="839" spans="1:18" x14ac:dyDescent="0.3">
      <c r="A839">
        <v>228577</v>
      </c>
      <c r="B839" t="s">
        <v>568</v>
      </c>
      <c r="C839" t="s">
        <v>856</v>
      </c>
      <c r="E839" s="452">
        <v>46142</v>
      </c>
      <c r="F839" s="452">
        <v>46142</v>
      </c>
      <c r="G839" t="s">
        <v>857</v>
      </c>
      <c r="H839" t="s">
        <v>118</v>
      </c>
      <c r="J839">
        <v>-59.08</v>
      </c>
      <c r="K839">
        <v>-59.08</v>
      </c>
      <c r="O839" t="s">
        <v>631</v>
      </c>
      <c r="P839" t="s">
        <v>820</v>
      </c>
      <c r="Q839" t="s">
        <v>464</v>
      </c>
      <c r="R839">
        <v>0</v>
      </c>
    </row>
    <row r="840" spans="1:18" x14ac:dyDescent="0.3">
      <c r="A840">
        <v>228578</v>
      </c>
      <c r="B840" t="s">
        <v>568</v>
      </c>
      <c r="C840" t="s">
        <v>860</v>
      </c>
      <c r="E840" s="452">
        <v>46142</v>
      </c>
      <c r="F840" s="452">
        <v>46142</v>
      </c>
      <c r="G840" t="s">
        <v>857</v>
      </c>
      <c r="H840" t="s">
        <v>118</v>
      </c>
      <c r="J840">
        <v>-136.01</v>
      </c>
      <c r="K840">
        <v>-136.01</v>
      </c>
      <c r="O840" t="s">
        <v>631</v>
      </c>
      <c r="P840" t="s">
        <v>820</v>
      </c>
      <c r="Q840" t="s">
        <v>464</v>
      </c>
      <c r="R840">
        <v>0</v>
      </c>
    </row>
    <row r="841" spans="1:18" x14ac:dyDescent="0.3">
      <c r="A841">
        <v>228579</v>
      </c>
      <c r="B841" t="s">
        <v>568</v>
      </c>
      <c r="C841" t="s">
        <v>858</v>
      </c>
      <c r="E841" s="452">
        <v>46142</v>
      </c>
      <c r="F841" s="452">
        <v>46142</v>
      </c>
      <c r="G841" t="s">
        <v>857</v>
      </c>
      <c r="H841" t="s">
        <v>118</v>
      </c>
      <c r="J841">
        <v>-260.14999999999998</v>
      </c>
      <c r="K841">
        <v>-260.14999999999998</v>
      </c>
      <c r="O841" t="s">
        <v>631</v>
      </c>
      <c r="P841" t="s">
        <v>820</v>
      </c>
      <c r="Q841" t="s">
        <v>464</v>
      </c>
      <c r="R841">
        <v>0</v>
      </c>
    </row>
    <row r="842" spans="1:18" x14ac:dyDescent="0.3">
      <c r="A842">
        <v>228585</v>
      </c>
      <c r="B842" t="s">
        <v>568</v>
      </c>
      <c r="C842" t="s">
        <v>1068</v>
      </c>
      <c r="E842" s="452">
        <v>46142</v>
      </c>
      <c r="F842" s="452">
        <v>46142</v>
      </c>
      <c r="G842" t="s">
        <v>857</v>
      </c>
      <c r="H842" t="s">
        <v>118</v>
      </c>
      <c r="I842" t="s">
        <v>1069</v>
      </c>
      <c r="J842">
        <v>-4099.58</v>
      </c>
      <c r="K842">
        <v>-4099.58</v>
      </c>
      <c r="O842" t="s">
        <v>631</v>
      </c>
      <c r="P842" t="s">
        <v>820</v>
      </c>
      <c r="Q842" t="s">
        <v>464</v>
      </c>
      <c r="R842">
        <v>0</v>
      </c>
    </row>
    <row r="843" spans="1:18" x14ac:dyDescent="0.3">
      <c r="A843">
        <v>218051</v>
      </c>
      <c r="B843" t="s">
        <v>568</v>
      </c>
      <c r="C843" t="s">
        <v>812</v>
      </c>
      <c r="D843" t="s">
        <v>1305</v>
      </c>
      <c r="E843" s="452">
        <v>46141</v>
      </c>
      <c r="F843" s="452">
        <v>46160</v>
      </c>
      <c r="G843" t="s">
        <v>813</v>
      </c>
      <c r="H843" t="s">
        <v>60</v>
      </c>
      <c r="I843" t="s">
        <v>1306</v>
      </c>
      <c r="J843">
        <v>-1400</v>
      </c>
      <c r="K843">
        <v>-1400</v>
      </c>
      <c r="O843" t="s">
        <v>631</v>
      </c>
      <c r="P843" t="s">
        <v>820</v>
      </c>
      <c r="Q843" t="s">
        <v>464</v>
      </c>
      <c r="R843">
        <v>0</v>
      </c>
    </row>
    <row r="844" spans="1:18" x14ac:dyDescent="0.3">
      <c r="A844">
        <v>209518</v>
      </c>
      <c r="B844" t="s">
        <v>568</v>
      </c>
      <c r="C844" t="s">
        <v>654</v>
      </c>
      <c r="D844" t="s">
        <v>1296</v>
      </c>
      <c r="E844" s="452">
        <v>46140</v>
      </c>
      <c r="F844" s="452">
        <v>46162</v>
      </c>
      <c r="G844" t="s">
        <v>702</v>
      </c>
      <c r="H844" t="s">
        <v>343</v>
      </c>
      <c r="J844">
        <v>-42432.29</v>
      </c>
      <c r="K844">
        <v>-42432.29</v>
      </c>
      <c r="O844" t="s">
        <v>631</v>
      </c>
      <c r="P844" t="s">
        <v>820</v>
      </c>
      <c r="Q844" t="s">
        <v>464</v>
      </c>
      <c r="R844">
        <v>0</v>
      </c>
    </row>
    <row r="845" spans="1:18" x14ac:dyDescent="0.3">
      <c r="A845">
        <v>226130</v>
      </c>
      <c r="B845" t="s">
        <v>568</v>
      </c>
      <c r="C845" t="s">
        <v>789</v>
      </c>
      <c r="D845" t="s">
        <v>1307</v>
      </c>
      <c r="E845" s="452">
        <v>46139</v>
      </c>
      <c r="F845" s="452">
        <v>46149</v>
      </c>
      <c r="G845" t="s">
        <v>790</v>
      </c>
      <c r="H845" t="s">
        <v>204</v>
      </c>
      <c r="I845" t="s">
        <v>1308</v>
      </c>
      <c r="J845">
        <v>-4213</v>
      </c>
      <c r="K845">
        <v>-4213</v>
      </c>
      <c r="O845" t="s">
        <v>631</v>
      </c>
      <c r="P845" t="s">
        <v>820</v>
      </c>
      <c r="Q845" t="s">
        <v>464</v>
      </c>
      <c r="R845">
        <v>0</v>
      </c>
    </row>
    <row r="846" spans="1:18" x14ac:dyDescent="0.3">
      <c r="A846">
        <v>197876</v>
      </c>
      <c r="B846" t="s">
        <v>568</v>
      </c>
      <c r="C846" t="s">
        <v>704</v>
      </c>
      <c r="D846" t="s">
        <v>1309</v>
      </c>
      <c r="E846" s="452">
        <v>46137</v>
      </c>
      <c r="F846" s="452">
        <v>46167</v>
      </c>
      <c r="G846" t="s">
        <v>705</v>
      </c>
      <c r="H846" t="s">
        <v>114</v>
      </c>
      <c r="I846" t="s">
        <v>1310</v>
      </c>
      <c r="J846">
        <v>-11420</v>
      </c>
      <c r="K846">
        <v>-11420</v>
      </c>
      <c r="O846" t="s">
        <v>631</v>
      </c>
      <c r="P846" t="s">
        <v>820</v>
      </c>
      <c r="Q846" t="s">
        <v>464</v>
      </c>
      <c r="R846">
        <v>0</v>
      </c>
    </row>
    <row r="847" spans="1:18" x14ac:dyDescent="0.3">
      <c r="A847">
        <v>98065</v>
      </c>
      <c r="B847" t="s">
        <v>568</v>
      </c>
      <c r="C847" t="s">
        <v>628</v>
      </c>
      <c r="D847" t="s">
        <v>1311</v>
      </c>
      <c r="E847" s="452">
        <v>46135</v>
      </c>
      <c r="F847" s="452">
        <v>46134</v>
      </c>
      <c r="G847" t="s">
        <v>613</v>
      </c>
      <c r="H847" t="s">
        <v>369</v>
      </c>
      <c r="I847" t="s">
        <v>630</v>
      </c>
      <c r="J847">
        <v>-20000</v>
      </c>
      <c r="K847">
        <v>-20000</v>
      </c>
      <c r="O847" t="s">
        <v>631</v>
      </c>
      <c r="P847" t="s">
        <v>820</v>
      </c>
      <c r="Q847" t="s">
        <v>464</v>
      </c>
      <c r="R847">
        <v>0</v>
      </c>
    </row>
    <row r="848" spans="1:18" x14ac:dyDescent="0.3">
      <c r="A848">
        <v>218050</v>
      </c>
      <c r="B848" t="s">
        <v>568</v>
      </c>
      <c r="C848" t="s">
        <v>812</v>
      </c>
      <c r="D848" t="s">
        <v>1312</v>
      </c>
      <c r="E848" s="452">
        <v>46134</v>
      </c>
      <c r="F848" s="452">
        <v>46153</v>
      </c>
      <c r="G848" t="s">
        <v>813</v>
      </c>
      <c r="H848" t="s">
        <v>60</v>
      </c>
      <c r="I848" t="s">
        <v>1313</v>
      </c>
      <c r="J848">
        <v>-1400</v>
      </c>
      <c r="K848">
        <v>-1400</v>
      </c>
      <c r="O848" t="s">
        <v>631</v>
      </c>
      <c r="P848" t="s">
        <v>820</v>
      </c>
      <c r="Q848" t="s">
        <v>464</v>
      </c>
      <c r="R848">
        <v>0</v>
      </c>
    </row>
    <row r="849" spans="1:18" x14ac:dyDescent="0.3">
      <c r="A849">
        <v>226540</v>
      </c>
      <c r="B849" t="s">
        <v>568</v>
      </c>
      <c r="C849" t="s">
        <v>1314</v>
      </c>
      <c r="D849" t="s">
        <v>1315</v>
      </c>
      <c r="E849" s="452">
        <v>46134</v>
      </c>
      <c r="F849" s="452">
        <v>46149</v>
      </c>
      <c r="G849" t="s">
        <v>297</v>
      </c>
      <c r="H849" t="s">
        <v>305</v>
      </c>
      <c r="I849" t="s">
        <v>1316</v>
      </c>
      <c r="J849">
        <v>-150</v>
      </c>
      <c r="K849">
        <v>-150</v>
      </c>
      <c r="O849" t="s">
        <v>631</v>
      </c>
      <c r="P849" t="s">
        <v>820</v>
      </c>
      <c r="Q849" t="s">
        <v>464</v>
      </c>
      <c r="R849">
        <v>0</v>
      </c>
    </row>
    <row r="850" spans="1:18" x14ac:dyDescent="0.3">
      <c r="A850">
        <v>226755</v>
      </c>
      <c r="B850" t="s">
        <v>568</v>
      </c>
      <c r="C850" t="s">
        <v>723</v>
      </c>
      <c r="E850" s="452">
        <v>46134</v>
      </c>
      <c r="F850" s="452">
        <v>46134</v>
      </c>
      <c r="G850" t="s">
        <v>724</v>
      </c>
      <c r="H850" t="s">
        <v>725</v>
      </c>
      <c r="J850">
        <v>-16</v>
      </c>
      <c r="K850">
        <v>-16</v>
      </c>
      <c r="O850" t="s">
        <v>631</v>
      </c>
      <c r="P850" t="s">
        <v>820</v>
      </c>
      <c r="Q850" t="s">
        <v>464</v>
      </c>
      <c r="R850">
        <v>0</v>
      </c>
    </row>
    <row r="851" spans="1:18" x14ac:dyDescent="0.3">
      <c r="A851">
        <v>229193</v>
      </c>
      <c r="B851" t="s">
        <v>568</v>
      </c>
      <c r="C851" t="s">
        <v>1068</v>
      </c>
      <c r="E851" s="452">
        <v>46134</v>
      </c>
      <c r="F851" s="452">
        <v>46135</v>
      </c>
      <c r="G851" t="s">
        <v>280</v>
      </c>
      <c r="H851" t="s">
        <v>285</v>
      </c>
      <c r="I851" t="s">
        <v>1098</v>
      </c>
      <c r="J851">
        <v>-7.78</v>
      </c>
      <c r="K851">
        <v>-7.78</v>
      </c>
      <c r="O851" t="s">
        <v>631</v>
      </c>
      <c r="P851" t="s">
        <v>820</v>
      </c>
      <c r="Q851" t="s">
        <v>464</v>
      </c>
      <c r="R851">
        <v>0</v>
      </c>
    </row>
    <row r="852" spans="1:18" x14ac:dyDescent="0.3">
      <c r="A852">
        <v>229192</v>
      </c>
      <c r="B852" t="s">
        <v>568</v>
      </c>
      <c r="C852" t="s">
        <v>1068</v>
      </c>
      <c r="E852" s="452">
        <v>46133</v>
      </c>
      <c r="F852" s="452">
        <v>46134</v>
      </c>
      <c r="G852" t="s">
        <v>280</v>
      </c>
      <c r="H852" t="s">
        <v>285</v>
      </c>
      <c r="I852" t="s">
        <v>1098</v>
      </c>
      <c r="J852">
        <v>-71.459999999999994</v>
      </c>
      <c r="K852">
        <v>-71.459999999999994</v>
      </c>
      <c r="O852" t="s">
        <v>631</v>
      </c>
      <c r="P852" t="s">
        <v>820</v>
      </c>
      <c r="Q852" t="s">
        <v>464</v>
      </c>
      <c r="R852">
        <v>0</v>
      </c>
    </row>
    <row r="853" spans="1:18" x14ac:dyDescent="0.3">
      <c r="A853">
        <v>231265</v>
      </c>
      <c r="B853" t="s">
        <v>568</v>
      </c>
      <c r="C853" t="s">
        <v>1105</v>
      </c>
      <c r="E853" s="452">
        <v>46132</v>
      </c>
      <c r="F853" s="452">
        <v>46132</v>
      </c>
      <c r="G853" t="s">
        <v>857</v>
      </c>
      <c r="H853" t="s">
        <v>118</v>
      </c>
      <c r="J853">
        <v>-138.27000000000001</v>
      </c>
      <c r="K853">
        <v>-138.27000000000001</v>
      </c>
      <c r="O853" t="s">
        <v>631</v>
      </c>
      <c r="P853" t="s">
        <v>820</v>
      </c>
      <c r="Q853" t="s">
        <v>464</v>
      </c>
      <c r="R853">
        <v>0</v>
      </c>
    </row>
    <row r="854" spans="1:18" x14ac:dyDescent="0.3">
      <c r="A854">
        <v>226129</v>
      </c>
      <c r="B854" t="s">
        <v>568</v>
      </c>
      <c r="C854" t="s">
        <v>789</v>
      </c>
      <c r="D854" t="s">
        <v>1317</v>
      </c>
      <c r="E854" s="452">
        <v>46132</v>
      </c>
      <c r="F854" s="452">
        <v>46142</v>
      </c>
      <c r="G854" t="s">
        <v>790</v>
      </c>
      <c r="H854" t="s">
        <v>204</v>
      </c>
      <c r="I854" t="s">
        <v>1318</v>
      </c>
      <c r="J854">
        <v>-4642</v>
      </c>
      <c r="K854">
        <v>-4642</v>
      </c>
      <c r="O854" t="s">
        <v>631</v>
      </c>
      <c r="P854" t="s">
        <v>820</v>
      </c>
      <c r="Q854" t="s">
        <v>464</v>
      </c>
      <c r="R854">
        <v>0</v>
      </c>
    </row>
    <row r="855" spans="1:18" x14ac:dyDescent="0.3">
      <c r="A855">
        <v>229191</v>
      </c>
      <c r="B855" t="s">
        <v>568</v>
      </c>
      <c r="C855" t="s">
        <v>1068</v>
      </c>
      <c r="E855" s="452">
        <v>46132</v>
      </c>
      <c r="F855" s="452">
        <v>46133</v>
      </c>
      <c r="G855" t="s">
        <v>280</v>
      </c>
      <c r="H855" t="s">
        <v>285</v>
      </c>
      <c r="I855" t="s">
        <v>1098</v>
      </c>
      <c r="J855">
        <v>-161.32</v>
      </c>
      <c r="K855">
        <v>-161.32</v>
      </c>
      <c r="O855" t="s">
        <v>631</v>
      </c>
      <c r="P855" t="s">
        <v>820</v>
      </c>
      <c r="Q855" t="s">
        <v>464</v>
      </c>
      <c r="R855">
        <v>0</v>
      </c>
    </row>
    <row r="856" spans="1:18" x14ac:dyDescent="0.3">
      <c r="A856">
        <v>191872</v>
      </c>
      <c r="B856" t="s">
        <v>568</v>
      </c>
      <c r="C856" t="s">
        <v>708</v>
      </c>
      <c r="D856" t="s">
        <v>1319</v>
      </c>
      <c r="E856" s="452">
        <v>46132</v>
      </c>
      <c r="F856" s="452">
        <v>46147</v>
      </c>
      <c r="G856" t="s">
        <v>280</v>
      </c>
      <c r="H856" t="s">
        <v>282</v>
      </c>
      <c r="I856" t="s">
        <v>1320</v>
      </c>
      <c r="J856">
        <v>-104.37</v>
      </c>
      <c r="K856">
        <v>-104.37</v>
      </c>
      <c r="O856" t="s">
        <v>631</v>
      </c>
      <c r="P856" t="s">
        <v>820</v>
      </c>
      <c r="Q856" t="s">
        <v>464</v>
      </c>
      <c r="R856">
        <v>0</v>
      </c>
    </row>
    <row r="857" spans="1:18" x14ac:dyDescent="0.3">
      <c r="A857">
        <v>229190</v>
      </c>
      <c r="B857" t="s">
        <v>568</v>
      </c>
      <c r="C857" t="s">
        <v>1068</v>
      </c>
      <c r="E857" s="452">
        <v>46130</v>
      </c>
      <c r="F857" s="452">
        <v>46131</v>
      </c>
      <c r="G857" t="s">
        <v>280</v>
      </c>
      <c r="H857" t="s">
        <v>285</v>
      </c>
      <c r="I857" t="s">
        <v>1098</v>
      </c>
      <c r="J857">
        <v>-182.35</v>
      </c>
      <c r="K857">
        <v>-182.35</v>
      </c>
      <c r="O857" t="s">
        <v>631</v>
      </c>
      <c r="P857" t="s">
        <v>820</v>
      </c>
      <c r="Q857" t="s">
        <v>464</v>
      </c>
      <c r="R857">
        <v>0</v>
      </c>
    </row>
    <row r="858" spans="1:18" x14ac:dyDescent="0.3">
      <c r="A858">
        <v>229189</v>
      </c>
      <c r="B858" t="s">
        <v>568</v>
      </c>
      <c r="C858" t="s">
        <v>1068</v>
      </c>
      <c r="E858" s="452">
        <v>46129</v>
      </c>
      <c r="F858" s="452">
        <v>46130</v>
      </c>
      <c r="G858" t="s">
        <v>280</v>
      </c>
      <c r="H858" t="s">
        <v>285</v>
      </c>
      <c r="I858" t="s">
        <v>1098</v>
      </c>
      <c r="J858">
        <v>-0.81</v>
      </c>
      <c r="K858">
        <v>-0.81</v>
      </c>
      <c r="O858" t="s">
        <v>631</v>
      </c>
      <c r="P858" t="s">
        <v>820</v>
      </c>
      <c r="Q858" t="s">
        <v>464</v>
      </c>
      <c r="R858">
        <v>0</v>
      </c>
    </row>
    <row r="859" spans="1:18" x14ac:dyDescent="0.3">
      <c r="A859">
        <v>229188</v>
      </c>
      <c r="B859" t="s">
        <v>568</v>
      </c>
      <c r="C859" t="s">
        <v>1068</v>
      </c>
      <c r="E859" s="452">
        <v>46129</v>
      </c>
      <c r="F859" s="452">
        <v>46130</v>
      </c>
      <c r="G859" t="s">
        <v>280</v>
      </c>
      <c r="H859" t="s">
        <v>285</v>
      </c>
      <c r="I859" t="s">
        <v>1098</v>
      </c>
      <c r="J859">
        <v>-145.41</v>
      </c>
      <c r="K859">
        <v>-145.41</v>
      </c>
      <c r="O859" t="s">
        <v>631</v>
      </c>
      <c r="P859" t="s">
        <v>820</v>
      </c>
      <c r="Q859" t="s">
        <v>464</v>
      </c>
      <c r="R859">
        <v>0</v>
      </c>
    </row>
    <row r="860" spans="1:18" x14ac:dyDescent="0.3">
      <c r="A860">
        <v>229187</v>
      </c>
      <c r="B860" t="s">
        <v>568</v>
      </c>
      <c r="C860" t="s">
        <v>1068</v>
      </c>
      <c r="E860" s="452">
        <v>46128</v>
      </c>
      <c r="F860" s="452">
        <v>46129</v>
      </c>
      <c r="G860" t="s">
        <v>280</v>
      </c>
      <c r="H860" t="s">
        <v>285</v>
      </c>
      <c r="I860" t="s">
        <v>1098</v>
      </c>
      <c r="J860">
        <v>-142.36000000000001</v>
      </c>
      <c r="K860">
        <v>-142.36000000000001</v>
      </c>
      <c r="O860" t="s">
        <v>631</v>
      </c>
      <c r="P860" t="s">
        <v>820</v>
      </c>
      <c r="Q860" t="s">
        <v>464</v>
      </c>
      <c r="R860">
        <v>0</v>
      </c>
    </row>
    <row r="861" spans="1:18" x14ac:dyDescent="0.3">
      <c r="A861">
        <v>226525</v>
      </c>
      <c r="B861" t="s">
        <v>568</v>
      </c>
      <c r="C861" t="s">
        <v>723</v>
      </c>
      <c r="E861" s="452">
        <v>46128</v>
      </c>
      <c r="F861" s="452">
        <v>46128</v>
      </c>
      <c r="G861" t="s">
        <v>724</v>
      </c>
      <c r="H861" t="s">
        <v>725</v>
      </c>
      <c r="J861">
        <v>-2</v>
      </c>
      <c r="K861">
        <v>-2</v>
      </c>
      <c r="O861" t="s">
        <v>631</v>
      </c>
      <c r="P861" t="s">
        <v>820</v>
      </c>
      <c r="Q861" t="s">
        <v>464</v>
      </c>
      <c r="R861">
        <v>0</v>
      </c>
    </row>
    <row r="862" spans="1:18" x14ac:dyDescent="0.3">
      <c r="A862">
        <v>229186</v>
      </c>
      <c r="B862" t="s">
        <v>568</v>
      </c>
      <c r="C862" t="s">
        <v>1068</v>
      </c>
      <c r="E862" s="452">
        <v>46127</v>
      </c>
      <c r="F862" s="452">
        <v>46128</v>
      </c>
      <c r="G862" t="s">
        <v>280</v>
      </c>
      <c r="H862" t="s">
        <v>285</v>
      </c>
      <c r="I862" t="s">
        <v>1098</v>
      </c>
      <c r="J862">
        <v>-117.66</v>
      </c>
      <c r="K862">
        <v>-117.66</v>
      </c>
      <c r="O862" t="s">
        <v>631</v>
      </c>
      <c r="P862" t="s">
        <v>820</v>
      </c>
      <c r="Q862" t="s">
        <v>464</v>
      </c>
      <c r="R862">
        <v>0</v>
      </c>
    </row>
    <row r="863" spans="1:18" x14ac:dyDescent="0.3">
      <c r="A863">
        <v>225291</v>
      </c>
      <c r="B863" t="s">
        <v>568</v>
      </c>
      <c r="C863" t="s">
        <v>829</v>
      </c>
      <c r="E863" s="452">
        <v>46127</v>
      </c>
      <c r="F863" s="452">
        <v>46132</v>
      </c>
      <c r="G863" t="s">
        <v>666</v>
      </c>
      <c r="H863" t="s">
        <v>667</v>
      </c>
      <c r="J863">
        <v>-944.02</v>
      </c>
      <c r="K863">
        <v>-944.02</v>
      </c>
      <c r="O863" t="s">
        <v>631</v>
      </c>
      <c r="P863" t="s">
        <v>820</v>
      </c>
      <c r="Q863" t="s">
        <v>464</v>
      </c>
      <c r="R863">
        <v>0</v>
      </c>
    </row>
    <row r="864" spans="1:18" x14ac:dyDescent="0.3">
      <c r="A864">
        <v>225290</v>
      </c>
      <c r="B864" t="s">
        <v>568</v>
      </c>
      <c r="C864" t="s">
        <v>940</v>
      </c>
      <c r="E864" s="452">
        <v>46127</v>
      </c>
      <c r="F864" s="452">
        <v>46132</v>
      </c>
      <c r="G864" t="s">
        <v>666</v>
      </c>
      <c r="H864" t="s">
        <v>667</v>
      </c>
      <c r="J864">
        <v>-944.02</v>
      </c>
      <c r="K864">
        <v>-944.02</v>
      </c>
      <c r="O864" t="s">
        <v>631</v>
      </c>
      <c r="P864" t="s">
        <v>820</v>
      </c>
      <c r="Q864" t="s">
        <v>464</v>
      </c>
      <c r="R864">
        <v>0</v>
      </c>
    </row>
    <row r="865" spans="1:18" x14ac:dyDescent="0.3">
      <c r="A865">
        <v>225289</v>
      </c>
      <c r="B865" t="s">
        <v>568</v>
      </c>
      <c r="C865" t="s">
        <v>953</v>
      </c>
      <c r="E865" s="452">
        <v>46127</v>
      </c>
      <c r="F865" s="452">
        <v>46132</v>
      </c>
      <c r="G865" t="s">
        <v>666</v>
      </c>
      <c r="H865" t="s">
        <v>667</v>
      </c>
      <c r="J865">
        <v>-1027.5999999999999</v>
      </c>
      <c r="K865">
        <v>-1027.5999999999999</v>
      </c>
      <c r="O865" t="s">
        <v>631</v>
      </c>
      <c r="P865" t="s">
        <v>820</v>
      </c>
      <c r="Q865" t="s">
        <v>464</v>
      </c>
      <c r="R865">
        <v>0</v>
      </c>
    </row>
    <row r="866" spans="1:18" x14ac:dyDescent="0.3">
      <c r="A866">
        <v>225292</v>
      </c>
      <c r="B866" t="s">
        <v>568</v>
      </c>
      <c r="C866" t="s">
        <v>937</v>
      </c>
      <c r="E866" s="452">
        <v>46127</v>
      </c>
      <c r="F866" s="452">
        <v>46132</v>
      </c>
      <c r="G866" t="s">
        <v>666</v>
      </c>
      <c r="H866" t="s">
        <v>667</v>
      </c>
      <c r="J866">
        <v>-831.06</v>
      </c>
      <c r="K866">
        <v>-831.06</v>
      </c>
      <c r="O866" t="s">
        <v>631</v>
      </c>
      <c r="P866" t="s">
        <v>820</v>
      </c>
      <c r="Q866" t="s">
        <v>464</v>
      </c>
      <c r="R866">
        <v>0</v>
      </c>
    </row>
    <row r="867" spans="1:18" x14ac:dyDescent="0.3">
      <c r="A867">
        <v>218049</v>
      </c>
      <c r="B867" t="s">
        <v>568</v>
      </c>
      <c r="C867" t="s">
        <v>812</v>
      </c>
      <c r="D867" t="s">
        <v>1321</v>
      </c>
      <c r="E867" s="452">
        <v>46127</v>
      </c>
      <c r="F867" s="452">
        <v>46146</v>
      </c>
      <c r="G867" t="s">
        <v>813</v>
      </c>
      <c r="H867" t="s">
        <v>60</v>
      </c>
      <c r="I867" t="s">
        <v>1322</v>
      </c>
      <c r="J867">
        <v>-1400</v>
      </c>
      <c r="K867">
        <v>-1400</v>
      </c>
      <c r="O867" t="s">
        <v>631</v>
      </c>
      <c r="P867" t="s">
        <v>820</v>
      </c>
      <c r="Q867" t="s">
        <v>464</v>
      </c>
      <c r="R867">
        <v>0</v>
      </c>
    </row>
    <row r="868" spans="1:18" x14ac:dyDescent="0.3">
      <c r="A868">
        <v>192928</v>
      </c>
      <c r="B868" t="s">
        <v>568</v>
      </c>
      <c r="C868" t="s">
        <v>671</v>
      </c>
      <c r="D868" t="s">
        <v>1323</v>
      </c>
      <c r="E868" s="452">
        <v>46127</v>
      </c>
      <c r="F868" s="452">
        <v>46127</v>
      </c>
      <c r="G868" t="s">
        <v>672</v>
      </c>
      <c r="H868" t="s">
        <v>240</v>
      </c>
      <c r="I868" t="s">
        <v>1324</v>
      </c>
      <c r="J868">
        <v>-300</v>
      </c>
      <c r="K868">
        <v>-300</v>
      </c>
      <c r="O868" t="s">
        <v>631</v>
      </c>
      <c r="P868" t="s">
        <v>820</v>
      </c>
      <c r="Q868" t="s">
        <v>464</v>
      </c>
      <c r="R868">
        <v>0</v>
      </c>
    </row>
    <row r="869" spans="1:18" x14ac:dyDescent="0.3">
      <c r="A869">
        <v>192140</v>
      </c>
      <c r="B869" t="s">
        <v>568</v>
      </c>
      <c r="C869" t="s">
        <v>711</v>
      </c>
      <c r="D869" t="s">
        <v>1325</v>
      </c>
      <c r="E869" s="452">
        <v>46127</v>
      </c>
      <c r="F869" s="452">
        <v>46157</v>
      </c>
      <c r="G869" t="s">
        <v>280</v>
      </c>
      <c r="H869" t="s">
        <v>286</v>
      </c>
      <c r="I869" t="s">
        <v>1326</v>
      </c>
      <c r="J869">
        <v>-389</v>
      </c>
      <c r="K869">
        <v>-389</v>
      </c>
      <c r="O869" t="s">
        <v>631</v>
      </c>
      <c r="P869" t="s">
        <v>820</v>
      </c>
      <c r="Q869" t="s">
        <v>464</v>
      </c>
      <c r="R869">
        <v>0</v>
      </c>
    </row>
    <row r="870" spans="1:18" x14ac:dyDescent="0.3">
      <c r="A870">
        <v>192873</v>
      </c>
      <c r="B870" t="s">
        <v>568</v>
      </c>
      <c r="C870" t="s">
        <v>692</v>
      </c>
      <c r="D870" t="s">
        <v>1327</v>
      </c>
      <c r="E870" s="452">
        <v>46127</v>
      </c>
      <c r="F870" s="452">
        <v>46135</v>
      </c>
      <c r="G870" t="s">
        <v>309</v>
      </c>
      <c r="H870" t="s">
        <v>317</v>
      </c>
      <c r="I870" t="s">
        <v>1328</v>
      </c>
      <c r="J870">
        <v>-760</v>
      </c>
      <c r="K870">
        <v>-760</v>
      </c>
      <c r="O870" t="s">
        <v>631</v>
      </c>
      <c r="P870" t="s">
        <v>820</v>
      </c>
      <c r="Q870" t="s">
        <v>464</v>
      </c>
      <c r="R870">
        <v>0</v>
      </c>
    </row>
    <row r="871" spans="1:18" x14ac:dyDescent="0.3">
      <c r="A871">
        <v>229185</v>
      </c>
      <c r="B871" t="s">
        <v>568</v>
      </c>
      <c r="C871" t="s">
        <v>1068</v>
      </c>
      <c r="E871" s="452">
        <v>46126</v>
      </c>
      <c r="F871" s="452">
        <v>46127</v>
      </c>
      <c r="G871" t="s">
        <v>280</v>
      </c>
      <c r="H871" t="s">
        <v>285</v>
      </c>
      <c r="I871" t="s">
        <v>1098</v>
      </c>
      <c r="J871">
        <v>-96.64</v>
      </c>
      <c r="K871">
        <v>-96.64</v>
      </c>
      <c r="O871" t="s">
        <v>631</v>
      </c>
      <c r="P871" t="s">
        <v>820</v>
      </c>
      <c r="Q871" t="s">
        <v>464</v>
      </c>
      <c r="R871">
        <v>0</v>
      </c>
    </row>
    <row r="872" spans="1:18" x14ac:dyDescent="0.3">
      <c r="A872">
        <v>224234</v>
      </c>
      <c r="B872" t="s">
        <v>568</v>
      </c>
      <c r="C872" t="s">
        <v>708</v>
      </c>
      <c r="D872" t="s">
        <v>882</v>
      </c>
      <c r="E872" s="452">
        <v>46126</v>
      </c>
      <c r="F872" s="452">
        <v>46137</v>
      </c>
      <c r="G872" t="s">
        <v>280</v>
      </c>
      <c r="H872" t="s">
        <v>281</v>
      </c>
      <c r="I872" t="s">
        <v>1329</v>
      </c>
      <c r="J872">
        <v>-159.96</v>
      </c>
      <c r="K872">
        <v>0</v>
      </c>
      <c r="O872" t="s">
        <v>631</v>
      </c>
      <c r="P872" t="s">
        <v>820</v>
      </c>
      <c r="Q872" t="s">
        <v>464</v>
      </c>
      <c r="R872">
        <v>0</v>
      </c>
    </row>
    <row r="873" spans="1:18" x14ac:dyDescent="0.3">
      <c r="A873">
        <v>226253</v>
      </c>
      <c r="B873" t="s">
        <v>568</v>
      </c>
      <c r="C873" t="s">
        <v>1330</v>
      </c>
      <c r="D873" t="s">
        <v>1331</v>
      </c>
      <c r="E873" s="452">
        <v>46125</v>
      </c>
      <c r="F873" s="452">
        <v>46140</v>
      </c>
      <c r="G873" t="s">
        <v>683</v>
      </c>
      <c r="H873" t="s">
        <v>291</v>
      </c>
      <c r="I873" t="s">
        <v>1332</v>
      </c>
      <c r="J873">
        <v>-180</v>
      </c>
      <c r="K873">
        <v>-180</v>
      </c>
      <c r="O873" t="s">
        <v>631</v>
      </c>
      <c r="P873" t="s">
        <v>820</v>
      </c>
      <c r="Q873" t="s">
        <v>464</v>
      </c>
      <c r="R873">
        <v>0</v>
      </c>
    </row>
    <row r="874" spans="1:18" x14ac:dyDescent="0.3">
      <c r="A874">
        <v>229184</v>
      </c>
      <c r="B874" t="s">
        <v>568</v>
      </c>
      <c r="C874" t="s">
        <v>1068</v>
      </c>
      <c r="E874" s="452">
        <v>46125</v>
      </c>
      <c r="F874" s="452">
        <v>46126</v>
      </c>
      <c r="G874" t="s">
        <v>280</v>
      </c>
      <c r="H874" t="s">
        <v>285</v>
      </c>
      <c r="I874" t="s">
        <v>1098</v>
      </c>
      <c r="J874">
        <v>-53.55</v>
      </c>
      <c r="K874">
        <v>-53.55</v>
      </c>
      <c r="O874" t="s">
        <v>631</v>
      </c>
      <c r="P874" t="s">
        <v>820</v>
      </c>
      <c r="Q874" t="s">
        <v>464</v>
      </c>
      <c r="R874">
        <v>0</v>
      </c>
    </row>
    <row r="875" spans="1:18" x14ac:dyDescent="0.3">
      <c r="A875">
        <v>211406</v>
      </c>
      <c r="B875" t="s">
        <v>568</v>
      </c>
      <c r="C875" t="s">
        <v>789</v>
      </c>
      <c r="D875" t="s">
        <v>1333</v>
      </c>
      <c r="E875" s="452">
        <v>46125</v>
      </c>
      <c r="F875" s="452">
        <v>46135</v>
      </c>
      <c r="G875" t="s">
        <v>790</v>
      </c>
      <c r="H875" t="s">
        <v>204</v>
      </c>
      <c r="I875" t="s">
        <v>1334</v>
      </c>
      <c r="J875">
        <v>-4052.88</v>
      </c>
      <c r="K875">
        <v>-4052.88</v>
      </c>
      <c r="O875" t="s">
        <v>631</v>
      </c>
      <c r="P875" t="s">
        <v>820</v>
      </c>
      <c r="Q875" t="s">
        <v>464</v>
      </c>
      <c r="R875">
        <v>0</v>
      </c>
    </row>
    <row r="876" spans="1:18" x14ac:dyDescent="0.3">
      <c r="A876">
        <v>191896</v>
      </c>
      <c r="B876" t="s">
        <v>568</v>
      </c>
      <c r="C876" t="s">
        <v>713</v>
      </c>
      <c r="D876" t="s">
        <v>1335</v>
      </c>
      <c r="E876" s="452">
        <v>46124</v>
      </c>
      <c r="F876" s="452">
        <v>46136</v>
      </c>
      <c r="G876" t="s">
        <v>265</v>
      </c>
      <c r="H876" t="s">
        <v>267</v>
      </c>
      <c r="I876" t="s">
        <v>1336</v>
      </c>
      <c r="J876">
        <v>-1969.68</v>
      </c>
      <c r="K876">
        <v>-1969.68</v>
      </c>
      <c r="O876" t="s">
        <v>631</v>
      </c>
      <c r="P876" t="s">
        <v>820</v>
      </c>
      <c r="Q876" t="s">
        <v>464</v>
      </c>
      <c r="R876">
        <v>0</v>
      </c>
    </row>
    <row r="877" spans="1:18" x14ac:dyDescent="0.3">
      <c r="A877">
        <v>192809</v>
      </c>
      <c r="B877" t="s">
        <v>568</v>
      </c>
      <c r="C877" t="s">
        <v>715</v>
      </c>
      <c r="D877" t="s">
        <v>1337</v>
      </c>
      <c r="E877" s="452">
        <v>46122</v>
      </c>
      <c r="F877" s="452">
        <v>46152</v>
      </c>
      <c r="G877" t="s">
        <v>319</v>
      </c>
      <c r="H877" t="s">
        <v>320</v>
      </c>
      <c r="I877" t="s">
        <v>1338</v>
      </c>
      <c r="J877">
        <v>-296.45999999999998</v>
      </c>
      <c r="K877">
        <v>-296.45999999999998</v>
      </c>
      <c r="O877" t="s">
        <v>631</v>
      </c>
      <c r="P877" t="s">
        <v>820</v>
      </c>
      <c r="Q877" t="s">
        <v>464</v>
      </c>
      <c r="R877">
        <v>0</v>
      </c>
    </row>
    <row r="878" spans="1:18" x14ac:dyDescent="0.3">
      <c r="A878">
        <v>224140</v>
      </c>
      <c r="B878" t="s">
        <v>568</v>
      </c>
      <c r="C878" t="s">
        <v>910</v>
      </c>
      <c r="E878" s="452">
        <v>46122</v>
      </c>
      <c r="F878" s="452">
        <v>46122</v>
      </c>
      <c r="G878" t="s">
        <v>724</v>
      </c>
      <c r="H878" t="s">
        <v>725</v>
      </c>
      <c r="J878">
        <v>0</v>
      </c>
      <c r="K878">
        <v>0</v>
      </c>
      <c r="O878" t="s">
        <v>631</v>
      </c>
      <c r="P878" t="s">
        <v>820</v>
      </c>
      <c r="Q878" t="s">
        <v>464</v>
      </c>
      <c r="R878">
        <v>0</v>
      </c>
    </row>
    <row r="879" spans="1:18" x14ac:dyDescent="0.3">
      <c r="A879">
        <v>224964</v>
      </c>
      <c r="B879" t="s">
        <v>568</v>
      </c>
      <c r="C879" t="s">
        <v>910</v>
      </c>
      <c r="E879" s="452">
        <v>46122</v>
      </c>
      <c r="F879" s="452">
        <v>46122</v>
      </c>
      <c r="G879" t="s">
        <v>724</v>
      </c>
      <c r="H879" t="s">
        <v>725</v>
      </c>
      <c r="J879">
        <v>0</v>
      </c>
      <c r="K879">
        <v>0</v>
      </c>
      <c r="O879" t="s">
        <v>631</v>
      </c>
      <c r="P879" t="s">
        <v>820</v>
      </c>
      <c r="Q879" t="s">
        <v>464</v>
      </c>
      <c r="R879">
        <v>0</v>
      </c>
    </row>
    <row r="880" spans="1:18" x14ac:dyDescent="0.3">
      <c r="A880">
        <v>229183</v>
      </c>
      <c r="B880" t="s">
        <v>568</v>
      </c>
      <c r="C880" t="s">
        <v>1068</v>
      </c>
      <c r="E880" s="452">
        <v>46122</v>
      </c>
      <c r="F880" s="452">
        <v>46123</v>
      </c>
      <c r="G880" t="s">
        <v>280</v>
      </c>
      <c r="H880" t="s">
        <v>285</v>
      </c>
      <c r="I880" t="s">
        <v>1098</v>
      </c>
      <c r="J880">
        <v>-335.52</v>
      </c>
      <c r="K880">
        <v>-335.52</v>
      </c>
      <c r="O880" t="s">
        <v>631</v>
      </c>
      <c r="P880" t="s">
        <v>820</v>
      </c>
      <c r="Q880" t="s">
        <v>464</v>
      </c>
      <c r="R880">
        <v>0</v>
      </c>
    </row>
    <row r="881" spans="1:18" x14ac:dyDescent="0.3">
      <c r="A881">
        <v>231228</v>
      </c>
      <c r="B881" t="s">
        <v>568</v>
      </c>
      <c r="C881" t="s">
        <v>910</v>
      </c>
      <c r="E881" s="452">
        <v>46122</v>
      </c>
      <c r="F881" s="452">
        <v>46122</v>
      </c>
      <c r="G881" t="s">
        <v>724</v>
      </c>
      <c r="H881" t="s">
        <v>725</v>
      </c>
      <c r="J881">
        <v>-126.9</v>
      </c>
      <c r="K881">
        <v>-126.9</v>
      </c>
      <c r="O881" t="s">
        <v>631</v>
      </c>
      <c r="P881" t="s">
        <v>820</v>
      </c>
      <c r="Q881" t="s">
        <v>464</v>
      </c>
      <c r="R881">
        <v>0</v>
      </c>
    </row>
    <row r="882" spans="1:18" x14ac:dyDescent="0.3">
      <c r="A882">
        <v>223783</v>
      </c>
      <c r="B882" t="s">
        <v>568</v>
      </c>
      <c r="C882" t="s">
        <v>1339</v>
      </c>
      <c r="D882" t="s">
        <v>1340</v>
      </c>
      <c r="E882" s="452">
        <v>46121</v>
      </c>
      <c r="F882" s="452">
        <v>46122</v>
      </c>
      <c r="G882" t="s">
        <v>297</v>
      </c>
      <c r="H882" t="s">
        <v>306</v>
      </c>
      <c r="I882" t="s">
        <v>1341</v>
      </c>
      <c r="J882">
        <v>-517.70000000000005</v>
      </c>
      <c r="K882">
        <v>0</v>
      </c>
      <c r="O882" t="s">
        <v>631</v>
      </c>
      <c r="P882" t="s">
        <v>820</v>
      </c>
      <c r="Q882" t="s">
        <v>464</v>
      </c>
      <c r="R882">
        <v>0</v>
      </c>
    </row>
    <row r="883" spans="1:18" x14ac:dyDescent="0.3">
      <c r="A883">
        <v>229182</v>
      </c>
      <c r="B883" t="s">
        <v>568</v>
      </c>
      <c r="C883" t="s">
        <v>1068</v>
      </c>
      <c r="E883" s="452">
        <v>46121</v>
      </c>
      <c r="F883" s="452">
        <v>46122</v>
      </c>
      <c r="G883" t="s">
        <v>280</v>
      </c>
      <c r="H883" t="s">
        <v>285</v>
      </c>
      <c r="I883" t="s">
        <v>1098</v>
      </c>
      <c r="J883">
        <v>-74.63</v>
      </c>
      <c r="K883">
        <v>-74.63</v>
      </c>
      <c r="O883" t="s">
        <v>631</v>
      </c>
      <c r="P883" t="s">
        <v>820</v>
      </c>
      <c r="Q883" t="s">
        <v>464</v>
      </c>
      <c r="R883">
        <v>0</v>
      </c>
    </row>
    <row r="884" spans="1:18" x14ac:dyDescent="0.3">
      <c r="A884">
        <v>231221</v>
      </c>
      <c r="B884" t="s">
        <v>568</v>
      </c>
      <c r="C884" t="s">
        <v>723</v>
      </c>
      <c r="E884" s="452">
        <v>46121</v>
      </c>
      <c r="F884" s="452">
        <v>46121</v>
      </c>
      <c r="G884" t="s">
        <v>724</v>
      </c>
      <c r="H884" t="s">
        <v>725</v>
      </c>
      <c r="J884">
        <v>-5.08</v>
      </c>
      <c r="K884">
        <v>-5.08</v>
      </c>
      <c r="O884" t="s">
        <v>631</v>
      </c>
      <c r="P884" t="s">
        <v>820</v>
      </c>
      <c r="Q884" t="s">
        <v>464</v>
      </c>
      <c r="R884">
        <v>0</v>
      </c>
    </row>
    <row r="885" spans="1:18" x14ac:dyDescent="0.3">
      <c r="A885">
        <v>223193</v>
      </c>
      <c r="B885" t="s">
        <v>568</v>
      </c>
      <c r="C885" t="s">
        <v>654</v>
      </c>
      <c r="D885" t="s">
        <v>1342</v>
      </c>
      <c r="E885" s="452">
        <v>46120</v>
      </c>
      <c r="F885" s="452">
        <v>46121</v>
      </c>
      <c r="G885" t="s">
        <v>613</v>
      </c>
      <c r="H885" t="s">
        <v>369</v>
      </c>
      <c r="I885" t="s">
        <v>656</v>
      </c>
      <c r="J885">
        <v>-13662.94</v>
      </c>
      <c r="K885">
        <v>-13662.94</v>
      </c>
      <c r="O885" t="s">
        <v>631</v>
      </c>
      <c r="P885" t="s">
        <v>820</v>
      </c>
      <c r="Q885" t="s">
        <v>464</v>
      </c>
      <c r="R885">
        <v>0</v>
      </c>
    </row>
    <row r="886" spans="1:18" x14ac:dyDescent="0.3">
      <c r="A886">
        <v>229181</v>
      </c>
      <c r="B886" t="s">
        <v>568</v>
      </c>
      <c r="C886" t="s">
        <v>1068</v>
      </c>
      <c r="E886" s="452">
        <v>46120</v>
      </c>
      <c r="F886" s="452">
        <v>46121</v>
      </c>
      <c r="G886" t="s">
        <v>280</v>
      </c>
      <c r="H886" t="s">
        <v>285</v>
      </c>
      <c r="I886" t="s">
        <v>1098</v>
      </c>
      <c r="J886">
        <v>-95.2</v>
      </c>
      <c r="K886">
        <v>-95.2</v>
      </c>
      <c r="O886" t="s">
        <v>631</v>
      </c>
      <c r="P886" t="s">
        <v>820</v>
      </c>
      <c r="Q886" t="s">
        <v>464</v>
      </c>
      <c r="R886">
        <v>0</v>
      </c>
    </row>
    <row r="887" spans="1:18" x14ac:dyDescent="0.3">
      <c r="A887">
        <v>218048</v>
      </c>
      <c r="B887" t="s">
        <v>568</v>
      </c>
      <c r="C887" t="s">
        <v>812</v>
      </c>
      <c r="D887" t="s">
        <v>1343</v>
      </c>
      <c r="E887" s="452">
        <v>46120</v>
      </c>
      <c r="F887" s="452">
        <v>46139</v>
      </c>
      <c r="G887" t="s">
        <v>813</v>
      </c>
      <c r="H887" t="s">
        <v>60</v>
      </c>
      <c r="I887" t="s">
        <v>1344</v>
      </c>
      <c r="J887">
        <v>-1400</v>
      </c>
      <c r="K887">
        <v>-1400</v>
      </c>
      <c r="O887" t="s">
        <v>631</v>
      </c>
      <c r="P887" t="s">
        <v>820</v>
      </c>
      <c r="Q887" t="s">
        <v>464</v>
      </c>
      <c r="R887">
        <v>0</v>
      </c>
    </row>
    <row r="888" spans="1:18" x14ac:dyDescent="0.3">
      <c r="A888">
        <v>192914</v>
      </c>
      <c r="B888" t="s">
        <v>568</v>
      </c>
      <c r="C888" t="s">
        <v>671</v>
      </c>
      <c r="D888" t="s">
        <v>1345</v>
      </c>
      <c r="E888" s="452">
        <v>46120</v>
      </c>
      <c r="F888" s="452">
        <v>46120</v>
      </c>
      <c r="G888" t="s">
        <v>672</v>
      </c>
      <c r="H888" t="s">
        <v>240</v>
      </c>
      <c r="I888" t="s">
        <v>1346</v>
      </c>
      <c r="J888">
        <v>-300</v>
      </c>
      <c r="K888">
        <v>-300</v>
      </c>
      <c r="O888" t="s">
        <v>631</v>
      </c>
      <c r="P888" t="s">
        <v>820</v>
      </c>
      <c r="Q888" t="s">
        <v>464</v>
      </c>
      <c r="R888">
        <v>0</v>
      </c>
    </row>
    <row r="889" spans="1:18" x14ac:dyDescent="0.3">
      <c r="A889">
        <v>191908</v>
      </c>
      <c r="B889" t="s">
        <v>568</v>
      </c>
      <c r="C889" t="s">
        <v>713</v>
      </c>
      <c r="D889" t="s">
        <v>1347</v>
      </c>
      <c r="E889" s="452">
        <v>46120</v>
      </c>
      <c r="F889" s="452">
        <v>46136</v>
      </c>
      <c r="G889" t="s">
        <v>265</v>
      </c>
      <c r="H889" t="s">
        <v>267</v>
      </c>
      <c r="I889" t="s">
        <v>717</v>
      </c>
      <c r="J889">
        <v>-4137.1499999999996</v>
      </c>
      <c r="K889">
        <v>-4137.1499999999996</v>
      </c>
      <c r="O889" t="s">
        <v>631</v>
      </c>
      <c r="P889" t="s">
        <v>820</v>
      </c>
      <c r="Q889" t="s">
        <v>464</v>
      </c>
      <c r="R889">
        <v>0</v>
      </c>
    </row>
    <row r="890" spans="1:18" x14ac:dyDescent="0.3">
      <c r="A890">
        <v>229180</v>
      </c>
      <c r="B890" t="s">
        <v>568</v>
      </c>
      <c r="C890" t="s">
        <v>1068</v>
      </c>
      <c r="E890" s="452">
        <v>46119</v>
      </c>
      <c r="F890" s="452">
        <v>46120</v>
      </c>
      <c r="G890" t="s">
        <v>280</v>
      </c>
      <c r="H890" t="s">
        <v>285</v>
      </c>
      <c r="I890" t="s">
        <v>1098</v>
      </c>
      <c r="J890">
        <v>-105.4</v>
      </c>
      <c r="K890">
        <v>-105.4</v>
      </c>
      <c r="O890" t="s">
        <v>631</v>
      </c>
      <c r="P890" t="s">
        <v>820</v>
      </c>
      <c r="Q890" t="s">
        <v>464</v>
      </c>
      <c r="R890">
        <v>0</v>
      </c>
    </row>
    <row r="891" spans="1:18" x14ac:dyDescent="0.3">
      <c r="A891">
        <v>229179</v>
      </c>
      <c r="B891" t="s">
        <v>568</v>
      </c>
      <c r="C891" t="s">
        <v>1068</v>
      </c>
      <c r="E891" s="452">
        <v>46118</v>
      </c>
      <c r="F891" s="452">
        <v>46119</v>
      </c>
      <c r="G891" t="s">
        <v>280</v>
      </c>
      <c r="H891" t="s">
        <v>285</v>
      </c>
      <c r="I891" t="s">
        <v>1098</v>
      </c>
      <c r="J891">
        <v>-45.73</v>
      </c>
      <c r="K891">
        <v>-45.73</v>
      </c>
      <c r="O891" t="s">
        <v>631</v>
      </c>
      <c r="P891" t="s">
        <v>820</v>
      </c>
      <c r="Q891" t="s">
        <v>464</v>
      </c>
      <c r="R891">
        <v>0</v>
      </c>
    </row>
    <row r="892" spans="1:18" x14ac:dyDescent="0.3">
      <c r="A892">
        <v>231156</v>
      </c>
      <c r="B892" t="s">
        <v>568</v>
      </c>
      <c r="C892" t="s">
        <v>723</v>
      </c>
      <c r="E892" s="452">
        <v>46118</v>
      </c>
      <c r="F892" s="452">
        <v>46118</v>
      </c>
      <c r="G892" t="s">
        <v>724</v>
      </c>
      <c r="H892" t="s">
        <v>1348</v>
      </c>
      <c r="J892">
        <v>-0.8</v>
      </c>
      <c r="K892">
        <v>-0.8</v>
      </c>
      <c r="O892" t="s">
        <v>631</v>
      </c>
      <c r="P892" t="s">
        <v>820</v>
      </c>
      <c r="Q892" t="s">
        <v>464</v>
      </c>
      <c r="R892">
        <v>0</v>
      </c>
    </row>
    <row r="893" spans="1:18" x14ac:dyDescent="0.3">
      <c r="A893">
        <v>222420</v>
      </c>
      <c r="B893" t="s">
        <v>568</v>
      </c>
      <c r="C893" t="s">
        <v>908</v>
      </c>
      <c r="D893" t="s">
        <v>1349</v>
      </c>
      <c r="E893" s="452">
        <v>46118</v>
      </c>
      <c r="F893" s="452">
        <v>46127</v>
      </c>
      <c r="G893" t="s">
        <v>297</v>
      </c>
      <c r="H893" t="s">
        <v>308</v>
      </c>
      <c r="I893" t="s">
        <v>1350</v>
      </c>
      <c r="J893">
        <v>-349.05</v>
      </c>
      <c r="K893">
        <v>0</v>
      </c>
      <c r="O893" t="s">
        <v>631</v>
      </c>
      <c r="P893" t="s">
        <v>820</v>
      </c>
      <c r="Q893" t="s">
        <v>464</v>
      </c>
      <c r="R893">
        <v>0</v>
      </c>
    </row>
    <row r="894" spans="1:18" x14ac:dyDescent="0.3">
      <c r="A894">
        <v>222400</v>
      </c>
      <c r="B894" t="s">
        <v>568</v>
      </c>
      <c r="C894" t="s">
        <v>908</v>
      </c>
      <c r="D894" t="s">
        <v>1351</v>
      </c>
      <c r="E894" s="452">
        <v>46118</v>
      </c>
      <c r="F894" s="452">
        <v>46127</v>
      </c>
      <c r="G894" t="s">
        <v>297</v>
      </c>
      <c r="H894" t="s">
        <v>308</v>
      </c>
      <c r="I894" t="s">
        <v>1350</v>
      </c>
      <c r="J894">
        <v>-82.74</v>
      </c>
      <c r="K894">
        <v>0</v>
      </c>
      <c r="O894" t="s">
        <v>631</v>
      </c>
      <c r="P894" t="s">
        <v>820</v>
      </c>
      <c r="Q894" t="s">
        <v>464</v>
      </c>
      <c r="R894">
        <v>0</v>
      </c>
    </row>
    <row r="895" spans="1:18" x14ac:dyDescent="0.3">
      <c r="A895">
        <v>211405</v>
      </c>
      <c r="B895" t="s">
        <v>568</v>
      </c>
      <c r="C895" t="s">
        <v>789</v>
      </c>
      <c r="D895" t="s">
        <v>1352</v>
      </c>
      <c r="E895" s="452">
        <v>46118</v>
      </c>
      <c r="F895" s="452">
        <v>46128</v>
      </c>
      <c r="G895" t="s">
        <v>790</v>
      </c>
      <c r="H895" t="s">
        <v>204</v>
      </c>
      <c r="I895" t="s">
        <v>1353</v>
      </c>
      <c r="J895">
        <v>-2431.38</v>
      </c>
      <c r="K895">
        <v>-2431.38</v>
      </c>
      <c r="O895" t="s">
        <v>631</v>
      </c>
      <c r="P895" t="s">
        <v>820</v>
      </c>
      <c r="Q895" t="s">
        <v>464</v>
      </c>
      <c r="R895">
        <v>0</v>
      </c>
    </row>
    <row r="896" spans="1:18" x14ac:dyDescent="0.3">
      <c r="A896">
        <v>229178</v>
      </c>
      <c r="B896" t="s">
        <v>568</v>
      </c>
      <c r="C896" t="s">
        <v>1068</v>
      </c>
      <c r="E896" s="452">
        <v>46116</v>
      </c>
      <c r="F896" s="452">
        <v>46117</v>
      </c>
      <c r="G896" t="s">
        <v>280</v>
      </c>
      <c r="H896" t="s">
        <v>285</v>
      </c>
      <c r="I896" t="s">
        <v>1098</v>
      </c>
      <c r="J896">
        <v>-161.28</v>
      </c>
      <c r="K896">
        <v>-161.28</v>
      </c>
      <c r="O896" t="s">
        <v>631</v>
      </c>
      <c r="P896" t="s">
        <v>820</v>
      </c>
      <c r="Q896" t="s">
        <v>464</v>
      </c>
      <c r="R896">
        <v>0</v>
      </c>
    </row>
    <row r="897" spans="1:18" x14ac:dyDescent="0.3">
      <c r="A897">
        <v>229177</v>
      </c>
      <c r="B897" t="s">
        <v>568</v>
      </c>
      <c r="C897" t="s">
        <v>1068</v>
      </c>
      <c r="E897" s="452">
        <v>46114</v>
      </c>
      <c r="F897" s="452">
        <v>46115</v>
      </c>
      <c r="G897" t="s">
        <v>280</v>
      </c>
      <c r="H897" t="s">
        <v>285</v>
      </c>
      <c r="I897" t="s">
        <v>1098</v>
      </c>
      <c r="J897">
        <v>-107.04</v>
      </c>
      <c r="K897">
        <v>-107.04</v>
      </c>
      <c r="O897" t="s">
        <v>631</v>
      </c>
      <c r="P897" t="s">
        <v>820</v>
      </c>
      <c r="Q897" t="s">
        <v>464</v>
      </c>
      <c r="R897">
        <v>0</v>
      </c>
    </row>
    <row r="898" spans="1:18" x14ac:dyDescent="0.3">
      <c r="A898">
        <v>227948</v>
      </c>
      <c r="B898" t="s">
        <v>568</v>
      </c>
      <c r="C898" t="s">
        <v>853</v>
      </c>
      <c r="D898" t="s">
        <v>1354</v>
      </c>
      <c r="E898" s="452">
        <v>46113</v>
      </c>
      <c r="F898" s="452">
        <v>46147</v>
      </c>
      <c r="G898" t="s">
        <v>931</v>
      </c>
      <c r="H898" t="s">
        <v>932</v>
      </c>
      <c r="I898" t="s">
        <v>1355</v>
      </c>
      <c r="J898">
        <v>-90.24</v>
      </c>
      <c r="K898">
        <v>-90.24</v>
      </c>
      <c r="O898" t="s">
        <v>631</v>
      </c>
      <c r="P898" t="s">
        <v>820</v>
      </c>
      <c r="Q898" t="s">
        <v>464</v>
      </c>
      <c r="R898">
        <v>0</v>
      </c>
    </row>
    <row r="899" spans="1:18" x14ac:dyDescent="0.3">
      <c r="A899">
        <v>227962</v>
      </c>
      <c r="B899" t="s">
        <v>568</v>
      </c>
      <c r="C899" t="s">
        <v>853</v>
      </c>
      <c r="D899" t="s">
        <v>1356</v>
      </c>
      <c r="E899" s="452">
        <v>46113</v>
      </c>
      <c r="F899" s="452">
        <v>46147</v>
      </c>
      <c r="G899" t="s">
        <v>931</v>
      </c>
      <c r="H899" t="s">
        <v>932</v>
      </c>
      <c r="I899" t="s">
        <v>1357</v>
      </c>
      <c r="J899">
        <v>-44.7</v>
      </c>
      <c r="K899">
        <v>-44.7</v>
      </c>
      <c r="O899" t="s">
        <v>631</v>
      </c>
      <c r="P899" t="s">
        <v>820</v>
      </c>
      <c r="Q899" t="s">
        <v>464</v>
      </c>
      <c r="R899">
        <v>0</v>
      </c>
    </row>
    <row r="900" spans="1:18" x14ac:dyDescent="0.3">
      <c r="A900">
        <v>227961</v>
      </c>
      <c r="B900" t="s">
        <v>568</v>
      </c>
      <c r="C900" t="s">
        <v>853</v>
      </c>
      <c r="D900" t="s">
        <v>1358</v>
      </c>
      <c r="E900" s="452">
        <v>46113</v>
      </c>
      <c r="F900" s="452">
        <v>46147</v>
      </c>
      <c r="G900" t="s">
        <v>265</v>
      </c>
      <c r="H900" t="s">
        <v>276</v>
      </c>
      <c r="I900" t="s">
        <v>1359</v>
      </c>
      <c r="J900">
        <v>-27</v>
      </c>
      <c r="K900">
        <v>-27</v>
      </c>
      <c r="O900" t="s">
        <v>631</v>
      </c>
      <c r="P900" t="s">
        <v>820</v>
      </c>
      <c r="Q900" t="s">
        <v>464</v>
      </c>
      <c r="R900">
        <v>0</v>
      </c>
    </row>
    <row r="901" spans="1:18" x14ac:dyDescent="0.3">
      <c r="A901">
        <v>227960</v>
      </c>
      <c r="B901" t="s">
        <v>568</v>
      </c>
      <c r="C901" t="s">
        <v>853</v>
      </c>
      <c r="D901" t="s">
        <v>1360</v>
      </c>
      <c r="E901" s="452">
        <v>46113</v>
      </c>
      <c r="F901" s="452">
        <v>46147</v>
      </c>
      <c r="G901" t="s">
        <v>931</v>
      </c>
      <c r="H901" t="s">
        <v>932</v>
      </c>
      <c r="I901" t="s">
        <v>1355</v>
      </c>
      <c r="J901">
        <v>-60</v>
      </c>
      <c r="K901">
        <v>-60</v>
      </c>
      <c r="O901" t="s">
        <v>631</v>
      </c>
      <c r="P901" t="s">
        <v>820</v>
      </c>
      <c r="Q901" t="s">
        <v>464</v>
      </c>
      <c r="R901">
        <v>0</v>
      </c>
    </row>
    <row r="902" spans="1:18" x14ac:dyDescent="0.3">
      <c r="A902">
        <v>227959</v>
      </c>
      <c r="B902" t="s">
        <v>568</v>
      </c>
      <c r="C902" t="s">
        <v>853</v>
      </c>
      <c r="D902" t="s">
        <v>1361</v>
      </c>
      <c r="E902" s="452">
        <v>46113</v>
      </c>
      <c r="F902" s="452">
        <v>46147</v>
      </c>
      <c r="G902" t="s">
        <v>683</v>
      </c>
      <c r="H902" t="s">
        <v>292</v>
      </c>
      <c r="I902" t="s">
        <v>1362</v>
      </c>
      <c r="J902">
        <v>-95.4</v>
      </c>
      <c r="K902">
        <v>-95.4</v>
      </c>
      <c r="O902" t="s">
        <v>631</v>
      </c>
      <c r="P902" t="s">
        <v>820</v>
      </c>
      <c r="Q902" t="s">
        <v>464</v>
      </c>
      <c r="R902">
        <v>0</v>
      </c>
    </row>
    <row r="903" spans="1:18" x14ac:dyDescent="0.3">
      <c r="A903">
        <v>227958</v>
      </c>
      <c r="B903" t="s">
        <v>568</v>
      </c>
      <c r="C903" t="s">
        <v>853</v>
      </c>
      <c r="D903" t="s">
        <v>1363</v>
      </c>
      <c r="E903" s="452">
        <v>46113</v>
      </c>
      <c r="F903" s="452">
        <v>46147</v>
      </c>
      <c r="G903" t="s">
        <v>931</v>
      </c>
      <c r="H903" t="s">
        <v>932</v>
      </c>
      <c r="I903" t="s">
        <v>1364</v>
      </c>
      <c r="J903">
        <v>-66.59</v>
      </c>
      <c r="K903">
        <v>-66.59</v>
      </c>
      <c r="O903" t="s">
        <v>631</v>
      </c>
      <c r="P903" t="s">
        <v>820</v>
      </c>
      <c r="Q903" t="s">
        <v>464</v>
      </c>
      <c r="R903">
        <v>0</v>
      </c>
    </row>
    <row r="904" spans="1:18" x14ac:dyDescent="0.3">
      <c r="A904">
        <v>227957</v>
      </c>
      <c r="B904" t="s">
        <v>568</v>
      </c>
      <c r="C904" t="s">
        <v>853</v>
      </c>
      <c r="D904" t="s">
        <v>1365</v>
      </c>
      <c r="E904" s="452">
        <v>46113</v>
      </c>
      <c r="F904" s="452">
        <v>46147</v>
      </c>
      <c r="G904" t="s">
        <v>265</v>
      </c>
      <c r="H904" t="s">
        <v>276</v>
      </c>
      <c r="I904" t="s">
        <v>1366</v>
      </c>
      <c r="J904">
        <v>-17.600000000000001</v>
      </c>
      <c r="K904">
        <v>-17.600000000000001</v>
      </c>
      <c r="O904" t="s">
        <v>631</v>
      </c>
      <c r="P904" t="s">
        <v>820</v>
      </c>
      <c r="Q904" t="s">
        <v>464</v>
      </c>
      <c r="R904">
        <v>0</v>
      </c>
    </row>
    <row r="905" spans="1:18" x14ac:dyDescent="0.3">
      <c r="A905">
        <v>227956</v>
      </c>
      <c r="B905" t="s">
        <v>568</v>
      </c>
      <c r="C905" t="s">
        <v>853</v>
      </c>
      <c r="D905" t="s">
        <v>1367</v>
      </c>
      <c r="E905" s="452">
        <v>46113</v>
      </c>
      <c r="F905" s="452">
        <v>46147</v>
      </c>
      <c r="G905" t="s">
        <v>931</v>
      </c>
      <c r="H905" t="s">
        <v>932</v>
      </c>
      <c r="I905" t="s">
        <v>1355</v>
      </c>
      <c r="J905">
        <v>-60</v>
      </c>
      <c r="K905">
        <v>-60</v>
      </c>
      <c r="O905" t="s">
        <v>631</v>
      </c>
      <c r="P905" t="s">
        <v>820</v>
      </c>
      <c r="Q905" t="s">
        <v>464</v>
      </c>
      <c r="R905">
        <v>0</v>
      </c>
    </row>
    <row r="906" spans="1:18" x14ac:dyDescent="0.3">
      <c r="A906">
        <v>227954</v>
      </c>
      <c r="B906" t="s">
        <v>568</v>
      </c>
      <c r="C906" t="s">
        <v>853</v>
      </c>
      <c r="D906" t="s">
        <v>1368</v>
      </c>
      <c r="E906" s="452">
        <v>46113</v>
      </c>
      <c r="F906" s="452">
        <v>46147</v>
      </c>
      <c r="G906" t="s">
        <v>931</v>
      </c>
      <c r="H906" t="s">
        <v>932</v>
      </c>
      <c r="I906" t="s">
        <v>1369</v>
      </c>
      <c r="J906">
        <v>-9.08</v>
      </c>
      <c r="K906">
        <v>-9.08</v>
      </c>
      <c r="O906" t="s">
        <v>631</v>
      </c>
      <c r="P906" t="s">
        <v>820</v>
      </c>
      <c r="Q906" t="s">
        <v>464</v>
      </c>
      <c r="R906">
        <v>0</v>
      </c>
    </row>
    <row r="907" spans="1:18" x14ac:dyDescent="0.3">
      <c r="A907">
        <v>227952</v>
      </c>
      <c r="B907" t="s">
        <v>568</v>
      </c>
      <c r="C907" t="s">
        <v>853</v>
      </c>
      <c r="D907" t="s">
        <v>1370</v>
      </c>
      <c r="E907" s="452">
        <v>46113</v>
      </c>
      <c r="F907" s="452">
        <v>46147</v>
      </c>
      <c r="G907" t="s">
        <v>931</v>
      </c>
      <c r="H907" t="s">
        <v>932</v>
      </c>
      <c r="I907" t="s">
        <v>1355</v>
      </c>
      <c r="J907">
        <v>-60</v>
      </c>
      <c r="K907">
        <v>-60</v>
      </c>
      <c r="O907" t="s">
        <v>631</v>
      </c>
      <c r="P907" t="s">
        <v>820</v>
      </c>
      <c r="Q907" t="s">
        <v>464</v>
      </c>
      <c r="R907">
        <v>0</v>
      </c>
    </row>
    <row r="908" spans="1:18" x14ac:dyDescent="0.3">
      <c r="A908">
        <v>227951</v>
      </c>
      <c r="B908" t="s">
        <v>568</v>
      </c>
      <c r="C908" t="s">
        <v>853</v>
      </c>
      <c r="D908" t="s">
        <v>1371</v>
      </c>
      <c r="E908" s="452">
        <v>46113</v>
      </c>
      <c r="F908" s="452">
        <v>46147</v>
      </c>
      <c r="G908" t="s">
        <v>931</v>
      </c>
      <c r="H908" t="s">
        <v>932</v>
      </c>
      <c r="I908" t="s">
        <v>1364</v>
      </c>
      <c r="J908">
        <v>-81.2</v>
      </c>
      <c r="K908">
        <v>-81.2</v>
      </c>
      <c r="O908" t="s">
        <v>631</v>
      </c>
      <c r="P908" t="s">
        <v>820</v>
      </c>
      <c r="Q908" t="s">
        <v>464</v>
      </c>
      <c r="R908">
        <v>0</v>
      </c>
    </row>
    <row r="909" spans="1:18" x14ac:dyDescent="0.3">
      <c r="A909">
        <v>227950</v>
      </c>
      <c r="B909" t="s">
        <v>568</v>
      </c>
      <c r="C909" t="s">
        <v>853</v>
      </c>
      <c r="D909" t="s">
        <v>1372</v>
      </c>
      <c r="E909" s="452">
        <v>46113</v>
      </c>
      <c r="F909" s="452">
        <v>46147</v>
      </c>
      <c r="G909" t="s">
        <v>931</v>
      </c>
      <c r="H909" t="s">
        <v>932</v>
      </c>
      <c r="I909" t="s">
        <v>1373</v>
      </c>
      <c r="J909">
        <v>-10.26</v>
      </c>
      <c r="K909">
        <v>-10.26</v>
      </c>
      <c r="O909" t="s">
        <v>631</v>
      </c>
      <c r="P909" t="s">
        <v>820</v>
      </c>
      <c r="Q909" t="s">
        <v>464</v>
      </c>
      <c r="R909">
        <v>0</v>
      </c>
    </row>
    <row r="910" spans="1:18" x14ac:dyDescent="0.3">
      <c r="A910">
        <v>227949</v>
      </c>
      <c r="B910" t="s">
        <v>568</v>
      </c>
      <c r="C910" t="s">
        <v>853</v>
      </c>
      <c r="D910" t="s">
        <v>1374</v>
      </c>
      <c r="E910" s="452">
        <v>46113</v>
      </c>
      <c r="F910" s="452">
        <v>46147</v>
      </c>
      <c r="G910" t="s">
        <v>931</v>
      </c>
      <c r="H910" t="s">
        <v>932</v>
      </c>
      <c r="I910" t="s">
        <v>1375</v>
      </c>
      <c r="J910">
        <v>-13.62</v>
      </c>
      <c r="K910">
        <v>-13.62</v>
      </c>
      <c r="O910" t="s">
        <v>631</v>
      </c>
      <c r="P910" t="s">
        <v>820</v>
      </c>
      <c r="Q910" t="s">
        <v>464</v>
      </c>
      <c r="R910">
        <v>0</v>
      </c>
    </row>
    <row r="911" spans="1:18" x14ac:dyDescent="0.3">
      <c r="A911">
        <v>227963</v>
      </c>
      <c r="B911" t="s">
        <v>568</v>
      </c>
      <c r="C911" t="s">
        <v>853</v>
      </c>
      <c r="D911" t="s">
        <v>1376</v>
      </c>
      <c r="E911" s="452">
        <v>46113</v>
      </c>
      <c r="F911" s="452">
        <v>46147</v>
      </c>
      <c r="G911" t="s">
        <v>931</v>
      </c>
      <c r="H911" t="s">
        <v>932</v>
      </c>
      <c r="I911" t="s">
        <v>1377</v>
      </c>
      <c r="J911">
        <v>-19.559999999999999</v>
      </c>
      <c r="K911">
        <v>-19.559999999999999</v>
      </c>
      <c r="O911" t="s">
        <v>631</v>
      </c>
      <c r="P911" t="s">
        <v>820</v>
      </c>
      <c r="Q911" t="s">
        <v>464</v>
      </c>
      <c r="R911">
        <v>0</v>
      </c>
    </row>
    <row r="912" spans="1:18" x14ac:dyDescent="0.3">
      <c r="A912">
        <v>227947</v>
      </c>
      <c r="B912" t="s">
        <v>568</v>
      </c>
      <c r="C912" t="s">
        <v>853</v>
      </c>
      <c r="D912" t="s">
        <v>1378</v>
      </c>
      <c r="E912" s="452">
        <v>46113</v>
      </c>
      <c r="F912" s="452">
        <v>46147</v>
      </c>
      <c r="G912" t="s">
        <v>931</v>
      </c>
      <c r="H912" t="s">
        <v>932</v>
      </c>
      <c r="I912" t="s">
        <v>1379</v>
      </c>
      <c r="J912">
        <v>-52.67</v>
      </c>
      <c r="K912">
        <v>-52.67</v>
      </c>
      <c r="O912" t="s">
        <v>631</v>
      </c>
      <c r="P912" t="s">
        <v>820</v>
      </c>
      <c r="Q912" t="s">
        <v>464</v>
      </c>
      <c r="R912">
        <v>0</v>
      </c>
    </row>
    <row r="913" spans="1:18" x14ac:dyDescent="0.3">
      <c r="A913">
        <v>227946</v>
      </c>
      <c r="B913" t="s">
        <v>568</v>
      </c>
      <c r="C913" t="s">
        <v>853</v>
      </c>
      <c r="D913" t="s">
        <v>1380</v>
      </c>
      <c r="E913" s="452">
        <v>46113</v>
      </c>
      <c r="F913" s="452">
        <v>46147</v>
      </c>
      <c r="G913" t="s">
        <v>931</v>
      </c>
      <c r="H913" t="s">
        <v>932</v>
      </c>
      <c r="I913" t="s">
        <v>1369</v>
      </c>
      <c r="J913">
        <v>-9.08</v>
      </c>
      <c r="K913">
        <v>-9.08</v>
      </c>
      <c r="O913" t="s">
        <v>631</v>
      </c>
      <c r="P913" t="s">
        <v>820</v>
      </c>
      <c r="Q913" t="s">
        <v>464</v>
      </c>
      <c r="R913">
        <v>0</v>
      </c>
    </row>
    <row r="914" spans="1:18" x14ac:dyDescent="0.3">
      <c r="A914">
        <v>227945</v>
      </c>
      <c r="B914" t="s">
        <v>568</v>
      </c>
      <c r="C914" t="s">
        <v>853</v>
      </c>
      <c r="D914" t="s">
        <v>1381</v>
      </c>
      <c r="E914" s="452">
        <v>46113</v>
      </c>
      <c r="F914" s="452">
        <v>46147</v>
      </c>
      <c r="G914" t="s">
        <v>931</v>
      </c>
      <c r="H914" t="s">
        <v>932</v>
      </c>
      <c r="I914" t="s">
        <v>1382</v>
      </c>
      <c r="J914">
        <v>-15.09</v>
      </c>
      <c r="K914">
        <v>-15.09</v>
      </c>
      <c r="O914" t="s">
        <v>631</v>
      </c>
      <c r="P914" t="s">
        <v>820</v>
      </c>
      <c r="Q914" t="s">
        <v>464</v>
      </c>
      <c r="R914">
        <v>0</v>
      </c>
    </row>
    <row r="915" spans="1:18" x14ac:dyDescent="0.3">
      <c r="A915">
        <v>227943</v>
      </c>
      <c r="B915" t="s">
        <v>568</v>
      </c>
      <c r="C915" t="s">
        <v>853</v>
      </c>
      <c r="D915" t="s">
        <v>1383</v>
      </c>
      <c r="E915" s="452">
        <v>46113</v>
      </c>
      <c r="F915" s="452">
        <v>46147</v>
      </c>
      <c r="G915" t="s">
        <v>931</v>
      </c>
      <c r="H915" t="s">
        <v>932</v>
      </c>
      <c r="I915" t="s">
        <v>1384</v>
      </c>
      <c r="J915">
        <v>-89.73</v>
      </c>
      <c r="K915">
        <v>-89.73</v>
      </c>
      <c r="O915" t="s">
        <v>631</v>
      </c>
      <c r="P915" t="s">
        <v>820</v>
      </c>
      <c r="Q915" t="s">
        <v>464</v>
      </c>
      <c r="R915">
        <v>0</v>
      </c>
    </row>
    <row r="916" spans="1:18" x14ac:dyDescent="0.3">
      <c r="A916">
        <v>227942</v>
      </c>
      <c r="B916" t="s">
        <v>568</v>
      </c>
      <c r="C916" t="s">
        <v>853</v>
      </c>
      <c r="D916" t="s">
        <v>1385</v>
      </c>
      <c r="E916" s="452">
        <v>46113</v>
      </c>
      <c r="F916" s="452">
        <v>46147</v>
      </c>
      <c r="G916" t="s">
        <v>931</v>
      </c>
      <c r="H916" t="s">
        <v>932</v>
      </c>
      <c r="I916" t="s">
        <v>1386</v>
      </c>
      <c r="J916">
        <v>-9.6</v>
      </c>
      <c r="K916">
        <v>-9.6</v>
      </c>
      <c r="O916" t="s">
        <v>631</v>
      </c>
      <c r="P916" t="s">
        <v>820</v>
      </c>
      <c r="Q916" t="s">
        <v>464</v>
      </c>
      <c r="R916">
        <v>0</v>
      </c>
    </row>
    <row r="917" spans="1:18" x14ac:dyDescent="0.3">
      <c r="A917">
        <v>227674</v>
      </c>
      <c r="B917" t="s">
        <v>568</v>
      </c>
      <c r="C917" t="s">
        <v>1387</v>
      </c>
      <c r="D917" t="s">
        <v>1388</v>
      </c>
      <c r="E917" s="452">
        <v>46113</v>
      </c>
      <c r="F917" s="452">
        <v>46150</v>
      </c>
      <c r="G917" t="s">
        <v>683</v>
      </c>
      <c r="H917" t="s">
        <v>290</v>
      </c>
      <c r="I917" t="s">
        <v>1389</v>
      </c>
      <c r="J917">
        <v>-960</v>
      </c>
      <c r="K917">
        <v>-960</v>
      </c>
      <c r="O917" t="s">
        <v>631</v>
      </c>
      <c r="P917" t="s">
        <v>820</v>
      </c>
      <c r="Q917" t="s">
        <v>464</v>
      </c>
      <c r="R917">
        <v>0</v>
      </c>
    </row>
    <row r="918" spans="1:18" x14ac:dyDescent="0.3">
      <c r="A918">
        <v>227520</v>
      </c>
      <c r="B918" t="s">
        <v>568</v>
      </c>
      <c r="C918" t="s">
        <v>823</v>
      </c>
      <c r="D918" t="s">
        <v>1390</v>
      </c>
      <c r="E918" s="452">
        <v>46113</v>
      </c>
      <c r="F918" s="452">
        <v>46147</v>
      </c>
      <c r="G918" t="s">
        <v>280</v>
      </c>
      <c r="H918" t="s">
        <v>287</v>
      </c>
      <c r="I918" t="s">
        <v>825</v>
      </c>
      <c r="J918">
        <v>-23.3</v>
      </c>
      <c r="K918">
        <v>0</v>
      </c>
      <c r="O918" t="s">
        <v>631</v>
      </c>
      <c r="P918" t="s">
        <v>820</v>
      </c>
      <c r="Q918" t="s">
        <v>464</v>
      </c>
      <c r="R918">
        <v>0</v>
      </c>
    </row>
    <row r="919" spans="1:18" x14ac:dyDescent="0.3">
      <c r="A919">
        <v>220280</v>
      </c>
      <c r="B919" t="s">
        <v>568</v>
      </c>
      <c r="C919" t="s">
        <v>937</v>
      </c>
      <c r="D919" t="s">
        <v>1391</v>
      </c>
      <c r="E919" s="452">
        <v>46113</v>
      </c>
      <c r="F919" s="452">
        <v>46129</v>
      </c>
      <c r="G919" t="s">
        <v>697</v>
      </c>
      <c r="H919" t="s">
        <v>216</v>
      </c>
      <c r="I919" t="s">
        <v>1392</v>
      </c>
      <c r="J919">
        <v>-7131.21</v>
      </c>
      <c r="K919">
        <v>-7131.21</v>
      </c>
      <c r="O919" t="s">
        <v>631</v>
      </c>
      <c r="P919" t="s">
        <v>820</v>
      </c>
      <c r="Q919" t="s">
        <v>464</v>
      </c>
      <c r="R919">
        <v>0</v>
      </c>
    </row>
    <row r="920" spans="1:18" x14ac:dyDescent="0.3">
      <c r="A920">
        <v>224200</v>
      </c>
      <c r="B920" t="s">
        <v>568</v>
      </c>
      <c r="C920" t="s">
        <v>789</v>
      </c>
      <c r="D920" t="s">
        <v>1352</v>
      </c>
      <c r="E920" s="452">
        <v>46113</v>
      </c>
      <c r="F920" s="452">
        <v>46128</v>
      </c>
      <c r="G920" t="s">
        <v>790</v>
      </c>
      <c r="H920" t="s">
        <v>204</v>
      </c>
      <c r="I920" t="s">
        <v>1393</v>
      </c>
      <c r="J920">
        <v>-801.38</v>
      </c>
      <c r="K920">
        <v>-801.38</v>
      </c>
      <c r="O920" t="s">
        <v>631</v>
      </c>
      <c r="P920" t="s">
        <v>820</v>
      </c>
      <c r="Q920" t="s">
        <v>464</v>
      </c>
      <c r="R920">
        <v>0</v>
      </c>
    </row>
    <row r="921" spans="1:18" x14ac:dyDescent="0.3">
      <c r="A921">
        <v>218658</v>
      </c>
      <c r="B921" t="s">
        <v>568</v>
      </c>
      <c r="C921" t="s">
        <v>606</v>
      </c>
      <c r="D921" t="s">
        <v>1394</v>
      </c>
      <c r="E921" s="452">
        <v>46113</v>
      </c>
      <c r="F921" s="452">
        <v>46193</v>
      </c>
      <c r="G921" t="s">
        <v>257</v>
      </c>
      <c r="H921" t="s">
        <v>258</v>
      </c>
      <c r="I921" t="s">
        <v>1395</v>
      </c>
      <c r="J921">
        <v>-6340.57</v>
      </c>
      <c r="K921">
        <v>-6361.49</v>
      </c>
      <c r="O921" t="s">
        <v>631</v>
      </c>
      <c r="P921" t="s">
        <v>820</v>
      </c>
      <c r="Q921" t="s">
        <v>464</v>
      </c>
      <c r="R921">
        <v>0</v>
      </c>
    </row>
    <row r="922" spans="1:18" x14ac:dyDescent="0.3">
      <c r="A922">
        <v>218047</v>
      </c>
      <c r="B922" t="s">
        <v>568</v>
      </c>
      <c r="C922" t="s">
        <v>812</v>
      </c>
      <c r="D922" t="s">
        <v>1396</v>
      </c>
      <c r="E922" s="452">
        <v>46113</v>
      </c>
      <c r="F922" s="452">
        <v>46132</v>
      </c>
      <c r="G922" t="s">
        <v>813</v>
      </c>
      <c r="H922" t="s">
        <v>60</v>
      </c>
      <c r="I922" t="s">
        <v>1397</v>
      </c>
      <c r="J922">
        <v>-1400</v>
      </c>
      <c r="K922">
        <v>-1400</v>
      </c>
      <c r="O922" t="s">
        <v>631</v>
      </c>
      <c r="P922" t="s">
        <v>820</v>
      </c>
      <c r="Q922" t="s">
        <v>464</v>
      </c>
      <c r="R922">
        <v>0</v>
      </c>
    </row>
    <row r="923" spans="1:18" x14ac:dyDescent="0.3">
      <c r="A923">
        <v>227979</v>
      </c>
      <c r="B923" t="s">
        <v>568</v>
      </c>
      <c r="C923" t="s">
        <v>853</v>
      </c>
      <c r="D923" t="s">
        <v>1398</v>
      </c>
      <c r="E923" s="452">
        <v>46113</v>
      </c>
      <c r="F923" s="452">
        <v>46147</v>
      </c>
      <c r="G923" t="s">
        <v>931</v>
      </c>
      <c r="H923" t="s">
        <v>932</v>
      </c>
      <c r="I923" t="s">
        <v>1355</v>
      </c>
      <c r="J923">
        <v>-60</v>
      </c>
      <c r="K923">
        <v>-60</v>
      </c>
      <c r="O923" t="s">
        <v>631</v>
      </c>
      <c r="P923" t="s">
        <v>820</v>
      </c>
      <c r="Q923" t="s">
        <v>464</v>
      </c>
      <c r="R923">
        <v>0</v>
      </c>
    </row>
    <row r="924" spans="1:18" x14ac:dyDescent="0.3">
      <c r="A924">
        <v>229176</v>
      </c>
      <c r="B924" t="s">
        <v>568</v>
      </c>
      <c r="C924" t="s">
        <v>1068</v>
      </c>
      <c r="E924" s="452">
        <v>46113</v>
      </c>
      <c r="F924" s="452">
        <v>46114</v>
      </c>
      <c r="G924" t="s">
        <v>280</v>
      </c>
      <c r="H924" t="s">
        <v>285</v>
      </c>
      <c r="I924" t="s">
        <v>1098</v>
      </c>
      <c r="J924">
        <v>-95.86</v>
      </c>
      <c r="K924">
        <v>-95.86</v>
      </c>
      <c r="O924" t="s">
        <v>631</v>
      </c>
      <c r="P924" t="s">
        <v>820</v>
      </c>
      <c r="Q924" t="s">
        <v>464</v>
      </c>
      <c r="R924">
        <v>0</v>
      </c>
    </row>
    <row r="925" spans="1:18" x14ac:dyDescent="0.3">
      <c r="A925">
        <v>229175</v>
      </c>
      <c r="B925" t="s">
        <v>568</v>
      </c>
      <c r="C925" t="s">
        <v>1068</v>
      </c>
      <c r="E925" s="452">
        <v>46113</v>
      </c>
      <c r="F925" s="452">
        <v>46113</v>
      </c>
      <c r="G925" t="s">
        <v>280</v>
      </c>
      <c r="H925" t="s">
        <v>285</v>
      </c>
      <c r="I925" t="s">
        <v>1201</v>
      </c>
      <c r="J925">
        <v>-60</v>
      </c>
      <c r="K925">
        <v>-60</v>
      </c>
      <c r="O925" t="s">
        <v>631</v>
      </c>
      <c r="P925" t="s">
        <v>820</v>
      </c>
      <c r="Q925" t="s">
        <v>464</v>
      </c>
      <c r="R925">
        <v>0</v>
      </c>
    </row>
    <row r="926" spans="1:18" x14ac:dyDescent="0.3">
      <c r="A926">
        <v>229174</v>
      </c>
      <c r="B926" t="s">
        <v>568</v>
      </c>
      <c r="C926" t="s">
        <v>1068</v>
      </c>
      <c r="E926" s="452">
        <v>46113</v>
      </c>
      <c r="F926" s="452">
        <v>46113</v>
      </c>
      <c r="G926" t="s">
        <v>280</v>
      </c>
      <c r="H926" t="s">
        <v>285</v>
      </c>
      <c r="I926" t="s">
        <v>1200</v>
      </c>
      <c r="J926">
        <v>-160</v>
      </c>
      <c r="K926">
        <v>-160</v>
      </c>
      <c r="O926" t="s">
        <v>631</v>
      </c>
      <c r="P926" t="s">
        <v>820</v>
      </c>
      <c r="Q926" t="s">
        <v>464</v>
      </c>
      <c r="R926">
        <v>0</v>
      </c>
    </row>
    <row r="927" spans="1:18" x14ac:dyDescent="0.3">
      <c r="A927">
        <v>229173</v>
      </c>
      <c r="B927" t="s">
        <v>568</v>
      </c>
      <c r="C927" t="s">
        <v>1068</v>
      </c>
      <c r="E927" s="452">
        <v>46113</v>
      </c>
      <c r="F927" s="452">
        <v>46113</v>
      </c>
      <c r="G927" t="s">
        <v>280</v>
      </c>
      <c r="H927" t="s">
        <v>285</v>
      </c>
      <c r="I927" t="s">
        <v>1202</v>
      </c>
      <c r="J927">
        <v>-40</v>
      </c>
      <c r="K927">
        <v>-40</v>
      </c>
      <c r="O927" t="s">
        <v>631</v>
      </c>
      <c r="P927" t="s">
        <v>820</v>
      </c>
      <c r="Q927" t="s">
        <v>464</v>
      </c>
      <c r="R927">
        <v>0</v>
      </c>
    </row>
    <row r="928" spans="1:18" x14ac:dyDescent="0.3">
      <c r="A928">
        <v>227988</v>
      </c>
      <c r="B928" t="s">
        <v>568</v>
      </c>
      <c r="C928" t="s">
        <v>853</v>
      </c>
      <c r="D928" t="s">
        <v>1399</v>
      </c>
      <c r="E928" s="452">
        <v>46113</v>
      </c>
      <c r="F928" s="452">
        <v>46147</v>
      </c>
      <c r="G928" t="s">
        <v>265</v>
      </c>
      <c r="H928" t="s">
        <v>279</v>
      </c>
      <c r="I928" t="s">
        <v>1400</v>
      </c>
      <c r="J928">
        <v>-303</v>
      </c>
      <c r="K928">
        <v>-303</v>
      </c>
      <c r="O928" t="s">
        <v>631</v>
      </c>
      <c r="P928" t="s">
        <v>820</v>
      </c>
      <c r="Q928" t="s">
        <v>464</v>
      </c>
      <c r="R928">
        <v>0</v>
      </c>
    </row>
    <row r="929" spans="1:18" x14ac:dyDescent="0.3">
      <c r="A929">
        <v>227985</v>
      </c>
      <c r="B929" t="s">
        <v>568</v>
      </c>
      <c r="C929" t="s">
        <v>853</v>
      </c>
      <c r="D929" t="s">
        <v>1401</v>
      </c>
      <c r="E929" s="452">
        <v>46113</v>
      </c>
      <c r="F929" s="452">
        <v>46147</v>
      </c>
      <c r="G929" t="s">
        <v>931</v>
      </c>
      <c r="H929" t="s">
        <v>932</v>
      </c>
      <c r="I929" t="s">
        <v>1369</v>
      </c>
      <c r="J929">
        <v>-9.1</v>
      </c>
      <c r="K929">
        <v>-9.1</v>
      </c>
      <c r="O929" t="s">
        <v>631</v>
      </c>
      <c r="P929" t="s">
        <v>820</v>
      </c>
      <c r="Q929" t="s">
        <v>464</v>
      </c>
      <c r="R929">
        <v>0</v>
      </c>
    </row>
    <row r="930" spans="1:18" x14ac:dyDescent="0.3">
      <c r="A930">
        <v>227984</v>
      </c>
      <c r="B930" t="s">
        <v>568</v>
      </c>
      <c r="C930" t="s">
        <v>853</v>
      </c>
      <c r="D930" t="s">
        <v>1402</v>
      </c>
      <c r="E930" s="452">
        <v>46113</v>
      </c>
      <c r="F930" s="452">
        <v>46147</v>
      </c>
      <c r="G930" t="s">
        <v>931</v>
      </c>
      <c r="H930" t="s">
        <v>932</v>
      </c>
      <c r="I930" t="s">
        <v>1355</v>
      </c>
      <c r="J930">
        <v>-60</v>
      </c>
      <c r="K930">
        <v>-60</v>
      </c>
      <c r="O930" t="s">
        <v>631</v>
      </c>
      <c r="P930" t="s">
        <v>820</v>
      </c>
      <c r="Q930" t="s">
        <v>464</v>
      </c>
      <c r="R930">
        <v>0</v>
      </c>
    </row>
    <row r="931" spans="1:18" x14ac:dyDescent="0.3">
      <c r="A931">
        <v>227983</v>
      </c>
      <c r="B931" t="s">
        <v>568</v>
      </c>
      <c r="C931" t="s">
        <v>853</v>
      </c>
      <c r="D931" t="s">
        <v>1403</v>
      </c>
      <c r="E931" s="452">
        <v>46113</v>
      </c>
      <c r="F931" s="452">
        <v>46147</v>
      </c>
      <c r="G931" t="s">
        <v>931</v>
      </c>
      <c r="H931" t="s">
        <v>932</v>
      </c>
      <c r="I931" t="s">
        <v>1379</v>
      </c>
      <c r="J931">
        <v>-40</v>
      </c>
      <c r="K931">
        <v>-40</v>
      </c>
      <c r="O931" t="s">
        <v>631</v>
      </c>
      <c r="P931" t="s">
        <v>820</v>
      </c>
      <c r="Q931" t="s">
        <v>464</v>
      </c>
      <c r="R931">
        <v>0</v>
      </c>
    </row>
    <row r="932" spans="1:18" x14ac:dyDescent="0.3">
      <c r="A932">
        <v>227982</v>
      </c>
      <c r="B932" t="s">
        <v>568</v>
      </c>
      <c r="C932" t="s">
        <v>853</v>
      </c>
      <c r="D932" t="s">
        <v>1404</v>
      </c>
      <c r="E932" s="452">
        <v>46113</v>
      </c>
      <c r="F932" s="452">
        <v>46147</v>
      </c>
      <c r="G932" t="s">
        <v>931</v>
      </c>
      <c r="H932" t="s">
        <v>932</v>
      </c>
      <c r="I932" t="s">
        <v>1369</v>
      </c>
      <c r="J932">
        <v>-32.53</v>
      </c>
      <c r="K932">
        <v>-32.53</v>
      </c>
      <c r="O932" t="s">
        <v>631</v>
      </c>
      <c r="P932" t="s">
        <v>820</v>
      </c>
      <c r="Q932" t="s">
        <v>464</v>
      </c>
      <c r="R932">
        <v>0</v>
      </c>
    </row>
    <row r="933" spans="1:18" x14ac:dyDescent="0.3">
      <c r="A933">
        <v>227981</v>
      </c>
      <c r="B933" t="s">
        <v>568</v>
      </c>
      <c r="C933" t="s">
        <v>853</v>
      </c>
      <c r="D933" t="s">
        <v>1405</v>
      </c>
      <c r="E933" s="452">
        <v>46113</v>
      </c>
      <c r="F933" s="452">
        <v>46147</v>
      </c>
      <c r="G933" t="s">
        <v>931</v>
      </c>
      <c r="H933" t="s">
        <v>932</v>
      </c>
      <c r="I933" t="s">
        <v>1406</v>
      </c>
      <c r="J933">
        <v>-18</v>
      </c>
      <c r="K933">
        <v>-18</v>
      </c>
      <c r="O933" t="s">
        <v>631</v>
      </c>
      <c r="P933" t="s">
        <v>820</v>
      </c>
      <c r="Q933" t="s">
        <v>464</v>
      </c>
      <c r="R933">
        <v>0</v>
      </c>
    </row>
    <row r="934" spans="1:18" x14ac:dyDescent="0.3">
      <c r="A934">
        <v>227980</v>
      </c>
      <c r="B934" t="s">
        <v>568</v>
      </c>
      <c r="C934" t="s">
        <v>853</v>
      </c>
      <c r="D934" t="s">
        <v>1407</v>
      </c>
      <c r="E934" s="452">
        <v>46113</v>
      </c>
      <c r="F934" s="452">
        <v>46147</v>
      </c>
      <c r="G934" t="s">
        <v>931</v>
      </c>
      <c r="H934" t="s">
        <v>932</v>
      </c>
      <c r="I934" t="s">
        <v>1382</v>
      </c>
      <c r="J934">
        <v>-24.62</v>
      </c>
      <c r="K934">
        <v>-24.62</v>
      </c>
      <c r="O934" t="s">
        <v>631</v>
      </c>
      <c r="P934" t="s">
        <v>820</v>
      </c>
      <c r="Q934" t="s">
        <v>464</v>
      </c>
      <c r="R934">
        <v>0</v>
      </c>
    </row>
    <row r="935" spans="1:18" x14ac:dyDescent="0.3">
      <c r="A935">
        <v>227978</v>
      </c>
      <c r="B935" t="s">
        <v>568</v>
      </c>
      <c r="C935" t="s">
        <v>853</v>
      </c>
      <c r="D935" t="s">
        <v>1408</v>
      </c>
      <c r="E935" s="452">
        <v>46113</v>
      </c>
      <c r="F935" s="452">
        <v>46147</v>
      </c>
      <c r="G935" t="s">
        <v>683</v>
      </c>
      <c r="H935" t="s">
        <v>292</v>
      </c>
      <c r="I935" t="s">
        <v>1409</v>
      </c>
      <c r="J935">
        <v>-482.5</v>
      </c>
      <c r="K935">
        <v>-482.5</v>
      </c>
      <c r="O935" t="s">
        <v>631</v>
      </c>
      <c r="P935" t="s">
        <v>820</v>
      </c>
      <c r="Q935" t="s">
        <v>464</v>
      </c>
      <c r="R935">
        <v>0</v>
      </c>
    </row>
    <row r="936" spans="1:18" x14ac:dyDescent="0.3">
      <c r="A936">
        <v>227977</v>
      </c>
      <c r="B936" t="s">
        <v>568</v>
      </c>
      <c r="C936" t="s">
        <v>853</v>
      </c>
      <c r="D936" t="s">
        <v>1410</v>
      </c>
      <c r="E936" s="452">
        <v>46113</v>
      </c>
      <c r="F936" s="452">
        <v>46147</v>
      </c>
      <c r="G936" t="s">
        <v>265</v>
      </c>
      <c r="H936" t="s">
        <v>269</v>
      </c>
      <c r="I936" t="s">
        <v>1411</v>
      </c>
      <c r="J936">
        <v>-41.5</v>
      </c>
      <c r="K936">
        <v>-41.5</v>
      </c>
      <c r="O936" t="s">
        <v>631</v>
      </c>
      <c r="P936" t="s">
        <v>820</v>
      </c>
      <c r="Q936" t="s">
        <v>464</v>
      </c>
      <c r="R936">
        <v>0</v>
      </c>
    </row>
    <row r="937" spans="1:18" x14ac:dyDescent="0.3">
      <c r="A937">
        <v>227976</v>
      </c>
      <c r="B937" t="s">
        <v>568</v>
      </c>
      <c r="C937" t="s">
        <v>853</v>
      </c>
      <c r="D937" t="s">
        <v>1412</v>
      </c>
      <c r="E937" s="452">
        <v>46113</v>
      </c>
      <c r="F937" s="452">
        <v>46147</v>
      </c>
      <c r="G937" t="s">
        <v>931</v>
      </c>
      <c r="H937" t="s">
        <v>932</v>
      </c>
      <c r="I937" t="s">
        <v>1413</v>
      </c>
      <c r="J937">
        <v>-68.62</v>
      </c>
      <c r="K937">
        <v>-68.62</v>
      </c>
      <c r="O937" t="s">
        <v>631</v>
      </c>
      <c r="P937" t="s">
        <v>820</v>
      </c>
      <c r="Q937" t="s">
        <v>464</v>
      </c>
      <c r="R937">
        <v>0</v>
      </c>
    </row>
    <row r="938" spans="1:18" x14ac:dyDescent="0.3">
      <c r="A938">
        <v>227975</v>
      </c>
      <c r="B938" t="s">
        <v>568</v>
      </c>
      <c r="C938" t="s">
        <v>853</v>
      </c>
      <c r="D938" t="s">
        <v>1414</v>
      </c>
      <c r="E938" s="452">
        <v>46113</v>
      </c>
      <c r="F938" s="452">
        <v>46147</v>
      </c>
      <c r="G938" t="s">
        <v>931</v>
      </c>
      <c r="H938" t="s">
        <v>932</v>
      </c>
      <c r="I938" t="s">
        <v>1415</v>
      </c>
      <c r="J938">
        <v>-138.85</v>
      </c>
      <c r="K938">
        <v>-138.85</v>
      </c>
      <c r="O938" t="s">
        <v>631</v>
      </c>
      <c r="P938" t="s">
        <v>820</v>
      </c>
      <c r="Q938" t="s">
        <v>464</v>
      </c>
      <c r="R938">
        <v>0</v>
      </c>
    </row>
    <row r="939" spans="1:18" x14ac:dyDescent="0.3">
      <c r="A939">
        <v>227972</v>
      </c>
      <c r="B939" t="s">
        <v>568</v>
      </c>
      <c r="C939" t="s">
        <v>853</v>
      </c>
      <c r="D939" t="s">
        <v>1416</v>
      </c>
      <c r="E939" s="452">
        <v>46113</v>
      </c>
      <c r="F939" s="452">
        <v>46147</v>
      </c>
      <c r="G939" t="s">
        <v>265</v>
      </c>
      <c r="H939" t="s">
        <v>269</v>
      </c>
      <c r="I939" t="s">
        <v>1417</v>
      </c>
      <c r="J939">
        <v>-27.5</v>
      </c>
      <c r="K939">
        <v>-27.5</v>
      </c>
      <c r="O939" t="s">
        <v>631</v>
      </c>
      <c r="P939" t="s">
        <v>820</v>
      </c>
      <c r="Q939" t="s">
        <v>464</v>
      </c>
      <c r="R939">
        <v>0</v>
      </c>
    </row>
    <row r="940" spans="1:18" x14ac:dyDescent="0.3">
      <c r="A940">
        <v>227971</v>
      </c>
      <c r="B940" t="s">
        <v>568</v>
      </c>
      <c r="C940" t="s">
        <v>853</v>
      </c>
      <c r="D940" t="s">
        <v>1418</v>
      </c>
      <c r="E940" s="452">
        <v>46113</v>
      </c>
      <c r="F940" s="452">
        <v>46147</v>
      </c>
      <c r="G940" t="s">
        <v>931</v>
      </c>
      <c r="H940" t="s">
        <v>932</v>
      </c>
      <c r="I940" t="s">
        <v>1419</v>
      </c>
      <c r="J940">
        <v>-14.11</v>
      </c>
      <c r="K940">
        <v>-14.11</v>
      </c>
      <c r="O940" t="s">
        <v>631</v>
      </c>
      <c r="P940" t="s">
        <v>820</v>
      </c>
      <c r="Q940" t="s">
        <v>464</v>
      </c>
      <c r="R940">
        <v>0</v>
      </c>
    </row>
    <row r="941" spans="1:18" x14ac:dyDescent="0.3">
      <c r="A941">
        <v>227970</v>
      </c>
      <c r="B941" t="s">
        <v>568</v>
      </c>
      <c r="C941" t="s">
        <v>853</v>
      </c>
      <c r="D941" t="s">
        <v>1420</v>
      </c>
      <c r="E941" s="452">
        <v>46113</v>
      </c>
      <c r="F941" s="452">
        <v>46147</v>
      </c>
      <c r="G941" t="s">
        <v>931</v>
      </c>
      <c r="H941" t="s">
        <v>932</v>
      </c>
      <c r="I941" t="s">
        <v>1379</v>
      </c>
      <c r="J941">
        <v>-34.47</v>
      </c>
      <c r="K941">
        <v>-34.47</v>
      </c>
      <c r="O941" t="s">
        <v>631</v>
      </c>
      <c r="P941" t="s">
        <v>820</v>
      </c>
      <c r="Q941" t="s">
        <v>464</v>
      </c>
      <c r="R941">
        <v>0</v>
      </c>
    </row>
    <row r="942" spans="1:18" x14ac:dyDescent="0.3">
      <c r="A942">
        <v>227969</v>
      </c>
      <c r="B942" t="s">
        <v>568</v>
      </c>
      <c r="C942" t="s">
        <v>853</v>
      </c>
      <c r="D942" t="s">
        <v>1421</v>
      </c>
      <c r="E942" s="452">
        <v>46113</v>
      </c>
      <c r="F942" s="452">
        <v>46147</v>
      </c>
      <c r="G942" t="s">
        <v>931</v>
      </c>
      <c r="H942" t="s">
        <v>932</v>
      </c>
      <c r="I942" t="s">
        <v>1382</v>
      </c>
      <c r="J942">
        <v>-46.72</v>
      </c>
      <c r="K942">
        <v>-46.72</v>
      </c>
      <c r="O942" t="s">
        <v>631</v>
      </c>
      <c r="P942" t="s">
        <v>820</v>
      </c>
      <c r="Q942" t="s">
        <v>464</v>
      </c>
      <c r="R942">
        <v>0</v>
      </c>
    </row>
    <row r="943" spans="1:18" x14ac:dyDescent="0.3">
      <c r="A943">
        <v>227968</v>
      </c>
      <c r="B943" t="s">
        <v>568</v>
      </c>
      <c r="C943" t="s">
        <v>853</v>
      </c>
      <c r="D943" t="s">
        <v>1422</v>
      </c>
      <c r="E943" s="452">
        <v>46113</v>
      </c>
      <c r="F943" s="452">
        <v>46147</v>
      </c>
      <c r="G943" t="s">
        <v>683</v>
      </c>
      <c r="H943" t="s">
        <v>289</v>
      </c>
      <c r="I943" t="s">
        <v>1423</v>
      </c>
      <c r="J943">
        <v>-750</v>
      </c>
      <c r="K943">
        <v>-750</v>
      </c>
      <c r="O943" t="s">
        <v>631</v>
      </c>
      <c r="P943" t="s">
        <v>820</v>
      </c>
      <c r="Q943" t="s">
        <v>464</v>
      </c>
      <c r="R943">
        <v>0</v>
      </c>
    </row>
    <row r="944" spans="1:18" x14ac:dyDescent="0.3">
      <c r="A944">
        <v>227966</v>
      </c>
      <c r="B944" t="s">
        <v>568</v>
      </c>
      <c r="C944" t="s">
        <v>853</v>
      </c>
      <c r="D944" t="s">
        <v>1424</v>
      </c>
      <c r="E944" s="452">
        <v>46113</v>
      </c>
      <c r="F944" s="452">
        <v>46147</v>
      </c>
      <c r="G944" t="s">
        <v>931</v>
      </c>
      <c r="H944" t="s">
        <v>932</v>
      </c>
      <c r="I944" t="s">
        <v>1425</v>
      </c>
      <c r="J944">
        <v>-60</v>
      </c>
      <c r="K944">
        <v>-60</v>
      </c>
      <c r="O944" t="s">
        <v>631</v>
      </c>
      <c r="P944" t="s">
        <v>820</v>
      </c>
      <c r="Q944" t="s">
        <v>464</v>
      </c>
      <c r="R944">
        <v>0</v>
      </c>
    </row>
    <row r="945" spans="1:18" x14ac:dyDescent="0.3">
      <c r="A945">
        <v>227965</v>
      </c>
      <c r="B945" t="s">
        <v>568</v>
      </c>
      <c r="C945" t="s">
        <v>853</v>
      </c>
      <c r="D945" t="s">
        <v>1426</v>
      </c>
      <c r="E945" s="452">
        <v>46113</v>
      </c>
      <c r="F945" s="452">
        <v>46147</v>
      </c>
      <c r="G945" t="s">
        <v>931</v>
      </c>
      <c r="H945" t="s">
        <v>932</v>
      </c>
      <c r="I945" t="s">
        <v>1427</v>
      </c>
      <c r="J945">
        <v>-13.04</v>
      </c>
      <c r="K945">
        <v>-13.04</v>
      </c>
      <c r="O945" t="s">
        <v>631</v>
      </c>
      <c r="P945" t="s">
        <v>820</v>
      </c>
      <c r="Q945" t="s">
        <v>464</v>
      </c>
      <c r="R945">
        <v>0</v>
      </c>
    </row>
    <row r="946" spans="1:18" x14ac:dyDescent="0.3">
      <c r="A946">
        <v>215973</v>
      </c>
      <c r="B946" t="s">
        <v>568</v>
      </c>
      <c r="C946" t="s">
        <v>606</v>
      </c>
      <c r="D946" t="s">
        <v>1428</v>
      </c>
      <c r="E946" s="452">
        <v>46113</v>
      </c>
      <c r="F946" s="452">
        <v>46152</v>
      </c>
      <c r="G946" t="s">
        <v>257</v>
      </c>
      <c r="H946" t="s">
        <v>260</v>
      </c>
      <c r="I946" t="s">
        <v>1429</v>
      </c>
      <c r="J946">
        <v>-2935.69</v>
      </c>
      <c r="K946">
        <v>-2935.69</v>
      </c>
      <c r="O946" t="s">
        <v>631</v>
      </c>
      <c r="P946" t="s">
        <v>820</v>
      </c>
      <c r="Q946" t="s">
        <v>464</v>
      </c>
      <c r="R946">
        <v>0</v>
      </c>
    </row>
    <row r="947" spans="1:18" x14ac:dyDescent="0.3">
      <c r="A947">
        <v>193414</v>
      </c>
      <c r="B947" t="s">
        <v>568</v>
      </c>
      <c r="C947" t="s">
        <v>723</v>
      </c>
      <c r="D947" t="s">
        <v>1430</v>
      </c>
      <c r="E947" s="452">
        <v>46113</v>
      </c>
      <c r="F947" s="452">
        <v>46132</v>
      </c>
      <c r="G947" t="s">
        <v>724</v>
      </c>
      <c r="H947" t="s">
        <v>725</v>
      </c>
      <c r="I947" t="s">
        <v>1431</v>
      </c>
      <c r="J947">
        <v>-400</v>
      </c>
      <c r="K947">
        <v>-400</v>
      </c>
      <c r="O947" t="s">
        <v>631</v>
      </c>
      <c r="P947" t="s">
        <v>820</v>
      </c>
      <c r="Q947" t="s">
        <v>464</v>
      </c>
      <c r="R947">
        <v>0</v>
      </c>
    </row>
    <row r="948" spans="1:18" x14ac:dyDescent="0.3">
      <c r="A948">
        <v>199948</v>
      </c>
      <c r="B948" t="s">
        <v>568</v>
      </c>
      <c r="C948" t="s">
        <v>676</v>
      </c>
      <c r="D948" t="s">
        <v>1432</v>
      </c>
      <c r="E948" s="452">
        <v>46113</v>
      </c>
      <c r="F948" s="452">
        <v>46143</v>
      </c>
      <c r="G948" t="s">
        <v>677</v>
      </c>
      <c r="H948" t="s">
        <v>678</v>
      </c>
      <c r="I948" t="s">
        <v>745</v>
      </c>
      <c r="J948">
        <v>-1350</v>
      </c>
      <c r="K948">
        <v>-1350</v>
      </c>
      <c r="M948" t="s">
        <v>680</v>
      </c>
      <c r="N948" t="s">
        <v>134</v>
      </c>
      <c r="O948" t="s">
        <v>631</v>
      </c>
      <c r="P948" t="s">
        <v>820</v>
      </c>
      <c r="Q948" t="s">
        <v>464</v>
      </c>
      <c r="R948">
        <v>0</v>
      </c>
    </row>
    <row r="949" spans="1:18" x14ac:dyDescent="0.3">
      <c r="A949">
        <v>192856</v>
      </c>
      <c r="B949" t="s">
        <v>568</v>
      </c>
      <c r="C949" t="s">
        <v>662</v>
      </c>
      <c r="D949" t="s">
        <v>1433</v>
      </c>
      <c r="E949" s="452">
        <v>46113</v>
      </c>
      <c r="F949" s="452">
        <v>46132</v>
      </c>
      <c r="G949" t="s">
        <v>280</v>
      </c>
      <c r="H949" t="s">
        <v>284</v>
      </c>
      <c r="I949" t="s">
        <v>1434</v>
      </c>
      <c r="J949">
        <v>-181.27</v>
      </c>
      <c r="K949">
        <v>-181.27</v>
      </c>
      <c r="O949" t="s">
        <v>631</v>
      </c>
      <c r="P949" t="s">
        <v>820</v>
      </c>
      <c r="Q949" t="s">
        <v>464</v>
      </c>
      <c r="R949">
        <v>0</v>
      </c>
    </row>
    <row r="950" spans="1:18" x14ac:dyDescent="0.3">
      <c r="A950">
        <v>191968</v>
      </c>
      <c r="B950" t="s">
        <v>568</v>
      </c>
      <c r="C950" t="s">
        <v>727</v>
      </c>
      <c r="D950" t="s">
        <v>1435</v>
      </c>
      <c r="E950" s="452">
        <v>46113</v>
      </c>
      <c r="F950" s="452">
        <v>46140</v>
      </c>
      <c r="G950" t="s">
        <v>265</v>
      </c>
      <c r="H950" t="s">
        <v>272</v>
      </c>
      <c r="I950" t="s">
        <v>1436</v>
      </c>
      <c r="J950">
        <v>-570</v>
      </c>
      <c r="K950">
        <v>-570</v>
      </c>
      <c r="O950" t="s">
        <v>631</v>
      </c>
      <c r="P950" t="s">
        <v>820</v>
      </c>
      <c r="Q950" t="s">
        <v>464</v>
      </c>
      <c r="R950">
        <v>0</v>
      </c>
    </row>
    <row r="951" spans="1:18" x14ac:dyDescent="0.3">
      <c r="A951">
        <v>192340</v>
      </c>
      <c r="B951" t="s">
        <v>568</v>
      </c>
      <c r="C951" t="s">
        <v>742</v>
      </c>
      <c r="D951" t="s">
        <v>1437</v>
      </c>
      <c r="E951" s="452">
        <v>46113</v>
      </c>
      <c r="F951" s="452">
        <v>46122</v>
      </c>
      <c r="G951" t="s">
        <v>280</v>
      </c>
      <c r="H951" t="s">
        <v>282</v>
      </c>
      <c r="I951" t="s">
        <v>1438</v>
      </c>
      <c r="J951">
        <v>-249.9</v>
      </c>
      <c r="K951">
        <v>-249.9</v>
      </c>
      <c r="O951" t="s">
        <v>631</v>
      </c>
      <c r="P951" t="s">
        <v>820</v>
      </c>
      <c r="Q951" t="s">
        <v>464</v>
      </c>
      <c r="R951">
        <v>0</v>
      </c>
    </row>
    <row r="952" spans="1:18" x14ac:dyDescent="0.3">
      <c r="A952">
        <v>191860</v>
      </c>
      <c r="B952" t="s">
        <v>568</v>
      </c>
      <c r="C952" t="s">
        <v>708</v>
      </c>
      <c r="D952" t="s">
        <v>1439</v>
      </c>
      <c r="E952" s="452">
        <v>46113</v>
      </c>
      <c r="F952" s="452">
        <v>46133</v>
      </c>
      <c r="G952" t="s">
        <v>280</v>
      </c>
      <c r="H952" t="s">
        <v>283</v>
      </c>
      <c r="I952" t="s">
        <v>1440</v>
      </c>
      <c r="J952">
        <v>-334.6</v>
      </c>
      <c r="K952">
        <v>-334.6</v>
      </c>
      <c r="O952" t="s">
        <v>631</v>
      </c>
      <c r="P952" t="s">
        <v>820</v>
      </c>
      <c r="Q952" t="s">
        <v>464</v>
      </c>
      <c r="R952">
        <v>0</v>
      </c>
    </row>
    <row r="953" spans="1:18" x14ac:dyDescent="0.3">
      <c r="A953">
        <v>199976</v>
      </c>
      <c r="B953" t="s">
        <v>568</v>
      </c>
      <c r="C953" t="s">
        <v>747</v>
      </c>
      <c r="D953" t="s">
        <v>1441</v>
      </c>
      <c r="E953" s="452">
        <v>46113</v>
      </c>
      <c r="F953" s="452">
        <v>46157</v>
      </c>
      <c r="G953" t="s">
        <v>677</v>
      </c>
      <c r="H953" t="s">
        <v>678</v>
      </c>
      <c r="I953" t="s">
        <v>745</v>
      </c>
      <c r="J953">
        <v>-600</v>
      </c>
      <c r="K953">
        <v>-600</v>
      </c>
      <c r="M953" t="s">
        <v>748</v>
      </c>
      <c r="N953" t="s">
        <v>75</v>
      </c>
      <c r="O953" t="s">
        <v>631</v>
      </c>
      <c r="P953" t="s">
        <v>820</v>
      </c>
      <c r="Q953" t="s">
        <v>464</v>
      </c>
      <c r="R953">
        <v>0</v>
      </c>
    </row>
    <row r="954" spans="1:18" x14ac:dyDescent="0.3">
      <c r="A954">
        <v>192316</v>
      </c>
      <c r="B954" t="s">
        <v>568</v>
      </c>
      <c r="C954" t="s">
        <v>749</v>
      </c>
      <c r="D954" t="s">
        <v>1442</v>
      </c>
      <c r="E954" s="452">
        <v>46113</v>
      </c>
      <c r="F954" s="452">
        <v>46149</v>
      </c>
      <c r="G954" t="s">
        <v>297</v>
      </c>
      <c r="H954" t="s">
        <v>298</v>
      </c>
      <c r="I954" t="s">
        <v>1443</v>
      </c>
      <c r="J954">
        <v>-3000</v>
      </c>
      <c r="K954">
        <v>-3000</v>
      </c>
      <c r="M954" t="s">
        <v>751</v>
      </c>
      <c r="N954" t="s">
        <v>752</v>
      </c>
      <c r="O954" t="s">
        <v>631</v>
      </c>
      <c r="Q954" t="s">
        <v>464</v>
      </c>
      <c r="R954">
        <v>0</v>
      </c>
    </row>
    <row r="955" spans="1:18" x14ac:dyDescent="0.3">
      <c r="A955">
        <v>213323</v>
      </c>
      <c r="B955" t="s">
        <v>568</v>
      </c>
      <c r="C955" t="s">
        <v>676</v>
      </c>
      <c r="D955" t="s">
        <v>1432</v>
      </c>
      <c r="E955" s="452">
        <v>46113</v>
      </c>
      <c r="F955" s="452">
        <v>46157</v>
      </c>
      <c r="G955" t="s">
        <v>677</v>
      </c>
      <c r="H955" t="s">
        <v>678</v>
      </c>
      <c r="I955" t="s">
        <v>679</v>
      </c>
      <c r="J955">
        <v>-1350</v>
      </c>
      <c r="K955">
        <v>-1350</v>
      </c>
      <c r="M955" t="s">
        <v>680</v>
      </c>
      <c r="N955" t="s">
        <v>134</v>
      </c>
      <c r="O955" t="s">
        <v>631</v>
      </c>
      <c r="P955" t="s">
        <v>820</v>
      </c>
      <c r="Q955" t="s">
        <v>464</v>
      </c>
      <c r="R955">
        <v>0</v>
      </c>
    </row>
    <row r="956" spans="1:18" x14ac:dyDescent="0.3">
      <c r="A956">
        <v>197944</v>
      </c>
      <c r="B956" t="s">
        <v>568</v>
      </c>
      <c r="C956" t="s">
        <v>688</v>
      </c>
      <c r="D956" t="s">
        <v>1444</v>
      </c>
      <c r="E956" s="452">
        <v>46113</v>
      </c>
      <c r="F956" s="452">
        <v>46150</v>
      </c>
      <c r="G956" t="s">
        <v>666</v>
      </c>
      <c r="H956" t="s">
        <v>667</v>
      </c>
      <c r="I956" t="s">
        <v>1445</v>
      </c>
      <c r="J956">
        <v>-2656</v>
      </c>
      <c r="K956">
        <v>-2656</v>
      </c>
      <c r="O956" t="s">
        <v>631</v>
      </c>
      <c r="P956" t="s">
        <v>820</v>
      </c>
      <c r="Q956" t="s">
        <v>464</v>
      </c>
      <c r="R956">
        <v>0</v>
      </c>
    </row>
    <row r="957" spans="1:18" x14ac:dyDescent="0.3">
      <c r="A957">
        <v>175480</v>
      </c>
      <c r="B957" t="s">
        <v>568</v>
      </c>
      <c r="C957" t="s">
        <v>606</v>
      </c>
      <c r="D957" t="s">
        <v>1428</v>
      </c>
      <c r="E957" s="452">
        <v>46113</v>
      </c>
      <c r="F957" s="452">
        <v>46152</v>
      </c>
      <c r="G957" t="s">
        <v>257</v>
      </c>
      <c r="H957" t="s">
        <v>258</v>
      </c>
      <c r="I957" t="s">
        <v>1446</v>
      </c>
      <c r="J957">
        <v>-28364.51</v>
      </c>
      <c r="K957">
        <v>-26634.51</v>
      </c>
      <c r="O957" t="s">
        <v>631</v>
      </c>
      <c r="P957" t="s">
        <v>820</v>
      </c>
      <c r="Q957" t="s">
        <v>464</v>
      </c>
      <c r="R957">
        <v>0</v>
      </c>
    </row>
    <row r="958" spans="1:18" x14ac:dyDescent="0.3">
      <c r="A958">
        <v>192077</v>
      </c>
      <c r="B958" t="s">
        <v>568</v>
      </c>
      <c r="C958" t="s">
        <v>731</v>
      </c>
      <c r="D958" t="s">
        <v>1447</v>
      </c>
      <c r="E958" s="452">
        <v>46113</v>
      </c>
      <c r="F958" s="452">
        <v>46127</v>
      </c>
      <c r="G958" t="s">
        <v>319</v>
      </c>
      <c r="H958" t="s">
        <v>321</v>
      </c>
      <c r="I958" t="s">
        <v>1448</v>
      </c>
      <c r="J958">
        <v>-140.80000000000001</v>
      </c>
      <c r="K958">
        <v>-140.80000000000001</v>
      </c>
      <c r="O958" t="s">
        <v>631</v>
      </c>
      <c r="P958" t="s">
        <v>820</v>
      </c>
      <c r="Q958" t="s">
        <v>464</v>
      </c>
      <c r="R958">
        <v>0</v>
      </c>
    </row>
    <row r="959" spans="1:18" x14ac:dyDescent="0.3">
      <c r="A959">
        <v>199988</v>
      </c>
      <c r="B959" t="s">
        <v>568</v>
      </c>
      <c r="C959" t="s">
        <v>771</v>
      </c>
      <c r="D959" t="s">
        <v>1449</v>
      </c>
      <c r="E959" s="452">
        <v>46113</v>
      </c>
      <c r="F959" s="452">
        <v>46152</v>
      </c>
      <c r="G959" t="s">
        <v>677</v>
      </c>
      <c r="H959" t="s">
        <v>678</v>
      </c>
      <c r="I959" t="s">
        <v>745</v>
      </c>
      <c r="J959">
        <v>-1750</v>
      </c>
      <c r="K959">
        <v>-1750</v>
      </c>
      <c r="M959" t="s">
        <v>772</v>
      </c>
      <c r="N959" t="s">
        <v>135</v>
      </c>
      <c r="O959" t="s">
        <v>631</v>
      </c>
      <c r="P959" t="s">
        <v>820</v>
      </c>
      <c r="Q959" t="s">
        <v>464</v>
      </c>
      <c r="R959">
        <v>0</v>
      </c>
    </row>
    <row r="960" spans="1:18" x14ac:dyDescent="0.3">
      <c r="A960">
        <v>192176</v>
      </c>
      <c r="B960" t="s">
        <v>568</v>
      </c>
      <c r="C960" t="s">
        <v>1257</v>
      </c>
      <c r="D960" t="s">
        <v>1450</v>
      </c>
      <c r="E960" s="452">
        <v>46113</v>
      </c>
      <c r="F960" s="452">
        <v>46132</v>
      </c>
      <c r="G960" t="s">
        <v>265</v>
      </c>
      <c r="H960" t="s">
        <v>271</v>
      </c>
      <c r="I960" t="s">
        <v>1451</v>
      </c>
      <c r="J960">
        <v>-550</v>
      </c>
      <c r="K960">
        <v>-550</v>
      </c>
      <c r="O960" t="s">
        <v>631</v>
      </c>
      <c r="P960" t="s">
        <v>820</v>
      </c>
      <c r="Q960" t="s">
        <v>464</v>
      </c>
      <c r="R960">
        <v>0</v>
      </c>
    </row>
    <row r="961" spans="1:18" x14ac:dyDescent="0.3">
      <c r="A961">
        <v>204969</v>
      </c>
      <c r="B961" t="s">
        <v>568</v>
      </c>
      <c r="C961" t="s">
        <v>685</v>
      </c>
      <c r="D961" t="s">
        <v>1452</v>
      </c>
      <c r="E961" s="452">
        <v>46113</v>
      </c>
      <c r="F961" s="452">
        <v>46140</v>
      </c>
      <c r="G961" t="s">
        <v>672</v>
      </c>
      <c r="H961" t="s">
        <v>243</v>
      </c>
      <c r="I961" t="s">
        <v>686</v>
      </c>
      <c r="J961">
        <v>-69.22</v>
      </c>
      <c r="K961">
        <v>-69.22</v>
      </c>
      <c r="O961" t="s">
        <v>631</v>
      </c>
      <c r="P961" t="s">
        <v>820</v>
      </c>
      <c r="Q961" t="s">
        <v>464</v>
      </c>
      <c r="R961">
        <v>0</v>
      </c>
    </row>
    <row r="962" spans="1:18" x14ac:dyDescent="0.3">
      <c r="A962">
        <v>192103</v>
      </c>
      <c r="B962" t="s">
        <v>568</v>
      </c>
      <c r="C962" t="s">
        <v>767</v>
      </c>
      <c r="D962" t="s">
        <v>1453</v>
      </c>
      <c r="E962" s="452">
        <v>46113</v>
      </c>
      <c r="F962" s="452">
        <v>46148</v>
      </c>
      <c r="G962" t="s">
        <v>309</v>
      </c>
      <c r="H962" t="s">
        <v>315</v>
      </c>
      <c r="I962" t="s">
        <v>1454</v>
      </c>
      <c r="J962">
        <v>-981.02</v>
      </c>
      <c r="K962">
        <v>-1030.3900000000001</v>
      </c>
      <c r="O962" t="s">
        <v>631</v>
      </c>
      <c r="P962" t="s">
        <v>820</v>
      </c>
      <c r="Q962" t="s">
        <v>464</v>
      </c>
      <c r="R962">
        <v>0</v>
      </c>
    </row>
    <row r="963" spans="1:18" x14ac:dyDescent="0.3">
      <c r="A963">
        <v>175525</v>
      </c>
      <c r="B963" t="s">
        <v>568</v>
      </c>
      <c r="C963" t="s">
        <v>606</v>
      </c>
      <c r="D963" t="s">
        <v>1455</v>
      </c>
      <c r="E963" s="452">
        <v>46113</v>
      </c>
      <c r="F963" s="452">
        <v>46114</v>
      </c>
      <c r="G963" t="s">
        <v>613</v>
      </c>
      <c r="H963" t="s">
        <v>369</v>
      </c>
      <c r="I963" t="s">
        <v>614</v>
      </c>
      <c r="J963">
        <v>-5792.21</v>
      </c>
      <c r="K963">
        <v>-5792.21</v>
      </c>
      <c r="O963" t="s">
        <v>631</v>
      </c>
      <c r="P963" t="s">
        <v>820</v>
      </c>
      <c r="Q963" t="s">
        <v>464</v>
      </c>
      <c r="R963">
        <v>0</v>
      </c>
    </row>
    <row r="964" spans="1:18" x14ac:dyDescent="0.3">
      <c r="A964">
        <v>192901</v>
      </c>
      <c r="B964" t="s">
        <v>568</v>
      </c>
      <c r="C964" t="s">
        <v>671</v>
      </c>
      <c r="D964" t="s">
        <v>1456</v>
      </c>
      <c r="E964" s="452">
        <v>46113</v>
      </c>
      <c r="F964" s="452">
        <v>46113</v>
      </c>
      <c r="G964" t="s">
        <v>672</v>
      </c>
      <c r="H964" t="s">
        <v>240</v>
      </c>
      <c r="I964" t="s">
        <v>1457</v>
      </c>
      <c r="J964">
        <v>-300</v>
      </c>
      <c r="K964">
        <v>-300</v>
      </c>
      <c r="O964" t="s">
        <v>631</v>
      </c>
      <c r="P964" t="s">
        <v>820</v>
      </c>
      <c r="Q964" t="s">
        <v>464</v>
      </c>
      <c r="R964">
        <v>0</v>
      </c>
    </row>
    <row r="965" spans="1:18" x14ac:dyDescent="0.3">
      <c r="A965">
        <v>191824</v>
      </c>
      <c r="B965" t="s">
        <v>568</v>
      </c>
      <c r="C965" t="s">
        <v>765</v>
      </c>
      <c r="D965" t="s">
        <v>1458</v>
      </c>
      <c r="E965" s="452">
        <v>46113</v>
      </c>
      <c r="F965" s="452">
        <v>46135</v>
      </c>
      <c r="G965" t="s">
        <v>265</v>
      </c>
      <c r="H965" t="s">
        <v>268</v>
      </c>
      <c r="I965" t="s">
        <v>1459</v>
      </c>
      <c r="J965">
        <v>-3919.92</v>
      </c>
      <c r="K965">
        <v>-3919.92</v>
      </c>
      <c r="O965" t="s">
        <v>631</v>
      </c>
      <c r="P965" t="s">
        <v>820</v>
      </c>
      <c r="Q965" t="s">
        <v>464</v>
      </c>
      <c r="R965">
        <v>0</v>
      </c>
    </row>
    <row r="966" spans="1:18" x14ac:dyDescent="0.3">
      <c r="A966">
        <v>196077</v>
      </c>
      <c r="B966" t="s">
        <v>568</v>
      </c>
      <c r="C966" t="s">
        <v>671</v>
      </c>
      <c r="D966" t="s">
        <v>1460</v>
      </c>
      <c r="E966" s="452">
        <v>46113</v>
      </c>
      <c r="F966" s="452">
        <v>46107</v>
      </c>
      <c r="G966" t="s">
        <v>672</v>
      </c>
      <c r="H966" t="s">
        <v>240</v>
      </c>
      <c r="I966" t="s">
        <v>687</v>
      </c>
      <c r="J966">
        <v>-698.46</v>
      </c>
      <c r="K966">
        <v>-698.46</v>
      </c>
      <c r="O966" t="s">
        <v>631</v>
      </c>
      <c r="P966" t="s">
        <v>820</v>
      </c>
      <c r="Q966" t="s">
        <v>464</v>
      </c>
      <c r="R966">
        <v>0</v>
      </c>
    </row>
    <row r="967" spans="1:18" x14ac:dyDescent="0.3">
      <c r="A967">
        <v>200001</v>
      </c>
      <c r="B967" t="s">
        <v>568</v>
      </c>
      <c r="C967" t="s">
        <v>759</v>
      </c>
      <c r="D967" t="s">
        <v>1461</v>
      </c>
      <c r="E967" s="452">
        <v>46113</v>
      </c>
      <c r="F967" s="452">
        <v>46151</v>
      </c>
      <c r="G967" t="s">
        <v>677</v>
      </c>
      <c r="H967" t="s">
        <v>678</v>
      </c>
      <c r="I967" t="s">
        <v>745</v>
      </c>
      <c r="J967">
        <v>-1125</v>
      </c>
      <c r="K967">
        <v>-1125</v>
      </c>
      <c r="M967" t="s">
        <v>760</v>
      </c>
      <c r="N967" t="s">
        <v>131</v>
      </c>
      <c r="O967" t="s">
        <v>631</v>
      </c>
      <c r="P967" t="s">
        <v>820</v>
      </c>
      <c r="Q967" t="s">
        <v>464</v>
      </c>
      <c r="R967">
        <v>0</v>
      </c>
    </row>
    <row r="968" spans="1:18" x14ac:dyDescent="0.3">
      <c r="A968">
        <v>197931</v>
      </c>
      <c r="B968" t="s">
        <v>568</v>
      </c>
      <c r="C968" t="s">
        <v>688</v>
      </c>
      <c r="D968" t="s">
        <v>1444</v>
      </c>
      <c r="E968" s="452">
        <v>46113</v>
      </c>
      <c r="F968" s="452">
        <v>46132</v>
      </c>
      <c r="G968" t="s">
        <v>666</v>
      </c>
      <c r="H968" t="s">
        <v>667</v>
      </c>
      <c r="I968" t="s">
        <v>1462</v>
      </c>
      <c r="J968">
        <v>-2656</v>
      </c>
      <c r="K968">
        <v>-2656</v>
      </c>
      <c r="O968" t="s">
        <v>631</v>
      </c>
      <c r="P968" t="s">
        <v>820</v>
      </c>
      <c r="Q968" t="s">
        <v>464</v>
      </c>
      <c r="R968">
        <v>0</v>
      </c>
    </row>
    <row r="969" spans="1:18" x14ac:dyDescent="0.3">
      <c r="A969">
        <v>191812</v>
      </c>
      <c r="B969" t="s">
        <v>568</v>
      </c>
      <c r="C969" t="s">
        <v>740</v>
      </c>
      <c r="D969" t="s">
        <v>1463</v>
      </c>
      <c r="E969" s="452">
        <v>46113</v>
      </c>
      <c r="F969" s="452">
        <v>46137</v>
      </c>
      <c r="G969" t="s">
        <v>265</v>
      </c>
      <c r="H969" t="s">
        <v>266</v>
      </c>
      <c r="I969" t="s">
        <v>1464</v>
      </c>
      <c r="J969">
        <v>-5021.78</v>
      </c>
      <c r="K969">
        <v>-5021.78</v>
      </c>
      <c r="O969" t="s">
        <v>631</v>
      </c>
      <c r="P969" t="s">
        <v>820</v>
      </c>
      <c r="Q969" t="s">
        <v>464</v>
      </c>
      <c r="R969">
        <v>0</v>
      </c>
    </row>
    <row r="970" spans="1:18" x14ac:dyDescent="0.3">
      <c r="A970">
        <v>99343</v>
      </c>
      <c r="B970" t="s">
        <v>568</v>
      </c>
      <c r="C970" t="s">
        <v>569</v>
      </c>
      <c r="D970" t="s">
        <v>1021</v>
      </c>
      <c r="E970" s="452">
        <v>46113</v>
      </c>
      <c r="F970" s="452">
        <v>46122</v>
      </c>
      <c r="G970" t="s">
        <v>257</v>
      </c>
      <c r="H970" t="s">
        <v>263</v>
      </c>
      <c r="I970" t="s">
        <v>570</v>
      </c>
      <c r="J970">
        <v>-12000</v>
      </c>
      <c r="K970">
        <v>-12000</v>
      </c>
      <c r="O970" t="s">
        <v>631</v>
      </c>
      <c r="P970" t="s">
        <v>820</v>
      </c>
      <c r="Q970" t="s">
        <v>464</v>
      </c>
      <c r="R970">
        <v>0</v>
      </c>
    </row>
    <row r="971" spans="1:18" x14ac:dyDescent="0.3">
      <c r="A971">
        <v>192819</v>
      </c>
      <c r="B971" t="s">
        <v>568</v>
      </c>
      <c r="C971" t="s">
        <v>757</v>
      </c>
      <c r="D971" t="s">
        <v>1309</v>
      </c>
      <c r="E971" s="452">
        <v>46113</v>
      </c>
      <c r="F971" s="452">
        <v>46127</v>
      </c>
      <c r="G971" t="s">
        <v>309</v>
      </c>
      <c r="H971" t="s">
        <v>317</v>
      </c>
      <c r="I971" t="s">
        <v>1465</v>
      </c>
      <c r="J971">
        <v>-350</v>
      </c>
      <c r="K971">
        <v>-350</v>
      </c>
      <c r="O971" t="s">
        <v>631</v>
      </c>
      <c r="P971" t="s">
        <v>820</v>
      </c>
      <c r="Q971" t="s">
        <v>464</v>
      </c>
      <c r="R971">
        <v>0</v>
      </c>
    </row>
    <row r="972" spans="1:18" x14ac:dyDescent="0.3">
      <c r="A972">
        <v>192607</v>
      </c>
      <c r="B972" t="s">
        <v>568</v>
      </c>
      <c r="C972" t="s">
        <v>682</v>
      </c>
      <c r="D972" t="s">
        <v>1466</v>
      </c>
      <c r="E972" s="452">
        <v>46113</v>
      </c>
      <c r="F972" s="452">
        <v>46132</v>
      </c>
      <c r="G972" t="s">
        <v>683</v>
      </c>
      <c r="H972" t="s">
        <v>289</v>
      </c>
      <c r="I972" t="s">
        <v>1467</v>
      </c>
      <c r="J972">
        <v>-1500</v>
      </c>
      <c r="K972">
        <v>-1500</v>
      </c>
      <c r="O972" t="s">
        <v>631</v>
      </c>
      <c r="P972" t="s">
        <v>820</v>
      </c>
      <c r="Q972" t="s">
        <v>464</v>
      </c>
      <c r="R972">
        <v>0</v>
      </c>
    </row>
    <row r="973" spans="1:18" x14ac:dyDescent="0.3">
      <c r="A973">
        <v>199354</v>
      </c>
      <c r="B973" t="s">
        <v>568</v>
      </c>
      <c r="C973" t="s">
        <v>744</v>
      </c>
      <c r="D973" t="s">
        <v>1468</v>
      </c>
      <c r="E973" s="452">
        <v>46113</v>
      </c>
      <c r="F973" s="452">
        <v>46153</v>
      </c>
      <c r="G973" t="s">
        <v>677</v>
      </c>
      <c r="H973" t="s">
        <v>678</v>
      </c>
      <c r="I973" t="s">
        <v>745</v>
      </c>
      <c r="J973">
        <v>-2000</v>
      </c>
      <c r="K973">
        <v>-2000</v>
      </c>
      <c r="M973" t="s">
        <v>746</v>
      </c>
      <c r="N973" t="s">
        <v>131</v>
      </c>
      <c r="O973" t="s">
        <v>631</v>
      </c>
      <c r="P973" t="s">
        <v>820</v>
      </c>
      <c r="Q973" t="s">
        <v>464</v>
      </c>
      <c r="R973">
        <v>0</v>
      </c>
    </row>
    <row r="974" spans="1:18" x14ac:dyDescent="0.3">
      <c r="A974">
        <v>192118</v>
      </c>
      <c r="B974" t="s">
        <v>568</v>
      </c>
      <c r="C974" t="s">
        <v>761</v>
      </c>
      <c r="D974" t="s">
        <v>1469</v>
      </c>
      <c r="E974" s="452">
        <v>46113</v>
      </c>
      <c r="F974" s="452">
        <v>46132</v>
      </c>
      <c r="G974" t="s">
        <v>309</v>
      </c>
      <c r="H974" t="s">
        <v>312</v>
      </c>
      <c r="I974" t="s">
        <v>1470</v>
      </c>
      <c r="J974">
        <v>-281.63</v>
      </c>
      <c r="K974">
        <v>-281.63</v>
      </c>
      <c r="O974" t="s">
        <v>631</v>
      </c>
      <c r="P974" t="s">
        <v>820</v>
      </c>
      <c r="Q974" t="s">
        <v>464</v>
      </c>
      <c r="R974">
        <v>0</v>
      </c>
    </row>
    <row r="975" spans="1:18" x14ac:dyDescent="0.3">
      <c r="A975">
        <v>192489</v>
      </c>
      <c r="B975" t="s">
        <v>568</v>
      </c>
      <c r="C975" t="s">
        <v>778</v>
      </c>
      <c r="D975" t="s">
        <v>1471</v>
      </c>
      <c r="E975" s="452">
        <v>46113</v>
      </c>
      <c r="F975" s="452">
        <v>46132</v>
      </c>
      <c r="G975" t="s">
        <v>309</v>
      </c>
      <c r="H975" t="s">
        <v>313</v>
      </c>
      <c r="I975" t="s">
        <v>1472</v>
      </c>
      <c r="J975">
        <v>-185</v>
      </c>
      <c r="K975">
        <v>-185</v>
      </c>
      <c r="O975" t="s">
        <v>631</v>
      </c>
      <c r="P975" t="s">
        <v>820</v>
      </c>
      <c r="Q975" t="s">
        <v>464</v>
      </c>
      <c r="R975">
        <v>0</v>
      </c>
    </row>
    <row r="976" spans="1:18" x14ac:dyDescent="0.3">
      <c r="A976">
        <v>199341</v>
      </c>
      <c r="B976" t="s">
        <v>568</v>
      </c>
      <c r="C976" t="s">
        <v>753</v>
      </c>
      <c r="D976" t="s">
        <v>1473</v>
      </c>
      <c r="E976" s="452">
        <v>46113</v>
      </c>
      <c r="F976" s="452">
        <v>46157</v>
      </c>
      <c r="G976" t="s">
        <v>677</v>
      </c>
      <c r="H976" t="s">
        <v>678</v>
      </c>
      <c r="I976" t="s">
        <v>754</v>
      </c>
      <c r="J976">
        <v>-8000</v>
      </c>
      <c r="K976">
        <v>-8000</v>
      </c>
      <c r="M976" t="s">
        <v>755</v>
      </c>
      <c r="N976" t="s">
        <v>132</v>
      </c>
      <c r="O976" t="s">
        <v>631</v>
      </c>
      <c r="P976" t="s">
        <v>820</v>
      </c>
      <c r="Q976" t="s">
        <v>464</v>
      </c>
      <c r="R976">
        <v>0</v>
      </c>
    </row>
    <row r="977" spans="1:18" x14ac:dyDescent="0.3">
      <c r="A977">
        <v>191736</v>
      </c>
      <c r="B977" t="s">
        <v>568</v>
      </c>
      <c r="C977" t="s">
        <v>735</v>
      </c>
      <c r="D977" t="s">
        <v>1474</v>
      </c>
      <c r="E977" s="452">
        <v>46113</v>
      </c>
      <c r="F977" s="452">
        <v>46127</v>
      </c>
      <c r="G977" t="s">
        <v>309</v>
      </c>
      <c r="H977" t="s">
        <v>310</v>
      </c>
      <c r="I977" t="s">
        <v>1475</v>
      </c>
      <c r="J977">
        <v>-2282.27</v>
      </c>
      <c r="K977">
        <v>-2282.27</v>
      </c>
      <c r="O977" t="s">
        <v>631</v>
      </c>
      <c r="P977" t="s">
        <v>820</v>
      </c>
      <c r="Q977" t="s">
        <v>464</v>
      </c>
      <c r="R977">
        <v>0</v>
      </c>
    </row>
    <row r="978" spans="1:18" x14ac:dyDescent="0.3">
      <c r="A978">
        <v>193014</v>
      </c>
      <c r="B978" t="s">
        <v>568</v>
      </c>
      <c r="C978" t="s">
        <v>769</v>
      </c>
      <c r="D978" t="s">
        <v>1309</v>
      </c>
      <c r="E978" s="452">
        <v>46113</v>
      </c>
      <c r="F978" s="452">
        <v>46147</v>
      </c>
      <c r="G978" t="s">
        <v>280</v>
      </c>
      <c r="H978" t="s">
        <v>283</v>
      </c>
      <c r="I978" t="s">
        <v>1476</v>
      </c>
      <c r="J978">
        <v>-23.9</v>
      </c>
      <c r="K978">
        <v>-23.9</v>
      </c>
      <c r="O978" t="s">
        <v>631</v>
      </c>
      <c r="P978" t="s">
        <v>820</v>
      </c>
      <c r="Q978" t="s">
        <v>464</v>
      </c>
      <c r="R978">
        <v>0</v>
      </c>
    </row>
    <row r="979" spans="1:18" x14ac:dyDescent="0.3">
      <c r="A979">
        <v>196065</v>
      </c>
      <c r="B979" t="s">
        <v>568</v>
      </c>
      <c r="C979" t="s">
        <v>671</v>
      </c>
      <c r="D979" t="s">
        <v>1477</v>
      </c>
      <c r="E979" s="452">
        <v>46113</v>
      </c>
      <c r="F979" s="452">
        <v>46111</v>
      </c>
      <c r="G979" t="s">
        <v>672</v>
      </c>
      <c r="H979" t="s">
        <v>240</v>
      </c>
      <c r="I979" t="s">
        <v>691</v>
      </c>
      <c r="J979">
        <v>-1474.52</v>
      </c>
      <c r="K979">
        <v>-1474.52</v>
      </c>
      <c r="O979" t="s">
        <v>631</v>
      </c>
      <c r="P979" t="s">
        <v>820</v>
      </c>
      <c r="Q979" t="s">
        <v>464</v>
      </c>
      <c r="R979">
        <v>0</v>
      </c>
    </row>
    <row r="980" spans="1:18" x14ac:dyDescent="0.3">
      <c r="A980">
        <v>192373</v>
      </c>
      <c r="B980" t="s">
        <v>568</v>
      </c>
      <c r="C980" t="s">
        <v>733</v>
      </c>
      <c r="D980" t="s">
        <v>1478</v>
      </c>
      <c r="E980" s="452">
        <v>46113</v>
      </c>
      <c r="F980" s="452">
        <v>46154</v>
      </c>
      <c r="G980" t="s">
        <v>297</v>
      </c>
      <c r="H980" t="s">
        <v>299</v>
      </c>
      <c r="I980" t="s">
        <v>1479</v>
      </c>
      <c r="J980">
        <v>-500</v>
      </c>
      <c r="K980">
        <v>-500</v>
      </c>
      <c r="O980" t="s">
        <v>631</v>
      </c>
      <c r="P980" t="s">
        <v>820</v>
      </c>
      <c r="Q980" t="s">
        <v>464</v>
      </c>
      <c r="R980">
        <v>0</v>
      </c>
    </row>
    <row r="981" spans="1:18" x14ac:dyDescent="0.3">
      <c r="A981">
        <v>222702</v>
      </c>
      <c r="B981" t="s">
        <v>568</v>
      </c>
      <c r="C981" t="s">
        <v>829</v>
      </c>
      <c r="E981" s="452">
        <v>46112</v>
      </c>
      <c r="F981" s="452">
        <v>46119</v>
      </c>
      <c r="G981" t="s">
        <v>666</v>
      </c>
      <c r="H981" t="s">
        <v>667</v>
      </c>
      <c r="J981">
        <v>-2108.21</v>
      </c>
      <c r="K981">
        <v>-2108.21</v>
      </c>
      <c r="O981" t="s">
        <v>631</v>
      </c>
      <c r="P981" t="s">
        <v>820</v>
      </c>
      <c r="Q981" t="s">
        <v>463</v>
      </c>
      <c r="R981">
        <v>0</v>
      </c>
    </row>
    <row r="982" spans="1:18" x14ac:dyDescent="0.3">
      <c r="A982">
        <v>222705</v>
      </c>
      <c r="B982" t="s">
        <v>568</v>
      </c>
      <c r="C982" t="s">
        <v>945</v>
      </c>
      <c r="E982" s="452">
        <v>46112</v>
      </c>
      <c r="F982" s="452">
        <v>46119</v>
      </c>
      <c r="G982" t="s">
        <v>666</v>
      </c>
      <c r="H982" t="s">
        <v>667</v>
      </c>
      <c r="J982">
        <v>-2416.56</v>
      </c>
      <c r="K982">
        <v>-2416.56</v>
      </c>
      <c r="O982" t="s">
        <v>631</v>
      </c>
      <c r="P982" t="s">
        <v>820</v>
      </c>
      <c r="Q982" t="s">
        <v>463</v>
      </c>
      <c r="R982">
        <v>0</v>
      </c>
    </row>
    <row r="983" spans="1:18" x14ac:dyDescent="0.3">
      <c r="A983">
        <v>222703</v>
      </c>
      <c r="B983" t="s">
        <v>568</v>
      </c>
      <c r="C983" t="s">
        <v>937</v>
      </c>
      <c r="E983" s="452">
        <v>46112</v>
      </c>
      <c r="F983" s="452">
        <v>46119</v>
      </c>
      <c r="G983" t="s">
        <v>666</v>
      </c>
      <c r="H983" t="s">
        <v>667</v>
      </c>
      <c r="J983">
        <v>-3722.36</v>
      </c>
      <c r="K983">
        <v>-3722.36</v>
      </c>
      <c r="O983" t="s">
        <v>631</v>
      </c>
      <c r="P983" t="s">
        <v>820</v>
      </c>
      <c r="Q983" t="s">
        <v>463</v>
      </c>
      <c r="R983">
        <v>0</v>
      </c>
    </row>
    <row r="984" spans="1:18" x14ac:dyDescent="0.3">
      <c r="A984">
        <v>222704</v>
      </c>
      <c r="B984" t="s">
        <v>568</v>
      </c>
      <c r="C984" t="s">
        <v>940</v>
      </c>
      <c r="E984" s="452">
        <v>46112</v>
      </c>
      <c r="F984" s="452">
        <v>46119</v>
      </c>
      <c r="G984" t="s">
        <v>666</v>
      </c>
      <c r="H984" t="s">
        <v>667</v>
      </c>
      <c r="J984">
        <v>-2537.92</v>
      </c>
      <c r="K984">
        <v>-2537.92</v>
      </c>
      <c r="O984" t="s">
        <v>631</v>
      </c>
      <c r="P984" t="s">
        <v>820</v>
      </c>
      <c r="Q984" t="s">
        <v>463</v>
      </c>
      <c r="R984">
        <v>0</v>
      </c>
    </row>
    <row r="985" spans="1:18" x14ac:dyDescent="0.3">
      <c r="A985">
        <v>222701</v>
      </c>
      <c r="B985" t="s">
        <v>568</v>
      </c>
      <c r="C985" t="s">
        <v>953</v>
      </c>
      <c r="E985" s="452">
        <v>46112</v>
      </c>
      <c r="F985" s="452">
        <v>46119</v>
      </c>
      <c r="G985" t="s">
        <v>666</v>
      </c>
      <c r="H985" t="s">
        <v>667</v>
      </c>
      <c r="J985">
        <v>-2725.44</v>
      </c>
      <c r="K985">
        <v>-2725.44</v>
      </c>
      <c r="O985" t="s">
        <v>631</v>
      </c>
      <c r="P985" t="s">
        <v>820</v>
      </c>
      <c r="Q985" t="s">
        <v>463</v>
      </c>
      <c r="R985">
        <v>0</v>
      </c>
    </row>
    <row r="986" spans="1:18" x14ac:dyDescent="0.3">
      <c r="A986">
        <v>223214</v>
      </c>
      <c r="B986" t="s">
        <v>568</v>
      </c>
      <c r="C986" t="s">
        <v>859</v>
      </c>
      <c r="E986" s="452">
        <v>46112</v>
      </c>
      <c r="F986" s="452">
        <v>46112</v>
      </c>
      <c r="G986" t="s">
        <v>857</v>
      </c>
      <c r="H986" t="s">
        <v>118</v>
      </c>
      <c r="J986">
        <v>-54.31</v>
      </c>
      <c r="K986">
        <v>-54.31</v>
      </c>
      <c r="O986" t="s">
        <v>631</v>
      </c>
      <c r="P986" t="s">
        <v>820</v>
      </c>
      <c r="Q986" t="s">
        <v>463</v>
      </c>
      <c r="R986">
        <v>0</v>
      </c>
    </row>
    <row r="987" spans="1:18" x14ac:dyDescent="0.3">
      <c r="A987">
        <v>223217</v>
      </c>
      <c r="B987" t="s">
        <v>568</v>
      </c>
      <c r="C987" t="s">
        <v>860</v>
      </c>
      <c r="E987" s="452">
        <v>46112</v>
      </c>
      <c r="F987" s="452">
        <v>46112</v>
      </c>
      <c r="G987" t="s">
        <v>857</v>
      </c>
      <c r="H987" t="s">
        <v>118</v>
      </c>
      <c r="J987">
        <v>-101.82</v>
      </c>
      <c r="K987">
        <v>-101.82</v>
      </c>
      <c r="O987" t="s">
        <v>631</v>
      </c>
      <c r="P987" t="s">
        <v>820</v>
      </c>
      <c r="Q987" t="s">
        <v>463</v>
      </c>
      <c r="R987">
        <v>0</v>
      </c>
    </row>
    <row r="988" spans="1:18" x14ac:dyDescent="0.3">
      <c r="A988">
        <v>223218</v>
      </c>
      <c r="B988" t="s">
        <v>568</v>
      </c>
      <c r="C988" t="s">
        <v>856</v>
      </c>
      <c r="E988" s="452">
        <v>46112</v>
      </c>
      <c r="F988" s="452">
        <v>46112</v>
      </c>
      <c r="G988" t="s">
        <v>857</v>
      </c>
      <c r="H988" t="s">
        <v>118</v>
      </c>
      <c r="J988">
        <v>-96.52</v>
      </c>
      <c r="K988">
        <v>-96.52</v>
      </c>
      <c r="O988" t="s">
        <v>631</v>
      </c>
      <c r="P988" t="s">
        <v>820</v>
      </c>
      <c r="Q988" t="s">
        <v>463</v>
      </c>
      <c r="R988">
        <v>0</v>
      </c>
    </row>
    <row r="989" spans="1:18" x14ac:dyDescent="0.3">
      <c r="A989">
        <v>224336</v>
      </c>
      <c r="B989" t="s">
        <v>568</v>
      </c>
      <c r="C989" t="s">
        <v>858</v>
      </c>
      <c r="E989" s="452">
        <v>46112</v>
      </c>
      <c r="F989" s="452">
        <v>46112</v>
      </c>
      <c r="G989" t="s">
        <v>857</v>
      </c>
      <c r="H989" t="s">
        <v>118</v>
      </c>
      <c r="J989">
        <v>-462.94</v>
      </c>
      <c r="K989">
        <v>-462.94</v>
      </c>
      <c r="O989" t="s">
        <v>631</v>
      </c>
      <c r="P989" t="s">
        <v>820</v>
      </c>
      <c r="Q989" t="s">
        <v>463</v>
      </c>
      <c r="R989">
        <v>0</v>
      </c>
    </row>
    <row r="990" spans="1:18" x14ac:dyDescent="0.3">
      <c r="A990">
        <v>221018</v>
      </c>
      <c r="B990" t="s">
        <v>568</v>
      </c>
      <c r="C990" t="s">
        <v>1068</v>
      </c>
      <c r="E990" s="452">
        <v>46112</v>
      </c>
      <c r="F990" s="452">
        <v>46112</v>
      </c>
      <c r="G990" t="s">
        <v>857</v>
      </c>
      <c r="H990" t="s">
        <v>118</v>
      </c>
      <c r="I990" t="s">
        <v>1069</v>
      </c>
      <c r="J990">
        <v>-3727.37</v>
      </c>
      <c r="K990">
        <v>-3727.37</v>
      </c>
      <c r="O990" t="s">
        <v>631</v>
      </c>
      <c r="P990" t="s">
        <v>820</v>
      </c>
      <c r="Q990" t="s">
        <v>463</v>
      </c>
      <c r="R990">
        <v>0</v>
      </c>
    </row>
    <row r="991" spans="1:18" x14ac:dyDescent="0.3">
      <c r="A991">
        <v>221291</v>
      </c>
      <c r="B991" t="s">
        <v>568</v>
      </c>
      <c r="C991" t="s">
        <v>823</v>
      </c>
      <c r="D991" t="s">
        <v>1480</v>
      </c>
      <c r="E991" s="452">
        <v>46111</v>
      </c>
      <c r="F991" s="452">
        <v>46117</v>
      </c>
      <c r="G991" t="s">
        <v>280</v>
      </c>
      <c r="H991" t="s">
        <v>287</v>
      </c>
      <c r="I991" t="s">
        <v>825</v>
      </c>
      <c r="J991">
        <v>-22.93</v>
      </c>
      <c r="K991">
        <v>0</v>
      </c>
      <c r="O991" t="s">
        <v>631</v>
      </c>
      <c r="P991" t="s">
        <v>820</v>
      </c>
      <c r="Q991" t="s">
        <v>463</v>
      </c>
      <c r="R991">
        <v>0</v>
      </c>
    </row>
    <row r="992" spans="1:18" x14ac:dyDescent="0.3">
      <c r="A992">
        <v>221302</v>
      </c>
      <c r="B992" t="s">
        <v>568</v>
      </c>
      <c r="C992" t="s">
        <v>729</v>
      </c>
      <c r="D992" t="s">
        <v>1481</v>
      </c>
      <c r="E992" s="452">
        <v>46111</v>
      </c>
      <c r="F992" s="452">
        <v>46117</v>
      </c>
      <c r="G992" t="s">
        <v>280</v>
      </c>
      <c r="H992" t="s">
        <v>287</v>
      </c>
      <c r="I992" t="s">
        <v>1482</v>
      </c>
      <c r="J992">
        <v>-610.16</v>
      </c>
      <c r="K992">
        <v>0</v>
      </c>
      <c r="O992" t="s">
        <v>631</v>
      </c>
      <c r="P992" t="s">
        <v>820</v>
      </c>
      <c r="Q992" t="s">
        <v>463</v>
      </c>
      <c r="R992">
        <v>0</v>
      </c>
    </row>
    <row r="993" spans="1:18" x14ac:dyDescent="0.3">
      <c r="A993">
        <v>224461</v>
      </c>
      <c r="B993" t="s">
        <v>568</v>
      </c>
      <c r="C993" t="s">
        <v>1483</v>
      </c>
      <c r="E993" s="452">
        <v>46111</v>
      </c>
      <c r="F993" s="452">
        <v>46111</v>
      </c>
      <c r="G993" t="s">
        <v>857</v>
      </c>
      <c r="H993" t="s">
        <v>120</v>
      </c>
      <c r="I993" t="s">
        <v>1484</v>
      </c>
      <c r="J993">
        <v>-749.37</v>
      </c>
      <c r="K993">
        <v>-749.37</v>
      </c>
      <c r="O993" t="s">
        <v>631</v>
      </c>
      <c r="P993" t="s">
        <v>820</v>
      </c>
      <c r="Q993" t="s">
        <v>463</v>
      </c>
      <c r="R993">
        <v>0</v>
      </c>
    </row>
    <row r="994" spans="1:18" x14ac:dyDescent="0.3">
      <c r="A994">
        <v>223777</v>
      </c>
      <c r="B994" t="s">
        <v>568</v>
      </c>
      <c r="C994" t="s">
        <v>1066</v>
      </c>
      <c r="E994" s="452">
        <v>46111</v>
      </c>
      <c r="F994" s="452">
        <v>46111</v>
      </c>
      <c r="G994" t="s">
        <v>857</v>
      </c>
      <c r="H994" t="s">
        <v>120</v>
      </c>
      <c r="I994" t="s">
        <v>1302</v>
      </c>
      <c r="J994">
        <v>-2343.65</v>
      </c>
      <c r="K994">
        <v>-2343.65</v>
      </c>
      <c r="O994" t="s">
        <v>631</v>
      </c>
      <c r="P994" t="s">
        <v>820</v>
      </c>
      <c r="Q994" t="s">
        <v>463</v>
      </c>
      <c r="R994">
        <v>0</v>
      </c>
    </row>
    <row r="995" spans="1:18" x14ac:dyDescent="0.3">
      <c r="A995">
        <v>197353</v>
      </c>
      <c r="B995" t="s">
        <v>568</v>
      </c>
      <c r="C995" t="s">
        <v>699</v>
      </c>
      <c r="D995" t="s">
        <v>1485</v>
      </c>
      <c r="E995" s="452">
        <v>46111</v>
      </c>
      <c r="F995" s="452">
        <v>46132</v>
      </c>
      <c r="G995" t="s">
        <v>309</v>
      </c>
      <c r="H995" t="s">
        <v>310</v>
      </c>
      <c r="I995" t="s">
        <v>1486</v>
      </c>
      <c r="J995">
        <v>-34.76</v>
      </c>
      <c r="K995">
        <v>-34.76</v>
      </c>
      <c r="O995" t="s">
        <v>631</v>
      </c>
      <c r="P995" t="s">
        <v>820</v>
      </c>
      <c r="Q995" t="s">
        <v>463</v>
      </c>
      <c r="R995">
        <v>0</v>
      </c>
    </row>
    <row r="996" spans="1:18" x14ac:dyDescent="0.3">
      <c r="A996">
        <v>208514</v>
      </c>
      <c r="B996" t="s">
        <v>568</v>
      </c>
      <c r="C996" t="s">
        <v>699</v>
      </c>
      <c r="D996" t="s">
        <v>1487</v>
      </c>
      <c r="E996" s="452">
        <v>46111</v>
      </c>
      <c r="F996" s="452">
        <v>46132</v>
      </c>
      <c r="G996" t="s">
        <v>697</v>
      </c>
      <c r="H996" t="s">
        <v>700</v>
      </c>
      <c r="I996" t="s">
        <v>1488</v>
      </c>
      <c r="J996">
        <v>-340.18</v>
      </c>
      <c r="K996">
        <v>-340.18</v>
      </c>
      <c r="O996" t="s">
        <v>631</v>
      </c>
      <c r="P996" t="s">
        <v>820</v>
      </c>
      <c r="Q996" t="s">
        <v>463</v>
      </c>
      <c r="R996">
        <v>0</v>
      </c>
    </row>
    <row r="997" spans="1:18" x14ac:dyDescent="0.3">
      <c r="A997">
        <v>202397</v>
      </c>
      <c r="B997" t="s">
        <v>568</v>
      </c>
      <c r="C997" t="s">
        <v>696</v>
      </c>
      <c r="D997" t="s">
        <v>1489</v>
      </c>
      <c r="E997" s="452">
        <v>46111</v>
      </c>
      <c r="F997" s="452">
        <v>46127</v>
      </c>
      <c r="G997" t="s">
        <v>672</v>
      </c>
      <c r="H997" t="s">
        <v>248</v>
      </c>
      <c r="I997" t="s">
        <v>1490</v>
      </c>
      <c r="J997">
        <v>-60.37</v>
      </c>
      <c r="K997">
        <v>-60.37</v>
      </c>
      <c r="O997" t="s">
        <v>631</v>
      </c>
      <c r="P997" t="s">
        <v>820</v>
      </c>
      <c r="Q997" t="s">
        <v>463</v>
      </c>
      <c r="R997">
        <v>0</v>
      </c>
    </row>
    <row r="998" spans="1:18" x14ac:dyDescent="0.3">
      <c r="A998">
        <v>211404</v>
      </c>
      <c r="B998" t="s">
        <v>568</v>
      </c>
      <c r="C998" t="s">
        <v>789</v>
      </c>
      <c r="D998" t="s">
        <v>1491</v>
      </c>
      <c r="E998" s="452">
        <v>46111</v>
      </c>
      <c r="F998" s="452">
        <v>46121</v>
      </c>
      <c r="G998" t="s">
        <v>790</v>
      </c>
      <c r="H998" t="s">
        <v>204</v>
      </c>
      <c r="I998" t="s">
        <v>1492</v>
      </c>
      <c r="J998">
        <v>-3835.34</v>
      </c>
      <c r="K998">
        <v>-3835.34</v>
      </c>
      <c r="O998" t="s">
        <v>631</v>
      </c>
      <c r="Q998" t="s">
        <v>463</v>
      </c>
      <c r="R998">
        <v>0</v>
      </c>
    </row>
    <row r="999" spans="1:18" x14ac:dyDescent="0.3">
      <c r="A999">
        <v>208294</v>
      </c>
      <c r="B999" t="s">
        <v>568</v>
      </c>
      <c r="C999" t="s">
        <v>430</v>
      </c>
      <c r="D999" t="s">
        <v>1493</v>
      </c>
      <c r="E999" s="452">
        <v>46111</v>
      </c>
      <c r="F999" s="452">
        <v>46132</v>
      </c>
      <c r="G999" t="s">
        <v>697</v>
      </c>
      <c r="H999" t="s">
        <v>207</v>
      </c>
      <c r="I999" t="s">
        <v>1494</v>
      </c>
      <c r="J999">
        <v>-1863.2</v>
      </c>
      <c r="K999">
        <v>-1863.2</v>
      </c>
      <c r="O999" t="s">
        <v>631</v>
      </c>
      <c r="P999" t="s">
        <v>820</v>
      </c>
      <c r="Q999" t="s">
        <v>463</v>
      </c>
      <c r="R999">
        <v>0</v>
      </c>
    </row>
    <row r="1000" spans="1:18" x14ac:dyDescent="0.3">
      <c r="A1000">
        <v>207035</v>
      </c>
      <c r="B1000" t="s">
        <v>568</v>
      </c>
      <c r="C1000" t="s">
        <v>431</v>
      </c>
      <c r="D1000" t="s">
        <v>1495</v>
      </c>
      <c r="E1000" s="452">
        <v>46111</v>
      </c>
      <c r="F1000" s="452">
        <v>46132</v>
      </c>
      <c r="G1000" t="s">
        <v>697</v>
      </c>
      <c r="H1000" t="s">
        <v>212</v>
      </c>
      <c r="I1000" t="s">
        <v>1496</v>
      </c>
      <c r="J1000">
        <v>-2293.2600000000002</v>
      </c>
      <c r="K1000">
        <v>-2293.2600000000002</v>
      </c>
      <c r="O1000" t="s">
        <v>631</v>
      </c>
      <c r="P1000" t="s">
        <v>820</v>
      </c>
      <c r="Q1000" t="s">
        <v>463</v>
      </c>
      <c r="R1000">
        <v>0</v>
      </c>
    </row>
    <row r="1001" spans="1:18" x14ac:dyDescent="0.3">
      <c r="A1001">
        <v>192884</v>
      </c>
      <c r="B1001" t="s">
        <v>568</v>
      </c>
      <c r="C1001" t="s">
        <v>692</v>
      </c>
      <c r="D1001" t="s">
        <v>1497</v>
      </c>
      <c r="E1001" s="452">
        <v>46111</v>
      </c>
      <c r="F1001" s="452">
        <v>46119</v>
      </c>
      <c r="G1001" t="s">
        <v>309</v>
      </c>
      <c r="H1001" t="s">
        <v>317</v>
      </c>
      <c r="I1001" t="s">
        <v>1498</v>
      </c>
      <c r="J1001">
        <v>-760</v>
      </c>
      <c r="K1001">
        <v>0</v>
      </c>
      <c r="O1001" t="s">
        <v>631</v>
      </c>
      <c r="P1001" t="s">
        <v>820</v>
      </c>
      <c r="Q1001" t="s">
        <v>463</v>
      </c>
      <c r="R1001">
        <v>0</v>
      </c>
    </row>
    <row r="1002" spans="1:18" x14ac:dyDescent="0.3">
      <c r="A1002">
        <v>190623</v>
      </c>
      <c r="B1002" t="s">
        <v>568</v>
      </c>
      <c r="C1002" t="s">
        <v>50</v>
      </c>
      <c r="D1002" t="s">
        <v>1485</v>
      </c>
      <c r="E1002" s="452">
        <v>46111</v>
      </c>
      <c r="F1002" s="452">
        <v>46132</v>
      </c>
      <c r="G1002" t="s">
        <v>694</v>
      </c>
      <c r="H1002" t="s">
        <v>50</v>
      </c>
      <c r="I1002" t="s">
        <v>695</v>
      </c>
      <c r="J1002">
        <v>-12100.18</v>
      </c>
      <c r="K1002">
        <v>-12100.18</v>
      </c>
      <c r="O1002" t="s">
        <v>631</v>
      </c>
      <c r="P1002" t="s">
        <v>820</v>
      </c>
      <c r="Q1002" t="s">
        <v>463</v>
      </c>
      <c r="R1002">
        <v>0</v>
      </c>
    </row>
    <row r="1003" spans="1:18" x14ac:dyDescent="0.3">
      <c r="A1003">
        <v>209517</v>
      </c>
      <c r="B1003" t="s">
        <v>568</v>
      </c>
      <c r="C1003" t="s">
        <v>654</v>
      </c>
      <c r="D1003" t="s">
        <v>1485</v>
      </c>
      <c r="E1003" s="452">
        <v>46109</v>
      </c>
      <c r="F1003" s="452">
        <v>46132</v>
      </c>
      <c r="G1003" t="s">
        <v>702</v>
      </c>
      <c r="H1003" t="s">
        <v>343</v>
      </c>
      <c r="I1003" t="s">
        <v>1499</v>
      </c>
      <c r="J1003">
        <v>-37608.33</v>
      </c>
      <c r="K1003">
        <v>-37608.33</v>
      </c>
      <c r="O1003" t="s">
        <v>631</v>
      </c>
      <c r="P1003" t="s">
        <v>820</v>
      </c>
      <c r="Q1003" t="s">
        <v>463</v>
      </c>
      <c r="R1003">
        <v>0</v>
      </c>
    </row>
    <row r="1004" spans="1:18" x14ac:dyDescent="0.3">
      <c r="A1004">
        <v>208873</v>
      </c>
      <c r="B1004" t="s">
        <v>568</v>
      </c>
      <c r="C1004" t="s">
        <v>606</v>
      </c>
      <c r="D1004" t="s">
        <v>1500</v>
      </c>
      <c r="E1004" s="452">
        <v>46109</v>
      </c>
      <c r="F1004" s="452">
        <v>46091</v>
      </c>
      <c r="G1004" t="s">
        <v>613</v>
      </c>
      <c r="H1004" t="s">
        <v>369</v>
      </c>
      <c r="I1004" t="s">
        <v>1501</v>
      </c>
      <c r="J1004">
        <v>-20899.169999999998</v>
      </c>
      <c r="K1004">
        <v>-20899.169999999998</v>
      </c>
      <c r="O1004" t="s">
        <v>631</v>
      </c>
      <c r="P1004" t="s">
        <v>820</v>
      </c>
      <c r="Q1004" t="s">
        <v>463</v>
      </c>
      <c r="R1004">
        <v>0</v>
      </c>
    </row>
    <row r="1005" spans="1:18" x14ac:dyDescent="0.3">
      <c r="A1005">
        <v>197875</v>
      </c>
      <c r="B1005" t="s">
        <v>568</v>
      </c>
      <c r="C1005" t="s">
        <v>704</v>
      </c>
      <c r="D1005" t="s">
        <v>1502</v>
      </c>
      <c r="E1005" s="452">
        <v>46106</v>
      </c>
      <c r="F1005" s="452">
        <v>46137</v>
      </c>
      <c r="G1005" t="s">
        <v>705</v>
      </c>
      <c r="H1005" t="s">
        <v>114</v>
      </c>
      <c r="I1005" t="s">
        <v>1503</v>
      </c>
      <c r="J1005">
        <v>-8640</v>
      </c>
      <c r="K1005">
        <v>-8640</v>
      </c>
      <c r="O1005" t="s">
        <v>631</v>
      </c>
      <c r="P1005" t="s">
        <v>820</v>
      </c>
      <c r="Q1005" t="s">
        <v>463</v>
      </c>
      <c r="R1005">
        <v>0</v>
      </c>
    </row>
    <row r="1006" spans="1:18" x14ac:dyDescent="0.3">
      <c r="A1006">
        <v>222022</v>
      </c>
      <c r="B1006" t="s">
        <v>568</v>
      </c>
      <c r="C1006" t="s">
        <v>1068</v>
      </c>
      <c r="E1006" s="452">
        <v>46106</v>
      </c>
      <c r="F1006" s="452">
        <v>46107</v>
      </c>
      <c r="G1006" t="s">
        <v>280</v>
      </c>
      <c r="H1006" t="s">
        <v>285</v>
      </c>
      <c r="I1006" t="s">
        <v>1098</v>
      </c>
      <c r="J1006">
        <v>-65.81</v>
      </c>
      <c r="K1006">
        <v>-65.81</v>
      </c>
      <c r="O1006" t="s">
        <v>631</v>
      </c>
      <c r="P1006" t="s">
        <v>820</v>
      </c>
      <c r="Q1006" t="s">
        <v>463</v>
      </c>
      <c r="R1006">
        <v>0</v>
      </c>
    </row>
    <row r="1007" spans="1:18" x14ac:dyDescent="0.3">
      <c r="A1007">
        <v>218046</v>
      </c>
      <c r="B1007" t="s">
        <v>568</v>
      </c>
      <c r="C1007" t="s">
        <v>812</v>
      </c>
      <c r="D1007" t="s">
        <v>1504</v>
      </c>
      <c r="E1007" s="452">
        <v>46106</v>
      </c>
      <c r="F1007" s="452">
        <v>46125</v>
      </c>
      <c r="G1007" t="s">
        <v>813</v>
      </c>
      <c r="H1007" t="s">
        <v>60</v>
      </c>
      <c r="I1007" t="s">
        <v>1505</v>
      </c>
      <c r="J1007">
        <v>-1400</v>
      </c>
      <c r="K1007">
        <v>-1400</v>
      </c>
      <c r="O1007" t="s">
        <v>631</v>
      </c>
      <c r="P1007" t="s">
        <v>820</v>
      </c>
      <c r="Q1007" t="s">
        <v>463</v>
      </c>
      <c r="R1007">
        <v>0</v>
      </c>
    </row>
    <row r="1008" spans="1:18" x14ac:dyDescent="0.3">
      <c r="A1008">
        <v>222021</v>
      </c>
      <c r="B1008" t="s">
        <v>568</v>
      </c>
      <c r="C1008" t="s">
        <v>1068</v>
      </c>
      <c r="E1008" s="452">
        <v>46105</v>
      </c>
      <c r="F1008" s="452">
        <v>46106</v>
      </c>
      <c r="G1008" t="s">
        <v>280</v>
      </c>
      <c r="H1008" t="s">
        <v>285</v>
      </c>
      <c r="I1008" t="s">
        <v>1098</v>
      </c>
      <c r="J1008">
        <v>-116.45</v>
      </c>
      <c r="K1008">
        <v>-116.45</v>
      </c>
      <c r="O1008" t="s">
        <v>631</v>
      </c>
      <c r="P1008" t="s">
        <v>820</v>
      </c>
      <c r="Q1008" t="s">
        <v>463</v>
      </c>
      <c r="R1008">
        <v>0</v>
      </c>
    </row>
    <row r="1009" spans="1:18" x14ac:dyDescent="0.3">
      <c r="A1009">
        <v>222020</v>
      </c>
      <c r="B1009" t="s">
        <v>568</v>
      </c>
      <c r="C1009" t="s">
        <v>1068</v>
      </c>
      <c r="E1009" s="452">
        <v>46104</v>
      </c>
      <c r="F1009" s="452">
        <v>46105</v>
      </c>
      <c r="G1009" t="s">
        <v>280</v>
      </c>
      <c r="H1009" t="s">
        <v>285</v>
      </c>
      <c r="I1009" t="s">
        <v>1098</v>
      </c>
      <c r="J1009">
        <v>-67.14</v>
      </c>
      <c r="K1009">
        <v>-67.14</v>
      </c>
      <c r="O1009" t="s">
        <v>631</v>
      </c>
      <c r="P1009" t="s">
        <v>820</v>
      </c>
      <c r="Q1009" t="s">
        <v>463</v>
      </c>
      <c r="R1009">
        <v>0</v>
      </c>
    </row>
    <row r="1010" spans="1:18" x14ac:dyDescent="0.3">
      <c r="A1010">
        <v>220008</v>
      </c>
      <c r="B1010" t="s">
        <v>568</v>
      </c>
      <c r="C1010" t="s">
        <v>723</v>
      </c>
      <c r="E1010" s="452">
        <v>46104</v>
      </c>
      <c r="F1010" s="452">
        <v>46104</v>
      </c>
      <c r="G1010" t="s">
        <v>724</v>
      </c>
      <c r="H1010" t="s">
        <v>725</v>
      </c>
      <c r="J1010">
        <v>-16</v>
      </c>
      <c r="K1010">
        <v>-16</v>
      </c>
      <c r="O1010" t="s">
        <v>631</v>
      </c>
      <c r="P1010" t="s">
        <v>820</v>
      </c>
      <c r="Q1010" t="s">
        <v>463</v>
      </c>
      <c r="R1010">
        <v>0</v>
      </c>
    </row>
    <row r="1011" spans="1:18" x14ac:dyDescent="0.3">
      <c r="A1011">
        <v>98064</v>
      </c>
      <c r="B1011" t="s">
        <v>568</v>
      </c>
      <c r="C1011" t="s">
        <v>628</v>
      </c>
      <c r="D1011" t="s">
        <v>1506</v>
      </c>
      <c r="E1011" s="452">
        <v>46104</v>
      </c>
      <c r="F1011" s="452">
        <v>46103</v>
      </c>
      <c r="G1011" t="s">
        <v>613</v>
      </c>
      <c r="H1011" t="s">
        <v>369</v>
      </c>
      <c r="I1011" t="s">
        <v>630</v>
      </c>
      <c r="J1011">
        <v>-20000</v>
      </c>
      <c r="K1011">
        <v>-20000</v>
      </c>
      <c r="O1011" t="s">
        <v>631</v>
      </c>
      <c r="P1011" t="s">
        <v>820</v>
      </c>
      <c r="Q1011" t="s">
        <v>463</v>
      </c>
      <c r="R1011">
        <v>0</v>
      </c>
    </row>
    <row r="1012" spans="1:18" x14ac:dyDescent="0.3">
      <c r="A1012">
        <v>211403</v>
      </c>
      <c r="B1012" t="s">
        <v>568</v>
      </c>
      <c r="C1012" t="s">
        <v>789</v>
      </c>
      <c r="D1012" t="s">
        <v>1507</v>
      </c>
      <c r="E1012" s="452">
        <v>46104</v>
      </c>
      <c r="F1012" s="452">
        <v>46114</v>
      </c>
      <c r="G1012" t="s">
        <v>790</v>
      </c>
      <c r="H1012" t="s">
        <v>204</v>
      </c>
      <c r="I1012" t="s">
        <v>1508</v>
      </c>
      <c r="J1012">
        <v>-3311</v>
      </c>
      <c r="K1012">
        <v>-3311</v>
      </c>
      <c r="O1012" t="s">
        <v>631</v>
      </c>
      <c r="P1012" t="s">
        <v>820</v>
      </c>
      <c r="Q1012" t="s">
        <v>463</v>
      </c>
      <c r="R1012">
        <v>0</v>
      </c>
    </row>
    <row r="1013" spans="1:18" x14ac:dyDescent="0.3">
      <c r="A1013">
        <v>222019</v>
      </c>
      <c r="B1013" t="s">
        <v>568</v>
      </c>
      <c r="C1013" t="s">
        <v>1068</v>
      </c>
      <c r="E1013" s="452">
        <v>46102</v>
      </c>
      <c r="F1013" s="452">
        <v>46103</v>
      </c>
      <c r="G1013" t="s">
        <v>280</v>
      </c>
      <c r="H1013" t="s">
        <v>285</v>
      </c>
      <c r="I1013" t="s">
        <v>1098</v>
      </c>
      <c r="J1013">
        <v>-155.99</v>
      </c>
      <c r="K1013">
        <v>-155.99</v>
      </c>
      <c r="O1013" t="s">
        <v>631</v>
      </c>
      <c r="P1013" t="s">
        <v>820</v>
      </c>
      <c r="Q1013" t="s">
        <v>463</v>
      </c>
      <c r="R1013">
        <v>0</v>
      </c>
    </row>
    <row r="1014" spans="1:18" x14ac:dyDescent="0.3">
      <c r="A1014">
        <v>218910</v>
      </c>
      <c r="B1014" t="s">
        <v>568</v>
      </c>
      <c r="C1014" t="s">
        <v>1105</v>
      </c>
      <c r="E1014" s="452">
        <v>46101</v>
      </c>
      <c r="F1014" s="452">
        <v>46101</v>
      </c>
      <c r="G1014" t="s">
        <v>857</v>
      </c>
      <c r="H1014" t="s">
        <v>118</v>
      </c>
      <c r="J1014">
        <v>-199.8</v>
      </c>
      <c r="K1014">
        <v>-199.8</v>
      </c>
      <c r="O1014" t="s">
        <v>631</v>
      </c>
      <c r="P1014" t="s">
        <v>820</v>
      </c>
      <c r="Q1014" t="s">
        <v>463</v>
      </c>
      <c r="R1014">
        <v>0</v>
      </c>
    </row>
    <row r="1015" spans="1:18" x14ac:dyDescent="0.3">
      <c r="A1015">
        <v>222018</v>
      </c>
      <c r="B1015" t="s">
        <v>568</v>
      </c>
      <c r="C1015" t="s">
        <v>1068</v>
      </c>
      <c r="E1015" s="452">
        <v>46101</v>
      </c>
      <c r="F1015" s="452">
        <v>46102</v>
      </c>
      <c r="G1015" t="s">
        <v>280</v>
      </c>
      <c r="H1015" t="s">
        <v>285</v>
      </c>
      <c r="I1015" t="s">
        <v>1098</v>
      </c>
      <c r="J1015">
        <v>-133.68</v>
      </c>
      <c r="K1015">
        <v>-133.68</v>
      </c>
      <c r="O1015" t="s">
        <v>631</v>
      </c>
      <c r="P1015" t="s">
        <v>820</v>
      </c>
      <c r="Q1015" t="s">
        <v>463</v>
      </c>
      <c r="R1015">
        <v>0</v>
      </c>
    </row>
    <row r="1016" spans="1:18" x14ac:dyDescent="0.3">
      <c r="A1016">
        <v>191871</v>
      </c>
      <c r="B1016" t="s">
        <v>568</v>
      </c>
      <c r="C1016" t="s">
        <v>708</v>
      </c>
      <c r="D1016" t="s">
        <v>1509</v>
      </c>
      <c r="E1016" s="452">
        <v>46101</v>
      </c>
      <c r="F1016" s="452">
        <v>46117</v>
      </c>
      <c r="G1016" t="s">
        <v>280</v>
      </c>
      <c r="H1016" t="s">
        <v>281</v>
      </c>
      <c r="I1016" t="s">
        <v>1510</v>
      </c>
      <c r="J1016">
        <v>-104.37</v>
      </c>
      <c r="K1016">
        <v>-104.37</v>
      </c>
      <c r="O1016" t="s">
        <v>631</v>
      </c>
      <c r="P1016" t="s">
        <v>820</v>
      </c>
      <c r="Q1016" t="s">
        <v>463</v>
      </c>
      <c r="R1016">
        <v>0</v>
      </c>
    </row>
    <row r="1017" spans="1:18" x14ac:dyDescent="0.3">
      <c r="A1017">
        <v>222017</v>
      </c>
      <c r="B1017" t="s">
        <v>568</v>
      </c>
      <c r="C1017" t="s">
        <v>1068</v>
      </c>
      <c r="E1017" s="452">
        <v>46100</v>
      </c>
      <c r="F1017" s="452">
        <v>46101</v>
      </c>
      <c r="G1017" t="s">
        <v>280</v>
      </c>
      <c r="H1017" t="s">
        <v>285</v>
      </c>
      <c r="I1017" t="s">
        <v>1098</v>
      </c>
      <c r="J1017">
        <v>-76.91</v>
      </c>
      <c r="K1017">
        <v>-76.91</v>
      </c>
      <c r="O1017" t="s">
        <v>631</v>
      </c>
      <c r="P1017" t="s">
        <v>820</v>
      </c>
      <c r="Q1017" t="s">
        <v>463</v>
      </c>
      <c r="R1017">
        <v>0</v>
      </c>
    </row>
    <row r="1018" spans="1:18" x14ac:dyDescent="0.3">
      <c r="A1018">
        <v>222016</v>
      </c>
      <c r="B1018" t="s">
        <v>568</v>
      </c>
      <c r="C1018" t="s">
        <v>1068</v>
      </c>
      <c r="E1018" s="452">
        <v>46099</v>
      </c>
      <c r="F1018" s="452">
        <v>46100</v>
      </c>
      <c r="G1018" t="s">
        <v>280</v>
      </c>
      <c r="H1018" t="s">
        <v>285</v>
      </c>
      <c r="I1018" t="s">
        <v>1098</v>
      </c>
      <c r="J1018">
        <v>-69.22</v>
      </c>
      <c r="K1018">
        <v>-69.22</v>
      </c>
      <c r="O1018" t="s">
        <v>631</v>
      </c>
      <c r="P1018" t="s">
        <v>820</v>
      </c>
      <c r="Q1018" t="s">
        <v>463</v>
      </c>
      <c r="R1018">
        <v>0</v>
      </c>
    </row>
    <row r="1019" spans="1:18" x14ac:dyDescent="0.3">
      <c r="A1019">
        <v>218045</v>
      </c>
      <c r="B1019" t="s">
        <v>568</v>
      </c>
      <c r="C1019" t="s">
        <v>812</v>
      </c>
      <c r="D1019" t="s">
        <v>1511</v>
      </c>
      <c r="E1019" s="452">
        <v>46099</v>
      </c>
      <c r="F1019" s="452">
        <v>46118</v>
      </c>
      <c r="G1019" t="s">
        <v>813</v>
      </c>
      <c r="H1019" t="s">
        <v>60</v>
      </c>
      <c r="I1019" t="s">
        <v>1512</v>
      </c>
      <c r="J1019">
        <v>-1400</v>
      </c>
      <c r="K1019">
        <v>-1400</v>
      </c>
      <c r="O1019" t="s">
        <v>631</v>
      </c>
      <c r="P1019" t="s">
        <v>820</v>
      </c>
      <c r="Q1019" t="s">
        <v>463</v>
      </c>
      <c r="R1019">
        <v>0</v>
      </c>
    </row>
    <row r="1020" spans="1:18" x14ac:dyDescent="0.3">
      <c r="A1020">
        <v>218541</v>
      </c>
      <c r="B1020" t="s">
        <v>568</v>
      </c>
      <c r="C1020" t="s">
        <v>1314</v>
      </c>
      <c r="D1020" t="s">
        <v>1513</v>
      </c>
      <c r="E1020" s="452">
        <v>46099</v>
      </c>
      <c r="F1020" s="452">
        <v>46114</v>
      </c>
      <c r="G1020" t="s">
        <v>297</v>
      </c>
      <c r="H1020" t="s">
        <v>305</v>
      </c>
      <c r="I1020" t="s">
        <v>1514</v>
      </c>
      <c r="J1020">
        <v>-110</v>
      </c>
      <c r="K1020">
        <v>-110</v>
      </c>
      <c r="O1020" t="s">
        <v>631</v>
      </c>
      <c r="P1020" t="s">
        <v>820</v>
      </c>
      <c r="Q1020" t="s">
        <v>463</v>
      </c>
      <c r="R1020">
        <v>0</v>
      </c>
    </row>
    <row r="1021" spans="1:18" x14ac:dyDescent="0.3">
      <c r="A1021">
        <v>222015</v>
      </c>
      <c r="B1021" t="s">
        <v>568</v>
      </c>
      <c r="C1021" t="s">
        <v>1068</v>
      </c>
      <c r="E1021" s="452">
        <v>46098</v>
      </c>
      <c r="F1021" s="452">
        <v>46099</v>
      </c>
      <c r="G1021" t="s">
        <v>280</v>
      </c>
      <c r="H1021" t="s">
        <v>285</v>
      </c>
      <c r="I1021" t="s">
        <v>1098</v>
      </c>
      <c r="J1021">
        <v>-110.12</v>
      </c>
      <c r="K1021">
        <v>-110.12</v>
      </c>
      <c r="O1021" t="s">
        <v>631</v>
      </c>
      <c r="P1021" t="s">
        <v>820</v>
      </c>
      <c r="Q1021" t="s">
        <v>463</v>
      </c>
      <c r="R1021">
        <v>0</v>
      </c>
    </row>
    <row r="1022" spans="1:18" x14ac:dyDescent="0.3">
      <c r="A1022">
        <v>217601</v>
      </c>
      <c r="B1022" t="s">
        <v>568</v>
      </c>
      <c r="C1022" t="s">
        <v>908</v>
      </c>
      <c r="D1022" t="s">
        <v>1515</v>
      </c>
      <c r="E1022" s="452">
        <v>46098</v>
      </c>
      <c r="F1022" s="452">
        <v>46099</v>
      </c>
      <c r="G1022" t="s">
        <v>297</v>
      </c>
      <c r="H1022" t="s">
        <v>308</v>
      </c>
      <c r="I1022" t="s">
        <v>1350</v>
      </c>
      <c r="J1022">
        <v>-84.45</v>
      </c>
      <c r="K1022">
        <v>0</v>
      </c>
      <c r="O1022" t="s">
        <v>631</v>
      </c>
      <c r="P1022" t="s">
        <v>820</v>
      </c>
      <c r="Q1022" t="s">
        <v>463</v>
      </c>
      <c r="R1022">
        <v>0</v>
      </c>
    </row>
    <row r="1023" spans="1:18" x14ac:dyDescent="0.3">
      <c r="A1023">
        <v>217632</v>
      </c>
      <c r="B1023" t="s">
        <v>568</v>
      </c>
      <c r="C1023" t="s">
        <v>908</v>
      </c>
      <c r="D1023" t="s">
        <v>1516</v>
      </c>
      <c r="E1023" s="452">
        <v>46098</v>
      </c>
      <c r="F1023" s="452">
        <v>46099</v>
      </c>
      <c r="G1023" t="s">
        <v>297</v>
      </c>
      <c r="H1023" t="s">
        <v>308</v>
      </c>
      <c r="I1023" t="s">
        <v>1350</v>
      </c>
      <c r="J1023">
        <v>-356.26</v>
      </c>
      <c r="K1023">
        <v>0</v>
      </c>
      <c r="O1023" t="s">
        <v>631</v>
      </c>
      <c r="P1023" t="s">
        <v>820</v>
      </c>
      <c r="Q1023" t="s">
        <v>463</v>
      </c>
      <c r="R1023">
        <v>0</v>
      </c>
    </row>
    <row r="1024" spans="1:18" x14ac:dyDescent="0.3">
      <c r="A1024">
        <v>222014</v>
      </c>
      <c r="B1024" t="s">
        <v>568</v>
      </c>
      <c r="C1024" t="s">
        <v>1068</v>
      </c>
      <c r="E1024" s="452">
        <v>46097</v>
      </c>
      <c r="F1024" s="452">
        <v>46098</v>
      </c>
      <c r="G1024" t="s">
        <v>280</v>
      </c>
      <c r="H1024" t="s">
        <v>285</v>
      </c>
      <c r="I1024" t="s">
        <v>1098</v>
      </c>
      <c r="J1024">
        <v>-42.29</v>
      </c>
      <c r="K1024">
        <v>-42.29</v>
      </c>
      <c r="O1024" t="s">
        <v>631</v>
      </c>
      <c r="P1024" t="s">
        <v>820</v>
      </c>
      <c r="Q1024" t="s">
        <v>463</v>
      </c>
      <c r="R1024">
        <v>0</v>
      </c>
    </row>
    <row r="1025" spans="1:18" x14ac:dyDescent="0.3">
      <c r="A1025">
        <v>218543</v>
      </c>
      <c r="B1025" t="s">
        <v>568</v>
      </c>
      <c r="C1025" t="s">
        <v>1517</v>
      </c>
      <c r="D1025" t="s">
        <v>1518</v>
      </c>
      <c r="E1025" s="452">
        <v>46097</v>
      </c>
      <c r="F1025" s="452">
        <v>46128</v>
      </c>
      <c r="G1025" t="s">
        <v>265</v>
      </c>
      <c r="H1025" t="s">
        <v>277</v>
      </c>
      <c r="I1025" t="s">
        <v>1519</v>
      </c>
      <c r="J1025">
        <v>-124.96</v>
      </c>
      <c r="K1025">
        <v>-124.96</v>
      </c>
      <c r="O1025" t="s">
        <v>631</v>
      </c>
      <c r="P1025" t="s">
        <v>820</v>
      </c>
      <c r="Q1025" t="s">
        <v>463</v>
      </c>
      <c r="R1025">
        <v>0</v>
      </c>
    </row>
    <row r="1026" spans="1:18" x14ac:dyDescent="0.3">
      <c r="A1026">
        <v>211402</v>
      </c>
      <c r="B1026" t="s">
        <v>568</v>
      </c>
      <c r="C1026" t="s">
        <v>789</v>
      </c>
      <c r="D1026" t="s">
        <v>1520</v>
      </c>
      <c r="E1026" s="452">
        <v>46097</v>
      </c>
      <c r="F1026" s="452">
        <v>46107</v>
      </c>
      <c r="G1026" t="s">
        <v>790</v>
      </c>
      <c r="H1026" t="s">
        <v>204</v>
      </c>
      <c r="I1026" t="s">
        <v>1521</v>
      </c>
      <c r="J1026">
        <v>-3630</v>
      </c>
      <c r="K1026">
        <v>-3630</v>
      </c>
      <c r="O1026" t="s">
        <v>631</v>
      </c>
      <c r="P1026" t="s">
        <v>820</v>
      </c>
      <c r="Q1026" t="s">
        <v>463</v>
      </c>
      <c r="R1026">
        <v>0</v>
      </c>
    </row>
    <row r="1027" spans="1:18" x14ac:dyDescent="0.3">
      <c r="A1027">
        <v>192872</v>
      </c>
      <c r="B1027" t="s">
        <v>568</v>
      </c>
      <c r="C1027" t="s">
        <v>692</v>
      </c>
      <c r="D1027" t="s">
        <v>1522</v>
      </c>
      <c r="E1027" s="452">
        <v>46096</v>
      </c>
      <c r="F1027" s="452">
        <v>46103</v>
      </c>
      <c r="G1027" t="s">
        <v>309</v>
      </c>
      <c r="H1027" t="s">
        <v>317</v>
      </c>
      <c r="I1027" t="s">
        <v>1523</v>
      </c>
      <c r="J1027">
        <v>-380</v>
      </c>
      <c r="K1027">
        <v>-380</v>
      </c>
      <c r="O1027" t="s">
        <v>631</v>
      </c>
      <c r="P1027" t="s">
        <v>820</v>
      </c>
      <c r="Q1027" t="s">
        <v>463</v>
      </c>
      <c r="R1027">
        <v>0</v>
      </c>
    </row>
    <row r="1028" spans="1:18" x14ac:dyDescent="0.3">
      <c r="A1028">
        <v>192139</v>
      </c>
      <c r="B1028" t="s">
        <v>568</v>
      </c>
      <c r="C1028" t="s">
        <v>711</v>
      </c>
      <c r="D1028" t="s">
        <v>1524</v>
      </c>
      <c r="E1028" s="452">
        <v>46096</v>
      </c>
      <c r="F1028" s="452">
        <v>46127</v>
      </c>
      <c r="G1028" t="s">
        <v>280</v>
      </c>
      <c r="H1028" t="s">
        <v>286</v>
      </c>
      <c r="I1028" t="s">
        <v>1525</v>
      </c>
      <c r="J1028">
        <v>-389</v>
      </c>
      <c r="K1028">
        <v>-389</v>
      </c>
      <c r="O1028" t="s">
        <v>631</v>
      </c>
      <c r="P1028" t="s">
        <v>820</v>
      </c>
      <c r="Q1028" t="s">
        <v>463</v>
      </c>
      <c r="R1028">
        <v>0</v>
      </c>
    </row>
    <row r="1029" spans="1:18" x14ac:dyDescent="0.3">
      <c r="A1029">
        <v>192927</v>
      </c>
      <c r="B1029" t="s">
        <v>568</v>
      </c>
      <c r="C1029" t="s">
        <v>671</v>
      </c>
      <c r="D1029" t="s">
        <v>1526</v>
      </c>
      <c r="E1029" s="452">
        <v>46096</v>
      </c>
      <c r="F1029" s="452">
        <v>46097</v>
      </c>
      <c r="G1029" t="s">
        <v>672</v>
      </c>
      <c r="H1029" t="s">
        <v>240</v>
      </c>
      <c r="I1029" t="s">
        <v>1527</v>
      </c>
      <c r="J1029">
        <v>-300</v>
      </c>
      <c r="K1029">
        <v>-300</v>
      </c>
      <c r="O1029" t="s">
        <v>631</v>
      </c>
      <c r="P1029" t="s">
        <v>820</v>
      </c>
      <c r="Q1029" t="s">
        <v>463</v>
      </c>
      <c r="R1029">
        <v>0</v>
      </c>
    </row>
    <row r="1030" spans="1:18" x14ac:dyDescent="0.3">
      <c r="A1030">
        <v>218370</v>
      </c>
      <c r="B1030" t="s">
        <v>568</v>
      </c>
      <c r="C1030" t="s">
        <v>953</v>
      </c>
      <c r="E1030" s="452">
        <v>46096</v>
      </c>
      <c r="F1030" s="452">
        <v>46101</v>
      </c>
      <c r="G1030" t="s">
        <v>666</v>
      </c>
      <c r="H1030" t="s">
        <v>667</v>
      </c>
      <c r="J1030">
        <v>-999.32</v>
      </c>
      <c r="K1030">
        <v>-999.32</v>
      </c>
      <c r="O1030" t="s">
        <v>631</v>
      </c>
      <c r="P1030" t="s">
        <v>820</v>
      </c>
      <c r="Q1030" t="s">
        <v>463</v>
      </c>
      <c r="R1030">
        <v>0</v>
      </c>
    </row>
    <row r="1031" spans="1:18" x14ac:dyDescent="0.3">
      <c r="A1031">
        <v>218374</v>
      </c>
      <c r="B1031" t="s">
        <v>568</v>
      </c>
      <c r="C1031" t="s">
        <v>937</v>
      </c>
      <c r="E1031" s="452">
        <v>46096</v>
      </c>
      <c r="F1031" s="452">
        <v>46101</v>
      </c>
      <c r="G1031" t="s">
        <v>666</v>
      </c>
      <c r="H1031" t="s">
        <v>667</v>
      </c>
      <c r="J1031">
        <v>-1197.3</v>
      </c>
      <c r="K1031">
        <v>-1197.3</v>
      </c>
      <c r="O1031" t="s">
        <v>631</v>
      </c>
      <c r="P1031" t="s">
        <v>820</v>
      </c>
      <c r="Q1031" t="s">
        <v>463</v>
      </c>
      <c r="R1031">
        <v>0</v>
      </c>
    </row>
    <row r="1032" spans="1:18" x14ac:dyDescent="0.3">
      <c r="A1032">
        <v>218373</v>
      </c>
      <c r="B1032" t="s">
        <v>568</v>
      </c>
      <c r="C1032" t="s">
        <v>829</v>
      </c>
      <c r="E1032" s="452">
        <v>46096</v>
      </c>
      <c r="F1032" s="452">
        <v>46101</v>
      </c>
      <c r="G1032" t="s">
        <v>666</v>
      </c>
      <c r="H1032" t="s">
        <v>667</v>
      </c>
      <c r="J1032">
        <v>-944.02</v>
      </c>
      <c r="K1032">
        <v>-944.02</v>
      </c>
      <c r="O1032" t="s">
        <v>631</v>
      </c>
      <c r="P1032" t="s">
        <v>820</v>
      </c>
      <c r="Q1032" t="s">
        <v>463</v>
      </c>
      <c r="R1032">
        <v>0</v>
      </c>
    </row>
    <row r="1033" spans="1:18" x14ac:dyDescent="0.3">
      <c r="A1033">
        <v>218372</v>
      </c>
      <c r="B1033" t="s">
        <v>568</v>
      </c>
      <c r="C1033" t="s">
        <v>940</v>
      </c>
      <c r="E1033" s="452">
        <v>46096</v>
      </c>
      <c r="F1033" s="452">
        <v>46101</v>
      </c>
      <c r="G1033" t="s">
        <v>666</v>
      </c>
      <c r="H1033" t="s">
        <v>667</v>
      </c>
      <c r="J1033">
        <v>-944.02</v>
      </c>
      <c r="K1033">
        <v>-944.02</v>
      </c>
      <c r="O1033" t="s">
        <v>631</v>
      </c>
      <c r="P1033" t="s">
        <v>820</v>
      </c>
      <c r="Q1033" t="s">
        <v>463</v>
      </c>
      <c r="R1033">
        <v>0</v>
      </c>
    </row>
    <row r="1034" spans="1:18" x14ac:dyDescent="0.3">
      <c r="A1034">
        <v>218371</v>
      </c>
      <c r="B1034" t="s">
        <v>568</v>
      </c>
      <c r="C1034" t="s">
        <v>945</v>
      </c>
      <c r="E1034" s="452">
        <v>46096</v>
      </c>
      <c r="F1034" s="452">
        <v>46101</v>
      </c>
      <c r="G1034" t="s">
        <v>666</v>
      </c>
      <c r="H1034" t="s">
        <v>667</v>
      </c>
      <c r="J1034">
        <v>-660.82</v>
      </c>
      <c r="K1034">
        <v>-660.82</v>
      </c>
      <c r="O1034" t="s">
        <v>631</v>
      </c>
      <c r="P1034" t="s">
        <v>820</v>
      </c>
      <c r="Q1034" t="s">
        <v>463</v>
      </c>
      <c r="R1034">
        <v>0</v>
      </c>
    </row>
    <row r="1035" spans="1:18" x14ac:dyDescent="0.3">
      <c r="A1035">
        <v>222013</v>
      </c>
      <c r="B1035" t="s">
        <v>568</v>
      </c>
      <c r="C1035" t="s">
        <v>1068</v>
      </c>
      <c r="E1035" s="452">
        <v>46095</v>
      </c>
      <c r="F1035" s="452">
        <v>46096</v>
      </c>
      <c r="G1035" t="s">
        <v>280</v>
      </c>
      <c r="H1035" t="s">
        <v>285</v>
      </c>
      <c r="I1035" t="s">
        <v>1098</v>
      </c>
      <c r="J1035">
        <v>-167.99</v>
      </c>
      <c r="K1035">
        <v>-167.99</v>
      </c>
      <c r="O1035" t="s">
        <v>631</v>
      </c>
      <c r="P1035" t="s">
        <v>820</v>
      </c>
      <c r="Q1035" t="s">
        <v>463</v>
      </c>
      <c r="R1035">
        <v>0</v>
      </c>
    </row>
    <row r="1036" spans="1:18" x14ac:dyDescent="0.3">
      <c r="A1036">
        <v>222012</v>
      </c>
      <c r="B1036" t="s">
        <v>568</v>
      </c>
      <c r="C1036" t="s">
        <v>1068</v>
      </c>
      <c r="E1036" s="452">
        <v>46094</v>
      </c>
      <c r="F1036" s="452">
        <v>46095</v>
      </c>
      <c r="G1036" t="s">
        <v>280</v>
      </c>
      <c r="H1036" t="s">
        <v>285</v>
      </c>
      <c r="I1036" t="s">
        <v>1098</v>
      </c>
      <c r="J1036">
        <v>-142.1</v>
      </c>
      <c r="K1036">
        <v>-142.1</v>
      </c>
      <c r="O1036" t="s">
        <v>631</v>
      </c>
      <c r="P1036" t="s">
        <v>820</v>
      </c>
      <c r="Q1036" t="s">
        <v>463</v>
      </c>
      <c r="R1036">
        <v>0</v>
      </c>
    </row>
    <row r="1037" spans="1:18" x14ac:dyDescent="0.3">
      <c r="A1037">
        <v>222011</v>
      </c>
      <c r="B1037" t="s">
        <v>568</v>
      </c>
      <c r="C1037" t="s">
        <v>1068</v>
      </c>
      <c r="E1037" s="452">
        <v>46093</v>
      </c>
      <c r="F1037" s="452">
        <v>46094</v>
      </c>
      <c r="G1037" t="s">
        <v>280</v>
      </c>
      <c r="H1037" t="s">
        <v>285</v>
      </c>
      <c r="I1037" t="s">
        <v>1098</v>
      </c>
      <c r="J1037">
        <v>-81.25</v>
      </c>
      <c r="K1037">
        <v>-81.25</v>
      </c>
      <c r="O1037" t="s">
        <v>631</v>
      </c>
      <c r="P1037" t="s">
        <v>820</v>
      </c>
      <c r="Q1037" t="s">
        <v>463</v>
      </c>
      <c r="R1037">
        <v>0</v>
      </c>
    </row>
    <row r="1038" spans="1:18" x14ac:dyDescent="0.3">
      <c r="A1038">
        <v>216135</v>
      </c>
      <c r="B1038" t="s">
        <v>568</v>
      </c>
      <c r="C1038" t="s">
        <v>708</v>
      </c>
      <c r="D1038" t="s">
        <v>882</v>
      </c>
      <c r="E1038" s="452">
        <v>46093</v>
      </c>
      <c r="F1038" s="452">
        <v>46106</v>
      </c>
      <c r="G1038" t="s">
        <v>280</v>
      </c>
      <c r="H1038" t="s">
        <v>281</v>
      </c>
      <c r="I1038" t="s">
        <v>1528</v>
      </c>
      <c r="J1038">
        <v>-159.96</v>
      </c>
      <c r="K1038">
        <v>0</v>
      </c>
      <c r="O1038" t="s">
        <v>631</v>
      </c>
      <c r="P1038" t="s">
        <v>820</v>
      </c>
      <c r="Q1038" t="s">
        <v>463</v>
      </c>
      <c r="R1038">
        <v>0</v>
      </c>
    </row>
    <row r="1039" spans="1:18" x14ac:dyDescent="0.3">
      <c r="A1039">
        <v>191895</v>
      </c>
      <c r="B1039" t="s">
        <v>568</v>
      </c>
      <c r="C1039" t="s">
        <v>713</v>
      </c>
      <c r="D1039" t="s">
        <v>1529</v>
      </c>
      <c r="E1039" s="452">
        <v>46093</v>
      </c>
      <c r="F1039" s="452">
        <v>46105</v>
      </c>
      <c r="G1039" t="s">
        <v>265</v>
      </c>
      <c r="H1039" t="s">
        <v>267</v>
      </c>
      <c r="I1039" t="s">
        <v>1530</v>
      </c>
      <c r="J1039">
        <v>-1469.64</v>
      </c>
      <c r="K1039">
        <v>-1469.64</v>
      </c>
      <c r="O1039" t="s">
        <v>631</v>
      </c>
      <c r="P1039" t="s">
        <v>820</v>
      </c>
      <c r="Q1039" t="s">
        <v>463</v>
      </c>
      <c r="R1039">
        <v>0</v>
      </c>
    </row>
    <row r="1040" spans="1:18" x14ac:dyDescent="0.3">
      <c r="A1040">
        <v>222010</v>
      </c>
      <c r="B1040" t="s">
        <v>568</v>
      </c>
      <c r="C1040" t="s">
        <v>1068</v>
      </c>
      <c r="E1040" s="452">
        <v>46092</v>
      </c>
      <c r="F1040" s="452">
        <v>46093</v>
      </c>
      <c r="G1040" t="s">
        <v>280</v>
      </c>
      <c r="H1040" t="s">
        <v>285</v>
      </c>
      <c r="I1040" t="s">
        <v>1098</v>
      </c>
      <c r="J1040">
        <v>-60.85</v>
      </c>
      <c r="K1040">
        <v>-60.85</v>
      </c>
      <c r="O1040" t="s">
        <v>631</v>
      </c>
      <c r="P1040" t="s">
        <v>820</v>
      </c>
      <c r="Q1040" t="s">
        <v>463</v>
      </c>
      <c r="R1040">
        <v>0</v>
      </c>
    </row>
    <row r="1041" spans="1:18" x14ac:dyDescent="0.3">
      <c r="A1041">
        <v>222009</v>
      </c>
      <c r="B1041" t="s">
        <v>568</v>
      </c>
      <c r="C1041" t="s">
        <v>1068</v>
      </c>
      <c r="E1041" s="452">
        <v>46091</v>
      </c>
      <c r="F1041" s="452">
        <v>46092</v>
      </c>
      <c r="G1041" t="s">
        <v>280</v>
      </c>
      <c r="H1041" t="s">
        <v>285</v>
      </c>
      <c r="I1041" t="s">
        <v>1098</v>
      </c>
      <c r="J1041">
        <v>-51.79</v>
      </c>
      <c r="K1041">
        <v>-51.79</v>
      </c>
      <c r="O1041" t="s">
        <v>631</v>
      </c>
      <c r="P1041" t="s">
        <v>820</v>
      </c>
      <c r="Q1041" t="s">
        <v>463</v>
      </c>
      <c r="R1041">
        <v>0</v>
      </c>
    </row>
    <row r="1042" spans="1:18" x14ac:dyDescent="0.3">
      <c r="A1042">
        <v>215739</v>
      </c>
      <c r="B1042" t="s">
        <v>568</v>
      </c>
      <c r="C1042" t="s">
        <v>910</v>
      </c>
      <c r="E1042" s="452">
        <v>46091</v>
      </c>
      <c r="F1042" s="452">
        <v>46091</v>
      </c>
      <c r="G1042" t="s">
        <v>724</v>
      </c>
      <c r="H1042" t="s">
        <v>725</v>
      </c>
      <c r="J1042">
        <v>-124.9</v>
      </c>
      <c r="K1042">
        <v>-124.9</v>
      </c>
      <c r="O1042" t="s">
        <v>631</v>
      </c>
      <c r="P1042" t="s">
        <v>820</v>
      </c>
      <c r="Q1042" t="s">
        <v>463</v>
      </c>
      <c r="R1042">
        <v>0</v>
      </c>
    </row>
    <row r="1043" spans="1:18" x14ac:dyDescent="0.3">
      <c r="A1043">
        <v>192808</v>
      </c>
      <c r="B1043" t="s">
        <v>568</v>
      </c>
      <c r="C1043" t="s">
        <v>715</v>
      </c>
      <c r="D1043" t="s">
        <v>1531</v>
      </c>
      <c r="E1043" s="452">
        <v>46091</v>
      </c>
      <c r="F1043" s="452">
        <v>46122</v>
      </c>
      <c r="G1043" t="s">
        <v>319</v>
      </c>
      <c r="H1043" t="s">
        <v>320</v>
      </c>
      <c r="I1043" t="s">
        <v>1532</v>
      </c>
      <c r="J1043">
        <v>-285.56</v>
      </c>
      <c r="K1043">
        <v>-285.56</v>
      </c>
      <c r="O1043" t="s">
        <v>631</v>
      </c>
      <c r="P1043" t="s">
        <v>820</v>
      </c>
      <c r="Q1043" t="s">
        <v>463</v>
      </c>
      <c r="R1043">
        <v>0</v>
      </c>
    </row>
    <row r="1044" spans="1:18" x14ac:dyDescent="0.3">
      <c r="A1044">
        <v>215755</v>
      </c>
      <c r="B1044" t="s">
        <v>568</v>
      </c>
      <c r="C1044" t="s">
        <v>723</v>
      </c>
      <c r="E1044" s="452">
        <v>46091</v>
      </c>
      <c r="F1044" s="452">
        <v>46091</v>
      </c>
      <c r="G1044" t="s">
        <v>724</v>
      </c>
      <c r="H1044" t="s">
        <v>725</v>
      </c>
      <c r="J1044">
        <v>-2</v>
      </c>
      <c r="K1044">
        <v>-2</v>
      </c>
      <c r="O1044" t="s">
        <v>631</v>
      </c>
      <c r="P1044" t="s">
        <v>820</v>
      </c>
      <c r="Q1044" t="s">
        <v>463</v>
      </c>
      <c r="R1044">
        <v>0</v>
      </c>
    </row>
    <row r="1045" spans="1:18" x14ac:dyDescent="0.3">
      <c r="A1045">
        <v>213981</v>
      </c>
      <c r="B1045" t="s">
        <v>568</v>
      </c>
      <c r="C1045" t="s">
        <v>812</v>
      </c>
      <c r="D1045" t="s">
        <v>1533</v>
      </c>
      <c r="E1045" s="452">
        <v>46090</v>
      </c>
      <c r="F1045" s="452">
        <v>46111</v>
      </c>
      <c r="G1045" t="s">
        <v>813</v>
      </c>
      <c r="H1045" t="s">
        <v>60</v>
      </c>
      <c r="I1045" t="s">
        <v>1534</v>
      </c>
      <c r="J1045">
        <v>-1400</v>
      </c>
      <c r="K1045">
        <v>-1400</v>
      </c>
      <c r="O1045" t="s">
        <v>631</v>
      </c>
      <c r="P1045" t="s">
        <v>820</v>
      </c>
      <c r="Q1045" t="s">
        <v>463</v>
      </c>
      <c r="R1045">
        <v>0</v>
      </c>
    </row>
    <row r="1046" spans="1:18" x14ac:dyDescent="0.3">
      <c r="A1046">
        <v>211401</v>
      </c>
      <c r="B1046" t="s">
        <v>568</v>
      </c>
      <c r="C1046" t="s">
        <v>789</v>
      </c>
      <c r="D1046" t="s">
        <v>1535</v>
      </c>
      <c r="E1046" s="452">
        <v>46090</v>
      </c>
      <c r="F1046" s="452">
        <v>46100</v>
      </c>
      <c r="G1046" t="s">
        <v>790</v>
      </c>
      <c r="H1046" t="s">
        <v>204</v>
      </c>
      <c r="I1046" t="s">
        <v>1536</v>
      </c>
      <c r="J1046">
        <v>-4268</v>
      </c>
      <c r="K1046">
        <v>-4268</v>
      </c>
      <c r="O1046" t="s">
        <v>631</v>
      </c>
      <c r="P1046" t="s">
        <v>820</v>
      </c>
      <c r="Q1046" t="s">
        <v>463</v>
      </c>
      <c r="R1046">
        <v>0</v>
      </c>
    </row>
    <row r="1047" spans="1:18" x14ac:dyDescent="0.3">
      <c r="A1047">
        <v>222008</v>
      </c>
      <c r="B1047" t="s">
        <v>568</v>
      </c>
      <c r="C1047" t="s">
        <v>1068</v>
      </c>
      <c r="E1047" s="452">
        <v>46090</v>
      </c>
      <c r="F1047" s="452">
        <v>46091</v>
      </c>
      <c r="G1047" t="s">
        <v>280</v>
      </c>
      <c r="H1047" t="s">
        <v>285</v>
      </c>
      <c r="I1047" t="s">
        <v>1098</v>
      </c>
      <c r="J1047">
        <v>-29.92</v>
      </c>
      <c r="K1047">
        <v>-29.92</v>
      </c>
      <c r="O1047" t="s">
        <v>631</v>
      </c>
      <c r="P1047" t="s">
        <v>820</v>
      </c>
      <c r="Q1047" t="s">
        <v>463</v>
      </c>
      <c r="R1047">
        <v>0</v>
      </c>
    </row>
    <row r="1048" spans="1:18" x14ac:dyDescent="0.3">
      <c r="A1048">
        <v>191907</v>
      </c>
      <c r="B1048" t="s">
        <v>568</v>
      </c>
      <c r="C1048" t="s">
        <v>713</v>
      </c>
      <c r="D1048" t="s">
        <v>1537</v>
      </c>
      <c r="E1048" s="452">
        <v>46089</v>
      </c>
      <c r="F1048" s="452">
        <v>46105</v>
      </c>
      <c r="G1048" t="s">
        <v>265</v>
      </c>
      <c r="H1048" t="s">
        <v>267</v>
      </c>
      <c r="I1048" t="s">
        <v>1538</v>
      </c>
      <c r="J1048">
        <v>-1266.58</v>
      </c>
      <c r="K1048">
        <v>-1266.58</v>
      </c>
      <c r="O1048" t="s">
        <v>631</v>
      </c>
      <c r="P1048" t="s">
        <v>820</v>
      </c>
      <c r="Q1048" t="s">
        <v>463</v>
      </c>
      <c r="R1048">
        <v>0</v>
      </c>
    </row>
    <row r="1049" spans="1:18" x14ac:dyDescent="0.3">
      <c r="A1049">
        <v>192913</v>
      </c>
      <c r="B1049" t="s">
        <v>568</v>
      </c>
      <c r="C1049" t="s">
        <v>671</v>
      </c>
      <c r="D1049" t="s">
        <v>1539</v>
      </c>
      <c r="E1049" s="452">
        <v>46089</v>
      </c>
      <c r="F1049" s="452">
        <v>46090</v>
      </c>
      <c r="G1049" t="s">
        <v>672</v>
      </c>
      <c r="H1049" t="s">
        <v>240</v>
      </c>
      <c r="I1049" t="s">
        <v>1540</v>
      </c>
      <c r="J1049">
        <v>-300</v>
      </c>
      <c r="K1049">
        <v>-300</v>
      </c>
      <c r="O1049" t="s">
        <v>631</v>
      </c>
      <c r="P1049" t="s">
        <v>820</v>
      </c>
      <c r="Q1049" t="s">
        <v>463</v>
      </c>
      <c r="R1049">
        <v>0</v>
      </c>
    </row>
    <row r="1050" spans="1:18" x14ac:dyDescent="0.3">
      <c r="A1050">
        <v>222007</v>
      </c>
      <c r="B1050" t="s">
        <v>568</v>
      </c>
      <c r="C1050" t="s">
        <v>1068</v>
      </c>
      <c r="E1050" s="452">
        <v>46088</v>
      </c>
      <c r="F1050" s="452">
        <v>46089</v>
      </c>
      <c r="G1050" t="s">
        <v>280</v>
      </c>
      <c r="H1050" t="s">
        <v>285</v>
      </c>
      <c r="I1050" t="s">
        <v>1098</v>
      </c>
      <c r="J1050">
        <v>-185.14</v>
      </c>
      <c r="K1050">
        <v>-185.14</v>
      </c>
      <c r="O1050" t="s">
        <v>631</v>
      </c>
      <c r="P1050" t="s">
        <v>820</v>
      </c>
      <c r="Q1050" t="s">
        <v>463</v>
      </c>
      <c r="R1050">
        <v>0</v>
      </c>
    </row>
    <row r="1051" spans="1:18" x14ac:dyDescent="0.3">
      <c r="A1051">
        <v>222006</v>
      </c>
      <c r="B1051" t="s">
        <v>568</v>
      </c>
      <c r="C1051" t="s">
        <v>1068</v>
      </c>
      <c r="E1051" s="452">
        <v>46087</v>
      </c>
      <c r="F1051" s="452">
        <v>46088</v>
      </c>
      <c r="G1051" t="s">
        <v>280</v>
      </c>
      <c r="H1051" t="s">
        <v>285</v>
      </c>
      <c r="I1051" t="s">
        <v>1098</v>
      </c>
      <c r="J1051">
        <v>-112.12</v>
      </c>
      <c r="K1051">
        <v>-112.12</v>
      </c>
      <c r="O1051" t="s">
        <v>631</v>
      </c>
      <c r="P1051" t="s">
        <v>820</v>
      </c>
      <c r="Q1051" t="s">
        <v>463</v>
      </c>
      <c r="R1051">
        <v>0</v>
      </c>
    </row>
    <row r="1052" spans="1:18" x14ac:dyDescent="0.3">
      <c r="A1052">
        <v>222005</v>
      </c>
      <c r="B1052" t="s">
        <v>568</v>
      </c>
      <c r="C1052" t="s">
        <v>1068</v>
      </c>
      <c r="E1052" s="452">
        <v>46086</v>
      </c>
      <c r="F1052" s="452">
        <v>46087</v>
      </c>
      <c r="G1052" t="s">
        <v>280</v>
      </c>
      <c r="H1052" t="s">
        <v>285</v>
      </c>
      <c r="I1052" t="s">
        <v>1098</v>
      </c>
      <c r="J1052">
        <v>-113.43</v>
      </c>
      <c r="K1052">
        <v>-113.43</v>
      </c>
      <c r="O1052" t="s">
        <v>631</v>
      </c>
      <c r="P1052" t="s">
        <v>820</v>
      </c>
      <c r="Q1052" t="s">
        <v>463</v>
      </c>
      <c r="R1052">
        <v>0</v>
      </c>
    </row>
    <row r="1053" spans="1:18" x14ac:dyDescent="0.3">
      <c r="A1053">
        <v>222004</v>
      </c>
      <c r="B1053" t="s">
        <v>568</v>
      </c>
      <c r="C1053" t="s">
        <v>1068</v>
      </c>
      <c r="E1053" s="452">
        <v>46085</v>
      </c>
      <c r="F1053" s="452">
        <v>46086</v>
      </c>
      <c r="G1053" t="s">
        <v>280</v>
      </c>
      <c r="H1053" t="s">
        <v>285</v>
      </c>
      <c r="I1053" t="s">
        <v>1098</v>
      </c>
      <c r="J1053">
        <v>-74.510000000000005</v>
      </c>
      <c r="K1053">
        <v>-74.510000000000005</v>
      </c>
      <c r="O1053" t="s">
        <v>631</v>
      </c>
      <c r="P1053" t="s">
        <v>820</v>
      </c>
      <c r="Q1053" t="s">
        <v>463</v>
      </c>
      <c r="R1053">
        <v>0</v>
      </c>
    </row>
    <row r="1054" spans="1:18" x14ac:dyDescent="0.3">
      <c r="A1054">
        <v>222003</v>
      </c>
      <c r="B1054" t="s">
        <v>568</v>
      </c>
      <c r="C1054" t="s">
        <v>1068</v>
      </c>
      <c r="E1054" s="452">
        <v>46084</v>
      </c>
      <c r="F1054" s="452">
        <v>46085</v>
      </c>
      <c r="G1054" t="s">
        <v>280</v>
      </c>
      <c r="H1054" t="s">
        <v>285</v>
      </c>
      <c r="I1054" t="s">
        <v>1098</v>
      </c>
      <c r="J1054">
        <v>-69.23</v>
      </c>
      <c r="K1054">
        <v>-69.23</v>
      </c>
      <c r="O1054" t="s">
        <v>631</v>
      </c>
      <c r="P1054" t="s">
        <v>820</v>
      </c>
      <c r="Q1054" t="s">
        <v>463</v>
      </c>
      <c r="R1054">
        <v>0</v>
      </c>
    </row>
    <row r="1055" spans="1:18" x14ac:dyDescent="0.3">
      <c r="A1055">
        <v>222002</v>
      </c>
      <c r="B1055" t="s">
        <v>568</v>
      </c>
      <c r="C1055" t="s">
        <v>1068</v>
      </c>
      <c r="E1055" s="452">
        <v>46083</v>
      </c>
      <c r="F1055" s="452">
        <v>46084</v>
      </c>
      <c r="G1055" t="s">
        <v>280</v>
      </c>
      <c r="H1055" t="s">
        <v>285</v>
      </c>
      <c r="I1055" t="s">
        <v>1098</v>
      </c>
      <c r="J1055">
        <v>-74.06</v>
      </c>
      <c r="K1055">
        <v>-74.06</v>
      </c>
      <c r="O1055" t="s">
        <v>631</v>
      </c>
      <c r="P1055" t="s">
        <v>820</v>
      </c>
      <c r="Q1055" t="s">
        <v>463</v>
      </c>
      <c r="R1055">
        <v>0</v>
      </c>
    </row>
    <row r="1056" spans="1:18" x14ac:dyDescent="0.3">
      <c r="A1056">
        <v>211400</v>
      </c>
      <c r="B1056" t="s">
        <v>568</v>
      </c>
      <c r="C1056" t="s">
        <v>789</v>
      </c>
      <c r="D1056" t="s">
        <v>1541</v>
      </c>
      <c r="E1056" s="452">
        <v>46083</v>
      </c>
      <c r="F1056" s="452">
        <v>46093</v>
      </c>
      <c r="G1056" t="s">
        <v>790</v>
      </c>
      <c r="H1056" t="s">
        <v>204</v>
      </c>
      <c r="I1056" t="s">
        <v>1542</v>
      </c>
      <c r="J1056">
        <v>-4714.87</v>
      </c>
      <c r="K1056">
        <v>-4714.87</v>
      </c>
      <c r="O1056" t="s">
        <v>631</v>
      </c>
      <c r="P1056" t="s">
        <v>820</v>
      </c>
      <c r="Q1056" t="s">
        <v>463</v>
      </c>
      <c r="R1056">
        <v>0</v>
      </c>
    </row>
    <row r="1057" spans="1:18" x14ac:dyDescent="0.3">
      <c r="A1057">
        <v>192988</v>
      </c>
      <c r="B1057" t="s">
        <v>568</v>
      </c>
      <c r="C1057" t="s">
        <v>763</v>
      </c>
      <c r="D1057" t="s">
        <v>1543</v>
      </c>
      <c r="E1057" s="452">
        <v>46082</v>
      </c>
      <c r="F1057" s="452">
        <v>46117</v>
      </c>
      <c r="G1057" t="s">
        <v>297</v>
      </c>
      <c r="H1057" t="s">
        <v>302</v>
      </c>
      <c r="I1057" t="s">
        <v>1544</v>
      </c>
      <c r="J1057">
        <v>-349</v>
      </c>
      <c r="K1057">
        <v>-349</v>
      </c>
      <c r="O1057" t="s">
        <v>631</v>
      </c>
      <c r="P1057" t="s">
        <v>820</v>
      </c>
      <c r="Q1057" t="s">
        <v>463</v>
      </c>
      <c r="R1057">
        <v>0</v>
      </c>
    </row>
    <row r="1058" spans="1:18" x14ac:dyDescent="0.3">
      <c r="A1058">
        <v>192900</v>
      </c>
      <c r="B1058" t="s">
        <v>568</v>
      </c>
      <c r="C1058" t="s">
        <v>671</v>
      </c>
      <c r="D1058" t="s">
        <v>1545</v>
      </c>
      <c r="E1058" s="452">
        <v>46082</v>
      </c>
      <c r="F1058" s="452">
        <v>46083</v>
      </c>
      <c r="G1058" t="s">
        <v>672</v>
      </c>
      <c r="H1058" t="s">
        <v>240</v>
      </c>
      <c r="I1058" t="s">
        <v>1546</v>
      </c>
      <c r="J1058">
        <v>-300</v>
      </c>
      <c r="K1058">
        <v>-300</v>
      </c>
      <c r="O1058" t="s">
        <v>631</v>
      </c>
      <c r="P1058" t="s">
        <v>820</v>
      </c>
      <c r="Q1058" t="s">
        <v>463</v>
      </c>
      <c r="R1058">
        <v>0</v>
      </c>
    </row>
    <row r="1059" spans="1:18" x14ac:dyDescent="0.3">
      <c r="A1059">
        <v>196064</v>
      </c>
      <c r="B1059" t="s">
        <v>568</v>
      </c>
      <c r="C1059" t="s">
        <v>671</v>
      </c>
      <c r="D1059" t="s">
        <v>1547</v>
      </c>
      <c r="E1059" s="452">
        <v>46082</v>
      </c>
      <c r="F1059" s="452">
        <v>46081</v>
      </c>
      <c r="G1059" t="s">
        <v>672</v>
      </c>
      <c r="H1059" t="s">
        <v>240</v>
      </c>
      <c r="I1059" t="s">
        <v>691</v>
      </c>
      <c r="J1059">
        <v>-1689.28</v>
      </c>
      <c r="K1059">
        <v>-1689.28</v>
      </c>
      <c r="O1059" t="s">
        <v>631</v>
      </c>
      <c r="P1059" t="s">
        <v>820</v>
      </c>
      <c r="Q1059" t="s">
        <v>463</v>
      </c>
      <c r="R1059">
        <v>0</v>
      </c>
    </row>
    <row r="1060" spans="1:18" x14ac:dyDescent="0.3">
      <c r="A1060">
        <v>215972</v>
      </c>
      <c r="B1060" t="s">
        <v>568</v>
      </c>
      <c r="C1060" t="s">
        <v>606</v>
      </c>
      <c r="D1060" t="s">
        <v>1548</v>
      </c>
      <c r="E1060" s="452">
        <v>46082</v>
      </c>
      <c r="F1060" s="452">
        <v>46122</v>
      </c>
      <c r="G1060" t="s">
        <v>257</v>
      </c>
      <c r="H1060" t="s">
        <v>260</v>
      </c>
      <c r="I1060" t="s">
        <v>1549</v>
      </c>
      <c r="J1060">
        <v>-2935.69</v>
      </c>
      <c r="K1060">
        <v>-2935.69</v>
      </c>
      <c r="O1060" t="s">
        <v>631</v>
      </c>
      <c r="P1060" t="s">
        <v>820</v>
      </c>
      <c r="Q1060" t="s">
        <v>463</v>
      </c>
      <c r="R1060">
        <v>0</v>
      </c>
    </row>
    <row r="1061" spans="1:18" x14ac:dyDescent="0.3">
      <c r="A1061">
        <v>175479</v>
      </c>
      <c r="B1061" t="s">
        <v>568</v>
      </c>
      <c r="C1061" t="s">
        <v>606</v>
      </c>
      <c r="D1061" t="s">
        <v>1548</v>
      </c>
      <c r="E1061" s="452">
        <v>46082</v>
      </c>
      <c r="F1061" s="452">
        <v>46122</v>
      </c>
      <c r="G1061" t="s">
        <v>257</v>
      </c>
      <c r="H1061" t="s">
        <v>258</v>
      </c>
      <c r="I1061" t="s">
        <v>1550</v>
      </c>
      <c r="J1061">
        <v>-28364.53</v>
      </c>
      <c r="K1061">
        <v>-26629.45</v>
      </c>
      <c r="O1061" t="s">
        <v>631</v>
      </c>
      <c r="P1061" t="s">
        <v>820</v>
      </c>
      <c r="Q1061" t="s">
        <v>463</v>
      </c>
      <c r="R1061">
        <v>0</v>
      </c>
    </row>
    <row r="1062" spans="1:18" x14ac:dyDescent="0.3">
      <c r="A1062">
        <v>193013</v>
      </c>
      <c r="B1062" t="s">
        <v>568</v>
      </c>
      <c r="C1062" t="s">
        <v>769</v>
      </c>
      <c r="D1062" t="s">
        <v>1543</v>
      </c>
      <c r="E1062" s="452">
        <v>46082</v>
      </c>
      <c r="F1062" s="452">
        <v>46117</v>
      </c>
      <c r="G1062" t="s">
        <v>280</v>
      </c>
      <c r="H1062" t="s">
        <v>283</v>
      </c>
      <c r="I1062" t="s">
        <v>1551</v>
      </c>
      <c r="J1062">
        <v>-23.5</v>
      </c>
      <c r="K1062">
        <v>-23.5</v>
      </c>
      <c r="O1062" t="s">
        <v>631</v>
      </c>
      <c r="P1062" t="s">
        <v>820</v>
      </c>
      <c r="Q1062" t="s">
        <v>463</v>
      </c>
      <c r="R1062">
        <v>0</v>
      </c>
    </row>
    <row r="1063" spans="1:18" x14ac:dyDescent="0.3">
      <c r="A1063">
        <v>99342</v>
      </c>
      <c r="B1063" t="s">
        <v>568</v>
      </c>
      <c r="C1063" t="s">
        <v>569</v>
      </c>
      <c r="D1063" t="s">
        <v>1021</v>
      </c>
      <c r="E1063" s="452">
        <v>46082</v>
      </c>
      <c r="F1063" s="452">
        <v>46091</v>
      </c>
      <c r="G1063" t="s">
        <v>257</v>
      </c>
      <c r="H1063" t="s">
        <v>263</v>
      </c>
      <c r="I1063" t="s">
        <v>1552</v>
      </c>
      <c r="J1063">
        <v>-12000</v>
      </c>
      <c r="K1063">
        <v>-12000</v>
      </c>
      <c r="O1063" t="s">
        <v>631</v>
      </c>
      <c r="P1063" t="s">
        <v>820</v>
      </c>
      <c r="Q1063" t="s">
        <v>463</v>
      </c>
      <c r="R1063">
        <v>0</v>
      </c>
    </row>
    <row r="1064" spans="1:18" x14ac:dyDescent="0.3">
      <c r="A1064">
        <v>196076</v>
      </c>
      <c r="B1064" t="s">
        <v>568</v>
      </c>
      <c r="C1064" t="s">
        <v>671</v>
      </c>
      <c r="D1064" t="s">
        <v>1553</v>
      </c>
      <c r="E1064" s="452">
        <v>46082</v>
      </c>
      <c r="F1064" s="452">
        <v>46079</v>
      </c>
      <c r="G1064" t="s">
        <v>672</v>
      </c>
      <c r="H1064" t="s">
        <v>240</v>
      </c>
      <c r="I1064" t="s">
        <v>687</v>
      </c>
      <c r="J1064">
        <v>-713.46</v>
      </c>
      <c r="K1064">
        <v>-713.46</v>
      </c>
      <c r="O1064" t="s">
        <v>631</v>
      </c>
      <c r="P1064" t="s">
        <v>820</v>
      </c>
      <c r="Q1064" t="s">
        <v>463</v>
      </c>
      <c r="R1064">
        <v>0</v>
      </c>
    </row>
    <row r="1065" spans="1:18" x14ac:dyDescent="0.3">
      <c r="A1065">
        <v>193413</v>
      </c>
      <c r="B1065" t="s">
        <v>568</v>
      </c>
      <c r="C1065" t="s">
        <v>723</v>
      </c>
      <c r="D1065" t="s">
        <v>1554</v>
      </c>
      <c r="E1065" s="452">
        <v>46082</v>
      </c>
      <c r="F1065" s="452">
        <v>46099</v>
      </c>
      <c r="G1065" t="s">
        <v>724</v>
      </c>
      <c r="H1065" t="s">
        <v>725</v>
      </c>
      <c r="I1065" t="s">
        <v>1555</v>
      </c>
      <c r="J1065">
        <v>-400</v>
      </c>
      <c r="K1065">
        <v>-400</v>
      </c>
      <c r="O1065" t="s">
        <v>631</v>
      </c>
      <c r="P1065" t="s">
        <v>820</v>
      </c>
      <c r="Q1065" t="s">
        <v>463</v>
      </c>
      <c r="R1065">
        <v>0</v>
      </c>
    </row>
    <row r="1066" spans="1:18" x14ac:dyDescent="0.3">
      <c r="A1066">
        <v>192076</v>
      </c>
      <c r="B1066" t="s">
        <v>568</v>
      </c>
      <c r="C1066" t="s">
        <v>731</v>
      </c>
      <c r="D1066" t="s">
        <v>1556</v>
      </c>
      <c r="E1066" s="452">
        <v>46082</v>
      </c>
      <c r="F1066" s="452">
        <v>46097</v>
      </c>
      <c r="G1066" t="s">
        <v>319</v>
      </c>
      <c r="H1066" t="s">
        <v>321</v>
      </c>
      <c r="I1066" t="s">
        <v>1557</v>
      </c>
      <c r="J1066">
        <v>-123.46</v>
      </c>
      <c r="K1066">
        <v>-123.46</v>
      </c>
      <c r="O1066" t="s">
        <v>631</v>
      </c>
      <c r="P1066" t="s">
        <v>820</v>
      </c>
      <c r="Q1066" t="s">
        <v>463</v>
      </c>
      <c r="R1066">
        <v>0</v>
      </c>
    </row>
    <row r="1067" spans="1:18" x14ac:dyDescent="0.3">
      <c r="A1067">
        <v>210733</v>
      </c>
      <c r="B1067" t="s">
        <v>568</v>
      </c>
      <c r="C1067" t="s">
        <v>945</v>
      </c>
      <c r="D1067" t="s">
        <v>1558</v>
      </c>
      <c r="E1067" s="452">
        <v>46082</v>
      </c>
      <c r="F1067" s="452">
        <v>46100</v>
      </c>
      <c r="G1067" t="s">
        <v>697</v>
      </c>
      <c r="H1067" t="s">
        <v>216</v>
      </c>
      <c r="I1067" t="s">
        <v>1559</v>
      </c>
      <c r="J1067">
        <v>-4913.8</v>
      </c>
      <c r="K1067">
        <v>-4913.8</v>
      </c>
      <c r="O1067" t="s">
        <v>631</v>
      </c>
      <c r="P1067" t="s">
        <v>820</v>
      </c>
      <c r="Q1067" t="s">
        <v>463</v>
      </c>
      <c r="R1067">
        <v>0</v>
      </c>
    </row>
    <row r="1068" spans="1:18" x14ac:dyDescent="0.3">
      <c r="A1068">
        <v>192606</v>
      </c>
      <c r="B1068" t="s">
        <v>568</v>
      </c>
      <c r="C1068" t="s">
        <v>682</v>
      </c>
      <c r="D1068" t="s">
        <v>1560</v>
      </c>
      <c r="E1068" s="452">
        <v>46082</v>
      </c>
      <c r="F1068" s="452">
        <v>46101</v>
      </c>
      <c r="G1068" t="s">
        <v>683</v>
      </c>
      <c r="H1068" t="s">
        <v>289</v>
      </c>
      <c r="I1068" t="s">
        <v>1561</v>
      </c>
      <c r="J1068">
        <v>-1500</v>
      </c>
      <c r="K1068">
        <v>-1500</v>
      </c>
      <c r="O1068" t="s">
        <v>631</v>
      </c>
      <c r="P1068" t="s">
        <v>820</v>
      </c>
      <c r="Q1068" t="s">
        <v>463</v>
      </c>
      <c r="R1068">
        <v>0</v>
      </c>
    </row>
    <row r="1069" spans="1:18" x14ac:dyDescent="0.3">
      <c r="A1069">
        <v>192372</v>
      </c>
      <c r="B1069" t="s">
        <v>568</v>
      </c>
      <c r="C1069" t="s">
        <v>733</v>
      </c>
      <c r="D1069" t="s">
        <v>1562</v>
      </c>
      <c r="E1069" s="452">
        <v>46082</v>
      </c>
      <c r="F1069" s="452">
        <v>46124</v>
      </c>
      <c r="G1069" t="s">
        <v>297</v>
      </c>
      <c r="H1069" t="s">
        <v>299</v>
      </c>
      <c r="I1069" t="s">
        <v>1563</v>
      </c>
      <c r="J1069">
        <v>-500</v>
      </c>
      <c r="K1069">
        <v>-500</v>
      </c>
      <c r="O1069" t="s">
        <v>631</v>
      </c>
      <c r="P1069" t="s">
        <v>820</v>
      </c>
      <c r="Q1069" t="s">
        <v>463</v>
      </c>
      <c r="R1069">
        <v>0</v>
      </c>
    </row>
    <row r="1070" spans="1:18" x14ac:dyDescent="0.3">
      <c r="A1070">
        <v>192339</v>
      </c>
      <c r="B1070" t="s">
        <v>568</v>
      </c>
      <c r="C1070" t="s">
        <v>742</v>
      </c>
      <c r="D1070" t="s">
        <v>1564</v>
      </c>
      <c r="E1070" s="452">
        <v>46082</v>
      </c>
      <c r="F1070" s="452">
        <v>46091</v>
      </c>
      <c r="G1070" t="s">
        <v>280</v>
      </c>
      <c r="H1070" t="s">
        <v>282</v>
      </c>
      <c r="I1070" t="s">
        <v>1565</v>
      </c>
      <c r="J1070">
        <v>-249.9</v>
      </c>
      <c r="K1070">
        <v>-249.9</v>
      </c>
      <c r="O1070" t="s">
        <v>631</v>
      </c>
      <c r="P1070" t="s">
        <v>820</v>
      </c>
      <c r="Q1070" t="s">
        <v>463</v>
      </c>
      <c r="R1070">
        <v>0</v>
      </c>
    </row>
    <row r="1071" spans="1:18" x14ac:dyDescent="0.3">
      <c r="A1071">
        <v>192315</v>
      </c>
      <c r="B1071" t="s">
        <v>568</v>
      </c>
      <c r="C1071" t="s">
        <v>749</v>
      </c>
      <c r="D1071" t="s">
        <v>1566</v>
      </c>
      <c r="E1071" s="452">
        <v>46082</v>
      </c>
      <c r="F1071" s="452">
        <v>46116</v>
      </c>
      <c r="G1071" t="s">
        <v>297</v>
      </c>
      <c r="H1071" t="s">
        <v>298</v>
      </c>
      <c r="I1071" t="s">
        <v>1567</v>
      </c>
      <c r="J1071">
        <v>-3000</v>
      </c>
      <c r="K1071">
        <v>-3000</v>
      </c>
      <c r="M1071" t="s">
        <v>751</v>
      </c>
      <c r="N1071" t="s">
        <v>752</v>
      </c>
      <c r="O1071" t="s">
        <v>631</v>
      </c>
      <c r="P1071" t="s">
        <v>832</v>
      </c>
      <c r="Q1071" t="s">
        <v>463</v>
      </c>
      <c r="R1071">
        <v>0</v>
      </c>
    </row>
    <row r="1072" spans="1:18" x14ac:dyDescent="0.3">
      <c r="A1072">
        <v>192175</v>
      </c>
      <c r="B1072" t="s">
        <v>568</v>
      </c>
      <c r="C1072" t="s">
        <v>1257</v>
      </c>
      <c r="D1072" t="s">
        <v>1568</v>
      </c>
      <c r="E1072" s="452">
        <v>46082</v>
      </c>
      <c r="F1072" s="452">
        <v>46101</v>
      </c>
      <c r="G1072" t="s">
        <v>265</v>
      </c>
      <c r="H1072" t="s">
        <v>271</v>
      </c>
      <c r="I1072" t="s">
        <v>1569</v>
      </c>
      <c r="J1072">
        <v>-550</v>
      </c>
      <c r="K1072">
        <v>-550</v>
      </c>
      <c r="O1072" t="s">
        <v>631</v>
      </c>
      <c r="P1072" t="s">
        <v>820</v>
      </c>
      <c r="Q1072" t="s">
        <v>463</v>
      </c>
      <c r="R1072">
        <v>0</v>
      </c>
    </row>
    <row r="1073" spans="1:18" x14ac:dyDescent="0.3">
      <c r="A1073">
        <v>204968</v>
      </c>
      <c r="B1073" t="s">
        <v>568</v>
      </c>
      <c r="C1073" t="s">
        <v>685</v>
      </c>
      <c r="D1073" t="s">
        <v>1570</v>
      </c>
      <c r="E1073" s="452">
        <v>46082</v>
      </c>
      <c r="F1073" s="452">
        <v>46111</v>
      </c>
      <c r="G1073" t="s">
        <v>672</v>
      </c>
      <c r="H1073" t="s">
        <v>243</v>
      </c>
      <c r="I1073" t="s">
        <v>686</v>
      </c>
      <c r="J1073">
        <v>-69.22</v>
      </c>
      <c r="K1073">
        <v>-69.22</v>
      </c>
      <c r="O1073" t="s">
        <v>631</v>
      </c>
      <c r="P1073" t="s">
        <v>820</v>
      </c>
      <c r="Q1073" t="s">
        <v>463</v>
      </c>
      <c r="R1073">
        <v>0</v>
      </c>
    </row>
    <row r="1074" spans="1:18" x14ac:dyDescent="0.3">
      <c r="A1074">
        <v>192117</v>
      </c>
      <c r="B1074" t="s">
        <v>568</v>
      </c>
      <c r="C1074" t="s">
        <v>761</v>
      </c>
      <c r="D1074" t="s">
        <v>1571</v>
      </c>
      <c r="E1074" s="452">
        <v>46082</v>
      </c>
      <c r="F1074" s="452">
        <v>46101</v>
      </c>
      <c r="G1074" t="s">
        <v>309</v>
      </c>
      <c r="H1074" t="s">
        <v>312</v>
      </c>
      <c r="I1074" t="s">
        <v>1470</v>
      </c>
      <c r="J1074">
        <v>-300</v>
      </c>
      <c r="K1074">
        <v>-300</v>
      </c>
      <c r="O1074" t="s">
        <v>631</v>
      </c>
      <c r="P1074" t="s">
        <v>820</v>
      </c>
      <c r="Q1074" t="s">
        <v>463</v>
      </c>
      <c r="R1074">
        <v>0</v>
      </c>
    </row>
    <row r="1075" spans="1:18" x14ac:dyDescent="0.3">
      <c r="A1075">
        <v>197930</v>
      </c>
      <c r="B1075" t="s">
        <v>568</v>
      </c>
      <c r="C1075" t="s">
        <v>688</v>
      </c>
      <c r="D1075" t="s">
        <v>1543</v>
      </c>
      <c r="E1075" s="452">
        <v>46082</v>
      </c>
      <c r="F1075" s="452">
        <v>46101</v>
      </c>
      <c r="G1075" t="s">
        <v>666</v>
      </c>
      <c r="H1075" t="s">
        <v>667</v>
      </c>
      <c r="I1075" t="s">
        <v>1572</v>
      </c>
      <c r="J1075">
        <v>-2656</v>
      </c>
      <c r="K1075">
        <v>-2656</v>
      </c>
      <c r="O1075" t="s">
        <v>631</v>
      </c>
      <c r="P1075" t="s">
        <v>820</v>
      </c>
      <c r="Q1075" t="s">
        <v>463</v>
      </c>
      <c r="R1075">
        <v>0</v>
      </c>
    </row>
    <row r="1076" spans="1:18" x14ac:dyDescent="0.3">
      <c r="A1076">
        <v>200000</v>
      </c>
      <c r="B1076" t="s">
        <v>568</v>
      </c>
      <c r="C1076" t="s">
        <v>759</v>
      </c>
      <c r="D1076" t="s">
        <v>1573</v>
      </c>
      <c r="E1076" s="452">
        <v>46082</v>
      </c>
      <c r="F1076" s="452">
        <v>46121</v>
      </c>
      <c r="G1076" t="s">
        <v>677</v>
      </c>
      <c r="H1076" t="s">
        <v>678</v>
      </c>
      <c r="I1076" t="s">
        <v>745</v>
      </c>
      <c r="J1076">
        <v>-1125</v>
      </c>
      <c r="K1076">
        <v>-1125</v>
      </c>
      <c r="M1076" t="s">
        <v>760</v>
      </c>
      <c r="N1076" t="s">
        <v>131</v>
      </c>
      <c r="O1076" t="s">
        <v>631</v>
      </c>
      <c r="P1076" t="s">
        <v>820</v>
      </c>
      <c r="Q1076" t="s">
        <v>463</v>
      </c>
      <c r="R1076">
        <v>0</v>
      </c>
    </row>
    <row r="1077" spans="1:18" x14ac:dyDescent="0.3">
      <c r="A1077">
        <v>192102</v>
      </c>
      <c r="B1077" t="s">
        <v>568</v>
      </c>
      <c r="C1077" t="s">
        <v>767</v>
      </c>
      <c r="D1077" t="s">
        <v>1574</v>
      </c>
      <c r="E1077" s="452">
        <v>46082</v>
      </c>
      <c r="F1077" s="452">
        <v>46117</v>
      </c>
      <c r="G1077" t="s">
        <v>309</v>
      </c>
      <c r="H1077" t="s">
        <v>315</v>
      </c>
      <c r="I1077" t="s">
        <v>1575</v>
      </c>
      <c r="J1077">
        <v>-981.02</v>
      </c>
      <c r="K1077">
        <v>-981.02</v>
      </c>
      <c r="O1077" t="s">
        <v>631</v>
      </c>
      <c r="P1077" t="s">
        <v>820</v>
      </c>
      <c r="Q1077" t="s">
        <v>463</v>
      </c>
      <c r="R1077">
        <v>0</v>
      </c>
    </row>
    <row r="1078" spans="1:18" x14ac:dyDescent="0.3">
      <c r="A1078">
        <v>199987</v>
      </c>
      <c r="B1078" t="s">
        <v>568</v>
      </c>
      <c r="C1078" t="s">
        <v>771</v>
      </c>
      <c r="D1078" t="s">
        <v>1576</v>
      </c>
      <c r="E1078" s="452">
        <v>46082</v>
      </c>
      <c r="F1078" s="452">
        <v>46122</v>
      </c>
      <c r="G1078" t="s">
        <v>677</v>
      </c>
      <c r="H1078" t="s">
        <v>678</v>
      </c>
      <c r="I1078" t="s">
        <v>745</v>
      </c>
      <c r="J1078">
        <v>-1750</v>
      </c>
      <c r="K1078">
        <v>-1750</v>
      </c>
      <c r="M1078" t="s">
        <v>772</v>
      </c>
      <c r="N1078" t="s">
        <v>135</v>
      </c>
      <c r="O1078" t="s">
        <v>631</v>
      </c>
      <c r="P1078" t="s">
        <v>820</v>
      </c>
      <c r="Q1078" t="s">
        <v>463</v>
      </c>
      <c r="R1078">
        <v>0</v>
      </c>
    </row>
    <row r="1079" spans="1:18" x14ac:dyDescent="0.3">
      <c r="A1079">
        <v>175524</v>
      </c>
      <c r="B1079" t="s">
        <v>568</v>
      </c>
      <c r="C1079" t="s">
        <v>606</v>
      </c>
      <c r="D1079" t="s">
        <v>1577</v>
      </c>
      <c r="E1079" s="452">
        <v>46082</v>
      </c>
      <c r="F1079" s="452">
        <v>46083</v>
      </c>
      <c r="G1079" t="s">
        <v>613</v>
      </c>
      <c r="H1079" t="s">
        <v>369</v>
      </c>
      <c r="I1079" t="s">
        <v>1578</v>
      </c>
      <c r="J1079">
        <v>-5792.21</v>
      </c>
      <c r="K1079">
        <v>-5792.21</v>
      </c>
      <c r="O1079" t="s">
        <v>631</v>
      </c>
      <c r="P1079" t="s">
        <v>820</v>
      </c>
      <c r="Q1079" t="s">
        <v>463</v>
      </c>
      <c r="R1079">
        <v>0</v>
      </c>
    </row>
    <row r="1080" spans="1:18" x14ac:dyDescent="0.3">
      <c r="A1080">
        <v>199975</v>
      </c>
      <c r="B1080" t="s">
        <v>568</v>
      </c>
      <c r="C1080" t="s">
        <v>747</v>
      </c>
      <c r="D1080" t="s">
        <v>1274</v>
      </c>
      <c r="E1080" s="452">
        <v>46082</v>
      </c>
      <c r="F1080" s="452">
        <v>46127</v>
      </c>
      <c r="G1080" t="s">
        <v>677</v>
      </c>
      <c r="H1080" t="s">
        <v>678</v>
      </c>
      <c r="I1080" t="s">
        <v>745</v>
      </c>
      <c r="J1080">
        <v>-600</v>
      </c>
      <c r="K1080">
        <v>-600</v>
      </c>
      <c r="M1080" t="s">
        <v>748</v>
      </c>
      <c r="N1080" t="s">
        <v>75</v>
      </c>
      <c r="O1080" t="s">
        <v>631</v>
      </c>
      <c r="P1080" t="s">
        <v>820</v>
      </c>
      <c r="Q1080" t="s">
        <v>463</v>
      </c>
      <c r="R1080">
        <v>0</v>
      </c>
    </row>
    <row r="1081" spans="1:18" x14ac:dyDescent="0.3">
      <c r="A1081">
        <v>191967</v>
      </c>
      <c r="B1081" t="s">
        <v>568</v>
      </c>
      <c r="C1081" t="s">
        <v>727</v>
      </c>
      <c r="D1081" t="s">
        <v>1579</v>
      </c>
      <c r="E1081" s="452">
        <v>46082</v>
      </c>
      <c r="F1081" s="452">
        <v>46109</v>
      </c>
      <c r="G1081" t="s">
        <v>265</v>
      </c>
      <c r="H1081" t="s">
        <v>272</v>
      </c>
      <c r="I1081" t="s">
        <v>1580</v>
      </c>
      <c r="J1081">
        <v>-758.1</v>
      </c>
      <c r="K1081">
        <v>-758.1</v>
      </c>
      <c r="O1081" t="s">
        <v>631</v>
      </c>
      <c r="P1081" t="s">
        <v>820</v>
      </c>
      <c r="Q1081" t="s">
        <v>463</v>
      </c>
      <c r="R1081">
        <v>0</v>
      </c>
    </row>
    <row r="1082" spans="1:18" x14ac:dyDescent="0.3">
      <c r="A1082">
        <v>199947</v>
      </c>
      <c r="B1082" t="s">
        <v>568</v>
      </c>
      <c r="C1082" t="s">
        <v>676</v>
      </c>
      <c r="D1082" t="s">
        <v>1581</v>
      </c>
      <c r="E1082" s="452">
        <v>46082</v>
      </c>
      <c r="F1082" s="452">
        <v>46113</v>
      </c>
      <c r="G1082" t="s">
        <v>677</v>
      </c>
      <c r="H1082" t="s">
        <v>678</v>
      </c>
      <c r="I1082" t="s">
        <v>745</v>
      </c>
      <c r="J1082">
        <v>-1350</v>
      </c>
      <c r="K1082">
        <v>-1350</v>
      </c>
      <c r="M1082" t="s">
        <v>680</v>
      </c>
      <c r="N1082" t="s">
        <v>134</v>
      </c>
      <c r="O1082" t="s">
        <v>631</v>
      </c>
      <c r="P1082" t="s">
        <v>820</v>
      </c>
      <c r="Q1082" t="s">
        <v>463</v>
      </c>
      <c r="R1082">
        <v>0</v>
      </c>
    </row>
    <row r="1083" spans="1:18" x14ac:dyDescent="0.3">
      <c r="A1083">
        <v>199353</v>
      </c>
      <c r="B1083" t="s">
        <v>568</v>
      </c>
      <c r="C1083" t="s">
        <v>744</v>
      </c>
      <c r="D1083" t="s">
        <v>1582</v>
      </c>
      <c r="E1083" s="452">
        <v>46082</v>
      </c>
      <c r="F1083" s="452">
        <v>46121</v>
      </c>
      <c r="G1083" t="s">
        <v>677</v>
      </c>
      <c r="H1083" t="s">
        <v>678</v>
      </c>
      <c r="I1083" t="s">
        <v>745</v>
      </c>
      <c r="J1083">
        <v>-2000</v>
      </c>
      <c r="K1083">
        <v>-2000</v>
      </c>
      <c r="M1083" t="s">
        <v>746</v>
      </c>
      <c r="N1083" t="s">
        <v>131</v>
      </c>
      <c r="O1083" t="s">
        <v>631</v>
      </c>
      <c r="P1083" t="s">
        <v>820</v>
      </c>
      <c r="Q1083" t="s">
        <v>463</v>
      </c>
      <c r="R1083">
        <v>0</v>
      </c>
    </row>
    <row r="1084" spans="1:18" x14ac:dyDescent="0.3">
      <c r="A1084">
        <v>189771</v>
      </c>
      <c r="B1084" t="s">
        <v>568</v>
      </c>
      <c r="C1084" t="s">
        <v>778</v>
      </c>
      <c r="D1084" t="s">
        <v>1583</v>
      </c>
      <c r="E1084" s="452">
        <v>46082</v>
      </c>
      <c r="F1084" s="452">
        <v>46101</v>
      </c>
      <c r="G1084" t="s">
        <v>309</v>
      </c>
      <c r="H1084" t="s">
        <v>313</v>
      </c>
      <c r="I1084" t="s">
        <v>1584</v>
      </c>
      <c r="J1084">
        <v>-185</v>
      </c>
      <c r="K1084">
        <v>-185</v>
      </c>
      <c r="O1084" t="s">
        <v>631</v>
      </c>
      <c r="P1084" t="s">
        <v>820</v>
      </c>
      <c r="Q1084" t="s">
        <v>463</v>
      </c>
      <c r="R1084">
        <v>0</v>
      </c>
    </row>
    <row r="1085" spans="1:18" x14ac:dyDescent="0.3">
      <c r="A1085">
        <v>199340</v>
      </c>
      <c r="B1085" t="s">
        <v>568</v>
      </c>
      <c r="C1085" t="s">
        <v>753</v>
      </c>
      <c r="D1085" t="s">
        <v>1585</v>
      </c>
      <c r="E1085" s="452">
        <v>46082</v>
      </c>
      <c r="F1085" s="452">
        <v>46127</v>
      </c>
      <c r="G1085" t="s">
        <v>677</v>
      </c>
      <c r="H1085" t="s">
        <v>678</v>
      </c>
      <c r="I1085" t="s">
        <v>754</v>
      </c>
      <c r="J1085">
        <v>-8000</v>
      </c>
      <c r="K1085">
        <v>-8000</v>
      </c>
      <c r="M1085" t="s">
        <v>755</v>
      </c>
      <c r="N1085" t="s">
        <v>132</v>
      </c>
      <c r="O1085" t="s">
        <v>631</v>
      </c>
      <c r="P1085" t="s">
        <v>820</v>
      </c>
      <c r="Q1085" t="s">
        <v>463</v>
      </c>
      <c r="R1085">
        <v>0</v>
      </c>
    </row>
    <row r="1086" spans="1:18" x14ac:dyDescent="0.3">
      <c r="A1086">
        <v>191735</v>
      </c>
      <c r="B1086" t="s">
        <v>568</v>
      </c>
      <c r="C1086" t="s">
        <v>735</v>
      </c>
      <c r="D1086" t="s">
        <v>1586</v>
      </c>
      <c r="E1086" s="452">
        <v>46082</v>
      </c>
      <c r="F1086" s="452">
        <v>46096</v>
      </c>
      <c r="G1086" t="s">
        <v>309</v>
      </c>
      <c r="H1086" t="s">
        <v>310</v>
      </c>
      <c r="I1086" t="s">
        <v>1587</v>
      </c>
      <c r="J1086">
        <v>-2282.27</v>
      </c>
      <c r="K1086">
        <v>-2282.27</v>
      </c>
      <c r="O1086" t="s">
        <v>631</v>
      </c>
      <c r="P1086" t="s">
        <v>820</v>
      </c>
      <c r="Q1086" t="s">
        <v>463</v>
      </c>
      <c r="R1086">
        <v>0</v>
      </c>
    </row>
    <row r="1087" spans="1:18" x14ac:dyDescent="0.3">
      <c r="A1087">
        <v>191859</v>
      </c>
      <c r="B1087" t="s">
        <v>568</v>
      </c>
      <c r="C1087" t="s">
        <v>708</v>
      </c>
      <c r="D1087" t="s">
        <v>1588</v>
      </c>
      <c r="E1087" s="452">
        <v>46082</v>
      </c>
      <c r="F1087" s="452">
        <v>46101</v>
      </c>
      <c r="G1087" t="s">
        <v>280</v>
      </c>
      <c r="H1087" t="s">
        <v>283</v>
      </c>
      <c r="I1087" t="s">
        <v>1589</v>
      </c>
      <c r="J1087">
        <v>-349.98</v>
      </c>
      <c r="K1087">
        <v>-349.98</v>
      </c>
      <c r="O1087" t="s">
        <v>631</v>
      </c>
      <c r="P1087" t="s">
        <v>820</v>
      </c>
      <c r="Q1087" t="s">
        <v>463</v>
      </c>
      <c r="R1087">
        <v>0</v>
      </c>
    </row>
    <row r="1088" spans="1:18" x14ac:dyDescent="0.3">
      <c r="A1088">
        <v>197943</v>
      </c>
      <c r="B1088" t="s">
        <v>568</v>
      </c>
      <c r="C1088" t="s">
        <v>688</v>
      </c>
      <c r="D1088" t="s">
        <v>1590</v>
      </c>
      <c r="E1088" s="452">
        <v>46082</v>
      </c>
      <c r="F1088" s="452">
        <v>46120</v>
      </c>
      <c r="G1088" t="s">
        <v>666</v>
      </c>
      <c r="H1088" t="s">
        <v>667</v>
      </c>
      <c r="I1088" t="s">
        <v>1591</v>
      </c>
      <c r="J1088">
        <v>-2656</v>
      </c>
      <c r="K1088">
        <v>-2656</v>
      </c>
      <c r="O1088" t="s">
        <v>631</v>
      </c>
      <c r="P1088" t="s">
        <v>820</v>
      </c>
      <c r="Q1088" t="s">
        <v>463</v>
      </c>
      <c r="R1088">
        <v>0</v>
      </c>
    </row>
    <row r="1089" spans="1:18" x14ac:dyDescent="0.3">
      <c r="A1089">
        <v>191823</v>
      </c>
      <c r="B1089" t="s">
        <v>568</v>
      </c>
      <c r="C1089" t="s">
        <v>765</v>
      </c>
      <c r="D1089" t="s">
        <v>1592</v>
      </c>
      <c r="E1089" s="452">
        <v>46082</v>
      </c>
      <c r="F1089" s="452">
        <v>46106</v>
      </c>
      <c r="G1089" t="s">
        <v>265</v>
      </c>
      <c r="H1089" t="s">
        <v>268</v>
      </c>
      <c r="I1089" t="s">
        <v>1593</v>
      </c>
      <c r="J1089">
        <v>-3684.75</v>
      </c>
      <c r="K1089">
        <v>-3684.75</v>
      </c>
      <c r="O1089" t="s">
        <v>631</v>
      </c>
      <c r="P1089" t="s">
        <v>820</v>
      </c>
      <c r="Q1089" t="s">
        <v>463</v>
      </c>
      <c r="R1089">
        <v>0</v>
      </c>
    </row>
    <row r="1090" spans="1:18" x14ac:dyDescent="0.3">
      <c r="A1090">
        <v>191811</v>
      </c>
      <c r="B1090" t="s">
        <v>568</v>
      </c>
      <c r="C1090" t="s">
        <v>740</v>
      </c>
      <c r="D1090" t="s">
        <v>1594</v>
      </c>
      <c r="E1090" s="452">
        <v>46082</v>
      </c>
      <c r="F1090" s="452">
        <v>46106</v>
      </c>
      <c r="G1090" t="s">
        <v>265</v>
      </c>
      <c r="H1090" t="s">
        <v>266</v>
      </c>
      <c r="I1090" t="s">
        <v>1595</v>
      </c>
      <c r="J1090">
        <v>-4631.8599999999997</v>
      </c>
      <c r="K1090">
        <v>-4631.8599999999997</v>
      </c>
      <c r="O1090" t="s">
        <v>631</v>
      </c>
      <c r="P1090" t="s">
        <v>820</v>
      </c>
      <c r="Q1090" t="s">
        <v>463</v>
      </c>
      <c r="R1090">
        <v>0</v>
      </c>
    </row>
    <row r="1091" spans="1:18" x14ac:dyDescent="0.3">
      <c r="A1091">
        <v>213322</v>
      </c>
      <c r="B1091" t="s">
        <v>568</v>
      </c>
      <c r="C1091" t="s">
        <v>676</v>
      </c>
      <c r="D1091" t="s">
        <v>1581</v>
      </c>
      <c r="E1091" s="452">
        <v>46082</v>
      </c>
      <c r="F1091" s="452">
        <v>46127</v>
      </c>
      <c r="G1091" t="s">
        <v>677</v>
      </c>
      <c r="H1091" t="s">
        <v>678</v>
      </c>
      <c r="I1091" t="s">
        <v>679</v>
      </c>
      <c r="J1091">
        <v>-1350</v>
      </c>
      <c r="K1091">
        <v>-1350</v>
      </c>
      <c r="M1091" t="s">
        <v>680</v>
      </c>
      <c r="N1091" t="s">
        <v>134</v>
      </c>
      <c r="O1091" t="s">
        <v>631</v>
      </c>
      <c r="P1091" t="s">
        <v>820</v>
      </c>
      <c r="Q1091" t="s">
        <v>463</v>
      </c>
      <c r="R1091">
        <v>0</v>
      </c>
    </row>
    <row r="1092" spans="1:18" x14ac:dyDescent="0.3">
      <c r="A1092">
        <v>192855</v>
      </c>
      <c r="B1092" t="s">
        <v>568</v>
      </c>
      <c r="C1092" t="s">
        <v>662</v>
      </c>
      <c r="D1092" t="s">
        <v>1596</v>
      </c>
      <c r="E1092" s="452">
        <v>46082</v>
      </c>
      <c r="F1092" s="452">
        <v>46107</v>
      </c>
      <c r="G1092" t="s">
        <v>280</v>
      </c>
      <c r="H1092" t="s">
        <v>284</v>
      </c>
      <c r="I1092" t="s">
        <v>1597</v>
      </c>
      <c r="J1092">
        <v>-181.27</v>
      </c>
      <c r="K1092">
        <v>-181.27</v>
      </c>
      <c r="O1092" t="s">
        <v>631</v>
      </c>
      <c r="P1092" t="s">
        <v>820</v>
      </c>
      <c r="Q1092" t="s">
        <v>463</v>
      </c>
      <c r="R1092">
        <v>0</v>
      </c>
    </row>
    <row r="1093" spans="1:18" x14ac:dyDescent="0.3">
      <c r="A1093">
        <v>192818</v>
      </c>
      <c r="B1093" t="s">
        <v>568</v>
      </c>
      <c r="C1093" t="s">
        <v>757</v>
      </c>
      <c r="D1093" t="s">
        <v>1598</v>
      </c>
      <c r="E1093" s="452">
        <v>46082</v>
      </c>
      <c r="F1093" s="452">
        <v>46096</v>
      </c>
      <c r="G1093" t="s">
        <v>309</v>
      </c>
      <c r="H1093" t="s">
        <v>317</v>
      </c>
      <c r="I1093" t="s">
        <v>1599</v>
      </c>
      <c r="J1093">
        <v>-350</v>
      </c>
      <c r="K1093">
        <v>-350</v>
      </c>
      <c r="O1093" t="s">
        <v>631</v>
      </c>
      <c r="P1093" t="s">
        <v>820</v>
      </c>
      <c r="Q1093" t="s">
        <v>463</v>
      </c>
      <c r="R1093">
        <v>0</v>
      </c>
    </row>
    <row r="1094" spans="1:18" x14ac:dyDescent="0.3">
      <c r="A1094">
        <v>221537</v>
      </c>
      <c r="B1094" t="s">
        <v>568</v>
      </c>
      <c r="C1094" t="s">
        <v>853</v>
      </c>
      <c r="D1094" t="s">
        <v>1600</v>
      </c>
      <c r="E1094" s="452">
        <v>46082</v>
      </c>
      <c r="F1094" s="452">
        <v>46117</v>
      </c>
      <c r="G1094" t="s">
        <v>265</v>
      </c>
      <c r="H1094" t="s">
        <v>273</v>
      </c>
      <c r="I1094" t="s">
        <v>1601</v>
      </c>
      <c r="J1094">
        <v>-40</v>
      </c>
      <c r="K1094">
        <v>-40</v>
      </c>
      <c r="O1094" t="s">
        <v>631</v>
      </c>
      <c r="P1094" t="s">
        <v>820</v>
      </c>
      <c r="Q1094" t="s">
        <v>463</v>
      </c>
      <c r="R1094">
        <v>0</v>
      </c>
    </row>
    <row r="1095" spans="1:18" x14ac:dyDescent="0.3">
      <c r="A1095">
        <v>221492</v>
      </c>
      <c r="B1095" t="s">
        <v>568</v>
      </c>
      <c r="C1095" t="s">
        <v>853</v>
      </c>
      <c r="D1095" t="s">
        <v>1602</v>
      </c>
      <c r="E1095" s="452">
        <v>46082</v>
      </c>
      <c r="F1095" s="452">
        <v>46117</v>
      </c>
      <c r="G1095" t="s">
        <v>931</v>
      </c>
      <c r="H1095" t="s">
        <v>932</v>
      </c>
      <c r="I1095" t="s">
        <v>1603</v>
      </c>
      <c r="J1095">
        <v>-25.2</v>
      </c>
      <c r="K1095">
        <v>-25.2</v>
      </c>
      <c r="O1095" t="s">
        <v>631</v>
      </c>
      <c r="P1095" t="s">
        <v>820</v>
      </c>
      <c r="Q1095" t="s">
        <v>463</v>
      </c>
      <c r="R1095">
        <v>0</v>
      </c>
    </row>
    <row r="1096" spans="1:18" x14ac:dyDescent="0.3">
      <c r="A1096">
        <v>221491</v>
      </c>
      <c r="B1096" t="s">
        <v>568</v>
      </c>
      <c r="C1096" t="s">
        <v>853</v>
      </c>
      <c r="D1096" t="s">
        <v>1604</v>
      </c>
      <c r="E1096" s="452">
        <v>46082</v>
      </c>
      <c r="F1096" s="452">
        <v>46117</v>
      </c>
      <c r="G1096" t="s">
        <v>265</v>
      </c>
      <c r="H1096" t="s">
        <v>276</v>
      </c>
      <c r="I1096" t="s">
        <v>1605</v>
      </c>
      <c r="J1096">
        <v>-26.99</v>
      </c>
      <c r="K1096">
        <v>-26.99</v>
      </c>
      <c r="O1096" t="s">
        <v>631</v>
      </c>
      <c r="P1096" t="s">
        <v>820</v>
      </c>
      <c r="Q1096" t="s">
        <v>463</v>
      </c>
      <c r="R1096">
        <v>0</v>
      </c>
    </row>
    <row r="1097" spans="1:18" x14ac:dyDescent="0.3">
      <c r="A1097">
        <v>221490</v>
      </c>
      <c r="B1097" t="s">
        <v>568</v>
      </c>
      <c r="C1097" t="s">
        <v>853</v>
      </c>
      <c r="D1097" t="s">
        <v>1606</v>
      </c>
      <c r="E1097" s="452">
        <v>46082</v>
      </c>
      <c r="F1097" s="452">
        <v>46117</v>
      </c>
      <c r="G1097" t="s">
        <v>931</v>
      </c>
      <c r="H1097" t="s">
        <v>932</v>
      </c>
      <c r="I1097" t="s">
        <v>1607</v>
      </c>
      <c r="J1097">
        <v>-55.29</v>
      </c>
      <c r="K1097">
        <v>-55.29</v>
      </c>
      <c r="O1097" t="s">
        <v>631</v>
      </c>
      <c r="P1097" t="s">
        <v>820</v>
      </c>
      <c r="Q1097" t="s">
        <v>463</v>
      </c>
      <c r="R1097">
        <v>0</v>
      </c>
    </row>
    <row r="1098" spans="1:18" x14ac:dyDescent="0.3">
      <c r="A1098">
        <v>221489</v>
      </c>
      <c r="B1098" t="s">
        <v>568</v>
      </c>
      <c r="C1098" t="s">
        <v>853</v>
      </c>
      <c r="D1098" t="s">
        <v>1608</v>
      </c>
      <c r="E1098" s="452">
        <v>46082</v>
      </c>
      <c r="F1098" s="452">
        <v>46117</v>
      </c>
      <c r="G1098" t="s">
        <v>931</v>
      </c>
      <c r="H1098" t="s">
        <v>932</v>
      </c>
      <c r="I1098" t="s">
        <v>1609</v>
      </c>
      <c r="J1098">
        <v>-69.959999999999994</v>
      </c>
      <c r="K1098">
        <v>-69.959999999999994</v>
      </c>
      <c r="O1098" t="s">
        <v>631</v>
      </c>
      <c r="P1098" t="s">
        <v>820</v>
      </c>
      <c r="Q1098" t="s">
        <v>463</v>
      </c>
      <c r="R1098">
        <v>0</v>
      </c>
    </row>
    <row r="1099" spans="1:18" x14ac:dyDescent="0.3">
      <c r="A1099">
        <v>221487</v>
      </c>
      <c r="B1099" t="s">
        <v>568</v>
      </c>
      <c r="C1099" t="s">
        <v>853</v>
      </c>
      <c r="D1099" t="s">
        <v>1610</v>
      </c>
      <c r="E1099" s="452">
        <v>46082</v>
      </c>
      <c r="F1099" s="452">
        <v>46117</v>
      </c>
      <c r="G1099" t="s">
        <v>931</v>
      </c>
      <c r="H1099" t="s">
        <v>932</v>
      </c>
      <c r="I1099" t="s">
        <v>1611</v>
      </c>
      <c r="J1099">
        <v>-21.18</v>
      </c>
      <c r="K1099">
        <v>-21.18</v>
      </c>
      <c r="O1099" t="s">
        <v>631</v>
      </c>
      <c r="P1099" t="s">
        <v>820</v>
      </c>
      <c r="Q1099" t="s">
        <v>463</v>
      </c>
      <c r="R1099">
        <v>0</v>
      </c>
    </row>
    <row r="1100" spans="1:18" x14ac:dyDescent="0.3">
      <c r="A1100">
        <v>221486</v>
      </c>
      <c r="B1100" t="s">
        <v>568</v>
      </c>
      <c r="C1100" t="s">
        <v>853</v>
      </c>
      <c r="D1100" t="s">
        <v>1612</v>
      </c>
      <c r="E1100" s="452">
        <v>46082</v>
      </c>
      <c r="F1100" s="452">
        <v>46117</v>
      </c>
      <c r="G1100" t="s">
        <v>931</v>
      </c>
      <c r="H1100" t="s">
        <v>932</v>
      </c>
      <c r="I1100" t="s">
        <v>1607</v>
      </c>
      <c r="J1100">
        <v>-39.99</v>
      </c>
      <c r="K1100">
        <v>-39.99</v>
      </c>
      <c r="O1100" t="s">
        <v>631</v>
      </c>
      <c r="P1100" t="s">
        <v>820</v>
      </c>
      <c r="Q1100" t="s">
        <v>463</v>
      </c>
      <c r="R1100">
        <v>0</v>
      </c>
    </row>
    <row r="1101" spans="1:18" x14ac:dyDescent="0.3">
      <c r="A1101">
        <v>221530</v>
      </c>
      <c r="B1101" t="s">
        <v>568</v>
      </c>
      <c r="C1101" t="s">
        <v>853</v>
      </c>
      <c r="D1101" t="s">
        <v>1613</v>
      </c>
      <c r="E1101" s="452">
        <v>46082</v>
      </c>
      <c r="F1101" s="452">
        <v>46117</v>
      </c>
      <c r="G1101" t="s">
        <v>683</v>
      </c>
      <c r="H1101" t="s">
        <v>292</v>
      </c>
      <c r="I1101" t="s">
        <v>1614</v>
      </c>
      <c r="J1101">
        <v>-60</v>
      </c>
      <c r="K1101">
        <v>-60</v>
      </c>
      <c r="O1101" t="s">
        <v>631</v>
      </c>
      <c r="P1101" t="s">
        <v>820</v>
      </c>
      <c r="Q1101" t="s">
        <v>463</v>
      </c>
      <c r="R1101">
        <v>0</v>
      </c>
    </row>
    <row r="1102" spans="1:18" x14ac:dyDescent="0.3">
      <c r="A1102">
        <v>221531</v>
      </c>
      <c r="B1102" t="s">
        <v>568</v>
      </c>
      <c r="C1102" t="s">
        <v>853</v>
      </c>
      <c r="D1102" t="s">
        <v>1615</v>
      </c>
      <c r="E1102" s="452">
        <v>46082</v>
      </c>
      <c r="F1102" s="452">
        <v>46117</v>
      </c>
      <c r="G1102" t="s">
        <v>931</v>
      </c>
      <c r="H1102" t="s">
        <v>932</v>
      </c>
      <c r="I1102" t="s">
        <v>1616</v>
      </c>
      <c r="J1102">
        <v>-9.2100000000000009</v>
      </c>
      <c r="K1102">
        <v>-9.2100000000000009</v>
      </c>
      <c r="O1102" t="s">
        <v>631</v>
      </c>
      <c r="P1102" t="s">
        <v>820</v>
      </c>
      <c r="Q1102" t="s">
        <v>463</v>
      </c>
      <c r="R1102">
        <v>0</v>
      </c>
    </row>
    <row r="1103" spans="1:18" x14ac:dyDescent="0.3">
      <c r="A1103">
        <v>221532</v>
      </c>
      <c r="B1103" t="s">
        <v>568</v>
      </c>
      <c r="C1103" t="s">
        <v>853</v>
      </c>
      <c r="D1103" t="s">
        <v>1617</v>
      </c>
      <c r="E1103" s="452">
        <v>46082</v>
      </c>
      <c r="F1103" s="452">
        <v>46117</v>
      </c>
      <c r="G1103" t="s">
        <v>931</v>
      </c>
      <c r="H1103" t="s">
        <v>932</v>
      </c>
      <c r="I1103" t="s">
        <v>1618</v>
      </c>
      <c r="J1103">
        <v>-38.26</v>
      </c>
      <c r="K1103">
        <v>-38.26</v>
      </c>
      <c r="O1103" t="s">
        <v>631</v>
      </c>
      <c r="P1103" t="s">
        <v>820</v>
      </c>
      <c r="Q1103" t="s">
        <v>463</v>
      </c>
      <c r="R1103">
        <v>0</v>
      </c>
    </row>
    <row r="1104" spans="1:18" x14ac:dyDescent="0.3">
      <c r="A1104">
        <v>221533</v>
      </c>
      <c r="B1104" t="s">
        <v>568</v>
      </c>
      <c r="C1104" t="s">
        <v>853</v>
      </c>
      <c r="D1104" t="s">
        <v>1619</v>
      </c>
      <c r="E1104" s="452">
        <v>46082</v>
      </c>
      <c r="F1104" s="452">
        <v>46117</v>
      </c>
      <c r="G1104" t="s">
        <v>931</v>
      </c>
      <c r="H1104" t="s">
        <v>932</v>
      </c>
      <c r="I1104" t="s">
        <v>1620</v>
      </c>
      <c r="J1104">
        <v>-41.88</v>
      </c>
      <c r="K1104">
        <v>-41.88</v>
      </c>
      <c r="O1104" t="s">
        <v>631</v>
      </c>
      <c r="P1104" t="s">
        <v>820</v>
      </c>
      <c r="Q1104" t="s">
        <v>463</v>
      </c>
      <c r="R1104">
        <v>0</v>
      </c>
    </row>
    <row r="1105" spans="1:18" x14ac:dyDescent="0.3">
      <c r="A1105">
        <v>221534</v>
      </c>
      <c r="B1105" t="s">
        <v>568</v>
      </c>
      <c r="C1105" t="s">
        <v>853</v>
      </c>
      <c r="D1105" t="s">
        <v>1621</v>
      </c>
      <c r="E1105" s="452">
        <v>46082</v>
      </c>
      <c r="F1105" s="452">
        <v>46117</v>
      </c>
      <c r="G1105" t="s">
        <v>683</v>
      </c>
      <c r="H1105" t="s">
        <v>292</v>
      </c>
      <c r="I1105" t="s">
        <v>1614</v>
      </c>
      <c r="J1105">
        <v>-60</v>
      </c>
      <c r="K1105">
        <v>-60</v>
      </c>
      <c r="O1105" t="s">
        <v>631</v>
      </c>
      <c r="P1105" t="s">
        <v>820</v>
      </c>
      <c r="Q1105" t="s">
        <v>463</v>
      </c>
      <c r="R1105">
        <v>0</v>
      </c>
    </row>
    <row r="1106" spans="1:18" x14ac:dyDescent="0.3">
      <c r="A1106">
        <v>221535</v>
      </c>
      <c r="B1106" t="s">
        <v>568</v>
      </c>
      <c r="C1106" t="s">
        <v>853</v>
      </c>
      <c r="D1106" t="s">
        <v>1622</v>
      </c>
      <c r="E1106" s="452">
        <v>46082</v>
      </c>
      <c r="F1106" s="452">
        <v>46117</v>
      </c>
      <c r="G1106" t="s">
        <v>931</v>
      </c>
      <c r="H1106" t="s">
        <v>932</v>
      </c>
      <c r="I1106" t="s">
        <v>1618</v>
      </c>
      <c r="J1106">
        <v>-47.45</v>
      </c>
      <c r="K1106">
        <v>-47.45</v>
      </c>
      <c r="O1106" t="s">
        <v>631</v>
      </c>
      <c r="P1106" t="s">
        <v>820</v>
      </c>
      <c r="Q1106" t="s">
        <v>463</v>
      </c>
      <c r="R1106">
        <v>0</v>
      </c>
    </row>
    <row r="1107" spans="1:18" x14ac:dyDescent="0.3">
      <c r="A1107">
        <v>218673</v>
      </c>
      <c r="B1107" t="s">
        <v>568</v>
      </c>
      <c r="C1107" t="s">
        <v>606</v>
      </c>
      <c r="D1107" t="s">
        <v>1548</v>
      </c>
      <c r="E1107" s="452">
        <v>46082</v>
      </c>
      <c r="F1107" s="452">
        <v>46122</v>
      </c>
      <c r="G1107" t="s">
        <v>683</v>
      </c>
      <c r="H1107" t="s">
        <v>289</v>
      </c>
      <c r="I1107" t="s">
        <v>1623</v>
      </c>
      <c r="J1107">
        <v>-155.79</v>
      </c>
      <c r="K1107">
        <v>-155.79</v>
      </c>
      <c r="O1107" t="s">
        <v>631</v>
      </c>
      <c r="P1107" t="s">
        <v>820</v>
      </c>
      <c r="Q1107" t="s">
        <v>463</v>
      </c>
      <c r="R1107">
        <v>0</v>
      </c>
    </row>
    <row r="1108" spans="1:18" x14ac:dyDescent="0.3">
      <c r="A1108">
        <v>221528</v>
      </c>
      <c r="B1108" t="s">
        <v>568</v>
      </c>
      <c r="C1108" t="s">
        <v>853</v>
      </c>
      <c r="D1108" t="s">
        <v>1624</v>
      </c>
      <c r="E1108" s="452">
        <v>46082</v>
      </c>
      <c r="F1108" s="452">
        <v>46117</v>
      </c>
      <c r="G1108" t="s">
        <v>265</v>
      </c>
      <c r="H1108" t="s">
        <v>270</v>
      </c>
      <c r="I1108" t="s">
        <v>1625</v>
      </c>
      <c r="J1108">
        <v>-36</v>
      </c>
      <c r="K1108">
        <v>-36</v>
      </c>
      <c r="O1108" t="s">
        <v>631</v>
      </c>
      <c r="P1108" t="s">
        <v>820</v>
      </c>
      <c r="Q1108" t="s">
        <v>463</v>
      </c>
      <c r="R1108">
        <v>0</v>
      </c>
    </row>
    <row r="1109" spans="1:18" x14ac:dyDescent="0.3">
      <c r="A1109">
        <v>218656</v>
      </c>
      <c r="B1109" t="s">
        <v>568</v>
      </c>
      <c r="C1109" t="s">
        <v>606</v>
      </c>
      <c r="D1109" t="s">
        <v>1548</v>
      </c>
      <c r="E1109" s="452">
        <v>46082</v>
      </c>
      <c r="F1109" s="452">
        <v>46162</v>
      </c>
      <c r="G1109" t="s">
        <v>257</v>
      </c>
      <c r="H1109" t="s">
        <v>258</v>
      </c>
      <c r="I1109" t="s">
        <v>1626</v>
      </c>
      <c r="J1109">
        <v>-6340.55</v>
      </c>
      <c r="K1109">
        <v>-6340.55</v>
      </c>
      <c r="O1109" t="s">
        <v>631</v>
      </c>
      <c r="P1109" t="s">
        <v>820</v>
      </c>
      <c r="Q1109" t="s">
        <v>463</v>
      </c>
      <c r="R1109">
        <v>0</v>
      </c>
    </row>
    <row r="1110" spans="1:18" x14ac:dyDescent="0.3">
      <c r="A1110">
        <v>221538</v>
      </c>
      <c r="B1110" t="s">
        <v>568</v>
      </c>
      <c r="C1110" t="s">
        <v>853</v>
      </c>
      <c r="D1110" t="s">
        <v>1627</v>
      </c>
      <c r="E1110" s="452">
        <v>46082</v>
      </c>
      <c r="F1110" s="452">
        <v>46117</v>
      </c>
      <c r="G1110" t="s">
        <v>931</v>
      </c>
      <c r="H1110" t="s">
        <v>932</v>
      </c>
      <c r="I1110" t="s">
        <v>1628</v>
      </c>
      <c r="J1110">
        <v>-58.71</v>
      </c>
      <c r="K1110">
        <v>-58.71</v>
      </c>
      <c r="O1110" t="s">
        <v>631</v>
      </c>
      <c r="P1110" t="s">
        <v>820</v>
      </c>
      <c r="Q1110" t="s">
        <v>463</v>
      </c>
      <c r="R1110">
        <v>0</v>
      </c>
    </row>
    <row r="1111" spans="1:18" x14ac:dyDescent="0.3">
      <c r="A1111">
        <v>221999</v>
      </c>
      <c r="B1111" t="s">
        <v>568</v>
      </c>
      <c r="C1111" t="s">
        <v>1068</v>
      </c>
      <c r="E1111" s="452">
        <v>46082</v>
      </c>
      <c r="F1111" s="452">
        <v>46082</v>
      </c>
      <c r="G1111" t="s">
        <v>280</v>
      </c>
      <c r="H1111" t="s">
        <v>285</v>
      </c>
      <c r="I1111" t="s">
        <v>1202</v>
      </c>
      <c r="J1111">
        <v>-40</v>
      </c>
      <c r="K1111">
        <v>-40</v>
      </c>
      <c r="O1111" t="s">
        <v>631</v>
      </c>
      <c r="P1111" t="s">
        <v>820</v>
      </c>
      <c r="Q1111" t="s">
        <v>463</v>
      </c>
      <c r="R1111">
        <v>0</v>
      </c>
    </row>
    <row r="1112" spans="1:18" x14ac:dyDescent="0.3">
      <c r="A1112">
        <v>222000</v>
      </c>
      <c r="B1112" t="s">
        <v>568</v>
      </c>
      <c r="C1112" t="s">
        <v>1068</v>
      </c>
      <c r="E1112" s="452">
        <v>46082</v>
      </c>
      <c r="F1112" s="452">
        <v>46082</v>
      </c>
      <c r="G1112" t="s">
        <v>280</v>
      </c>
      <c r="H1112" t="s">
        <v>285</v>
      </c>
      <c r="I1112" t="s">
        <v>1200</v>
      </c>
      <c r="J1112">
        <v>-160</v>
      </c>
      <c r="K1112">
        <v>-160</v>
      </c>
      <c r="O1112" t="s">
        <v>631</v>
      </c>
      <c r="P1112" t="s">
        <v>820</v>
      </c>
      <c r="Q1112" t="s">
        <v>463</v>
      </c>
      <c r="R1112">
        <v>0</v>
      </c>
    </row>
    <row r="1113" spans="1:18" x14ac:dyDescent="0.3">
      <c r="A1113">
        <v>222001</v>
      </c>
      <c r="B1113" t="s">
        <v>568</v>
      </c>
      <c r="C1113" t="s">
        <v>1068</v>
      </c>
      <c r="E1113" s="452">
        <v>46082</v>
      </c>
      <c r="F1113" s="452">
        <v>46082</v>
      </c>
      <c r="G1113" t="s">
        <v>280</v>
      </c>
      <c r="H1113" t="s">
        <v>285</v>
      </c>
      <c r="I1113" t="s">
        <v>1201</v>
      </c>
      <c r="J1113">
        <v>-60</v>
      </c>
      <c r="K1113">
        <v>-60</v>
      </c>
      <c r="O1113" t="s">
        <v>631</v>
      </c>
      <c r="P1113" t="s">
        <v>820</v>
      </c>
      <c r="Q1113" t="s">
        <v>463</v>
      </c>
      <c r="R1113">
        <v>0</v>
      </c>
    </row>
    <row r="1114" spans="1:18" x14ac:dyDescent="0.3">
      <c r="A1114">
        <v>217693</v>
      </c>
      <c r="B1114" t="s">
        <v>568</v>
      </c>
      <c r="C1114" t="s">
        <v>1629</v>
      </c>
      <c r="D1114" t="s">
        <v>1021</v>
      </c>
      <c r="E1114" s="452">
        <v>46082</v>
      </c>
      <c r="F1114" s="452">
        <v>46129</v>
      </c>
      <c r="G1114" t="s">
        <v>613</v>
      </c>
      <c r="H1114" t="s">
        <v>370</v>
      </c>
      <c r="I1114" t="s">
        <v>1630</v>
      </c>
      <c r="J1114">
        <v>-17006.75</v>
      </c>
      <c r="K1114">
        <v>-17006.75</v>
      </c>
      <c r="O1114" t="s">
        <v>631</v>
      </c>
      <c r="P1114" t="s">
        <v>1004</v>
      </c>
      <c r="Q1114" t="s">
        <v>463</v>
      </c>
      <c r="R1114">
        <v>0</v>
      </c>
    </row>
    <row r="1115" spans="1:18" x14ac:dyDescent="0.3">
      <c r="A1115">
        <v>223027</v>
      </c>
      <c r="B1115" t="s">
        <v>568</v>
      </c>
      <c r="C1115" t="s">
        <v>676</v>
      </c>
      <c r="D1115" t="s">
        <v>1631</v>
      </c>
      <c r="E1115" s="452">
        <v>46082</v>
      </c>
      <c r="F1115" s="452">
        <v>46137</v>
      </c>
      <c r="G1115" t="s">
        <v>705</v>
      </c>
      <c r="H1115" t="s">
        <v>114</v>
      </c>
      <c r="I1115" t="s">
        <v>1632</v>
      </c>
      <c r="J1115">
        <v>-3050</v>
      </c>
      <c r="K1115">
        <v>-3050</v>
      </c>
      <c r="M1115" t="s">
        <v>680</v>
      </c>
      <c r="N1115" t="s">
        <v>134</v>
      </c>
      <c r="O1115" t="s">
        <v>631</v>
      </c>
      <c r="P1115" t="s">
        <v>820</v>
      </c>
      <c r="Q1115" t="s">
        <v>463</v>
      </c>
      <c r="R1115">
        <v>0</v>
      </c>
    </row>
    <row r="1116" spans="1:18" x14ac:dyDescent="0.3">
      <c r="A1116">
        <v>221496</v>
      </c>
      <c r="B1116" t="s">
        <v>568</v>
      </c>
      <c r="C1116" t="s">
        <v>853</v>
      </c>
      <c r="D1116" t="s">
        <v>1633</v>
      </c>
      <c r="E1116" s="452">
        <v>46082</v>
      </c>
      <c r="F1116" s="452">
        <v>46117</v>
      </c>
      <c r="G1116" t="s">
        <v>931</v>
      </c>
      <c r="H1116" t="s">
        <v>932</v>
      </c>
      <c r="I1116" t="s">
        <v>1634</v>
      </c>
      <c r="J1116">
        <v>-41.96</v>
      </c>
      <c r="K1116">
        <v>-41.96</v>
      </c>
      <c r="O1116" t="s">
        <v>631</v>
      </c>
      <c r="P1116" t="s">
        <v>820</v>
      </c>
      <c r="Q1116" t="s">
        <v>463</v>
      </c>
      <c r="R1116">
        <v>0</v>
      </c>
    </row>
    <row r="1117" spans="1:18" x14ac:dyDescent="0.3">
      <c r="A1117">
        <v>221529</v>
      </c>
      <c r="B1117" t="s">
        <v>568</v>
      </c>
      <c r="C1117" t="s">
        <v>853</v>
      </c>
      <c r="D1117" t="s">
        <v>1635</v>
      </c>
      <c r="E1117" s="452">
        <v>46082</v>
      </c>
      <c r="F1117" s="452">
        <v>46117</v>
      </c>
      <c r="G1117" t="s">
        <v>931</v>
      </c>
      <c r="H1117" t="s">
        <v>932</v>
      </c>
      <c r="I1117" t="s">
        <v>1636</v>
      </c>
      <c r="J1117">
        <v>-28.54</v>
      </c>
      <c r="K1117">
        <v>-28.54</v>
      </c>
      <c r="O1117" t="s">
        <v>631</v>
      </c>
      <c r="P1117" t="s">
        <v>820</v>
      </c>
      <c r="Q1117" t="s">
        <v>463</v>
      </c>
      <c r="R1117">
        <v>0</v>
      </c>
    </row>
    <row r="1118" spans="1:18" x14ac:dyDescent="0.3">
      <c r="A1118">
        <v>221527</v>
      </c>
      <c r="B1118" t="s">
        <v>568</v>
      </c>
      <c r="C1118" t="s">
        <v>853</v>
      </c>
      <c r="D1118" t="s">
        <v>1637</v>
      </c>
      <c r="E1118" s="452">
        <v>46082</v>
      </c>
      <c r="F1118" s="452">
        <v>46117</v>
      </c>
      <c r="G1118" t="s">
        <v>265</v>
      </c>
      <c r="H1118" t="s">
        <v>270</v>
      </c>
      <c r="I1118" t="s">
        <v>1638</v>
      </c>
      <c r="J1118">
        <v>-30.8</v>
      </c>
      <c r="K1118">
        <v>-30.8</v>
      </c>
      <c r="O1118" t="s">
        <v>631</v>
      </c>
      <c r="P1118" t="s">
        <v>820</v>
      </c>
      <c r="Q1118" t="s">
        <v>463</v>
      </c>
      <c r="R1118">
        <v>0</v>
      </c>
    </row>
    <row r="1119" spans="1:18" x14ac:dyDescent="0.3">
      <c r="A1119">
        <v>221526</v>
      </c>
      <c r="B1119" t="s">
        <v>568</v>
      </c>
      <c r="C1119" t="s">
        <v>853</v>
      </c>
      <c r="D1119" t="s">
        <v>1639</v>
      </c>
      <c r="E1119" s="452">
        <v>46082</v>
      </c>
      <c r="F1119" s="452">
        <v>46117</v>
      </c>
      <c r="G1119" t="s">
        <v>931</v>
      </c>
      <c r="H1119" t="s">
        <v>932</v>
      </c>
      <c r="I1119" t="s">
        <v>1618</v>
      </c>
      <c r="J1119">
        <v>-47.67</v>
      </c>
      <c r="K1119">
        <v>-47.67</v>
      </c>
      <c r="O1119" t="s">
        <v>631</v>
      </c>
      <c r="P1119" t="s">
        <v>820</v>
      </c>
      <c r="Q1119" t="s">
        <v>463</v>
      </c>
      <c r="R1119">
        <v>0</v>
      </c>
    </row>
    <row r="1120" spans="1:18" x14ac:dyDescent="0.3">
      <c r="A1120">
        <v>221525</v>
      </c>
      <c r="B1120" t="s">
        <v>568</v>
      </c>
      <c r="C1120" t="s">
        <v>853</v>
      </c>
      <c r="D1120" t="s">
        <v>1640</v>
      </c>
      <c r="E1120" s="452">
        <v>46082</v>
      </c>
      <c r="F1120" s="452">
        <v>46117</v>
      </c>
      <c r="G1120" t="s">
        <v>683</v>
      </c>
      <c r="H1120" t="s">
        <v>292</v>
      </c>
      <c r="I1120" t="s">
        <v>1614</v>
      </c>
      <c r="J1120">
        <v>-75</v>
      </c>
      <c r="K1120">
        <v>-75</v>
      </c>
      <c r="O1120" t="s">
        <v>631</v>
      </c>
      <c r="P1120" t="s">
        <v>820</v>
      </c>
      <c r="Q1120" t="s">
        <v>463</v>
      </c>
      <c r="R1120">
        <v>0</v>
      </c>
    </row>
    <row r="1121" spans="1:18" x14ac:dyDescent="0.3">
      <c r="A1121">
        <v>221524</v>
      </c>
      <c r="B1121" t="s">
        <v>568</v>
      </c>
      <c r="C1121" t="s">
        <v>853</v>
      </c>
      <c r="D1121" t="s">
        <v>1641</v>
      </c>
      <c r="E1121" s="452">
        <v>46082</v>
      </c>
      <c r="F1121" s="452">
        <v>46117</v>
      </c>
      <c r="G1121" t="s">
        <v>931</v>
      </c>
      <c r="H1121" t="s">
        <v>932</v>
      </c>
      <c r="I1121" t="s">
        <v>1642</v>
      </c>
      <c r="J1121">
        <v>-15.28</v>
      </c>
      <c r="K1121">
        <v>-15.28</v>
      </c>
      <c r="O1121" t="s">
        <v>631</v>
      </c>
      <c r="P1121" t="s">
        <v>820</v>
      </c>
      <c r="Q1121" t="s">
        <v>463</v>
      </c>
      <c r="R1121">
        <v>0</v>
      </c>
    </row>
    <row r="1122" spans="1:18" x14ac:dyDescent="0.3">
      <c r="A1122">
        <v>221523</v>
      </c>
      <c r="B1122" t="s">
        <v>568</v>
      </c>
      <c r="C1122" t="s">
        <v>853</v>
      </c>
      <c r="D1122" t="s">
        <v>1643</v>
      </c>
      <c r="E1122" s="452">
        <v>46082</v>
      </c>
      <c r="F1122" s="452">
        <v>46117</v>
      </c>
      <c r="G1122" t="s">
        <v>931</v>
      </c>
      <c r="H1122" t="s">
        <v>932</v>
      </c>
      <c r="I1122" t="s">
        <v>1644</v>
      </c>
      <c r="J1122">
        <v>-9.08</v>
      </c>
      <c r="K1122">
        <v>-9.08</v>
      </c>
      <c r="O1122" t="s">
        <v>631</v>
      </c>
      <c r="P1122" t="s">
        <v>820</v>
      </c>
      <c r="Q1122" t="s">
        <v>463</v>
      </c>
      <c r="R1122">
        <v>0</v>
      </c>
    </row>
    <row r="1123" spans="1:18" x14ac:dyDescent="0.3">
      <c r="A1123">
        <v>221522</v>
      </c>
      <c r="B1123" t="s">
        <v>568</v>
      </c>
      <c r="C1123" t="s">
        <v>853</v>
      </c>
      <c r="D1123" t="s">
        <v>1645</v>
      </c>
      <c r="E1123" s="452">
        <v>46082</v>
      </c>
      <c r="F1123" s="452">
        <v>46117</v>
      </c>
      <c r="G1123" t="s">
        <v>931</v>
      </c>
      <c r="H1123" t="s">
        <v>932</v>
      </c>
      <c r="I1123" t="s">
        <v>1646</v>
      </c>
      <c r="J1123">
        <v>-52.56</v>
      </c>
      <c r="K1123">
        <v>-52.56</v>
      </c>
      <c r="O1123" t="s">
        <v>631</v>
      </c>
      <c r="P1123" t="s">
        <v>820</v>
      </c>
      <c r="Q1123" t="s">
        <v>463</v>
      </c>
      <c r="R1123">
        <v>0</v>
      </c>
    </row>
    <row r="1124" spans="1:18" x14ac:dyDescent="0.3">
      <c r="A1124">
        <v>221521</v>
      </c>
      <c r="B1124" t="s">
        <v>568</v>
      </c>
      <c r="C1124" t="s">
        <v>853</v>
      </c>
      <c r="D1124" t="s">
        <v>1647</v>
      </c>
      <c r="E1124" s="452">
        <v>46082</v>
      </c>
      <c r="F1124" s="452">
        <v>46117</v>
      </c>
      <c r="G1124" t="s">
        <v>931</v>
      </c>
      <c r="H1124" t="s">
        <v>932</v>
      </c>
      <c r="I1124" t="s">
        <v>1636</v>
      </c>
      <c r="J1124">
        <v>-47.66</v>
      </c>
      <c r="K1124">
        <v>-47.66</v>
      </c>
      <c r="O1124" t="s">
        <v>631</v>
      </c>
      <c r="P1124" t="s">
        <v>820</v>
      </c>
      <c r="Q1124" t="s">
        <v>463</v>
      </c>
      <c r="R1124">
        <v>0</v>
      </c>
    </row>
    <row r="1125" spans="1:18" x14ac:dyDescent="0.3">
      <c r="A1125">
        <v>221519</v>
      </c>
      <c r="B1125" t="s">
        <v>568</v>
      </c>
      <c r="C1125" t="s">
        <v>853</v>
      </c>
      <c r="D1125" t="s">
        <v>1648</v>
      </c>
      <c r="E1125" s="452">
        <v>46082</v>
      </c>
      <c r="F1125" s="452">
        <v>46117</v>
      </c>
      <c r="G1125" t="s">
        <v>931</v>
      </c>
      <c r="H1125" t="s">
        <v>932</v>
      </c>
      <c r="I1125" t="s">
        <v>1646</v>
      </c>
      <c r="J1125">
        <v>-30.9</v>
      </c>
      <c r="K1125">
        <v>-30.9</v>
      </c>
      <c r="O1125" t="s">
        <v>631</v>
      </c>
      <c r="P1125" t="s">
        <v>820</v>
      </c>
      <c r="Q1125" t="s">
        <v>463</v>
      </c>
      <c r="R1125">
        <v>0</v>
      </c>
    </row>
    <row r="1126" spans="1:18" x14ac:dyDescent="0.3">
      <c r="A1126">
        <v>221518</v>
      </c>
      <c r="B1126" t="s">
        <v>568</v>
      </c>
      <c r="C1126" t="s">
        <v>853</v>
      </c>
      <c r="D1126" t="s">
        <v>1649</v>
      </c>
      <c r="E1126" s="452">
        <v>46082</v>
      </c>
      <c r="F1126" s="452">
        <v>46117</v>
      </c>
      <c r="G1126" t="s">
        <v>931</v>
      </c>
      <c r="H1126" t="s">
        <v>932</v>
      </c>
      <c r="I1126" t="s">
        <v>1650</v>
      </c>
      <c r="J1126">
        <v>-39.99</v>
      </c>
      <c r="K1126">
        <v>-39.99</v>
      </c>
      <c r="O1126" t="s">
        <v>631</v>
      </c>
      <c r="P1126" t="s">
        <v>820</v>
      </c>
      <c r="Q1126" t="s">
        <v>463</v>
      </c>
      <c r="R1126">
        <v>0</v>
      </c>
    </row>
    <row r="1127" spans="1:18" x14ac:dyDescent="0.3">
      <c r="A1127">
        <v>221516</v>
      </c>
      <c r="B1127" t="s">
        <v>568</v>
      </c>
      <c r="C1127" t="s">
        <v>853</v>
      </c>
      <c r="D1127" t="s">
        <v>1651</v>
      </c>
      <c r="E1127" s="452">
        <v>46082</v>
      </c>
      <c r="F1127" s="452">
        <v>46117</v>
      </c>
      <c r="G1127" t="s">
        <v>931</v>
      </c>
      <c r="H1127" t="s">
        <v>932</v>
      </c>
      <c r="I1127" t="s">
        <v>1652</v>
      </c>
      <c r="J1127">
        <v>-60</v>
      </c>
      <c r="K1127">
        <v>-60</v>
      </c>
      <c r="O1127" t="s">
        <v>631</v>
      </c>
      <c r="P1127" t="s">
        <v>820</v>
      </c>
      <c r="Q1127" t="s">
        <v>463</v>
      </c>
      <c r="R1127">
        <v>0</v>
      </c>
    </row>
    <row r="1128" spans="1:18" x14ac:dyDescent="0.3">
      <c r="A1128">
        <v>221514</v>
      </c>
      <c r="B1128" t="s">
        <v>568</v>
      </c>
      <c r="C1128" t="s">
        <v>853</v>
      </c>
      <c r="D1128" t="s">
        <v>1653</v>
      </c>
      <c r="E1128" s="452">
        <v>46082</v>
      </c>
      <c r="F1128" s="452">
        <v>46117</v>
      </c>
      <c r="G1128" t="s">
        <v>265</v>
      </c>
      <c r="H1128" t="s">
        <v>273</v>
      </c>
      <c r="I1128" t="s">
        <v>1601</v>
      </c>
      <c r="J1128">
        <v>-39.299999999999997</v>
      </c>
      <c r="K1128">
        <v>-39.299999999999997</v>
      </c>
      <c r="O1128" t="s">
        <v>631</v>
      </c>
      <c r="P1128" t="s">
        <v>820</v>
      </c>
      <c r="Q1128" t="s">
        <v>463</v>
      </c>
      <c r="R1128">
        <v>0</v>
      </c>
    </row>
    <row r="1129" spans="1:18" x14ac:dyDescent="0.3">
      <c r="A1129">
        <v>221511</v>
      </c>
      <c r="B1129" t="s">
        <v>568</v>
      </c>
      <c r="C1129" t="s">
        <v>853</v>
      </c>
      <c r="D1129" t="s">
        <v>1654</v>
      </c>
      <c r="E1129" s="452">
        <v>46082</v>
      </c>
      <c r="F1129" s="452">
        <v>46117</v>
      </c>
      <c r="G1129" t="s">
        <v>683</v>
      </c>
      <c r="H1129" t="s">
        <v>292</v>
      </c>
      <c r="I1129" t="s">
        <v>1614</v>
      </c>
      <c r="J1129">
        <v>-60</v>
      </c>
      <c r="K1129">
        <v>-60</v>
      </c>
      <c r="O1129" t="s">
        <v>631</v>
      </c>
      <c r="P1129" t="s">
        <v>820</v>
      </c>
      <c r="Q1129" t="s">
        <v>463</v>
      </c>
      <c r="R1129">
        <v>0</v>
      </c>
    </row>
    <row r="1130" spans="1:18" x14ac:dyDescent="0.3">
      <c r="A1130">
        <v>221494</v>
      </c>
      <c r="B1130" t="s">
        <v>568</v>
      </c>
      <c r="C1130" t="s">
        <v>853</v>
      </c>
      <c r="D1130" t="s">
        <v>1655</v>
      </c>
      <c r="E1130" s="452">
        <v>46082</v>
      </c>
      <c r="F1130" s="452">
        <v>46117</v>
      </c>
      <c r="G1130" t="s">
        <v>931</v>
      </c>
      <c r="H1130" t="s">
        <v>932</v>
      </c>
      <c r="I1130" t="s">
        <v>1656</v>
      </c>
      <c r="J1130">
        <v>-31.87</v>
      </c>
      <c r="K1130">
        <v>-31.87</v>
      </c>
      <c r="O1130" t="s">
        <v>631</v>
      </c>
      <c r="P1130" t="s">
        <v>820</v>
      </c>
      <c r="Q1130" t="s">
        <v>463</v>
      </c>
      <c r="R1130">
        <v>0</v>
      </c>
    </row>
    <row r="1131" spans="1:18" x14ac:dyDescent="0.3">
      <c r="A1131">
        <v>221497</v>
      </c>
      <c r="B1131" t="s">
        <v>568</v>
      </c>
      <c r="C1131" t="s">
        <v>853</v>
      </c>
      <c r="D1131" t="s">
        <v>1657</v>
      </c>
      <c r="E1131" s="452">
        <v>46082</v>
      </c>
      <c r="F1131" s="452">
        <v>46117</v>
      </c>
      <c r="G1131" t="s">
        <v>931</v>
      </c>
      <c r="H1131" t="s">
        <v>932</v>
      </c>
      <c r="I1131" t="s">
        <v>1658</v>
      </c>
      <c r="J1131">
        <v>-106.42</v>
      </c>
      <c r="K1131">
        <v>-16.420000000000002</v>
      </c>
      <c r="O1131" t="s">
        <v>631</v>
      </c>
      <c r="P1131" t="s">
        <v>820</v>
      </c>
      <c r="Q1131" t="s">
        <v>463</v>
      </c>
      <c r="R1131">
        <v>0</v>
      </c>
    </row>
    <row r="1132" spans="1:18" x14ac:dyDescent="0.3">
      <c r="A1132">
        <v>221498</v>
      </c>
      <c r="B1132" t="s">
        <v>568</v>
      </c>
      <c r="C1132" t="s">
        <v>853</v>
      </c>
      <c r="D1132" t="s">
        <v>1659</v>
      </c>
      <c r="E1132" s="452">
        <v>46082</v>
      </c>
      <c r="F1132" s="452">
        <v>46117</v>
      </c>
      <c r="G1132" t="s">
        <v>931</v>
      </c>
      <c r="H1132" t="s">
        <v>932</v>
      </c>
      <c r="I1132" t="s">
        <v>1660</v>
      </c>
      <c r="J1132">
        <v>-49.6</v>
      </c>
      <c r="K1132">
        <v>-49.6</v>
      </c>
      <c r="O1132" t="s">
        <v>631</v>
      </c>
      <c r="P1132" t="s">
        <v>820</v>
      </c>
      <c r="Q1132" t="s">
        <v>463</v>
      </c>
      <c r="R1132">
        <v>0</v>
      </c>
    </row>
    <row r="1133" spans="1:18" x14ac:dyDescent="0.3">
      <c r="A1133">
        <v>221499</v>
      </c>
      <c r="B1133" t="s">
        <v>568</v>
      </c>
      <c r="C1133" t="s">
        <v>853</v>
      </c>
      <c r="D1133" t="s">
        <v>1661</v>
      </c>
      <c r="E1133" s="452">
        <v>46082</v>
      </c>
      <c r="F1133" s="452">
        <v>46117</v>
      </c>
      <c r="G1133" t="s">
        <v>931</v>
      </c>
      <c r="H1133" t="s">
        <v>932</v>
      </c>
      <c r="I1133" t="s">
        <v>1662</v>
      </c>
      <c r="J1133">
        <v>-44.34</v>
      </c>
      <c r="K1133">
        <v>-44.34</v>
      </c>
      <c r="O1133" t="s">
        <v>631</v>
      </c>
      <c r="P1133" t="s">
        <v>820</v>
      </c>
      <c r="Q1133" t="s">
        <v>463</v>
      </c>
      <c r="R1133">
        <v>0</v>
      </c>
    </row>
    <row r="1134" spans="1:18" x14ac:dyDescent="0.3">
      <c r="A1134">
        <v>221501</v>
      </c>
      <c r="B1134" t="s">
        <v>568</v>
      </c>
      <c r="C1134" t="s">
        <v>853</v>
      </c>
      <c r="D1134" t="s">
        <v>1663</v>
      </c>
      <c r="E1134" s="452">
        <v>46082</v>
      </c>
      <c r="F1134" s="452">
        <v>46117</v>
      </c>
      <c r="G1134" t="s">
        <v>683</v>
      </c>
      <c r="H1134" t="s">
        <v>290</v>
      </c>
      <c r="I1134" t="s">
        <v>1664</v>
      </c>
      <c r="J1134">
        <v>-95</v>
      </c>
      <c r="K1134">
        <v>-95</v>
      </c>
      <c r="O1134" t="s">
        <v>631</v>
      </c>
      <c r="P1134" t="s">
        <v>820</v>
      </c>
      <c r="Q1134" t="s">
        <v>463</v>
      </c>
      <c r="R1134">
        <v>0</v>
      </c>
    </row>
    <row r="1135" spans="1:18" x14ac:dyDescent="0.3">
      <c r="A1135">
        <v>221502</v>
      </c>
      <c r="B1135" t="s">
        <v>568</v>
      </c>
      <c r="C1135" t="s">
        <v>853</v>
      </c>
      <c r="D1135" t="s">
        <v>1665</v>
      </c>
      <c r="E1135" s="452">
        <v>46082</v>
      </c>
      <c r="F1135" s="452">
        <v>46117</v>
      </c>
      <c r="G1135" t="s">
        <v>265</v>
      </c>
      <c r="H1135" t="s">
        <v>273</v>
      </c>
      <c r="I1135" t="s">
        <v>1666</v>
      </c>
      <c r="J1135">
        <v>-136.43</v>
      </c>
      <c r="K1135">
        <v>-136.43</v>
      </c>
      <c r="O1135" t="s">
        <v>631</v>
      </c>
      <c r="P1135" t="s">
        <v>820</v>
      </c>
      <c r="Q1135" t="s">
        <v>463</v>
      </c>
      <c r="R1135">
        <v>0</v>
      </c>
    </row>
    <row r="1136" spans="1:18" x14ac:dyDescent="0.3">
      <c r="A1136">
        <v>221503</v>
      </c>
      <c r="B1136" t="s">
        <v>568</v>
      </c>
      <c r="C1136" t="s">
        <v>853</v>
      </c>
      <c r="D1136" t="s">
        <v>1667</v>
      </c>
      <c r="E1136" s="452">
        <v>46082</v>
      </c>
      <c r="F1136" s="452">
        <v>46117</v>
      </c>
      <c r="G1136" t="s">
        <v>931</v>
      </c>
      <c r="H1136" t="s">
        <v>932</v>
      </c>
      <c r="I1136" t="s">
        <v>1646</v>
      </c>
      <c r="J1136">
        <v>-47.56</v>
      </c>
      <c r="K1136">
        <v>-47.56</v>
      </c>
      <c r="O1136" t="s">
        <v>631</v>
      </c>
      <c r="P1136" t="s">
        <v>820</v>
      </c>
      <c r="Q1136" t="s">
        <v>463</v>
      </c>
      <c r="R1136">
        <v>0</v>
      </c>
    </row>
    <row r="1137" spans="1:18" x14ac:dyDescent="0.3">
      <c r="A1137">
        <v>221504</v>
      </c>
      <c r="B1137" t="s">
        <v>568</v>
      </c>
      <c r="C1137" t="s">
        <v>853</v>
      </c>
      <c r="D1137" t="s">
        <v>1668</v>
      </c>
      <c r="E1137" s="452">
        <v>46082</v>
      </c>
      <c r="F1137" s="452">
        <v>46117</v>
      </c>
      <c r="G1137" t="s">
        <v>931</v>
      </c>
      <c r="H1137" t="s">
        <v>932</v>
      </c>
      <c r="I1137" t="s">
        <v>1669</v>
      </c>
      <c r="J1137">
        <v>-14.1</v>
      </c>
      <c r="K1137">
        <v>-14.1</v>
      </c>
      <c r="O1137" t="s">
        <v>631</v>
      </c>
      <c r="P1137" t="s">
        <v>820</v>
      </c>
      <c r="Q1137" t="s">
        <v>463</v>
      </c>
      <c r="R1137">
        <v>0</v>
      </c>
    </row>
    <row r="1138" spans="1:18" x14ac:dyDescent="0.3">
      <c r="A1138">
        <v>221506</v>
      </c>
      <c r="B1138" t="s">
        <v>568</v>
      </c>
      <c r="C1138" t="s">
        <v>853</v>
      </c>
      <c r="D1138" t="s">
        <v>1670</v>
      </c>
      <c r="E1138" s="452">
        <v>46082</v>
      </c>
      <c r="F1138" s="452">
        <v>46117</v>
      </c>
      <c r="G1138" t="s">
        <v>931</v>
      </c>
      <c r="H1138" t="s">
        <v>932</v>
      </c>
      <c r="I1138" t="s">
        <v>1671</v>
      </c>
      <c r="J1138">
        <v>-34.89</v>
      </c>
      <c r="K1138">
        <v>-34.89</v>
      </c>
      <c r="O1138" t="s">
        <v>631</v>
      </c>
      <c r="P1138" t="s">
        <v>820</v>
      </c>
      <c r="Q1138" t="s">
        <v>463</v>
      </c>
      <c r="R1138">
        <v>0</v>
      </c>
    </row>
    <row r="1139" spans="1:18" x14ac:dyDescent="0.3">
      <c r="A1139">
        <v>221508</v>
      </c>
      <c r="B1139" t="s">
        <v>568</v>
      </c>
      <c r="C1139" t="s">
        <v>853</v>
      </c>
      <c r="D1139" t="s">
        <v>1672</v>
      </c>
      <c r="E1139" s="452">
        <v>46082</v>
      </c>
      <c r="F1139" s="452">
        <v>46117</v>
      </c>
      <c r="G1139" t="s">
        <v>931</v>
      </c>
      <c r="H1139" t="s">
        <v>932</v>
      </c>
      <c r="I1139" t="s">
        <v>1673</v>
      </c>
      <c r="J1139">
        <v>-22.5</v>
      </c>
      <c r="K1139">
        <v>-22.5</v>
      </c>
      <c r="O1139" t="s">
        <v>631</v>
      </c>
      <c r="P1139" t="s">
        <v>820</v>
      </c>
      <c r="Q1139" t="s">
        <v>463</v>
      </c>
      <c r="R1139">
        <v>0</v>
      </c>
    </row>
    <row r="1140" spans="1:18" x14ac:dyDescent="0.3">
      <c r="A1140">
        <v>221509</v>
      </c>
      <c r="B1140" t="s">
        <v>568</v>
      </c>
      <c r="C1140" t="s">
        <v>853</v>
      </c>
      <c r="D1140" t="s">
        <v>1674</v>
      </c>
      <c r="E1140" s="452">
        <v>46082</v>
      </c>
      <c r="F1140" s="452">
        <v>46117</v>
      </c>
      <c r="G1140" t="s">
        <v>931</v>
      </c>
      <c r="H1140" t="s">
        <v>932</v>
      </c>
      <c r="I1140" t="s">
        <v>1609</v>
      </c>
      <c r="J1140">
        <v>-42.69</v>
      </c>
      <c r="K1140">
        <v>-42.69</v>
      </c>
      <c r="O1140" t="s">
        <v>631</v>
      </c>
      <c r="P1140" t="s">
        <v>820</v>
      </c>
      <c r="Q1140" t="s">
        <v>463</v>
      </c>
      <c r="R1140">
        <v>0</v>
      </c>
    </row>
    <row r="1141" spans="1:18" x14ac:dyDescent="0.3">
      <c r="A1141">
        <v>221513</v>
      </c>
      <c r="B1141" t="s">
        <v>568</v>
      </c>
      <c r="C1141" t="s">
        <v>853</v>
      </c>
      <c r="D1141" t="s">
        <v>1675</v>
      </c>
      <c r="E1141" s="452">
        <v>46082</v>
      </c>
      <c r="F1141" s="452">
        <v>46117</v>
      </c>
      <c r="G1141" t="s">
        <v>931</v>
      </c>
      <c r="H1141" t="s">
        <v>932</v>
      </c>
      <c r="I1141" t="s">
        <v>1646</v>
      </c>
      <c r="J1141">
        <v>-62.94</v>
      </c>
      <c r="K1141">
        <v>-62.94</v>
      </c>
      <c r="O1141" t="s">
        <v>631</v>
      </c>
      <c r="P1141" t="s">
        <v>820</v>
      </c>
      <c r="Q1141" t="s">
        <v>463</v>
      </c>
      <c r="R1141">
        <v>0</v>
      </c>
    </row>
    <row r="1142" spans="1:18" x14ac:dyDescent="0.3">
      <c r="A1142">
        <v>215617</v>
      </c>
      <c r="B1142" t="s">
        <v>568</v>
      </c>
      <c r="C1142" t="s">
        <v>860</v>
      </c>
      <c r="E1142" s="452">
        <v>46081</v>
      </c>
      <c r="F1142" s="452">
        <v>46081</v>
      </c>
      <c r="G1142" t="s">
        <v>857</v>
      </c>
      <c r="H1142" t="s">
        <v>118</v>
      </c>
      <c r="J1142">
        <v>-41.81</v>
      </c>
      <c r="K1142">
        <v>-41.81</v>
      </c>
      <c r="O1142" t="s">
        <v>631</v>
      </c>
      <c r="P1142" t="s">
        <v>820</v>
      </c>
      <c r="Q1142" t="s">
        <v>462</v>
      </c>
      <c r="R1142">
        <v>0</v>
      </c>
    </row>
    <row r="1143" spans="1:18" x14ac:dyDescent="0.3">
      <c r="A1143">
        <v>211753</v>
      </c>
      <c r="B1143" t="s">
        <v>568</v>
      </c>
      <c r="C1143" t="s">
        <v>729</v>
      </c>
      <c r="D1143" t="s">
        <v>1676</v>
      </c>
      <c r="E1143" s="452">
        <v>46081</v>
      </c>
      <c r="F1143" s="452">
        <v>46086</v>
      </c>
      <c r="G1143" t="s">
        <v>280</v>
      </c>
      <c r="H1143" t="s">
        <v>287</v>
      </c>
      <c r="I1143" t="s">
        <v>1482</v>
      </c>
      <c r="J1143">
        <v>-611.71</v>
      </c>
      <c r="K1143">
        <v>0</v>
      </c>
      <c r="O1143" t="s">
        <v>631</v>
      </c>
      <c r="P1143" t="s">
        <v>820</v>
      </c>
      <c r="Q1143" t="s">
        <v>462</v>
      </c>
      <c r="R1143">
        <v>0</v>
      </c>
    </row>
    <row r="1144" spans="1:18" x14ac:dyDescent="0.3">
      <c r="A1144">
        <v>190622</v>
      </c>
      <c r="B1144" t="s">
        <v>568</v>
      </c>
      <c r="C1144" t="s">
        <v>50</v>
      </c>
      <c r="D1144" t="s">
        <v>1677</v>
      </c>
      <c r="E1144" s="452">
        <v>46081</v>
      </c>
      <c r="F1144" s="452">
        <v>46101</v>
      </c>
      <c r="G1144" t="s">
        <v>694</v>
      </c>
      <c r="H1144" t="s">
        <v>50</v>
      </c>
      <c r="I1144" t="s">
        <v>695</v>
      </c>
      <c r="J1144">
        <v>-10823.36</v>
      </c>
      <c r="K1144">
        <v>-10823.36</v>
      </c>
      <c r="O1144" t="s">
        <v>631</v>
      </c>
      <c r="Q1144" t="s">
        <v>462</v>
      </c>
      <c r="R1144">
        <v>0</v>
      </c>
    </row>
    <row r="1145" spans="1:18" x14ac:dyDescent="0.3">
      <c r="A1145">
        <v>215459</v>
      </c>
      <c r="B1145" t="s">
        <v>568</v>
      </c>
      <c r="C1145" t="s">
        <v>1066</v>
      </c>
      <c r="E1145" s="452">
        <v>46081</v>
      </c>
      <c r="F1145" s="452">
        <v>46081</v>
      </c>
      <c r="G1145" t="s">
        <v>857</v>
      </c>
      <c r="H1145" t="s">
        <v>120</v>
      </c>
      <c r="I1145" t="s">
        <v>1678</v>
      </c>
      <c r="J1145">
        <v>-665.54</v>
      </c>
      <c r="K1145">
        <v>-665.54</v>
      </c>
      <c r="O1145" t="s">
        <v>631</v>
      </c>
      <c r="P1145" t="s">
        <v>820</v>
      </c>
      <c r="Q1145" t="s">
        <v>462</v>
      </c>
      <c r="R1145">
        <v>0</v>
      </c>
    </row>
    <row r="1146" spans="1:18" x14ac:dyDescent="0.3">
      <c r="A1146">
        <v>215515</v>
      </c>
      <c r="B1146" t="s">
        <v>568</v>
      </c>
      <c r="C1146" t="s">
        <v>1483</v>
      </c>
      <c r="E1146" s="452">
        <v>46081</v>
      </c>
      <c r="F1146" s="452">
        <v>46081</v>
      </c>
      <c r="G1146" t="s">
        <v>857</v>
      </c>
      <c r="H1146" t="s">
        <v>120</v>
      </c>
      <c r="I1146" t="s">
        <v>1678</v>
      </c>
      <c r="J1146">
        <v>-379.96</v>
      </c>
      <c r="K1146">
        <v>-379.96</v>
      </c>
      <c r="O1146" t="s">
        <v>631</v>
      </c>
      <c r="P1146" t="s">
        <v>820</v>
      </c>
      <c r="Q1146" t="s">
        <v>462</v>
      </c>
      <c r="R1146">
        <v>0</v>
      </c>
    </row>
    <row r="1147" spans="1:18" x14ac:dyDescent="0.3">
      <c r="A1147">
        <v>215562</v>
      </c>
      <c r="B1147" t="s">
        <v>568</v>
      </c>
      <c r="C1147" t="s">
        <v>1483</v>
      </c>
      <c r="E1147" s="452">
        <v>46081</v>
      </c>
      <c r="F1147" s="452">
        <v>46081</v>
      </c>
      <c r="G1147" t="s">
        <v>857</v>
      </c>
      <c r="H1147" t="s">
        <v>120</v>
      </c>
      <c r="I1147" t="s">
        <v>1679</v>
      </c>
      <c r="J1147">
        <v>-164.52</v>
      </c>
      <c r="K1147">
        <v>-164.52</v>
      </c>
      <c r="O1147" t="s">
        <v>631</v>
      </c>
      <c r="P1147" t="s">
        <v>820</v>
      </c>
      <c r="Q1147" t="s">
        <v>462</v>
      </c>
      <c r="R1147">
        <v>0</v>
      </c>
    </row>
    <row r="1148" spans="1:18" x14ac:dyDescent="0.3">
      <c r="A1148">
        <v>215614</v>
      </c>
      <c r="B1148" t="s">
        <v>568</v>
      </c>
      <c r="C1148" t="s">
        <v>859</v>
      </c>
      <c r="E1148" s="452">
        <v>46081</v>
      </c>
      <c r="F1148" s="452">
        <v>46081</v>
      </c>
      <c r="G1148" t="s">
        <v>857</v>
      </c>
      <c r="H1148" t="s">
        <v>118</v>
      </c>
      <c r="J1148">
        <v>-56.11</v>
      </c>
      <c r="K1148">
        <v>-56.11</v>
      </c>
      <c r="O1148" t="s">
        <v>631</v>
      </c>
      <c r="P1148" t="s">
        <v>820</v>
      </c>
      <c r="Q1148" t="s">
        <v>462</v>
      </c>
      <c r="R1148">
        <v>0</v>
      </c>
    </row>
    <row r="1149" spans="1:18" x14ac:dyDescent="0.3">
      <c r="A1149">
        <v>215615</v>
      </c>
      <c r="B1149" t="s">
        <v>568</v>
      </c>
      <c r="C1149" t="s">
        <v>858</v>
      </c>
      <c r="E1149" s="452">
        <v>46081</v>
      </c>
      <c r="F1149" s="452">
        <v>46081</v>
      </c>
      <c r="G1149" t="s">
        <v>857</v>
      </c>
      <c r="H1149" t="s">
        <v>118</v>
      </c>
      <c r="J1149">
        <v>-44.12</v>
      </c>
      <c r="K1149">
        <v>-44.12</v>
      </c>
      <c r="O1149" t="s">
        <v>631</v>
      </c>
      <c r="P1149" t="s">
        <v>820</v>
      </c>
      <c r="Q1149" t="s">
        <v>462</v>
      </c>
      <c r="R1149">
        <v>0</v>
      </c>
    </row>
    <row r="1150" spans="1:18" x14ac:dyDescent="0.3">
      <c r="A1150">
        <v>215616</v>
      </c>
      <c r="B1150" t="s">
        <v>568</v>
      </c>
      <c r="C1150" t="s">
        <v>856</v>
      </c>
      <c r="E1150" s="452">
        <v>46081</v>
      </c>
      <c r="F1150" s="452">
        <v>46081</v>
      </c>
      <c r="G1150" t="s">
        <v>857</v>
      </c>
      <c r="H1150" t="s">
        <v>118</v>
      </c>
      <c r="J1150">
        <v>-96.51</v>
      </c>
      <c r="K1150">
        <v>-96.51</v>
      </c>
      <c r="O1150" t="s">
        <v>631</v>
      </c>
      <c r="P1150" t="s">
        <v>820</v>
      </c>
      <c r="Q1150" t="s">
        <v>462</v>
      </c>
      <c r="R1150">
        <v>0</v>
      </c>
    </row>
    <row r="1151" spans="1:18" x14ac:dyDescent="0.3">
      <c r="A1151">
        <v>192883</v>
      </c>
      <c r="B1151" t="s">
        <v>568</v>
      </c>
      <c r="C1151" t="s">
        <v>692</v>
      </c>
      <c r="D1151" t="s">
        <v>1680</v>
      </c>
      <c r="E1151" s="452">
        <v>46081</v>
      </c>
      <c r="F1151" s="452">
        <v>46088</v>
      </c>
      <c r="G1151" t="s">
        <v>309</v>
      </c>
      <c r="H1151" t="s">
        <v>317</v>
      </c>
      <c r="I1151" t="s">
        <v>1681</v>
      </c>
      <c r="J1151">
        <v>-760</v>
      </c>
      <c r="K1151">
        <v>-760</v>
      </c>
      <c r="O1151" t="s">
        <v>631</v>
      </c>
      <c r="P1151" t="s">
        <v>820</v>
      </c>
      <c r="Q1151" t="s">
        <v>462</v>
      </c>
      <c r="R1151">
        <v>0</v>
      </c>
    </row>
    <row r="1152" spans="1:18" x14ac:dyDescent="0.3">
      <c r="A1152">
        <v>215734</v>
      </c>
      <c r="B1152" t="s">
        <v>568</v>
      </c>
      <c r="C1152" t="s">
        <v>1068</v>
      </c>
      <c r="E1152" s="452">
        <v>46081</v>
      </c>
      <c r="F1152" s="452">
        <v>46081</v>
      </c>
      <c r="G1152" t="s">
        <v>857</v>
      </c>
      <c r="H1152" t="s">
        <v>118</v>
      </c>
      <c r="I1152" t="s">
        <v>1682</v>
      </c>
      <c r="J1152">
        <v>-3652.62</v>
      </c>
      <c r="K1152">
        <v>-3652.62</v>
      </c>
      <c r="O1152" t="s">
        <v>631</v>
      </c>
      <c r="P1152" t="s">
        <v>820</v>
      </c>
      <c r="Q1152" t="s">
        <v>462</v>
      </c>
      <c r="R1152">
        <v>0</v>
      </c>
    </row>
    <row r="1153" spans="1:18" x14ac:dyDescent="0.3">
      <c r="A1153">
        <v>208872</v>
      </c>
      <c r="B1153" t="s">
        <v>568</v>
      </c>
      <c r="C1153" t="s">
        <v>606</v>
      </c>
      <c r="D1153" t="s">
        <v>1683</v>
      </c>
      <c r="E1153" s="452">
        <v>46081</v>
      </c>
      <c r="F1153" s="452">
        <v>46101</v>
      </c>
      <c r="G1153" t="s">
        <v>613</v>
      </c>
      <c r="H1153" t="s">
        <v>369</v>
      </c>
      <c r="I1153" t="s">
        <v>1684</v>
      </c>
      <c r="J1153">
        <v>-29465.01</v>
      </c>
      <c r="K1153">
        <v>-29465.01</v>
      </c>
      <c r="O1153" t="s">
        <v>631</v>
      </c>
      <c r="P1153" t="s">
        <v>820</v>
      </c>
      <c r="Q1153" t="s">
        <v>462</v>
      </c>
      <c r="R1153">
        <v>0</v>
      </c>
    </row>
    <row r="1154" spans="1:18" x14ac:dyDescent="0.3">
      <c r="A1154">
        <v>208513</v>
      </c>
      <c r="B1154" t="s">
        <v>568</v>
      </c>
      <c r="C1154" t="s">
        <v>699</v>
      </c>
      <c r="D1154" t="s">
        <v>1685</v>
      </c>
      <c r="E1154" s="452">
        <v>46081</v>
      </c>
      <c r="F1154" s="452">
        <v>46101</v>
      </c>
      <c r="G1154" t="s">
        <v>697</v>
      </c>
      <c r="H1154" t="s">
        <v>700</v>
      </c>
      <c r="I1154" t="s">
        <v>1686</v>
      </c>
      <c r="J1154">
        <v>-812.64</v>
      </c>
      <c r="K1154">
        <v>-812.64</v>
      </c>
      <c r="O1154" t="s">
        <v>631</v>
      </c>
      <c r="P1154" t="s">
        <v>820</v>
      </c>
      <c r="Q1154" t="s">
        <v>462</v>
      </c>
      <c r="R1154">
        <v>0</v>
      </c>
    </row>
    <row r="1155" spans="1:18" x14ac:dyDescent="0.3">
      <c r="A1155">
        <v>208293</v>
      </c>
      <c r="B1155" t="s">
        <v>568</v>
      </c>
      <c r="C1155" t="s">
        <v>430</v>
      </c>
      <c r="D1155" t="s">
        <v>1687</v>
      </c>
      <c r="E1155" s="452">
        <v>46081</v>
      </c>
      <c r="F1155" s="452">
        <v>46101</v>
      </c>
      <c r="G1155" t="s">
        <v>697</v>
      </c>
      <c r="H1155" t="s">
        <v>207</v>
      </c>
      <c r="I1155" t="s">
        <v>1688</v>
      </c>
      <c r="J1155">
        <v>-1870.93</v>
      </c>
      <c r="K1155">
        <v>-1870.93</v>
      </c>
      <c r="O1155" t="s">
        <v>631</v>
      </c>
      <c r="P1155" t="s">
        <v>820</v>
      </c>
      <c r="Q1155" t="s">
        <v>462</v>
      </c>
      <c r="R1155">
        <v>0</v>
      </c>
    </row>
    <row r="1156" spans="1:18" x14ac:dyDescent="0.3">
      <c r="A1156">
        <v>197352</v>
      </c>
      <c r="B1156" t="s">
        <v>568</v>
      </c>
      <c r="C1156" t="s">
        <v>699</v>
      </c>
      <c r="D1156" t="s">
        <v>1677</v>
      </c>
      <c r="E1156" s="452">
        <v>46081</v>
      </c>
      <c r="F1156" s="452">
        <v>46101</v>
      </c>
      <c r="G1156" t="s">
        <v>309</v>
      </c>
      <c r="H1156" t="s">
        <v>310</v>
      </c>
      <c r="I1156" t="s">
        <v>1689</v>
      </c>
      <c r="J1156">
        <v>-77.36</v>
      </c>
      <c r="K1156">
        <v>-77.36</v>
      </c>
      <c r="O1156" t="s">
        <v>631</v>
      </c>
      <c r="P1156" t="s">
        <v>820</v>
      </c>
      <c r="Q1156" t="s">
        <v>462</v>
      </c>
      <c r="R1156">
        <v>0</v>
      </c>
    </row>
    <row r="1157" spans="1:18" x14ac:dyDescent="0.3">
      <c r="A1157">
        <v>207034</v>
      </c>
      <c r="B1157" t="s">
        <v>568</v>
      </c>
      <c r="C1157" t="s">
        <v>431</v>
      </c>
      <c r="D1157" t="s">
        <v>1690</v>
      </c>
      <c r="E1157" s="452">
        <v>46081</v>
      </c>
      <c r="F1157" s="452">
        <v>46101</v>
      </c>
      <c r="G1157" t="s">
        <v>697</v>
      </c>
      <c r="H1157" t="s">
        <v>212</v>
      </c>
      <c r="I1157" t="s">
        <v>1691</v>
      </c>
      <c r="J1157">
        <v>-2295.94</v>
      </c>
      <c r="K1157">
        <v>-2295.94</v>
      </c>
      <c r="O1157" t="s">
        <v>631</v>
      </c>
      <c r="P1157" t="s">
        <v>820</v>
      </c>
      <c r="Q1157" t="s">
        <v>462</v>
      </c>
      <c r="R1157">
        <v>0</v>
      </c>
    </row>
    <row r="1158" spans="1:18" x14ac:dyDescent="0.3">
      <c r="A1158">
        <v>202396</v>
      </c>
      <c r="B1158" t="s">
        <v>568</v>
      </c>
      <c r="C1158" t="s">
        <v>696</v>
      </c>
      <c r="D1158" t="s">
        <v>1692</v>
      </c>
      <c r="E1158" s="452">
        <v>46081</v>
      </c>
      <c r="F1158" s="452">
        <v>46094</v>
      </c>
      <c r="G1158" t="s">
        <v>672</v>
      </c>
      <c r="H1158" t="s">
        <v>248</v>
      </c>
      <c r="I1158" t="s">
        <v>1693</v>
      </c>
      <c r="J1158">
        <v>-59.15</v>
      </c>
      <c r="K1158">
        <v>-59.15</v>
      </c>
      <c r="O1158" t="s">
        <v>631</v>
      </c>
      <c r="P1158" t="s">
        <v>820</v>
      </c>
      <c r="Q1158" t="s">
        <v>462</v>
      </c>
      <c r="R1158">
        <v>0</v>
      </c>
    </row>
    <row r="1159" spans="1:18" x14ac:dyDescent="0.3">
      <c r="A1159">
        <v>214309</v>
      </c>
      <c r="B1159" t="s">
        <v>568</v>
      </c>
      <c r="C1159" t="s">
        <v>945</v>
      </c>
      <c r="E1159" s="452">
        <v>46081</v>
      </c>
      <c r="F1159" s="452">
        <v>46087</v>
      </c>
      <c r="G1159" t="s">
        <v>666</v>
      </c>
      <c r="H1159" t="s">
        <v>667</v>
      </c>
      <c r="J1159">
        <v>-2862.53</v>
      </c>
      <c r="K1159">
        <v>-2862.53</v>
      </c>
      <c r="O1159" t="s">
        <v>631</v>
      </c>
      <c r="P1159" t="s">
        <v>820</v>
      </c>
      <c r="Q1159" t="s">
        <v>462</v>
      </c>
      <c r="R1159">
        <v>0</v>
      </c>
    </row>
    <row r="1160" spans="1:18" x14ac:dyDescent="0.3">
      <c r="A1160">
        <v>211767</v>
      </c>
      <c r="B1160" t="s">
        <v>568</v>
      </c>
      <c r="C1160" t="s">
        <v>823</v>
      </c>
      <c r="D1160" t="s">
        <v>1694</v>
      </c>
      <c r="E1160" s="452">
        <v>46081</v>
      </c>
      <c r="F1160" s="452">
        <v>46086</v>
      </c>
      <c r="G1160" t="s">
        <v>280</v>
      </c>
      <c r="H1160" t="s">
        <v>287</v>
      </c>
      <c r="I1160" t="s">
        <v>825</v>
      </c>
      <c r="J1160">
        <v>-23.19</v>
      </c>
      <c r="K1160">
        <v>0</v>
      </c>
      <c r="O1160" t="s">
        <v>631</v>
      </c>
      <c r="P1160" t="s">
        <v>820</v>
      </c>
      <c r="Q1160" t="s">
        <v>462</v>
      </c>
      <c r="R1160">
        <v>0</v>
      </c>
    </row>
    <row r="1161" spans="1:18" x14ac:dyDescent="0.3">
      <c r="A1161">
        <v>213980</v>
      </c>
      <c r="B1161" t="s">
        <v>568</v>
      </c>
      <c r="C1161" t="s">
        <v>812</v>
      </c>
      <c r="D1161" t="s">
        <v>1695</v>
      </c>
      <c r="E1161" s="452">
        <v>46081</v>
      </c>
      <c r="F1161" s="452">
        <v>46104</v>
      </c>
      <c r="G1161" t="s">
        <v>813</v>
      </c>
      <c r="H1161" t="s">
        <v>60</v>
      </c>
      <c r="I1161" t="s">
        <v>1696</v>
      </c>
      <c r="J1161">
        <v>-1400</v>
      </c>
      <c r="K1161">
        <v>-1400</v>
      </c>
      <c r="O1161" t="s">
        <v>631</v>
      </c>
      <c r="P1161" t="s">
        <v>820</v>
      </c>
      <c r="Q1161" t="s">
        <v>462</v>
      </c>
      <c r="R1161">
        <v>0</v>
      </c>
    </row>
    <row r="1162" spans="1:18" x14ac:dyDescent="0.3">
      <c r="A1162">
        <v>214308</v>
      </c>
      <c r="B1162" t="s">
        <v>568</v>
      </c>
      <c r="C1162" t="s">
        <v>940</v>
      </c>
      <c r="E1162" s="452">
        <v>46081</v>
      </c>
      <c r="F1162" s="452">
        <v>46087</v>
      </c>
      <c r="G1162" t="s">
        <v>666</v>
      </c>
      <c r="H1162" t="s">
        <v>667</v>
      </c>
      <c r="J1162">
        <v>-2862.53</v>
      </c>
      <c r="K1162">
        <v>-2862.53</v>
      </c>
      <c r="O1162" t="s">
        <v>631</v>
      </c>
      <c r="P1162" t="s">
        <v>820</v>
      </c>
      <c r="Q1162" t="s">
        <v>462</v>
      </c>
      <c r="R1162">
        <v>0</v>
      </c>
    </row>
    <row r="1163" spans="1:18" x14ac:dyDescent="0.3">
      <c r="A1163">
        <v>214307</v>
      </c>
      <c r="B1163" t="s">
        <v>568</v>
      </c>
      <c r="C1163" t="s">
        <v>937</v>
      </c>
      <c r="E1163" s="452">
        <v>46081</v>
      </c>
      <c r="F1163" s="452">
        <v>46087</v>
      </c>
      <c r="G1163" t="s">
        <v>666</v>
      </c>
      <c r="H1163" t="s">
        <v>667</v>
      </c>
      <c r="J1163">
        <v>-3515.96</v>
      </c>
      <c r="K1163">
        <v>-3515.96</v>
      </c>
      <c r="O1163" t="s">
        <v>631</v>
      </c>
      <c r="P1163" t="s">
        <v>820</v>
      </c>
      <c r="Q1163" t="s">
        <v>462</v>
      </c>
      <c r="R1163">
        <v>0</v>
      </c>
    </row>
    <row r="1164" spans="1:18" x14ac:dyDescent="0.3">
      <c r="A1164">
        <v>214306</v>
      </c>
      <c r="B1164" t="s">
        <v>568</v>
      </c>
      <c r="C1164" t="s">
        <v>829</v>
      </c>
      <c r="E1164" s="452">
        <v>46081</v>
      </c>
      <c r="F1164" s="452">
        <v>46087</v>
      </c>
      <c r="G1164" t="s">
        <v>666</v>
      </c>
      <c r="H1164" t="s">
        <v>667</v>
      </c>
      <c r="J1164">
        <v>-2229.0500000000002</v>
      </c>
      <c r="K1164">
        <v>-2229.0500000000002</v>
      </c>
      <c r="O1164" t="s">
        <v>631</v>
      </c>
      <c r="P1164" t="s">
        <v>820</v>
      </c>
      <c r="Q1164" t="s">
        <v>462</v>
      </c>
      <c r="R1164">
        <v>0</v>
      </c>
    </row>
    <row r="1165" spans="1:18" x14ac:dyDescent="0.3">
      <c r="A1165">
        <v>214305</v>
      </c>
      <c r="B1165" t="s">
        <v>568</v>
      </c>
      <c r="C1165" t="s">
        <v>953</v>
      </c>
      <c r="E1165" s="452">
        <v>46081</v>
      </c>
      <c r="F1165" s="452">
        <v>46087</v>
      </c>
      <c r="G1165" t="s">
        <v>666</v>
      </c>
      <c r="H1165" t="s">
        <v>667</v>
      </c>
      <c r="J1165">
        <v>-3384.7</v>
      </c>
      <c r="K1165">
        <v>-3384.7</v>
      </c>
      <c r="O1165" t="s">
        <v>631</v>
      </c>
      <c r="P1165" t="s">
        <v>820</v>
      </c>
      <c r="Q1165" t="s">
        <v>462</v>
      </c>
      <c r="R1165">
        <v>0</v>
      </c>
    </row>
    <row r="1166" spans="1:18" x14ac:dyDescent="0.3">
      <c r="A1166">
        <v>209516</v>
      </c>
      <c r="B1166" t="s">
        <v>568</v>
      </c>
      <c r="C1166" t="s">
        <v>654</v>
      </c>
      <c r="D1166" t="s">
        <v>1677</v>
      </c>
      <c r="E1166" s="452">
        <v>46081</v>
      </c>
      <c r="F1166" s="452">
        <v>46101</v>
      </c>
      <c r="G1166" t="s">
        <v>702</v>
      </c>
      <c r="H1166" t="s">
        <v>343</v>
      </c>
      <c r="J1166">
        <v>-31890.95</v>
      </c>
      <c r="K1166">
        <v>-31890.95</v>
      </c>
      <c r="O1166" t="s">
        <v>631</v>
      </c>
      <c r="Q1166" t="s">
        <v>462</v>
      </c>
      <c r="R1166">
        <v>0</v>
      </c>
    </row>
    <row r="1167" spans="1:18" x14ac:dyDescent="0.3">
      <c r="A1167">
        <v>213684</v>
      </c>
      <c r="B1167" t="s">
        <v>568</v>
      </c>
      <c r="C1167" t="s">
        <v>1068</v>
      </c>
      <c r="E1167" s="452">
        <v>46078</v>
      </c>
      <c r="F1167" s="452">
        <v>46079</v>
      </c>
      <c r="G1167" t="s">
        <v>280</v>
      </c>
      <c r="H1167" t="s">
        <v>285</v>
      </c>
      <c r="I1167" t="s">
        <v>1098</v>
      </c>
      <c r="J1167">
        <v>-90.66</v>
      </c>
      <c r="K1167">
        <v>-90.66</v>
      </c>
      <c r="O1167" t="s">
        <v>631</v>
      </c>
      <c r="P1167" t="s">
        <v>820</v>
      </c>
      <c r="Q1167" t="s">
        <v>462</v>
      </c>
      <c r="R1167">
        <v>0</v>
      </c>
    </row>
    <row r="1168" spans="1:18" x14ac:dyDescent="0.3">
      <c r="A1168">
        <v>197874</v>
      </c>
      <c r="B1168" t="s">
        <v>568</v>
      </c>
      <c r="C1168" t="s">
        <v>704</v>
      </c>
      <c r="D1168" t="s">
        <v>1697</v>
      </c>
      <c r="E1168" s="452">
        <v>46078</v>
      </c>
      <c r="F1168" s="452">
        <v>46106</v>
      </c>
      <c r="G1168" t="s">
        <v>705</v>
      </c>
      <c r="H1168" t="s">
        <v>114</v>
      </c>
      <c r="I1168" t="s">
        <v>1698</v>
      </c>
      <c r="J1168">
        <v>-11450</v>
      </c>
      <c r="K1168">
        <v>-9960</v>
      </c>
      <c r="O1168" t="s">
        <v>631</v>
      </c>
      <c r="P1168" t="s">
        <v>820</v>
      </c>
      <c r="Q1168" t="s">
        <v>462</v>
      </c>
      <c r="R1168">
        <v>0</v>
      </c>
    </row>
    <row r="1169" spans="1:18" x14ac:dyDescent="0.3">
      <c r="A1169">
        <v>213683</v>
      </c>
      <c r="B1169" t="s">
        <v>568</v>
      </c>
      <c r="C1169" t="s">
        <v>1068</v>
      </c>
      <c r="E1169" s="452">
        <v>46077</v>
      </c>
      <c r="F1169" s="452">
        <v>46078</v>
      </c>
      <c r="G1169" t="s">
        <v>280</v>
      </c>
      <c r="H1169" t="s">
        <v>285</v>
      </c>
      <c r="I1169" t="s">
        <v>1098</v>
      </c>
      <c r="J1169">
        <v>-67.98</v>
      </c>
      <c r="K1169">
        <v>-67.98</v>
      </c>
      <c r="O1169" t="s">
        <v>631</v>
      </c>
      <c r="P1169" t="s">
        <v>820</v>
      </c>
      <c r="Q1169" t="s">
        <v>462</v>
      </c>
      <c r="R1169">
        <v>0</v>
      </c>
    </row>
    <row r="1170" spans="1:18" x14ac:dyDescent="0.3">
      <c r="A1170">
        <v>210827</v>
      </c>
      <c r="B1170" t="s">
        <v>568</v>
      </c>
      <c r="C1170" t="s">
        <v>606</v>
      </c>
      <c r="D1170" t="s">
        <v>1699</v>
      </c>
      <c r="E1170" s="452">
        <v>46077</v>
      </c>
      <c r="F1170" s="452">
        <v>46077</v>
      </c>
      <c r="G1170" t="s">
        <v>613</v>
      </c>
      <c r="H1170" t="s">
        <v>369</v>
      </c>
      <c r="I1170" t="s">
        <v>1700</v>
      </c>
      <c r="J1170">
        <v>-20904.14</v>
      </c>
      <c r="K1170">
        <v>-21042.1</v>
      </c>
      <c r="O1170" t="s">
        <v>631</v>
      </c>
      <c r="P1170" t="s">
        <v>820</v>
      </c>
      <c r="Q1170" t="s">
        <v>462</v>
      </c>
      <c r="R1170">
        <v>0</v>
      </c>
    </row>
    <row r="1171" spans="1:18" x14ac:dyDescent="0.3">
      <c r="A1171">
        <v>192758</v>
      </c>
      <c r="B1171" t="s">
        <v>568</v>
      </c>
      <c r="C1171" t="s">
        <v>812</v>
      </c>
      <c r="D1171" t="s">
        <v>1701</v>
      </c>
      <c r="E1171" s="452">
        <v>46076</v>
      </c>
      <c r="F1171" s="452">
        <v>46097</v>
      </c>
      <c r="G1171" t="s">
        <v>813</v>
      </c>
      <c r="H1171" t="s">
        <v>60</v>
      </c>
      <c r="I1171" t="s">
        <v>1702</v>
      </c>
      <c r="J1171">
        <v>-1400</v>
      </c>
      <c r="K1171">
        <v>-1400</v>
      </c>
      <c r="O1171" t="s">
        <v>631</v>
      </c>
      <c r="P1171" t="s">
        <v>820</v>
      </c>
      <c r="Q1171" t="s">
        <v>462</v>
      </c>
      <c r="R1171">
        <v>0</v>
      </c>
    </row>
    <row r="1172" spans="1:18" x14ac:dyDescent="0.3">
      <c r="A1172">
        <v>98063</v>
      </c>
      <c r="B1172" t="s">
        <v>568</v>
      </c>
      <c r="C1172" t="s">
        <v>628</v>
      </c>
      <c r="D1172" t="s">
        <v>1703</v>
      </c>
      <c r="E1172" s="452">
        <v>46076</v>
      </c>
      <c r="F1172" s="452">
        <v>46075</v>
      </c>
      <c r="G1172" t="s">
        <v>613</v>
      </c>
      <c r="H1172" t="s">
        <v>369</v>
      </c>
      <c r="I1172" t="s">
        <v>630</v>
      </c>
      <c r="J1172">
        <v>-20000</v>
      </c>
      <c r="K1172">
        <v>-20000</v>
      </c>
      <c r="O1172" t="s">
        <v>631</v>
      </c>
      <c r="P1172" t="s">
        <v>820</v>
      </c>
      <c r="Q1172" t="s">
        <v>462</v>
      </c>
      <c r="R1172">
        <v>0</v>
      </c>
    </row>
    <row r="1173" spans="1:18" x14ac:dyDescent="0.3">
      <c r="A1173">
        <v>213682</v>
      </c>
      <c r="B1173" t="s">
        <v>568</v>
      </c>
      <c r="C1173" t="s">
        <v>1068</v>
      </c>
      <c r="E1173" s="452">
        <v>46076</v>
      </c>
      <c r="F1173" s="452">
        <v>46077</v>
      </c>
      <c r="G1173" t="s">
        <v>280</v>
      </c>
      <c r="H1173" t="s">
        <v>285</v>
      </c>
      <c r="I1173" t="s">
        <v>1098</v>
      </c>
      <c r="J1173">
        <v>-80.38</v>
      </c>
      <c r="K1173">
        <v>-80.38</v>
      </c>
      <c r="O1173" t="s">
        <v>631</v>
      </c>
      <c r="P1173" t="s">
        <v>820</v>
      </c>
      <c r="Q1173" t="s">
        <v>462</v>
      </c>
      <c r="R1173">
        <v>0</v>
      </c>
    </row>
    <row r="1174" spans="1:18" x14ac:dyDescent="0.3">
      <c r="A1174">
        <v>211413</v>
      </c>
      <c r="B1174" t="s">
        <v>568</v>
      </c>
      <c r="C1174" t="s">
        <v>812</v>
      </c>
      <c r="D1174" t="s">
        <v>1704</v>
      </c>
      <c r="E1174" s="452">
        <v>46076</v>
      </c>
      <c r="F1174" s="452">
        <v>46090</v>
      </c>
      <c r="G1174" t="s">
        <v>813</v>
      </c>
      <c r="H1174" t="s">
        <v>60</v>
      </c>
      <c r="I1174" t="s">
        <v>1705</v>
      </c>
      <c r="J1174">
        <v>-1400</v>
      </c>
      <c r="K1174">
        <v>-1400</v>
      </c>
      <c r="O1174" t="s">
        <v>631</v>
      </c>
      <c r="P1174" t="s">
        <v>820</v>
      </c>
      <c r="Q1174" t="s">
        <v>462</v>
      </c>
      <c r="R1174">
        <v>0</v>
      </c>
    </row>
    <row r="1175" spans="1:18" x14ac:dyDescent="0.3">
      <c r="A1175">
        <v>211399</v>
      </c>
      <c r="B1175" t="s">
        <v>568</v>
      </c>
      <c r="C1175" t="s">
        <v>789</v>
      </c>
      <c r="D1175" t="s">
        <v>1706</v>
      </c>
      <c r="E1175" s="452">
        <v>46076</v>
      </c>
      <c r="F1175" s="452">
        <v>46086</v>
      </c>
      <c r="G1175" t="s">
        <v>790</v>
      </c>
      <c r="H1175" t="s">
        <v>204</v>
      </c>
      <c r="I1175" t="s">
        <v>1707</v>
      </c>
      <c r="J1175">
        <v>-3795</v>
      </c>
      <c r="K1175">
        <v>-3795</v>
      </c>
      <c r="O1175" t="s">
        <v>631</v>
      </c>
      <c r="P1175" t="s">
        <v>820</v>
      </c>
      <c r="Q1175" t="s">
        <v>462</v>
      </c>
      <c r="R1175">
        <v>0</v>
      </c>
    </row>
    <row r="1176" spans="1:18" x14ac:dyDescent="0.3">
      <c r="A1176">
        <v>211118</v>
      </c>
      <c r="B1176" t="s">
        <v>568</v>
      </c>
      <c r="C1176" t="s">
        <v>723</v>
      </c>
      <c r="E1176" s="452">
        <v>46076</v>
      </c>
      <c r="F1176" s="452">
        <v>46076</v>
      </c>
      <c r="G1176" t="s">
        <v>724</v>
      </c>
      <c r="H1176" t="s">
        <v>725</v>
      </c>
      <c r="J1176">
        <v>-16</v>
      </c>
      <c r="K1176">
        <v>-16</v>
      </c>
      <c r="O1176" t="s">
        <v>631</v>
      </c>
      <c r="P1176" t="s">
        <v>820</v>
      </c>
      <c r="Q1176" t="s">
        <v>462</v>
      </c>
      <c r="R1176">
        <v>0</v>
      </c>
    </row>
    <row r="1177" spans="1:18" x14ac:dyDescent="0.3">
      <c r="A1177">
        <v>213681</v>
      </c>
      <c r="B1177" t="s">
        <v>568</v>
      </c>
      <c r="C1177" t="s">
        <v>1068</v>
      </c>
      <c r="E1177" s="452">
        <v>46074</v>
      </c>
      <c r="F1177" s="452">
        <v>46075</v>
      </c>
      <c r="G1177" t="s">
        <v>280</v>
      </c>
      <c r="H1177" t="s">
        <v>285</v>
      </c>
      <c r="I1177" t="s">
        <v>1098</v>
      </c>
      <c r="J1177">
        <v>-137.38999999999999</v>
      </c>
      <c r="K1177">
        <v>-137.38999999999999</v>
      </c>
      <c r="O1177" t="s">
        <v>631</v>
      </c>
      <c r="P1177" t="s">
        <v>820</v>
      </c>
      <c r="Q1177" t="s">
        <v>462</v>
      </c>
      <c r="R1177">
        <v>0</v>
      </c>
    </row>
    <row r="1178" spans="1:18" x14ac:dyDescent="0.3">
      <c r="A1178">
        <v>191870</v>
      </c>
      <c r="B1178" t="s">
        <v>568</v>
      </c>
      <c r="C1178" t="s">
        <v>708</v>
      </c>
      <c r="D1178" t="s">
        <v>1708</v>
      </c>
      <c r="E1178" s="452">
        <v>46073</v>
      </c>
      <c r="F1178" s="452">
        <v>46086</v>
      </c>
      <c r="G1178" t="s">
        <v>280</v>
      </c>
      <c r="H1178" t="s">
        <v>281</v>
      </c>
      <c r="I1178" t="s">
        <v>1709</v>
      </c>
      <c r="J1178">
        <v>-104.37</v>
      </c>
      <c r="K1178">
        <v>-104.37</v>
      </c>
      <c r="O1178" t="s">
        <v>631</v>
      </c>
      <c r="P1178" t="s">
        <v>820</v>
      </c>
      <c r="Q1178" t="s">
        <v>462</v>
      </c>
      <c r="R1178">
        <v>0</v>
      </c>
    </row>
    <row r="1179" spans="1:18" x14ac:dyDescent="0.3">
      <c r="A1179">
        <v>213430</v>
      </c>
      <c r="B1179" t="s">
        <v>568</v>
      </c>
      <c r="C1179" t="s">
        <v>713</v>
      </c>
      <c r="D1179" t="s">
        <v>1710</v>
      </c>
      <c r="E1179" s="452">
        <v>46073</v>
      </c>
      <c r="F1179" s="452">
        <v>46085</v>
      </c>
      <c r="G1179" t="s">
        <v>265</v>
      </c>
      <c r="H1179" t="s">
        <v>267</v>
      </c>
      <c r="I1179" t="s">
        <v>1711</v>
      </c>
      <c r="J1179">
        <v>-1395.19</v>
      </c>
      <c r="K1179">
        <v>-1395.19</v>
      </c>
      <c r="O1179" t="s">
        <v>631</v>
      </c>
      <c r="P1179" t="s">
        <v>820</v>
      </c>
      <c r="Q1179" t="s">
        <v>462</v>
      </c>
      <c r="R1179">
        <v>0</v>
      </c>
    </row>
    <row r="1180" spans="1:18" x14ac:dyDescent="0.3">
      <c r="A1180">
        <v>213680</v>
      </c>
      <c r="B1180" t="s">
        <v>568</v>
      </c>
      <c r="C1180" t="s">
        <v>1068</v>
      </c>
      <c r="E1180" s="452">
        <v>46073</v>
      </c>
      <c r="F1180" s="452">
        <v>46074</v>
      </c>
      <c r="G1180" t="s">
        <v>280</v>
      </c>
      <c r="H1180" t="s">
        <v>285</v>
      </c>
      <c r="I1180" t="s">
        <v>1098</v>
      </c>
      <c r="J1180">
        <v>-143.19</v>
      </c>
      <c r="K1180">
        <v>-143.19</v>
      </c>
      <c r="O1180" t="s">
        <v>631</v>
      </c>
      <c r="P1180" t="s">
        <v>820</v>
      </c>
      <c r="Q1180" t="s">
        <v>462</v>
      </c>
      <c r="R1180">
        <v>0</v>
      </c>
    </row>
    <row r="1181" spans="1:18" x14ac:dyDescent="0.3">
      <c r="A1181">
        <v>210669</v>
      </c>
      <c r="B1181" t="s">
        <v>568</v>
      </c>
      <c r="C1181" t="s">
        <v>1105</v>
      </c>
      <c r="E1181" s="452">
        <v>46073</v>
      </c>
      <c r="F1181" s="452">
        <v>46073</v>
      </c>
      <c r="G1181" t="s">
        <v>857</v>
      </c>
      <c r="H1181" t="s">
        <v>118</v>
      </c>
      <c r="I1181" t="s">
        <v>1712</v>
      </c>
      <c r="J1181">
        <v>-199.8</v>
      </c>
      <c r="K1181">
        <v>-199.8</v>
      </c>
      <c r="O1181" t="s">
        <v>631</v>
      </c>
      <c r="P1181" t="s">
        <v>820</v>
      </c>
      <c r="Q1181" t="s">
        <v>462</v>
      </c>
      <c r="R1181">
        <v>0</v>
      </c>
    </row>
    <row r="1182" spans="1:18" x14ac:dyDescent="0.3">
      <c r="A1182">
        <v>213679</v>
      </c>
      <c r="B1182" t="s">
        <v>568</v>
      </c>
      <c r="C1182" t="s">
        <v>1068</v>
      </c>
      <c r="E1182" s="452">
        <v>46072</v>
      </c>
      <c r="F1182" s="452">
        <v>46073</v>
      </c>
      <c r="G1182" t="s">
        <v>280</v>
      </c>
      <c r="H1182" t="s">
        <v>285</v>
      </c>
      <c r="I1182" t="s">
        <v>1098</v>
      </c>
      <c r="J1182">
        <v>-39.22</v>
      </c>
      <c r="K1182">
        <v>-39.22</v>
      </c>
      <c r="O1182" t="s">
        <v>631</v>
      </c>
      <c r="P1182" t="s">
        <v>820</v>
      </c>
      <c r="Q1182" t="s">
        <v>462</v>
      </c>
      <c r="R1182">
        <v>0</v>
      </c>
    </row>
    <row r="1183" spans="1:18" x14ac:dyDescent="0.3">
      <c r="A1183">
        <v>213678</v>
      </c>
      <c r="B1183" t="s">
        <v>568</v>
      </c>
      <c r="C1183" t="s">
        <v>1068</v>
      </c>
      <c r="E1183" s="452">
        <v>46071</v>
      </c>
      <c r="F1183" s="452">
        <v>46072</v>
      </c>
      <c r="G1183" t="s">
        <v>280</v>
      </c>
      <c r="H1183" t="s">
        <v>285</v>
      </c>
      <c r="I1183" t="s">
        <v>1098</v>
      </c>
      <c r="J1183">
        <v>-84.61</v>
      </c>
      <c r="K1183">
        <v>-84.61</v>
      </c>
      <c r="O1183" t="s">
        <v>631</v>
      </c>
      <c r="P1183" t="s">
        <v>820</v>
      </c>
      <c r="Q1183" t="s">
        <v>462</v>
      </c>
      <c r="R1183">
        <v>0</v>
      </c>
    </row>
    <row r="1184" spans="1:18" x14ac:dyDescent="0.3">
      <c r="A1184">
        <v>213677</v>
      </c>
      <c r="B1184" t="s">
        <v>568</v>
      </c>
      <c r="C1184" t="s">
        <v>1068</v>
      </c>
      <c r="E1184" s="452">
        <v>46070</v>
      </c>
      <c r="F1184" s="452">
        <v>46071</v>
      </c>
      <c r="G1184" t="s">
        <v>280</v>
      </c>
      <c r="H1184" t="s">
        <v>285</v>
      </c>
      <c r="I1184" t="s">
        <v>1098</v>
      </c>
      <c r="J1184">
        <v>-34.15</v>
      </c>
      <c r="K1184">
        <v>-34.15</v>
      </c>
      <c r="O1184" t="s">
        <v>631</v>
      </c>
      <c r="P1184" t="s">
        <v>820</v>
      </c>
      <c r="Q1184" t="s">
        <v>462</v>
      </c>
      <c r="R1184">
        <v>0</v>
      </c>
    </row>
    <row r="1185" spans="1:18" x14ac:dyDescent="0.3">
      <c r="A1185">
        <v>213675</v>
      </c>
      <c r="B1185" t="s">
        <v>568</v>
      </c>
      <c r="C1185" t="s">
        <v>1068</v>
      </c>
      <c r="E1185" s="452">
        <v>46069</v>
      </c>
      <c r="F1185" s="452">
        <v>46070</v>
      </c>
      <c r="G1185" t="s">
        <v>280</v>
      </c>
      <c r="H1185" t="s">
        <v>285</v>
      </c>
      <c r="I1185" t="s">
        <v>1098</v>
      </c>
      <c r="J1185">
        <v>-1.24</v>
      </c>
      <c r="K1185">
        <v>-1.24</v>
      </c>
      <c r="O1185" t="s">
        <v>631</v>
      </c>
      <c r="P1185" t="s">
        <v>820</v>
      </c>
      <c r="Q1185" t="s">
        <v>462</v>
      </c>
      <c r="R1185">
        <v>0</v>
      </c>
    </row>
    <row r="1186" spans="1:18" x14ac:dyDescent="0.3">
      <c r="A1186">
        <v>213676</v>
      </c>
      <c r="B1186" t="s">
        <v>568</v>
      </c>
      <c r="C1186" t="s">
        <v>1068</v>
      </c>
      <c r="E1186" s="452">
        <v>46069</v>
      </c>
      <c r="F1186" s="452">
        <v>46070</v>
      </c>
      <c r="G1186" t="s">
        <v>280</v>
      </c>
      <c r="H1186" t="s">
        <v>285</v>
      </c>
      <c r="I1186" t="s">
        <v>1098</v>
      </c>
      <c r="J1186">
        <v>-77.930000000000007</v>
      </c>
      <c r="K1186">
        <v>-77.930000000000007</v>
      </c>
      <c r="O1186" t="s">
        <v>631</v>
      </c>
      <c r="P1186" t="s">
        <v>820</v>
      </c>
      <c r="Q1186" t="s">
        <v>462</v>
      </c>
      <c r="R1186">
        <v>0</v>
      </c>
    </row>
    <row r="1187" spans="1:18" x14ac:dyDescent="0.3">
      <c r="A1187">
        <v>192805</v>
      </c>
      <c r="B1187" t="s">
        <v>568</v>
      </c>
      <c r="C1187" t="s">
        <v>789</v>
      </c>
      <c r="D1187" t="s">
        <v>1713</v>
      </c>
      <c r="E1187" s="452">
        <v>46069</v>
      </c>
      <c r="F1187" s="452">
        <v>46079</v>
      </c>
      <c r="G1187" t="s">
        <v>790</v>
      </c>
      <c r="H1187" t="s">
        <v>204</v>
      </c>
      <c r="I1187" t="s">
        <v>1714</v>
      </c>
      <c r="J1187">
        <v>-3773</v>
      </c>
      <c r="K1187">
        <v>-3773</v>
      </c>
      <c r="O1187" t="s">
        <v>631</v>
      </c>
      <c r="P1187" t="s">
        <v>820</v>
      </c>
      <c r="Q1187" t="s">
        <v>462</v>
      </c>
      <c r="R1187">
        <v>0</v>
      </c>
    </row>
    <row r="1188" spans="1:18" x14ac:dyDescent="0.3">
      <c r="A1188">
        <v>208092</v>
      </c>
      <c r="B1188" t="s">
        <v>568</v>
      </c>
      <c r="C1188" t="s">
        <v>708</v>
      </c>
      <c r="D1188" t="s">
        <v>819</v>
      </c>
      <c r="E1188" s="452">
        <v>46069</v>
      </c>
      <c r="F1188" s="452">
        <v>46078</v>
      </c>
      <c r="G1188" t="s">
        <v>280</v>
      </c>
      <c r="H1188" t="s">
        <v>281</v>
      </c>
      <c r="I1188" t="s">
        <v>1715</v>
      </c>
      <c r="J1188">
        <v>-159.96</v>
      </c>
      <c r="K1188">
        <v>0</v>
      </c>
      <c r="O1188" t="s">
        <v>631</v>
      </c>
      <c r="P1188" t="s">
        <v>820</v>
      </c>
      <c r="Q1188" t="s">
        <v>462</v>
      </c>
      <c r="R1188">
        <v>0</v>
      </c>
    </row>
    <row r="1189" spans="1:18" x14ac:dyDescent="0.3">
      <c r="A1189">
        <v>209206</v>
      </c>
      <c r="B1189" t="s">
        <v>568</v>
      </c>
      <c r="C1189" t="s">
        <v>937</v>
      </c>
      <c r="E1189" s="452">
        <v>46068</v>
      </c>
      <c r="F1189" s="452">
        <v>46073</v>
      </c>
      <c r="G1189" t="s">
        <v>666</v>
      </c>
      <c r="H1189" t="s">
        <v>667</v>
      </c>
      <c r="J1189">
        <v>-925.11</v>
      </c>
      <c r="K1189">
        <v>-925.11</v>
      </c>
      <c r="O1189" t="s">
        <v>631</v>
      </c>
      <c r="P1189" t="s">
        <v>820</v>
      </c>
      <c r="Q1189" t="s">
        <v>462</v>
      </c>
      <c r="R1189">
        <v>0</v>
      </c>
    </row>
    <row r="1190" spans="1:18" x14ac:dyDescent="0.3">
      <c r="A1190">
        <v>209205</v>
      </c>
      <c r="B1190" t="s">
        <v>568</v>
      </c>
      <c r="C1190" t="s">
        <v>829</v>
      </c>
      <c r="E1190" s="452">
        <v>46068</v>
      </c>
      <c r="F1190" s="452">
        <v>46073</v>
      </c>
      <c r="G1190" t="s">
        <v>666</v>
      </c>
      <c r="H1190" t="s">
        <v>667</v>
      </c>
      <c r="J1190">
        <v>-944.02</v>
      </c>
      <c r="K1190">
        <v>-944.02</v>
      </c>
      <c r="O1190" t="s">
        <v>631</v>
      </c>
      <c r="P1190" t="s">
        <v>820</v>
      </c>
      <c r="Q1190" t="s">
        <v>462</v>
      </c>
      <c r="R1190">
        <v>0</v>
      </c>
    </row>
    <row r="1191" spans="1:18" x14ac:dyDescent="0.3">
      <c r="A1191">
        <v>209204</v>
      </c>
      <c r="B1191" t="s">
        <v>568</v>
      </c>
      <c r="C1191" t="s">
        <v>940</v>
      </c>
      <c r="E1191" s="452">
        <v>46068</v>
      </c>
      <c r="F1191" s="452">
        <v>46073</v>
      </c>
      <c r="G1191" t="s">
        <v>666</v>
      </c>
      <c r="H1191" t="s">
        <v>667</v>
      </c>
      <c r="J1191">
        <v>-944.02</v>
      </c>
      <c r="K1191">
        <v>-944.02</v>
      </c>
      <c r="O1191" t="s">
        <v>631</v>
      </c>
      <c r="P1191" t="s">
        <v>820</v>
      </c>
      <c r="Q1191" t="s">
        <v>462</v>
      </c>
      <c r="R1191">
        <v>0</v>
      </c>
    </row>
    <row r="1192" spans="1:18" x14ac:dyDescent="0.3">
      <c r="A1192">
        <v>209203</v>
      </c>
      <c r="B1192" t="s">
        <v>568</v>
      </c>
      <c r="C1192" t="s">
        <v>945</v>
      </c>
      <c r="E1192" s="452">
        <v>46068</v>
      </c>
      <c r="F1192" s="452">
        <v>46073</v>
      </c>
      <c r="G1192" t="s">
        <v>666</v>
      </c>
      <c r="H1192" t="s">
        <v>667</v>
      </c>
      <c r="J1192">
        <v>-944.02</v>
      </c>
      <c r="K1192">
        <v>-944.02</v>
      </c>
      <c r="O1192" t="s">
        <v>631</v>
      </c>
      <c r="P1192" t="s">
        <v>820</v>
      </c>
      <c r="Q1192" t="s">
        <v>462</v>
      </c>
      <c r="R1192">
        <v>0</v>
      </c>
    </row>
    <row r="1193" spans="1:18" x14ac:dyDescent="0.3">
      <c r="A1193">
        <v>192138</v>
      </c>
      <c r="B1193" t="s">
        <v>568</v>
      </c>
      <c r="C1193" t="s">
        <v>711</v>
      </c>
      <c r="D1193" t="s">
        <v>1716</v>
      </c>
      <c r="E1193" s="452">
        <v>46068</v>
      </c>
      <c r="F1193" s="452">
        <v>46094</v>
      </c>
      <c r="G1193" t="s">
        <v>280</v>
      </c>
      <c r="H1193" t="s">
        <v>286</v>
      </c>
      <c r="I1193" t="s">
        <v>1717</v>
      </c>
      <c r="J1193">
        <v>-389</v>
      </c>
      <c r="K1193">
        <v>-389</v>
      </c>
      <c r="O1193" t="s">
        <v>631</v>
      </c>
      <c r="P1193" t="s">
        <v>820</v>
      </c>
      <c r="Q1193" t="s">
        <v>462</v>
      </c>
      <c r="R1193">
        <v>0</v>
      </c>
    </row>
    <row r="1194" spans="1:18" x14ac:dyDescent="0.3">
      <c r="A1194">
        <v>192926</v>
      </c>
      <c r="B1194" t="s">
        <v>568</v>
      </c>
      <c r="C1194" t="s">
        <v>671</v>
      </c>
      <c r="D1194" t="s">
        <v>1718</v>
      </c>
      <c r="E1194" s="452">
        <v>46068</v>
      </c>
      <c r="F1194" s="452">
        <v>46069</v>
      </c>
      <c r="G1194" t="s">
        <v>672</v>
      </c>
      <c r="H1194" t="s">
        <v>240</v>
      </c>
      <c r="I1194" t="s">
        <v>1719</v>
      </c>
      <c r="J1194">
        <v>-300</v>
      </c>
      <c r="K1194">
        <v>-300</v>
      </c>
      <c r="O1194" t="s">
        <v>631</v>
      </c>
      <c r="P1194" t="s">
        <v>820</v>
      </c>
      <c r="Q1194" t="s">
        <v>462</v>
      </c>
      <c r="R1194">
        <v>0</v>
      </c>
    </row>
    <row r="1195" spans="1:18" x14ac:dyDescent="0.3">
      <c r="A1195">
        <v>209202</v>
      </c>
      <c r="B1195" t="s">
        <v>568</v>
      </c>
      <c r="C1195" t="s">
        <v>953</v>
      </c>
      <c r="E1195" s="452">
        <v>46068</v>
      </c>
      <c r="F1195" s="452">
        <v>46073</v>
      </c>
      <c r="G1195" t="s">
        <v>666</v>
      </c>
      <c r="H1195" t="s">
        <v>667</v>
      </c>
      <c r="J1195">
        <v>-991.02</v>
      </c>
      <c r="K1195">
        <v>-991.02</v>
      </c>
      <c r="O1195" t="s">
        <v>631</v>
      </c>
      <c r="P1195" t="s">
        <v>820</v>
      </c>
      <c r="Q1195" t="s">
        <v>462</v>
      </c>
      <c r="R1195">
        <v>0</v>
      </c>
    </row>
    <row r="1196" spans="1:18" x14ac:dyDescent="0.3">
      <c r="A1196">
        <v>213674</v>
      </c>
      <c r="B1196" t="s">
        <v>568</v>
      </c>
      <c r="C1196" t="s">
        <v>1068</v>
      </c>
      <c r="E1196" s="452">
        <v>46067</v>
      </c>
      <c r="F1196" s="452">
        <v>46068</v>
      </c>
      <c r="G1196" t="s">
        <v>280</v>
      </c>
      <c r="H1196" t="s">
        <v>285</v>
      </c>
      <c r="I1196" t="s">
        <v>1098</v>
      </c>
      <c r="J1196">
        <v>-147.38</v>
      </c>
      <c r="K1196">
        <v>-147.38</v>
      </c>
      <c r="O1196" t="s">
        <v>631</v>
      </c>
      <c r="P1196" t="s">
        <v>820</v>
      </c>
      <c r="Q1196" t="s">
        <v>462</v>
      </c>
      <c r="R1196">
        <v>0</v>
      </c>
    </row>
    <row r="1197" spans="1:18" x14ac:dyDescent="0.3">
      <c r="A1197">
        <v>213673</v>
      </c>
      <c r="B1197" t="s">
        <v>568</v>
      </c>
      <c r="C1197" t="s">
        <v>1068</v>
      </c>
      <c r="E1197" s="452">
        <v>46066</v>
      </c>
      <c r="F1197" s="452">
        <v>46067</v>
      </c>
      <c r="G1197" t="s">
        <v>280</v>
      </c>
      <c r="H1197" t="s">
        <v>285</v>
      </c>
      <c r="I1197" t="s">
        <v>1098</v>
      </c>
      <c r="J1197">
        <v>-163.79</v>
      </c>
      <c r="K1197">
        <v>-163.79</v>
      </c>
      <c r="O1197" t="s">
        <v>631</v>
      </c>
      <c r="P1197" t="s">
        <v>820</v>
      </c>
      <c r="Q1197" t="s">
        <v>462</v>
      </c>
      <c r="R1197">
        <v>0</v>
      </c>
    </row>
    <row r="1198" spans="1:18" x14ac:dyDescent="0.3">
      <c r="A1198">
        <v>191894</v>
      </c>
      <c r="B1198" t="s">
        <v>568</v>
      </c>
      <c r="C1198" t="s">
        <v>713</v>
      </c>
      <c r="D1198" t="s">
        <v>1720</v>
      </c>
      <c r="E1198" s="452">
        <v>46065</v>
      </c>
      <c r="F1198" s="452">
        <v>46077</v>
      </c>
      <c r="G1198" t="s">
        <v>265</v>
      </c>
      <c r="H1198" t="s">
        <v>267</v>
      </c>
      <c r="I1198" t="s">
        <v>1721</v>
      </c>
      <c r="J1198">
        <v>-2682.04</v>
      </c>
      <c r="K1198">
        <v>-2682.04</v>
      </c>
      <c r="O1198" t="s">
        <v>631</v>
      </c>
      <c r="P1198" t="s">
        <v>820</v>
      </c>
      <c r="Q1198" t="s">
        <v>462</v>
      </c>
      <c r="R1198">
        <v>0</v>
      </c>
    </row>
    <row r="1199" spans="1:18" x14ac:dyDescent="0.3">
      <c r="A1199">
        <v>213672</v>
      </c>
      <c r="B1199" t="s">
        <v>568</v>
      </c>
      <c r="C1199" t="s">
        <v>1068</v>
      </c>
      <c r="E1199" s="452">
        <v>46065</v>
      </c>
      <c r="F1199" s="452">
        <v>46066</v>
      </c>
      <c r="G1199" t="s">
        <v>280</v>
      </c>
      <c r="H1199" t="s">
        <v>285</v>
      </c>
      <c r="I1199" t="s">
        <v>1098</v>
      </c>
      <c r="J1199">
        <v>-109.83</v>
      </c>
      <c r="K1199">
        <v>-109.83</v>
      </c>
      <c r="O1199" t="s">
        <v>631</v>
      </c>
      <c r="P1199" t="s">
        <v>820</v>
      </c>
      <c r="Q1199" t="s">
        <v>462</v>
      </c>
      <c r="R1199">
        <v>0</v>
      </c>
    </row>
    <row r="1200" spans="1:18" x14ac:dyDescent="0.3">
      <c r="A1200">
        <v>213671</v>
      </c>
      <c r="B1200" t="s">
        <v>568</v>
      </c>
      <c r="C1200" t="s">
        <v>1068</v>
      </c>
      <c r="E1200" s="452">
        <v>46064</v>
      </c>
      <c r="F1200" s="452">
        <v>46065</v>
      </c>
      <c r="G1200" t="s">
        <v>280</v>
      </c>
      <c r="H1200" t="s">
        <v>285</v>
      </c>
      <c r="I1200" t="s">
        <v>1098</v>
      </c>
      <c r="J1200">
        <v>-75.03</v>
      </c>
      <c r="K1200">
        <v>-75.03</v>
      </c>
      <c r="O1200" t="s">
        <v>631</v>
      </c>
      <c r="P1200" t="s">
        <v>820</v>
      </c>
      <c r="Q1200" t="s">
        <v>462</v>
      </c>
      <c r="R1200">
        <v>0</v>
      </c>
    </row>
    <row r="1201" spans="1:18" x14ac:dyDescent="0.3">
      <c r="A1201">
        <v>207203</v>
      </c>
      <c r="B1201" t="s">
        <v>568</v>
      </c>
      <c r="C1201" t="s">
        <v>723</v>
      </c>
      <c r="E1201" s="452">
        <v>46064</v>
      </c>
      <c r="F1201" s="452">
        <v>46064</v>
      </c>
      <c r="G1201" t="s">
        <v>724</v>
      </c>
      <c r="H1201" t="s">
        <v>725</v>
      </c>
      <c r="J1201">
        <v>-2</v>
      </c>
      <c r="K1201">
        <v>-2</v>
      </c>
      <c r="O1201" t="s">
        <v>631</v>
      </c>
      <c r="P1201" t="s">
        <v>820</v>
      </c>
      <c r="Q1201" t="s">
        <v>462</v>
      </c>
      <c r="R1201">
        <v>0</v>
      </c>
    </row>
    <row r="1202" spans="1:18" x14ac:dyDescent="0.3">
      <c r="A1202">
        <v>213670</v>
      </c>
      <c r="B1202" t="s">
        <v>568</v>
      </c>
      <c r="C1202" t="s">
        <v>1068</v>
      </c>
      <c r="E1202" s="452">
        <v>46063</v>
      </c>
      <c r="F1202" s="452">
        <v>46064</v>
      </c>
      <c r="G1202" t="s">
        <v>280</v>
      </c>
      <c r="H1202" t="s">
        <v>285</v>
      </c>
      <c r="I1202" t="s">
        <v>1098</v>
      </c>
      <c r="J1202">
        <v>-61.51</v>
      </c>
      <c r="K1202">
        <v>-61.51</v>
      </c>
      <c r="O1202" t="s">
        <v>631</v>
      </c>
      <c r="P1202" t="s">
        <v>820</v>
      </c>
      <c r="Q1202" t="s">
        <v>462</v>
      </c>
      <c r="R1202">
        <v>0</v>
      </c>
    </row>
    <row r="1203" spans="1:18" x14ac:dyDescent="0.3">
      <c r="A1203">
        <v>206788</v>
      </c>
      <c r="B1203" t="s">
        <v>568</v>
      </c>
      <c r="C1203" t="s">
        <v>723</v>
      </c>
      <c r="E1203" s="452">
        <v>46063</v>
      </c>
      <c r="F1203" s="452">
        <v>46063</v>
      </c>
      <c r="G1203" t="s">
        <v>724</v>
      </c>
      <c r="H1203" t="s">
        <v>725</v>
      </c>
      <c r="J1203">
        <v>-4</v>
      </c>
      <c r="K1203">
        <v>-4</v>
      </c>
      <c r="O1203" t="s">
        <v>631</v>
      </c>
      <c r="P1203" t="s">
        <v>820</v>
      </c>
      <c r="Q1203" t="s">
        <v>462</v>
      </c>
      <c r="R1203">
        <v>0</v>
      </c>
    </row>
    <row r="1204" spans="1:18" x14ac:dyDescent="0.3">
      <c r="A1204">
        <v>192807</v>
      </c>
      <c r="B1204" t="s">
        <v>568</v>
      </c>
      <c r="C1204" t="s">
        <v>715</v>
      </c>
      <c r="D1204" t="s">
        <v>1722</v>
      </c>
      <c r="E1204" s="452">
        <v>46063</v>
      </c>
      <c r="F1204" s="452">
        <v>46091</v>
      </c>
      <c r="G1204" t="s">
        <v>319</v>
      </c>
      <c r="H1204" t="s">
        <v>320</v>
      </c>
      <c r="I1204" t="s">
        <v>1723</v>
      </c>
      <c r="J1204">
        <v>-285.56</v>
      </c>
      <c r="K1204">
        <v>-285.56</v>
      </c>
      <c r="O1204" t="s">
        <v>631</v>
      </c>
      <c r="P1204" t="s">
        <v>820</v>
      </c>
      <c r="Q1204" t="s">
        <v>462</v>
      </c>
      <c r="R1204">
        <v>0</v>
      </c>
    </row>
    <row r="1205" spans="1:18" x14ac:dyDescent="0.3">
      <c r="A1205">
        <v>213669</v>
      </c>
      <c r="B1205" t="s">
        <v>568</v>
      </c>
      <c r="C1205" t="s">
        <v>1068</v>
      </c>
      <c r="E1205" s="452">
        <v>46062</v>
      </c>
      <c r="F1205" s="452">
        <v>46063</v>
      </c>
      <c r="G1205" t="s">
        <v>280</v>
      </c>
      <c r="H1205" t="s">
        <v>285</v>
      </c>
      <c r="I1205" t="s">
        <v>1098</v>
      </c>
      <c r="J1205">
        <v>-28.03</v>
      </c>
      <c r="K1205">
        <v>-28.03</v>
      </c>
      <c r="O1205" t="s">
        <v>631</v>
      </c>
      <c r="P1205" t="s">
        <v>820</v>
      </c>
      <c r="Q1205" t="s">
        <v>462</v>
      </c>
      <c r="R1205">
        <v>0</v>
      </c>
    </row>
    <row r="1206" spans="1:18" x14ac:dyDescent="0.3">
      <c r="A1206">
        <v>192804</v>
      </c>
      <c r="B1206" t="s">
        <v>568</v>
      </c>
      <c r="C1206" t="s">
        <v>789</v>
      </c>
      <c r="D1206" t="s">
        <v>1724</v>
      </c>
      <c r="E1206" s="452">
        <v>46062</v>
      </c>
      <c r="F1206" s="452">
        <v>46072</v>
      </c>
      <c r="G1206" t="s">
        <v>790</v>
      </c>
      <c r="H1206" t="s">
        <v>204</v>
      </c>
      <c r="I1206" t="s">
        <v>1725</v>
      </c>
      <c r="J1206">
        <v>-4184.58</v>
      </c>
      <c r="K1206">
        <v>-4184.88</v>
      </c>
      <c r="O1206" t="s">
        <v>631</v>
      </c>
      <c r="P1206" t="s">
        <v>820</v>
      </c>
      <c r="Q1206" t="s">
        <v>462</v>
      </c>
      <c r="R1206">
        <v>0</v>
      </c>
    </row>
    <row r="1207" spans="1:18" x14ac:dyDescent="0.3">
      <c r="A1207">
        <v>192756</v>
      </c>
      <c r="B1207" t="s">
        <v>568</v>
      </c>
      <c r="C1207" t="s">
        <v>812</v>
      </c>
      <c r="D1207" t="s">
        <v>1726</v>
      </c>
      <c r="E1207" s="452">
        <v>46062</v>
      </c>
      <c r="F1207" s="452">
        <v>46083</v>
      </c>
      <c r="G1207" t="s">
        <v>813</v>
      </c>
      <c r="H1207" t="s">
        <v>60</v>
      </c>
      <c r="I1207" t="s">
        <v>1727</v>
      </c>
      <c r="J1207">
        <v>-1400</v>
      </c>
      <c r="K1207">
        <v>-1400</v>
      </c>
      <c r="O1207" t="s">
        <v>631</v>
      </c>
      <c r="P1207" t="s">
        <v>820</v>
      </c>
      <c r="Q1207" t="s">
        <v>462</v>
      </c>
      <c r="R1207">
        <v>0</v>
      </c>
    </row>
    <row r="1208" spans="1:18" x14ac:dyDescent="0.3">
      <c r="A1208">
        <v>192912</v>
      </c>
      <c r="B1208" t="s">
        <v>568</v>
      </c>
      <c r="C1208" t="s">
        <v>671</v>
      </c>
      <c r="D1208" t="s">
        <v>1728</v>
      </c>
      <c r="E1208" s="452">
        <v>46061</v>
      </c>
      <c r="F1208" s="452">
        <v>46062</v>
      </c>
      <c r="G1208" t="s">
        <v>672</v>
      </c>
      <c r="H1208" t="s">
        <v>240</v>
      </c>
      <c r="I1208" t="s">
        <v>1729</v>
      </c>
      <c r="J1208">
        <v>-300</v>
      </c>
      <c r="K1208">
        <v>-300</v>
      </c>
      <c r="O1208" t="s">
        <v>631</v>
      </c>
      <c r="P1208" t="s">
        <v>820</v>
      </c>
      <c r="Q1208" t="s">
        <v>462</v>
      </c>
      <c r="R1208">
        <v>0</v>
      </c>
    </row>
    <row r="1209" spans="1:18" x14ac:dyDescent="0.3">
      <c r="A1209">
        <v>213668</v>
      </c>
      <c r="B1209" t="s">
        <v>568</v>
      </c>
      <c r="C1209" t="s">
        <v>1068</v>
      </c>
      <c r="E1209" s="452">
        <v>46060</v>
      </c>
      <c r="F1209" s="452">
        <v>46061</v>
      </c>
      <c r="G1209" t="s">
        <v>280</v>
      </c>
      <c r="H1209" t="s">
        <v>285</v>
      </c>
      <c r="I1209" t="s">
        <v>1098</v>
      </c>
      <c r="J1209">
        <v>-166.84</v>
      </c>
      <c r="K1209">
        <v>-166.84</v>
      </c>
      <c r="O1209" t="s">
        <v>631</v>
      </c>
      <c r="P1209" t="s">
        <v>820</v>
      </c>
      <c r="Q1209" t="s">
        <v>462</v>
      </c>
      <c r="R1209">
        <v>0</v>
      </c>
    </row>
    <row r="1210" spans="1:18" x14ac:dyDescent="0.3">
      <c r="A1210">
        <v>213667</v>
      </c>
      <c r="B1210" t="s">
        <v>568</v>
      </c>
      <c r="C1210" t="s">
        <v>1068</v>
      </c>
      <c r="E1210" s="452">
        <v>46059</v>
      </c>
      <c r="F1210" s="452">
        <v>46060</v>
      </c>
      <c r="G1210" t="s">
        <v>280</v>
      </c>
      <c r="H1210" t="s">
        <v>285</v>
      </c>
      <c r="I1210" t="s">
        <v>1098</v>
      </c>
      <c r="J1210">
        <v>-179.07</v>
      </c>
      <c r="K1210">
        <v>-179.07</v>
      </c>
      <c r="O1210" t="s">
        <v>631</v>
      </c>
      <c r="P1210" t="s">
        <v>820</v>
      </c>
      <c r="Q1210" t="s">
        <v>462</v>
      </c>
      <c r="R1210">
        <v>0</v>
      </c>
    </row>
    <row r="1211" spans="1:18" x14ac:dyDescent="0.3">
      <c r="A1211">
        <v>213666</v>
      </c>
      <c r="B1211" t="s">
        <v>568</v>
      </c>
      <c r="C1211" t="s">
        <v>1068</v>
      </c>
      <c r="E1211" s="452">
        <v>46058</v>
      </c>
      <c r="F1211" s="452">
        <v>46059</v>
      </c>
      <c r="G1211" t="s">
        <v>280</v>
      </c>
      <c r="H1211" t="s">
        <v>285</v>
      </c>
      <c r="I1211" t="s">
        <v>1098</v>
      </c>
      <c r="J1211">
        <v>-106.95</v>
      </c>
      <c r="K1211">
        <v>-106.95</v>
      </c>
      <c r="O1211" t="s">
        <v>631</v>
      </c>
      <c r="P1211" t="s">
        <v>820</v>
      </c>
      <c r="Q1211" t="s">
        <v>462</v>
      </c>
      <c r="R1211">
        <v>0</v>
      </c>
    </row>
    <row r="1212" spans="1:18" x14ac:dyDescent="0.3">
      <c r="A1212">
        <v>213665</v>
      </c>
      <c r="B1212" t="s">
        <v>568</v>
      </c>
      <c r="C1212" t="s">
        <v>1068</v>
      </c>
      <c r="E1212" s="452">
        <v>46057</v>
      </c>
      <c r="F1212" s="452">
        <v>46058</v>
      </c>
      <c r="G1212" t="s">
        <v>280</v>
      </c>
      <c r="H1212" t="s">
        <v>285</v>
      </c>
      <c r="I1212" t="s">
        <v>1098</v>
      </c>
      <c r="J1212">
        <v>-72.790000000000006</v>
      </c>
      <c r="K1212">
        <v>-72.790000000000006</v>
      </c>
      <c r="O1212" t="s">
        <v>631</v>
      </c>
      <c r="P1212" t="s">
        <v>820</v>
      </c>
      <c r="Q1212" t="s">
        <v>462</v>
      </c>
      <c r="R1212">
        <v>0</v>
      </c>
    </row>
    <row r="1213" spans="1:18" x14ac:dyDescent="0.3">
      <c r="A1213">
        <v>213664</v>
      </c>
      <c r="B1213" t="s">
        <v>568</v>
      </c>
      <c r="C1213" t="s">
        <v>1068</v>
      </c>
      <c r="E1213" s="452">
        <v>46056</v>
      </c>
      <c r="F1213" s="452">
        <v>46057</v>
      </c>
      <c r="G1213" t="s">
        <v>280</v>
      </c>
      <c r="H1213" t="s">
        <v>285</v>
      </c>
      <c r="I1213" t="s">
        <v>1098</v>
      </c>
      <c r="J1213">
        <v>-92.79</v>
      </c>
      <c r="K1213">
        <v>-92.79</v>
      </c>
      <c r="O1213" t="s">
        <v>631</v>
      </c>
      <c r="P1213" t="s">
        <v>820</v>
      </c>
      <c r="Q1213" t="s">
        <v>462</v>
      </c>
      <c r="R1213">
        <v>0</v>
      </c>
    </row>
    <row r="1214" spans="1:18" x14ac:dyDescent="0.3">
      <c r="A1214">
        <v>213663</v>
      </c>
      <c r="B1214" t="s">
        <v>568</v>
      </c>
      <c r="C1214" t="s">
        <v>1068</v>
      </c>
      <c r="E1214" s="452">
        <v>46055</v>
      </c>
      <c r="F1214" s="452">
        <v>46056</v>
      </c>
      <c r="G1214" t="s">
        <v>280</v>
      </c>
      <c r="H1214" t="s">
        <v>285</v>
      </c>
      <c r="I1214" t="s">
        <v>1098</v>
      </c>
      <c r="J1214">
        <v>-39.24</v>
      </c>
      <c r="K1214">
        <v>-39.24</v>
      </c>
      <c r="O1214" t="s">
        <v>631</v>
      </c>
      <c r="P1214" t="s">
        <v>820</v>
      </c>
      <c r="Q1214" t="s">
        <v>462</v>
      </c>
      <c r="R1214">
        <v>0</v>
      </c>
    </row>
    <row r="1215" spans="1:18" x14ac:dyDescent="0.3">
      <c r="A1215">
        <v>192803</v>
      </c>
      <c r="B1215" t="s">
        <v>568</v>
      </c>
      <c r="C1215" t="s">
        <v>789</v>
      </c>
      <c r="D1215" t="s">
        <v>1730</v>
      </c>
      <c r="E1215" s="452">
        <v>46055</v>
      </c>
      <c r="F1215" s="452">
        <v>46065</v>
      </c>
      <c r="G1215" t="s">
        <v>790</v>
      </c>
      <c r="H1215" t="s">
        <v>204</v>
      </c>
      <c r="I1215" t="s">
        <v>1731</v>
      </c>
      <c r="J1215">
        <v>-2739</v>
      </c>
      <c r="K1215">
        <v>-2739</v>
      </c>
      <c r="O1215" t="s">
        <v>631</v>
      </c>
      <c r="P1215" t="s">
        <v>820</v>
      </c>
      <c r="Q1215" t="s">
        <v>462</v>
      </c>
      <c r="R1215">
        <v>0</v>
      </c>
    </row>
    <row r="1216" spans="1:18" x14ac:dyDescent="0.3">
      <c r="A1216">
        <v>192755</v>
      </c>
      <c r="B1216" t="s">
        <v>568</v>
      </c>
      <c r="C1216" t="s">
        <v>812</v>
      </c>
      <c r="D1216" t="s">
        <v>1732</v>
      </c>
      <c r="E1216" s="452">
        <v>46055</v>
      </c>
      <c r="F1216" s="452">
        <v>46076</v>
      </c>
      <c r="G1216" t="s">
        <v>813</v>
      </c>
      <c r="H1216" t="s">
        <v>60</v>
      </c>
      <c r="I1216" t="s">
        <v>1733</v>
      </c>
      <c r="J1216">
        <v>-1400</v>
      </c>
      <c r="K1216">
        <v>-1400</v>
      </c>
      <c r="O1216" t="s">
        <v>631</v>
      </c>
      <c r="P1216" t="s">
        <v>820</v>
      </c>
      <c r="Q1216" t="s">
        <v>462</v>
      </c>
      <c r="R1216">
        <v>0</v>
      </c>
    </row>
    <row r="1217" spans="1:18" x14ac:dyDescent="0.3">
      <c r="A1217">
        <v>211560</v>
      </c>
      <c r="B1217" t="s">
        <v>568</v>
      </c>
      <c r="C1217" t="s">
        <v>853</v>
      </c>
      <c r="D1217" t="s">
        <v>1734</v>
      </c>
      <c r="E1217" s="452">
        <v>46054</v>
      </c>
      <c r="F1217" s="452">
        <v>46086</v>
      </c>
      <c r="G1217" t="s">
        <v>265</v>
      </c>
      <c r="H1217" t="s">
        <v>273</v>
      </c>
      <c r="I1217" t="s">
        <v>1735</v>
      </c>
      <c r="J1217">
        <v>-17</v>
      </c>
      <c r="K1217">
        <v>-17</v>
      </c>
      <c r="O1217" t="s">
        <v>631</v>
      </c>
      <c r="P1217" t="s">
        <v>820</v>
      </c>
      <c r="Q1217" t="s">
        <v>462</v>
      </c>
      <c r="R1217">
        <v>0</v>
      </c>
    </row>
    <row r="1218" spans="1:18" x14ac:dyDescent="0.3">
      <c r="A1218">
        <v>191822</v>
      </c>
      <c r="B1218" t="s">
        <v>568</v>
      </c>
      <c r="C1218" t="s">
        <v>765</v>
      </c>
      <c r="D1218" t="s">
        <v>1736</v>
      </c>
      <c r="E1218" s="452">
        <v>46054</v>
      </c>
      <c r="F1218" s="452">
        <v>46079</v>
      </c>
      <c r="G1218" t="s">
        <v>265</v>
      </c>
      <c r="H1218" t="s">
        <v>268</v>
      </c>
      <c r="I1218" t="s">
        <v>1737</v>
      </c>
      <c r="J1218">
        <v>-4121.8999999999996</v>
      </c>
      <c r="K1218">
        <v>-4121.8999999999996</v>
      </c>
      <c r="O1218" t="s">
        <v>631</v>
      </c>
      <c r="P1218" t="s">
        <v>820</v>
      </c>
      <c r="Q1218" t="s">
        <v>462</v>
      </c>
      <c r="R1218">
        <v>0</v>
      </c>
    </row>
    <row r="1219" spans="1:18" x14ac:dyDescent="0.3">
      <c r="A1219">
        <v>211557</v>
      </c>
      <c r="B1219" t="s">
        <v>568</v>
      </c>
      <c r="C1219" t="s">
        <v>853</v>
      </c>
      <c r="D1219" t="s">
        <v>1738</v>
      </c>
      <c r="E1219" s="452">
        <v>46054</v>
      </c>
      <c r="F1219" s="452">
        <v>46086</v>
      </c>
      <c r="G1219" t="s">
        <v>931</v>
      </c>
      <c r="H1219" t="s">
        <v>932</v>
      </c>
      <c r="I1219" t="s">
        <v>1739</v>
      </c>
      <c r="J1219">
        <v>-21.77</v>
      </c>
      <c r="K1219">
        <v>-21.77</v>
      </c>
      <c r="O1219" t="s">
        <v>631</v>
      </c>
      <c r="P1219" t="s">
        <v>820</v>
      </c>
      <c r="Q1219" t="s">
        <v>462</v>
      </c>
      <c r="R1219">
        <v>0</v>
      </c>
    </row>
    <row r="1220" spans="1:18" x14ac:dyDescent="0.3">
      <c r="A1220">
        <v>197942</v>
      </c>
      <c r="B1220" t="s">
        <v>568</v>
      </c>
      <c r="C1220" t="s">
        <v>688</v>
      </c>
      <c r="D1220" t="s">
        <v>1740</v>
      </c>
      <c r="E1220" s="452">
        <v>46054</v>
      </c>
      <c r="F1220" s="452">
        <v>46091</v>
      </c>
      <c r="G1220" t="s">
        <v>666</v>
      </c>
      <c r="H1220" t="s">
        <v>667</v>
      </c>
      <c r="I1220" t="s">
        <v>1741</v>
      </c>
      <c r="J1220">
        <v>-2656</v>
      </c>
      <c r="K1220">
        <v>-2656</v>
      </c>
      <c r="O1220" t="s">
        <v>631</v>
      </c>
      <c r="P1220" t="s">
        <v>820</v>
      </c>
      <c r="Q1220" t="s">
        <v>462</v>
      </c>
      <c r="R1220">
        <v>0</v>
      </c>
    </row>
    <row r="1221" spans="1:18" x14ac:dyDescent="0.3">
      <c r="A1221">
        <v>191858</v>
      </c>
      <c r="B1221" t="s">
        <v>568</v>
      </c>
      <c r="C1221" t="s">
        <v>708</v>
      </c>
      <c r="D1221" t="s">
        <v>1742</v>
      </c>
      <c r="E1221" s="452">
        <v>46054</v>
      </c>
      <c r="F1221" s="452">
        <v>46074</v>
      </c>
      <c r="G1221" t="s">
        <v>280</v>
      </c>
      <c r="H1221" t="s">
        <v>283</v>
      </c>
      <c r="I1221" t="s">
        <v>1743</v>
      </c>
      <c r="J1221">
        <v>-342.96</v>
      </c>
      <c r="K1221">
        <v>-342.96</v>
      </c>
      <c r="O1221" t="s">
        <v>631</v>
      </c>
      <c r="P1221" t="s">
        <v>820</v>
      </c>
      <c r="Q1221" t="s">
        <v>462</v>
      </c>
      <c r="R1221">
        <v>0</v>
      </c>
    </row>
    <row r="1222" spans="1:18" x14ac:dyDescent="0.3">
      <c r="A1222">
        <v>211555</v>
      </c>
      <c r="B1222" t="s">
        <v>568</v>
      </c>
      <c r="C1222" t="s">
        <v>853</v>
      </c>
      <c r="D1222" t="s">
        <v>1744</v>
      </c>
      <c r="E1222" s="452">
        <v>46054</v>
      </c>
      <c r="F1222" s="452">
        <v>46086</v>
      </c>
      <c r="G1222" t="s">
        <v>265</v>
      </c>
      <c r="H1222" t="s">
        <v>273</v>
      </c>
      <c r="I1222" t="s">
        <v>1745</v>
      </c>
      <c r="J1222">
        <v>-24</v>
      </c>
      <c r="K1222">
        <v>-24</v>
      </c>
      <c r="O1222" t="s">
        <v>631</v>
      </c>
      <c r="P1222" t="s">
        <v>820</v>
      </c>
      <c r="Q1222" t="s">
        <v>462</v>
      </c>
      <c r="R1222">
        <v>0</v>
      </c>
    </row>
    <row r="1223" spans="1:18" x14ac:dyDescent="0.3">
      <c r="A1223">
        <v>191734</v>
      </c>
      <c r="B1223" t="s">
        <v>568</v>
      </c>
      <c r="C1223" t="s">
        <v>735</v>
      </c>
      <c r="D1223" t="s">
        <v>1746</v>
      </c>
      <c r="E1223" s="452">
        <v>46054</v>
      </c>
      <c r="F1223" s="452">
        <v>46068</v>
      </c>
      <c r="G1223" t="s">
        <v>309</v>
      </c>
      <c r="H1223" t="s">
        <v>310</v>
      </c>
      <c r="I1223" t="s">
        <v>1747</v>
      </c>
      <c r="J1223">
        <v>-2282.27</v>
      </c>
      <c r="K1223">
        <v>-2282.27</v>
      </c>
      <c r="O1223" t="s">
        <v>631</v>
      </c>
      <c r="P1223" t="s">
        <v>820</v>
      </c>
      <c r="Q1223" t="s">
        <v>462</v>
      </c>
      <c r="R1223">
        <v>0</v>
      </c>
    </row>
    <row r="1224" spans="1:18" x14ac:dyDescent="0.3">
      <c r="A1224">
        <v>211573</v>
      </c>
      <c r="B1224" t="s">
        <v>568</v>
      </c>
      <c r="C1224" t="s">
        <v>853</v>
      </c>
      <c r="D1224" t="s">
        <v>1748</v>
      </c>
      <c r="E1224" s="452">
        <v>46054</v>
      </c>
      <c r="F1224" s="452">
        <v>46086</v>
      </c>
      <c r="G1224" t="s">
        <v>931</v>
      </c>
      <c r="H1224" t="s">
        <v>932</v>
      </c>
      <c r="I1224" t="s">
        <v>1739</v>
      </c>
      <c r="J1224">
        <v>-45.37</v>
      </c>
      <c r="K1224">
        <v>-45.37</v>
      </c>
      <c r="O1224" t="s">
        <v>631</v>
      </c>
      <c r="P1224" t="s">
        <v>820</v>
      </c>
      <c r="Q1224" t="s">
        <v>462</v>
      </c>
      <c r="R1224">
        <v>0</v>
      </c>
    </row>
    <row r="1225" spans="1:18" x14ac:dyDescent="0.3">
      <c r="A1225">
        <v>211575</v>
      </c>
      <c r="B1225" t="s">
        <v>568</v>
      </c>
      <c r="C1225" t="s">
        <v>853</v>
      </c>
      <c r="D1225" t="s">
        <v>1749</v>
      </c>
      <c r="E1225" s="452">
        <v>46054</v>
      </c>
      <c r="F1225" s="452">
        <v>46086</v>
      </c>
      <c r="G1225" t="s">
        <v>931</v>
      </c>
      <c r="H1225" t="s">
        <v>932</v>
      </c>
      <c r="I1225" t="s">
        <v>1750</v>
      </c>
      <c r="J1225">
        <v>-20.25</v>
      </c>
      <c r="K1225">
        <v>-20.25</v>
      </c>
      <c r="O1225" t="s">
        <v>631</v>
      </c>
      <c r="P1225" t="s">
        <v>820</v>
      </c>
      <c r="Q1225" t="s">
        <v>462</v>
      </c>
      <c r="R1225">
        <v>0</v>
      </c>
    </row>
    <row r="1226" spans="1:18" x14ac:dyDescent="0.3">
      <c r="A1226">
        <v>191966</v>
      </c>
      <c r="B1226" t="s">
        <v>568</v>
      </c>
      <c r="C1226" t="s">
        <v>727</v>
      </c>
      <c r="D1226" t="s">
        <v>1751</v>
      </c>
      <c r="E1226" s="452">
        <v>46054</v>
      </c>
      <c r="F1226" s="452">
        <v>46078</v>
      </c>
      <c r="G1226" t="s">
        <v>265</v>
      </c>
      <c r="H1226" t="s">
        <v>272</v>
      </c>
      <c r="I1226" t="s">
        <v>1752</v>
      </c>
      <c r="J1226">
        <v>-587.1</v>
      </c>
      <c r="K1226">
        <v>-587.1</v>
      </c>
      <c r="O1226" t="s">
        <v>631</v>
      </c>
      <c r="P1226" t="s">
        <v>820</v>
      </c>
      <c r="Q1226" t="s">
        <v>462</v>
      </c>
      <c r="R1226">
        <v>0</v>
      </c>
    </row>
    <row r="1227" spans="1:18" x14ac:dyDescent="0.3">
      <c r="A1227">
        <v>211576</v>
      </c>
      <c r="B1227" t="s">
        <v>568</v>
      </c>
      <c r="C1227" t="s">
        <v>853</v>
      </c>
      <c r="D1227" t="s">
        <v>1753</v>
      </c>
      <c r="E1227" s="452">
        <v>46054</v>
      </c>
      <c r="F1227" s="452">
        <v>46086</v>
      </c>
      <c r="G1227" t="s">
        <v>931</v>
      </c>
      <c r="H1227" t="s">
        <v>932</v>
      </c>
      <c r="I1227" t="s">
        <v>1750</v>
      </c>
      <c r="J1227">
        <v>-19.5</v>
      </c>
      <c r="K1227">
        <v>-19.5</v>
      </c>
      <c r="O1227" t="s">
        <v>631</v>
      </c>
      <c r="P1227" t="s">
        <v>820</v>
      </c>
      <c r="Q1227" t="s">
        <v>462</v>
      </c>
      <c r="R1227">
        <v>0</v>
      </c>
    </row>
    <row r="1228" spans="1:18" x14ac:dyDescent="0.3">
      <c r="A1228">
        <v>192075</v>
      </c>
      <c r="B1228" t="s">
        <v>568</v>
      </c>
      <c r="C1228" t="s">
        <v>731</v>
      </c>
      <c r="D1228" t="s">
        <v>1754</v>
      </c>
      <c r="E1228" s="452">
        <v>46054</v>
      </c>
      <c r="F1228" s="452">
        <v>46069</v>
      </c>
      <c r="G1228" t="s">
        <v>319</v>
      </c>
      <c r="H1228" t="s">
        <v>321</v>
      </c>
      <c r="I1228" t="s">
        <v>1755</v>
      </c>
      <c r="J1228">
        <v>-130.06</v>
      </c>
      <c r="K1228">
        <v>-130.06</v>
      </c>
      <c r="O1228" t="s">
        <v>631</v>
      </c>
      <c r="P1228" t="s">
        <v>820</v>
      </c>
      <c r="Q1228" t="s">
        <v>462</v>
      </c>
      <c r="R1228">
        <v>0</v>
      </c>
    </row>
    <row r="1229" spans="1:18" x14ac:dyDescent="0.3">
      <c r="A1229">
        <v>211579</v>
      </c>
      <c r="B1229" t="s">
        <v>568</v>
      </c>
      <c r="C1229" t="s">
        <v>853</v>
      </c>
      <c r="D1229" t="s">
        <v>1756</v>
      </c>
      <c r="E1229" s="452">
        <v>46054</v>
      </c>
      <c r="F1229" s="452">
        <v>46086</v>
      </c>
      <c r="G1229" t="s">
        <v>931</v>
      </c>
      <c r="H1229" t="s">
        <v>932</v>
      </c>
      <c r="I1229" t="s">
        <v>1757</v>
      </c>
      <c r="J1229">
        <v>-38</v>
      </c>
      <c r="K1229">
        <v>-38</v>
      </c>
      <c r="O1229" t="s">
        <v>631</v>
      </c>
      <c r="P1229" t="s">
        <v>820</v>
      </c>
      <c r="Q1229" t="s">
        <v>462</v>
      </c>
      <c r="R1229">
        <v>0</v>
      </c>
    </row>
    <row r="1230" spans="1:18" x14ac:dyDescent="0.3">
      <c r="A1230">
        <v>192101</v>
      </c>
      <c r="B1230" t="s">
        <v>568</v>
      </c>
      <c r="C1230" t="s">
        <v>767</v>
      </c>
      <c r="D1230" t="s">
        <v>1758</v>
      </c>
      <c r="E1230" s="452">
        <v>46054</v>
      </c>
      <c r="F1230" s="452">
        <v>46086</v>
      </c>
      <c r="G1230" t="s">
        <v>309</v>
      </c>
      <c r="H1230" t="s">
        <v>315</v>
      </c>
      <c r="I1230" t="s">
        <v>1759</v>
      </c>
      <c r="J1230">
        <v>-981.02</v>
      </c>
      <c r="K1230">
        <v>-981.02</v>
      </c>
      <c r="O1230" t="s">
        <v>631</v>
      </c>
      <c r="P1230" t="s">
        <v>820</v>
      </c>
      <c r="Q1230" t="s">
        <v>462</v>
      </c>
      <c r="R1230">
        <v>0</v>
      </c>
    </row>
    <row r="1231" spans="1:18" x14ac:dyDescent="0.3">
      <c r="A1231">
        <v>192116</v>
      </c>
      <c r="B1231" t="s">
        <v>568</v>
      </c>
      <c r="C1231" t="s">
        <v>761</v>
      </c>
      <c r="D1231" t="s">
        <v>1760</v>
      </c>
      <c r="E1231" s="452">
        <v>46054</v>
      </c>
      <c r="F1231" s="452">
        <v>46073</v>
      </c>
      <c r="G1231" t="s">
        <v>309</v>
      </c>
      <c r="H1231" t="s">
        <v>312</v>
      </c>
      <c r="I1231" t="s">
        <v>1761</v>
      </c>
      <c r="J1231">
        <v>-300</v>
      </c>
      <c r="K1231">
        <v>-300</v>
      </c>
      <c r="O1231" t="s">
        <v>631</v>
      </c>
      <c r="P1231" t="s">
        <v>820</v>
      </c>
      <c r="Q1231" t="s">
        <v>462</v>
      </c>
      <c r="R1231">
        <v>0</v>
      </c>
    </row>
    <row r="1232" spans="1:18" x14ac:dyDescent="0.3">
      <c r="A1232">
        <v>197929</v>
      </c>
      <c r="B1232" t="s">
        <v>568</v>
      </c>
      <c r="C1232" t="s">
        <v>688</v>
      </c>
      <c r="D1232" t="s">
        <v>1740</v>
      </c>
      <c r="E1232" s="452">
        <v>46054</v>
      </c>
      <c r="F1232" s="452">
        <v>46073</v>
      </c>
      <c r="G1232" t="s">
        <v>666</v>
      </c>
      <c r="H1232" t="s">
        <v>667</v>
      </c>
      <c r="I1232" t="s">
        <v>1762</v>
      </c>
      <c r="J1232">
        <v>-2656</v>
      </c>
      <c r="K1232">
        <v>-2656</v>
      </c>
      <c r="O1232" t="s">
        <v>631</v>
      </c>
      <c r="P1232" t="s">
        <v>820</v>
      </c>
      <c r="Q1232" t="s">
        <v>462</v>
      </c>
      <c r="R1232">
        <v>0</v>
      </c>
    </row>
    <row r="1233" spans="1:18" x14ac:dyDescent="0.3">
      <c r="A1233">
        <v>211582</v>
      </c>
      <c r="B1233" t="s">
        <v>568</v>
      </c>
      <c r="C1233" t="s">
        <v>853</v>
      </c>
      <c r="D1233" t="s">
        <v>1763</v>
      </c>
      <c r="E1233" s="452">
        <v>46054</v>
      </c>
      <c r="F1233" s="452">
        <v>46086</v>
      </c>
      <c r="G1233" t="s">
        <v>683</v>
      </c>
      <c r="H1233" t="s">
        <v>292</v>
      </c>
      <c r="I1233" t="s">
        <v>1764</v>
      </c>
      <c r="J1233">
        <v>-25.8</v>
      </c>
      <c r="K1233">
        <v>-25.8</v>
      </c>
      <c r="O1233" t="s">
        <v>631</v>
      </c>
      <c r="P1233" t="s">
        <v>820</v>
      </c>
      <c r="Q1233" t="s">
        <v>462</v>
      </c>
      <c r="R1233">
        <v>0</v>
      </c>
    </row>
    <row r="1234" spans="1:18" x14ac:dyDescent="0.3">
      <c r="A1234">
        <v>211585</v>
      </c>
      <c r="B1234" t="s">
        <v>568</v>
      </c>
      <c r="C1234" t="s">
        <v>853</v>
      </c>
      <c r="D1234" t="s">
        <v>1765</v>
      </c>
      <c r="E1234" s="452">
        <v>46054</v>
      </c>
      <c r="F1234" s="452">
        <v>46086</v>
      </c>
      <c r="G1234" t="s">
        <v>265</v>
      </c>
      <c r="H1234" t="s">
        <v>269</v>
      </c>
      <c r="I1234" t="s">
        <v>1766</v>
      </c>
      <c r="J1234">
        <v>-25</v>
      </c>
      <c r="K1234">
        <v>-25</v>
      </c>
      <c r="O1234" t="s">
        <v>631</v>
      </c>
      <c r="P1234" t="s">
        <v>820</v>
      </c>
      <c r="Q1234" t="s">
        <v>462</v>
      </c>
      <c r="R1234">
        <v>0</v>
      </c>
    </row>
    <row r="1235" spans="1:18" x14ac:dyDescent="0.3">
      <c r="A1235">
        <v>190142</v>
      </c>
      <c r="B1235" t="s">
        <v>568</v>
      </c>
      <c r="C1235" t="s">
        <v>662</v>
      </c>
      <c r="D1235" t="s">
        <v>1767</v>
      </c>
      <c r="E1235" s="452">
        <v>46054</v>
      </c>
      <c r="F1235" s="452">
        <v>46076</v>
      </c>
      <c r="G1235" t="s">
        <v>280</v>
      </c>
      <c r="H1235" t="s">
        <v>284</v>
      </c>
      <c r="I1235" t="s">
        <v>1768</v>
      </c>
      <c r="J1235">
        <v>-181.27</v>
      </c>
      <c r="K1235">
        <v>-181.27</v>
      </c>
      <c r="O1235" t="s">
        <v>631</v>
      </c>
      <c r="P1235" t="s">
        <v>820</v>
      </c>
      <c r="Q1235" t="s">
        <v>462</v>
      </c>
      <c r="R1235">
        <v>0</v>
      </c>
    </row>
    <row r="1236" spans="1:18" x14ac:dyDescent="0.3">
      <c r="A1236">
        <v>199974</v>
      </c>
      <c r="B1236" t="s">
        <v>568</v>
      </c>
      <c r="C1236" t="s">
        <v>747</v>
      </c>
      <c r="D1236" t="s">
        <v>1433</v>
      </c>
      <c r="E1236" s="452">
        <v>46054</v>
      </c>
      <c r="F1236" s="452">
        <v>46096</v>
      </c>
      <c r="G1236" t="s">
        <v>677</v>
      </c>
      <c r="H1236" t="s">
        <v>678</v>
      </c>
      <c r="I1236" t="s">
        <v>745</v>
      </c>
      <c r="J1236">
        <v>-600</v>
      </c>
      <c r="K1236">
        <v>-600</v>
      </c>
      <c r="M1236" t="s">
        <v>748</v>
      </c>
      <c r="N1236" t="s">
        <v>75</v>
      </c>
      <c r="O1236" t="s">
        <v>631</v>
      </c>
      <c r="P1236" t="s">
        <v>820</v>
      </c>
      <c r="Q1236" t="s">
        <v>462</v>
      </c>
      <c r="R1236">
        <v>0</v>
      </c>
    </row>
    <row r="1237" spans="1:18" x14ac:dyDescent="0.3">
      <c r="A1237">
        <v>199986</v>
      </c>
      <c r="B1237" t="s">
        <v>568</v>
      </c>
      <c r="C1237" t="s">
        <v>771</v>
      </c>
      <c r="D1237" t="s">
        <v>1769</v>
      </c>
      <c r="E1237" s="452">
        <v>46054</v>
      </c>
      <c r="F1237" s="452">
        <v>46096</v>
      </c>
      <c r="G1237" t="s">
        <v>677</v>
      </c>
      <c r="H1237" t="s">
        <v>678</v>
      </c>
      <c r="I1237" t="s">
        <v>745</v>
      </c>
      <c r="J1237">
        <v>-1750</v>
      </c>
      <c r="K1237">
        <v>-1750</v>
      </c>
      <c r="M1237" t="s">
        <v>772</v>
      </c>
      <c r="N1237" t="s">
        <v>135</v>
      </c>
      <c r="O1237" t="s">
        <v>631</v>
      </c>
      <c r="P1237" t="s">
        <v>820</v>
      </c>
      <c r="Q1237" t="s">
        <v>462</v>
      </c>
      <c r="R1237">
        <v>0</v>
      </c>
    </row>
    <row r="1238" spans="1:18" x14ac:dyDescent="0.3">
      <c r="A1238">
        <v>199999</v>
      </c>
      <c r="B1238" t="s">
        <v>568</v>
      </c>
      <c r="C1238" t="s">
        <v>759</v>
      </c>
      <c r="D1238" t="s">
        <v>1770</v>
      </c>
      <c r="E1238" s="452">
        <v>46054</v>
      </c>
      <c r="F1238" s="452">
        <v>46090</v>
      </c>
      <c r="G1238" t="s">
        <v>677</v>
      </c>
      <c r="H1238" t="s">
        <v>678</v>
      </c>
      <c r="I1238" t="s">
        <v>745</v>
      </c>
      <c r="J1238">
        <v>-1125</v>
      </c>
      <c r="K1238">
        <v>-1125</v>
      </c>
      <c r="M1238" t="s">
        <v>760</v>
      </c>
      <c r="N1238" t="s">
        <v>131</v>
      </c>
      <c r="O1238" t="s">
        <v>631</v>
      </c>
      <c r="P1238" t="s">
        <v>820</v>
      </c>
      <c r="Q1238" t="s">
        <v>462</v>
      </c>
      <c r="R1238">
        <v>0</v>
      </c>
    </row>
    <row r="1239" spans="1:18" x14ac:dyDescent="0.3">
      <c r="A1239">
        <v>199946</v>
      </c>
      <c r="B1239" t="s">
        <v>568</v>
      </c>
      <c r="C1239" t="s">
        <v>676</v>
      </c>
      <c r="D1239" t="s">
        <v>1771</v>
      </c>
      <c r="E1239" s="452">
        <v>46054</v>
      </c>
      <c r="F1239" s="452">
        <v>46085</v>
      </c>
      <c r="G1239" t="s">
        <v>677</v>
      </c>
      <c r="H1239" t="s">
        <v>678</v>
      </c>
      <c r="I1239" t="s">
        <v>1772</v>
      </c>
      <c r="J1239">
        <v>-1350</v>
      </c>
      <c r="K1239">
        <v>-1350</v>
      </c>
      <c r="M1239" t="s">
        <v>680</v>
      </c>
      <c r="N1239" t="s">
        <v>134</v>
      </c>
      <c r="O1239" t="s">
        <v>631</v>
      </c>
      <c r="P1239" t="s">
        <v>820</v>
      </c>
      <c r="Q1239" t="s">
        <v>462</v>
      </c>
      <c r="R1239">
        <v>0</v>
      </c>
    </row>
    <row r="1240" spans="1:18" x14ac:dyDescent="0.3">
      <c r="A1240">
        <v>203553</v>
      </c>
      <c r="B1240" t="s">
        <v>568</v>
      </c>
      <c r="C1240" t="s">
        <v>671</v>
      </c>
      <c r="D1240" t="s">
        <v>1773</v>
      </c>
      <c r="E1240" s="452">
        <v>46054</v>
      </c>
      <c r="F1240" s="452">
        <v>46062</v>
      </c>
      <c r="G1240" t="s">
        <v>672</v>
      </c>
      <c r="H1240" t="s">
        <v>240</v>
      </c>
      <c r="I1240" t="s">
        <v>1774</v>
      </c>
      <c r="J1240">
        <v>-313.66000000000003</v>
      </c>
      <c r="K1240">
        <v>-313.66000000000003</v>
      </c>
      <c r="O1240" t="s">
        <v>631</v>
      </c>
      <c r="P1240" t="s">
        <v>820</v>
      </c>
      <c r="Q1240" t="s">
        <v>462</v>
      </c>
      <c r="R1240">
        <v>0</v>
      </c>
    </row>
    <row r="1241" spans="1:18" x14ac:dyDescent="0.3">
      <c r="A1241">
        <v>204967</v>
      </c>
      <c r="B1241" t="s">
        <v>568</v>
      </c>
      <c r="C1241" t="s">
        <v>685</v>
      </c>
      <c r="D1241" t="s">
        <v>1775</v>
      </c>
      <c r="E1241" s="452">
        <v>46054</v>
      </c>
      <c r="F1241" s="452">
        <v>46086</v>
      </c>
      <c r="G1241" t="s">
        <v>672</v>
      </c>
      <c r="H1241" t="s">
        <v>243</v>
      </c>
      <c r="I1241" t="s">
        <v>686</v>
      </c>
      <c r="J1241">
        <v>-69.22</v>
      </c>
      <c r="K1241">
        <v>-69.22</v>
      </c>
      <c r="O1241" t="s">
        <v>631</v>
      </c>
      <c r="P1241" t="s">
        <v>820</v>
      </c>
      <c r="Q1241" t="s">
        <v>462</v>
      </c>
      <c r="R1241">
        <v>0</v>
      </c>
    </row>
    <row r="1242" spans="1:18" x14ac:dyDescent="0.3">
      <c r="A1242">
        <v>199352</v>
      </c>
      <c r="B1242" t="s">
        <v>568</v>
      </c>
      <c r="C1242" t="s">
        <v>744</v>
      </c>
      <c r="D1242" t="s">
        <v>1776</v>
      </c>
      <c r="E1242" s="452">
        <v>46054</v>
      </c>
      <c r="F1242" s="452">
        <v>46090</v>
      </c>
      <c r="G1242" t="s">
        <v>677</v>
      </c>
      <c r="H1242" t="s">
        <v>678</v>
      </c>
      <c r="I1242" t="s">
        <v>745</v>
      </c>
      <c r="J1242">
        <v>-1500</v>
      </c>
      <c r="K1242">
        <v>-1500</v>
      </c>
      <c r="M1242" t="s">
        <v>746</v>
      </c>
      <c r="N1242" t="s">
        <v>131</v>
      </c>
      <c r="O1242" t="s">
        <v>631</v>
      </c>
      <c r="P1242" t="s">
        <v>820</v>
      </c>
      <c r="Q1242" t="s">
        <v>462</v>
      </c>
      <c r="R1242">
        <v>0</v>
      </c>
    </row>
    <row r="1243" spans="1:18" x14ac:dyDescent="0.3">
      <c r="A1243">
        <v>189738</v>
      </c>
      <c r="B1243" t="s">
        <v>568</v>
      </c>
      <c r="C1243" t="s">
        <v>757</v>
      </c>
      <c r="D1243" t="s">
        <v>1777</v>
      </c>
      <c r="E1243" s="452">
        <v>46054</v>
      </c>
      <c r="F1243" s="452">
        <v>46073</v>
      </c>
      <c r="G1243" t="s">
        <v>309</v>
      </c>
      <c r="H1243" t="s">
        <v>317</v>
      </c>
      <c r="I1243" t="s">
        <v>1778</v>
      </c>
      <c r="J1243">
        <v>-350</v>
      </c>
      <c r="K1243">
        <v>-357.58</v>
      </c>
      <c r="O1243" t="s">
        <v>631</v>
      </c>
      <c r="P1243" t="s">
        <v>820</v>
      </c>
      <c r="Q1243" t="s">
        <v>462</v>
      </c>
      <c r="R1243">
        <v>0</v>
      </c>
    </row>
    <row r="1244" spans="1:18" x14ac:dyDescent="0.3">
      <c r="A1244">
        <v>189760</v>
      </c>
      <c r="B1244" t="s">
        <v>568</v>
      </c>
      <c r="C1244" t="s">
        <v>742</v>
      </c>
      <c r="D1244" t="s">
        <v>1779</v>
      </c>
      <c r="E1244" s="452">
        <v>46054</v>
      </c>
      <c r="F1244" s="452">
        <v>46063</v>
      </c>
      <c r="G1244" t="s">
        <v>280</v>
      </c>
      <c r="H1244" t="s">
        <v>282</v>
      </c>
      <c r="I1244" t="s">
        <v>1780</v>
      </c>
      <c r="J1244">
        <v>-249.9</v>
      </c>
      <c r="K1244">
        <v>-255.05</v>
      </c>
      <c r="O1244" t="s">
        <v>631</v>
      </c>
      <c r="P1244" t="s">
        <v>820</v>
      </c>
      <c r="Q1244" t="s">
        <v>462</v>
      </c>
      <c r="R1244">
        <v>0</v>
      </c>
    </row>
    <row r="1245" spans="1:18" x14ac:dyDescent="0.3">
      <c r="A1245">
        <v>211548</v>
      </c>
      <c r="B1245" t="s">
        <v>568</v>
      </c>
      <c r="C1245" t="s">
        <v>853</v>
      </c>
      <c r="D1245" t="s">
        <v>1781</v>
      </c>
      <c r="E1245" s="452">
        <v>46054</v>
      </c>
      <c r="F1245" s="452">
        <v>46086</v>
      </c>
      <c r="G1245" t="s">
        <v>683</v>
      </c>
      <c r="H1245" t="s">
        <v>290</v>
      </c>
      <c r="I1245" t="s">
        <v>1782</v>
      </c>
      <c r="J1245">
        <v>-90</v>
      </c>
      <c r="K1245">
        <v>-90</v>
      </c>
      <c r="O1245" t="s">
        <v>631</v>
      </c>
      <c r="P1245" t="s">
        <v>820</v>
      </c>
      <c r="Q1245" t="s">
        <v>462</v>
      </c>
      <c r="R1245">
        <v>0</v>
      </c>
    </row>
    <row r="1246" spans="1:18" x14ac:dyDescent="0.3">
      <c r="A1246">
        <v>199339</v>
      </c>
      <c r="B1246" t="s">
        <v>568</v>
      </c>
      <c r="C1246" t="s">
        <v>753</v>
      </c>
      <c r="D1246" t="s">
        <v>1783</v>
      </c>
      <c r="E1246" s="452">
        <v>46054</v>
      </c>
      <c r="F1246" s="452">
        <v>46100</v>
      </c>
      <c r="G1246" t="s">
        <v>677</v>
      </c>
      <c r="H1246" t="s">
        <v>678</v>
      </c>
      <c r="I1246" t="s">
        <v>754</v>
      </c>
      <c r="J1246">
        <v>-8000</v>
      </c>
      <c r="K1246">
        <v>-8000</v>
      </c>
      <c r="M1246" t="s">
        <v>755</v>
      </c>
      <c r="N1246" t="s">
        <v>132</v>
      </c>
      <c r="O1246" t="s">
        <v>631</v>
      </c>
      <c r="P1246" t="s">
        <v>820</v>
      </c>
      <c r="Q1246" t="s">
        <v>462</v>
      </c>
      <c r="R1246">
        <v>0</v>
      </c>
    </row>
    <row r="1247" spans="1:18" x14ac:dyDescent="0.3">
      <c r="A1247">
        <v>211289</v>
      </c>
      <c r="B1247" t="s">
        <v>568</v>
      </c>
      <c r="C1247" t="s">
        <v>908</v>
      </c>
      <c r="D1247" t="s">
        <v>1784</v>
      </c>
      <c r="E1247" s="452">
        <v>46054</v>
      </c>
      <c r="F1247" s="452">
        <v>46093</v>
      </c>
      <c r="G1247" t="s">
        <v>297</v>
      </c>
      <c r="H1247" t="s">
        <v>308</v>
      </c>
      <c r="I1247" t="s">
        <v>1350</v>
      </c>
      <c r="J1247">
        <v>-82.74</v>
      </c>
      <c r="K1247">
        <v>0</v>
      </c>
      <c r="O1247" t="s">
        <v>631</v>
      </c>
      <c r="P1247" t="s">
        <v>820</v>
      </c>
      <c r="Q1247" t="s">
        <v>462</v>
      </c>
      <c r="R1247">
        <v>0</v>
      </c>
    </row>
    <row r="1248" spans="1:18" x14ac:dyDescent="0.3">
      <c r="A1248">
        <v>211319</v>
      </c>
      <c r="B1248" t="s">
        <v>568</v>
      </c>
      <c r="C1248" t="s">
        <v>908</v>
      </c>
      <c r="D1248" t="s">
        <v>1785</v>
      </c>
      <c r="E1248" s="452">
        <v>46054</v>
      </c>
      <c r="F1248" s="452">
        <v>46093</v>
      </c>
      <c r="G1248" t="s">
        <v>297</v>
      </c>
      <c r="H1248" t="s">
        <v>308</v>
      </c>
      <c r="I1248" t="s">
        <v>1350</v>
      </c>
      <c r="J1248">
        <v>-349.05</v>
      </c>
      <c r="K1248">
        <v>0</v>
      </c>
      <c r="O1248" t="s">
        <v>631</v>
      </c>
      <c r="P1248" t="s">
        <v>820</v>
      </c>
      <c r="Q1248" t="s">
        <v>462</v>
      </c>
      <c r="R1248">
        <v>0</v>
      </c>
    </row>
    <row r="1249" spans="1:18" x14ac:dyDescent="0.3">
      <c r="A1249">
        <v>211531</v>
      </c>
      <c r="B1249" t="s">
        <v>568</v>
      </c>
      <c r="C1249" t="s">
        <v>908</v>
      </c>
      <c r="D1249" t="s">
        <v>1786</v>
      </c>
      <c r="E1249" s="452">
        <v>46054</v>
      </c>
      <c r="F1249" s="452">
        <v>46093</v>
      </c>
      <c r="G1249" t="s">
        <v>297</v>
      </c>
      <c r="H1249" t="s">
        <v>308</v>
      </c>
      <c r="I1249" t="s">
        <v>1350</v>
      </c>
      <c r="J1249">
        <v>-322.89999999999998</v>
      </c>
      <c r="K1249">
        <v>0</v>
      </c>
      <c r="O1249" t="s">
        <v>631</v>
      </c>
      <c r="P1249" t="s">
        <v>820</v>
      </c>
      <c r="Q1249" t="s">
        <v>462</v>
      </c>
      <c r="R1249">
        <v>0</v>
      </c>
    </row>
    <row r="1250" spans="1:18" x14ac:dyDescent="0.3">
      <c r="A1250">
        <v>211544</v>
      </c>
      <c r="B1250" t="s">
        <v>568</v>
      </c>
      <c r="C1250" t="s">
        <v>853</v>
      </c>
      <c r="D1250" t="s">
        <v>1787</v>
      </c>
      <c r="E1250" s="452">
        <v>46054</v>
      </c>
      <c r="F1250" s="452">
        <v>46086</v>
      </c>
      <c r="G1250" t="s">
        <v>931</v>
      </c>
      <c r="H1250" t="s">
        <v>932</v>
      </c>
      <c r="I1250" t="s">
        <v>1788</v>
      </c>
      <c r="J1250">
        <v>-25.11</v>
      </c>
      <c r="K1250">
        <v>-25.11</v>
      </c>
      <c r="O1250" t="s">
        <v>631</v>
      </c>
      <c r="P1250" t="s">
        <v>820</v>
      </c>
      <c r="Q1250" t="s">
        <v>462</v>
      </c>
      <c r="R1250">
        <v>0</v>
      </c>
    </row>
    <row r="1251" spans="1:18" x14ac:dyDescent="0.3">
      <c r="A1251">
        <v>211545</v>
      </c>
      <c r="B1251" t="s">
        <v>568</v>
      </c>
      <c r="C1251" t="s">
        <v>853</v>
      </c>
      <c r="D1251" t="s">
        <v>1789</v>
      </c>
      <c r="E1251" s="452">
        <v>46054</v>
      </c>
      <c r="F1251" s="452">
        <v>46086</v>
      </c>
      <c r="G1251" t="s">
        <v>931</v>
      </c>
      <c r="H1251" t="s">
        <v>932</v>
      </c>
      <c r="I1251" t="s">
        <v>1788</v>
      </c>
      <c r="J1251">
        <v>-24.99</v>
      </c>
      <c r="K1251">
        <v>-24.99</v>
      </c>
      <c r="O1251" t="s">
        <v>631</v>
      </c>
      <c r="P1251" t="s">
        <v>820</v>
      </c>
      <c r="Q1251" t="s">
        <v>462</v>
      </c>
      <c r="R1251">
        <v>0</v>
      </c>
    </row>
    <row r="1252" spans="1:18" x14ac:dyDescent="0.3">
      <c r="A1252">
        <v>211581</v>
      </c>
      <c r="B1252" t="s">
        <v>568</v>
      </c>
      <c r="C1252" t="s">
        <v>853</v>
      </c>
      <c r="D1252" t="s">
        <v>1790</v>
      </c>
      <c r="E1252" s="452">
        <v>46054</v>
      </c>
      <c r="F1252" s="452">
        <v>46086</v>
      </c>
      <c r="G1252" t="s">
        <v>683</v>
      </c>
      <c r="H1252" t="s">
        <v>292</v>
      </c>
      <c r="I1252" t="s">
        <v>1791</v>
      </c>
      <c r="J1252">
        <v>-216</v>
      </c>
      <c r="K1252">
        <v>-216</v>
      </c>
      <c r="O1252" t="s">
        <v>631</v>
      </c>
      <c r="P1252" t="s">
        <v>820</v>
      </c>
      <c r="Q1252" t="s">
        <v>462</v>
      </c>
      <c r="R1252">
        <v>0</v>
      </c>
    </row>
    <row r="1253" spans="1:18" x14ac:dyDescent="0.3">
      <c r="A1253">
        <v>211546</v>
      </c>
      <c r="B1253" t="s">
        <v>568</v>
      </c>
      <c r="C1253" t="s">
        <v>853</v>
      </c>
      <c r="D1253" t="s">
        <v>1792</v>
      </c>
      <c r="E1253" s="452">
        <v>46054</v>
      </c>
      <c r="F1253" s="452">
        <v>46086</v>
      </c>
      <c r="G1253" t="s">
        <v>683</v>
      </c>
      <c r="H1253" t="s">
        <v>292</v>
      </c>
      <c r="I1253" t="s">
        <v>1793</v>
      </c>
      <c r="J1253">
        <v>-39</v>
      </c>
      <c r="K1253">
        <v>-39</v>
      </c>
      <c r="O1253" t="s">
        <v>631</v>
      </c>
      <c r="P1253" t="s">
        <v>820</v>
      </c>
      <c r="Q1253" t="s">
        <v>462</v>
      </c>
      <c r="R1253">
        <v>0</v>
      </c>
    </row>
    <row r="1254" spans="1:18" x14ac:dyDescent="0.3">
      <c r="A1254">
        <v>191810</v>
      </c>
      <c r="B1254" t="s">
        <v>568</v>
      </c>
      <c r="C1254" t="s">
        <v>740</v>
      </c>
      <c r="D1254" t="s">
        <v>1794</v>
      </c>
      <c r="E1254" s="452">
        <v>46054</v>
      </c>
      <c r="F1254" s="452">
        <v>46078</v>
      </c>
      <c r="G1254" t="s">
        <v>265</v>
      </c>
      <c r="H1254" t="s">
        <v>266</v>
      </c>
      <c r="I1254" t="s">
        <v>1795</v>
      </c>
      <c r="J1254">
        <v>-5399.84</v>
      </c>
      <c r="K1254">
        <v>-5399.84</v>
      </c>
      <c r="O1254" t="s">
        <v>631</v>
      </c>
      <c r="P1254" t="s">
        <v>820</v>
      </c>
      <c r="Q1254" t="s">
        <v>462</v>
      </c>
      <c r="R1254">
        <v>0</v>
      </c>
    </row>
    <row r="1255" spans="1:18" x14ac:dyDescent="0.3">
      <c r="A1255">
        <v>213662</v>
      </c>
      <c r="B1255" t="s">
        <v>568</v>
      </c>
      <c r="C1255" t="s">
        <v>1068</v>
      </c>
      <c r="E1255" s="452">
        <v>46054</v>
      </c>
      <c r="F1255" s="452">
        <v>46054</v>
      </c>
      <c r="G1255" t="s">
        <v>280</v>
      </c>
      <c r="H1255" t="s">
        <v>285</v>
      </c>
      <c r="I1255" t="s">
        <v>1201</v>
      </c>
      <c r="J1255">
        <v>-60</v>
      </c>
      <c r="K1255">
        <v>-60</v>
      </c>
      <c r="O1255" t="s">
        <v>631</v>
      </c>
      <c r="P1255" t="s">
        <v>820</v>
      </c>
      <c r="Q1255" t="s">
        <v>462</v>
      </c>
      <c r="R1255">
        <v>0</v>
      </c>
    </row>
    <row r="1256" spans="1:18" x14ac:dyDescent="0.3">
      <c r="A1256">
        <v>211609</v>
      </c>
      <c r="B1256" t="s">
        <v>568</v>
      </c>
      <c r="C1256" t="s">
        <v>853</v>
      </c>
      <c r="D1256" t="s">
        <v>1796</v>
      </c>
      <c r="E1256" s="452">
        <v>46054</v>
      </c>
      <c r="F1256" s="452">
        <v>46086</v>
      </c>
      <c r="G1256" t="s">
        <v>265</v>
      </c>
      <c r="H1256" t="s">
        <v>276</v>
      </c>
      <c r="I1256" t="s">
        <v>1797</v>
      </c>
      <c r="J1256">
        <v>-90</v>
      </c>
      <c r="K1256">
        <v>-90</v>
      </c>
      <c r="O1256" t="s">
        <v>631</v>
      </c>
      <c r="P1256" t="s">
        <v>820</v>
      </c>
      <c r="Q1256" t="s">
        <v>462</v>
      </c>
      <c r="R1256">
        <v>0</v>
      </c>
    </row>
    <row r="1257" spans="1:18" x14ac:dyDescent="0.3">
      <c r="A1257">
        <v>192829</v>
      </c>
      <c r="B1257" t="s">
        <v>568</v>
      </c>
      <c r="C1257" t="s">
        <v>1798</v>
      </c>
      <c r="D1257" t="s">
        <v>1799</v>
      </c>
      <c r="E1257" s="452">
        <v>46054</v>
      </c>
      <c r="F1257" s="452">
        <v>46076</v>
      </c>
      <c r="G1257" t="s">
        <v>309</v>
      </c>
      <c r="H1257" t="s">
        <v>317</v>
      </c>
      <c r="I1257" t="s">
        <v>1800</v>
      </c>
      <c r="J1257">
        <v>-200</v>
      </c>
      <c r="K1257">
        <v>-200</v>
      </c>
      <c r="O1257" t="s">
        <v>631</v>
      </c>
      <c r="P1257" t="s">
        <v>820</v>
      </c>
      <c r="Q1257" t="s">
        <v>462</v>
      </c>
      <c r="R1257">
        <v>0</v>
      </c>
    </row>
    <row r="1258" spans="1:18" x14ac:dyDescent="0.3">
      <c r="A1258">
        <v>212519</v>
      </c>
      <c r="B1258" t="s">
        <v>568</v>
      </c>
      <c r="C1258" t="s">
        <v>853</v>
      </c>
      <c r="D1258" t="s">
        <v>1801</v>
      </c>
      <c r="E1258" s="452">
        <v>46054</v>
      </c>
      <c r="F1258" s="452">
        <v>46086</v>
      </c>
      <c r="G1258" t="s">
        <v>931</v>
      </c>
      <c r="H1258" t="s">
        <v>932</v>
      </c>
      <c r="I1258" t="s">
        <v>1802</v>
      </c>
      <c r="J1258">
        <v>-20.22</v>
      </c>
      <c r="K1258">
        <v>-20.22</v>
      </c>
      <c r="O1258" t="s">
        <v>631</v>
      </c>
      <c r="P1258" t="s">
        <v>820</v>
      </c>
      <c r="Q1258" t="s">
        <v>462</v>
      </c>
      <c r="R1258">
        <v>0</v>
      </c>
    </row>
    <row r="1259" spans="1:18" x14ac:dyDescent="0.3">
      <c r="A1259">
        <v>213321</v>
      </c>
      <c r="B1259" t="s">
        <v>568</v>
      </c>
      <c r="C1259" t="s">
        <v>676</v>
      </c>
      <c r="D1259" t="s">
        <v>1803</v>
      </c>
      <c r="E1259" s="452">
        <v>46054</v>
      </c>
      <c r="F1259" s="452">
        <v>46096</v>
      </c>
      <c r="G1259" t="s">
        <v>677</v>
      </c>
      <c r="H1259" t="s">
        <v>678</v>
      </c>
      <c r="I1259" t="s">
        <v>679</v>
      </c>
      <c r="J1259">
        <v>-1350</v>
      </c>
      <c r="K1259">
        <v>-1350</v>
      </c>
      <c r="M1259" t="s">
        <v>680</v>
      </c>
      <c r="N1259" t="s">
        <v>134</v>
      </c>
      <c r="O1259" t="s">
        <v>631</v>
      </c>
      <c r="P1259" t="s">
        <v>820</v>
      </c>
      <c r="Q1259" t="s">
        <v>462</v>
      </c>
      <c r="R1259">
        <v>0</v>
      </c>
    </row>
    <row r="1260" spans="1:18" x14ac:dyDescent="0.3">
      <c r="A1260">
        <v>175523</v>
      </c>
      <c r="B1260" t="s">
        <v>568</v>
      </c>
      <c r="C1260" t="s">
        <v>606</v>
      </c>
      <c r="D1260" t="s">
        <v>1804</v>
      </c>
      <c r="E1260" s="452">
        <v>46054</v>
      </c>
      <c r="F1260" s="452">
        <v>46055</v>
      </c>
      <c r="G1260" t="s">
        <v>613</v>
      </c>
      <c r="H1260" t="s">
        <v>369</v>
      </c>
      <c r="I1260" t="s">
        <v>1578</v>
      </c>
      <c r="J1260">
        <v>-5792.21</v>
      </c>
      <c r="K1260">
        <v>-5792.21</v>
      </c>
      <c r="O1260" t="s">
        <v>631</v>
      </c>
      <c r="P1260" t="s">
        <v>820</v>
      </c>
      <c r="Q1260" t="s">
        <v>462</v>
      </c>
      <c r="R1260">
        <v>0</v>
      </c>
    </row>
    <row r="1261" spans="1:18" x14ac:dyDescent="0.3">
      <c r="A1261">
        <v>192899</v>
      </c>
      <c r="B1261" t="s">
        <v>568</v>
      </c>
      <c r="C1261" t="s">
        <v>671</v>
      </c>
      <c r="D1261" t="s">
        <v>1805</v>
      </c>
      <c r="E1261" s="452">
        <v>46054</v>
      </c>
      <c r="F1261" s="452">
        <v>46056</v>
      </c>
      <c r="G1261" t="s">
        <v>672</v>
      </c>
      <c r="H1261" t="s">
        <v>240</v>
      </c>
      <c r="I1261" t="s">
        <v>1806</v>
      </c>
      <c r="J1261">
        <v>-300</v>
      </c>
      <c r="K1261">
        <v>-300</v>
      </c>
      <c r="O1261" t="s">
        <v>631</v>
      </c>
      <c r="P1261" t="s">
        <v>820</v>
      </c>
      <c r="Q1261" t="s">
        <v>462</v>
      </c>
      <c r="R1261">
        <v>0</v>
      </c>
    </row>
    <row r="1262" spans="1:18" x14ac:dyDescent="0.3">
      <c r="A1262">
        <v>213660</v>
      </c>
      <c r="B1262" t="s">
        <v>568</v>
      </c>
      <c r="C1262" t="s">
        <v>1068</v>
      </c>
      <c r="E1262" s="452">
        <v>46054</v>
      </c>
      <c r="F1262" s="452">
        <v>46054</v>
      </c>
      <c r="G1262" t="s">
        <v>280</v>
      </c>
      <c r="H1262" t="s">
        <v>285</v>
      </c>
      <c r="I1262" t="s">
        <v>1200</v>
      </c>
      <c r="J1262">
        <v>-160</v>
      </c>
      <c r="K1262">
        <v>-160</v>
      </c>
      <c r="O1262" t="s">
        <v>631</v>
      </c>
      <c r="P1262" t="s">
        <v>820</v>
      </c>
      <c r="Q1262" t="s">
        <v>462</v>
      </c>
      <c r="R1262">
        <v>0</v>
      </c>
    </row>
    <row r="1263" spans="1:18" x14ac:dyDescent="0.3">
      <c r="A1263">
        <v>192174</v>
      </c>
      <c r="B1263" t="s">
        <v>568</v>
      </c>
      <c r="C1263" t="s">
        <v>1257</v>
      </c>
      <c r="D1263" t="s">
        <v>1807</v>
      </c>
      <c r="E1263" s="452">
        <v>46054</v>
      </c>
      <c r="F1263" s="452">
        <v>46073</v>
      </c>
      <c r="G1263" t="s">
        <v>265</v>
      </c>
      <c r="H1263" t="s">
        <v>271</v>
      </c>
      <c r="I1263" t="s">
        <v>774</v>
      </c>
      <c r="J1263">
        <v>-550</v>
      </c>
      <c r="K1263">
        <v>-550</v>
      </c>
      <c r="O1263" t="s">
        <v>631</v>
      </c>
      <c r="P1263" t="s">
        <v>820</v>
      </c>
      <c r="Q1263" t="s">
        <v>462</v>
      </c>
      <c r="R1263">
        <v>0</v>
      </c>
    </row>
    <row r="1264" spans="1:18" x14ac:dyDescent="0.3">
      <c r="A1264">
        <v>193012</v>
      </c>
      <c r="B1264" t="s">
        <v>568</v>
      </c>
      <c r="C1264" t="s">
        <v>769</v>
      </c>
      <c r="D1264" t="s">
        <v>1697</v>
      </c>
      <c r="E1264" s="452">
        <v>46054</v>
      </c>
      <c r="F1264" s="452">
        <v>46086</v>
      </c>
      <c r="G1264" t="s">
        <v>280</v>
      </c>
      <c r="H1264" t="s">
        <v>283</v>
      </c>
      <c r="I1264" t="s">
        <v>1808</v>
      </c>
      <c r="J1264">
        <v>-23.5</v>
      </c>
      <c r="K1264">
        <v>-23.5</v>
      </c>
      <c r="O1264" t="s">
        <v>631</v>
      </c>
      <c r="P1264" t="s">
        <v>820</v>
      </c>
      <c r="Q1264" t="s">
        <v>462</v>
      </c>
      <c r="R1264">
        <v>0</v>
      </c>
    </row>
    <row r="1265" spans="1:18" x14ac:dyDescent="0.3">
      <c r="A1265">
        <v>213661</v>
      </c>
      <c r="B1265" t="s">
        <v>568</v>
      </c>
      <c r="C1265" t="s">
        <v>1068</v>
      </c>
      <c r="E1265" s="452">
        <v>46054</v>
      </c>
      <c r="F1265" s="452">
        <v>46054</v>
      </c>
      <c r="G1265" t="s">
        <v>280</v>
      </c>
      <c r="H1265" t="s">
        <v>285</v>
      </c>
      <c r="I1265" t="s">
        <v>1202</v>
      </c>
      <c r="J1265">
        <v>-40</v>
      </c>
      <c r="K1265">
        <v>-40</v>
      </c>
      <c r="O1265" t="s">
        <v>631</v>
      </c>
      <c r="P1265" t="s">
        <v>820</v>
      </c>
      <c r="Q1265" t="s">
        <v>462</v>
      </c>
      <c r="R1265">
        <v>0</v>
      </c>
    </row>
    <row r="1266" spans="1:18" x14ac:dyDescent="0.3">
      <c r="A1266">
        <v>193412</v>
      </c>
      <c r="B1266" t="s">
        <v>568</v>
      </c>
      <c r="C1266" t="s">
        <v>723</v>
      </c>
      <c r="D1266" t="s">
        <v>1809</v>
      </c>
      <c r="E1266" s="452">
        <v>46054</v>
      </c>
      <c r="F1266" s="452">
        <v>46082</v>
      </c>
      <c r="G1266" t="s">
        <v>724</v>
      </c>
      <c r="H1266" t="s">
        <v>725</v>
      </c>
      <c r="I1266" t="s">
        <v>1810</v>
      </c>
      <c r="J1266">
        <v>-400</v>
      </c>
      <c r="K1266">
        <v>-400</v>
      </c>
      <c r="O1266" t="s">
        <v>631</v>
      </c>
      <c r="P1266" t="s">
        <v>820</v>
      </c>
      <c r="Q1266" t="s">
        <v>462</v>
      </c>
      <c r="R1266">
        <v>0</v>
      </c>
    </row>
    <row r="1267" spans="1:18" x14ac:dyDescent="0.3">
      <c r="A1267">
        <v>214099</v>
      </c>
      <c r="B1267" t="s">
        <v>568</v>
      </c>
      <c r="C1267" t="s">
        <v>853</v>
      </c>
      <c r="D1267" t="s">
        <v>1811</v>
      </c>
      <c r="E1267" s="452">
        <v>46054</v>
      </c>
      <c r="F1267" s="452">
        <v>46086</v>
      </c>
      <c r="G1267" t="s">
        <v>931</v>
      </c>
      <c r="H1267" t="s">
        <v>932</v>
      </c>
      <c r="I1267" t="s">
        <v>1812</v>
      </c>
      <c r="J1267">
        <v>-25.11</v>
      </c>
      <c r="K1267">
        <v>-25.11</v>
      </c>
      <c r="O1267" t="s">
        <v>631</v>
      </c>
      <c r="P1267" t="s">
        <v>820</v>
      </c>
      <c r="Q1267" t="s">
        <v>462</v>
      </c>
      <c r="R1267">
        <v>0</v>
      </c>
    </row>
    <row r="1268" spans="1:18" x14ac:dyDescent="0.3">
      <c r="A1268">
        <v>214987</v>
      </c>
      <c r="B1268" t="s">
        <v>568</v>
      </c>
      <c r="C1268" t="s">
        <v>676</v>
      </c>
      <c r="D1268" t="s">
        <v>1813</v>
      </c>
      <c r="E1268" s="452">
        <v>46054</v>
      </c>
      <c r="F1268" s="452">
        <v>46106</v>
      </c>
      <c r="G1268" t="s">
        <v>705</v>
      </c>
      <c r="H1268" t="s">
        <v>114</v>
      </c>
      <c r="I1268" t="s">
        <v>1814</v>
      </c>
      <c r="J1268">
        <v>-3280</v>
      </c>
      <c r="K1268">
        <v>-3280</v>
      </c>
      <c r="M1268" t="s">
        <v>680</v>
      </c>
      <c r="N1268" t="s">
        <v>134</v>
      </c>
      <c r="O1268" t="s">
        <v>631</v>
      </c>
      <c r="P1268" t="s">
        <v>820</v>
      </c>
      <c r="Q1268" t="s">
        <v>462</v>
      </c>
      <c r="R1268">
        <v>0</v>
      </c>
    </row>
    <row r="1269" spans="1:18" x14ac:dyDescent="0.3">
      <c r="A1269">
        <v>215364</v>
      </c>
      <c r="B1269" t="s">
        <v>568</v>
      </c>
      <c r="C1269" t="s">
        <v>1815</v>
      </c>
      <c r="D1269" t="s">
        <v>1783</v>
      </c>
      <c r="E1269" s="452">
        <v>46054</v>
      </c>
      <c r="F1269" s="452">
        <v>46096</v>
      </c>
      <c r="G1269" t="s">
        <v>790</v>
      </c>
      <c r="H1269" t="s">
        <v>204</v>
      </c>
      <c r="I1269" t="s">
        <v>1816</v>
      </c>
      <c r="J1269">
        <v>-250</v>
      </c>
      <c r="K1269">
        <v>-250</v>
      </c>
      <c r="M1269" t="s">
        <v>1817</v>
      </c>
      <c r="N1269" t="s">
        <v>1818</v>
      </c>
      <c r="O1269" t="s">
        <v>631</v>
      </c>
      <c r="P1269" t="s">
        <v>820</v>
      </c>
      <c r="Q1269" t="s">
        <v>462</v>
      </c>
      <c r="R1269">
        <v>0</v>
      </c>
    </row>
    <row r="1270" spans="1:18" x14ac:dyDescent="0.3">
      <c r="A1270">
        <v>215417</v>
      </c>
      <c r="B1270" t="s">
        <v>568</v>
      </c>
      <c r="C1270" t="s">
        <v>606</v>
      </c>
      <c r="D1270" t="s">
        <v>1819</v>
      </c>
      <c r="E1270" s="452">
        <v>46054</v>
      </c>
      <c r="F1270" s="452">
        <v>46091</v>
      </c>
      <c r="G1270" t="s">
        <v>257</v>
      </c>
      <c r="H1270" t="s">
        <v>260</v>
      </c>
      <c r="I1270" t="s">
        <v>1820</v>
      </c>
      <c r="J1270">
        <v>-2935.69</v>
      </c>
      <c r="K1270">
        <v>-2935.69</v>
      </c>
      <c r="O1270" t="s">
        <v>631</v>
      </c>
      <c r="P1270" t="s">
        <v>820</v>
      </c>
      <c r="Q1270" t="s">
        <v>462</v>
      </c>
      <c r="R1270">
        <v>0</v>
      </c>
    </row>
    <row r="1271" spans="1:18" x14ac:dyDescent="0.3">
      <c r="A1271">
        <v>215418</v>
      </c>
      <c r="B1271" t="s">
        <v>568</v>
      </c>
      <c r="C1271" t="s">
        <v>606</v>
      </c>
      <c r="D1271" t="s">
        <v>1821</v>
      </c>
      <c r="E1271" s="452">
        <v>46054</v>
      </c>
      <c r="F1271" s="452">
        <v>46091</v>
      </c>
      <c r="G1271" t="s">
        <v>257</v>
      </c>
      <c r="H1271" t="s">
        <v>258</v>
      </c>
      <c r="I1271" t="s">
        <v>1822</v>
      </c>
      <c r="J1271">
        <v>-25637.13</v>
      </c>
      <c r="K1271">
        <v>-23907.13</v>
      </c>
      <c r="O1271" t="s">
        <v>631</v>
      </c>
      <c r="P1271" t="s">
        <v>820</v>
      </c>
      <c r="Q1271" t="s">
        <v>462</v>
      </c>
      <c r="R1271">
        <v>0</v>
      </c>
    </row>
    <row r="1272" spans="1:18" x14ac:dyDescent="0.3">
      <c r="A1272">
        <v>99341</v>
      </c>
      <c r="B1272" t="s">
        <v>568</v>
      </c>
      <c r="C1272" t="s">
        <v>569</v>
      </c>
      <c r="E1272" s="452">
        <v>46054</v>
      </c>
      <c r="F1272" s="452">
        <v>46063</v>
      </c>
      <c r="G1272" t="s">
        <v>257</v>
      </c>
      <c r="H1272" t="s">
        <v>263</v>
      </c>
      <c r="I1272" t="s">
        <v>1823</v>
      </c>
      <c r="J1272">
        <v>-12000</v>
      </c>
      <c r="K1272">
        <v>-12000</v>
      </c>
      <c r="O1272" t="s">
        <v>631</v>
      </c>
      <c r="P1272" t="s">
        <v>820</v>
      </c>
      <c r="Q1272" t="s">
        <v>462</v>
      </c>
      <c r="R1272">
        <v>0</v>
      </c>
    </row>
    <row r="1273" spans="1:18" x14ac:dyDescent="0.3">
      <c r="A1273">
        <v>196075</v>
      </c>
      <c r="B1273" t="s">
        <v>568</v>
      </c>
      <c r="C1273" t="s">
        <v>671</v>
      </c>
      <c r="D1273" t="s">
        <v>1824</v>
      </c>
      <c r="E1273" s="452">
        <v>46054</v>
      </c>
      <c r="F1273" s="452">
        <v>46049</v>
      </c>
      <c r="G1273" t="s">
        <v>672</v>
      </c>
      <c r="H1273" t="s">
        <v>240</v>
      </c>
      <c r="I1273" t="s">
        <v>687</v>
      </c>
      <c r="J1273">
        <v>-373.24</v>
      </c>
      <c r="K1273">
        <v>-373.24</v>
      </c>
      <c r="O1273" t="s">
        <v>631</v>
      </c>
      <c r="P1273" t="s">
        <v>820</v>
      </c>
      <c r="Q1273" t="s">
        <v>462</v>
      </c>
      <c r="R1273">
        <v>0</v>
      </c>
    </row>
    <row r="1274" spans="1:18" x14ac:dyDescent="0.3">
      <c r="A1274">
        <v>196063</v>
      </c>
      <c r="B1274" t="s">
        <v>568</v>
      </c>
      <c r="C1274" t="s">
        <v>671</v>
      </c>
      <c r="D1274" t="s">
        <v>1825</v>
      </c>
      <c r="E1274" s="452">
        <v>46054</v>
      </c>
      <c r="F1274" s="452">
        <v>46050</v>
      </c>
      <c r="G1274" t="s">
        <v>672</v>
      </c>
      <c r="H1274" t="s">
        <v>240</v>
      </c>
      <c r="I1274" t="s">
        <v>691</v>
      </c>
      <c r="J1274">
        <v>-1543.4</v>
      </c>
      <c r="K1274">
        <v>-1543.4</v>
      </c>
      <c r="O1274" t="s">
        <v>631</v>
      </c>
      <c r="P1274" t="s">
        <v>820</v>
      </c>
      <c r="Q1274" t="s">
        <v>462</v>
      </c>
      <c r="R1274">
        <v>0</v>
      </c>
    </row>
    <row r="1275" spans="1:18" x14ac:dyDescent="0.3">
      <c r="A1275">
        <v>192605</v>
      </c>
      <c r="B1275" t="s">
        <v>568</v>
      </c>
      <c r="C1275" t="s">
        <v>682</v>
      </c>
      <c r="D1275" t="s">
        <v>1826</v>
      </c>
      <c r="E1275" s="452">
        <v>46054</v>
      </c>
      <c r="F1275" s="452">
        <v>46073</v>
      </c>
      <c r="G1275" t="s">
        <v>683</v>
      </c>
      <c r="H1275" t="s">
        <v>289</v>
      </c>
      <c r="I1275" t="s">
        <v>1561</v>
      </c>
      <c r="J1275">
        <v>-1500</v>
      </c>
      <c r="K1275">
        <v>-1500</v>
      </c>
      <c r="O1275" t="s">
        <v>631</v>
      </c>
      <c r="P1275" t="s">
        <v>820</v>
      </c>
      <c r="Q1275" t="s">
        <v>462</v>
      </c>
      <c r="R1275">
        <v>0</v>
      </c>
    </row>
    <row r="1276" spans="1:18" x14ac:dyDescent="0.3">
      <c r="A1276">
        <v>211588</v>
      </c>
      <c r="B1276" t="s">
        <v>568</v>
      </c>
      <c r="C1276" t="s">
        <v>853</v>
      </c>
      <c r="D1276" t="s">
        <v>1827</v>
      </c>
      <c r="E1276" s="452">
        <v>46054</v>
      </c>
      <c r="F1276" s="452">
        <v>46086</v>
      </c>
      <c r="G1276" t="s">
        <v>931</v>
      </c>
      <c r="H1276" t="s">
        <v>932</v>
      </c>
      <c r="I1276" t="s">
        <v>1828</v>
      </c>
      <c r="J1276">
        <v>-60</v>
      </c>
      <c r="K1276">
        <v>-60</v>
      </c>
      <c r="O1276" t="s">
        <v>631</v>
      </c>
      <c r="P1276" t="s">
        <v>820</v>
      </c>
      <c r="Q1276" t="s">
        <v>462</v>
      </c>
      <c r="R1276">
        <v>0</v>
      </c>
    </row>
    <row r="1277" spans="1:18" x14ac:dyDescent="0.3">
      <c r="A1277">
        <v>192314</v>
      </c>
      <c r="B1277" t="s">
        <v>568</v>
      </c>
      <c r="C1277" t="s">
        <v>749</v>
      </c>
      <c r="D1277" t="s">
        <v>1829</v>
      </c>
      <c r="E1277" s="452">
        <v>46054</v>
      </c>
      <c r="F1277" s="452">
        <v>46082</v>
      </c>
      <c r="G1277" t="s">
        <v>297</v>
      </c>
      <c r="H1277" t="s">
        <v>298</v>
      </c>
      <c r="I1277" t="s">
        <v>1830</v>
      </c>
      <c r="J1277">
        <v>-3000</v>
      </c>
      <c r="K1277">
        <v>-3000</v>
      </c>
      <c r="M1277" t="s">
        <v>751</v>
      </c>
      <c r="N1277" t="s">
        <v>752</v>
      </c>
      <c r="O1277" t="s">
        <v>631</v>
      </c>
      <c r="P1277" t="s">
        <v>820</v>
      </c>
      <c r="Q1277" t="s">
        <v>462</v>
      </c>
      <c r="R1277">
        <v>0</v>
      </c>
    </row>
    <row r="1278" spans="1:18" x14ac:dyDescent="0.3">
      <c r="A1278">
        <v>211589</v>
      </c>
      <c r="B1278" t="s">
        <v>568</v>
      </c>
      <c r="C1278" t="s">
        <v>853</v>
      </c>
      <c r="D1278" t="s">
        <v>1831</v>
      </c>
      <c r="E1278" s="452">
        <v>46054</v>
      </c>
      <c r="F1278" s="452">
        <v>46086</v>
      </c>
      <c r="G1278" t="s">
        <v>931</v>
      </c>
      <c r="H1278" t="s">
        <v>932</v>
      </c>
      <c r="I1278" t="s">
        <v>1832</v>
      </c>
      <c r="J1278">
        <v>-15.07</v>
      </c>
      <c r="K1278">
        <v>-15.07</v>
      </c>
      <c r="O1278" t="s">
        <v>631</v>
      </c>
      <c r="P1278" t="s">
        <v>820</v>
      </c>
      <c r="Q1278" t="s">
        <v>462</v>
      </c>
      <c r="R1278">
        <v>0</v>
      </c>
    </row>
    <row r="1279" spans="1:18" x14ac:dyDescent="0.3">
      <c r="A1279">
        <v>192371</v>
      </c>
      <c r="B1279" t="s">
        <v>568</v>
      </c>
      <c r="C1279" t="s">
        <v>733</v>
      </c>
      <c r="D1279" t="s">
        <v>1833</v>
      </c>
      <c r="E1279" s="452">
        <v>46054</v>
      </c>
      <c r="F1279" s="452">
        <v>46093</v>
      </c>
      <c r="G1279" t="s">
        <v>297</v>
      </c>
      <c r="H1279" t="s">
        <v>299</v>
      </c>
      <c r="I1279" t="s">
        <v>1834</v>
      </c>
      <c r="J1279">
        <v>-500</v>
      </c>
      <c r="K1279">
        <v>-500</v>
      </c>
      <c r="O1279" t="s">
        <v>631</v>
      </c>
      <c r="P1279" t="s">
        <v>820</v>
      </c>
      <c r="Q1279" t="s">
        <v>462</v>
      </c>
      <c r="R1279">
        <v>0</v>
      </c>
    </row>
    <row r="1280" spans="1:18" x14ac:dyDescent="0.3">
      <c r="A1280">
        <v>211591</v>
      </c>
      <c r="B1280" t="s">
        <v>568</v>
      </c>
      <c r="C1280" t="s">
        <v>853</v>
      </c>
      <c r="D1280" t="s">
        <v>1835</v>
      </c>
      <c r="E1280" s="452">
        <v>46054</v>
      </c>
      <c r="F1280" s="452">
        <v>46086</v>
      </c>
      <c r="G1280" t="s">
        <v>931</v>
      </c>
      <c r="H1280" t="s">
        <v>932</v>
      </c>
      <c r="I1280" t="s">
        <v>1739</v>
      </c>
      <c r="J1280">
        <v>-2.99</v>
      </c>
      <c r="K1280">
        <v>-2.99</v>
      </c>
      <c r="O1280" t="s">
        <v>631</v>
      </c>
      <c r="P1280" t="s">
        <v>820</v>
      </c>
      <c r="Q1280" t="s">
        <v>462</v>
      </c>
      <c r="R1280">
        <v>0</v>
      </c>
    </row>
    <row r="1281" spans="1:18" x14ac:dyDescent="0.3">
      <c r="A1281">
        <v>211593</v>
      </c>
      <c r="B1281" t="s">
        <v>568</v>
      </c>
      <c r="C1281" t="s">
        <v>853</v>
      </c>
      <c r="D1281" t="s">
        <v>1836</v>
      </c>
      <c r="E1281" s="452">
        <v>46054</v>
      </c>
      <c r="F1281" s="452">
        <v>46086</v>
      </c>
      <c r="G1281" t="s">
        <v>931</v>
      </c>
      <c r="H1281" t="s">
        <v>932</v>
      </c>
      <c r="I1281" t="s">
        <v>1837</v>
      </c>
      <c r="J1281">
        <v>-17.12</v>
      </c>
      <c r="K1281">
        <v>-17.12</v>
      </c>
      <c r="O1281" t="s">
        <v>631</v>
      </c>
      <c r="P1281" t="s">
        <v>820</v>
      </c>
      <c r="Q1281" t="s">
        <v>462</v>
      </c>
      <c r="R1281">
        <v>0</v>
      </c>
    </row>
    <row r="1282" spans="1:18" x14ac:dyDescent="0.3">
      <c r="A1282">
        <v>211607</v>
      </c>
      <c r="B1282" t="s">
        <v>568</v>
      </c>
      <c r="C1282" t="s">
        <v>853</v>
      </c>
      <c r="D1282" t="s">
        <v>1838</v>
      </c>
      <c r="E1282" s="452">
        <v>46054</v>
      </c>
      <c r="F1282" s="452">
        <v>46086</v>
      </c>
      <c r="G1282" t="s">
        <v>931</v>
      </c>
      <c r="H1282" t="s">
        <v>932</v>
      </c>
      <c r="I1282" t="s">
        <v>1839</v>
      </c>
      <c r="J1282">
        <v>-98.03</v>
      </c>
      <c r="K1282">
        <v>-98.03</v>
      </c>
      <c r="O1282" t="s">
        <v>631</v>
      </c>
      <c r="P1282" t="s">
        <v>820</v>
      </c>
      <c r="Q1282" t="s">
        <v>462</v>
      </c>
      <c r="R1282">
        <v>0</v>
      </c>
    </row>
    <row r="1283" spans="1:18" x14ac:dyDescent="0.3">
      <c r="A1283">
        <v>211594</v>
      </c>
      <c r="B1283" t="s">
        <v>568</v>
      </c>
      <c r="C1283" t="s">
        <v>853</v>
      </c>
      <c r="D1283" t="s">
        <v>1840</v>
      </c>
      <c r="E1283" s="452">
        <v>46054</v>
      </c>
      <c r="F1283" s="452">
        <v>46086</v>
      </c>
      <c r="G1283" t="s">
        <v>931</v>
      </c>
      <c r="H1283" t="s">
        <v>932</v>
      </c>
      <c r="I1283" t="s">
        <v>1841</v>
      </c>
      <c r="J1283">
        <v>-15.51</v>
      </c>
      <c r="K1283">
        <v>-15.51</v>
      </c>
      <c r="O1283" t="s">
        <v>631</v>
      </c>
      <c r="P1283" t="s">
        <v>820</v>
      </c>
      <c r="Q1283" t="s">
        <v>462</v>
      </c>
      <c r="R1283">
        <v>0</v>
      </c>
    </row>
    <row r="1284" spans="1:18" x14ac:dyDescent="0.3">
      <c r="A1284">
        <v>211598</v>
      </c>
      <c r="B1284" t="s">
        <v>568</v>
      </c>
      <c r="C1284" t="s">
        <v>853</v>
      </c>
      <c r="D1284" t="s">
        <v>1842</v>
      </c>
      <c r="E1284" s="452">
        <v>46054</v>
      </c>
      <c r="F1284" s="452">
        <v>46086</v>
      </c>
      <c r="G1284" t="s">
        <v>931</v>
      </c>
      <c r="H1284" t="s">
        <v>932</v>
      </c>
      <c r="I1284" t="s">
        <v>1739</v>
      </c>
      <c r="J1284">
        <v>-13.96</v>
      </c>
      <c r="K1284">
        <v>-13.96</v>
      </c>
      <c r="O1284" t="s">
        <v>631</v>
      </c>
      <c r="P1284" t="s">
        <v>820</v>
      </c>
      <c r="Q1284" t="s">
        <v>462</v>
      </c>
      <c r="R1284">
        <v>0</v>
      </c>
    </row>
    <row r="1285" spans="1:18" x14ac:dyDescent="0.3">
      <c r="A1285">
        <v>211605</v>
      </c>
      <c r="B1285" t="s">
        <v>568</v>
      </c>
      <c r="C1285" t="s">
        <v>853</v>
      </c>
      <c r="D1285" t="s">
        <v>1843</v>
      </c>
      <c r="E1285" s="452">
        <v>46054</v>
      </c>
      <c r="F1285" s="452">
        <v>46086</v>
      </c>
      <c r="G1285" t="s">
        <v>683</v>
      </c>
      <c r="H1285" t="s">
        <v>292</v>
      </c>
      <c r="I1285" t="s">
        <v>1844</v>
      </c>
      <c r="J1285">
        <v>-252.5</v>
      </c>
      <c r="K1285">
        <v>-252.5</v>
      </c>
      <c r="O1285" t="s">
        <v>631</v>
      </c>
      <c r="P1285" t="s">
        <v>820</v>
      </c>
      <c r="Q1285" t="s">
        <v>462</v>
      </c>
      <c r="R1285">
        <v>0</v>
      </c>
    </row>
    <row r="1286" spans="1:18" x14ac:dyDescent="0.3">
      <c r="A1286">
        <v>211602</v>
      </c>
      <c r="B1286" t="s">
        <v>568</v>
      </c>
      <c r="C1286" t="s">
        <v>853</v>
      </c>
      <c r="D1286" t="s">
        <v>1845</v>
      </c>
      <c r="E1286" s="452">
        <v>46054</v>
      </c>
      <c r="F1286" s="452">
        <v>46086</v>
      </c>
      <c r="G1286" t="s">
        <v>931</v>
      </c>
      <c r="H1286" t="s">
        <v>932</v>
      </c>
      <c r="I1286" t="s">
        <v>1828</v>
      </c>
      <c r="J1286">
        <v>-75</v>
      </c>
      <c r="K1286">
        <v>-75</v>
      </c>
      <c r="O1286" t="s">
        <v>631</v>
      </c>
      <c r="P1286" t="s">
        <v>820</v>
      </c>
      <c r="Q1286" t="s">
        <v>462</v>
      </c>
      <c r="R1286">
        <v>0</v>
      </c>
    </row>
    <row r="1287" spans="1:18" x14ac:dyDescent="0.3">
      <c r="A1287">
        <v>211599</v>
      </c>
      <c r="B1287" t="s">
        <v>568</v>
      </c>
      <c r="C1287" t="s">
        <v>853</v>
      </c>
      <c r="D1287" t="s">
        <v>1846</v>
      </c>
      <c r="E1287" s="452">
        <v>46054</v>
      </c>
      <c r="F1287" s="452">
        <v>46086</v>
      </c>
      <c r="G1287" t="s">
        <v>265</v>
      </c>
      <c r="H1287" t="s">
        <v>269</v>
      </c>
      <c r="I1287" t="s">
        <v>1847</v>
      </c>
      <c r="J1287">
        <v>-60.5</v>
      </c>
      <c r="K1287">
        <v>-60.5</v>
      </c>
      <c r="O1287" t="s">
        <v>631</v>
      </c>
      <c r="P1287" t="s">
        <v>820</v>
      </c>
      <c r="Q1287" t="s">
        <v>462</v>
      </c>
      <c r="R1287">
        <v>0</v>
      </c>
    </row>
    <row r="1288" spans="1:18" x14ac:dyDescent="0.3">
      <c r="A1288">
        <v>211600</v>
      </c>
      <c r="B1288" t="s">
        <v>568</v>
      </c>
      <c r="C1288" t="s">
        <v>853</v>
      </c>
      <c r="D1288" t="s">
        <v>1848</v>
      </c>
      <c r="E1288" s="452">
        <v>46054</v>
      </c>
      <c r="F1288" s="452">
        <v>46086</v>
      </c>
      <c r="G1288" t="s">
        <v>265</v>
      </c>
      <c r="H1288" t="s">
        <v>269</v>
      </c>
      <c r="I1288" t="s">
        <v>1849</v>
      </c>
      <c r="J1288">
        <v>-33</v>
      </c>
      <c r="K1288">
        <v>-33</v>
      </c>
      <c r="O1288" t="s">
        <v>631</v>
      </c>
      <c r="P1288" t="s">
        <v>820</v>
      </c>
      <c r="Q1288" t="s">
        <v>462</v>
      </c>
      <c r="R1288">
        <v>0</v>
      </c>
    </row>
    <row r="1289" spans="1:18" x14ac:dyDescent="0.3">
      <c r="A1289">
        <v>217258</v>
      </c>
      <c r="B1289" t="s">
        <v>568</v>
      </c>
      <c r="C1289" t="s">
        <v>606</v>
      </c>
      <c r="D1289" t="s">
        <v>1821</v>
      </c>
      <c r="E1289" s="452">
        <v>46054</v>
      </c>
      <c r="F1289" s="452">
        <v>46097</v>
      </c>
      <c r="G1289" t="s">
        <v>683</v>
      </c>
      <c r="H1289" t="s">
        <v>289</v>
      </c>
      <c r="I1289" t="s">
        <v>1850</v>
      </c>
      <c r="J1289">
        <v>-499.04</v>
      </c>
      <c r="K1289">
        <v>-499.04</v>
      </c>
      <c r="O1289" t="s">
        <v>631</v>
      </c>
      <c r="P1289" t="s">
        <v>820</v>
      </c>
      <c r="Q1289" t="s">
        <v>462</v>
      </c>
      <c r="R1289">
        <v>0</v>
      </c>
    </row>
    <row r="1290" spans="1:18" x14ac:dyDescent="0.3">
      <c r="A1290">
        <v>217255</v>
      </c>
      <c r="B1290" t="s">
        <v>568</v>
      </c>
      <c r="C1290" t="s">
        <v>606</v>
      </c>
      <c r="D1290" t="s">
        <v>1697</v>
      </c>
      <c r="E1290" s="452">
        <v>46054</v>
      </c>
      <c r="F1290" s="452">
        <v>46132</v>
      </c>
      <c r="G1290" t="s">
        <v>257</v>
      </c>
      <c r="H1290" t="s">
        <v>258</v>
      </c>
      <c r="I1290" t="s">
        <v>1851</v>
      </c>
      <c r="J1290">
        <v>-9067.9500000000007</v>
      </c>
      <c r="K1290">
        <v>-9067.9500000000007</v>
      </c>
      <c r="O1290" t="s">
        <v>631</v>
      </c>
      <c r="P1290" t="s">
        <v>820</v>
      </c>
      <c r="Q1290" t="s">
        <v>462</v>
      </c>
      <c r="R1290">
        <v>0</v>
      </c>
    </row>
    <row r="1291" spans="1:18" x14ac:dyDescent="0.3">
      <c r="A1291">
        <v>208167</v>
      </c>
      <c r="B1291" t="s">
        <v>568</v>
      </c>
      <c r="C1291" t="s">
        <v>858</v>
      </c>
      <c r="E1291" s="452">
        <v>46053</v>
      </c>
      <c r="F1291" s="452">
        <v>46053</v>
      </c>
      <c r="G1291" t="s">
        <v>857</v>
      </c>
      <c r="H1291" t="s">
        <v>118</v>
      </c>
      <c r="J1291">
        <v>-244.02</v>
      </c>
      <c r="K1291">
        <v>-244.02</v>
      </c>
      <c r="O1291" t="s">
        <v>631</v>
      </c>
      <c r="P1291" t="s">
        <v>820</v>
      </c>
      <c r="Q1291" t="s">
        <v>461</v>
      </c>
      <c r="R1291">
        <v>0</v>
      </c>
    </row>
    <row r="1292" spans="1:18" x14ac:dyDescent="0.3">
      <c r="A1292">
        <v>208166</v>
      </c>
      <c r="B1292" t="s">
        <v>568</v>
      </c>
      <c r="C1292" t="s">
        <v>860</v>
      </c>
      <c r="E1292" s="452">
        <v>46053</v>
      </c>
      <c r="F1292" s="452">
        <v>46053</v>
      </c>
      <c r="G1292" t="s">
        <v>857</v>
      </c>
      <c r="H1292" t="s">
        <v>118</v>
      </c>
      <c r="J1292">
        <v>-74.91</v>
      </c>
      <c r="K1292">
        <v>-74.91</v>
      </c>
      <c r="O1292" t="s">
        <v>631</v>
      </c>
      <c r="P1292" t="s">
        <v>820</v>
      </c>
      <c r="Q1292" t="s">
        <v>461</v>
      </c>
      <c r="R1292">
        <v>0</v>
      </c>
    </row>
    <row r="1293" spans="1:18" x14ac:dyDescent="0.3">
      <c r="A1293">
        <v>208165</v>
      </c>
      <c r="B1293" t="s">
        <v>568</v>
      </c>
      <c r="C1293" t="s">
        <v>859</v>
      </c>
      <c r="E1293" s="452">
        <v>46053</v>
      </c>
      <c r="F1293" s="452">
        <v>46053</v>
      </c>
      <c r="G1293" t="s">
        <v>857</v>
      </c>
      <c r="H1293" t="s">
        <v>118</v>
      </c>
      <c r="J1293">
        <v>-172.38</v>
      </c>
      <c r="K1293">
        <v>-172.38</v>
      </c>
      <c r="O1293" t="s">
        <v>631</v>
      </c>
      <c r="P1293" t="s">
        <v>820</v>
      </c>
      <c r="Q1293" t="s">
        <v>461</v>
      </c>
      <c r="R1293">
        <v>0</v>
      </c>
    </row>
    <row r="1294" spans="1:18" x14ac:dyDescent="0.3">
      <c r="A1294">
        <v>208164</v>
      </c>
      <c r="B1294" t="s">
        <v>568</v>
      </c>
      <c r="C1294" t="s">
        <v>856</v>
      </c>
      <c r="E1294" s="452">
        <v>46053</v>
      </c>
      <c r="F1294" s="452">
        <v>46053</v>
      </c>
      <c r="G1294" t="s">
        <v>857</v>
      </c>
      <c r="H1294" t="s">
        <v>118</v>
      </c>
      <c r="J1294">
        <v>-102.93</v>
      </c>
      <c r="K1294">
        <v>-102.93</v>
      </c>
      <c r="O1294" t="s">
        <v>631</v>
      </c>
      <c r="P1294" t="s">
        <v>820</v>
      </c>
      <c r="Q1294" t="s">
        <v>461</v>
      </c>
      <c r="R1294">
        <v>0</v>
      </c>
    </row>
    <row r="1295" spans="1:18" x14ac:dyDescent="0.3">
      <c r="A1295">
        <v>205326</v>
      </c>
      <c r="B1295" t="s">
        <v>568</v>
      </c>
      <c r="C1295" t="s">
        <v>940</v>
      </c>
      <c r="E1295" s="452">
        <v>46052</v>
      </c>
      <c r="F1295" s="452">
        <v>46059</v>
      </c>
      <c r="G1295" t="s">
        <v>666</v>
      </c>
      <c r="H1295" t="s">
        <v>667</v>
      </c>
      <c r="J1295">
        <v>-3352.85</v>
      </c>
      <c r="K1295">
        <v>-3352.85</v>
      </c>
      <c r="O1295" t="s">
        <v>631</v>
      </c>
      <c r="P1295" t="s">
        <v>820</v>
      </c>
      <c r="Q1295" t="s">
        <v>461</v>
      </c>
      <c r="R1295">
        <v>0</v>
      </c>
    </row>
    <row r="1296" spans="1:18" x14ac:dyDescent="0.3">
      <c r="A1296">
        <v>197351</v>
      </c>
      <c r="B1296" t="s">
        <v>568</v>
      </c>
      <c r="C1296" t="s">
        <v>699</v>
      </c>
      <c r="D1296" t="s">
        <v>1852</v>
      </c>
      <c r="E1296" s="452">
        <v>46052</v>
      </c>
      <c r="F1296" s="452">
        <v>46073</v>
      </c>
      <c r="G1296" t="s">
        <v>309</v>
      </c>
      <c r="H1296" t="s">
        <v>310</v>
      </c>
      <c r="I1296" t="s">
        <v>1853</v>
      </c>
      <c r="J1296">
        <v>-77.36</v>
      </c>
      <c r="K1296">
        <v>-77.36</v>
      </c>
      <c r="O1296" t="s">
        <v>631</v>
      </c>
      <c r="P1296" t="s">
        <v>820</v>
      </c>
      <c r="Q1296" t="s">
        <v>461</v>
      </c>
      <c r="R1296">
        <v>0</v>
      </c>
    </row>
    <row r="1297" spans="1:18" x14ac:dyDescent="0.3">
      <c r="A1297">
        <v>202395</v>
      </c>
      <c r="B1297" t="s">
        <v>568</v>
      </c>
      <c r="C1297" t="s">
        <v>696</v>
      </c>
      <c r="D1297" t="s">
        <v>1854</v>
      </c>
      <c r="E1297" s="452">
        <v>46052</v>
      </c>
      <c r="F1297" s="452">
        <v>46083</v>
      </c>
      <c r="G1297" t="s">
        <v>672</v>
      </c>
      <c r="H1297" t="s">
        <v>248</v>
      </c>
      <c r="J1297">
        <v>-153.38</v>
      </c>
      <c r="K1297">
        <v>-153.38</v>
      </c>
      <c r="O1297" t="s">
        <v>631</v>
      </c>
      <c r="P1297" t="s">
        <v>820</v>
      </c>
      <c r="Q1297" t="s">
        <v>461</v>
      </c>
      <c r="R1297">
        <v>0</v>
      </c>
    </row>
    <row r="1298" spans="1:18" x14ac:dyDescent="0.3">
      <c r="A1298">
        <v>203700</v>
      </c>
      <c r="B1298" t="s">
        <v>568</v>
      </c>
      <c r="C1298" t="s">
        <v>1068</v>
      </c>
      <c r="E1298" s="452">
        <v>46052</v>
      </c>
      <c r="F1298" s="452">
        <v>46052</v>
      </c>
      <c r="G1298" t="s">
        <v>857</v>
      </c>
      <c r="H1298" t="s">
        <v>118</v>
      </c>
      <c r="I1298" t="s">
        <v>1682</v>
      </c>
      <c r="J1298">
        <v>-4471.88</v>
      </c>
      <c r="K1298">
        <v>-4471.88</v>
      </c>
      <c r="O1298" t="s">
        <v>631</v>
      </c>
      <c r="P1298" t="s">
        <v>820</v>
      </c>
      <c r="Q1298" t="s">
        <v>461</v>
      </c>
      <c r="R1298">
        <v>0</v>
      </c>
    </row>
    <row r="1299" spans="1:18" x14ac:dyDescent="0.3">
      <c r="A1299">
        <v>204048</v>
      </c>
      <c r="B1299" t="s">
        <v>568</v>
      </c>
      <c r="C1299" t="s">
        <v>723</v>
      </c>
      <c r="E1299" s="452">
        <v>46052</v>
      </c>
      <c r="F1299" s="452">
        <v>46052</v>
      </c>
      <c r="G1299" t="s">
        <v>724</v>
      </c>
      <c r="H1299" t="s">
        <v>725</v>
      </c>
      <c r="J1299">
        <v>-0.5</v>
      </c>
      <c r="K1299">
        <v>-0.5</v>
      </c>
      <c r="O1299" t="s">
        <v>631</v>
      </c>
      <c r="P1299" t="s">
        <v>820</v>
      </c>
      <c r="Q1299" t="s">
        <v>461</v>
      </c>
      <c r="R1299">
        <v>0</v>
      </c>
    </row>
    <row r="1300" spans="1:18" x14ac:dyDescent="0.3">
      <c r="A1300">
        <v>204429</v>
      </c>
      <c r="B1300" t="s">
        <v>568</v>
      </c>
      <c r="C1300" t="s">
        <v>1301</v>
      </c>
      <c r="E1300" s="452">
        <v>46052</v>
      </c>
      <c r="F1300" s="452">
        <v>46052</v>
      </c>
      <c r="G1300" t="s">
        <v>857</v>
      </c>
      <c r="H1300" t="s">
        <v>120</v>
      </c>
      <c r="I1300" t="s">
        <v>1678</v>
      </c>
      <c r="J1300">
        <v>-356.84</v>
      </c>
      <c r="K1300">
        <v>-356.84</v>
      </c>
      <c r="O1300" t="s">
        <v>631</v>
      </c>
      <c r="P1300" t="s">
        <v>820</v>
      </c>
      <c r="Q1300" t="s">
        <v>461</v>
      </c>
      <c r="R1300">
        <v>0</v>
      </c>
    </row>
    <row r="1301" spans="1:18" x14ac:dyDescent="0.3">
      <c r="A1301">
        <v>205323</v>
      </c>
      <c r="B1301" t="s">
        <v>568</v>
      </c>
      <c r="C1301" t="s">
        <v>945</v>
      </c>
      <c r="E1301" s="452">
        <v>46052</v>
      </c>
      <c r="F1301" s="452">
        <v>46059</v>
      </c>
      <c r="G1301" t="s">
        <v>666</v>
      </c>
      <c r="H1301" t="s">
        <v>667</v>
      </c>
      <c r="J1301">
        <v>-3352.73</v>
      </c>
      <c r="K1301">
        <v>-3352.73</v>
      </c>
      <c r="O1301" t="s">
        <v>631</v>
      </c>
      <c r="P1301" t="s">
        <v>820</v>
      </c>
      <c r="Q1301" t="s">
        <v>461</v>
      </c>
      <c r="R1301">
        <v>0</v>
      </c>
    </row>
    <row r="1302" spans="1:18" x14ac:dyDescent="0.3">
      <c r="A1302">
        <v>205324</v>
      </c>
      <c r="B1302" t="s">
        <v>568</v>
      </c>
      <c r="C1302" t="s">
        <v>937</v>
      </c>
      <c r="E1302" s="452">
        <v>46052</v>
      </c>
      <c r="F1302" s="452">
        <v>46059</v>
      </c>
      <c r="G1302" t="s">
        <v>666</v>
      </c>
      <c r="H1302" t="s">
        <v>667</v>
      </c>
      <c r="J1302">
        <v>-4332.45</v>
      </c>
      <c r="K1302">
        <v>-4332.45</v>
      </c>
      <c r="O1302" t="s">
        <v>631</v>
      </c>
      <c r="P1302" t="s">
        <v>820</v>
      </c>
      <c r="Q1302" t="s">
        <v>461</v>
      </c>
      <c r="R1302">
        <v>0</v>
      </c>
    </row>
    <row r="1303" spans="1:18" x14ac:dyDescent="0.3">
      <c r="A1303">
        <v>205325</v>
      </c>
      <c r="B1303" t="s">
        <v>568</v>
      </c>
      <c r="C1303" t="s">
        <v>953</v>
      </c>
      <c r="E1303" s="452">
        <v>46052</v>
      </c>
      <c r="F1303" s="452">
        <v>46059</v>
      </c>
      <c r="G1303" t="s">
        <v>666</v>
      </c>
      <c r="H1303" t="s">
        <v>667</v>
      </c>
      <c r="J1303">
        <v>-3404.61</v>
      </c>
      <c r="K1303">
        <v>-3404.61</v>
      </c>
      <c r="O1303" t="s">
        <v>631</v>
      </c>
      <c r="P1303" t="s">
        <v>820</v>
      </c>
      <c r="Q1303" t="s">
        <v>461</v>
      </c>
      <c r="R1303">
        <v>0</v>
      </c>
    </row>
    <row r="1304" spans="1:18" x14ac:dyDescent="0.3">
      <c r="A1304">
        <v>191965</v>
      </c>
      <c r="B1304" t="s">
        <v>568</v>
      </c>
      <c r="C1304" t="s">
        <v>727</v>
      </c>
      <c r="D1304" t="s">
        <v>1855</v>
      </c>
      <c r="E1304" s="452">
        <v>46052</v>
      </c>
      <c r="F1304" s="452">
        <v>46053</v>
      </c>
      <c r="G1304" t="s">
        <v>265</v>
      </c>
      <c r="H1304" t="s">
        <v>272</v>
      </c>
      <c r="I1304" t="s">
        <v>1856</v>
      </c>
      <c r="J1304">
        <v>-587.1</v>
      </c>
      <c r="K1304">
        <v>-604.72</v>
      </c>
      <c r="O1304" t="s">
        <v>631</v>
      </c>
      <c r="P1304" t="s">
        <v>820</v>
      </c>
      <c r="Q1304" t="s">
        <v>461</v>
      </c>
      <c r="R1304">
        <v>0</v>
      </c>
    </row>
    <row r="1305" spans="1:18" x14ac:dyDescent="0.3">
      <c r="A1305">
        <v>205327</v>
      </c>
      <c r="B1305" t="s">
        <v>568</v>
      </c>
      <c r="C1305" t="s">
        <v>829</v>
      </c>
      <c r="E1305" s="452">
        <v>46052</v>
      </c>
      <c r="F1305" s="452">
        <v>46059</v>
      </c>
      <c r="G1305" t="s">
        <v>666</v>
      </c>
      <c r="H1305" t="s">
        <v>667</v>
      </c>
      <c r="J1305">
        <v>-2691.37</v>
      </c>
      <c r="K1305">
        <v>-2691.37</v>
      </c>
      <c r="O1305" t="s">
        <v>631</v>
      </c>
      <c r="P1305" t="s">
        <v>820</v>
      </c>
      <c r="Q1305" t="s">
        <v>461</v>
      </c>
      <c r="R1305">
        <v>0</v>
      </c>
    </row>
    <row r="1306" spans="1:18" x14ac:dyDescent="0.3">
      <c r="A1306">
        <v>190621</v>
      </c>
      <c r="B1306" t="s">
        <v>568</v>
      </c>
      <c r="C1306" t="s">
        <v>50</v>
      </c>
      <c r="D1306" t="s">
        <v>1857</v>
      </c>
      <c r="E1306" s="452">
        <v>46052</v>
      </c>
      <c r="F1306" s="452">
        <v>46073</v>
      </c>
      <c r="G1306" t="s">
        <v>694</v>
      </c>
      <c r="H1306" t="s">
        <v>50</v>
      </c>
      <c r="I1306" t="s">
        <v>1858</v>
      </c>
      <c r="J1306">
        <v>-13138.1</v>
      </c>
      <c r="K1306">
        <v>-14312.88</v>
      </c>
      <c r="O1306" t="s">
        <v>631</v>
      </c>
      <c r="P1306" t="s">
        <v>820</v>
      </c>
      <c r="Q1306" t="s">
        <v>461</v>
      </c>
      <c r="R1306">
        <v>0</v>
      </c>
    </row>
    <row r="1307" spans="1:18" x14ac:dyDescent="0.3">
      <c r="A1307">
        <v>207033</v>
      </c>
      <c r="B1307" t="s">
        <v>568</v>
      </c>
      <c r="C1307" t="s">
        <v>431</v>
      </c>
      <c r="D1307" t="s">
        <v>1857</v>
      </c>
      <c r="E1307" s="452">
        <v>46052</v>
      </c>
      <c r="F1307" s="452">
        <v>46077</v>
      </c>
      <c r="G1307" t="s">
        <v>697</v>
      </c>
      <c r="H1307" t="s">
        <v>212</v>
      </c>
      <c r="I1307" t="s">
        <v>1859</v>
      </c>
      <c r="J1307">
        <v>-2676.59</v>
      </c>
      <c r="K1307">
        <v>-2694.25</v>
      </c>
      <c r="O1307" t="s">
        <v>631</v>
      </c>
      <c r="P1307" t="s">
        <v>820</v>
      </c>
      <c r="Q1307" t="s">
        <v>461</v>
      </c>
      <c r="R1307">
        <v>0</v>
      </c>
    </row>
    <row r="1308" spans="1:18" x14ac:dyDescent="0.3">
      <c r="A1308">
        <v>208292</v>
      </c>
      <c r="B1308" t="s">
        <v>568</v>
      </c>
      <c r="C1308" t="s">
        <v>430</v>
      </c>
      <c r="D1308" t="s">
        <v>1852</v>
      </c>
      <c r="E1308" s="452">
        <v>46052</v>
      </c>
      <c r="F1308" s="452">
        <v>46073</v>
      </c>
      <c r="G1308" t="s">
        <v>697</v>
      </c>
      <c r="H1308" t="s">
        <v>207</v>
      </c>
      <c r="J1308">
        <v>-2094.39</v>
      </c>
      <c r="K1308">
        <v>-2094.39</v>
      </c>
      <c r="O1308" t="s">
        <v>631</v>
      </c>
      <c r="P1308" t="s">
        <v>820</v>
      </c>
      <c r="Q1308" t="s">
        <v>461</v>
      </c>
      <c r="R1308">
        <v>0</v>
      </c>
    </row>
    <row r="1309" spans="1:18" x14ac:dyDescent="0.3">
      <c r="A1309">
        <v>208512</v>
      </c>
      <c r="B1309" t="s">
        <v>568</v>
      </c>
      <c r="C1309" t="s">
        <v>699</v>
      </c>
      <c r="D1309" t="s">
        <v>1852</v>
      </c>
      <c r="E1309" s="452">
        <v>46052</v>
      </c>
      <c r="F1309" s="452">
        <v>46073</v>
      </c>
      <c r="G1309" t="s">
        <v>697</v>
      </c>
      <c r="H1309" t="s">
        <v>700</v>
      </c>
      <c r="J1309">
        <v>-2010.94</v>
      </c>
      <c r="K1309">
        <v>-2010.94</v>
      </c>
      <c r="O1309" t="s">
        <v>631</v>
      </c>
      <c r="P1309" t="s">
        <v>820</v>
      </c>
      <c r="Q1309" t="s">
        <v>461</v>
      </c>
      <c r="R1309">
        <v>0</v>
      </c>
    </row>
    <row r="1310" spans="1:18" x14ac:dyDescent="0.3">
      <c r="A1310">
        <v>192754</v>
      </c>
      <c r="B1310" t="s">
        <v>568</v>
      </c>
      <c r="C1310" t="s">
        <v>812</v>
      </c>
      <c r="D1310" t="s">
        <v>1860</v>
      </c>
      <c r="E1310" s="452">
        <v>46048</v>
      </c>
      <c r="F1310" s="452">
        <v>46069</v>
      </c>
      <c r="G1310" t="s">
        <v>813</v>
      </c>
      <c r="H1310" t="s">
        <v>60</v>
      </c>
      <c r="I1310" t="s">
        <v>1861</v>
      </c>
      <c r="J1310">
        <v>-1400</v>
      </c>
      <c r="K1310">
        <v>-1400</v>
      </c>
      <c r="O1310" t="s">
        <v>631</v>
      </c>
      <c r="P1310" t="s">
        <v>820</v>
      </c>
      <c r="Q1310" t="s">
        <v>461</v>
      </c>
      <c r="R1310">
        <v>0</v>
      </c>
    </row>
    <row r="1311" spans="1:18" x14ac:dyDescent="0.3">
      <c r="A1311">
        <v>192802</v>
      </c>
      <c r="B1311" t="s">
        <v>568</v>
      </c>
      <c r="C1311" t="s">
        <v>789</v>
      </c>
      <c r="D1311" t="s">
        <v>1862</v>
      </c>
      <c r="E1311" s="452">
        <v>46048</v>
      </c>
      <c r="F1311" s="452">
        <v>46058</v>
      </c>
      <c r="G1311" t="s">
        <v>790</v>
      </c>
      <c r="H1311" t="s">
        <v>204</v>
      </c>
      <c r="I1311" t="s">
        <v>1863</v>
      </c>
      <c r="J1311">
        <v>-3080</v>
      </c>
      <c r="K1311">
        <v>-3080</v>
      </c>
      <c r="O1311" t="s">
        <v>631</v>
      </c>
      <c r="P1311" t="s">
        <v>820</v>
      </c>
      <c r="Q1311" t="s">
        <v>461</v>
      </c>
      <c r="R1311">
        <v>0</v>
      </c>
    </row>
    <row r="1312" spans="1:18" x14ac:dyDescent="0.3">
      <c r="A1312">
        <v>197873</v>
      </c>
      <c r="B1312" t="s">
        <v>568</v>
      </c>
      <c r="C1312" t="s">
        <v>704</v>
      </c>
      <c r="D1312" t="s">
        <v>1864</v>
      </c>
      <c r="E1312" s="452">
        <v>46047</v>
      </c>
      <c r="F1312" s="452">
        <v>46078</v>
      </c>
      <c r="G1312" t="s">
        <v>705</v>
      </c>
      <c r="H1312" t="s">
        <v>114</v>
      </c>
      <c r="I1312" t="s">
        <v>1865</v>
      </c>
      <c r="J1312">
        <v>-10770</v>
      </c>
      <c r="K1312">
        <v>-10770</v>
      </c>
      <c r="O1312" t="s">
        <v>631</v>
      </c>
      <c r="P1312" t="s">
        <v>820</v>
      </c>
      <c r="Q1312" t="s">
        <v>461</v>
      </c>
      <c r="R1312">
        <v>0</v>
      </c>
    </row>
    <row r="1313" spans="1:18" x14ac:dyDescent="0.3">
      <c r="A1313">
        <v>207488</v>
      </c>
      <c r="B1313" t="s">
        <v>568</v>
      </c>
      <c r="C1313" t="s">
        <v>1068</v>
      </c>
      <c r="E1313" s="452">
        <v>46045</v>
      </c>
      <c r="F1313" s="452">
        <v>46046</v>
      </c>
      <c r="G1313" t="s">
        <v>280</v>
      </c>
      <c r="H1313" t="s">
        <v>285</v>
      </c>
      <c r="I1313" t="s">
        <v>1098</v>
      </c>
      <c r="J1313">
        <v>-45.84</v>
      </c>
      <c r="K1313">
        <v>-45.84</v>
      </c>
      <c r="O1313" t="s">
        <v>631</v>
      </c>
      <c r="P1313" t="s">
        <v>820</v>
      </c>
      <c r="Q1313" t="s">
        <v>461</v>
      </c>
      <c r="R1313">
        <v>0</v>
      </c>
    </row>
    <row r="1314" spans="1:18" x14ac:dyDescent="0.3">
      <c r="A1314">
        <v>98062</v>
      </c>
      <c r="B1314" t="s">
        <v>568</v>
      </c>
      <c r="C1314" t="s">
        <v>628</v>
      </c>
      <c r="D1314" t="s">
        <v>1866</v>
      </c>
      <c r="E1314" s="452">
        <v>46045</v>
      </c>
      <c r="F1314" s="452">
        <v>46044</v>
      </c>
      <c r="G1314" t="s">
        <v>613</v>
      </c>
      <c r="H1314" t="s">
        <v>369</v>
      </c>
      <c r="I1314" t="s">
        <v>630</v>
      </c>
      <c r="J1314">
        <v>-20000</v>
      </c>
      <c r="K1314">
        <v>-20000</v>
      </c>
      <c r="O1314" t="s">
        <v>631</v>
      </c>
      <c r="P1314" t="s">
        <v>820</v>
      </c>
      <c r="Q1314" t="s">
        <v>461</v>
      </c>
      <c r="R1314">
        <v>0</v>
      </c>
    </row>
    <row r="1315" spans="1:18" x14ac:dyDescent="0.3">
      <c r="A1315">
        <v>207487</v>
      </c>
      <c r="B1315" t="s">
        <v>568</v>
      </c>
      <c r="C1315" t="s">
        <v>1068</v>
      </c>
      <c r="E1315" s="452">
        <v>46044</v>
      </c>
      <c r="F1315" s="452">
        <v>46045</v>
      </c>
      <c r="G1315" t="s">
        <v>280</v>
      </c>
      <c r="H1315" t="s">
        <v>285</v>
      </c>
      <c r="I1315" t="s">
        <v>1098</v>
      </c>
      <c r="J1315">
        <v>-53.28</v>
      </c>
      <c r="K1315">
        <v>-53.28</v>
      </c>
      <c r="O1315" t="s">
        <v>631</v>
      </c>
      <c r="P1315" t="s">
        <v>820</v>
      </c>
      <c r="Q1315" t="s">
        <v>461</v>
      </c>
      <c r="R1315">
        <v>0</v>
      </c>
    </row>
    <row r="1316" spans="1:18" x14ac:dyDescent="0.3">
      <c r="A1316">
        <v>196476</v>
      </c>
      <c r="B1316" t="s">
        <v>568</v>
      </c>
      <c r="C1316" t="s">
        <v>723</v>
      </c>
      <c r="E1316" s="452">
        <v>46044</v>
      </c>
      <c r="F1316" s="452">
        <v>46044</v>
      </c>
      <c r="G1316" t="s">
        <v>724</v>
      </c>
      <c r="H1316" t="s">
        <v>725</v>
      </c>
      <c r="J1316">
        <v>-16</v>
      </c>
      <c r="K1316">
        <v>-16</v>
      </c>
      <c r="O1316" t="s">
        <v>631</v>
      </c>
      <c r="P1316" t="s">
        <v>820</v>
      </c>
      <c r="Q1316" t="s">
        <v>461</v>
      </c>
      <c r="R1316">
        <v>0</v>
      </c>
    </row>
    <row r="1317" spans="1:18" x14ac:dyDescent="0.3">
      <c r="A1317">
        <v>207486</v>
      </c>
      <c r="B1317" t="s">
        <v>568</v>
      </c>
      <c r="C1317" t="s">
        <v>1068</v>
      </c>
      <c r="E1317" s="452">
        <v>46043</v>
      </c>
      <c r="F1317" s="452">
        <v>46044</v>
      </c>
      <c r="G1317" t="s">
        <v>280</v>
      </c>
      <c r="H1317" t="s">
        <v>285</v>
      </c>
      <c r="I1317" t="s">
        <v>1098</v>
      </c>
      <c r="J1317">
        <v>-96.37</v>
      </c>
      <c r="K1317">
        <v>-96.37</v>
      </c>
      <c r="O1317" t="s">
        <v>631</v>
      </c>
      <c r="P1317" t="s">
        <v>820</v>
      </c>
      <c r="Q1317" t="s">
        <v>461</v>
      </c>
      <c r="R1317">
        <v>0</v>
      </c>
    </row>
    <row r="1318" spans="1:18" x14ac:dyDescent="0.3">
      <c r="A1318">
        <v>207485</v>
      </c>
      <c r="B1318" t="s">
        <v>568</v>
      </c>
      <c r="C1318" t="s">
        <v>1068</v>
      </c>
      <c r="E1318" s="452">
        <v>46042</v>
      </c>
      <c r="F1318" s="452">
        <v>46043</v>
      </c>
      <c r="G1318" t="s">
        <v>280</v>
      </c>
      <c r="H1318" t="s">
        <v>285</v>
      </c>
      <c r="I1318" t="s">
        <v>1098</v>
      </c>
      <c r="J1318">
        <v>-58.03</v>
      </c>
      <c r="K1318">
        <v>-58.03</v>
      </c>
      <c r="O1318" t="s">
        <v>631</v>
      </c>
      <c r="P1318" t="s">
        <v>820</v>
      </c>
      <c r="Q1318" t="s">
        <v>461</v>
      </c>
      <c r="R1318">
        <v>0</v>
      </c>
    </row>
    <row r="1319" spans="1:18" x14ac:dyDescent="0.3">
      <c r="A1319">
        <v>191869</v>
      </c>
      <c r="B1319" t="s">
        <v>568</v>
      </c>
      <c r="C1319" t="s">
        <v>708</v>
      </c>
      <c r="D1319" t="s">
        <v>1867</v>
      </c>
      <c r="E1319" s="452">
        <v>46042</v>
      </c>
      <c r="F1319" s="452">
        <v>46058</v>
      </c>
      <c r="G1319" t="s">
        <v>280</v>
      </c>
      <c r="H1319" t="s">
        <v>281</v>
      </c>
      <c r="I1319" t="s">
        <v>1868</v>
      </c>
      <c r="J1319">
        <v>-84.77</v>
      </c>
      <c r="K1319">
        <v>-84.77</v>
      </c>
      <c r="O1319" t="s">
        <v>631</v>
      </c>
      <c r="P1319" t="s">
        <v>820</v>
      </c>
      <c r="Q1319" t="s">
        <v>461</v>
      </c>
      <c r="R1319">
        <v>0</v>
      </c>
    </row>
    <row r="1320" spans="1:18" x14ac:dyDescent="0.3">
      <c r="A1320">
        <v>192753</v>
      </c>
      <c r="B1320" t="s">
        <v>568</v>
      </c>
      <c r="C1320" t="s">
        <v>812</v>
      </c>
      <c r="D1320" t="s">
        <v>1869</v>
      </c>
      <c r="E1320" s="452">
        <v>46041</v>
      </c>
      <c r="F1320" s="452">
        <v>46062</v>
      </c>
      <c r="G1320" t="s">
        <v>813</v>
      </c>
      <c r="H1320" t="s">
        <v>60</v>
      </c>
      <c r="I1320" t="s">
        <v>1870</v>
      </c>
      <c r="J1320">
        <v>-1400</v>
      </c>
      <c r="K1320">
        <v>-1400</v>
      </c>
      <c r="O1320" t="s">
        <v>631</v>
      </c>
      <c r="P1320" t="s">
        <v>820</v>
      </c>
      <c r="Q1320" t="s">
        <v>461</v>
      </c>
      <c r="R1320">
        <v>0</v>
      </c>
    </row>
    <row r="1321" spans="1:18" x14ac:dyDescent="0.3">
      <c r="A1321">
        <v>192801</v>
      </c>
      <c r="B1321" t="s">
        <v>568</v>
      </c>
      <c r="C1321" t="s">
        <v>789</v>
      </c>
      <c r="D1321" t="s">
        <v>1871</v>
      </c>
      <c r="E1321" s="452">
        <v>46041</v>
      </c>
      <c r="F1321" s="452">
        <v>46051</v>
      </c>
      <c r="G1321" t="s">
        <v>790</v>
      </c>
      <c r="H1321" t="s">
        <v>204</v>
      </c>
      <c r="I1321" t="s">
        <v>1872</v>
      </c>
      <c r="J1321">
        <v>-3795</v>
      </c>
      <c r="K1321">
        <v>-3795</v>
      </c>
      <c r="O1321" t="s">
        <v>631</v>
      </c>
      <c r="P1321" t="s">
        <v>820</v>
      </c>
      <c r="Q1321" t="s">
        <v>461</v>
      </c>
      <c r="R1321">
        <v>0</v>
      </c>
    </row>
    <row r="1322" spans="1:18" x14ac:dyDescent="0.3">
      <c r="A1322">
        <v>207484</v>
      </c>
      <c r="B1322" t="s">
        <v>568</v>
      </c>
      <c r="C1322" t="s">
        <v>1068</v>
      </c>
      <c r="E1322" s="452">
        <v>46039</v>
      </c>
      <c r="F1322" s="452">
        <v>46040</v>
      </c>
      <c r="G1322" t="s">
        <v>280</v>
      </c>
      <c r="H1322" t="s">
        <v>285</v>
      </c>
      <c r="I1322" t="s">
        <v>1098</v>
      </c>
      <c r="J1322">
        <v>-247.47</v>
      </c>
      <c r="K1322">
        <v>-247.47</v>
      </c>
      <c r="O1322" t="s">
        <v>631</v>
      </c>
      <c r="P1322" t="s">
        <v>820</v>
      </c>
      <c r="Q1322" t="s">
        <v>461</v>
      </c>
      <c r="R1322">
        <v>0</v>
      </c>
    </row>
    <row r="1323" spans="1:18" x14ac:dyDescent="0.3">
      <c r="A1323">
        <v>207483</v>
      </c>
      <c r="B1323" t="s">
        <v>568</v>
      </c>
      <c r="C1323" t="s">
        <v>1068</v>
      </c>
      <c r="E1323" s="452">
        <v>46038</v>
      </c>
      <c r="F1323" s="452">
        <v>46039</v>
      </c>
      <c r="G1323" t="s">
        <v>280</v>
      </c>
      <c r="H1323" t="s">
        <v>285</v>
      </c>
      <c r="I1323" t="s">
        <v>1098</v>
      </c>
      <c r="J1323">
        <v>-141.16</v>
      </c>
      <c r="K1323">
        <v>-141.16</v>
      </c>
      <c r="O1323" t="s">
        <v>631</v>
      </c>
      <c r="P1323" t="s">
        <v>820</v>
      </c>
      <c r="Q1323" t="s">
        <v>461</v>
      </c>
      <c r="R1323">
        <v>0</v>
      </c>
    </row>
    <row r="1324" spans="1:18" x14ac:dyDescent="0.3">
      <c r="A1324">
        <v>193991</v>
      </c>
      <c r="B1324" t="s">
        <v>568</v>
      </c>
      <c r="C1324" t="s">
        <v>953</v>
      </c>
      <c r="E1324" s="452">
        <v>46037</v>
      </c>
      <c r="F1324" s="452">
        <v>46042</v>
      </c>
      <c r="G1324" t="s">
        <v>666</v>
      </c>
      <c r="H1324" t="s">
        <v>667</v>
      </c>
      <c r="J1324">
        <v>-696.83</v>
      </c>
      <c r="K1324">
        <v>-696.83</v>
      </c>
      <c r="O1324" t="s">
        <v>631</v>
      </c>
      <c r="P1324" t="s">
        <v>820</v>
      </c>
      <c r="Q1324" t="s">
        <v>461</v>
      </c>
      <c r="R1324">
        <v>0</v>
      </c>
    </row>
    <row r="1325" spans="1:18" x14ac:dyDescent="0.3">
      <c r="A1325">
        <v>207482</v>
      </c>
      <c r="B1325" t="s">
        <v>568</v>
      </c>
      <c r="C1325" t="s">
        <v>1068</v>
      </c>
      <c r="E1325" s="452">
        <v>46037</v>
      </c>
      <c r="F1325" s="452">
        <v>46038</v>
      </c>
      <c r="G1325" t="s">
        <v>280</v>
      </c>
      <c r="H1325" t="s">
        <v>285</v>
      </c>
      <c r="I1325" t="s">
        <v>1098</v>
      </c>
      <c r="J1325">
        <v>-79.48</v>
      </c>
      <c r="K1325">
        <v>-79.48</v>
      </c>
      <c r="O1325" t="s">
        <v>631</v>
      </c>
      <c r="P1325" t="s">
        <v>820</v>
      </c>
      <c r="Q1325" t="s">
        <v>461</v>
      </c>
      <c r="R1325">
        <v>0</v>
      </c>
    </row>
    <row r="1326" spans="1:18" x14ac:dyDescent="0.3">
      <c r="A1326">
        <v>193992</v>
      </c>
      <c r="B1326" t="s">
        <v>568</v>
      </c>
      <c r="C1326" t="s">
        <v>940</v>
      </c>
      <c r="E1326" s="452">
        <v>46037</v>
      </c>
      <c r="F1326" s="452">
        <v>46042</v>
      </c>
      <c r="G1326" t="s">
        <v>666</v>
      </c>
      <c r="H1326" t="s">
        <v>667</v>
      </c>
      <c r="J1326">
        <v>-659.74</v>
      </c>
      <c r="K1326">
        <v>-659.74</v>
      </c>
      <c r="O1326" t="s">
        <v>631</v>
      </c>
      <c r="P1326" t="s">
        <v>820</v>
      </c>
      <c r="Q1326" t="s">
        <v>461</v>
      </c>
      <c r="R1326">
        <v>0</v>
      </c>
    </row>
    <row r="1327" spans="1:18" x14ac:dyDescent="0.3">
      <c r="A1327">
        <v>192870</v>
      </c>
      <c r="B1327" t="s">
        <v>568</v>
      </c>
      <c r="C1327" t="s">
        <v>692</v>
      </c>
      <c r="D1327" t="s">
        <v>1873</v>
      </c>
      <c r="E1327" s="452">
        <v>46037</v>
      </c>
      <c r="F1327" s="452">
        <v>46048</v>
      </c>
      <c r="G1327" t="s">
        <v>309</v>
      </c>
      <c r="H1327" t="s">
        <v>317</v>
      </c>
      <c r="I1327" t="s">
        <v>1874</v>
      </c>
      <c r="J1327">
        <v>-380</v>
      </c>
      <c r="K1327">
        <v>-380</v>
      </c>
      <c r="O1327" t="s">
        <v>631</v>
      </c>
      <c r="P1327" t="s">
        <v>820</v>
      </c>
      <c r="Q1327" t="s">
        <v>461</v>
      </c>
      <c r="R1327">
        <v>0</v>
      </c>
    </row>
    <row r="1328" spans="1:18" x14ac:dyDescent="0.3">
      <c r="A1328">
        <v>192137</v>
      </c>
      <c r="B1328" t="s">
        <v>568</v>
      </c>
      <c r="C1328" t="s">
        <v>711</v>
      </c>
      <c r="D1328" t="s">
        <v>1875</v>
      </c>
      <c r="E1328" s="452">
        <v>46037</v>
      </c>
      <c r="F1328" s="452">
        <v>46076</v>
      </c>
      <c r="G1328" t="s">
        <v>280</v>
      </c>
      <c r="H1328" t="s">
        <v>286</v>
      </c>
      <c r="I1328" t="s">
        <v>1876</v>
      </c>
      <c r="J1328">
        <v>-389</v>
      </c>
      <c r="K1328">
        <v>-389</v>
      </c>
      <c r="O1328" t="s">
        <v>631</v>
      </c>
      <c r="P1328" t="s">
        <v>820</v>
      </c>
      <c r="Q1328" t="s">
        <v>461</v>
      </c>
      <c r="R1328">
        <v>0</v>
      </c>
    </row>
    <row r="1329" spans="1:18" x14ac:dyDescent="0.3">
      <c r="A1329">
        <v>189730</v>
      </c>
      <c r="B1329" t="s">
        <v>568</v>
      </c>
      <c r="C1329" t="s">
        <v>671</v>
      </c>
      <c r="D1329" t="s">
        <v>1864</v>
      </c>
      <c r="E1329" s="452">
        <v>46037</v>
      </c>
      <c r="F1329" s="452">
        <v>46037</v>
      </c>
      <c r="G1329" t="s">
        <v>672</v>
      </c>
      <c r="H1329" t="s">
        <v>240</v>
      </c>
      <c r="I1329" t="s">
        <v>673</v>
      </c>
      <c r="J1329">
        <v>-300</v>
      </c>
      <c r="K1329">
        <v>-300</v>
      </c>
      <c r="O1329" t="s">
        <v>631</v>
      </c>
      <c r="P1329" t="s">
        <v>820</v>
      </c>
      <c r="Q1329" t="s">
        <v>461</v>
      </c>
      <c r="R1329">
        <v>0</v>
      </c>
    </row>
    <row r="1330" spans="1:18" x14ac:dyDescent="0.3">
      <c r="A1330">
        <v>193993</v>
      </c>
      <c r="B1330" t="s">
        <v>568</v>
      </c>
      <c r="C1330" t="s">
        <v>829</v>
      </c>
      <c r="E1330" s="452">
        <v>46037</v>
      </c>
      <c r="F1330" s="452">
        <v>46042</v>
      </c>
      <c r="G1330" t="s">
        <v>666</v>
      </c>
      <c r="H1330" t="s">
        <v>667</v>
      </c>
      <c r="J1330">
        <v>-944.02</v>
      </c>
      <c r="K1330">
        <v>-944.02</v>
      </c>
      <c r="O1330" t="s">
        <v>631</v>
      </c>
      <c r="P1330" t="s">
        <v>820</v>
      </c>
      <c r="Q1330" t="s">
        <v>461</v>
      </c>
      <c r="R1330">
        <v>0</v>
      </c>
    </row>
    <row r="1331" spans="1:18" x14ac:dyDescent="0.3">
      <c r="A1331">
        <v>193989</v>
      </c>
      <c r="B1331" t="s">
        <v>568</v>
      </c>
      <c r="C1331" t="s">
        <v>945</v>
      </c>
      <c r="E1331" s="452">
        <v>46037</v>
      </c>
      <c r="F1331" s="452">
        <v>46042</v>
      </c>
      <c r="G1331" t="s">
        <v>666</v>
      </c>
      <c r="H1331" t="s">
        <v>667</v>
      </c>
      <c r="J1331">
        <v>-660.92</v>
      </c>
      <c r="K1331">
        <v>-660.92</v>
      </c>
      <c r="O1331" t="s">
        <v>631</v>
      </c>
      <c r="P1331" t="s">
        <v>820</v>
      </c>
      <c r="Q1331" t="s">
        <v>461</v>
      </c>
      <c r="R1331">
        <v>0</v>
      </c>
    </row>
    <row r="1332" spans="1:18" x14ac:dyDescent="0.3">
      <c r="A1332">
        <v>193990</v>
      </c>
      <c r="B1332" t="s">
        <v>568</v>
      </c>
      <c r="C1332" t="s">
        <v>937</v>
      </c>
      <c r="E1332" s="452">
        <v>46037</v>
      </c>
      <c r="F1332" s="452">
        <v>46042</v>
      </c>
      <c r="G1332" t="s">
        <v>666</v>
      </c>
      <c r="H1332" t="s">
        <v>667</v>
      </c>
      <c r="J1332">
        <v>-1014</v>
      </c>
      <c r="K1332">
        <v>-1014</v>
      </c>
      <c r="O1332" t="s">
        <v>631</v>
      </c>
      <c r="P1332" t="s">
        <v>820</v>
      </c>
      <c r="Q1332" t="s">
        <v>461</v>
      </c>
      <c r="R1332">
        <v>0</v>
      </c>
    </row>
    <row r="1333" spans="1:18" x14ac:dyDescent="0.3">
      <c r="A1333">
        <v>207481</v>
      </c>
      <c r="B1333" t="s">
        <v>568</v>
      </c>
      <c r="C1333" t="s">
        <v>1068</v>
      </c>
      <c r="E1333" s="452">
        <v>46036</v>
      </c>
      <c r="F1333" s="452">
        <v>46037</v>
      </c>
      <c r="G1333" t="s">
        <v>280</v>
      </c>
      <c r="H1333" t="s">
        <v>285</v>
      </c>
      <c r="I1333" t="s">
        <v>1098</v>
      </c>
      <c r="J1333">
        <v>-95.29</v>
      </c>
      <c r="K1333">
        <v>-95.29</v>
      </c>
      <c r="O1333" t="s">
        <v>631</v>
      </c>
      <c r="P1333" t="s">
        <v>820</v>
      </c>
      <c r="Q1333" t="s">
        <v>461</v>
      </c>
      <c r="R1333">
        <v>0</v>
      </c>
    </row>
    <row r="1334" spans="1:18" x14ac:dyDescent="0.3">
      <c r="A1334">
        <v>207480</v>
      </c>
      <c r="B1334" t="s">
        <v>568</v>
      </c>
      <c r="C1334" t="s">
        <v>1068</v>
      </c>
      <c r="E1334" s="452">
        <v>46035</v>
      </c>
      <c r="F1334" s="452">
        <v>46036</v>
      </c>
      <c r="G1334" t="s">
        <v>280</v>
      </c>
      <c r="H1334" t="s">
        <v>285</v>
      </c>
      <c r="I1334" t="s">
        <v>1098</v>
      </c>
      <c r="J1334">
        <v>-70.69</v>
      </c>
      <c r="K1334">
        <v>-70.69</v>
      </c>
      <c r="O1334" t="s">
        <v>631</v>
      </c>
      <c r="P1334" t="s">
        <v>820</v>
      </c>
      <c r="Q1334" t="s">
        <v>461</v>
      </c>
      <c r="R1334">
        <v>0</v>
      </c>
    </row>
    <row r="1335" spans="1:18" x14ac:dyDescent="0.3">
      <c r="A1335">
        <v>198047</v>
      </c>
      <c r="B1335" t="s">
        <v>568</v>
      </c>
      <c r="C1335" t="s">
        <v>1877</v>
      </c>
      <c r="D1335" t="s">
        <v>1878</v>
      </c>
      <c r="E1335" s="452">
        <v>46035</v>
      </c>
      <c r="F1335" s="452">
        <v>46059</v>
      </c>
      <c r="G1335" t="s">
        <v>297</v>
      </c>
      <c r="H1335" t="s">
        <v>304</v>
      </c>
      <c r="I1335" t="s">
        <v>1879</v>
      </c>
      <c r="J1335">
        <v>-1800</v>
      </c>
      <c r="K1335">
        <v>-1800</v>
      </c>
      <c r="O1335" t="s">
        <v>631</v>
      </c>
      <c r="P1335" t="s">
        <v>820</v>
      </c>
      <c r="Q1335" t="s">
        <v>461</v>
      </c>
      <c r="R1335">
        <v>0</v>
      </c>
    </row>
    <row r="1336" spans="1:18" x14ac:dyDescent="0.3">
      <c r="A1336">
        <v>193341</v>
      </c>
      <c r="B1336" t="s">
        <v>568</v>
      </c>
      <c r="C1336" t="s">
        <v>922</v>
      </c>
      <c r="D1336" t="s">
        <v>1880</v>
      </c>
      <c r="E1336" s="452">
        <v>46034</v>
      </c>
      <c r="F1336" s="452">
        <v>46049</v>
      </c>
      <c r="G1336" t="s">
        <v>297</v>
      </c>
      <c r="H1336" t="s">
        <v>304</v>
      </c>
      <c r="I1336" t="s">
        <v>1881</v>
      </c>
      <c r="J1336">
        <v>-2100</v>
      </c>
      <c r="K1336">
        <v>-2100</v>
      </c>
      <c r="O1336" t="s">
        <v>631</v>
      </c>
      <c r="P1336" t="s">
        <v>820</v>
      </c>
      <c r="Q1336" t="s">
        <v>461</v>
      </c>
      <c r="R1336">
        <v>0</v>
      </c>
    </row>
    <row r="1337" spans="1:18" x14ac:dyDescent="0.3">
      <c r="A1337">
        <v>193314</v>
      </c>
      <c r="B1337" t="s">
        <v>568</v>
      </c>
      <c r="C1337" t="s">
        <v>1882</v>
      </c>
      <c r="D1337" t="s">
        <v>1883</v>
      </c>
      <c r="E1337" s="452">
        <v>46034</v>
      </c>
      <c r="F1337" s="452">
        <v>46041</v>
      </c>
      <c r="G1337" t="s">
        <v>265</v>
      </c>
      <c r="H1337" t="s">
        <v>277</v>
      </c>
      <c r="I1337" t="s">
        <v>1884</v>
      </c>
      <c r="J1337">
        <v>-960</v>
      </c>
      <c r="K1337">
        <v>-960</v>
      </c>
      <c r="O1337" t="s">
        <v>631</v>
      </c>
      <c r="P1337" t="s">
        <v>820</v>
      </c>
      <c r="Q1337" t="s">
        <v>461</v>
      </c>
      <c r="R1337">
        <v>0</v>
      </c>
    </row>
    <row r="1338" spans="1:18" x14ac:dyDescent="0.3">
      <c r="A1338">
        <v>207479</v>
      </c>
      <c r="B1338" t="s">
        <v>568</v>
      </c>
      <c r="C1338" t="s">
        <v>1068</v>
      </c>
      <c r="E1338" s="452">
        <v>46034</v>
      </c>
      <c r="F1338" s="452">
        <v>46035</v>
      </c>
      <c r="G1338" t="s">
        <v>280</v>
      </c>
      <c r="H1338" t="s">
        <v>285</v>
      </c>
      <c r="I1338" t="s">
        <v>1098</v>
      </c>
      <c r="J1338">
        <v>-43.4</v>
      </c>
      <c r="K1338">
        <v>-43.4</v>
      </c>
      <c r="O1338" t="s">
        <v>631</v>
      </c>
      <c r="P1338" t="s">
        <v>820</v>
      </c>
      <c r="Q1338" t="s">
        <v>461</v>
      </c>
      <c r="R1338">
        <v>0</v>
      </c>
    </row>
    <row r="1339" spans="1:18" x14ac:dyDescent="0.3">
      <c r="A1339">
        <v>193575</v>
      </c>
      <c r="B1339" t="s">
        <v>568</v>
      </c>
      <c r="C1339" t="s">
        <v>910</v>
      </c>
      <c r="E1339" s="452">
        <v>46034</v>
      </c>
      <c r="F1339" s="452">
        <v>46034</v>
      </c>
      <c r="G1339" t="s">
        <v>724</v>
      </c>
      <c r="H1339" t="s">
        <v>725</v>
      </c>
      <c r="J1339">
        <v>-124.9</v>
      </c>
      <c r="K1339">
        <v>-124.9</v>
      </c>
      <c r="O1339" t="s">
        <v>631</v>
      </c>
      <c r="P1339" t="s">
        <v>820</v>
      </c>
      <c r="Q1339" t="s">
        <v>461</v>
      </c>
      <c r="R1339">
        <v>0</v>
      </c>
    </row>
    <row r="1340" spans="1:18" x14ac:dyDescent="0.3">
      <c r="A1340">
        <v>193605</v>
      </c>
      <c r="B1340" t="s">
        <v>568</v>
      </c>
      <c r="C1340" t="s">
        <v>910</v>
      </c>
      <c r="E1340" s="452">
        <v>46034</v>
      </c>
      <c r="F1340" s="452">
        <v>46034</v>
      </c>
      <c r="G1340" t="s">
        <v>724</v>
      </c>
      <c r="H1340" t="s">
        <v>725</v>
      </c>
      <c r="J1340">
        <v>-2</v>
      </c>
      <c r="K1340">
        <v>-2</v>
      </c>
      <c r="O1340" t="s">
        <v>631</v>
      </c>
      <c r="P1340" t="s">
        <v>820</v>
      </c>
      <c r="Q1340" t="s">
        <v>461</v>
      </c>
      <c r="R1340">
        <v>0</v>
      </c>
    </row>
    <row r="1341" spans="1:18" x14ac:dyDescent="0.3">
      <c r="A1341">
        <v>195439</v>
      </c>
      <c r="B1341" t="s">
        <v>568</v>
      </c>
      <c r="C1341" t="s">
        <v>1885</v>
      </c>
      <c r="D1341" t="s">
        <v>1886</v>
      </c>
      <c r="E1341" s="452">
        <v>46034</v>
      </c>
      <c r="F1341" s="452">
        <v>46049</v>
      </c>
      <c r="G1341" t="s">
        <v>297</v>
      </c>
      <c r="H1341" t="s">
        <v>304</v>
      </c>
      <c r="I1341" t="s">
        <v>1887</v>
      </c>
      <c r="J1341">
        <v>-1200</v>
      </c>
      <c r="K1341">
        <v>-1200</v>
      </c>
      <c r="O1341" t="s">
        <v>631</v>
      </c>
      <c r="P1341" t="s">
        <v>820</v>
      </c>
      <c r="Q1341" t="s">
        <v>461</v>
      </c>
      <c r="R1341">
        <v>0</v>
      </c>
    </row>
    <row r="1342" spans="1:18" x14ac:dyDescent="0.3">
      <c r="A1342">
        <v>191893</v>
      </c>
      <c r="B1342" t="s">
        <v>568</v>
      </c>
      <c r="C1342" t="s">
        <v>713</v>
      </c>
      <c r="D1342" t="s">
        <v>1888</v>
      </c>
      <c r="E1342" s="452">
        <v>46034</v>
      </c>
      <c r="F1342" s="452">
        <v>46048</v>
      </c>
      <c r="G1342" t="s">
        <v>265</v>
      </c>
      <c r="H1342" t="s">
        <v>267</v>
      </c>
      <c r="I1342" t="s">
        <v>1889</v>
      </c>
      <c r="J1342">
        <v>-2198.5500000000002</v>
      </c>
      <c r="K1342">
        <v>-2198.5500000000002</v>
      </c>
      <c r="O1342" t="s">
        <v>631</v>
      </c>
      <c r="P1342" t="s">
        <v>820</v>
      </c>
      <c r="Q1342" t="s">
        <v>461</v>
      </c>
      <c r="R1342">
        <v>0</v>
      </c>
    </row>
    <row r="1343" spans="1:18" x14ac:dyDescent="0.3">
      <c r="A1343">
        <v>192800</v>
      </c>
      <c r="B1343" t="s">
        <v>568</v>
      </c>
      <c r="C1343" t="s">
        <v>789</v>
      </c>
      <c r="D1343" t="s">
        <v>1890</v>
      </c>
      <c r="E1343" s="452">
        <v>46034</v>
      </c>
      <c r="F1343" s="452">
        <v>46044</v>
      </c>
      <c r="G1343" t="s">
        <v>790</v>
      </c>
      <c r="H1343" t="s">
        <v>204</v>
      </c>
      <c r="I1343" t="s">
        <v>1891</v>
      </c>
      <c r="J1343">
        <v>-4037</v>
      </c>
      <c r="K1343">
        <v>-4037</v>
      </c>
      <c r="O1343" t="s">
        <v>631</v>
      </c>
      <c r="P1343" t="s">
        <v>820</v>
      </c>
      <c r="Q1343" t="s">
        <v>461</v>
      </c>
      <c r="R1343">
        <v>0</v>
      </c>
    </row>
    <row r="1344" spans="1:18" x14ac:dyDescent="0.3">
      <c r="A1344">
        <v>192752</v>
      </c>
      <c r="B1344" t="s">
        <v>568</v>
      </c>
      <c r="C1344" t="s">
        <v>812</v>
      </c>
      <c r="D1344" t="s">
        <v>1892</v>
      </c>
      <c r="E1344" s="452">
        <v>46034</v>
      </c>
      <c r="F1344" s="452">
        <v>46055</v>
      </c>
      <c r="G1344" t="s">
        <v>813</v>
      </c>
      <c r="H1344" t="s">
        <v>60</v>
      </c>
      <c r="I1344" t="s">
        <v>1893</v>
      </c>
      <c r="J1344">
        <v>-1400</v>
      </c>
      <c r="K1344">
        <v>-1400</v>
      </c>
      <c r="O1344" t="s">
        <v>631</v>
      </c>
      <c r="P1344" t="s">
        <v>820</v>
      </c>
      <c r="Q1344" t="s">
        <v>461</v>
      </c>
      <c r="R1344">
        <v>0</v>
      </c>
    </row>
    <row r="1345" spans="1:18" x14ac:dyDescent="0.3">
      <c r="A1345">
        <v>207478</v>
      </c>
      <c r="B1345" t="s">
        <v>568</v>
      </c>
      <c r="C1345" t="s">
        <v>1068</v>
      </c>
      <c r="E1345" s="452">
        <v>46032</v>
      </c>
      <c r="F1345" s="452">
        <v>46033</v>
      </c>
      <c r="G1345" t="s">
        <v>280</v>
      </c>
      <c r="H1345" t="s">
        <v>285</v>
      </c>
      <c r="I1345" t="s">
        <v>1098</v>
      </c>
      <c r="J1345">
        <v>-196.27</v>
      </c>
      <c r="K1345">
        <v>-196.27</v>
      </c>
      <c r="O1345" t="s">
        <v>631</v>
      </c>
      <c r="P1345" t="s">
        <v>820</v>
      </c>
      <c r="Q1345" t="s">
        <v>461</v>
      </c>
      <c r="R1345">
        <v>0</v>
      </c>
    </row>
    <row r="1346" spans="1:18" x14ac:dyDescent="0.3">
      <c r="A1346">
        <v>192806</v>
      </c>
      <c r="B1346" t="s">
        <v>568</v>
      </c>
      <c r="C1346" t="s">
        <v>715</v>
      </c>
      <c r="D1346" t="s">
        <v>1894</v>
      </c>
      <c r="E1346" s="452">
        <v>46032</v>
      </c>
      <c r="F1346" s="452">
        <v>46063</v>
      </c>
      <c r="G1346" t="s">
        <v>319</v>
      </c>
      <c r="H1346" t="s">
        <v>320</v>
      </c>
      <c r="I1346" t="s">
        <v>1895</v>
      </c>
      <c r="J1346">
        <v>-285.56</v>
      </c>
      <c r="K1346">
        <v>-291.52</v>
      </c>
      <c r="O1346" t="s">
        <v>631</v>
      </c>
      <c r="P1346" t="s">
        <v>820</v>
      </c>
      <c r="Q1346" t="s">
        <v>461</v>
      </c>
      <c r="R1346">
        <v>0</v>
      </c>
    </row>
    <row r="1347" spans="1:18" x14ac:dyDescent="0.3">
      <c r="A1347">
        <v>154381</v>
      </c>
      <c r="B1347" t="s">
        <v>568</v>
      </c>
      <c r="C1347" t="s">
        <v>1896</v>
      </c>
      <c r="D1347" t="s">
        <v>1897</v>
      </c>
      <c r="E1347" s="452">
        <v>46032</v>
      </c>
      <c r="F1347" s="452">
        <v>46032</v>
      </c>
      <c r="G1347" t="s">
        <v>257</v>
      </c>
      <c r="H1347" t="s">
        <v>262</v>
      </c>
      <c r="I1347" t="s">
        <v>1898</v>
      </c>
      <c r="J1347">
        <v>-182.27</v>
      </c>
      <c r="K1347">
        <v>0</v>
      </c>
      <c r="O1347" t="s">
        <v>631</v>
      </c>
      <c r="P1347" t="s">
        <v>820</v>
      </c>
      <c r="Q1347" t="s">
        <v>461</v>
      </c>
      <c r="R1347">
        <v>0</v>
      </c>
    </row>
    <row r="1348" spans="1:18" x14ac:dyDescent="0.3">
      <c r="A1348">
        <v>207477</v>
      </c>
      <c r="B1348" t="s">
        <v>568</v>
      </c>
      <c r="C1348" t="s">
        <v>1068</v>
      </c>
      <c r="E1348" s="452">
        <v>46031</v>
      </c>
      <c r="F1348" s="452">
        <v>46032</v>
      </c>
      <c r="G1348" t="s">
        <v>280</v>
      </c>
      <c r="H1348" t="s">
        <v>285</v>
      </c>
      <c r="I1348" t="s">
        <v>1098</v>
      </c>
      <c r="J1348">
        <v>-171.81</v>
      </c>
      <c r="K1348">
        <v>-171.81</v>
      </c>
      <c r="O1348" t="s">
        <v>631</v>
      </c>
      <c r="P1348" t="s">
        <v>820</v>
      </c>
      <c r="Q1348" t="s">
        <v>461</v>
      </c>
      <c r="R1348">
        <v>0</v>
      </c>
    </row>
    <row r="1349" spans="1:18" x14ac:dyDescent="0.3">
      <c r="A1349">
        <v>207476</v>
      </c>
      <c r="B1349" t="s">
        <v>568</v>
      </c>
      <c r="C1349" t="s">
        <v>1068</v>
      </c>
      <c r="E1349" s="452">
        <v>46030</v>
      </c>
      <c r="F1349" s="452">
        <v>46031</v>
      </c>
      <c r="G1349" t="s">
        <v>280</v>
      </c>
      <c r="H1349" t="s">
        <v>285</v>
      </c>
      <c r="I1349" t="s">
        <v>1098</v>
      </c>
      <c r="J1349">
        <v>-110.99</v>
      </c>
      <c r="K1349">
        <v>-110.99</v>
      </c>
      <c r="O1349" t="s">
        <v>631</v>
      </c>
      <c r="P1349" t="s">
        <v>820</v>
      </c>
      <c r="Q1349" t="s">
        <v>461</v>
      </c>
      <c r="R1349">
        <v>0</v>
      </c>
    </row>
    <row r="1350" spans="1:18" x14ac:dyDescent="0.3">
      <c r="A1350">
        <v>189729</v>
      </c>
      <c r="B1350" t="s">
        <v>568</v>
      </c>
      <c r="C1350" t="s">
        <v>671</v>
      </c>
      <c r="D1350" t="s">
        <v>1864</v>
      </c>
      <c r="E1350" s="452">
        <v>46030</v>
      </c>
      <c r="F1350" s="452">
        <v>46030</v>
      </c>
      <c r="G1350" t="s">
        <v>672</v>
      </c>
      <c r="H1350" t="s">
        <v>240</v>
      </c>
      <c r="I1350" t="s">
        <v>674</v>
      </c>
      <c r="J1350">
        <v>-300</v>
      </c>
      <c r="K1350">
        <v>-300</v>
      </c>
      <c r="O1350" t="s">
        <v>631</v>
      </c>
      <c r="P1350" t="s">
        <v>820</v>
      </c>
      <c r="Q1350" t="s">
        <v>461</v>
      </c>
      <c r="R1350">
        <v>0</v>
      </c>
    </row>
    <row r="1351" spans="1:18" x14ac:dyDescent="0.3">
      <c r="A1351">
        <v>191905</v>
      </c>
      <c r="B1351" t="s">
        <v>568</v>
      </c>
      <c r="C1351" t="s">
        <v>713</v>
      </c>
      <c r="D1351" t="s">
        <v>1899</v>
      </c>
      <c r="E1351" s="452">
        <v>46030</v>
      </c>
      <c r="F1351" s="452">
        <v>46048</v>
      </c>
      <c r="G1351" t="s">
        <v>265</v>
      </c>
      <c r="H1351" t="s">
        <v>267</v>
      </c>
      <c r="I1351" t="s">
        <v>1900</v>
      </c>
      <c r="J1351">
        <v>-2554.11</v>
      </c>
      <c r="K1351">
        <v>-2554.11</v>
      </c>
      <c r="O1351" t="s">
        <v>631</v>
      </c>
      <c r="P1351" t="s">
        <v>820</v>
      </c>
      <c r="Q1351" t="s">
        <v>461</v>
      </c>
      <c r="R1351">
        <v>0</v>
      </c>
    </row>
    <row r="1352" spans="1:18" x14ac:dyDescent="0.3">
      <c r="A1352">
        <v>207475</v>
      </c>
      <c r="B1352" t="s">
        <v>568</v>
      </c>
      <c r="C1352" t="s">
        <v>1068</v>
      </c>
      <c r="E1352" s="452">
        <v>46029</v>
      </c>
      <c r="F1352" s="452">
        <v>46030</v>
      </c>
      <c r="G1352" t="s">
        <v>280</v>
      </c>
      <c r="H1352" t="s">
        <v>285</v>
      </c>
      <c r="I1352" t="s">
        <v>1098</v>
      </c>
      <c r="J1352">
        <v>-91.07</v>
      </c>
      <c r="K1352">
        <v>-91.07</v>
      </c>
      <c r="O1352" t="s">
        <v>631</v>
      </c>
      <c r="P1352" t="s">
        <v>820</v>
      </c>
      <c r="Q1352" t="s">
        <v>461</v>
      </c>
      <c r="R1352">
        <v>0</v>
      </c>
    </row>
    <row r="1353" spans="1:18" x14ac:dyDescent="0.3">
      <c r="A1353">
        <v>207474</v>
      </c>
      <c r="B1353" t="s">
        <v>568</v>
      </c>
      <c r="C1353" t="s">
        <v>1068</v>
      </c>
      <c r="E1353" s="452">
        <v>46028</v>
      </c>
      <c r="F1353" s="452">
        <v>46029</v>
      </c>
      <c r="G1353" t="s">
        <v>280</v>
      </c>
      <c r="H1353" t="s">
        <v>285</v>
      </c>
      <c r="I1353" t="s">
        <v>1098</v>
      </c>
      <c r="J1353">
        <v>-94.55</v>
      </c>
      <c r="K1353">
        <v>-94.55</v>
      </c>
      <c r="O1353" t="s">
        <v>631</v>
      </c>
      <c r="P1353" t="s">
        <v>820</v>
      </c>
      <c r="Q1353" t="s">
        <v>461</v>
      </c>
      <c r="R1353">
        <v>0</v>
      </c>
    </row>
    <row r="1354" spans="1:18" x14ac:dyDescent="0.3">
      <c r="A1354">
        <v>189754</v>
      </c>
      <c r="B1354" t="s">
        <v>568</v>
      </c>
      <c r="C1354" t="s">
        <v>682</v>
      </c>
      <c r="D1354" t="s">
        <v>1901</v>
      </c>
      <c r="E1354" s="452">
        <v>46028</v>
      </c>
      <c r="F1354" s="452">
        <v>46042</v>
      </c>
      <c r="G1354" t="s">
        <v>683</v>
      </c>
      <c r="H1354" t="s">
        <v>289</v>
      </c>
      <c r="I1354" t="s">
        <v>1902</v>
      </c>
      <c r="J1354">
        <v>-1500</v>
      </c>
      <c r="K1354">
        <v>-1500</v>
      </c>
      <c r="O1354" t="s">
        <v>631</v>
      </c>
      <c r="P1354" t="s">
        <v>820</v>
      </c>
      <c r="Q1354" t="s">
        <v>461</v>
      </c>
      <c r="R1354">
        <v>0</v>
      </c>
    </row>
    <row r="1355" spans="1:18" x14ac:dyDescent="0.3">
      <c r="A1355">
        <v>207473</v>
      </c>
      <c r="B1355" t="s">
        <v>568</v>
      </c>
      <c r="C1355" t="s">
        <v>1068</v>
      </c>
      <c r="E1355" s="452">
        <v>46027</v>
      </c>
      <c r="F1355" s="452">
        <v>46028</v>
      </c>
      <c r="G1355" t="s">
        <v>280</v>
      </c>
      <c r="H1355" t="s">
        <v>285</v>
      </c>
      <c r="I1355" t="s">
        <v>1098</v>
      </c>
      <c r="J1355">
        <v>-70.37</v>
      </c>
      <c r="K1355">
        <v>-70.37</v>
      </c>
      <c r="O1355" t="s">
        <v>631</v>
      </c>
      <c r="P1355" t="s">
        <v>820</v>
      </c>
      <c r="Q1355" t="s">
        <v>461</v>
      </c>
      <c r="R1355">
        <v>0</v>
      </c>
    </row>
    <row r="1356" spans="1:18" x14ac:dyDescent="0.3">
      <c r="A1356">
        <v>164320</v>
      </c>
      <c r="B1356" t="s">
        <v>568</v>
      </c>
      <c r="C1356" t="s">
        <v>763</v>
      </c>
      <c r="D1356" t="s">
        <v>1903</v>
      </c>
      <c r="E1356" s="452">
        <v>46027</v>
      </c>
      <c r="F1356" s="452">
        <v>46027</v>
      </c>
      <c r="G1356" t="s">
        <v>297</v>
      </c>
      <c r="H1356" t="s">
        <v>302</v>
      </c>
      <c r="I1356" t="s">
        <v>1904</v>
      </c>
      <c r="J1356">
        <v>-827.16</v>
      </c>
      <c r="K1356">
        <v>-827.16</v>
      </c>
      <c r="O1356" t="s">
        <v>631</v>
      </c>
      <c r="P1356" t="s">
        <v>820</v>
      </c>
      <c r="Q1356" t="s">
        <v>461</v>
      </c>
      <c r="R1356">
        <v>0</v>
      </c>
    </row>
    <row r="1357" spans="1:18" x14ac:dyDescent="0.3">
      <c r="A1357">
        <v>189731</v>
      </c>
      <c r="B1357" t="s">
        <v>568</v>
      </c>
      <c r="C1357" t="s">
        <v>812</v>
      </c>
      <c r="D1357" t="s">
        <v>1905</v>
      </c>
      <c r="E1357" s="452">
        <v>46027</v>
      </c>
      <c r="F1357" s="452">
        <v>46048</v>
      </c>
      <c r="G1357" t="s">
        <v>813</v>
      </c>
      <c r="H1357" t="s">
        <v>60</v>
      </c>
      <c r="I1357" t="s">
        <v>1906</v>
      </c>
      <c r="J1357">
        <v>-1400</v>
      </c>
      <c r="K1357">
        <v>-1400</v>
      </c>
      <c r="O1357" t="s">
        <v>631</v>
      </c>
      <c r="P1357" t="s">
        <v>820</v>
      </c>
      <c r="Q1357" t="s">
        <v>461</v>
      </c>
      <c r="R1357">
        <v>0</v>
      </c>
    </row>
    <row r="1358" spans="1:18" x14ac:dyDescent="0.3">
      <c r="A1358">
        <v>189733</v>
      </c>
      <c r="B1358" t="s">
        <v>568</v>
      </c>
      <c r="C1358" t="s">
        <v>789</v>
      </c>
      <c r="D1358" t="s">
        <v>1907</v>
      </c>
      <c r="E1358" s="452">
        <v>46027</v>
      </c>
      <c r="F1358" s="452">
        <v>46037</v>
      </c>
      <c r="G1358" t="s">
        <v>790</v>
      </c>
      <c r="H1358" t="s">
        <v>204</v>
      </c>
      <c r="I1358" t="s">
        <v>1908</v>
      </c>
      <c r="J1358">
        <v>-2567.5</v>
      </c>
      <c r="K1358">
        <v>-2567.5</v>
      </c>
      <c r="O1358" t="s">
        <v>631</v>
      </c>
      <c r="P1358" t="s">
        <v>820</v>
      </c>
      <c r="Q1358" t="s">
        <v>461</v>
      </c>
      <c r="R1358">
        <v>0</v>
      </c>
    </row>
    <row r="1359" spans="1:18" x14ac:dyDescent="0.3">
      <c r="A1359">
        <v>207472</v>
      </c>
      <c r="B1359" t="s">
        <v>568</v>
      </c>
      <c r="C1359" t="s">
        <v>1068</v>
      </c>
      <c r="E1359" s="452">
        <v>46025</v>
      </c>
      <c r="F1359" s="452">
        <v>46026</v>
      </c>
      <c r="G1359" t="s">
        <v>280</v>
      </c>
      <c r="H1359" t="s">
        <v>285</v>
      </c>
      <c r="I1359" t="s">
        <v>1098</v>
      </c>
      <c r="J1359">
        <v>-168.24</v>
      </c>
      <c r="K1359">
        <v>-168.24</v>
      </c>
      <c r="O1359" t="s">
        <v>631</v>
      </c>
      <c r="P1359" t="s">
        <v>820</v>
      </c>
      <c r="Q1359" t="s">
        <v>461</v>
      </c>
      <c r="R1359">
        <v>0</v>
      </c>
    </row>
    <row r="1360" spans="1:18" x14ac:dyDescent="0.3">
      <c r="A1360">
        <v>207471</v>
      </c>
      <c r="B1360" t="s">
        <v>568</v>
      </c>
      <c r="C1360" t="s">
        <v>1068</v>
      </c>
      <c r="E1360" s="452">
        <v>46024</v>
      </c>
      <c r="F1360" s="452">
        <v>46025</v>
      </c>
      <c r="G1360" t="s">
        <v>280</v>
      </c>
      <c r="H1360" t="s">
        <v>285</v>
      </c>
      <c r="I1360" t="s">
        <v>1098</v>
      </c>
      <c r="J1360">
        <v>-165.69</v>
      </c>
      <c r="K1360">
        <v>-165.69</v>
      </c>
      <c r="O1360" t="s">
        <v>631</v>
      </c>
      <c r="P1360" t="s">
        <v>820</v>
      </c>
      <c r="Q1360" t="s">
        <v>461</v>
      </c>
      <c r="R1360">
        <v>0</v>
      </c>
    </row>
    <row r="1361" spans="1:18" x14ac:dyDescent="0.3">
      <c r="A1361">
        <v>203636</v>
      </c>
      <c r="B1361" t="s">
        <v>568</v>
      </c>
      <c r="C1361" t="s">
        <v>853</v>
      </c>
      <c r="D1361" t="s">
        <v>1909</v>
      </c>
      <c r="E1361" s="452">
        <v>46023</v>
      </c>
      <c r="F1361" s="452">
        <v>46058</v>
      </c>
      <c r="G1361" t="s">
        <v>265</v>
      </c>
      <c r="H1361" t="s">
        <v>269</v>
      </c>
      <c r="I1361" t="s">
        <v>1910</v>
      </c>
      <c r="J1361">
        <v>-60</v>
      </c>
      <c r="K1361">
        <v>-60</v>
      </c>
      <c r="O1361" t="s">
        <v>631</v>
      </c>
      <c r="P1361" t="s">
        <v>820</v>
      </c>
      <c r="Q1361" t="s">
        <v>461</v>
      </c>
      <c r="R1361">
        <v>0</v>
      </c>
    </row>
    <row r="1362" spans="1:18" x14ac:dyDescent="0.3">
      <c r="A1362">
        <v>203635</v>
      </c>
      <c r="B1362" t="s">
        <v>568</v>
      </c>
      <c r="C1362" t="s">
        <v>853</v>
      </c>
      <c r="D1362" t="s">
        <v>1911</v>
      </c>
      <c r="E1362" s="452">
        <v>46023</v>
      </c>
      <c r="F1362" s="452">
        <v>46058</v>
      </c>
      <c r="G1362" t="s">
        <v>931</v>
      </c>
      <c r="H1362" t="s">
        <v>932</v>
      </c>
      <c r="I1362" t="s">
        <v>1912</v>
      </c>
      <c r="J1362">
        <v>-27.34</v>
      </c>
      <c r="K1362">
        <v>-27.34</v>
      </c>
      <c r="O1362" t="s">
        <v>631</v>
      </c>
      <c r="P1362" t="s">
        <v>820</v>
      </c>
      <c r="Q1362" t="s">
        <v>461</v>
      </c>
      <c r="R1362">
        <v>0</v>
      </c>
    </row>
    <row r="1363" spans="1:18" x14ac:dyDescent="0.3">
      <c r="A1363">
        <v>203897</v>
      </c>
      <c r="B1363" t="s">
        <v>568</v>
      </c>
      <c r="C1363" t="s">
        <v>904</v>
      </c>
      <c r="D1363" t="s">
        <v>1864</v>
      </c>
      <c r="E1363" s="452">
        <v>46023</v>
      </c>
      <c r="F1363" s="452">
        <v>46053</v>
      </c>
      <c r="G1363" t="s">
        <v>906</v>
      </c>
      <c r="H1363" t="s">
        <v>294</v>
      </c>
      <c r="I1363" t="s">
        <v>1913</v>
      </c>
      <c r="J1363">
        <v>-188.74</v>
      </c>
      <c r="K1363">
        <v>0</v>
      </c>
      <c r="O1363" t="s">
        <v>631</v>
      </c>
      <c r="P1363" t="s">
        <v>820</v>
      </c>
      <c r="Q1363" t="s">
        <v>461</v>
      </c>
      <c r="R1363">
        <v>0</v>
      </c>
    </row>
    <row r="1364" spans="1:18" x14ac:dyDescent="0.3">
      <c r="A1364">
        <v>207470</v>
      </c>
      <c r="B1364" t="s">
        <v>568</v>
      </c>
      <c r="C1364" t="s">
        <v>1068</v>
      </c>
      <c r="E1364" s="452">
        <v>46023</v>
      </c>
      <c r="F1364" s="452">
        <v>46023</v>
      </c>
      <c r="G1364" t="s">
        <v>280</v>
      </c>
      <c r="H1364" t="s">
        <v>285</v>
      </c>
      <c r="I1364" t="s">
        <v>1202</v>
      </c>
      <c r="J1364">
        <v>-40</v>
      </c>
      <c r="K1364">
        <v>-40</v>
      </c>
      <c r="O1364" t="s">
        <v>631</v>
      </c>
      <c r="P1364" t="s">
        <v>820</v>
      </c>
      <c r="Q1364" t="s">
        <v>461</v>
      </c>
      <c r="R1364">
        <v>0</v>
      </c>
    </row>
    <row r="1365" spans="1:18" x14ac:dyDescent="0.3">
      <c r="A1365">
        <v>207469</v>
      </c>
      <c r="B1365" t="s">
        <v>568</v>
      </c>
      <c r="C1365" t="s">
        <v>1068</v>
      </c>
      <c r="E1365" s="452">
        <v>46023</v>
      </c>
      <c r="F1365" s="452">
        <v>46023</v>
      </c>
      <c r="G1365" t="s">
        <v>280</v>
      </c>
      <c r="H1365" t="s">
        <v>285</v>
      </c>
      <c r="I1365" t="s">
        <v>1200</v>
      </c>
      <c r="J1365">
        <v>-160</v>
      </c>
      <c r="K1365">
        <v>-160</v>
      </c>
      <c r="O1365" t="s">
        <v>631</v>
      </c>
      <c r="P1365" t="s">
        <v>820</v>
      </c>
      <c r="Q1365" t="s">
        <v>461</v>
      </c>
      <c r="R1365">
        <v>0</v>
      </c>
    </row>
    <row r="1366" spans="1:18" x14ac:dyDescent="0.3">
      <c r="A1366">
        <v>207468</v>
      </c>
      <c r="B1366" t="s">
        <v>568</v>
      </c>
      <c r="C1366" t="s">
        <v>1068</v>
      </c>
      <c r="E1366" s="452">
        <v>46023</v>
      </c>
      <c r="F1366" s="452">
        <v>46023</v>
      </c>
      <c r="G1366" t="s">
        <v>280</v>
      </c>
      <c r="H1366" t="s">
        <v>285</v>
      </c>
      <c r="I1366" t="s">
        <v>1201</v>
      </c>
      <c r="J1366">
        <v>-60</v>
      </c>
      <c r="K1366">
        <v>-60</v>
      </c>
      <c r="O1366" t="s">
        <v>631</v>
      </c>
      <c r="P1366" t="s">
        <v>820</v>
      </c>
      <c r="Q1366" t="s">
        <v>461</v>
      </c>
      <c r="R1366">
        <v>0</v>
      </c>
    </row>
    <row r="1367" spans="1:18" x14ac:dyDescent="0.3">
      <c r="A1367">
        <v>199351</v>
      </c>
      <c r="B1367" t="s">
        <v>568</v>
      </c>
      <c r="C1367" t="s">
        <v>744</v>
      </c>
      <c r="D1367" t="s">
        <v>1914</v>
      </c>
      <c r="E1367" s="452">
        <v>46023</v>
      </c>
      <c r="F1367" s="452">
        <v>46063</v>
      </c>
      <c r="G1367" t="s">
        <v>677</v>
      </c>
      <c r="H1367" t="s">
        <v>678</v>
      </c>
      <c r="I1367" t="s">
        <v>745</v>
      </c>
      <c r="J1367">
        <v>-1500</v>
      </c>
      <c r="K1367">
        <v>-1500</v>
      </c>
      <c r="M1367" t="s">
        <v>746</v>
      </c>
      <c r="N1367" t="s">
        <v>131</v>
      </c>
      <c r="O1367" t="s">
        <v>631</v>
      </c>
      <c r="P1367" t="s">
        <v>820</v>
      </c>
      <c r="Q1367" t="s">
        <v>461</v>
      </c>
      <c r="R1367">
        <v>0</v>
      </c>
    </row>
    <row r="1368" spans="1:18" x14ac:dyDescent="0.3">
      <c r="A1368">
        <v>206944</v>
      </c>
      <c r="B1368" t="s">
        <v>568</v>
      </c>
      <c r="C1368" t="s">
        <v>1915</v>
      </c>
      <c r="D1368" t="s">
        <v>1916</v>
      </c>
      <c r="E1368" s="452">
        <v>46023</v>
      </c>
      <c r="F1368" s="452">
        <v>46068</v>
      </c>
      <c r="G1368" t="s">
        <v>677</v>
      </c>
      <c r="H1368" t="s">
        <v>678</v>
      </c>
      <c r="I1368" t="s">
        <v>1772</v>
      </c>
      <c r="J1368">
        <v>-1350</v>
      </c>
      <c r="K1368">
        <v>-1350</v>
      </c>
      <c r="M1368" t="s">
        <v>680</v>
      </c>
      <c r="N1368" t="s">
        <v>134</v>
      </c>
      <c r="O1368" t="s">
        <v>631</v>
      </c>
      <c r="P1368" t="s">
        <v>820</v>
      </c>
      <c r="Q1368" t="s">
        <v>461</v>
      </c>
      <c r="R1368">
        <v>0</v>
      </c>
    </row>
    <row r="1369" spans="1:18" x14ac:dyDescent="0.3">
      <c r="A1369">
        <v>191857</v>
      </c>
      <c r="B1369" t="s">
        <v>568</v>
      </c>
      <c r="C1369" t="s">
        <v>708</v>
      </c>
      <c r="D1369" t="s">
        <v>1917</v>
      </c>
      <c r="E1369" s="452">
        <v>46023</v>
      </c>
      <c r="F1369" s="452">
        <v>46043</v>
      </c>
      <c r="G1369" t="s">
        <v>280</v>
      </c>
      <c r="H1369" t="s">
        <v>283</v>
      </c>
      <c r="I1369" t="s">
        <v>1918</v>
      </c>
      <c r="J1369">
        <v>-334.6</v>
      </c>
      <c r="K1369">
        <v>-334.6</v>
      </c>
      <c r="O1369" t="s">
        <v>631</v>
      </c>
      <c r="P1369" t="s">
        <v>820</v>
      </c>
      <c r="Q1369" t="s">
        <v>461</v>
      </c>
      <c r="R1369">
        <v>0</v>
      </c>
    </row>
    <row r="1370" spans="1:18" x14ac:dyDescent="0.3">
      <c r="A1370">
        <v>189728</v>
      </c>
      <c r="B1370" t="s">
        <v>568</v>
      </c>
      <c r="C1370" t="s">
        <v>671</v>
      </c>
      <c r="D1370" t="s">
        <v>1864</v>
      </c>
      <c r="E1370" s="452">
        <v>46023</v>
      </c>
      <c r="F1370" s="452">
        <v>46023</v>
      </c>
      <c r="G1370" t="s">
        <v>672</v>
      </c>
      <c r="H1370" t="s">
        <v>240</v>
      </c>
      <c r="I1370" t="s">
        <v>1919</v>
      </c>
      <c r="J1370">
        <v>-300</v>
      </c>
      <c r="K1370">
        <v>-300</v>
      </c>
      <c r="O1370" t="s">
        <v>631</v>
      </c>
      <c r="P1370" t="s">
        <v>820</v>
      </c>
      <c r="Q1370" t="s">
        <v>461</v>
      </c>
      <c r="R1370">
        <v>0</v>
      </c>
    </row>
    <row r="1371" spans="1:18" x14ac:dyDescent="0.3">
      <c r="A1371">
        <v>206017</v>
      </c>
      <c r="B1371" t="s">
        <v>568</v>
      </c>
      <c r="C1371" t="s">
        <v>606</v>
      </c>
      <c r="D1371" t="s">
        <v>1677</v>
      </c>
      <c r="E1371" s="452">
        <v>46023</v>
      </c>
      <c r="F1371" s="452">
        <v>46101</v>
      </c>
      <c r="G1371" t="s">
        <v>257</v>
      </c>
      <c r="H1371" t="s">
        <v>258</v>
      </c>
      <c r="I1371" t="s">
        <v>1920</v>
      </c>
      <c r="J1371">
        <v>-9066.76</v>
      </c>
      <c r="K1371">
        <v>-9066.76</v>
      </c>
      <c r="O1371" t="s">
        <v>631</v>
      </c>
      <c r="P1371" t="s">
        <v>820</v>
      </c>
      <c r="Q1371" t="s">
        <v>461</v>
      </c>
      <c r="R1371">
        <v>0</v>
      </c>
    </row>
    <row r="1372" spans="1:18" x14ac:dyDescent="0.3">
      <c r="A1372">
        <v>206016</v>
      </c>
      <c r="B1372" t="s">
        <v>568</v>
      </c>
      <c r="C1372" t="s">
        <v>606</v>
      </c>
      <c r="D1372" t="s">
        <v>1921</v>
      </c>
      <c r="E1372" s="452">
        <v>46023</v>
      </c>
      <c r="F1372" s="452">
        <v>46063</v>
      </c>
      <c r="G1372" t="s">
        <v>257</v>
      </c>
      <c r="H1372" t="s">
        <v>260</v>
      </c>
      <c r="I1372" t="s">
        <v>1922</v>
      </c>
      <c r="J1372">
        <v>-2935.69</v>
      </c>
      <c r="K1372">
        <v>-2935.69</v>
      </c>
      <c r="O1372" t="s">
        <v>631</v>
      </c>
      <c r="P1372" t="s">
        <v>820</v>
      </c>
      <c r="Q1372" t="s">
        <v>461</v>
      </c>
      <c r="R1372">
        <v>0</v>
      </c>
    </row>
    <row r="1373" spans="1:18" x14ac:dyDescent="0.3">
      <c r="A1373">
        <v>205774</v>
      </c>
      <c r="B1373" t="s">
        <v>568</v>
      </c>
      <c r="C1373" t="s">
        <v>1915</v>
      </c>
      <c r="D1373" t="s">
        <v>1923</v>
      </c>
      <c r="E1373" s="452">
        <v>46023</v>
      </c>
      <c r="F1373" s="452">
        <v>46078</v>
      </c>
      <c r="G1373" t="s">
        <v>705</v>
      </c>
      <c r="H1373" t="s">
        <v>114</v>
      </c>
      <c r="I1373" t="s">
        <v>1924</v>
      </c>
      <c r="J1373">
        <v>-4220</v>
      </c>
      <c r="K1373">
        <v>-4220</v>
      </c>
      <c r="M1373" t="s">
        <v>680</v>
      </c>
      <c r="N1373" t="s">
        <v>134</v>
      </c>
      <c r="O1373" t="s">
        <v>631</v>
      </c>
      <c r="P1373" t="s">
        <v>820</v>
      </c>
      <c r="Q1373" t="s">
        <v>461</v>
      </c>
      <c r="R1373">
        <v>0</v>
      </c>
    </row>
    <row r="1374" spans="1:18" x14ac:dyDescent="0.3">
      <c r="A1374">
        <v>192313</v>
      </c>
      <c r="B1374" t="s">
        <v>568</v>
      </c>
      <c r="C1374" t="s">
        <v>749</v>
      </c>
      <c r="D1374" t="s">
        <v>1925</v>
      </c>
      <c r="E1374" s="452">
        <v>46023</v>
      </c>
      <c r="F1374" s="452">
        <v>46073</v>
      </c>
      <c r="G1374" t="s">
        <v>297</v>
      </c>
      <c r="H1374" t="s">
        <v>298</v>
      </c>
      <c r="I1374" t="s">
        <v>1926</v>
      </c>
      <c r="J1374">
        <v>-3000</v>
      </c>
      <c r="K1374">
        <v>-3000</v>
      </c>
      <c r="M1374" t="s">
        <v>751</v>
      </c>
      <c r="N1374" t="s">
        <v>752</v>
      </c>
      <c r="O1374" t="s">
        <v>631</v>
      </c>
      <c r="P1374" t="s">
        <v>820</v>
      </c>
      <c r="Q1374" t="s">
        <v>461</v>
      </c>
      <c r="R1374">
        <v>0</v>
      </c>
    </row>
    <row r="1375" spans="1:18" x14ac:dyDescent="0.3">
      <c r="A1375">
        <v>195440</v>
      </c>
      <c r="B1375" t="s">
        <v>568</v>
      </c>
      <c r="C1375" t="s">
        <v>1927</v>
      </c>
      <c r="D1375" t="s">
        <v>1928</v>
      </c>
      <c r="E1375" s="452">
        <v>46023</v>
      </c>
      <c r="F1375" s="452">
        <v>46048</v>
      </c>
      <c r="G1375" t="s">
        <v>931</v>
      </c>
      <c r="H1375" t="s">
        <v>932</v>
      </c>
      <c r="I1375" t="s">
        <v>1929</v>
      </c>
      <c r="J1375">
        <v>-282.60000000000002</v>
      </c>
      <c r="K1375">
        <v>-282.60000000000002</v>
      </c>
      <c r="O1375" t="s">
        <v>631</v>
      </c>
      <c r="P1375" t="s">
        <v>820</v>
      </c>
      <c r="Q1375" t="s">
        <v>461</v>
      </c>
      <c r="R1375">
        <v>0</v>
      </c>
    </row>
    <row r="1376" spans="1:18" x14ac:dyDescent="0.3">
      <c r="A1376">
        <v>99340</v>
      </c>
      <c r="B1376" t="s">
        <v>568</v>
      </c>
      <c r="C1376" t="s">
        <v>569</v>
      </c>
      <c r="E1376" s="452">
        <v>46023</v>
      </c>
      <c r="F1376" s="452">
        <v>46032</v>
      </c>
      <c r="G1376" t="s">
        <v>257</v>
      </c>
      <c r="H1376" t="s">
        <v>263</v>
      </c>
      <c r="I1376" t="s">
        <v>570</v>
      </c>
      <c r="J1376">
        <v>-12000</v>
      </c>
      <c r="K1376">
        <v>-12000</v>
      </c>
      <c r="O1376" t="s">
        <v>631</v>
      </c>
      <c r="P1376" t="s">
        <v>820</v>
      </c>
      <c r="Q1376" t="s">
        <v>461</v>
      </c>
      <c r="R1376">
        <v>0</v>
      </c>
    </row>
    <row r="1377" spans="1:18" x14ac:dyDescent="0.3">
      <c r="A1377">
        <v>194613</v>
      </c>
      <c r="B1377" t="s">
        <v>568</v>
      </c>
      <c r="C1377" t="s">
        <v>685</v>
      </c>
      <c r="D1377" t="s">
        <v>1930</v>
      </c>
      <c r="E1377" s="452">
        <v>46023</v>
      </c>
      <c r="F1377" s="452">
        <v>46052</v>
      </c>
      <c r="G1377" t="s">
        <v>672</v>
      </c>
      <c r="H1377" t="s">
        <v>243</v>
      </c>
      <c r="I1377" t="s">
        <v>461</v>
      </c>
      <c r="J1377">
        <v>-69.22</v>
      </c>
      <c r="K1377">
        <v>-69.22</v>
      </c>
      <c r="O1377" t="s">
        <v>631</v>
      </c>
      <c r="P1377" t="s">
        <v>820</v>
      </c>
      <c r="Q1377" t="s">
        <v>461</v>
      </c>
      <c r="R1377">
        <v>0</v>
      </c>
    </row>
    <row r="1378" spans="1:18" x14ac:dyDescent="0.3">
      <c r="A1378">
        <v>194172</v>
      </c>
      <c r="B1378" t="s">
        <v>568</v>
      </c>
      <c r="C1378" t="s">
        <v>671</v>
      </c>
      <c r="D1378" t="s">
        <v>1931</v>
      </c>
      <c r="E1378" s="452">
        <v>46023</v>
      </c>
      <c r="F1378" s="452">
        <v>46049</v>
      </c>
      <c r="G1378" t="s">
        <v>672</v>
      </c>
      <c r="H1378" t="s">
        <v>240</v>
      </c>
      <c r="I1378" t="s">
        <v>1932</v>
      </c>
      <c r="J1378">
        <v>-104.47</v>
      </c>
      <c r="K1378">
        <v>-104.47</v>
      </c>
      <c r="O1378" t="s">
        <v>631</v>
      </c>
      <c r="P1378" t="s">
        <v>820</v>
      </c>
      <c r="Q1378" t="s">
        <v>461</v>
      </c>
      <c r="R1378">
        <v>0</v>
      </c>
    </row>
    <row r="1379" spans="1:18" x14ac:dyDescent="0.3">
      <c r="A1379">
        <v>193411</v>
      </c>
      <c r="B1379" t="s">
        <v>568</v>
      </c>
      <c r="C1379" t="s">
        <v>723</v>
      </c>
      <c r="D1379" t="s">
        <v>1933</v>
      </c>
      <c r="E1379" s="452">
        <v>46023</v>
      </c>
      <c r="F1379" s="452">
        <v>46040</v>
      </c>
      <c r="G1379" t="s">
        <v>724</v>
      </c>
      <c r="H1379" t="s">
        <v>725</v>
      </c>
      <c r="I1379" t="s">
        <v>1934</v>
      </c>
      <c r="J1379">
        <v>-400</v>
      </c>
      <c r="K1379">
        <v>-400</v>
      </c>
      <c r="O1379" t="s">
        <v>631</v>
      </c>
      <c r="P1379" t="s">
        <v>820</v>
      </c>
      <c r="Q1379" t="s">
        <v>461</v>
      </c>
      <c r="R1379">
        <v>0</v>
      </c>
    </row>
    <row r="1380" spans="1:18" x14ac:dyDescent="0.3">
      <c r="A1380">
        <v>193011</v>
      </c>
      <c r="B1380" t="s">
        <v>568</v>
      </c>
      <c r="C1380" t="s">
        <v>769</v>
      </c>
      <c r="D1380" t="s">
        <v>1864</v>
      </c>
      <c r="E1380" s="452">
        <v>46023</v>
      </c>
      <c r="F1380" s="452">
        <v>46058</v>
      </c>
      <c r="G1380" t="s">
        <v>280</v>
      </c>
      <c r="H1380" t="s">
        <v>283</v>
      </c>
      <c r="I1380" t="s">
        <v>1935</v>
      </c>
      <c r="J1380">
        <v>-23.5</v>
      </c>
      <c r="K1380">
        <v>-23.9</v>
      </c>
      <c r="O1380" t="s">
        <v>631</v>
      </c>
      <c r="P1380" t="s">
        <v>820</v>
      </c>
      <c r="Q1380" t="s">
        <v>461</v>
      </c>
      <c r="R1380">
        <v>0</v>
      </c>
    </row>
    <row r="1381" spans="1:18" x14ac:dyDescent="0.3">
      <c r="A1381">
        <v>175477</v>
      </c>
      <c r="B1381" t="s">
        <v>568</v>
      </c>
      <c r="C1381" t="s">
        <v>606</v>
      </c>
      <c r="D1381" t="s">
        <v>1921</v>
      </c>
      <c r="E1381" s="452">
        <v>46023</v>
      </c>
      <c r="F1381" s="452">
        <v>46063</v>
      </c>
      <c r="G1381" t="s">
        <v>257</v>
      </c>
      <c r="H1381" t="s">
        <v>258</v>
      </c>
      <c r="I1381" t="s">
        <v>1550</v>
      </c>
      <c r="J1381">
        <v>-25638.32</v>
      </c>
      <c r="K1381">
        <v>-23908.32</v>
      </c>
      <c r="O1381" t="s">
        <v>631</v>
      </c>
      <c r="P1381" t="s">
        <v>820</v>
      </c>
      <c r="Q1381" t="s">
        <v>461</v>
      </c>
      <c r="R1381">
        <v>0</v>
      </c>
    </row>
    <row r="1382" spans="1:18" x14ac:dyDescent="0.3">
      <c r="A1382">
        <v>175522</v>
      </c>
      <c r="B1382" t="s">
        <v>568</v>
      </c>
      <c r="C1382" t="s">
        <v>606</v>
      </c>
      <c r="D1382" t="s">
        <v>1936</v>
      </c>
      <c r="E1382" s="452">
        <v>46023</v>
      </c>
      <c r="F1382" s="452">
        <v>46024</v>
      </c>
      <c r="G1382" t="s">
        <v>613</v>
      </c>
      <c r="H1382" t="s">
        <v>369</v>
      </c>
      <c r="I1382" t="s">
        <v>614</v>
      </c>
      <c r="J1382">
        <v>-5792.21</v>
      </c>
      <c r="K1382">
        <v>-5792.21</v>
      </c>
      <c r="O1382" t="s">
        <v>631</v>
      </c>
      <c r="P1382" t="s">
        <v>820</v>
      </c>
      <c r="Q1382" t="s">
        <v>461</v>
      </c>
      <c r="R1382">
        <v>0</v>
      </c>
    </row>
    <row r="1383" spans="1:18" x14ac:dyDescent="0.3">
      <c r="A1383">
        <v>192853</v>
      </c>
      <c r="B1383" t="s">
        <v>568</v>
      </c>
      <c r="C1383" t="s">
        <v>662</v>
      </c>
      <c r="D1383" t="s">
        <v>1864</v>
      </c>
      <c r="E1383" s="452">
        <v>46023</v>
      </c>
      <c r="F1383" s="452">
        <v>46042</v>
      </c>
      <c r="G1383" t="s">
        <v>280</v>
      </c>
      <c r="H1383" t="s">
        <v>284</v>
      </c>
      <c r="I1383" t="s">
        <v>1937</v>
      </c>
      <c r="J1383">
        <v>-181.27</v>
      </c>
      <c r="K1383">
        <v>-181.27</v>
      </c>
      <c r="O1383" t="s">
        <v>631</v>
      </c>
      <c r="P1383" t="s">
        <v>820</v>
      </c>
      <c r="Q1383" t="s">
        <v>461</v>
      </c>
      <c r="R1383">
        <v>0</v>
      </c>
    </row>
    <row r="1384" spans="1:18" x14ac:dyDescent="0.3">
      <c r="A1384">
        <v>192840</v>
      </c>
      <c r="B1384" t="s">
        <v>568</v>
      </c>
      <c r="C1384" t="s">
        <v>1938</v>
      </c>
      <c r="D1384" t="s">
        <v>1939</v>
      </c>
      <c r="E1384" s="452">
        <v>46023</v>
      </c>
      <c r="F1384" s="452">
        <v>46073</v>
      </c>
      <c r="G1384" t="s">
        <v>319</v>
      </c>
      <c r="H1384" t="s">
        <v>320</v>
      </c>
      <c r="I1384" t="s">
        <v>1940</v>
      </c>
      <c r="J1384">
        <v>-68.34</v>
      </c>
      <c r="K1384">
        <v>-68.34</v>
      </c>
      <c r="O1384" t="s">
        <v>631</v>
      </c>
      <c r="P1384" t="s">
        <v>820</v>
      </c>
      <c r="Q1384" t="s">
        <v>461</v>
      </c>
      <c r="R1384">
        <v>0</v>
      </c>
    </row>
    <row r="1385" spans="1:18" x14ac:dyDescent="0.3">
      <c r="A1385">
        <v>192828</v>
      </c>
      <c r="B1385" t="s">
        <v>568</v>
      </c>
      <c r="C1385" t="s">
        <v>1798</v>
      </c>
      <c r="D1385" t="s">
        <v>1941</v>
      </c>
      <c r="E1385" s="452">
        <v>46023</v>
      </c>
      <c r="F1385" s="452">
        <v>46042</v>
      </c>
      <c r="G1385" t="s">
        <v>309</v>
      </c>
      <c r="H1385" t="s">
        <v>317</v>
      </c>
      <c r="I1385" t="s">
        <v>758</v>
      </c>
      <c r="J1385">
        <v>-200</v>
      </c>
      <c r="K1385">
        <v>-200</v>
      </c>
      <c r="O1385" t="s">
        <v>631</v>
      </c>
      <c r="P1385" t="s">
        <v>820</v>
      </c>
      <c r="Q1385" t="s">
        <v>461</v>
      </c>
      <c r="R1385">
        <v>0</v>
      </c>
    </row>
    <row r="1386" spans="1:18" x14ac:dyDescent="0.3">
      <c r="A1386">
        <v>192467</v>
      </c>
      <c r="B1386" t="s">
        <v>568</v>
      </c>
      <c r="C1386" t="s">
        <v>823</v>
      </c>
      <c r="D1386" t="s">
        <v>1864</v>
      </c>
      <c r="E1386" s="452">
        <v>46023</v>
      </c>
      <c r="F1386" s="452">
        <v>46058</v>
      </c>
      <c r="G1386" t="s">
        <v>280</v>
      </c>
      <c r="H1386" t="s">
        <v>287</v>
      </c>
      <c r="I1386" t="s">
        <v>1942</v>
      </c>
      <c r="J1386">
        <v>-24.56</v>
      </c>
      <c r="K1386">
        <v>-24.56</v>
      </c>
      <c r="O1386" t="s">
        <v>631</v>
      </c>
      <c r="P1386" t="s">
        <v>820</v>
      </c>
      <c r="Q1386" t="s">
        <v>461</v>
      </c>
      <c r="R1386">
        <v>0</v>
      </c>
    </row>
    <row r="1387" spans="1:18" x14ac:dyDescent="0.3">
      <c r="A1387">
        <v>192439</v>
      </c>
      <c r="B1387" t="s">
        <v>568</v>
      </c>
      <c r="C1387" t="s">
        <v>729</v>
      </c>
      <c r="D1387" t="s">
        <v>1864</v>
      </c>
      <c r="E1387" s="452">
        <v>46023</v>
      </c>
      <c r="F1387" s="452">
        <v>46058</v>
      </c>
      <c r="G1387" t="s">
        <v>280</v>
      </c>
      <c r="H1387" t="s">
        <v>287</v>
      </c>
      <c r="I1387" t="s">
        <v>1943</v>
      </c>
      <c r="J1387">
        <v>-632.52</v>
      </c>
      <c r="K1387">
        <v>-631.53</v>
      </c>
      <c r="O1387" t="s">
        <v>631</v>
      </c>
      <c r="P1387" t="s">
        <v>820</v>
      </c>
      <c r="Q1387" t="s">
        <v>461</v>
      </c>
      <c r="R1387">
        <v>0</v>
      </c>
    </row>
    <row r="1388" spans="1:18" x14ac:dyDescent="0.3">
      <c r="A1388">
        <v>192370</v>
      </c>
      <c r="B1388" t="s">
        <v>568</v>
      </c>
      <c r="C1388" t="s">
        <v>733</v>
      </c>
      <c r="D1388" t="s">
        <v>1944</v>
      </c>
      <c r="E1388" s="452">
        <v>46023</v>
      </c>
      <c r="F1388" s="452">
        <v>46065</v>
      </c>
      <c r="G1388" t="s">
        <v>297</v>
      </c>
      <c r="H1388" t="s">
        <v>299</v>
      </c>
      <c r="I1388" t="s">
        <v>1945</v>
      </c>
      <c r="J1388">
        <v>-500</v>
      </c>
      <c r="K1388">
        <v>-500</v>
      </c>
      <c r="O1388" t="s">
        <v>631</v>
      </c>
      <c r="P1388" t="s">
        <v>820</v>
      </c>
      <c r="Q1388" t="s">
        <v>461</v>
      </c>
      <c r="R1388">
        <v>0</v>
      </c>
    </row>
    <row r="1389" spans="1:18" x14ac:dyDescent="0.3">
      <c r="A1389">
        <v>189759</v>
      </c>
      <c r="B1389" t="s">
        <v>568</v>
      </c>
      <c r="C1389" t="s">
        <v>742</v>
      </c>
      <c r="D1389" t="s">
        <v>1946</v>
      </c>
      <c r="E1389" s="452">
        <v>46023</v>
      </c>
      <c r="F1389" s="452">
        <v>46034</v>
      </c>
      <c r="G1389" t="s">
        <v>280</v>
      </c>
      <c r="H1389" t="s">
        <v>282</v>
      </c>
      <c r="I1389" t="s">
        <v>1947</v>
      </c>
      <c r="J1389">
        <v>-249.9</v>
      </c>
      <c r="K1389">
        <v>-249.9</v>
      </c>
      <c r="O1389" t="s">
        <v>631</v>
      </c>
      <c r="P1389" t="s">
        <v>820</v>
      </c>
      <c r="Q1389" t="s">
        <v>461</v>
      </c>
      <c r="R1389">
        <v>0</v>
      </c>
    </row>
    <row r="1390" spans="1:18" x14ac:dyDescent="0.3">
      <c r="A1390">
        <v>197923</v>
      </c>
      <c r="B1390" t="s">
        <v>568</v>
      </c>
      <c r="C1390" t="s">
        <v>688</v>
      </c>
      <c r="D1390" t="s">
        <v>1948</v>
      </c>
      <c r="E1390" s="452">
        <v>46023</v>
      </c>
      <c r="F1390" s="452">
        <v>46049</v>
      </c>
      <c r="G1390" t="s">
        <v>666</v>
      </c>
      <c r="H1390" t="s">
        <v>667</v>
      </c>
      <c r="I1390" t="s">
        <v>1949</v>
      </c>
      <c r="J1390">
        <v>-2656</v>
      </c>
      <c r="K1390">
        <v>-2656</v>
      </c>
      <c r="O1390" t="s">
        <v>631</v>
      </c>
      <c r="P1390" t="s">
        <v>820</v>
      </c>
      <c r="Q1390" t="s">
        <v>461</v>
      </c>
      <c r="R1390">
        <v>0</v>
      </c>
    </row>
    <row r="1391" spans="1:18" x14ac:dyDescent="0.3">
      <c r="A1391">
        <v>192115</v>
      </c>
      <c r="B1391" t="s">
        <v>568</v>
      </c>
      <c r="C1391" t="s">
        <v>761</v>
      </c>
      <c r="D1391" t="s">
        <v>1950</v>
      </c>
      <c r="E1391" s="452">
        <v>46023</v>
      </c>
      <c r="F1391" s="452">
        <v>46042</v>
      </c>
      <c r="G1391" t="s">
        <v>309</v>
      </c>
      <c r="H1391" t="s">
        <v>312</v>
      </c>
      <c r="I1391" t="s">
        <v>1951</v>
      </c>
      <c r="J1391">
        <v>-300</v>
      </c>
      <c r="K1391">
        <v>-300</v>
      </c>
      <c r="O1391" t="s">
        <v>631</v>
      </c>
      <c r="P1391" t="s">
        <v>820</v>
      </c>
      <c r="Q1391" t="s">
        <v>461</v>
      </c>
      <c r="R1391">
        <v>0</v>
      </c>
    </row>
    <row r="1392" spans="1:18" x14ac:dyDescent="0.3">
      <c r="A1392">
        <v>192100</v>
      </c>
      <c r="B1392" t="s">
        <v>568</v>
      </c>
      <c r="C1392" t="s">
        <v>767</v>
      </c>
      <c r="D1392" t="s">
        <v>1952</v>
      </c>
      <c r="E1392" s="452">
        <v>46023</v>
      </c>
      <c r="F1392" s="452">
        <v>46058</v>
      </c>
      <c r="G1392" t="s">
        <v>309</v>
      </c>
      <c r="H1392" t="s">
        <v>315</v>
      </c>
      <c r="I1392" t="s">
        <v>1953</v>
      </c>
      <c r="J1392">
        <v>-940.94</v>
      </c>
      <c r="K1392">
        <v>-940.94</v>
      </c>
      <c r="O1392" t="s">
        <v>631</v>
      </c>
      <c r="P1392" t="s">
        <v>820</v>
      </c>
      <c r="Q1392" t="s">
        <v>461</v>
      </c>
      <c r="R1392">
        <v>0</v>
      </c>
    </row>
    <row r="1393" spans="1:18" x14ac:dyDescent="0.3">
      <c r="A1393">
        <v>192074</v>
      </c>
      <c r="B1393" t="s">
        <v>568</v>
      </c>
      <c r="C1393" t="s">
        <v>731</v>
      </c>
      <c r="D1393" t="s">
        <v>1954</v>
      </c>
      <c r="E1393" s="452">
        <v>46023</v>
      </c>
      <c r="F1393" s="452">
        <v>46038</v>
      </c>
      <c r="G1393" t="s">
        <v>319</v>
      </c>
      <c r="H1393" t="s">
        <v>321</v>
      </c>
      <c r="I1393" t="s">
        <v>1955</v>
      </c>
      <c r="J1393">
        <v>-116.51</v>
      </c>
      <c r="K1393">
        <v>-122.1</v>
      </c>
      <c r="O1393" t="s">
        <v>631</v>
      </c>
      <c r="P1393" t="s">
        <v>820</v>
      </c>
      <c r="Q1393" t="s">
        <v>461</v>
      </c>
      <c r="R1393">
        <v>0</v>
      </c>
    </row>
    <row r="1394" spans="1:18" x14ac:dyDescent="0.3">
      <c r="A1394">
        <v>197941</v>
      </c>
      <c r="B1394" t="s">
        <v>568</v>
      </c>
      <c r="C1394" t="s">
        <v>688</v>
      </c>
      <c r="D1394" t="s">
        <v>1740</v>
      </c>
      <c r="E1394" s="452">
        <v>46023</v>
      </c>
      <c r="F1394" s="452">
        <v>46063</v>
      </c>
      <c r="G1394" t="s">
        <v>666</v>
      </c>
      <c r="H1394" t="s">
        <v>667</v>
      </c>
      <c r="I1394" t="s">
        <v>1741</v>
      </c>
      <c r="J1394">
        <v>-2656</v>
      </c>
      <c r="K1394">
        <v>-2656</v>
      </c>
      <c r="O1394" t="s">
        <v>631</v>
      </c>
      <c r="P1394" t="s">
        <v>820</v>
      </c>
      <c r="Q1394" t="s">
        <v>461</v>
      </c>
      <c r="R1394">
        <v>0</v>
      </c>
    </row>
    <row r="1395" spans="1:18" x14ac:dyDescent="0.3">
      <c r="A1395">
        <v>189737</v>
      </c>
      <c r="B1395" t="s">
        <v>568</v>
      </c>
      <c r="C1395" t="s">
        <v>757</v>
      </c>
      <c r="D1395" t="s">
        <v>1956</v>
      </c>
      <c r="E1395" s="452">
        <v>46023</v>
      </c>
      <c r="F1395" s="452">
        <v>46037</v>
      </c>
      <c r="G1395" t="s">
        <v>309</v>
      </c>
      <c r="H1395" t="s">
        <v>317</v>
      </c>
      <c r="I1395" t="s">
        <v>1957</v>
      </c>
      <c r="J1395">
        <v>-350</v>
      </c>
      <c r="K1395">
        <v>-350</v>
      </c>
      <c r="O1395" t="s">
        <v>631</v>
      </c>
      <c r="P1395" t="s">
        <v>820</v>
      </c>
      <c r="Q1395" t="s">
        <v>461</v>
      </c>
      <c r="R1395">
        <v>0</v>
      </c>
    </row>
    <row r="1396" spans="1:18" x14ac:dyDescent="0.3">
      <c r="A1396">
        <v>191821</v>
      </c>
      <c r="B1396" t="s">
        <v>568</v>
      </c>
      <c r="C1396" t="s">
        <v>765</v>
      </c>
      <c r="D1396" t="s">
        <v>1958</v>
      </c>
      <c r="E1396" s="452">
        <v>46023</v>
      </c>
      <c r="F1396" s="452">
        <v>46047</v>
      </c>
      <c r="G1396" t="s">
        <v>265</v>
      </c>
      <c r="H1396" t="s">
        <v>268</v>
      </c>
      <c r="I1396" t="s">
        <v>1959</v>
      </c>
      <c r="J1396">
        <v>-3959.84</v>
      </c>
      <c r="K1396">
        <v>-3959.84</v>
      </c>
      <c r="O1396" t="s">
        <v>631</v>
      </c>
      <c r="P1396" t="s">
        <v>820</v>
      </c>
      <c r="Q1396" t="s">
        <v>461</v>
      </c>
      <c r="R1396">
        <v>0</v>
      </c>
    </row>
    <row r="1397" spans="1:18" x14ac:dyDescent="0.3">
      <c r="A1397">
        <v>191809</v>
      </c>
      <c r="B1397" t="s">
        <v>568</v>
      </c>
      <c r="C1397" t="s">
        <v>740</v>
      </c>
      <c r="D1397" t="s">
        <v>1960</v>
      </c>
      <c r="E1397" s="452">
        <v>46023</v>
      </c>
      <c r="F1397" s="452">
        <v>46047</v>
      </c>
      <c r="G1397" t="s">
        <v>265</v>
      </c>
      <c r="H1397" t="s">
        <v>266</v>
      </c>
      <c r="I1397" t="s">
        <v>1961</v>
      </c>
      <c r="J1397">
        <v>-5100.6400000000003</v>
      </c>
      <c r="K1397">
        <v>-5100.6400000000003</v>
      </c>
      <c r="O1397" t="s">
        <v>631</v>
      </c>
      <c r="P1397" t="s">
        <v>820</v>
      </c>
      <c r="Q1397" t="s">
        <v>461</v>
      </c>
      <c r="R1397">
        <v>0</v>
      </c>
    </row>
    <row r="1398" spans="1:18" x14ac:dyDescent="0.3">
      <c r="A1398">
        <v>191733</v>
      </c>
      <c r="B1398" t="s">
        <v>568</v>
      </c>
      <c r="C1398" t="s">
        <v>735</v>
      </c>
      <c r="D1398" t="s">
        <v>1962</v>
      </c>
      <c r="E1398" s="452">
        <v>46023</v>
      </c>
      <c r="F1398" s="452">
        <v>46037</v>
      </c>
      <c r="G1398" t="s">
        <v>309</v>
      </c>
      <c r="H1398" t="s">
        <v>310</v>
      </c>
      <c r="I1398" t="s">
        <v>1963</v>
      </c>
      <c r="J1398">
        <v>-2282.27</v>
      </c>
      <c r="K1398">
        <v>-2329.9499999999998</v>
      </c>
      <c r="O1398" t="s">
        <v>631</v>
      </c>
      <c r="P1398" t="s">
        <v>820</v>
      </c>
      <c r="Q1398" t="s">
        <v>461</v>
      </c>
      <c r="R1398">
        <v>0</v>
      </c>
    </row>
    <row r="1399" spans="1:18" x14ac:dyDescent="0.3">
      <c r="A1399">
        <v>198052</v>
      </c>
      <c r="B1399" t="s">
        <v>568</v>
      </c>
      <c r="C1399" t="s">
        <v>1314</v>
      </c>
      <c r="D1399" t="s">
        <v>1964</v>
      </c>
      <c r="E1399" s="452">
        <v>46023</v>
      </c>
      <c r="F1399" s="452">
        <v>46055</v>
      </c>
      <c r="G1399" t="s">
        <v>297</v>
      </c>
      <c r="H1399" t="s">
        <v>305</v>
      </c>
      <c r="I1399" t="s">
        <v>1965</v>
      </c>
      <c r="J1399">
        <v>-448</v>
      </c>
      <c r="K1399">
        <v>-448</v>
      </c>
      <c r="O1399" t="s">
        <v>631</v>
      </c>
      <c r="P1399" t="s">
        <v>820</v>
      </c>
      <c r="Q1399" t="s">
        <v>461</v>
      </c>
      <c r="R1399">
        <v>0</v>
      </c>
    </row>
    <row r="1400" spans="1:18" x14ac:dyDescent="0.3">
      <c r="A1400">
        <v>199338</v>
      </c>
      <c r="B1400" t="s">
        <v>568</v>
      </c>
      <c r="C1400" t="s">
        <v>753</v>
      </c>
      <c r="D1400" t="s">
        <v>1966</v>
      </c>
      <c r="E1400" s="452">
        <v>46023</v>
      </c>
      <c r="F1400" s="452">
        <v>46068</v>
      </c>
      <c r="G1400" t="s">
        <v>677</v>
      </c>
      <c r="H1400" t="s">
        <v>678</v>
      </c>
      <c r="I1400" t="s">
        <v>754</v>
      </c>
      <c r="J1400">
        <v>-8000</v>
      </c>
      <c r="K1400">
        <v>-8000</v>
      </c>
      <c r="M1400" t="s">
        <v>755</v>
      </c>
      <c r="N1400" t="s">
        <v>132</v>
      </c>
      <c r="O1400" t="s">
        <v>631</v>
      </c>
      <c r="P1400" t="s">
        <v>820</v>
      </c>
      <c r="Q1400" t="s">
        <v>461</v>
      </c>
      <c r="R1400">
        <v>0</v>
      </c>
    </row>
    <row r="1401" spans="1:18" x14ac:dyDescent="0.3">
      <c r="A1401">
        <v>185883</v>
      </c>
      <c r="B1401" t="s">
        <v>568</v>
      </c>
      <c r="C1401" t="s">
        <v>671</v>
      </c>
      <c r="D1401" t="s">
        <v>1967</v>
      </c>
      <c r="E1401" s="452">
        <v>46023</v>
      </c>
      <c r="F1401" s="452">
        <v>46020</v>
      </c>
      <c r="G1401" t="s">
        <v>672</v>
      </c>
      <c r="H1401" t="s">
        <v>240</v>
      </c>
      <c r="I1401" t="s">
        <v>1968</v>
      </c>
      <c r="J1401">
        <v>-1658.29</v>
      </c>
      <c r="K1401">
        <v>-1658.29</v>
      </c>
      <c r="O1401" t="s">
        <v>631</v>
      </c>
      <c r="P1401" t="s">
        <v>820</v>
      </c>
      <c r="Q1401" t="s">
        <v>461</v>
      </c>
      <c r="R1401">
        <v>0</v>
      </c>
    </row>
    <row r="1402" spans="1:18" x14ac:dyDescent="0.3">
      <c r="A1402">
        <v>185885</v>
      </c>
      <c r="B1402" t="s">
        <v>568</v>
      </c>
      <c r="C1402" t="s">
        <v>671</v>
      </c>
      <c r="D1402" t="s">
        <v>1969</v>
      </c>
      <c r="E1402" s="452">
        <v>46023</v>
      </c>
      <c r="F1402" s="452">
        <v>46020</v>
      </c>
      <c r="G1402" t="s">
        <v>672</v>
      </c>
      <c r="H1402" t="s">
        <v>240</v>
      </c>
      <c r="I1402" t="s">
        <v>1970</v>
      </c>
      <c r="J1402">
        <v>-600.70000000000005</v>
      </c>
      <c r="K1402">
        <v>-600.70000000000005</v>
      </c>
      <c r="O1402" t="s">
        <v>631</v>
      </c>
      <c r="P1402" t="s">
        <v>820</v>
      </c>
      <c r="Q1402" t="s">
        <v>461</v>
      </c>
      <c r="R1402">
        <v>0</v>
      </c>
    </row>
    <row r="1403" spans="1:18" x14ac:dyDescent="0.3">
      <c r="A1403">
        <v>189767</v>
      </c>
      <c r="B1403" t="s">
        <v>568</v>
      </c>
      <c r="C1403" t="s">
        <v>778</v>
      </c>
      <c r="D1403" t="s">
        <v>1971</v>
      </c>
      <c r="E1403" s="452">
        <v>46023</v>
      </c>
      <c r="F1403" s="452">
        <v>46042</v>
      </c>
      <c r="G1403" t="s">
        <v>309</v>
      </c>
      <c r="H1403" t="s">
        <v>313</v>
      </c>
      <c r="I1403" t="s">
        <v>1972</v>
      </c>
      <c r="J1403">
        <v>-185</v>
      </c>
      <c r="K1403">
        <v>-185</v>
      </c>
      <c r="O1403" t="s">
        <v>631</v>
      </c>
      <c r="P1403" t="s">
        <v>820</v>
      </c>
      <c r="Q1403" t="s">
        <v>461</v>
      </c>
      <c r="R1403">
        <v>0</v>
      </c>
    </row>
    <row r="1404" spans="1:18" x14ac:dyDescent="0.3">
      <c r="A1404">
        <v>201312</v>
      </c>
      <c r="B1404" t="s">
        <v>568</v>
      </c>
      <c r="C1404" t="s">
        <v>853</v>
      </c>
      <c r="D1404" t="s">
        <v>1973</v>
      </c>
      <c r="E1404" s="452">
        <v>46023</v>
      </c>
      <c r="F1404" s="452">
        <v>46058</v>
      </c>
      <c r="G1404" t="s">
        <v>931</v>
      </c>
      <c r="H1404" t="s">
        <v>932</v>
      </c>
      <c r="I1404" t="s">
        <v>1974</v>
      </c>
      <c r="J1404">
        <v>-9.08</v>
      </c>
      <c r="K1404">
        <v>-9.08</v>
      </c>
      <c r="O1404" t="s">
        <v>631</v>
      </c>
      <c r="P1404" t="s">
        <v>820</v>
      </c>
      <c r="Q1404" t="s">
        <v>461</v>
      </c>
      <c r="R1404">
        <v>0</v>
      </c>
    </row>
    <row r="1405" spans="1:18" x14ac:dyDescent="0.3">
      <c r="A1405">
        <v>201334</v>
      </c>
      <c r="B1405" t="s">
        <v>568</v>
      </c>
      <c r="C1405" t="s">
        <v>853</v>
      </c>
      <c r="D1405" t="s">
        <v>1975</v>
      </c>
      <c r="E1405" s="452">
        <v>46023</v>
      </c>
      <c r="F1405" s="452">
        <v>46058</v>
      </c>
      <c r="G1405" t="s">
        <v>265</v>
      </c>
      <c r="H1405" t="s">
        <v>276</v>
      </c>
      <c r="I1405" t="s">
        <v>1976</v>
      </c>
      <c r="J1405">
        <v>-20</v>
      </c>
      <c r="K1405">
        <v>-20</v>
      </c>
      <c r="O1405" t="s">
        <v>631</v>
      </c>
      <c r="P1405" t="s">
        <v>820</v>
      </c>
      <c r="Q1405" t="s">
        <v>461</v>
      </c>
      <c r="R1405">
        <v>0</v>
      </c>
    </row>
    <row r="1406" spans="1:18" x14ac:dyDescent="0.3">
      <c r="A1406">
        <v>201332</v>
      </c>
      <c r="B1406" t="s">
        <v>568</v>
      </c>
      <c r="C1406" t="s">
        <v>853</v>
      </c>
      <c r="D1406" t="s">
        <v>1977</v>
      </c>
      <c r="E1406" s="452">
        <v>46023</v>
      </c>
      <c r="F1406" s="452">
        <v>46058</v>
      </c>
      <c r="G1406" t="s">
        <v>931</v>
      </c>
      <c r="H1406" t="s">
        <v>932</v>
      </c>
      <c r="I1406" t="s">
        <v>1978</v>
      </c>
      <c r="J1406">
        <v>-28.26</v>
      </c>
      <c r="K1406">
        <v>-28.26</v>
      </c>
      <c r="O1406" t="s">
        <v>631</v>
      </c>
      <c r="P1406" t="s">
        <v>820</v>
      </c>
      <c r="Q1406" t="s">
        <v>461</v>
      </c>
      <c r="R1406">
        <v>0</v>
      </c>
    </row>
    <row r="1407" spans="1:18" x14ac:dyDescent="0.3">
      <c r="A1407">
        <v>201331</v>
      </c>
      <c r="B1407" t="s">
        <v>568</v>
      </c>
      <c r="C1407" t="s">
        <v>853</v>
      </c>
      <c r="D1407" t="s">
        <v>1979</v>
      </c>
      <c r="E1407" s="452">
        <v>46023</v>
      </c>
      <c r="F1407" s="452">
        <v>46058</v>
      </c>
      <c r="G1407" t="s">
        <v>265</v>
      </c>
      <c r="H1407" t="s">
        <v>273</v>
      </c>
      <c r="I1407" t="s">
        <v>1980</v>
      </c>
      <c r="J1407">
        <v>-159.4</v>
      </c>
      <c r="K1407">
        <v>-159.4</v>
      </c>
      <c r="O1407" t="s">
        <v>631</v>
      </c>
      <c r="P1407" t="s">
        <v>820</v>
      </c>
      <c r="Q1407" t="s">
        <v>461</v>
      </c>
      <c r="R1407">
        <v>0</v>
      </c>
    </row>
    <row r="1408" spans="1:18" x14ac:dyDescent="0.3">
      <c r="A1408">
        <v>201330</v>
      </c>
      <c r="B1408" t="s">
        <v>568</v>
      </c>
      <c r="C1408" t="s">
        <v>853</v>
      </c>
      <c r="D1408" t="s">
        <v>1981</v>
      </c>
      <c r="E1408" s="452">
        <v>46023</v>
      </c>
      <c r="F1408" s="452">
        <v>46058</v>
      </c>
      <c r="G1408" t="s">
        <v>265</v>
      </c>
      <c r="H1408" t="s">
        <v>269</v>
      </c>
      <c r="I1408" t="s">
        <v>1982</v>
      </c>
      <c r="J1408">
        <v>-34.979999999999997</v>
      </c>
      <c r="K1408">
        <v>-34.979999999999997</v>
      </c>
      <c r="O1408" t="s">
        <v>631</v>
      </c>
      <c r="P1408" t="s">
        <v>820</v>
      </c>
      <c r="Q1408" t="s">
        <v>461</v>
      </c>
      <c r="R1408">
        <v>0</v>
      </c>
    </row>
    <row r="1409" spans="1:18" x14ac:dyDescent="0.3">
      <c r="A1409">
        <v>201288</v>
      </c>
      <c r="B1409" t="s">
        <v>568</v>
      </c>
      <c r="C1409" t="s">
        <v>853</v>
      </c>
      <c r="D1409" t="s">
        <v>1983</v>
      </c>
      <c r="E1409" s="452">
        <v>46023</v>
      </c>
      <c r="F1409" s="452">
        <v>46058</v>
      </c>
      <c r="G1409" t="s">
        <v>931</v>
      </c>
      <c r="H1409" t="s">
        <v>932</v>
      </c>
      <c r="I1409" t="s">
        <v>1984</v>
      </c>
      <c r="J1409">
        <v>-44.1</v>
      </c>
      <c r="K1409">
        <v>-44.1</v>
      </c>
      <c r="O1409" t="s">
        <v>631</v>
      </c>
      <c r="P1409" t="s">
        <v>820</v>
      </c>
      <c r="Q1409" t="s">
        <v>461</v>
      </c>
      <c r="R1409">
        <v>0</v>
      </c>
    </row>
    <row r="1410" spans="1:18" x14ac:dyDescent="0.3">
      <c r="A1410">
        <v>201329</v>
      </c>
      <c r="B1410" t="s">
        <v>568</v>
      </c>
      <c r="C1410" t="s">
        <v>853</v>
      </c>
      <c r="D1410" t="s">
        <v>1985</v>
      </c>
      <c r="E1410" s="452">
        <v>46023</v>
      </c>
      <c r="F1410" s="452">
        <v>46058</v>
      </c>
      <c r="G1410" t="s">
        <v>931</v>
      </c>
      <c r="H1410" t="s">
        <v>932</v>
      </c>
      <c r="I1410" t="s">
        <v>1986</v>
      </c>
      <c r="J1410">
        <v>-21.46</v>
      </c>
      <c r="K1410">
        <v>-21.46</v>
      </c>
      <c r="O1410" t="s">
        <v>631</v>
      </c>
      <c r="P1410" t="s">
        <v>820</v>
      </c>
      <c r="Q1410" t="s">
        <v>461</v>
      </c>
      <c r="R1410">
        <v>0</v>
      </c>
    </row>
    <row r="1411" spans="1:18" x14ac:dyDescent="0.3">
      <c r="A1411">
        <v>201328</v>
      </c>
      <c r="B1411" t="s">
        <v>568</v>
      </c>
      <c r="C1411" t="s">
        <v>853</v>
      </c>
      <c r="D1411" t="s">
        <v>1987</v>
      </c>
      <c r="E1411" s="452">
        <v>46023</v>
      </c>
      <c r="F1411" s="452">
        <v>46058</v>
      </c>
      <c r="G1411" t="s">
        <v>931</v>
      </c>
      <c r="H1411" t="s">
        <v>932</v>
      </c>
      <c r="I1411" t="s">
        <v>1988</v>
      </c>
      <c r="J1411">
        <v>-36.47</v>
      </c>
      <c r="K1411">
        <v>-36.47</v>
      </c>
      <c r="O1411" t="s">
        <v>631</v>
      </c>
      <c r="P1411" t="s">
        <v>820</v>
      </c>
      <c r="Q1411" t="s">
        <v>461</v>
      </c>
      <c r="R1411">
        <v>0</v>
      </c>
    </row>
    <row r="1412" spans="1:18" x14ac:dyDescent="0.3">
      <c r="A1412">
        <v>199985</v>
      </c>
      <c r="B1412" t="s">
        <v>568</v>
      </c>
      <c r="C1412" t="s">
        <v>771</v>
      </c>
      <c r="D1412" t="s">
        <v>1989</v>
      </c>
      <c r="E1412" s="452">
        <v>46023</v>
      </c>
      <c r="F1412" s="452">
        <v>46068</v>
      </c>
      <c r="G1412" t="s">
        <v>677</v>
      </c>
      <c r="H1412" t="s">
        <v>678</v>
      </c>
      <c r="I1412" t="s">
        <v>745</v>
      </c>
      <c r="J1412">
        <v>-1750</v>
      </c>
      <c r="K1412">
        <v>-1750</v>
      </c>
      <c r="M1412" t="s">
        <v>772</v>
      </c>
      <c r="N1412" t="s">
        <v>135</v>
      </c>
      <c r="O1412" t="s">
        <v>631</v>
      </c>
      <c r="P1412" t="s">
        <v>820</v>
      </c>
      <c r="Q1412" t="s">
        <v>461</v>
      </c>
      <c r="R1412">
        <v>0</v>
      </c>
    </row>
    <row r="1413" spans="1:18" x14ac:dyDescent="0.3">
      <c r="A1413">
        <v>201289</v>
      </c>
      <c r="B1413" t="s">
        <v>568</v>
      </c>
      <c r="C1413" t="s">
        <v>853</v>
      </c>
      <c r="D1413" t="s">
        <v>1990</v>
      </c>
      <c r="E1413" s="452">
        <v>46023</v>
      </c>
      <c r="F1413" s="452">
        <v>46058</v>
      </c>
      <c r="G1413" t="s">
        <v>683</v>
      </c>
      <c r="H1413" t="s">
        <v>292</v>
      </c>
      <c r="I1413" t="s">
        <v>1991</v>
      </c>
      <c r="J1413">
        <v>-80</v>
      </c>
      <c r="K1413">
        <v>-80</v>
      </c>
      <c r="O1413" t="s">
        <v>631</v>
      </c>
      <c r="P1413" t="s">
        <v>820</v>
      </c>
      <c r="Q1413" t="s">
        <v>461</v>
      </c>
      <c r="R1413">
        <v>0</v>
      </c>
    </row>
    <row r="1414" spans="1:18" x14ac:dyDescent="0.3">
      <c r="A1414">
        <v>201304</v>
      </c>
      <c r="B1414" t="s">
        <v>568</v>
      </c>
      <c r="C1414" t="s">
        <v>853</v>
      </c>
      <c r="D1414" t="s">
        <v>1992</v>
      </c>
      <c r="E1414" s="452">
        <v>46023</v>
      </c>
      <c r="F1414" s="452">
        <v>46058</v>
      </c>
      <c r="G1414" t="s">
        <v>683</v>
      </c>
      <c r="H1414" t="s">
        <v>292</v>
      </c>
      <c r="I1414" t="s">
        <v>1993</v>
      </c>
      <c r="J1414">
        <v>-43.9</v>
      </c>
      <c r="K1414">
        <v>-43.9</v>
      </c>
      <c r="O1414" t="s">
        <v>631</v>
      </c>
      <c r="P1414" t="s">
        <v>820</v>
      </c>
      <c r="Q1414" t="s">
        <v>461</v>
      </c>
      <c r="R1414">
        <v>0</v>
      </c>
    </row>
    <row r="1415" spans="1:18" x14ac:dyDescent="0.3">
      <c r="A1415">
        <v>201305</v>
      </c>
      <c r="B1415" t="s">
        <v>568</v>
      </c>
      <c r="C1415" t="s">
        <v>853</v>
      </c>
      <c r="D1415" t="s">
        <v>1994</v>
      </c>
      <c r="E1415" s="452">
        <v>46023</v>
      </c>
      <c r="F1415" s="452">
        <v>46058</v>
      </c>
      <c r="G1415" t="s">
        <v>265</v>
      </c>
      <c r="H1415" t="s">
        <v>269</v>
      </c>
      <c r="I1415" t="s">
        <v>1995</v>
      </c>
      <c r="J1415">
        <v>-18</v>
      </c>
      <c r="K1415">
        <v>-18</v>
      </c>
      <c r="O1415" t="s">
        <v>631</v>
      </c>
      <c r="P1415" t="s">
        <v>820</v>
      </c>
      <c r="Q1415" t="s">
        <v>461</v>
      </c>
      <c r="R1415">
        <v>0</v>
      </c>
    </row>
    <row r="1416" spans="1:18" x14ac:dyDescent="0.3">
      <c r="A1416">
        <v>201309</v>
      </c>
      <c r="B1416" t="s">
        <v>568</v>
      </c>
      <c r="C1416" t="s">
        <v>853</v>
      </c>
      <c r="D1416" t="s">
        <v>1996</v>
      </c>
      <c r="E1416" s="452">
        <v>46023</v>
      </c>
      <c r="F1416" s="452">
        <v>46058</v>
      </c>
      <c r="G1416" t="s">
        <v>931</v>
      </c>
      <c r="H1416" t="s">
        <v>932</v>
      </c>
      <c r="I1416" t="s">
        <v>1997</v>
      </c>
      <c r="J1416">
        <v>-32.81</v>
      </c>
      <c r="K1416">
        <v>-32.81</v>
      </c>
      <c r="O1416" t="s">
        <v>631</v>
      </c>
      <c r="P1416" t="s">
        <v>820</v>
      </c>
      <c r="Q1416" t="s">
        <v>461</v>
      </c>
      <c r="R1416">
        <v>0</v>
      </c>
    </row>
    <row r="1417" spans="1:18" x14ac:dyDescent="0.3">
      <c r="A1417">
        <v>201310</v>
      </c>
      <c r="B1417" t="s">
        <v>568</v>
      </c>
      <c r="C1417" t="s">
        <v>853</v>
      </c>
      <c r="D1417" t="s">
        <v>1998</v>
      </c>
      <c r="E1417" s="452">
        <v>46023</v>
      </c>
      <c r="F1417" s="452">
        <v>46058</v>
      </c>
      <c r="G1417" t="s">
        <v>931</v>
      </c>
      <c r="H1417" t="s">
        <v>932</v>
      </c>
      <c r="I1417" t="s">
        <v>1999</v>
      </c>
      <c r="J1417">
        <v>-8.81</v>
      </c>
      <c r="K1417">
        <v>-8.81</v>
      </c>
      <c r="O1417" t="s">
        <v>631</v>
      </c>
      <c r="P1417" t="s">
        <v>820</v>
      </c>
      <c r="Q1417" t="s">
        <v>461</v>
      </c>
      <c r="R1417">
        <v>0</v>
      </c>
    </row>
    <row r="1418" spans="1:18" x14ac:dyDescent="0.3">
      <c r="A1418">
        <v>201311</v>
      </c>
      <c r="B1418" t="s">
        <v>568</v>
      </c>
      <c r="C1418" t="s">
        <v>853</v>
      </c>
      <c r="D1418" t="s">
        <v>2000</v>
      </c>
      <c r="E1418" s="452">
        <v>46023</v>
      </c>
      <c r="F1418" s="452">
        <v>46058</v>
      </c>
      <c r="G1418" t="s">
        <v>931</v>
      </c>
      <c r="H1418" t="s">
        <v>932</v>
      </c>
      <c r="I1418" t="s">
        <v>2001</v>
      </c>
      <c r="J1418">
        <v>-34.520000000000003</v>
      </c>
      <c r="K1418">
        <v>-34.520000000000003</v>
      </c>
      <c r="O1418" t="s">
        <v>631</v>
      </c>
      <c r="P1418" t="s">
        <v>820</v>
      </c>
      <c r="Q1418" t="s">
        <v>461</v>
      </c>
      <c r="R1418">
        <v>0</v>
      </c>
    </row>
    <row r="1419" spans="1:18" x14ac:dyDescent="0.3">
      <c r="A1419">
        <v>201333</v>
      </c>
      <c r="B1419" t="s">
        <v>568</v>
      </c>
      <c r="C1419" t="s">
        <v>853</v>
      </c>
      <c r="D1419" t="s">
        <v>2002</v>
      </c>
      <c r="E1419" s="452">
        <v>46023</v>
      </c>
      <c r="F1419" s="452">
        <v>46058</v>
      </c>
      <c r="G1419" t="s">
        <v>265</v>
      </c>
      <c r="H1419" t="s">
        <v>269</v>
      </c>
      <c r="I1419" t="s">
        <v>1995</v>
      </c>
      <c r="J1419">
        <v>-25</v>
      </c>
      <c r="K1419">
        <v>-25</v>
      </c>
      <c r="O1419" t="s">
        <v>631</v>
      </c>
      <c r="P1419" t="s">
        <v>820</v>
      </c>
      <c r="Q1419" t="s">
        <v>461</v>
      </c>
      <c r="R1419">
        <v>0</v>
      </c>
    </row>
    <row r="1420" spans="1:18" x14ac:dyDescent="0.3">
      <c r="A1420">
        <v>201327</v>
      </c>
      <c r="B1420" t="s">
        <v>568</v>
      </c>
      <c r="C1420" t="s">
        <v>853</v>
      </c>
      <c r="D1420" t="s">
        <v>2003</v>
      </c>
      <c r="E1420" s="452">
        <v>46023</v>
      </c>
      <c r="F1420" s="452">
        <v>46058</v>
      </c>
      <c r="G1420" t="s">
        <v>265</v>
      </c>
      <c r="H1420" t="s">
        <v>273</v>
      </c>
      <c r="I1420" t="s">
        <v>2004</v>
      </c>
      <c r="J1420">
        <v>-32.31</v>
      </c>
      <c r="K1420">
        <v>-32.31</v>
      </c>
      <c r="O1420" t="s">
        <v>631</v>
      </c>
      <c r="P1420" t="s">
        <v>820</v>
      </c>
      <c r="Q1420" t="s">
        <v>461</v>
      </c>
      <c r="R1420">
        <v>0</v>
      </c>
    </row>
    <row r="1421" spans="1:18" x14ac:dyDescent="0.3">
      <c r="A1421">
        <v>201326</v>
      </c>
      <c r="B1421" t="s">
        <v>568</v>
      </c>
      <c r="C1421" t="s">
        <v>853</v>
      </c>
      <c r="D1421" t="s">
        <v>2005</v>
      </c>
      <c r="E1421" s="452">
        <v>46023</v>
      </c>
      <c r="F1421" s="452">
        <v>46058</v>
      </c>
      <c r="G1421" t="s">
        <v>265</v>
      </c>
      <c r="H1421" t="s">
        <v>273</v>
      </c>
      <c r="I1421" t="s">
        <v>2006</v>
      </c>
      <c r="J1421">
        <v>-9.74</v>
      </c>
      <c r="K1421">
        <v>-9.74</v>
      </c>
      <c r="O1421" t="s">
        <v>631</v>
      </c>
      <c r="P1421" t="s">
        <v>820</v>
      </c>
      <c r="Q1421" t="s">
        <v>461</v>
      </c>
      <c r="R1421">
        <v>0</v>
      </c>
    </row>
    <row r="1422" spans="1:18" x14ac:dyDescent="0.3">
      <c r="A1422">
        <v>201325</v>
      </c>
      <c r="B1422" t="s">
        <v>568</v>
      </c>
      <c r="C1422" t="s">
        <v>853</v>
      </c>
      <c r="D1422" t="s">
        <v>2007</v>
      </c>
      <c r="E1422" s="452">
        <v>46023</v>
      </c>
      <c r="F1422" s="452">
        <v>46058</v>
      </c>
      <c r="G1422" t="s">
        <v>265</v>
      </c>
      <c r="H1422" t="s">
        <v>270</v>
      </c>
      <c r="I1422" t="s">
        <v>2008</v>
      </c>
      <c r="J1422">
        <v>-56</v>
      </c>
      <c r="K1422">
        <v>-56</v>
      </c>
      <c r="O1422" t="s">
        <v>631</v>
      </c>
      <c r="P1422" t="s">
        <v>820</v>
      </c>
      <c r="Q1422" t="s">
        <v>461</v>
      </c>
      <c r="R1422">
        <v>0</v>
      </c>
    </row>
    <row r="1423" spans="1:18" x14ac:dyDescent="0.3">
      <c r="A1423">
        <v>201324</v>
      </c>
      <c r="B1423" t="s">
        <v>568</v>
      </c>
      <c r="C1423" t="s">
        <v>853</v>
      </c>
      <c r="D1423" t="s">
        <v>2009</v>
      </c>
      <c r="E1423" s="452">
        <v>46023</v>
      </c>
      <c r="F1423" s="452">
        <v>46058</v>
      </c>
      <c r="G1423" t="s">
        <v>931</v>
      </c>
      <c r="H1423" t="s">
        <v>932</v>
      </c>
      <c r="I1423" t="s">
        <v>1978</v>
      </c>
      <c r="J1423">
        <v>-15.08</v>
      </c>
      <c r="K1423">
        <v>-15.08</v>
      </c>
      <c r="O1423" t="s">
        <v>631</v>
      </c>
      <c r="P1423" t="s">
        <v>820</v>
      </c>
      <c r="Q1423" t="s">
        <v>461</v>
      </c>
      <c r="R1423">
        <v>0</v>
      </c>
    </row>
    <row r="1424" spans="1:18" x14ac:dyDescent="0.3">
      <c r="A1424">
        <v>201323</v>
      </c>
      <c r="B1424" t="s">
        <v>568</v>
      </c>
      <c r="C1424" t="s">
        <v>853</v>
      </c>
      <c r="D1424" t="s">
        <v>2010</v>
      </c>
      <c r="E1424" s="452">
        <v>46023</v>
      </c>
      <c r="F1424" s="452">
        <v>46058</v>
      </c>
      <c r="G1424" t="s">
        <v>265</v>
      </c>
      <c r="H1424" t="s">
        <v>273</v>
      </c>
      <c r="I1424" t="s">
        <v>2011</v>
      </c>
      <c r="J1424">
        <v>-46.9</v>
      </c>
      <c r="K1424">
        <v>-46.9</v>
      </c>
      <c r="O1424" t="s">
        <v>631</v>
      </c>
      <c r="P1424" t="s">
        <v>820</v>
      </c>
      <c r="Q1424" t="s">
        <v>461</v>
      </c>
      <c r="R1424">
        <v>0</v>
      </c>
    </row>
    <row r="1425" spans="1:18" x14ac:dyDescent="0.3">
      <c r="A1425">
        <v>201322</v>
      </c>
      <c r="B1425" t="s">
        <v>568</v>
      </c>
      <c r="C1425" t="s">
        <v>853</v>
      </c>
      <c r="D1425" t="s">
        <v>2012</v>
      </c>
      <c r="E1425" s="452">
        <v>46023</v>
      </c>
      <c r="F1425" s="452">
        <v>46058</v>
      </c>
      <c r="G1425" t="s">
        <v>683</v>
      </c>
      <c r="H1425" t="s">
        <v>292</v>
      </c>
      <c r="I1425" t="s">
        <v>2013</v>
      </c>
      <c r="J1425">
        <v>-10</v>
      </c>
      <c r="K1425">
        <v>-10</v>
      </c>
      <c r="O1425" t="s">
        <v>631</v>
      </c>
      <c r="P1425" t="s">
        <v>820</v>
      </c>
      <c r="Q1425" t="s">
        <v>461</v>
      </c>
      <c r="R1425">
        <v>0</v>
      </c>
    </row>
    <row r="1426" spans="1:18" x14ac:dyDescent="0.3">
      <c r="A1426">
        <v>201321</v>
      </c>
      <c r="B1426" t="s">
        <v>568</v>
      </c>
      <c r="C1426" t="s">
        <v>853</v>
      </c>
      <c r="D1426" t="s">
        <v>2014</v>
      </c>
      <c r="E1426" s="452">
        <v>46023</v>
      </c>
      <c r="F1426" s="452">
        <v>46058</v>
      </c>
      <c r="G1426" t="s">
        <v>683</v>
      </c>
      <c r="H1426" t="s">
        <v>292</v>
      </c>
      <c r="I1426" t="s">
        <v>2015</v>
      </c>
      <c r="J1426">
        <v>-280</v>
      </c>
      <c r="K1426">
        <v>-280</v>
      </c>
      <c r="O1426" t="s">
        <v>631</v>
      </c>
      <c r="P1426" t="s">
        <v>820</v>
      </c>
      <c r="Q1426" t="s">
        <v>461</v>
      </c>
      <c r="R1426">
        <v>0</v>
      </c>
    </row>
    <row r="1427" spans="1:18" x14ac:dyDescent="0.3">
      <c r="A1427">
        <v>201320</v>
      </c>
      <c r="B1427" t="s">
        <v>568</v>
      </c>
      <c r="C1427" t="s">
        <v>853</v>
      </c>
      <c r="D1427" t="s">
        <v>2016</v>
      </c>
      <c r="E1427" s="452">
        <v>46023</v>
      </c>
      <c r="F1427" s="452">
        <v>46058</v>
      </c>
      <c r="G1427" t="s">
        <v>931</v>
      </c>
      <c r="H1427" t="s">
        <v>932</v>
      </c>
      <c r="I1427" t="s">
        <v>2017</v>
      </c>
      <c r="J1427">
        <v>-25.98</v>
      </c>
      <c r="K1427">
        <v>-25.98</v>
      </c>
      <c r="O1427" t="s">
        <v>631</v>
      </c>
      <c r="P1427" t="s">
        <v>820</v>
      </c>
      <c r="Q1427" t="s">
        <v>461</v>
      </c>
      <c r="R1427">
        <v>0</v>
      </c>
    </row>
    <row r="1428" spans="1:18" x14ac:dyDescent="0.3">
      <c r="A1428">
        <v>201319</v>
      </c>
      <c r="B1428" t="s">
        <v>568</v>
      </c>
      <c r="C1428" t="s">
        <v>853</v>
      </c>
      <c r="D1428" t="s">
        <v>2018</v>
      </c>
      <c r="E1428" s="452">
        <v>46023</v>
      </c>
      <c r="F1428" s="452">
        <v>46058</v>
      </c>
      <c r="G1428" t="s">
        <v>931</v>
      </c>
      <c r="H1428" t="s">
        <v>932</v>
      </c>
      <c r="I1428" t="s">
        <v>1984</v>
      </c>
      <c r="J1428">
        <v>-48.24</v>
      </c>
      <c r="K1428">
        <v>-48.24</v>
      </c>
      <c r="O1428" t="s">
        <v>631</v>
      </c>
      <c r="P1428" t="s">
        <v>820</v>
      </c>
      <c r="Q1428" t="s">
        <v>461</v>
      </c>
      <c r="R1428">
        <v>0</v>
      </c>
    </row>
    <row r="1429" spans="1:18" x14ac:dyDescent="0.3">
      <c r="A1429">
        <v>201318</v>
      </c>
      <c r="B1429" t="s">
        <v>568</v>
      </c>
      <c r="C1429" t="s">
        <v>853</v>
      </c>
      <c r="D1429" t="s">
        <v>2019</v>
      </c>
      <c r="E1429" s="452">
        <v>46023</v>
      </c>
      <c r="F1429" s="452">
        <v>46058</v>
      </c>
      <c r="G1429" t="s">
        <v>931</v>
      </c>
      <c r="H1429" t="s">
        <v>932</v>
      </c>
      <c r="I1429" t="s">
        <v>2020</v>
      </c>
      <c r="J1429">
        <v>-20</v>
      </c>
      <c r="K1429">
        <v>-20</v>
      </c>
      <c r="O1429" t="s">
        <v>631</v>
      </c>
      <c r="P1429" t="s">
        <v>820</v>
      </c>
      <c r="Q1429" t="s">
        <v>461</v>
      </c>
      <c r="R1429">
        <v>0</v>
      </c>
    </row>
    <row r="1430" spans="1:18" x14ac:dyDescent="0.3">
      <c r="A1430">
        <v>201317</v>
      </c>
      <c r="B1430" t="s">
        <v>568</v>
      </c>
      <c r="C1430" t="s">
        <v>853</v>
      </c>
      <c r="D1430" t="s">
        <v>2021</v>
      </c>
      <c r="E1430" s="452">
        <v>46023</v>
      </c>
      <c r="F1430" s="452">
        <v>46058</v>
      </c>
      <c r="G1430" t="s">
        <v>801</v>
      </c>
      <c r="H1430" t="s">
        <v>351</v>
      </c>
      <c r="I1430" t="s">
        <v>2022</v>
      </c>
      <c r="J1430">
        <v>-260</v>
      </c>
      <c r="K1430">
        <v>-260</v>
      </c>
      <c r="O1430" t="s">
        <v>631</v>
      </c>
      <c r="P1430" t="s">
        <v>820</v>
      </c>
      <c r="Q1430" t="s">
        <v>461</v>
      </c>
      <c r="R1430">
        <v>0</v>
      </c>
    </row>
    <row r="1431" spans="1:18" x14ac:dyDescent="0.3">
      <c r="A1431">
        <v>201316</v>
      </c>
      <c r="B1431" t="s">
        <v>568</v>
      </c>
      <c r="C1431" t="s">
        <v>853</v>
      </c>
      <c r="D1431" t="s">
        <v>2023</v>
      </c>
      <c r="E1431" s="452">
        <v>46023</v>
      </c>
      <c r="F1431" s="452">
        <v>46058</v>
      </c>
      <c r="G1431" t="s">
        <v>265</v>
      </c>
      <c r="H1431" t="s">
        <v>273</v>
      </c>
      <c r="I1431" t="s">
        <v>2024</v>
      </c>
      <c r="J1431">
        <v>-22.09</v>
      </c>
      <c r="K1431">
        <v>-22.09</v>
      </c>
      <c r="O1431" t="s">
        <v>631</v>
      </c>
      <c r="P1431" t="s">
        <v>820</v>
      </c>
      <c r="Q1431" t="s">
        <v>461</v>
      </c>
      <c r="R1431">
        <v>0</v>
      </c>
    </row>
    <row r="1432" spans="1:18" x14ac:dyDescent="0.3">
      <c r="A1432">
        <v>201314</v>
      </c>
      <c r="B1432" t="s">
        <v>568</v>
      </c>
      <c r="C1432" t="s">
        <v>853</v>
      </c>
      <c r="D1432" t="s">
        <v>2025</v>
      </c>
      <c r="E1432" s="452">
        <v>46023</v>
      </c>
      <c r="F1432" s="452">
        <v>46058</v>
      </c>
      <c r="G1432" t="s">
        <v>265</v>
      </c>
      <c r="H1432" t="s">
        <v>273</v>
      </c>
      <c r="I1432" t="s">
        <v>2026</v>
      </c>
      <c r="J1432">
        <v>-58.24</v>
      </c>
      <c r="K1432">
        <v>-58.24</v>
      </c>
      <c r="O1432" t="s">
        <v>631</v>
      </c>
      <c r="P1432" t="s">
        <v>820</v>
      </c>
      <c r="Q1432" t="s">
        <v>461</v>
      </c>
      <c r="R1432">
        <v>0</v>
      </c>
    </row>
    <row r="1433" spans="1:18" x14ac:dyDescent="0.3">
      <c r="A1433">
        <v>201336</v>
      </c>
      <c r="B1433" t="s">
        <v>568</v>
      </c>
      <c r="C1433" t="s">
        <v>853</v>
      </c>
      <c r="D1433" t="s">
        <v>2027</v>
      </c>
      <c r="E1433" s="452">
        <v>46023</v>
      </c>
      <c r="F1433" s="452">
        <v>46058</v>
      </c>
      <c r="G1433" t="s">
        <v>265</v>
      </c>
      <c r="H1433" t="s">
        <v>273</v>
      </c>
      <c r="I1433" t="s">
        <v>2028</v>
      </c>
      <c r="J1433">
        <v>-61.93</v>
      </c>
      <c r="K1433">
        <v>-61.93</v>
      </c>
      <c r="O1433" t="s">
        <v>631</v>
      </c>
      <c r="P1433" t="s">
        <v>820</v>
      </c>
      <c r="Q1433" t="s">
        <v>461</v>
      </c>
      <c r="R1433">
        <v>0</v>
      </c>
    </row>
    <row r="1434" spans="1:18" x14ac:dyDescent="0.3">
      <c r="A1434">
        <v>201172</v>
      </c>
      <c r="B1434" t="s">
        <v>568</v>
      </c>
      <c r="C1434" t="s">
        <v>853</v>
      </c>
      <c r="D1434" t="s">
        <v>2029</v>
      </c>
      <c r="E1434" s="452">
        <v>46023</v>
      </c>
      <c r="F1434" s="452">
        <v>46058</v>
      </c>
      <c r="G1434" t="s">
        <v>265</v>
      </c>
      <c r="H1434" t="s">
        <v>269</v>
      </c>
      <c r="I1434" t="s">
        <v>2030</v>
      </c>
      <c r="J1434">
        <v>-15</v>
      </c>
      <c r="K1434">
        <v>-15</v>
      </c>
      <c r="O1434" t="s">
        <v>631</v>
      </c>
      <c r="P1434" t="s">
        <v>820</v>
      </c>
      <c r="Q1434" t="s">
        <v>461</v>
      </c>
      <c r="R1434">
        <v>0</v>
      </c>
    </row>
    <row r="1435" spans="1:18" x14ac:dyDescent="0.3">
      <c r="A1435">
        <v>201134</v>
      </c>
      <c r="B1435" t="s">
        <v>568</v>
      </c>
      <c r="C1435" t="s">
        <v>853</v>
      </c>
      <c r="D1435" t="s">
        <v>2031</v>
      </c>
      <c r="E1435" s="452">
        <v>46023</v>
      </c>
      <c r="F1435" s="452">
        <v>46058</v>
      </c>
      <c r="G1435" t="s">
        <v>931</v>
      </c>
      <c r="H1435" t="s">
        <v>932</v>
      </c>
      <c r="I1435" t="s">
        <v>2032</v>
      </c>
      <c r="J1435">
        <v>-34.08</v>
      </c>
      <c r="K1435">
        <v>-34.08</v>
      </c>
      <c r="O1435" t="s">
        <v>631</v>
      </c>
      <c r="P1435" t="s">
        <v>820</v>
      </c>
      <c r="Q1435" t="s">
        <v>461</v>
      </c>
      <c r="R1435">
        <v>0</v>
      </c>
    </row>
    <row r="1436" spans="1:18" x14ac:dyDescent="0.3">
      <c r="A1436">
        <v>201100</v>
      </c>
      <c r="B1436" t="s">
        <v>568</v>
      </c>
      <c r="C1436" t="s">
        <v>853</v>
      </c>
      <c r="D1436" t="s">
        <v>2033</v>
      </c>
      <c r="E1436" s="452">
        <v>46023</v>
      </c>
      <c r="F1436" s="452">
        <v>46058</v>
      </c>
      <c r="G1436" t="s">
        <v>931</v>
      </c>
      <c r="H1436" t="s">
        <v>932</v>
      </c>
      <c r="I1436" t="s">
        <v>2032</v>
      </c>
      <c r="J1436">
        <v>-17.8</v>
      </c>
      <c r="K1436">
        <v>-17.8</v>
      </c>
      <c r="O1436" t="s">
        <v>631</v>
      </c>
      <c r="P1436" t="s">
        <v>820</v>
      </c>
      <c r="Q1436" t="s">
        <v>461</v>
      </c>
      <c r="R1436">
        <v>0</v>
      </c>
    </row>
    <row r="1437" spans="1:18" x14ac:dyDescent="0.3">
      <c r="A1437">
        <v>201072</v>
      </c>
      <c r="B1437" t="s">
        <v>568</v>
      </c>
      <c r="C1437" t="s">
        <v>853</v>
      </c>
      <c r="D1437" t="s">
        <v>2034</v>
      </c>
      <c r="E1437" s="452">
        <v>46023</v>
      </c>
      <c r="F1437" s="452">
        <v>46058</v>
      </c>
      <c r="G1437" t="s">
        <v>931</v>
      </c>
      <c r="H1437" t="s">
        <v>932</v>
      </c>
      <c r="I1437" t="s">
        <v>2035</v>
      </c>
      <c r="J1437">
        <v>-49.57</v>
      </c>
      <c r="K1437">
        <v>-49.57</v>
      </c>
      <c r="O1437" t="s">
        <v>631</v>
      </c>
      <c r="P1437" t="s">
        <v>820</v>
      </c>
      <c r="Q1437" t="s">
        <v>461</v>
      </c>
      <c r="R1437">
        <v>0</v>
      </c>
    </row>
    <row r="1438" spans="1:18" x14ac:dyDescent="0.3">
      <c r="A1438">
        <v>201047</v>
      </c>
      <c r="B1438" t="s">
        <v>568</v>
      </c>
      <c r="C1438" t="s">
        <v>853</v>
      </c>
      <c r="D1438" t="s">
        <v>2036</v>
      </c>
      <c r="E1438" s="452">
        <v>46023</v>
      </c>
      <c r="F1438" s="452">
        <v>46058</v>
      </c>
      <c r="G1438" t="s">
        <v>931</v>
      </c>
      <c r="H1438" t="s">
        <v>932</v>
      </c>
      <c r="I1438" t="s">
        <v>2037</v>
      </c>
      <c r="J1438">
        <v>-56.77</v>
      </c>
      <c r="K1438">
        <v>-56.77</v>
      </c>
      <c r="O1438" t="s">
        <v>631</v>
      </c>
      <c r="P1438" t="s">
        <v>820</v>
      </c>
      <c r="Q1438" t="s">
        <v>461</v>
      </c>
      <c r="R1438">
        <v>0</v>
      </c>
    </row>
    <row r="1439" spans="1:18" x14ac:dyDescent="0.3">
      <c r="A1439">
        <v>201009</v>
      </c>
      <c r="B1439" t="s">
        <v>568</v>
      </c>
      <c r="C1439" t="s">
        <v>853</v>
      </c>
      <c r="D1439" t="s">
        <v>2038</v>
      </c>
      <c r="E1439" s="452">
        <v>46023</v>
      </c>
      <c r="F1439" s="452">
        <v>46058</v>
      </c>
      <c r="G1439" t="s">
        <v>931</v>
      </c>
      <c r="H1439" t="s">
        <v>932</v>
      </c>
      <c r="I1439" t="s">
        <v>1997</v>
      </c>
      <c r="J1439">
        <v>-61.56</v>
      </c>
      <c r="K1439">
        <v>-61.56</v>
      </c>
      <c r="O1439" t="s">
        <v>631</v>
      </c>
      <c r="P1439" t="s">
        <v>820</v>
      </c>
      <c r="Q1439" t="s">
        <v>461</v>
      </c>
      <c r="R1439">
        <v>0</v>
      </c>
    </row>
    <row r="1440" spans="1:18" x14ac:dyDescent="0.3">
      <c r="A1440">
        <v>200959</v>
      </c>
      <c r="B1440" t="s">
        <v>568</v>
      </c>
      <c r="C1440" t="s">
        <v>853</v>
      </c>
      <c r="D1440" t="s">
        <v>2039</v>
      </c>
      <c r="E1440" s="452">
        <v>46023</v>
      </c>
      <c r="F1440" s="452">
        <v>46058</v>
      </c>
      <c r="G1440" t="s">
        <v>931</v>
      </c>
      <c r="H1440" t="s">
        <v>932</v>
      </c>
      <c r="I1440" t="s">
        <v>2040</v>
      </c>
      <c r="J1440">
        <v>-28.39</v>
      </c>
      <c r="K1440">
        <v>-28.39</v>
      </c>
      <c r="O1440" t="s">
        <v>631</v>
      </c>
      <c r="P1440" t="s">
        <v>820</v>
      </c>
      <c r="Q1440" t="s">
        <v>461</v>
      </c>
      <c r="R1440">
        <v>0</v>
      </c>
    </row>
    <row r="1441" spans="1:18" x14ac:dyDescent="0.3">
      <c r="A1441">
        <v>200932</v>
      </c>
      <c r="B1441" t="s">
        <v>568</v>
      </c>
      <c r="C1441" t="s">
        <v>853</v>
      </c>
      <c r="D1441" t="s">
        <v>2041</v>
      </c>
      <c r="E1441" s="452">
        <v>46023</v>
      </c>
      <c r="F1441" s="452">
        <v>46058</v>
      </c>
      <c r="G1441" t="s">
        <v>931</v>
      </c>
      <c r="H1441" t="s">
        <v>932</v>
      </c>
      <c r="I1441" t="s">
        <v>2042</v>
      </c>
      <c r="J1441">
        <v>-26.66</v>
      </c>
      <c r="K1441">
        <v>-26.66</v>
      </c>
      <c r="O1441" t="s">
        <v>631</v>
      </c>
      <c r="P1441" t="s">
        <v>820</v>
      </c>
      <c r="Q1441" t="s">
        <v>461</v>
      </c>
      <c r="R1441">
        <v>0</v>
      </c>
    </row>
    <row r="1442" spans="1:18" x14ac:dyDescent="0.3">
      <c r="A1442">
        <v>199973</v>
      </c>
      <c r="B1442" t="s">
        <v>568</v>
      </c>
      <c r="C1442" t="s">
        <v>747</v>
      </c>
      <c r="D1442" t="s">
        <v>923</v>
      </c>
      <c r="E1442" s="452">
        <v>46023</v>
      </c>
      <c r="F1442" s="452">
        <v>46068</v>
      </c>
      <c r="G1442" t="s">
        <v>677</v>
      </c>
      <c r="H1442" t="s">
        <v>678</v>
      </c>
      <c r="I1442" t="s">
        <v>745</v>
      </c>
      <c r="J1442">
        <v>-600</v>
      </c>
      <c r="K1442">
        <v>-600</v>
      </c>
      <c r="M1442" t="s">
        <v>748</v>
      </c>
      <c r="N1442" t="s">
        <v>75</v>
      </c>
      <c r="O1442" t="s">
        <v>631</v>
      </c>
      <c r="P1442" t="s">
        <v>820</v>
      </c>
      <c r="Q1442" t="s">
        <v>461</v>
      </c>
      <c r="R1442">
        <v>0</v>
      </c>
    </row>
    <row r="1443" spans="1:18" x14ac:dyDescent="0.3">
      <c r="A1443">
        <v>201198</v>
      </c>
      <c r="B1443" t="s">
        <v>568</v>
      </c>
      <c r="C1443" t="s">
        <v>853</v>
      </c>
      <c r="D1443" t="s">
        <v>2043</v>
      </c>
      <c r="E1443" s="452">
        <v>46023</v>
      </c>
      <c r="F1443" s="452">
        <v>46058</v>
      </c>
      <c r="G1443" t="s">
        <v>931</v>
      </c>
      <c r="H1443" t="s">
        <v>932</v>
      </c>
      <c r="I1443" t="s">
        <v>2044</v>
      </c>
      <c r="J1443">
        <v>-19.14</v>
      </c>
      <c r="K1443">
        <v>-19.14</v>
      </c>
      <c r="O1443" t="s">
        <v>631</v>
      </c>
      <c r="P1443" t="s">
        <v>820</v>
      </c>
      <c r="Q1443" t="s">
        <v>461</v>
      </c>
      <c r="R1443">
        <v>0</v>
      </c>
    </row>
    <row r="1444" spans="1:18" x14ac:dyDescent="0.3">
      <c r="A1444">
        <v>199945</v>
      </c>
      <c r="B1444" t="s">
        <v>568</v>
      </c>
      <c r="C1444" t="s">
        <v>676</v>
      </c>
      <c r="D1444" t="s">
        <v>2045</v>
      </c>
      <c r="E1444" s="452">
        <v>46023</v>
      </c>
      <c r="F1444" s="452">
        <v>46055</v>
      </c>
      <c r="G1444" t="s">
        <v>677</v>
      </c>
      <c r="H1444" t="s">
        <v>678</v>
      </c>
      <c r="I1444" t="s">
        <v>745</v>
      </c>
      <c r="J1444">
        <v>-1350</v>
      </c>
      <c r="K1444">
        <v>-1350</v>
      </c>
      <c r="M1444" t="s">
        <v>680</v>
      </c>
      <c r="N1444" t="s">
        <v>134</v>
      </c>
      <c r="O1444" t="s">
        <v>631</v>
      </c>
      <c r="P1444" t="s">
        <v>820</v>
      </c>
      <c r="Q1444" t="s">
        <v>461</v>
      </c>
      <c r="R1444">
        <v>0</v>
      </c>
    </row>
    <row r="1445" spans="1:18" x14ac:dyDescent="0.3">
      <c r="A1445">
        <v>201337</v>
      </c>
      <c r="B1445" t="s">
        <v>568</v>
      </c>
      <c r="C1445" t="s">
        <v>853</v>
      </c>
      <c r="D1445" t="s">
        <v>2046</v>
      </c>
      <c r="E1445" s="452">
        <v>46023</v>
      </c>
      <c r="F1445" s="452">
        <v>46058</v>
      </c>
      <c r="G1445" t="s">
        <v>265</v>
      </c>
      <c r="H1445" t="s">
        <v>273</v>
      </c>
      <c r="I1445" t="s">
        <v>2028</v>
      </c>
      <c r="J1445">
        <v>-110</v>
      </c>
      <c r="K1445">
        <v>-110</v>
      </c>
      <c r="O1445" t="s">
        <v>631</v>
      </c>
      <c r="P1445" t="s">
        <v>820</v>
      </c>
      <c r="Q1445" t="s">
        <v>461</v>
      </c>
      <c r="R1445">
        <v>0</v>
      </c>
    </row>
    <row r="1446" spans="1:18" x14ac:dyDescent="0.3">
      <c r="A1446">
        <v>201223</v>
      </c>
      <c r="B1446" t="s">
        <v>568</v>
      </c>
      <c r="C1446" t="s">
        <v>853</v>
      </c>
      <c r="D1446" t="s">
        <v>2047</v>
      </c>
      <c r="E1446" s="452">
        <v>46023</v>
      </c>
      <c r="F1446" s="452">
        <v>46058</v>
      </c>
      <c r="G1446" t="s">
        <v>683</v>
      </c>
      <c r="H1446" t="s">
        <v>292</v>
      </c>
      <c r="I1446" t="s">
        <v>2048</v>
      </c>
      <c r="J1446">
        <v>-485.94</v>
      </c>
      <c r="K1446">
        <v>-485.94</v>
      </c>
      <c r="O1446" t="s">
        <v>631</v>
      </c>
      <c r="P1446" t="s">
        <v>820</v>
      </c>
      <c r="Q1446" t="s">
        <v>461</v>
      </c>
      <c r="R1446">
        <v>0</v>
      </c>
    </row>
    <row r="1447" spans="1:18" x14ac:dyDescent="0.3">
      <c r="A1447">
        <v>201335</v>
      </c>
      <c r="B1447" t="s">
        <v>568</v>
      </c>
      <c r="C1447" t="s">
        <v>853</v>
      </c>
      <c r="D1447" t="s">
        <v>2049</v>
      </c>
      <c r="E1447" s="452">
        <v>46023</v>
      </c>
      <c r="F1447" s="452">
        <v>46058</v>
      </c>
      <c r="G1447" t="s">
        <v>265</v>
      </c>
      <c r="H1447" t="s">
        <v>273</v>
      </c>
      <c r="I1447" t="s">
        <v>2050</v>
      </c>
      <c r="J1447">
        <v>-106.19</v>
      </c>
      <c r="K1447">
        <v>-106.19</v>
      </c>
      <c r="O1447" t="s">
        <v>631</v>
      </c>
      <c r="P1447" t="s">
        <v>820</v>
      </c>
      <c r="Q1447" t="s">
        <v>461</v>
      </c>
      <c r="R1447">
        <v>0</v>
      </c>
    </row>
    <row r="1448" spans="1:18" x14ac:dyDescent="0.3">
      <c r="A1448">
        <v>201262</v>
      </c>
      <c r="B1448" t="s">
        <v>568</v>
      </c>
      <c r="C1448" t="s">
        <v>853</v>
      </c>
      <c r="D1448" t="s">
        <v>2051</v>
      </c>
      <c r="E1448" s="452">
        <v>46023</v>
      </c>
      <c r="F1448" s="452">
        <v>46058</v>
      </c>
      <c r="G1448" t="s">
        <v>931</v>
      </c>
      <c r="H1448" t="s">
        <v>932</v>
      </c>
      <c r="I1448" t="s">
        <v>1986</v>
      </c>
      <c r="J1448">
        <v>-10.31</v>
      </c>
      <c r="K1448">
        <v>-10.31</v>
      </c>
      <c r="O1448" t="s">
        <v>631</v>
      </c>
      <c r="P1448" t="s">
        <v>820</v>
      </c>
      <c r="Q1448" t="s">
        <v>461</v>
      </c>
      <c r="R1448">
        <v>0</v>
      </c>
    </row>
    <row r="1449" spans="1:18" x14ac:dyDescent="0.3">
      <c r="A1449">
        <v>201248</v>
      </c>
      <c r="B1449" t="s">
        <v>568</v>
      </c>
      <c r="C1449" t="s">
        <v>853</v>
      </c>
      <c r="D1449" t="s">
        <v>2052</v>
      </c>
      <c r="E1449" s="452">
        <v>46023</v>
      </c>
      <c r="F1449" s="452">
        <v>46058</v>
      </c>
      <c r="G1449" t="s">
        <v>683</v>
      </c>
      <c r="H1449" t="s">
        <v>292</v>
      </c>
      <c r="I1449" t="s">
        <v>2053</v>
      </c>
      <c r="J1449">
        <v>-250</v>
      </c>
      <c r="K1449">
        <v>-250</v>
      </c>
      <c r="O1449" t="s">
        <v>631</v>
      </c>
      <c r="P1449" t="s">
        <v>820</v>
      </c>
      <c r="Q1449" t="s">
        <v>461</v>
      </c>
      <c r="R1449">
        <v>0</v>
      </c>
    </row>
    <row r="1450" spans="1:18" x14ac:dyDescent="0.3">
      <c r="A1450">
        <v>199998</v>
      </c>
      <c r="B1450" t="s">
        <v>568</v>
      </c>
      <c r="C1450" t="s">
        <v>759</v>
      </c>
      <c r="D1450" t="s">
        <v>2054</v>
      </c>
      <c r="E1450" s="452">
        <v>46023</v>
      </c>
      <c r="F1450" s="452">
        <v>46063</v>
      </c>
      <c r="G1450" t="s">
        <v>677</v>
      </c>
      <c r="H1450" t="s">
        <v>678</v>
      </c>
      <c r="I1450" t="s">
        <v>745</v>
      </c>
      <c r="J1450">
        <v>-1125</v>
      </c>
      <c r="K1450">
        <v>-1125</v>
      </c>
      <c r="M1450" t="s">
        <v>760</v>
      </c>
      <c r="N1450" t="s">
        <v>131</v>
      </c>
      <c r="O1450" t="s">
        <v>631</v>
      </c>
      <c r="P1450" t="s">
        <v>820</v>
      </c>
      <c r="Q1450" t="s">
        <v>461</v>
      </c>
      <c r="R1450">
        <v>0</v>
      </c>
    </row>
    <row r="1451" spans="1:18" x14ac:dyDescent="0.3">
      <c r="A1451">
        <v>188040</v>
      </c>
      <c r="B1451" t="s">
        <v>568</v>
      </c>
      <c r="C1451" t="s">
        <v>1068</v>
      </c>
      <c r="E1451" s="452">
        <v>46022</v>
      </c>
      <c r="F1451" s="452">
        <v>46023</v>
      </c>
      <c r="G1451" t="s">
        <v>280</v>
      </c>
      <c r="H1451" t="s">
        <v>285</v>
      </c>
      <c r="I1451" t="s">
        <v>2055</v>
      </c>
      <c r="J1451">
        <v>32.94</v>
      </c>
      <c r="K1451">
        <v>32.94</v>
      </c>
      <c r="O1451" t="s">
        <v>631</v>
      </c>
      <c r="P1451" t="s">
        <v>820</v>
      </c>
      <c r="Q1451" t="s">
        <v>460</v>
      </c>
      <c r="R1451">
        <v>0</v>
      </c>
    </row>
    <row r="1452" spans="1:18" x14ac:dyDescent="0.3">
      <c r="A1452">
        <v>189732</v>
      </c>
      <c r="B1452" t="s">
        <v>568</v>
      </c>
      <c r="C1452" t="s">
        <v>789</v>
      </c>
      <c r="D1452" t="s">
        <v>2056</v>
      </c>
      <c r="E1452" s="452">
        <v>46022</v>
      </c>
      <c r="F1452" s="452">
        <v>46037</v>
      </c>
      <c r="G1452" t="s">
        <v>790</v>
      </c>
      <c r="H1452" t="s">
        <v>204</v>
      </c>
      <c r="I1452" t="s">
        <v>2057</v>
      </c>
      <c r="J1452">
        <v>-1337.5</v>
      </c>
      <c r="K1452">
        <v>-1337.5</v>
      </c>
      <c r="O1452" t="s">
        <v>631</v>
      </c>
      <c r="P1452" t="s">
        <v>820</v>
      </c>
      <c r="Q1452" t="s">
        <v>460</v>
      </c>
      <c r="R1452">
        <v>0</v>
      </c>
    </row>
    <row r="1453" spans="1:18" x14ac:dyDescent="0.3">
      <c r="A1453">
        <v>189687</v>
      </c>
      <c r="B1453" t="s">
        <v>568</v>
      </c>
      <c r="C1453" t="s">
        <v>859</v>
      </c>
      <c r="E1453" s="452">
        <v>46022</v>
      </c>
      <c r="F1453" s="452">
        <v>46022</v>
      </c>
      <c r="G1453" t="s">
        <v>857</v>
      </c>
      <c r="H1453" t="s">
        <v>118</v>
      </c>
      <c r="J1453">
        <v>-116.02</v>
      </c>
      <c r="K1453">
        <v>-116.02</v>
      </c>
      <c r="O1453" t="s">
        <v>631</v>
      </c>
      <c r="P1453" t="s">
        <v>820</v>
      </c>
      <c r="Q1453" t="s">
        <v>460</v>
      </c>
      <c r="R1453">
        <v>0</v>
      </c>
    </row>
    <row r="1454" spans="1:18" x14ac:dyDescent="0.3">
      <c r="A1454">
        <v>197872</v>
      </c>
      <c r="B1454" t="s">
        <v>568</v>
      </c>
      <c r="C1454" t="s">
        <v>704</v>
      </c>
      <c r="D1454" t="s">
        <v>2058</v>
      </c>
      <c r="E1454" s="452">
        <v>46022</v>
      </c>
      <c r="F1454" s="452">
        <v>46049</v>
      </c>
      <c r="G1454" t="s">
        <v>705</v>
      </c>
      <c r="H1454" t="s">
        <v>114</v>
      </c>
      <c r="I1454" t="s">
        <v>2059</v>
      </c>
      <c r="J1454">
        <v>-11450</v>
      </c>
      <c r="K1454">
        <v>-14230</v>
      </c>
      <c r="O1454" t="s">
        <v>631</v>
      </c>
      <c r="P1454" t="s">
        <v>820</v>
      </c>
      <c r="Q1454" t="s">
        <v>460</v>
      </c>
      <c r="R1454">
        <v>0</v>
      </c>
    </row>
    <row r="1455" spans="1:18" x14ac:dyDescent="0.3">
      <c r="A1455">
        <v>189688</v>
      </c>
      <c r="B1455" t="s">
        <v>568</v>
      </c>
      <c r="C1455" t="s">
        <v>860</v>
      </c>
      <c r="E1455" s="452">
        <v>46022</v>
      </c>
      <c r="F1455" s="452">
        <v>46022</v>
      </c>
      <c r="G1455" t="s">
        <v>724</v>
      </c>
      <c r="H1455" t="s">
        <v>725</v>
      </c>
      <c r="J1455">
        <v>-90.34</v>
      </c>
      <c r="K1455">
        <v>-90.34</v>
      </c>
      <c r="O1455" t="s">
        <v>631</v>
      </c>
      <c r="P1455" t="s">
        <v>820</v>
      </c>
      <c r="Q1455" t="s">
        <v>460</v>
      </c>
      <c r="R1455">
        <v>0</v>
      </c>
    </row>
    <row r="1456" spans="1:18" x14ac:dyDescent="0.3">
      <c r="A1456">
        <v>189689</v>
      </c>
      <c r="B1456" t="s">
        <v>568</v>
      </c>
      <c r="C1456" t="s">
        <v>858</v>
      </c>
      <c r="E1456" s="452">
        <v>46022</v>
      </c>
      <c r="F1456" s="452">
        <v>46022</v>
      </c>
      <c r="G1456" t="s">
        <v>857</v>
      </c>
      <c r="H1456" t="s">
        <v>118</v>
      </c>
      <c r="J1456">
        <v>-170.5</v>
      </c>
      <c r="K1456">
        <v>-170.5</v>
      </c>
      <c r="O1456" t="s">
        <v>631</v>
      </c>
      <c r="P1456" t="s">
        <v>820</v>
      </c>
      <c r="Q1456" t="s">
        <v>460</v>
      </c>
      <c r="R1456">
        <v>0</v>
      </c>
    </row>
    <row r="1457" spans="1:18" x14ac:dyDescent="0.3">
      <c r="A1457">
        <v>189690</v>
      </c>
      <c r="B1457" t="s">
        <v>568</v>
      </c>
      <c r="C1457" t="s">
        <v>856</v>
      </c>
      <c r="E1457" s="452">
        <v>46022</v>
      </c>
      <c r="F1457" s="452">
        <v>46022</v>
      </c>
      <c r="G1457" t="s">
        <v>857</v>
      </c>
      <c r="H1457" t="s">
        <v>118</v>
      </c>
      <c r="J1457">
        <v>-96.29</v>
      </c>
      <c r="K1457">
        <v>-96.29</v>
      </c>
      <c r="O1457" t="s">
        <v>631</v>
      </c>
      <c r="P1457" t="s">
        <v>820</v>
      </c>
      <c r="Q1457" t="s">
        <v>460</v>
      </c>
      <c r="R1457">
        <v>0</v>
      </c>
    </row>
    <row r="1458" spans="1:18" x14ac:dyDescent="0.3">
      <c r="A1458">
        <v>188041</v>
      </c>
      <c r="B1458" t="s">
        <v>568</v>
      </c>
      <c r="C1458" t="s">
        <v>1068</v>
      </c>
      <c r="E1458" s="452">
        <v>46022</v>
      </c>
      <c r="F1458" s="452">
        <v>46023</v>
      </c>
      <c r="G1458" t="s">
        <v>280</v>
      </c>
      <c r="H1458" t="s">
        <v>285</v>
      </c>
      <c r="I1458" t="s">
        <v>1098</v>
      </c>
      <c r="J1458">
        <v>-32.94</v>
      </c>
      <c r="K1458">
        <v>-32.94</v>
      </c>
      <c r="O1458" t="s">
        <v>631</v>
      </c>
      <c r="P1458" t="s">
        <v>820</v>
      </c>
      <c r="Q1458" t="s">
        <v>460</v>
      </c>
      <c r="R1458">
        <v>0</v>
      </c>
    </row>
    <row r="1459" spans="1:18" x14ac:dyDescent="0.3">
      <c r="A1459">
        <v>189740</v>
      </c>
      <c r="B1459" t="s">
        <v>568</v>
      </c>
      <c r="C1459" t="s">
        <v>692</v>
      </c>
      <c r="D1459" t="s">
        <v>1886</v>
      </c>
      <c r="E1459" s="452">
        <v>46021</v>
      </c>
      <c r="F1459" s="452">
        <v>46034</v>
      </c>
      <c r="G1459" t="s">
        <v>309</v>
      </c>
      <c r="H1459" t="s">
        <v>317</v>
      </c>
      <c r="I1459" t="s">
        <v>2060</v>
      </c>
      <c r="J1459">
        <v>-760</v>
      </c>
      <c r="K1459">
        <v>-760</v>
      </c>
      <c r="O1459" t="s">
        <v>631</v>
      </c>
      <c r="P1459" t="s">
        <v>820</v>
      </c>
      <c r="Q1459" t="s">
        <v>460</v>
      </c>
      <c r="R1459">
        <v>0</v>
      </c>
    </row>
    <row r="1460" spans="1:18" x14ac:dyDescent="0.3">
      <c r="A1460">
        <v>189167</v>
      </c>
      <c r="B1460" t="s">
        <v>568</v>
      </c>
      <c r="C1460" t="s">
        <v>940</v>
      </c>
      <c r="E1460" s="452">
        <v>46021</v>
      </c>
      <c r="F1460" s="452">
        <v>46029</v>
      </c>
      <c r="G1460" t="s">
        <v>666</v>
      </c>
      <c r="H1460" t="s">
        <v>667</v>
      </c>
      <c r="J1460">
        <v>-4277.1499999999996</v>
      </c>
      <c r="K1460">
        <v>-4277.1499999999996</v>
      </c>
      <c r="O1460" t="s">
        <v>631</v>
      </c>
      <c r="P1460" t="s">
        <v>820</v>
      </c>
      <c r="Q1460" t="s">
        <v>460</v>
      </c>
      <c r="R1460">
        <v>0</v>
      </c>
    </row>
    <row r="1461" spans="1:18" x14ac:dyDescent="0.3">
      <c r="A1461">
        <v>190596</v>
      </c>
      <c r="B1461" t="s">
        <v>568</v>
      </c>
      <c r="C1461" t="s">
        <v>699</v>
      </c>
      <c r="D1461" t="s">
        <v>2061</v>
      </c>
      <c r="E1461" s="452">
        <v>46021</v>
      </c>
      <c r="F1461" s="452">
        <v>46042</v>
      </c>
      <c r="G1461" t="s">
        <v>702</v>
      </c>
      <c r="H1461" t="s">
        <v>699</v>
      </c>
      <c r="J1461">
        <v>-93.86</v>
      </c>
      <c r="K1461">
        <v>-93.86</v>
      </c>
      <c r="O1461" t="s">
        <v>631</v>
      </c>
      <c r="P1461" t="s">
        <v>820</v>
      </c>
      <c r="Q1461" t="s">
        <v>460</v>
      </c>
      <c r="R1461">
        <v>0</v>
      </c>
    </row>
    <row r="1462" spans="1:18" x14ac:dyDescent="0.3">
      <c r="A1462">
        <v>189256</v>
      </c>
      <c r="B1462" t="s">
        <v>568</v>
      </c>
      <c r="C1462" t="s">
        <v>723</v>
      </c>
      <c r="E1462" s="452">
        <v>46021</v>
      </c>
      <c r="F1462" s="452">
        <v>46021</v>
      </c>
      <c r="G1462" t="s">
        <v>724</v>
      </c>
      <c r="H1462" t="s">
        <v>725</v>
      </c>
      <c r="J1462">
        <v>-1</v>
      </c>
      <c r="K1462">
        <v>-1</v>
      </c>
      <c r="O1462" t="s">
        <v>631</v>
      </c>
      <c r="P1462" t="s">
        <v>820</v>
      </c>
      <c r="Q1462" t="s">
        <v>460</v>
      </c>
      <c r="R1462">
        <v>0</v>
      </c>
    </row>
    <row r="1463" spans="1:18" x14ac:dyDescent="0.3">
      <c r="A1463">
        <v>189515</v>
      </c>
      <c r="B1463" t="s">
        <v>568</v>
      </c>
      <c r="C1463" t="s">
        <v>1068</v>
      </c>
      <c r="D1463" t="s">
        <v>2058</v>
      </c>
      <c r="E1463" s="452">
        <v>46021</v>
      </c>
      <c r="F1463" s="452">
        <v>46021</v>
      </c>
      <c r="G1463" t="s">
        <v>857</v>
      </c>
      <c r="H1463" t="s">
        <v>118</v>
      </c>
      <c r="I1463" t="s">
        <v>2062</v>
      </c>
      <c r="J1463">
        <v>-5486.12</v>
      </c>
      <c r="K1463">
        <v>0</v>
      </c>
      <c r="O1463" t="s">
        <v>631</v>
      </c>
      <c r="P1463" t="s">
        <v>820</v>
      </c>
      <c r="Q1463" t="s">
        <v>460</v>
      </c>
      <c r="R1463">
        <v>0</v>
      </c>
    </row>
    <row r="1464" spans="1:18" x14ac:dyDescent="0.3">
      <c r="A1464">
        <v>208871</v>
      </c>
      <c r="B1464" t="s">
        <v>568</v>
      </c>
      <c r="C1464" t="s">
        <v>606</v>
      </c>
      <c r="D1464" t="s">
        <v>2063</v>
      </c>
      <c r="E1464" s="452">
        <v>46021</v>
      </c>
      <c r="F1464" s="452">
        <v>46042</v>
      </c>
      <c r="G1464" t="s">
        <v>613</v>
      </c>
      <c r="H1464" t="s">
        <v>369</v>
      </c>
      <c r="I1464" t="s">
        <v>2064</v>
      </c>
      <c r="J1464">
        <v>-26206.03</v>
      </c>
      <c r="K1464">
        <v>-26206.03</v>
      </c>
      <c r="O1464" t="s">
        <v>631</v>
      </c>
      <c r="P1464" t="s">
        <v>820</v>
      </c>
      <c r="Q1464" t="s">
        <v>460</v>
      </c>
      <c r="R1464">
        <v>0</v>
      </c>
    </row>
    <row r="1465" spans="1:18" x14ac:dyDescent="0.3">
      <c r="A1465">
        <v>189755</v>
      </c>
      <c r="B1465" t="s">
        <v>568</v>
      </c>
      <c r="C1465" t="s">
        <v>711</v>
      </c>
      <c r="D1465" t="s">
        <v>2065</v>
      </c>
      <c r="E1465" s="452">
        <v>46021</v>
      </c>
      <c r="F1465" s="452">
        <v>46037</v>
      </c>
      <c r="G1465" t="s">
        <v>280</v>
      </c>
      <c r="H1465" t="s">
        <v>286</v>
      </c>
      <c r="I1465" t="s">
        <v>2066</v>
      </c>
      <c r="J1465">
        <v>-389</v>
      </c>
      <c r="K1465">
        <v>-389</v>
      </c>
      <c r="O1465" t="s">
        <v>631</v>
      </c>
      <c r="P1465" t="s">
        <v>820</v>
      </c>
      <c r="Q1465" t="s">
        <v>460</v>
      </c>
      <c r="R1465">
        <v>0</v>
      </c>
    </row>
    <row r="1466" spans="1:18" x14ac:dyDescent="0.3">
      <c r="A1466">
        <v>189166</v>
      </c>
      <c r="B1466" t="s">
        <v>568</v>
      </c>
      <c r="C1466" t="s">
        <v>953</v>
      </c>
      <c r="E1466" s="452">
        <v>46021</v>
      </c>
      <c r="F1466" s="452">
        <v>46029</v>
      </c>
      <c r="G1466" t="s">
        <v>666</v>
      </c>
      <c r="H1466" t="s">
        <v>667</v>
      </c>
      <c r="J1466">
        <v>-4296.92</v>
      </c>
      <c r="K1466">
        <v>-4296.92</v>
      </c>
      <c r="O1466" t="s">
        <v>631</v>
      </c>
      <c r="P1466" t="s">
        <v>820</v>
      </c>
      <c r="Q1466" t="s">
        <v>460</v>
      </c>
      <c r="R1466">
        <v>0</v>
      </c>
    </row>
    <row r="1467" spans="1:18" x14ac:dyDescent="0.3">
      <c r="A1467">
        <v>186686</v>
      </c>
      <c r="B1467" t="s">
        <v>568</v>
      </c>
      <c r="C1467" t="s">
        <v>696</v>
      </c>
      <c r="D1467" t="s">
        <v>2067</v>
      </c>
      <c r="E1467" s="452">
        <v>46021</v>
      </c>
      <c r="F1467" s="452">
        <v>46031</v>
      </c>
      <c r="G1467" t="s">
        <v>672</v>
      </c>
      <c r="H1467" t="s">
        <v>248</v>
      </c>
      <c r="I1467" t="s">
        <v>2068</v>
      </c>
      <c r="J1467">
        <v>-54.5</v>
      </c>
      <c r="K1467">
        <v>-54.5</v>
      </c>
      <c r="O1467" t="s">
        <v>631</v>
      </c>
      <c r="P1467" t="s">
        <v>820</v>
      </c>
      <c r="Q1467" t="s">
        <v>460</v>
      </c>
      <c r="R1467">
        <v>0</v>
      </c>
    </row>
    <row r="1468" spans="1:18" x14ac:dyDescent="0.3">
      <c r="A1468">
        <v>189165</v>
      </c>
      <c r="B1468" t="s">
        <v>568</v>
      </c>
      <c r="C1468" t="s">
        <v>937</v>
      </c>
      <c r="E1468" s="452">
        <v>46021</v>
      </c>
      <c r="F1468" s="452">
        <v>46029</v>
      </c>
      <c r="G1468" t="s">
        <v>666</v>
      </c>
      <c r="H1468" t="s">
        <v>667</v>
      </c>
      <c r="J1468">
        <v>-5018.8999999999996</v>
      </c>
      <c r="K1468">
        <v>-5018.8999999999996</v>
      </c>
      <c r="O1468" t="s">
        <v>631</v>
      </c>
      <c r="P1468" t="s">
        <v>820</v>
      </c>
      <c r="Q1468" t="s">
        <v>460</v>
      </c>
      <c r="R1468">
        <v>0</v>
      </c>
    </row>
    <row r="1469" spans="1:18" x14ac:dyDescent="0.3">
      <c r="A1469">
        <v>189164</v>
      </c>
      <c r="B1469" t="s">
        <v>568</v>
      </c>
      <c r="C1469" t="s">
        <v>945</v>
      </c>
      <c r="E1469" s="452">
        <v>46021</v>
      </c>
      <c r="F1469" s="452">
        <v>46029</v>
      </c>
      <c r="G1469" t="s">
        <v>666</v>
      </c>
      <c r="H1469" t="s">
        <v>667</v>
      </c>
      <c r="J1469">
        <v>-4274.16</v>
      </c>
      <c r="K1469">
        <v>-4274.16</v>
      </c>
      <c r="O1469" t="s">
        <v>631</v>
      </c>
      <c r="P1469" t="s">
        <v>820</v>
      </c>
      <c r="Q1469" t="s">
        <v>460</v>
      </c>
      <c r="R1469">
        <v>0</v>
      </c>
    </row>
    <row r="1470" spans="1:18" x14ac:dyDescent="0.3">
      <c r="A1470">
        <v>101370</v>
      </c>
      <c r="B1470" t="s">
        <v>568</v>
      </c>
      <c r="C1470" t="s">
        <v>767</v>
      </c>
      <c r="D1470" t="s">
        <v>2069</v>
      </c>
      <c r="E1470" s="452">
        <v>46021</v>
      </c>
      <c r="F1470" s="452">
        <v>46027</v>
      </c>
      <c r="G1470" t="s">
        <v>309</v>
      </c>
      <c r="H1470" t="s">
        <v>315</v>
      </c>
      <c r="J1470">
        <v>-940.94</v>
      </c>
      <c r="K1470">
        <v>-988.91</v>
      </c>
      <c r="O1470" t="s">
        <v>631</v>
      </c>
      <c r="P1470" t="s">
        <v>820</v>
      </c>
      <c r="Q1470" t="s">
        <v>460</v>
      </c>
      <c r="R1470">
        <v>0</v>
      </c>
    </row>
    <row r="1471" spans="1:18" x14ac:dyDescent="0.3">
      <c r="A1471">
        <v>188038</v>
      </c>
      <c r="B1471" t="s">
        <v>568</v>
      </c>
      <c r="C1471" t="s">
        <v>1068</v>
      </c>
      <c r="E1471" s="452">
        <v>46021</v>
      </c>
      <c r="F1471" s="452">
        <v>46022</v>
      </c>
      <c r="G1471" t="s">
        <v>280</v>
      </c>
      <c r="H1471" t="s">
        <v>285</v>
      </c>
      <c r="I1471" t="s">
        <v>2055</v>
      </c>
      <c r="J1471">
        <v>103.79</v>
      </c>
      <c r="K1471">
        <v>103.79</v>
      </c>
      <c r="O1471" t="s">
        <v>631</v>
      </c>
      <c r="P1471" t="s">
        <v>820</v>
      </c>
      <c r="Q1471" t="s">
        <v>460</v>
      </c>
      <c r="R1471">
        <v>0</v>
      </c>
    </row>
    <row r="1472" spans="1:18" x14ac:dyDescent="0.3">
      <c r="A1472">
        <v>188039</v>
      </c>
      <c r="B1472" t="s">
        <v>568</v>
      </c>
      <c r="C1472" t="s">
        <v>1068</v>
      </c>
      <c r="E1472" s="452">
        <v>46021</v>
      </c>
      <c r="F1472" s="452">
        <v>46022</v>
      </c>
      <c r="G1472" t="s">
        <v>280</v>
      </c>
      <c r="H1472" t="s">
        <v>285</v>
      </c>
      <c r="I1472" t="s">
        <v>1098</v>
      </c>
      <c r="J1472">
        <v>-103.79</v>
      </c>
      <c r="K1472">
        <v>-103.79</v>
      </c>
      <c r="O1472" t="s">
        <v>631</v>
      </c>
      <c r="P1472" t="s">
        <v>820</v>
      </c>
      <c r="Q1472" t="s">
        <v>460</v>
      </c>
      <c r="R1472">
        <v>0</v>
      </c>
    </row>
    <row r="1473" spans="1:18" x14ac:dyDescent="0.3">
      <c r="A1473">
        <v>101406</v>
      </c>
      <c r="B1473" t="s">
        <v>568</v>
      </c>
      <c r="C1473" t="s">
        <v>692</v>
      </c>
      <c r="D1473" t="s">
        <v>2070</v>
      </c>
      <c r="E1473" s="452">
        <v>46021</v>
      </c>
      <c r="F1473" s="452">
        <v>46028</v>
      </c>
      <c r="G1473" t="s">
        <v>309</v>
      </c>
      <c r="H1473" t="s">
        <v>317</v>
      </c>
      <c r="I1473" t="s">
        <v>2071</v>
      </c>
      <c r="J1473">
        <v>-1140</v>
      </c>
      <c r="K1473">
        <v>-1140</v>
      </c>
      <c r="O1473" t="s">
        <v>631</v>
      </c>
      <c r="P1473" t="s">
        <v>820</v>
      </c>
      <c r="Q1473" t="s">
        <v>460</v>
      </c>
      <c r="R1473">
        <v>0</v>
      </c>
    </row>
    <row r="1474" spans="1:18" x14ac:dyDescent="0.3">
      <c r="A1474">
        <v>164307</v>
      </c>
      <c r="B1474" t="s">
        <v>568</v>
      </c>
      <c r="C1474" t="s">
        <v>1301</v>
      </c>
      <c r="D1474" t="s">
        <v>2058</v>
      </c>
      <c r="E1474" s="452">
        <v>46021</v>
      </c>
      <c r="F1474" s="452">
        <v>46021</v>
      </c>
      <c r="G1474" t="s">
        <v>857</v>
      </c>
      <c r="H1474" t="s">
        <v>120</v>
      </c>
      <c r="I1474" t="s">
        <v>1067</v>
      </c>
      <c r="J1474">
        <v>-289.89</v>
      </c>
      <c r="K1474">
        <v>0</v>
      </c>
      <c r="O1474" t="s">
        <v>631</v>
      </c>
      <c r="P1474" t="s">
        <v>820</v>
      </c>
      <c r="Q1474" t="s">
        <v>460</v>
      </c>
      <c r="R1474">
        <v>0</v>
      </c>
    </row>
    <row r="1475" spans="1:18" x14ac:dyDescent="0.3">
      <c r="A1475">
        <v>189168</v>
      </c>
      <c r="B1475" t="s">
        <v>568</v>
      </c>
      <c r="C1475" t="s">
        <v>829</v>
      </c>
      <c r="E1475" s="452">
        <v>46021</v>
      </c>
      <c r="F1475" s="452">
        <v>46029</v>
      </c>
      <c r="G1475" t="s">
        <v>666</v>
      </c>
      <c r="H1475" t="s">
        <v>667</v>
      </c>
      <c r="J1475">
        <v>-3439.76</v>
      </c>
      <c r="K1475">
        <v>-3439.76</v>
      </c>
      <c r="O1475" t="s">
        <v>631</v>
      </c>
      <c r="P1475" t="s">
        <v>820</v>
      </c>
      <c r="Q1475" t="s">
        <v>460</v>
      </c>
      <c r="R1475">
        <v>0</v>
      </c>
    </row>
    <row r="1476" spans="1:18" x14ac:dyDescent="0.3">
      <c r="A1476">
        <v>99295</v>
      </c>
      <c r="B1476" t="s">
        <v>568</v>
      </c>
      <c r="C1476" t="s">
        <v>654</v>
      </c>
      <c r="D1476" t="s">
        <v>2061</v>
      </c>
      <c r="E1476" s="452">
        <v>46021</v>
      </c>
      <c r="F1476" s="452">
        <v>46042</v>
      </c>
      <c r="G1476" t="s">
        <v>702</v>
      </c>
      <c r="H1476" t="s">
        <v>343</v>
      </c>
      <c r="I1476" t="s">
        <v>654</v>
      </c>
      <c r="J1476">
        <v>-64815.68</v>
      </c>
      <c r="K1476">
        <v>-64815.68</v>
      </c>
      <c r="O1476" t="s">
        <v>571</v>
      </c>
      <c r="Q1476" t="s">
        <v>460</v>
      </c>
      <c r="R1476">
        <v>0</v>
      </c>
    </row>
    <row r="1477" spans="1:18" x14ac:dyDescent="0.3">
      <c r="A1477">
        <v>187341</v>
      </c>
      <c r="B1477" t="s">
        <v>568</v>
      </c>
      <c r="C1477" t="s">
        <v>699</v>
      </c>
      <c r="D1477" t="s">
        <v>2061</v>
      </c>
      <c r="E1477" s="452">
        <v>46021</v>
      </c>
      <c r="F1477" s="452">
        <v>46042</v>
      </c>
      <c r="G1477" t="s">
        <v>697</v>
      </c>
      <c r="H1477" t="s">
        <v>700</v>
      </c>
      <c r="J1477">
        <v>-2893.39</v>
      </c>
      <c r="K1477">
        <v>-2893.39</v>
      </c>
      <c r="O1477" t="s">
        <v>631</v>
      </c>
      <c r="P1477" t="s">
        <v>820</v>
      </c>
      <c r="Q1477" t="s">
        <v>460</v>
      </c>
      <c r="R1477">
        <v>0</v>
      </c>
    </row>
    <row r="1478" spans="1:18" x14ac:dyDescent="0.3">
      <c r="A1478">
        <v>187360</v>
      </c>
      <c r="B1478" t="s">
        <v>568</v>
      </c>
      <c r="C1478" t="s">
        <v>430</v>
      </c>
      <c r="D1478" t="s">
        <v>2061</v>
      </c>
      <c r="E1478" s="452">
        <v>46021</v>
      </c>
      <c r="F1478" s="452">
        <v>46042</v>
      </c>
      <c r="G1478" t="s">
        <v>697</v>
      </c>
      <c r="H1478" t="s">
        <v>207</v>
      </c>
      <c r="J1478">
        <v>-3415.07</v>
      </c>
      <c r="K1478">
        <v>-3415.07</v>
      </c>
      <c r="O1478" t="s">
        <v>631</v>
      </c>
      <c r="P1478" t="s">
        <v>820</v>
      </c>
      <c r="Q1478" t="s">
        <v>460</v>
      </c>
      <c r="R1478">
        <v>0</v>
      </c>
    </row>
    <row r="1479" spans="1:18" x14ac:dyDescent="0.3">
      <c r="A1479">
        <v>187371</v>
      </c>
      <c r="B1479" t="s">
        <v>568</v>
      </c>
      <c r="C1479" t="s">
        <v>431</v>
      </c>
      <c r="D1479" t="s">
        <v>2061</v>
      </c>
      <c r="E1479" s="452">
        <v>46021</v>
      </c>
      <c r="F1479" s="452">
        <v>46042</v>
      </c>
      <c r="G1479" t="s">
        <v>697</v>
      </c>
      <c r="H1479" t="s">
        <v>212</v>
      </c>
      <c r="J1479">
        <v>-3447.71</v>
      </c>
      <c r="K1479">
        <v>-3447.71</v>
      </c>
      <c r="O1479" t="s">
        <v>631</v>
      </c>
      <c r="P1479" t="s">
        <v>820</v>
      </c>
      <c r="Q1479" t="s">
        <v>460</v>
      </c>
      <c r="R1479">
        <v>0</v>
      </c>
    </row>
    <row r="1480" spans="1:18" x14ac:dyDescent="0.3">
      <c r="A1480">
        <v>187540</v>
      </c>
      <c r="B1480" t="s">
        <v>568</v>
      </c>
      <c r="C1480" t="s">
        <v>812</v>
      </c>
      <c r="D1480" t="s">
        <v>2072</v>
      </c>
      <c r="E1480" s="452">
        <v>46020</v>
      </c>
      <c r="F1480" s="452">
        <v>46041</v>
      </c>
      <c r="G1480" t="s">
        <v>813</v>
      </c>
      <c r="H1480" t="s">
        <v>60</v>
      </c>
      <c r="I1480" t="s">
        <v>2073</v>
      </c>
      <c r="J1480">
        <v>-1400</v>
      </c>
      <c r="K1480">
        <v>-1400</v>
      </c>
      <c r="O1480" t="s">
        <v>631</v>
      </c>
      <c r="P1480" t="s">
        <v>820</v>
      </c>
      <c r="Q1480" t="s">
        <v>460</v>
      </c>
      <c r="R1480">
        <v>0</v>
      </c>
    </row>
    <row r="1481" spans="1:18" x14ac:dyDescent="0.3">
      <c r="A1481">
        <v>187539</v>
      </c>
      <c r="B1481" t="s">
        <v>568</v>
      </c>
      <c r="C1481" t="s">
        <v>789</v>
      </c>
      <c r="D1481" t="s">
        <v>2074</v>
      </c>
      <c r="E1481" s="452">
        <v>46020</v>
      </c>
      <c r="F1481" s="452">
        <v>46030</v>
      </c>
      <c r="G1481" t="s">
        <v>790</v>
      </c>
      <c r="H1481" t="s">
        <v>204</v>
      </c>
      <c r="I1481" t="s">
        <v>2075</v>
      </c>
      <c r="J1481">
        <v>-2901.25</v>
      </c>
      <c r="K1481">
        <v>-2901.25</v>
      </c>
      <c r="O1481" t="s">
        <v>631</v>
      </c>
      <c r="P1481" t="s">
        <v>820</v>
      </c>
      <c r="Q1481" t="s">
        <v>460</v>
      </c>
      <c r="R1481">
        <v>0</v>
      </c>
    </row>
    <row r="1482" spans="1:18" x14ac:dyDescent="0.3">
      <c r="A1482">
        <v>148572</v>
      </c>
      <c r="B1482" t="s">
        <v>568</v>
      </c>
      <c r="C1482" t="s">
        <v>812</v>
      </c>
      <c r="D1482" t="s">
        <v>2076</v>
      </c>
      <c r="E1482" s="452">
        <v>46020</v>
      </c>
      <c r="F1482" s="452">
        <v>46020</v>
      </c>
      <c r="G1482" t="s">
        <v>813</v>
      </c>
      <c r="H1482" t="s">
        <v>60</v>
      </c>
      <c r="I1482" t="s">
        <v>2077</v>
      </c>
      <c r="J1482">
        <v>-1400</v>
      </c>
      <c r="K1482">
        <v>-1400</v>
      </c>
      <c r="O1482" t="s">
        <v>631</v>
      </c>
      <c r="P1482" t="s">
        <v>820</v>
      </c>
      <c r="Q1482" t="s">
        <v>460</v>
      </c>
      <c r="R1482">
        <v>0</v>
      </c>
    </row>
    <row r="1483" spans="1:18" x14ac:dyDescent="0.3">
      <c r="A1483">
        <v>188037</v>
      </c>
      <c r="B1483" t="s">
        <v>568</v>
      </c>
      <c r="C1483" t="s">
        <v>1068</v>
      </c>
      <c r="E1483" s="452">
        <v>46020</v>
      </c>
      <c r="F1483" s="452">
        <v>46021</v>
      </c>
      <c r="G1483" t="s">
        <v>280</v>
      </c>
      <c r="H1483" t="s">
        <v>285</v>
      </c>
      <c r="I1483" t="s">
        <v>1098</v>
      </c>
      <c r="J1483">
        <v>-147.21</v>
      </c>
      <c r="K1483">
        <v>-147.21</v>
      </c>
      <c r="O1483" t="s">
        <v>631</v>
      </c>
      <c r="P1483" t="s">
        <v>820</v>
      </c>
      <c r="Q1483" t="s">
        <v>460</v>
      </c>
      <c r="R1483">
        <v>0</v>
      </c>
    </row>
    <row r="1484" spans="1:18" x14ac:dyDescent="0.3">
      <c r="A1484">
        <v>188036</v>
      </c>
      <c r="B1484" t="s">
        <v>568</v>
      </c>
      <c r="C1484" t="s">
        <v>1068</v>
      </c>
      <c r="E1484" s="452">
        <v>46020</v>
      </c>
      <c r="F1484" s="452">
        <v>46021</v>
      </c>
      <c r="G1484" t="s">
        <v>280</v>
      </c>
      <c r="H1484" t="s">
        <v>285</v>
      </c>
      <c r="I1484" t="s">
        <v>2055</v>
      </c>
      <c r="J1484">
        <v>147.21</v>
      </c>
      <c r="K1484">
        <v>147.21</v>
      </c>
      <c r="O1484" t="s">
        <v>631</v>
      </c>
      <c r="P1484" t="s">
        <v>820</v>
      </c>
      <c r="Q1484" t="s">
        <v>460</v>
      </c>
      <c r="R1484">
        <v>0</v>
      </c>
    </row>
    <row r="1485" spans="1:18" x14ac:dyDescent="0.3">
      <c r="A1485">
        <v>188034</v>
      </c>
      <c r="B1485" t="s">
        <v>568</v>
      </c>
      <c r="C1485" t="s">
        <v>1068</v>
      </c>
      <c r="E1485" s="452">
        <v>46018</v>
      </c>
      <c r="F1485" s="452">
        <v>46019</v>
      </c>
      <c r="G1485" t="s">
        <v>280</v>
      </c>
      <c r="H1485" t="s">
        <v>285</v>
      </c>
      <c r="I1485" t="s">
        <v>2055</v>
      </c>
      <c r="J1485">
        <v>150.63</v>
      </c>
      <c r="K1485">
        <v>150.63</v>
      </c>
      <c r="O1485" t="s">
        <v>631</v>
      </c>
      <c r="P1485" t="s">
        <v>820</v>
      </c>
      <c r="Q1485" t="s">
        <v>460</v>
      </c>
      <c r="R1485">
        <v>0</v>
      </c>
    </row>
    <row r="1486" spans="1:18" x14ac:dyDescent="0.3">
      <c r="A1486">
        <v>188035</v>
      </c>
      <c r="B1486" t="s">
        <v>568</v>
      </c>
      <c r="C1486" t="s">
        <v>1068</v>
      </c>
      <c r="E1486" s="452">
        <v>46018</v>
      </c>
      <c r="F1486" s="452">
        <v>46019</v>
      </c>
      <c r="G1486" t="s">
        <v>280</v>
      </c>
      <c r="H1486" t="s">
        <v>285</v>
      </c>
      <c r="I1486" t="s">
        <v>1098</v>
      </c>
      <c r="J1486">
        <v>-150.63</v>
      </c>
      <c r="K1486">
        <v>-150.63</v>
      </c>
      <c r="O1486" t="s">
        <v>631</v>
      </c>
      <c r="P1486" t="s">
        <v>820</v>
      </c>
      <c r="Q1486" t="s">
        <v>460</v>
      </c>
      <c r="R1486">
        <v>0</v>
      </c>
    </row>
    <row r="1487" spans="1:18" x14ac:dyDescent="0.3">
      <c r="A1487">
        <v>188033</v>
      </c>
      <c r="B1487" t="s">
        <v>568</v>
      </c>
      <c r="C1487" t="s">
        <v>1068</v>
      </c>
      <c r="E1487" s="452">
        <v>46017</v>
      </c>
      <c r="F1487" s="452">
        <v>46018</v>
      </c>
      <c r="G1487" t="s">
        <v>280</v>
      </c>
      <c r="H1487" t="s">
        <v>285</v>
      </c>
      <c r="I1487" t="s">
        <v>1098</v>
      </c>
      <c r="J1487">
        <v>-167.48</v>
      </c>
      <c r="K1487">
        <v>-167.48</v>
      </c>
      <c r="O1487" t="s">
        <v>631</v>
      </c>
      <c r="P1487" t="s">
        <v>820</v>
      </c>
      <c r="Q1487" t="s">
        <v>460</v>
      </c>
      <c r="R1487">
        <v>0</v>
      </c>
    </row>
    <row r="1488" spans="1:18" x14ac:dyDescent="0.3">
      <c r="A1488">
        <v>188032</v>
      </c>
      <c r="B1488" t="s">
        <v>568</v>
      </c>
      <c r="C1488" t="s">
        <v>1068</v>
      </c>
      <c r="E1488" s="452">
        <v>46017</v>
      </c>
      <c r="F1488" s="452">
        <v>46018</v>
      </c>
      <c r="G1488" t="s">
        <v>280</v>
      </c>
      <c r="H1488" t="s">
        <v>285</v>
      </c>
      <c r="I1488" t="s">
        <v>2055</v>
      </c>
      <c r="J1488">
        <v>167.48</v>
      </c>
      <c r="K1488">
        <v>167.48</v>
      </c>
      <c r="O1488" t="s">
        <v>631</v>
      </c>
      <c r="P1488" t="s">
        <v>820</v>
      </c>
      <c r="Q1488" t="s">
        <v>460</v>
      </c>
      <c r="R1488">
        <v>0</v>
      </c>
    </row>
    <row r="1489" spans="1:18" x14ac:dyDescent="0.3">
      <c r="A1489">
        <v>178687</v>
      </c>
      <c r="B1489" t="s">
        <v>568</v>
      </c>
      <c r="C1489" t="s">
        <v>1314</v>
      </c>
      <c r="D1489" t="s">
        <v>2078</v>
      </c>
      <c r="E1489" s="452">
        <v>46017</v>
      </c>
      <c r="F1489" s="452">
        <v>46013</v>
      </c>
      <c r="G1489" t="s">
        <v>1007</v>
      </c>
      <c r="H1489" t="s">
        <v>106</v>
      </c>
      <c r="J1489">
        <v>-528</v>
      </c>
      <c r="K1489">
        <v>-528</v>
      </c>
      <c r="O1489" t="s">
        <v>631</v>
      </c>
      <c r="P1489" t="s">
        <v>820</v>
      </c>
      <c r="Q1489" t="s">
        <v>460</v>
      </c>
      <c r="R1489">
        <v>0</v>
      </c>
    </row>
    <row r="1490" spans="1:18" x14ac:dyDescent="0.3">
      <c r="A1490">
        <v>101334</v>
      </c>
      <c r="B1490" t="s">
        <v>568</v>
      </c>
      <c r="C1490" t="s">
        <v>733</v>
      </c>
      <c r="D1490" t="s">
        <v>2079</v>
      </c>
      <c r="E1490" s="452">
        <v>46016</v>
      </c>
      <c r="F1490" s="452">
        <v>46034</v>
      </c>
      <c r="G1490" t="s">
        <v>297</v>
      </c>
      <c r="H1490" t="s">
        <v>299</v>
      </c>
      <c r="I1490" t="s">
        <v>2080</v>
      </c>
      <c r="J1490">
        <v>-500</v>
      </c>
      <c r="K1490">
        <v>-500</v>
      </c>
      <c r="O1490" t="s">
        <v>631</v>
      </c>
      <c r="P1490" t="s">
        <v>820</v>
      </c>
      <c r="Q1490" t="s">
        <v>460</v>
      </c>
      <c r="R1490">
        <v>0</v>
      </c>
    </row>
    <row r="1491" spans="1:18" x14ac:dyDescent="0.3">
      <c r="A1491">
        <v>188424</v>
      </c>
      <c r="B1491" t="s">
        <v>568</v>
      </c>
      <c r="C1491" t="s">
        <v>723</v>
      </c>
      <c r="E1491" s="452">
        <v>46015</v>
      </c>
      <c r="F1491" s="452">
        <v>46015</v>
      </c>
      <c r="G1491" t="s">
        <v>724</v>
      </c>
      <c r="H1491" t="s">
        <v>725</v>
      </c>
      <c r="J1491">
        <v>-0.5</v>
      </c>
      <c r="K1491">
        <v>-0.5</v>
      </c>
      <c r="O1491" t="s">
        <v>631</v>
      </c>
      <c r="P1491" t="s">
        <v>820</v>
      </c>
      <c r="Q1491" t="s">
        <v>460</v>
      </c>
      <c r="R1491">
        <v>0</v>
      </c>
    </row>
    <row r="1492" spans="1:18" x14ac:dyDescent="0.3">
      <c r="A1492">
        <v>101546</v>
      </c>
      <c r="B1492" t="s">
        <v>568</v>
      </c>
      <c r="C1492" t="s">
        <v>708</v>
      </c>
      <c r="D1492" t="s">
        <v>1867</v>
      </c>
      <c r="E1492" s="452">
        <v>46015</v>
      </c>
      <c r="F1492" s="452">
        <v>46027</v>
      </c>
      <c r="G1492" t="s">
        <v>280</v>
      </c>
      <c r="H1492" t="s">
        <v>281</v>
      </c>
      <c r="I1492" t="s">
        <v>2081</v>
      </c>
      <c r="J1492">
        <v>-104.37</v>
      </c>
      <c r="K1492">
        <v>-104.37</v>
      </c>
      <c r="O1492" t="s">
        <v>631</v>
      </c>
      <c r="P1492" t="s">
        <v>820</v>
      </c>
      <c r="Q1492" t="s">
        <v>460</v>
      </c>
      <c r="R1492">
        <v>0</v>
      </c>
    </row>
    <row r="1493" spans="1:18" x14ac:dyDescent="0.3">
      <c r="A1493">
        <v>188031</v>
      </c>
      <c r="B1493" t="s">
        <v>568</v>
      </c>
      <c r="C1493" t="s">
        <v>1068</v>
      </c>
      <c r="E1493" s="452">
        <v>46015</v>
      </c>
      <c r="F1493" s="452">
        <v>46016</v>
      </c>
      <c r="G1493" t="s">
        <v>280</v>
      </c>
      <c r="H1493" t="s">
        <v>285</v>
      </c>
      <c r="I1493" t="s">
        <v>1098</v>
      </c>
      <c r="J1493">
        <v>-56.13</v>
      </c>
      <c r="K1493">
        <v>-56.13</v>
      </c>
      <c r="O1493" t="s">
        <v>631</v>
      </c>
      <c r="P1493" t="s">
        <v>820</v>
      </c>
      <c r="Q1493" t="s">
        <v>460</v>
      </c>
      <c r="R1493">
        <v>0</v>
      </c>
    </row>
    <row r="1494" spans="1:18" x14ac:dyDescent="0.3">
      <c r="A1494">
        <v>188030</v>
      </c>
      <c r="B1494" t="s">
        <v>568</v>
      </c>
      <c r="C1494" t="s">
        <v>1068</v>
      </c>
      <c r="E1494" s="452">
        <v>46015</v>
      </c>
      <c r="F1494" s="452">
        <v>46016</v>
      </c>
      <c r="G1494" t="s">
        <v>280</v>
      </c>
      <c r="H1494" t="s">
        <v>285</v>
      </c>
      <c r="I1494" t="s">
        <v>2055</v>
      </c>
      <c r="J1494">
        <v>56.13</v>
      </c>
      <c r="K1494">
        <v>56.13</v>
      </c>
      <c r="O1494" t="s">
        <v>631</v>
      </c>
      <c r="P1494" t="s">
        <v>820</v>
      </c>
      <c r="Q1494" t="s">
        <v>460</v>
      </c>
      <c r="R1494">
        <v>0</v>
      </c>
    </row>
    <row r="1495" spans="1:18" x14ac:dyDescent="0.3">
      <c r="A1495">
        <v>98061</v>
      </c>
      <c r="B1495" t="s">
        <v>568</v>
      </c>
      <c r="C1495" t="s">
        <v>628</v>
      </c>
      <c r="D1495" t="s">
        <v>2082</v>
      </c>
      <c r="E1495" s="452">
        <v>46014</v>
      </c>
      <c r="F1495" s="452">
        <v>46013</v>
      </c>
      <c r="G1495" t="s">
        <v>613</v>
      </c>
      <c r="H1495" t="s">
        <v>369</v>
      </c>
      <c r="I1495" t="s">
        <v>630</v>
      </c>
      <c r="J1495">
        <v>-20000</v>
      </c>
      <c r="K1495">
        <v>-20000</v>
      </c>
      <c r="O1495" t="s">
        <v>631</v>
      </c>
      <c r="P1495" t="s">
        <v>820</v>
      </c>
      <c r="Q1495" t="s">
        <v>460</v>
      </c>
      <c r="R1495">
        <v>0</v>
      </c>
    </row>
    <row r="1496" spans="1:18" x14ac:dyDescent="0.3">
      <c r="A1496">
        <v>188028</v>
      </c>
      <c r="B1496" t="s">
        <v>568</v>
      </c>
      <c r="C1496" t="s">
        <v>1068</v>
      </c>
      <c r="E1496" s="452">
        <v>46014</v>
      </c>
      <c r="F1496" s="452">
        <v>46015</v>
      </c>
      <c r="G1496" t="s">
        <v>280</v>
      </c>
      <c r="H1496" t="s">
        <v>285</v>
      </c>
      <c r="I1496" t="s">
        <v>1098</v>
      </c>
      <c r="J1496">
        <v>-264.33</v>
      </c>
      <c r="K1496">
        <v>-264.33</v>
      </c>
      <c r="O1496" t="s">
        <v>631</v>
      </c>
      <c r="P1496" t="s">
        <v>820</v>
      </c>
      <c r="Q1496" t="s">
        <v>460</v>
      </c>
      <c r="R1496">
        <v>0</v>
      </c>
    </row>
    <row r="1497" spans="1:18" x14ac:dyDescent="0.3">
      <c r="A1497">
        <v>188029</v>
      </c>
      <c r="B1497" t="s">
        <v>568</v>
      </c>
      <c r="C1497" t="s">
        <v>1068</v>
      </c>
      <c r="E1497" s="452">
        <v>46014</v>
      </c>
      <c r="F1497" s="452">
        <v>46015</v>
      </c>
      <c r="G1497" t="s">
        <v>280</v>
      </c>
      <c r="H1497" t="s">
        <v>285</v>
      </c>
      <c r="I1497" t="s">
        <v>2055</v>
      </c>
      <c r="J1497">
        <v>264.33</v>
      </c>
      <c r="K1497">
        <v>264.33</v>
      </c>
      <c r="O1497" t="s">
        <v>631</v>
      </c>
      <c r="P1497" t="s">
        <v>820</v>
      </c>
      <c r="Q1497" t="s">
        <v>460</v>
      </c>
      <c r="R1497">
        <v>0</v>
      </c>
    </row>
    <row r="1498" spans="1:18" x14ac:dyDescent="0.3">
      <c r="A1498">
        <v>188422</v>
      </c>
      <c r="B1498" t="s">
        <v>568</v>
      </c>
      <c r="C1498" t="s">
        <v>723</v>
      </c>
      <c r="E1498" s="452">
        <v>46014</v>
      </c>
      <c r="F1498" s="452">
        <v>46014</v>
      </c>
      <c r="G1498" t="s">
        <v>724</v>
      </c>
      <c r="H1498" t="s">
        <v>725</v>
      </c>
      <c r="J1498">
        <v>-0.2</v>
      </c>
      <c r="K1498">
        <v>-0.2</v>
      </c>
      <c r="O1498" t="s">
        <v>631</v>
      </c>
      <c r="P1498" t="s">
        <v>820</v>
      </c>
      <c r="Q1498" t="s">
        <v>460</v>
      </c>
      <c r="R1498">
        <v>0</v>
      </c>
    </row>
    <row r="1499" spans="1:18" x14ac:dyDescent="0.3">
      <c r="A1499">
        <v>188026</v>
      </c>
      <c r="B1499" t="s">
        <v>568</v>
      </c>
      <c r="C1499" t="s">
        <v>1068</v>
      </c>
      <c r="E1499" s="452">
        <v>46013</v>
      </c>
      <c r="F1499" s="452">
        <v>46014</v>
      </c>
      <c r="G1499" t="s">
        <v>280</v>
      </c>
      <c r="H1499" t="s">
        <v>285</v>
      </c>
      <c r="I1499" t="s">
        <v>2055</v>
      </c>
      <c r="J1499">
        <v>126.83</v>
      </c>
      <c r="K1499">
        <v>126.83</v>
      </c>
      <c r="O1499" t="s">
        <v>631</v>
      </c>
      <c r="P1499" t="s">
        <v>820</v>
      </c>
      <c r="Q1499" t="s">
        <v>460</v>
      </c>
      <c r="R1499">
        <v>0</v>
      </c>
    </row>
    <row r="1500" spans="1:18" x14ac:dyDescent="0.3">
      <c r="A1500">
        <v>188027</v>
      </c>
      <c r="B1500" t="s">
        <v>568</v>
      </c>
      <c r="C1500" t="s">
        <v>1068</v>
      </c>
      <c r="E1500" s="452">
        <v>46013</v>
      </c>
      <c r="F1500" s="452">
        <v>46014</v>
      </c>
      <c r="G1500" t="s">
        <v>280</v>
      </c>
      <c r="H1500" t="s">
        <v>285</v>
      </c>
      <c r="I1500" t="s">
        <v>1098</v>
      </c>
      <c r="J1500">
        <v>-126.83</v>
      </c>
      <c r="K1500">
        <v>-126.83</v>
      </c>
      <c r="O1500" t="s">
        <v>631</v>
      </c>
      <c r="P1500" t="s">
        <v>820</v>
      </c>
      <c r="Q1500" t="s">
        <v>460</v>
      </c>
      <c r="R1500">
        <v>0</v>
      </c>
    </row>
    <row r="1501" spans="1:18" x14ac:dyDescent="0.3">
      <c r="A1501">
        <v>188421</v>
      </c>
      <c r="B1501" t="s">
        <v>568</v>
      </c>
      <c r="C1501" t="s">
        <v>723</v>
      </c>
      <c r="E1501" s="452">
        <v>46013</v>
      </c>
      <c r="F1501" s="452">
        <v>46013</v>
      </c>
      <c r="G1501" t="s">
        <v>724</v>
      </c>
      <c r="H1501" t="s">
        <v>725</v>
      </c>
      <c r="J1501">
        <v>-15.7</v>
      </c>
      <c r="K1501">
        <v>-15.7</v>
      </c>
      <c r="O1501" t="s">
        <v>631</v>
      </c>
      <c r="P1501" t="s">
        <v>820</v>
      </c>
      <c r="Q1501" t="s">
        <v>460</v>
      </c>
      <c r="R1501">
        <v>0</v>
      </c>
    </row>
    <row r="1502" spans="1:18" x14ac:dyDescent="0.3">
      <c r="A1502">
        <v>185987</v>
      </c>
      <c r="B1502" t="s">
        <v>568</v>
      </c>
      <c r="C1502" t="s">
        <v>812</v>
      </c>
      <c r="D1502" t="s">
        <v>2083</v>
      </c>
      <c r="E1502" s="452">
        <v>46013</v>
      </c>
      <c r="F1502" s="452">
        <v>46034</v>
      </c>
      <c r="G1502" t="s">
        <v>813</v>
      </c>
      <c r="H1502" t="s">
        <v>60</v>
      </c>
      <c r="I1502" t="s">
        <v>2084</v>
      </c>
      <c r="J1502">
        <v>-4200</v>
      </c>
      <c r="K1502">
        <v>-4200</v>
      </c>
      <c r="O1502" t="s">
        <v>631</v>
      </c>
      <c r="P1502" t="s">
        <v>820</v>
      </c>
      <c r="Q1502" t="s">
        <v>460</v>
      </c>
      <c r="R1502">
        <v>0</v>
      </c>
    </row>
    <row r="1503" spans="1:18" x14ac:dyDescent="0.3">
      <c r="A1503">
        <v>185997</v>
      </c>
      <c r="B1503" t="s">
        <v>568</v>
      </c>
      <c r="C1503" t="s">
        <v>789</v>
      </c>
      <c r="D1503" t="s">
        <v>2085</v>
      </c>
      <c r="E1503" s="452">
        <v>46013</v>
      </c>
      <c r="F1503" s="452">
        <v>46023</v>
      </c>
      <c r="G1503" t="s">
        <v>790</v>
      </c>
      <c r="H1503" t="s">
        <v>204</v>
      </c>
      <c r="I1503" t="s">
        <v>2086</v>
      </c>
      <c r="J1503">
        <v>-3900.12</v>
      </c>
      <c r="K1503">
        <v>-3900.12</v>
      </c>
      <c r="O1503" t="s">
        <v>631</v>
      </c>
      <c r="P1503" t="s">
        <v>820</v>
      </c>
      <c r="Q1503" t="s">
        <v>460</v>
      </c>
      <c r="R1503">
        <v>0</v>
      </c>
    </row>
    <row r="1504" spans="1:18" x14ac:dyDescent="0.3">
      <c r="A1504">
        <v>188024</v>
      </c>
      <c r="B1504" t="s">
        <v>568</v>
      </c>
      <c r="C1504" t="s">
        <v>1068</v>
      </c>
      <c r="E1504" s="452">
        <v>46011</v>
      </c>
      <c r="F1504" s="452">
        <v>46012</v>
      </c>
      <c r="G1504" t="s">
        <v>280</v>
      </c>
      <c r="H1504" t="s">
        <v>285</v>
      </c>
      <c r="I1504" t="s">
        <v>2055</v>
      </c>
      <c r="J1504">
        <v>286.02</v>
      </c>
      <c r="K1504">
        <v>286.02</v>
      </c>
      <c r="O1504" t="s">
        <v>631</v>
      </c>
      <c r="P1504" t="s">
        <v>820</v>
      </c>
      <c r="Q1504" t="s">
        <v>460</v>
      </c>
      <c r="R1504">
        <v>0</v>
      </c>
    </row>
    <row r="1505" spans="1:18" x14ac:dyDescent="0.3">
      <c r="A1505">
        <v>188025</v>
      </c>
      <c r="B1505" t="s">
        <v>568</v>
      </c>
      <c r="C1505" t="s">
        <v>1068</v>
      </c>
      <c r="E1505" s="452">
        <v>46011</v>
      </c>
      <c r="F1505" s="452">
        <v>46012</v>
      </c>
      <c r="G1505" t="s">
        <v>280</v>
      </c>
      <c r="H1505" t="s">
        <v>285</v>
      </c>
      <c r="I1505" t="s">
        <v>1098</v>
      </c>
      <c r="J1505">
        <v>-286.02</v>
      </c>
      <c r="K1505">
        <v>-286.02</v>
      </c>
      <c r="O1505" t="s">
        <v>631</v>
      </c>
      <c r="P1505" t="s">
        <v>820</v>
      </c>
      <c r="Q1505" t="s">
        <v>460</v>
      </c>
      <c r="R1505">
        <v>0</v>
      </c>
    </row>
    <row r="1506" spans="1:18" x14ac:dyDescent="0.3">
      <c r="A1506">
        <v>188023</v>
      </c>
      <c r="B1506" t="s">
        <v>568</v>
      </c>
      <c r="C1506" t="s">
        <v>1068</v>
      </c>
      <c r="E1506" s="452">
        <v>46010</v>
      </c>
      <c r="F1506" s="452">
        <v>46011</v>
      </c>
      <c r="G1506" t="s">
        <v>280</v>
      </c>
      <c r="H1506" t="s">
        <v>285</v>
      </c>
      <c r="I1506" t="s">
        <v>1098</v>
      </c>
      <c r="J1506">
        <v>-225.17</v>
      </c>
      <c r="K1506">
        <v>-225.17</v>
      </c>
      <c r="O1506" t="s">
        <v>631</v>
      </c>
      <c r="P1506" t="s">
        <v>820</v>
      </c>
      <c r="Q1506" t="s">
        <v>460</v>
      </c>
      <c r="R1506">
        <v>0</v>
      </c>
    </row>
    <row r="1507" spans="1:18" x14ac:dyDescent="0.3">
      <c r="A1507">
        <v>188022</v>
      </c>
      <c r="B1507" t="s">
        <v>568</v>
      </c>
      <c r="C1507" t="s">
        <v>1068</v>
      </c>
      <c r="E1507" s="452">
        <v>46010</v>
      </c>
      <c r="F1507" s="452">
        <v>46011</v>
      </c>
      <c r="G1507" t="s">
        <v>280</v>
      </c>
      <c r="H1507" t="s">
        <v>285</v>
      </c>
      <c r="I1507" t="s">
        <v>2055</v>
      </c>
      <c r="J1507">
        <v>225.17</v>
      </c>
      <c r="K1507">
        <v>225.17</v>
      </c>
      <c r="O1507" t="s">
        <v>631</v>
      </c>
      <c r="P1507" t="s">
        <v>820</v>
      </c>
      <c r="Q1507" t="s">
        <v>460</v>
      </c>
      <c r="R1507">
        <v>0</v>
      </c>
    </row>
    <row r="1508" spans="1:18" x14ac:dyDescent="0.3">
      <c r="A1508">
        <v>103759</v>
      </c>
      <c r="B1508" t="s">
        <v>568</v>
      </c>
      <c r="C1508" t="s">
        <v>723</v>
      </c>
      <c r="D1508" t="s">
        <v>2087</v>
      </c>
      <c r="E1508" s="452">
        <v>46009</v>
      </c>
      <c r="F1508" s="452">
        <v>46009</v>
      </c>
      <c r="G1508" t="s">
        <v>724</v>
      </c>
      <c r="H1508" t="s">
        <v>725</v>
      </c>
      <c r="I1508" t="s">
        <v>2088</v>
      </c>
      <c r="J1508">
        <v>-400</v>
      </c>
      <c r="K1508">
        <v>-400</v>
      </c>
      <c r="O1508" t="s">
        <v>631</v>
      </c>
      <c r="P1508" t="s">
        <v>820</v>
      </c>
      <c r="Q1508" t="s">
        <v>460</v>
      </c>
      <c r="R1508">
        <v>0</v>
      </c>
    </row>
    <row r="1509" spans="1:18" x14ac:dyDescent="0.3">
      <c r="A1509">
        <v>188020</v>
      </c>
      <c r="B1509" t="s">
        <v>568</v>
      </c>
      <c r="C1509" t="s">
        <v>1068</v>
      </c>
      <c r="E1509" s="452">
        <v>46009</v>
      </c>
      <c r="F1509" s="452">
        <v>46010</v>
      </c>
      <c r="G1509" t="s">
        <v>280</v>
      </c>
      <c r="H1509" t="s">
        <v>285</v>
      </c>
      <c r="I1509" t="s">
        <v>2055</v>
      </c>
      <c r="J1509">
        <v>34.44</v>
      </c>
      <c r="K1509">
        <v>34.44</v>
      </c>
      <c r="O1509" t="s">
        <v>631</v>
      </c>
      <c r="P1509" t="s">
        <v>820</v>
      </c>
      <c r="Q1509" t="s">
        <v>460</v>
      </c>
      <c r="R1509">
        <v>0</v>
      </c>
    </row>
    <row r="1510" spans="1:18" x14ac:dyDescent="0.3">
      <c r="A1510">
        <v>188021</v>
      </c>
      <c r="B1510" t="s">
        <v>568</v>
      </c>
      <c r="C1510" t="s">
        <v>1068</v>
      </c>
      <c r="E1510" s="452">
        <v>46009</v>
      </c>
      <c r="F1510" s="452">
        <v>46010</v>
      </c>
      <c r="G1510" t="s">
        <v>280</v>
      </c>
      <c r="H1510" t="s">
        <v>285</v>
      </c>
      <c r="I1510" t="s">
        <v>1098</v>
      </c>
      <c r="J1510">
        <v>-132.62</v>
      </c>
      <c r="K1510">
        <v>-132.62</v>
      </c>
      <c r="O1510" t="s">
        <v>631</v>
      </c>
      <c r="P1510" t="s">
        <v>820</v>
      </c>
      <c r="Q1510" t="s">
        <v>460</v>
      </c>
      <c r="R1510">
        <v>0</v>
      </c>
    </row>
    <row r="1511" spans="1:18" x14ac:dyDescent="0.3">
      <c r="A1511">
        <v>188019</v>
      </c>
      <c r="B1511" t="s">
        <v>568</v>
      </c>
      <c r="C1511" t="s">
        <v>1068</v>
      </c>
      <c r="E1511" s="452">
        <v>46008</v>
      </c>
      <c r="F1511" s="452">
        <v>46009</v>
      </c>
      <c r="G1511" t="s">
        <v>280</v>
      </c>
      <c r="H1511" t="s">
        <v>285</v>
      </c>
      <c r="I1511" t="s">
        <v>1098</v>
      </c>
      <c r="J1511">
        <v>-148.74</v>
      </c>
      <c r="K1511">
        <v>-148.74</v>
      </c>
      <c r="O1511" t="s">
        <v>631</v>
      </c>
      <c r="P1511" t="s">
        <v>820</v>
      </c>
      <c r="Q1511" t="s">
        <v>460</v>
      </c>
      <c r="R1511">
        <v>0</v>
      </c>
    </row>
    <row r="1512" spans="1:18" x14ac:dyDescent="0.3">
      <c r="A1512">
        <v>188018</v>
      </c>
      <c r="B1512" t="s">
        <v>568</v>
      </c>
      <c r="C1512" t="s">
        <v>1068</v>
      </c>
      <c r="E1512" s="452">
        <v>46007</v>
      </c>
      <c r="F1512" s="452">
        <v>46008</v>
      </c>
      <c r="G1512" t="s">
        <v>280</v>
      </c>
      <c r="H1512" t="s">
        <v>285</v>
      </c>
      <c r="I1512" t="s">
        <v>1098</v>
      </c>
      <c r="J1512">
        <v>-122.03</v>
      </c>
      <c r="K1512">
        <v>-122.03</v>
      </c>
      <c r="O1512" t="s">
        <v>631</v>
      </c>
      <c r="P1512" t="s">
        <v>820</v>
      </c>
      <c r="Q1512" t="s">
        <v>460</v>
      </c>
      <c r="R1512">
        <v>0</v>
      </c>
    </row>
    <row r="1513" spans="1:18" x14ac:dyDescent="0.3">
      <c r="A1513">
        <v>101321</v>
      </c>
      <c r="B1513" t="s">
        <v>568</v>
      </c>
      <c r="C1513" t="s">
        <v>765</v>
      </c>
      <c r="D1513" t="s">
        <v>2089</v>
      </c>
      <c r="E1513" s="452">
        <v>46007</v>
      </c>
      <c r="F1513" s="452">
        <v>46020</v>
      </c>
      <c r="G1513" t="s">
        <v>265</v>
      </c>
      <c r="H1513" t="s">
        <v>268</v>
      </c>
      <c r="I1513" t="s">
        <v>2090</v>
      </c>
      <c r="J1513">
        <v>-4532.59</v>
      </c>
      <c r="K1513">
        <v>-4532.59</v>
      </c>
      <c r="O1513" t="s">
        <v>631</v>
      </c>
      <c r="P1513" t="s">
        <v>820</v>
      </c>
      <c r="Q1513" t="s">
        <v>460</v>
      </c>
      <c r="R1513">
        <v>0</v>
      </c>
    </row>
    <row r="1514" spans="1:18" x14ac:dyDescent="0.3">
      <c r="A1514">
        <v>185928</v>
      </c>
      <c r="B1514" t="s">
        <v>568</v>
      </c>
      <c r="C1514" t="s">
        <v>2091</v>
      </c>
      <c r="D1514" t="s">
        <v>2092</v>
      </c>
      <c r="E1514" s="452">
        <v>46007</v>
      </c>
      <c r="F1514" s="452">
        <v>46020</v>
      </c>
      <c r="G1514" t="s">
        <v>265</v>
      </c>
      <c r="H1514" t="s">
        <v>269</v>
      </c>
      <c r="I1514" t="s">
        <v>2093</v>
      </c>
      <c r="J1514">
        <v>-600</v>
      </c>
      <c r="K1514">
        <v>-600</v>
      </c>
      <c r="O1514" t="s">
        <v>631</v>
      </c>
      <c r="P1514" t="s">
        <v>820</v>
      </c>
      <c r="Q1514" t="s">
        <v>460</v>
      </c>
      <c r="R1514">
        <v>0</v>
      </c>
    </row>
    <row r="1515" spans="1:18" x14ac:dyDescent="0.3">
      <c r="A1515">
        <v>230862</v>
      </c>
      <c r="B1515" t="s">
        <v>568</v>
      </c>
      <c r="C1515" t="s">
        <v>2094</v>
      </c>
      <c r="D1515" t="s">
        <v>2095</v>
      </c>
      <c r="E1515" s="452">
        <v>46007</v>
      </c>
      <c r="F1515" s="452">
        <v>46007</v>
      </c>
      <c r="G1515" t="s">
        <v>931</v>
      </c>
      <c r="H1515" t="s">
        <v>1075</v>
      </c>
      <c r="I1515" t="s">
        <v>2096</v>
      </c>
      <c r="J1515">
        <v>-558</v>
      </c>
      <c r="K1515">
        <v>-558</v>
      </c>
      <c r="O1515" t="s">
        <v>631</v>
      </c>
      <c r="P1515" t="s">
        <v>820</v>
      </c>
      <c r="Q1515" t="s">
        <v>460</v>
      </c>
      <c r="R1515">
        <v>0</v>
      </c>
    </row>
    <row r="1516" spans="1:18" x14ac:dyDescent="0.3">
      <c r="A1516">
        <v>188017</v>
      </c>
      <c r="B1516" t="s">
        <v>568</v>
      </c>
      <c r="C1516" t="s">
        <v>1068</v>
      </c>
      <c r="E1516" s="452">
        <v>46006</v>
      </c>
      <c r="F1516" s="452">
        <v>46007</v>
      </c>
      <c r="G1516" t="s">
        <v>280</v>
      </c>
      <c r="H1516" t="s">
        <v>285</v>
      </c>
      <c r="I1516" t="s">
        <v>1098</v>
      </c>
      <c r="J1516">
        <v>-83.16</v>
      </c>
      <c r="K1516">
        <v>-83.16</v>
      </c>
      <c r="O1516" t="s">
        <v>631</v>
      </c>
      <c r="P1516" t="s">
        <v>820</v>
      </c>
      <c r="Q1516" t="s">
        <v>460</v>
      </c>
      <c r="R1516">
        <v>0</v>
      </c>
    </row>
    <row r="1517" spans="1:18" x14ac:dyDescent="0.3">
      <c r="A1517">
        <v>101394</v>
      </c>
      <c r="B1517" t="s">
        <v>568</v>
      </c>
      <c r="C1517" t="s">
        <v>692</v>
      </c>
      <c r="D1517" t="s">
        <v>2097</v>
      </c>
      <c r="E1517" s="452">
        <v>46006</v>
      </c>
      <c r="F1517" s="452">
        <v>46013</v>
      </c>
      <c r="G1517" t="s">
        <v>309</v>
      </c>
      <c r="H1517" t="s">
        <v>317</v>
      </c>
      <c r="I1517" t="s">
        <v>2098</v>
      </c>
      <c r="J1517">
        <v>-760</v>
      </c>
      <c r="K1517">
        <v>-760</v>
      </c>
      <c r="O1517" t="s">
        <v>631</v>
      </c>
      <c r="P1517" t="s">
        <v>820</v>
      </c>
      <c r="Q1517" t="s">
        <v>460</v>
      </c>
      <c r="R1517">
        <v>0</v>
      </c>
    </row>
    <row r="1518" spans="1:18" x14ac:dyDescent="0.3">
      <c r="A1518">
        <v>101468</v>
      </c>
      <c r="B1518" t="s">
        <v>568</v>
      </c>
      <c r="C1518" t="s">
        <v>688</v>
      </c>
      <c r="D1518" t="s">
        <v>2099</v>
      </c>
      <c r="E1518" s="452">
        <v>46006</v>
      </c>
      <c r="F1518" s="452">
        <v>46033</v>
      </c>
      <c r="G1518" t="s">
        <v>666</v>
      </c>
      <c r="H1518" t="s">
        <v>667</v>
      </c>
      <c r="J1518">
        <v>-2656</v>
      </c>
      <c r="K1518">
        <v>-2656</v>
      </c>
      <c r="O1518" t="s">
        <v>631</v>
      </c>
      <c r="P1518" t="s">
        <v>820</v>
      </c>
      <c r="Q1518" t="s">
        <v>460</v>
      </c>
      <c r="R1518">
        <v>0</v>
      </c>
    </row>
    <row r="1519" spans="1:18" x14ac:dyDescent="0.3">
      <c r="A1519">
        <v>101420</v>
      </c>
      <c r="B1519" t="s">
        <v>568</v>
      </c>
      <c r="C1519" t="s">
        <v>740</v>
      </c>
      <c r="D1519" t="s">
        <v>2100</v>
      </c>
      <c r="E1519" s="452">
        <v>46006</v>
      </c>
      <c r="F1519" s="452">
        <v>46016</v>
      </c>
      <c r="G1519" t="s">
        <v>265</v>
      </c>
      <c r="H1519" t="s">
        <v>266</v>
      </c>
      <c r="I1519" t="s">
        <v>2101</v>
      </c>
      <c r="J1519">
        <v>-6950.6</v>
      </c>
      <c r="K1519">
        <v>-6950.6</v>
      </c>
      <c r="O1519" t="s">
        <v>631</v>
      </c>
      <c r="P1519" t="s">
        <v>820</v>
      </c>
      <c r="Q1519" t="s">
        <v>460</v>
      </c>
      <c r="R1519">
        <v>0</v>
      </c>
    </row>
    <row r="1520" spans="1:18" x14ac:dyDescent="0.3">
      <c r="A1520">
        <v>148570</v>
      </c>
      <c r="B1520" t="s">
        <v>568</v>
      </c>
      <c r="C1520" t="s">
        <v>812</v>
      </c>
      <c r="D1520" t="s">
        <v>2102</v>
      </c>
      <c r="E1520" s="452">
        <v>46006</v>
      </c>
      <c r="F1520" s="452">
        <v>46006</v>
      </c>
      <c r="G1520" t="s">
        <v>813</v>
      </c>
      <c r="H1520" t="s">
        <v>60</v>
      </c>
      <c r="I1520" t="s">
        <v>2103</v>
      </c>
      <c r="J1520">
        <v>-1400</v>
      </c>
      <c r="K1520">
        <v>-1400</v>
      </c>
      <c r="O1520" t="s">
        <v>631</v>
      </c>
      <c r="P1520" t="s">
        <v>820</v>
      </c>
      <c r="Q1520" t="s">
        <v>460</v>
      </c>
      <c r="R1520">
        <v>0</v>
      </c>
    </row>
    <row r="1521" spans="1:18" x14ac:dyDescent="0.3">
      <c r="A1521">
        <v>184708</v>
      </c>
      <c r="B1521" t="s">
        <v>568</v>
      </c>
      <c r="C1521" t="s">
        <v>829</v>
      </c>
      <c r="E1521" s="452">
        <v>46006</v>
      </c>
      <c r="F1521" s="452">
        <v>46010</v>
      </c>
      <c r="G1521" t="s">
        <v>697</v>
      </c>
      <c r="H1521" t="s">
        <v>214</v>
      </c>
      <c r="J1521">
        <v>-1581.62</v>
      </c>
      <c r="K1521">
        <v>-1581.62</v>
      </c>
      <c r="O1521" t="s">
        <v>631</v>
      </c>
      <c r="P1521" t="s">
        <v>820</v>
      </c>
      <c r="Q1521" t="s">
        <v>460</v>
      </c>
      <c r="R1521">
        <v>0</v>
      </c>
    </row>
    <row r="1522" spans="1:18" x14ac:dyDescent="0.3">
      <c r="A1522">
        <v>184371</v>
      </c>
      <c r="B1522" t="s">
        <v>568</v>
      </c>
      <c r="C1522" t="s">
        <v>945</v>
      </c>
      <c r="E1522" s="452">
        <v>46006</v>
      </c>
      <c r="F1522" s="452">
        <v>46010</v>
      </c>
      <c r="G1522" t="s">
        <v>666</v>
      </c>
      <c r="H1522" t="s">
        <v>667</v>
      </c>
      <c r="J1522">
        <v>-772.28</v>
      </c>
      <c r="K1522">
        <v>-772.28</v>
      </c>
      <c r="O1522" t="s">
        <v>631</v>
      </c>
      <c r="P1522" t="s">
        <v>820</v>
      </c>
      <c r="Q1522" t="s">
        <v>460</v>
      </c>
      <c r="R1522">
        <v>0</v>
      </c>
    </row>
    <row r="1523" spans="1:18" x14ac:dyDescent="0.3">
      <c r="A1523">
        <v>184372</v>
      </c>
      <c r="B1523" t="s">
        <v>568</v>
      </c>
      <c r="C1523" t="s">
        <v>937</v>
      </c>
      <c r="E1523" s="452">
        <v>46006</v>
      </c>
      <c r="F1523" s="452">
        <v>46010</v>
      </c>
      <c r="G1523" t="s">
        <v>666</v>
      </c>
      <c r="H1523" t="s">
        <v>667</v>
      </c>
      <c r="J1523">
        <v>-1141.5</v>
      </c>
      <c r="K1523">
        <v>-1141.5</v>
      </c>
      <c r="O1523" t="s">
        <v>631</v>
      </c>
      <c r="P1523" t="s">
        <v>820</v>
      </c>
      <c r="Q1523" t="s">
        <v>460</v>
      </c>
      <c r="R1523">
        <v>0</v>
      </c>
    </row>
    <row r="1524" spans="1:18" x14ac:dyDescent="0.3">
      <c r="A1524">
        <v>184373</v>
      </c>
      <c r="B1524" t="s">
        <v>568</v>
      </c>
      <c r="C1524" t="s">
        <v>953</v>
      </c>
      <c r="E1524" s="452">
        <v>46006</v>
      </c>
      <c r="F1524" s="452">
        <v>46010</v>
      </c>
      <c r="G1524" t="s">
        <v>666</v>
      </c>
      <c r="H1524" t="s">
        <v>667</v>
      </c>
      <c r="J1524">
        <v>-832.16</v>
      </c>
      <c r="K1524">
        <v>-832.16</v>
      </c>
      <c r="O1524" t="s">
        <v>631</v>
      </c>
      <c r="P1524" t="s">
        <v>820</v>
      </c>
      <c r="Q1524" t="s">
        <v>460</v>
      </c>
      <c r="R1524">
        <v>0</v>
      </c>
    </row>
    <row r="1525" spans="1:18" x14ac:dyDescent="0.3">
      <c r="A1525">
        <v>184375</v>
      </c>
      <c r="B1525" t="s">
        <v>568</v>
      </c>
      <c r="C1525" t="s">
        <v>829</v>
      </c>
      <c r="E1525" s="452">
        <v>46006</v>
      </c>
      <c r="F1525" s="452">
        <v>46010</v>
      </c>
      <c r="G1525" t="s">
        <v>666</v>
      </c>
      <c r="H1525" t="s">
        <v>667</v>
      </c>
      <c r="J1525">
        <v>-812.75</v>
      </c>
      <c r="K1525">
        <v>-812.75</v>
      </c>
      <c r="O1525" t="s">
        <v>631</v>
      </c>
      <c r="P1525" t="s">
        <v>820</v>
      </c>
      <c r="Q1525" t="s">
        <v>460</v>
      </c>
      <c r="R1525">
        <v>0</v>
      </c>
    </row>
    <row r="1526" spans="1:18" x14ac:dyDescent="0.3">
      <c r="A1526">
        <v>185988</v>
      </c>
      <c r="B1526" t="s">
        <v>568</v>
      </c>
      <c r="C1526" t="s">
        <v>789</v>
      </c>
      <c r="D1526" t="s">
        <v>2104</v>
      </c>
      <c r="E1526" s="452">
        <v>46006</v>
      </c>
      <c r="F1526" s="452">
        <v>46020</v>
      </c>
      <c r="G1526" t="s">
        <v>790</v>
      </c>
      <c r="H1526" t="s">
        <v>204</v>
      </c>
      <c r="I1526" t="s">
        <v>2105</v>
      </c>
      <c r="J1526">
        <v>-4411</v>
      </c>
      <c r="K1526">
        <v>-4505.09</v>
      </c>
      <c r="O1526" t="s">
        <v>631</v>
      </c>
      <c r="P1526" t="s">
        <v>820</v>
      </c>
      <c r="Q1526" t="s">
        <v>460</v>
      </c>
      <c r="R1526">
        <v>0</v>
      </c>
    </row>
    <row r="1527" spans="1:18" x14ac:dyDescent="0.3">
      <c r="A1527">
        <v>185999</v>
      </c>
      <c r="B1527" t="s">
        <v>568</v>
      </c>
      <c r="C1527" t="s">
        <v>812</v>
      </c>
      <c r="D1527" t="s">
        <v>2106</v>
      </c>
      <c r="E1527" s="452">
        <v>46006</v>
      </c>
      <c r="F1527" s="452">
        <v>46027</v>
      </c>
      <c r="G1527" t="s">
        <v>813</v>
      </c>
      <c r="H1527" t="s">
        <v>60</v>
      </c>
      <c r="I1527" t="s">
        <v>2107</v>
      </c>
      <c r="J1527">
        <v>-1400</v>
      </c>
      <c r="K1527">
        <v>-1400</v>
      </c>
      <c r="O1527" t="s">
        <v>631</v>
      </c>
      <c r="P1527" t="s">
        <v>820</v>
      </c>
      <c r="Q1527" t="s">
        <v>460</v>
      </c>
      <c r="R1527">
        <v>0</v>
      </c>
    </row>
    <row r="1528" spans="1:18" x14ac:dyDescent="0.3">
      <c r="A1528">
        <v>186040</v>
      </c>
      <c r="B1528" t="s">
        <v>568</v>
      </c>
      <c r="C1528" t="s">
        <v>2108</v>
      </c>
      <c r="D1528" t="s">
        <v>2109</v>
      </c>
      <c r="E1528" s="452">
        <v>46006</v>
      </c>
      <c r="F1528" s="452">
        <v>46027</v>
      </c>
      <c r="G1528" t="s">
        <v>683</v>
      </c>
      <c r="H1528" t="s">
        <v>290</v>
      </c>
      <c r="I1528" t="s">
        <v>2110</v>
      </c>
      <c r="J1528">
        <v>-1032</v>
      </c>
      <c r="K1528">
        <v>-1032</v>
      </c>
      <c r="O1528" t="s">
        <v>631</v>
      </c>
      <c r="P1528" t="s">
        <v>820</v>
      </c>
      <c r="Q1528" t="s">
        <v>460</v>
      </c>
      <c r="R1528">
        <v>0</v>
      </c>
    </row>
    <row r="1529" spans="1:18" x14ac:dyDescent="0.3">
      <c r="A1529">
        <v>184710</v>
      </c>
      <c r="B1529" t="s">
        <v>568</v>
      </c>
      <c r="C1529" t="s">
        <v>953</v>
      </c>
      <c r="E1529" s="452">
        <v>46006</v>
      </c>
      <c r="F1529" s="452">
        <v>46010</v>
      </c>
      <c r="G1529" t="s">
        <v>697</v>
      </c>
      <c r="H1529" t="s">
        <v>214</v>
      </c>
      <c r="J1529">
        <v>-926.86</v>
      </c>
      <c r="K1529">
        <v>-926.86</v>
      </c>
      <c r="O1529" t="s">
        <v>631</v>
      </c>
      <c r="P1529" t="s">
        <v>820</v>
      </c>
      <c r="Q1529" t="s">
        <v>460</v>
      </c>
      <c r="R1529">
        <v>0</v>
      </c>
    </row>
    <row r="1530" spans="1:18" x14ac:dyDescent="0.3">
      <c r="A1530">
        <v>184374</v>
      </c>
      <c r="B1530" t="s">
        <v>568</v>
      </c>
      <c r="C1530" t="s">
        <v>940</v>
      </c>
      <c r="E1530" s="452">
        <v>46006</v>
      </c>
      <c r="F1530" s="452">
        <v>46010</v>
      </c>
      <c r="G1530" t="s">
        <v>666</v>
      </c>
      <c r="H1530" t="s">
        <v>667</v>
      </c>
      <c r="J1530">
        <v>-772.28</v>
      </c>
      <c r="K1530">
        <v>-772.28</v>
      </c>
      <c r="O1530" t="s">
        <v>631</v>
      </c>
      <c r="P1530" t="s">
        <v>820</v>
      </c>
      <c r="Q1530" t="s">
        <v>460</v>
      </c>
      <c r="R1530">
        <v>0</v>
      </c>
    </row>
    <row r="1531" spans="1:18" x14ac:dyDescent="0.3">
      <c r="A1531">
        <v>184709</v>
      </c>
      <c r="B1531" t="s">
        <v>568</v>
      </c>
      <c r="C1531" t="s">
        <v>937</v>
      </c>
      <c r="E1531" s="452">
        <v>46006</v>
      </c>
      <c r="F1531" s="452">
        <v>46010</v>
      </c>
      <c r="G1531" t="s">
        <v>697</v>
      </c>
      <c r="H1531" t="s">
        <v>214</v>
      </c>
      <c r="J1531">
        <v>-2026.44</v>
      </c>
      <c r="K1531">
        <v>-2026.44</v>
      </c>
      <c r="O1531" t="s">
        <v>631</v>
      </c>
      <c r="P1531" t="s">
        <v>820</v>
      </c>
      <c r="Q1531" t="s">
        <v>460</v>
      </c>
      <c r="R1531">
        <v>0</v>
      </c>
    </row>
    <row r="1532" spans="1:18" x14ac:dyDescent="0.3">
      <c r="A1532">
        <v>184706</v>
      </c>
      <c r="B1532" t="s">
        <v>568</v>
      </c>
      <c r="C1532" t="s">
        <v>945</v>
      </c>
      <c r="E1532" s="452">
        <v>46006</v>
      </c>
      <c r="F1532" s="452">
        <v>46010</v>
      </c>
      <c r="G1532" t="s">
        <v>697</v>
      </c>
      <c r="H1532" t="s">
        <v>214</v>
      </c>
      <c r="J1532">
        <v>-1660.93</v>
      </c>
      <c r="K1532">
        <v>-1660.93</v>
      </c>
      <c r="O1532" t="s">
        <v>631</v>
      </c>
      <c r="P1532" t="s">
        <v>820</v>
      </c>
      <c r="Q1532" t="s">
        <v>460</v>
      </c>
      <c r="R1532">
        <v>0</v>
      </c>
    </row>
    <row r="1533" spans="1:18" x14ac:dyDescent="0.3">
      <c r="A1533">
        <v>184707</v>
      </c>
      <c r="B1533" t="s">
        <v>568</v>
      </c>
      <c r="C1533" t="s">
        <v>940</v>
      </c>
      <c r="E1533" s="452">
        <v>46006</v>
      </c>
      <c r="F1533" s="452">
        <v>46010</v>
      </c>
      <c r="G1533" t="s">
        <v>697</v>
      </c>
      <c r="H1533" t="s">
        <v>214</v>
      </c>
      <c r="J1533">
        <v>-1660.93</v>
      </c>
      <c r="K1533">
        <v>-1660.93</v>
      </c>
      <c r="O1533" t="s">
        <v>631</v>
      </c>
      <c r="P1533" t="s">
        <v>820</v>
      </c>
      <c r="Q1533" t="s">
        <v>460</v>
      </c>
      <c r="R1533">
        <v>0</v>
      </c>
    </row>
    <row r="1534" spans="1:18" x14ac:dyDescent="0.3">
      <c r="A1534">
        <v>101297</v>
      </c>
      <c r="B1534" t="s">
        <v>568</v>
      </c>
      <c r="C1534" t="s">
        <v>731</v>
      </c>
      <c r="D1534" t="s">
        <v>2111</v>
      </c>
      <c r="E1534" s="452">
        <v>46004</v>
      </c>
      <c r="F1534" s="452">
        <v>46006</v>
      </c>
      <c r="G1534" t="s">
        <v>319</v>
      </c>
      <c r="H1534" t="s">
        <v>321</v>
      </c>
      <c r="I1534" t="s">
        <v>2112</v>
      </c>
      <c r="J1534">
        <v>-116.75</v>
      </c>
      <c r="K1534">
        <v>-116.75</v>
      </c>
      <c r="O1534" t="s">
        <v>631</v>
      </c>
      <c r="P1534" t="s">
        <v>820</v>
      </c>
      <c r="Q1534" t="s">
        <v>460</v>
      </c>
      <c r="R1534">
        <v>0</v>
      </c>
    </row>
    <row r="1535" spans="1:18" x14ac:dyDescent="0.3">
      <c r="A1535">
        <v>188016</v>
      </c>
      <c r="B1535" t="s">
        <v>568</v>
      </c>
      <c r="C1535" t="s">
        <v>1068</v>
      </c>
      <c r="E1535" s="452">
        <v>46004</v>
      </c>
      <c r="F1535" s="452">
        <v>46005</v>
      </c>
      <c r="G1535" t="s">
        <v>280</v>
      </c>
      <c r="H1535" t="s">
        <v>285</v>
      </c>
      <c r="I1535" t="s">
        <v>1098</v>
      </c>
      <c r="J1535">
        <v>-249.76</v>
      </c>
      <c r="K1535">
        <v>-249.76</v>
      </c>
      <c r="O1535" t="s">
        <v>631</v>
      </c>
      <c r="P1535" t="s">
        <v>820</v>
      </c>
      <c r="Q1535" t="s">
        <v>460</v>
      </c>
      <c r="R1535">
        <v>0</v>
      </c>
    </row>
    <row r="1536" spans="1:18" x14ac:dyDescent="0.3">
      <c r="A1536">
        <v>188015</v>
      </c>
      <c r="B1536" t="s">
        <v>568</v>
      </c>
      <c r="C1536" t="s">
        <v>1068</v>
      </c>
      <c r="E1536" s="452">
        <v>46003</v>
      </c>
      <c r="F1536" s="452">
        <v>46004</v>
      </c>
      <c r="G1536" t="s">
        <v>280</v>
      </c>
      <c r="H1536" t="s">
        <v>285</v>
      </c>
      <c r="I1536" t="s">
        <v>1098</v>
      </c>
      <c r="J1536">
        <v>-163.27000000000001</v>
      </c>
      <c r="K1536">
        <v>-163.27000000000001</v>
      </c>
      <c r="O1536" t="s">
        <v>631</v>
      </c>
      <c r="P1536" t="s">
        <v>820</v>
      </c>
      <c r="Q1536" t="s">
        <v>460</v>
      </c>
      <c r="R1536">
        <v>0</v>
      </c>
    </row>
    <row r="1537" spans="1:18" x14ac:dyDescent="0.3">
      <c r="A1537">
        <v>101432</v>
      </c>
      <c r="B1537" t="s">
        <v>568</v>
      </c>
      <c r="C1537" t="s">
        <v>713</v>
      </c>
      <c r="D1537" t="s">
        <v>2113</v>
      </c>
      <c r="E1537" s="452">
        <v>46003</v>
      </c>
      <c r="F1537" s="452">
        <v>46015</v>
      </c>
      <c r="G1537" t="s">
        <v>265</v>
      </c>
      <c r="H1537" t="s">
        <v>267</v>
      </c>
      <c r="I1537" t="s">
        <v>2114</v>
      </c>
      <c r="J1537">
        <v>-1956.68</v>
      </c>
      <c r="K1537">
        <v>-1956.68</v>
      </c>
      <c r="O1537" t="s">
        <v>631</v>
      </c>
      <c r="P1537" t="s">
        <v>820</v>
      </c>
      <c r="Q1537" t="s">
        <v>460</v>
      </c>
      <c r="R1537">
        <v>0</v>
      </c>
    </row>
    <row r="1538" spans="1:18" x14ac:dyDescent="0.3">
      <c r="A1538">
        <v>188014</v>
      </c>
      <c r="B1538" t="s">
        <v>568</v>
      </c>
      <c r="C1538" t="s">
        <v>1068</v>
      </c>
      <c r="E1538" s="452">
        <v>46002</v>
      </c>
      <c r="F1538" s="452">
        <v>46003</v>
      </c>
      <c r="G1538" t="s">
        <v>280</v>
      </c>
      <c r="H1538" t="s">
        <v>285</v>
      </c>
      <c r="I1538" t="s">
        <v>1098</v>
      </c>
      <c r="J1538">
        <v>-174.4</v>
      </c>
      <c r="K1538">
        <v>-174.4</v>
      </c>
      <c r="O1538" t="s">
        <v>631</v>
      </c>
      <c r="P1538" t="s">
        <v>820</v>
      </c>
      <c r="Q1538" t="s">
        <v>460</v>
      </c>
      <c r="R1538">
        <v>0</v>
      </c>
    </row>
    <row r="1539" spans="1:18" x14ac:dyDescent="0.3">
      <c r="A1539">
        <v>101281</v>
      </c>
      <c r="B1539" t="s">
        <v>568</v>
      </c>
      <c r="C1539" t="s">
        <v>715</v>
      </c>
      <c r="D1539" t="s">
        <v>2115</v>
      </c>
      <c r="E1539" s="452">
        <v>46001</v>
      </c>
      <c r="F1539" s="452">
        <v>46032</v>
      </c>
      <c r="G1539" t="s">
        <v>319</v>
      </c>
      <c r="H1539" t="s">
        <v>320</v>
      </c>
      <c r="I1539" t="s">
        <v>2116</v>
      </c>
      <c r="J1539">
        <v>-285.56</v>
      </c>
      <c r="K1539">
        <v>-285.56</v>
      </c>
      <c r="O1539" t="s">
        <v>631</v>
      </c>
      <c r="P1539" t="s">
        <v>820</v>
      </c>
      <c r="Q1539" t="s">
        <v>460</v>
      </c>
      <c r="R1539">
        <v>0</v>
      </c>
    </row>
    <row r="1540" spans="1:18" x14ac:dyDescent="0.3">
      <c r="A1540">
        <v>154380</v>
      </c>
      <c r="B1540" t="s">
        <v>568</v>
      </c>
      <c r="C1540" t="s">
        <v>1896</v>
      </c>
      <c r="D1540" t="s">
        <v>2117</v>
      </c>
      <c r="E1540" s="452">
        <v>46001</v>
      </c>
      <c r="F1540" s="452">
        <v>46001</v>
      </c>
      <c r="G1540" t="s">
        <v>257</v>
      </c>
      <c r="H1540" t="s">
        <v>262</v>
      </c>
      <c r="I1540" t="s">
        <v>2118</v>
      </c>
      <c r="J1540">
        <v>-182.27</v>
      </c>
      <c r="K1540">
        <v>0</v>
      </c>
      <c r="O1540" t="s">
        <v>631</v>
      </c>
      <c r="P1540" t="s">
        <v>820</v>
      </c>
      <c r="Q1540" t="s">
        <v>460</v>
      </c>
      <c r="R1540">
        <v>0</v>
      </c>
    </row>
    <row r="1541" spans="1:18" x14ac:dyDescent="0.3">
      <c r="A1541">
        <v>101571</v>
      </c>
      <c r="B1541" t="s">
        <v>568</v>
      </c>
      <c r="C1541" t="s">
        <v>778</v>
      </c>
      <c r="D1541" t="s">
        <v>2119</v>
      </c>
      <c r="E1541" s="452">
        <v>46001</v>
      </c>
      <c r="F1541" s="452">
        <v>46011</v>
      </c>
      <c r="G1541" t="s">
        <v>309</v>
      </c>
      <c r="H1541" t="s">
        <v>313</v>
      </c>
      <c r="I1541" t="s">
        <v>2120</v>
      </c>
      <c r="J1541">
        <v>-185</v>
      </c>
      <c r="K1541">
        <v>-185</v>
      </c>
      <c r="O1541" t="s">
        <v>631</v>
      </c>
      <c r="P1541" t="s">
        <v>820</v>
      </c>
      <c r="Q1541" t="s">
        <v>460</v>
      </c>
      <c r="R1541">
        <v>0</v>
      </c>
    </row>
    <row r="1542" spans="1:18" x14ac:dyDescent="0.3">
      <c r="A1542">
        <v>188013</v>
      </c>
      <c r="B1542" t="s">
        <v>568</v>
      </c>
      <c r="C1542" t="s">
        <v>1068</v>
      </c>
      <c r="E1542" s="452">
        <v>46001</v>
      </c>
      <c r="F1542" s="452">
        <v>46002</v>
      </c>
      <c r="G1542" t="s">
        <v>280</v>
      </c>
      <c r="H1542" t="s">
        <v>285</v>
      </c>
      <c r="I1542" t="s">
        <v>1098</v>
      </c>
      <c r="J1542">
        <v>-105.23</v>
      </c>
      <c r="K1542">
        <v>-105.23</v>
      </c>
      <c r="O1542" t="s">
        <v>631</v>
      </c>
      <c r="P1542" t="s">
        <v>820</v>
      </c>
      <c r="Q1542" t="s">
        <v>460</v>
      </c>
      <c r="R1542">
        <v>0</v>
      </c>
    </row>
    <row r="1543" spans="1:18" x14ac:dyDescent="0.3">
      <c r="A1543">
        <v>182829</v>
      </c>
      <c r="B1543" t="s">
        <v>568</v>
      </c>
      <c r="C1543" t="s">
        <v>910</v>
      </c>
      <c r="E1543" s="452">
        <v>46001</v>
      </c>
      <c r="F1543" s="452">
        <v>46001</v>
      </c>
      <c r="G1543" t="s">
        <v>724</v>
      </c>
      <c r="H1543" t="s">
        <v>725</v>
      </c>
      <c r="J1543">
        <v>-124.9</v>
      </c>
      <c r="K1543">
        <v>-124.9</v>
      </c>
      <c r="O1543" t="s">
        <v>631</v>
      </c>
      <c r="P1543" t="s">
        <v>820</v>
      </c>
      <c r="Q1543" t="s">
        <v>460</v>
      </c>
      <c r="R1543">
        <v>0</v>
      </c>
    </row>
    <row r="1544" spans="1:18" x14ac:dyDescent="0.3">
      <c r="A1544">
        <v>101346</v>
      </c>
      <c r="B1544" t="s">
        <v>568</v>
      </c>
      <c r="C1544" t="s">
        <v>1257</v>
      </c>
      <c r="D1544" t="s">
        <v>2121</v>
      </c>
      <c r="E1544" s="452">
        <v>46001</v>
      </c>
      <c r="F1544" s="452">
        <v>46013</v>
      </c>
      <c r="G1544" t="s">
        <v>265</v>
      </c>
      <c r="H1544" t="s">
        <v>271</v>
      </c>
      <c r="I1544" t="s">
        <v>2122</v>
      </c>
      <c r="J1544">
        <v>-550</v>
      </c>
      <c r="K1544">
        <v>-550</v>
      </c>
      <c r="O1544" t="s">
        <v>631</v>
      </c>
      <c r="P1544" t="s">
        <v>820</v>
      </c>
      <c r="Q1544" t="s">
        <v>460</v>
      </c>
      <c r="R1544">
        <v>0</v>
      </c>
    </row>
    <row r="1545" spans="1:18" x14ac:dyDescent="0.3">
      <c r="A1545">
        <v>188012</v>
      </c>
      <c r="B1545" t="s">
        <v>568</v>
      </c>
      <c r="C1545" t="s">
        <v>1068</v>
      </c>
      <c r="E1545" s="452">
        <v>46000</v>
      </c>
      <c r="F1545" s="452">
        <v>46001</v>
      </c>
      <c r="G1545" t="s">
        <v>280</v>
      </c>
      <c r="H1545" t="s">
        <v>285</v>
      </c>
      <c r="I1545" t="s">
        <v>1098</v>
      </c>
      <c r="J1545">
        <v>-82.8</v>
      </c>
      <c r="K1545">
        <v>-82.8</v>
      </c>
      <c r="O1545" t="s">
        <v>631</v>
      </c>
      <c r="P1545" t="s">
        <v>820</v>
      </c>
      <c r="Q1545" t="s">
        <v>460</v>
      </c>
      <c r="R1545">
        <v>0</v>
      </c>
    </row>
    <row r="1546" spans="1:18" x14ac:dyDescent="0.3">
      <c r="A1546">
        <v>182827</v>
      </c>
      <c r="B1546" t="s">
        <v>568</v>
      </c>
      <c r="C1546" t="s">
        <v>723</v>
      </c>
      <c r="E1546" s="452">
        <v>46000</v>
      </c>
      <c r="F1546" s="452">
        <v>46000</v>
      </c>
      <c r="G1546" t="s">
        <v>724</v>
      </c>
      <c r="H1546" t="s">
        <v>725</v>
      </c>
      <c r="J1546">
        <v>-2</v>
      </c>
      <c r="K1546">
        <v>-2</v>
      </c>
      <c r="O1546" t="s">
        <v>631</v>
      </c>
      <c r="P1546" t="s">
        <v>820</v>
      </c>
      <c r="Q1546" t="s">
        <v>460</v>
      </c>
      <c r="R1546">
        <v>0</v>
      </c>
    </row>
    <row r="1547" spans="1:18" x14ac:dyDescent="0.3">
      <c r="A1547">
        <v>101444</v>
      </c>
      <c r="B1547" t="s">
        <v>568</v>
      </c>
      <c r="C1547" t="s">
        <v>713</v>
      </c>
      <c r="D1547" t="s">
        <v>2123</v>
      </c>
      <c r="E1547" s="452">
        <v>45999</v>
      </c>
      <c r="F1547" s="452">
        <v>46015</v>
      </c>
      <c r="G1547" t="s">
        <v>265</v>
      </c>
      <c r="H1547" t="s">
        <v>267</v>
      </c>
      <c r="I1547" t="s">
        <v>2124</v>
      </c>
      <c r="J1547">
        <v>-2862.75</v>
      </c>
      <c r="K1547">
        <v>-2862.75</v>
      </c>
      <c r="O1547" t="s">
        <v>631</v>
      </c>
      <c r="P1547" t="s">
        <v>820</v>
      </c>
      <c r="Q1547" t="s">
        <v>460</v>
      </c>
      <c r="R1547">
        <v>0</v>
      </c>
    </row>
    <row r="1548" spans="1:18" x14ac:dyDescent="0.3">
      <c r="A1548">
        <v>188011</v>
      </c>
      <c r="B1548" t="s">
        <v>568</v>
      </c>
      <c r="C1548" t="s">
        <v>1068</v>
      </c>
      <c r="E1548" s="452">
        <v>45999</v>
      </c>
      <c r="F1548" s="452">
        <v>46000</v>
      </c>
      <c r="G1548" t="s">
        <v>280</v>
      </c>
      <c r="H1548" t="s">
        <v>285</v>
      </c>
      <c r="I1548" t="s">
        <v>1098</v>
      </c>
      <c r="J1548">
        <v>-48</v>
      </c>
      <c r="K1548">
        <v>-48</v>
      </c>
      <c r="O1548" t="s">
        <v>631</v>
      </c>
      <c r="P1548" t="s">
        <v>820</v>
      </c>
      <c r="Q1548" t="s">
        <v>460</v>
      </c>
      <c r="R1548">
        <v>0</v>
      </c>
    </row>
    <row r="1549" spans="1:18" x14ac:dyDescent="0.3">
      <c r="A1549">
        <v>182850</v>
      </c>
      <c r="B1549" t="s">
        <v>568</v>
      </c>
      <c r="C1549" t="s">
        <v>789</v>
      </c>
      <c r="D1549" t="s">
        <v>2125</v>
      </c>
      <c r="E1549" s="452">
        <v>45999</v>
      </c>
      <c r="F1549" s="452">
        <v>46009</v>
      </c>
      <c r="G1549" t="s">
        <v>790</v>
      </c>
      <c r="H1549" t="s">
        <v>204</v>
      </c>
      <c r="I1549" t="s">
        <v>2126</v>
      </c>
      <c r="J1549">
        <v>-5269</v>
      </c>
      <c r="K1549">
        <v>-5269</v>
      </c>
      <c r="O1549" t="s">
        <v>631</v>
      </c>
      <c r="P1549" t="s">
        <v>820</v>
      </c>
      <c r="Q1549" t="s">
        <v>460</v>
      </c>
      <c r="R1549">
        <v>0</v>
      </c>
    </row>
    <row r="1550" spans="1:18" x14ac:dyDescent="0.3">
      <c r="A1550">
        <v>137493</v>
      </c>
      <c r="B1550" t="s">
        <v>568</v>
      </c>
      <c r="C1550" t="s">
        <v>761</v>
      </c>
      <c r="D1550" t="s">
        <v>2127</v>
      </c>
      <c r="E1550" s="452">
        <v>45997</v>
      </c>
      <c r="F1550" s="452">
        <v>46011</v>
      </c>
      <c r="G1550" t="s">
        <v>309</v>
      </c>
      <c r="H1550" t="s">
        <v>312</v>
      </c>
      <c r="I1550" t="s">
        <v>2128</v>
      </c>
      <c r="J1550">
        <v>-300</v>
      </c>
      <c r="K1550">
        <v>-300</v>
      </c>
      <c r="O1550" t="s">
        <v>631</v>
      </c>
      <c r="P1550" t="s">
        <v>820</v>
      </c>
      <c r="Q1550" t="s">
        <v>460</v>
      </c>
      <c r="R1550">
        <v>0</v>
      </c>
    </row>
    <row r="1551" spans="1:18" x14ac:dyDescent="0.3">
      <c r="A1551">
        <v>101358</v>
      </c>
      <c r="B1551" t="s">
        <v>568</v>
      </c>
      <c r="C1551" t="s">
        <v>727</v>
      </c>
      <c r="D1551" t="s">
        <v>2129</v>
      </c>
      <c r="E1551" s="452">
        <v>45997</v>
      </c>
      <c r="F1551" s="452">
        <v>46013</v>
      </c>
      <c r="G1551" t="s">
        <v>265</v>
      </c>
      <c r="H1551" t="s">
        <v>272</v>
      </c>
      <c r="I1551" t="s">
        <v>2130</v>
      </c>
      <c r="J1551">
        <v>-570</v>
      </c>
      <c r="K1551">
        <v>-570</v>
      </c>
      <c r="O1551" t="s">
        <v>631</v>
      </c>
      <c r="P1551" t="s">
        <v>820</v>
      </c>
      <c r="Q1551" t="s">
        <v>460</v>
      </c>
      <c r="R1551">
        <v>0</v>
      </c>
    </row>
    <row r="1552" spans="1:18" x14ac:dyDescent="0.3">
      <c r="A1552">
        <v>188010</v>
      </c>
      <c r="B1552" t="s">
        <v>568</v>
      </c>
      <c r="C1552" t="s">
        <v>1068</v>
      </c>
      <c r="E1552" s="452">
        <v>45997</v>
      </c>
      <c r="F1552" s="452">
        <v>45998</v>
      </c>
      <c r="G1552" t="s">
        <v>280</v>
      </c>
      <c r="H1552" t="s">
        <v>285</v>
      </c>
      <c r="I1552" t="s">
        <v>1098</v>
      </c>
      <c r="J1552">
        <v>-186.34</v>
      </c>
      <c r="K1552">
        <v>-186.34</v>
      </c>
      <c r="O1552" t="s">
        <v>631</v>
      </c>
      <c r="P1552" t="s">
        <v>820</v>
      </c>
      <c r="Q1552" t="s">
        <v>460</v>
      </c>
      <c r="R1552">
        <v>0</v>
      </c>
    </row>
    <row r="1553" spans="1:18" x14ac:dyDescent="0.3">
      <c r="A1553">
        <v>188009</v>
      </c>
      <c r="B1553" t="s">
        <v>568</v>
      </c>
      <c r="C1553" t="s">
        <v>1068</v>
      </c>
      <c r="E1553" s="452">
        <v>45996</v>
      </c>
      <c r="F1553" s="452">
        <v>45997</v>
      </c>
      <c r="G1553" t="s">
        <v>280</v>
      </c>
      <c r="H1553" t="s">
        <v>285</v>
      </c>
      <c r="I1553" t="s">
        <v>1098</v>
      </c>
      <c r="J1553">
        <v>-208.18</v>
      </c>
      <c r="K1553">
        <v>-208.18</v>
      </c>
      <c r="O1553" t="s">
        <v>631</v>
      </c>
      <c r="P1553" t="s">
        <v>820</v>
      </c>
      <c r="Q1553" t="s">
        <v>460</v>
      </c>
      <c r="R1553">
        <v>0</v>
      </c>
    </row>
    <row r="1554" spans="1:18" x14ac:dyDescent="0.3">
      <c r="A1554">
        <v>138269</v>
      </c>
      <c r="B1554" t="s">
        <v>568</v>
      </c>
      <c r="C1554" t="s">
        <v>2131</v>
      </c>
      <c r="E1554" s="452">
        <v>45996</v>
      </c>
      <c r="F1554" s="452">
        <v>46001</v>
      </c>
      <c r="G1554" t="s">
        <v>297</v>
      </c>
      <c r="H1554" t="s">
        <v>308</v>
      </c>
      <c r="I1554" t="s">
        <v>2132</v>
      </c>
      <c r="J1554">
        <v>-150</v>
      </c>
      <c r="K1554">
        <v>0</v>
      </c>
      <c r="O1554" t="s">
        <v>631</v>
      </c>
      <c r="P1554" t="s">
        <v>820</v>
      </c>
      <c r="Q1554" t="s">
        <v>460</v>
      </c>
      <c r="R1554">
        <v>0</v>
      </c>
    </row>
    <row r="1555" spans="1:18" x14ac:dyDescent="0.3">
      <c r="A1555">
        <v>188008</v>
      </c>
      <c r="B1555" t="s">
        <v>568</v>
      </c>
      <c r="C1555" t="s">
        <v>1068</v>
      </c>
      <c r="E1555" s="452">
        <v>45995</v>
      </c>
      <c r="F1555" s="452">
        <v>45996</v>
      </c>
      <c r="G1555" t="s">
        <v>280</v>
      </c>
      <c r="H1555" t="s">
        <v>285</v>
      </c>
      <c r="I1555" t="s">
        <v>1098</v>
      </c>
      <c r="J1555">
        <v>-92.36</v>
      </c>
      <c r="K1555">
        <v>-92.36</v>
      </c>
      <c r="O1555" t="s">
        <v>631</v>
      </c>
      <c r="P1555" t="s">
        <v>820</v>
      </c>
      <c r="Q1555" t="s">
        <v>460</v>
      </c>
      <c r="R1555">
        <v>0</v>
      </c>
    </row>
    <row r="1556" spans="1:18" x14ac:dyDescent="0.3">
      <c r="A1556">
        <v>230548</v>
      </c>
      <c r="B1556" t="s">
        <v>568</v>
      </c>
      <c r="C1556" t="s">
        <v>2094</v>
      </c>
      <c r="D1556" t="s">
        <v>2133</v>
      </c>
      <c r="E1556" s="452">
        <v>45995</v>
      </c>
      <c r="F1556" s="452">
        <v>45995</v>
      </c>
      <c r="G1556" t="s">
        <v>931</v>
      </c>
      <c r="H1556" t="s">
        <v>1075</v>
      </c>
      <c r="I1556" t="s">
        <v>2096</v>
      </c>
      <c r="J1556">
        <v>-566</v>
      </c>
      <c r="K1556">
        <v>-566</v>
      </c>
      <c r="O1556" t="s">
        <v>631</v>
      </c>
      <c r="P1556" t="s">
        <v>820</v>
      </c>
      <c r="Q1556" t="s">
        <v>460</v>
      </c>
      <c r="R1556">
        <v>0</v>
      </c>
    </row>
    <row r="1557" spans="1:18" x14ac:dyDescent="0.3">
      <c r="A1557">
        <v>188007</v>
      </c>
      <c r="B1557" t="s">
        <v>568</v>
      </c>
      <c r="C1557" t="s">
        <v>1068</v>
      </c>
      <c r="E1557" s="452">
        <v>45994</v>
      </c>
      <c r="F1557" s="452">
        <v>45995</v>
      </c>
      <c r="G1557" t="s">
        <v>280</v>
      </c>
      <c r="H1557" t="s">
        <v>285</v>
      </c>
      <c r="I1557" t="s">
        <v>1098</v>
      </c>
      <c r="J1557">
        <v>-99.15</v>
      </c>
      <c r="K1557">
        <v>-99.15</v>
      </c>
      <c r="O1557" t="s">
        <v>631</v>
      </c>
      <c r="P1557" t="s">
        <v>820</v>
      </c>
      <c r="Q1557" t="s">
        <v>460</v>
      </c>
      <c r="R1557">
        <v>0</v>
      </c>
    </row>
    <row r="1558" spans="1:18" x14ac:dyDescent="0.3">
      <c r="A1558">
        <v>101381</v>
      </c>
      <c r="B1558" t="s">
        <v>568</v>
      </c>
      <c r="C1558" t="s">
        <v>742</v>
      </c>
      <c r="D1558" t="s">
        <v>2134</v>
      </c>
      <c r="E1558" s="452">
        <v>45994</v>
      </c>
      <c r="F1558" s="452">
        <v>46001</v>
      </c>
      <c r="G1558" t="s">
        <v>280</v>
      </c>
      <c r="H1558" t="s">
        <v>282</v>
      </c>
      <c r="I1558" t="s">
        <v>2135</v>
      </c>
      <c r="J1558">
        <v>-249.9</v>
      </c>
      <c r="K1558">
        <v>-249.9</v>
      </c>
      <c r="O1558" t="s">
        <v>631</v>
      </c>
      <c r="P1558" t="s">
        <v>820</v>
      </c>
      <c r="Q1558" t="s">
        <v>460</v>
      </c>
      <c r="R1558">
        <v>0</v>
      </c>
    </row>
    <row r="1559" spans="1:18" x14ac:dyDescent="0.3">
      <c r="A1559">
        <v>101557</v>
      </c>
      <c r="B1559" t="s">
        <v>568</v>
      </c>
      <c r="C1559" t="s">
        <v>708</v>
      </c>
      <c r="D1559" t="s">
        <v>1250</v>
      </c>
      <c r="E1559" s="452">
        <v>45994</v>
      </c>
      <c r="F1559" s="452">
        <v>46012</v>
      </c>
      <c r="G1559" t="s">
        <v>280</v>
      </c>
      <c r="H1559" t="s">
        <v>283</v>
      </c>
      <c r="I1559" t="s">
        <v>2136</v>
      </c>
      <c r="J1559">
        <v>-341.95</v>
      </c>
      <c r="K1559">
        <v>-341.95</v>
      </c>
      <c r="O1559" t="s">
        <v>631</v>
      </c>
      <c r="P1559" t="s">
        <v>820</v>
      </c>
      <c r="Q1559" t="s">
        <v>460</v>
      </c>
      <c r="R1559">
        <v>0</v>
      </c>
    </row>
    <row r="1560" spans="1:18" x14ac:dyDescent="0.3">
      <c r="A1560">
        <v>182860</v>
      </c>
      <c r="B1560" t="s">
        <v>568</v>
      </c>
      <c r="C1560" t="s">
        <v>735</v>
      </c>
      <c r="D1560" t="s">
        <v>2137</v>
      </c>
      <c r="E1560" s="452">
        <v>45993</v>
      </c>
      <c r="F1560" s="452">
        <v>46006</v>
      </c>
      <c r="G1560" t="s">
        <v>309</v>
      </c>
      <c r="H1560" t="s">
        <v>310</v>
      </c>
      <c r="I1560" t="s">
        <v>2138</v>
      </c>
      <c r="J1560">
        <v>-2282.27</v>
      </c>
      <c r="K1560">
        <v>-2282.27</v>
      </c>
      <c r="O1560" t="s">
        <v>631</v>
      </c>
      <c r="P1560" t="s">
        <v>820</v>
      </c>
      <c r="Q1560" t="s">
        <v>460</v>
      </c>
      <c r="R1560">
        <v>0</v>
      </c>
    </row>
    <row r="1561" spans="1:18" x14ac:dyDescent="0.3">
      <c r="A1561">
        <v>101229</v>
      </c>
      <c r="B1561" t="s">
        <v>568</v>
      </c>
      <c r="C1561" t="s">
        <v>2139</v>
      </c>
      <c r="D1561" t="s">
        <v>2140</v>
      </c>
      <c r="E1561" s="452">
        <v>45993</v>
      </c>
      <c r="F1561" s="452">
        <v>46025</v>
      </c>
      <c r="G1561" t="s">
        <v>297</v>
      </c>
      <c r="H1561" t="s">
        <v>298</v>
      </c>
      <c r="I1561" t="s">
        <v>2141</v>
      </c>
      <c r="J1561">
        <v>-3000</v>
      </c>
      <c r="K1561">
        <v>-3000</v>
      </c>
      <c r="O1561" t="s">
        <v>631</v>
      </c>
      <c r="P1561" t="s">
        <v>820</v>
      </c>
      <c r="Q1561" t="s">
        <v>460</v>
      </c>
      <c r="R1561">
        <v>0</v>
      </c>
    </row>
    <row r="1562" spans="1:18" x14ac:dyDescent="0.3">
      <c r="A1562">
        <v>179670</v>
      </c>
      <c r="B1562" t="s">
        <v>568</v>
      </c>
      <c r="C1562" t="s">
        <v>1084</v>
      </c>
      <c r="D1562" t="s">
        <v>2142</v>
      </c>
      <c r="E1562" s="452">
        <v>45993</v>
      </c>
      <c r="F1562" s="452">
        <v>46008</v>
      </c>
      <c r="G1562" t="s">
        <v>297</v>
      </c>
      <c r="H1562" t="s">
        <v>306</v>
      </c>
      <c r="J1562">
        <v>-38.53</v>
      </c>
      <c r="K1562">
        <v>-38.53</v>
      </c>
      <c r="O1562" t="s">
        <v>631</v>
      </c>
      <c r="P1562" t="s">
        <v>820</v>
      </c>
      <c r="Q1562" t="s">
        <v>460</v>
      </c>
      <c r="R1562">
        <v>0</v>
      </c>
    </row>
    <row r="1563" spans="1:18" x14ac:dyDescent="0.3">
      <c r="A1563">
        <v>182868</v>
      </c>
      <c r="B1563" t="s">
        <v>568</v>
      </c>
      <c r="C1563" t="s">
        <v>1314</v>
      </c>
      <c r="D1563" t="s">
        <v>2143</v>
      </c>
      <c r="E1563" s="452">
        <v>45993</v>
      </c>
      <c r="F1563" s="452">
        <v>46009</v>
      </c>
      <c r="G1563" t="s">
        <v>297</v>
      </c>
      <c r="H1563" t="s">
        <v>305</v>
      </c>
      <c r="I1563" t="s">
        <v>2144</v>
      </c>
      <c r="J1563">
        <v>-54</v>
      </c>
      <c r="K1563">
        <v>-54</v>
      </c>
      <c r="O1563" t="s">
        <v>631</v>
      </c>
      <c r="P1563" t="s">
        <v>820</v>
      </c>
      <c r="Q1563" t="s">
        <v>460</v>
      </c>
      <c r="R1563">
        <v>0</v>
      </c>
    </row>
    <row r="1564" spans="1:18" x14ac:dyDescent="0.3">
      <c r="A1564">
        <v>188006</v>
      </c>
      <c r="B1564" t="s">
        <v>568</v>
      </c>
      <c r="C1564" t="s">
        <v>1068</v>
      </c>
      <c r="E1564" s="452">
        <v>45993</v>
      </c>
      <c r="F1564" s="452">
        <v>45994</v>
      </c>
      <c r="G1564" t="s">
        <v>280</v>
      </c>
      <c r="H1564" t="s">
        <v>285</v>
      </c>
      <c r="I1564" t="s">
        <v>1098</v>
      </c>
      <c r="J1564">
        <v>-84.93</v>
      </c>
      <c r="K1564">
        <v>-84.93</v>
      </c>
      <c r="O1564" t="s">
        <v>631</v>
      </c>
      <c r="P1564" t="s">
        <v>820</v>
      </c>
      <c r="Q1564" t="s">
        <v>460</v>
      </c>
      <c r="R1564">
        <v>0</v>
      </c>
    </row>
    <row r="1565" spans="1:18" x14ac:dyDescent="0.3">
      <c r="A1565">
        <v>179668</v>
      </c>
      <c r="B1565" t="s">
        <v>568</v>
      </c>
      <c r="C1565" t="s">
        <v>1084</v>
      </c>
      <c r="D1565" t="s">
        <v>2145</v>
      </c>
      <c r="E1565" s="452">
        <v>45993</v>
      </c>
      <c r="F1565" s="452">
        <v>46008</v>
      </c>
      <c r="G1565" t="s">
        <v>297</v>
      </c>
      <c r="H1565" t="s">
        <v>306</v>
      </c>
      <c r="J1565">
        <v>-50</v>
      </c>
      <c r="K1565">
        <v>-50</v>
      </c>
      <c r="O1565" t="s">
        <v>631</v>
      </c>
      <c r="P1565" t="s">
        <v>820</v>
      </c>
      <c r="Q1565" t="s">
        <v>460</v>
      </c>
      <c r="R1565">
        <v>0</v>
      </c>
    </row>
    <row r="1566" spans="1:18" x14ac:dyDescent="0.3">
      <c r="A1566">
        <v>179666</v>
      </c>
      <c r="B1566" t="s">
        <v>568</v>
      </c>
      <c r="C1566" t="s">
        <v>1084</v>
      </c>
      <c r="D1566" t="s">
        <v>2146</v>
      </c>
      <c r="E1566" s="452">
        <v>45993</v>
      </c>
      <c r="F1566" s="452">
        <v>46008</v>
      </c>
      <c r="G1566" t="s">
        <v>297</v>
      </c>
      <c r="H1566" t="s">
        <v>306</v>
      </c>
      <c r="J1566">
        <v>-15</v>
      </c>
      <c r="K1566">
        <v>-15</v>
      </c>
      <c r="O1566" t="s">
        <v>631</v>
      </c>
      <c r="P1566" t="s">
        <v>820</v>
      </c>
      <c r="Q1566" t="s">
        <v>460</v>
      </c>
      <c r="R1566">
        <v>0</v>
      </c>
    </row>
    <row r="1567" spans="1:18" x14ac:dyDescent="0.3">
      <c r="A1567">
        <v>187555</v>
      </c>
      <c r="B1567" t="s">
        <v>568</v>
      </c>
      <c r="C1567" t="s">
        <v>853</v>
      </c>
      <c r="D1567" t="s">
        <v>2147</v>
      </c>
      <c r="E1567" s="452">
        <v>45992</v>
      </c>
      <c r="F1567" s="452">
        <v>46027</v>
      </c>
      <c r="G1567" t="s">
        <v>265</v>
      </c>
      <c r="H1567" t="s">
        <v>269</v>
      </c>
      <c r="I1567" t="s">
        <v>2148</v>
      </c>
      <c r="J1567">
        <v>-34.5</v>
      </c>
      <c r="K1567">
        <v>-34.5</v>
      </c>
      <c r="O1567" t="s">
        <v>631</v>
      </c>
      <c r="P1567" t="s">
        <v>820</v>
      </c>
      <c r="Q1567" t="s">
        <v>460</v>
      </c>
      <c r="R1567">
        <v>0</v>
      </c>
    </row>
    <row r="1568" spans="1:18" x14ac:dyDescent="0.3">
      <c r="A1568">
        <v>185272</v>
      </c>
      <c r="B1568" t="s">
        <v>568</v>
      </c>
      <c r="C1568" t="s">
        <v>431</v>
      </c>
      <c r="D1568" t="s">
        <v>2149</v>
      </c>
      <c r="E1568" s="452">
        <v>45992</v>
      </c>
      <c r="F1568" s="452">
        <v>46014</v>
      </c>
      <c r="G1568" t="s">
        <v>697</v>
      </c>
      <c r="H1568" t="s">
        <v>222</v>
      </c>
      <c r="I1568" t="s">
        <v>2150</v>
      </c>
      <c r="J1568">
        <v>-2098.0100000000002</v>
      </c>
      <c r="K1568">
        <v>-2098.0100000000002</v>
      </c>
      <c r="O1568" t="s">
        <v>631</v>
      </c>
      <c r="P1568" t="s">
        <v>820</v>
      </c>
      <c r="Q1568" t="s">
        <v>460</v>
      </c>
      <c r="R1568">
        <v>0</v>
      </c>
    </row>
    <row r="1569" spans="1:18" x14ac:dyDescent="0.3">
      <c r="A1569">
        <v>101456</v>
      </c>
      <c r="B1569" t="s">
        <v>568</v>
      </c>
      <c r="C1569" t="s">
        <v>688</v>
      </c>
      <c r="D1569" t="s">
        <v>2151</v>
      </c>
      <c r="E1569" s="452">
        <v>45992</v>
      </c>
      <c r="F1569" s="452">
        <v>46011</v>
      </c>
      <c r="G1569" t="s">
        <v>666</v>
      </c>
      <c r="H1569" t="s">
        <v>667</v>
      </c>
      <c r="J1569">
        <v>-2656</v>
      </c>
      <c r="K1569">
        <v>-2656</v>
      </c>
      <c r="O1569" t="s">
        <v>631</v>
      </c>
      <c r="P1569" t="s">
        <v>820</v>
      </c>
      <c r="Q1569" t="s">
        <v>460</v>
      </c>
      <c r="R1569">
        <v>0</v>
      </c>
    </row>
    <row r="1570" spans="1:18" x14ac:dyDescent="0.3">
      <c r="A1570">
        <v>185667</v>
      </c>
      <c r="B1570" t="s">
        <v>568</v>
      </c>
      <c r="C1570" t="s">
        <v>753</v>
      </c>
      <c r="D1570" t="s">
        <v>2152</v>
      </c>
      <c r="E1570" s="452">
        <v>45992</v>
      </c>
      <c r="F1570" s="452">
        <v>46037</v>
      </c>
      <c r="G1570" t="s">
        <v>677</v>
      </c>
      <c r="H1570" t="s">
        <v>678</v>
      </c>
      <c r="I1570" t="s">
        <v>460</v>
      </c>
      <c r="J1570">
        <v>-8000</v>
      </c>
      <c r="K1570">
        <v>-8000</v>
      </c>
      <c r="M1570" t="s">
        <v>755</v>
      </c>
      <c r="N1570" t="s">
        <v>132</v>
      </c>
      <c r="O1570" t="s">
        <v>631</v>
      </c>
      <c r="P1570" t="s">
        <v>820</v>
      </c>
      <c r="Q1570" t="s">
        <v>460</v>
      </c>
      <c r="R1570">
        <v>0</v>
      </c>
    </row>
    <row r="1571" spans="1:18" x14ac:dyDescent="0.3">
      <c r="A1571">
        <v>187556</v>
      </c>
      <c r="B1571" t="s">
        <v>568</v>
      </c>
      <c r="C1571" t="s">
        <v>853</v>
      </c>
      <c r="D1571" t="s">
        <v>2153</v>
      </c>
      <c r="E1571" s="452">
        <v>45992</v>
      </c>
      <c r="F1571" s="452">
        <v>46027</v>
      </c>
      <c r="G1571" t="s">
        <v>931</v>
      </c>
      <c r="H1571" t="s">
        <v>932</v>
      </c>
      <c r="I1571" t="s">
        <v>2148</v>
      </c>
      <c r="J1571">
        <v>-70.5</v>
      </c>
      <c r="K1571">
        <v>-70.5</v>
      </c>
      <c r="O1571" t="s">
        <v>631</v>
      </c>
      <c r="P1571" t="s">
        <v>820</v>
      </c>
      <c r="Q1571" t="s">
        <v>460</v>
      </c>
      <c r="R1571">
        <v>0</v>
      </c>
    </row>
    <row r="1572" spans="1:18" x14ac:dyDescent="0.3">
      <c r="A1572">
        <v>188494</v>
      </c>
      <c r="B1572" t="s">
        <v>568</v>
      </c>
      <c r="C1572" t="s">
        <v>769</v>
      </c>
      <c r="D1572" t="s">
        <v>2058</v>
      </c>
      <c r="E1572" s="452">
        <v>45992</v>
      </c>
      <c r="F1572" s="452">
        <v>46027</v>
      </c>
      <c r="G1572" t="s">
        <v>280</v>
      </c>
      <c r="H1572" t="s">
        <v>283</v>
      </c>
      <c r="I1572" t="s">
        <v>2154</v>
      </c>
      <c r="J1572">
        <v>-23.9</v>
      </c>
      <c r="K1572">
        <v>-23.9</v>
      </c>
      <c r="O1572" t="s">
        <v>631</v>
      </c>
      <c r="P1572" t="s">
        <v>820</v>
      </c>
      <c r="Q1572" t="s">
        <v>460</v>
      </c>
      <c r="R1572">
        <v>0</v>
      </c>
    </row>
    <row r="1573" spans="1:18" x14ac:dyDescent="0.3">
      <c r="A1573">
        <v>101479</v>
      </c>
      <c r="B1573" t="s">
        <v>568</v>
      </c>
      <c r="C1573" t="s">
        <v>671</v>
      </c>
      <c r="D1573" t="s">
        <v>2155</v>
      </c>
      <c r="E1573" s="452">
        <v>45992</v>
      </c>
      <c r="F1573" s="452">
        <v>45992</v>
      </c>
      <c r="G1573" t="s">
        <v>672</v>
      </c>
      <c r="H1573" t="s">
        <v>240</v>
      </c>
      <c r="I1573" t="s">
        <v>2156</v>
      </c>
      <c r="J1573">
        <v>-300</v>
      </c>
      <c r="K1573">
        <v>-300</v>
      </c>
      <c r="O1573" t="s">
        <v>631</v>
      </c>
      <c r="P1573" t="s">
        <v>820</v>
      </c>
      <c r="Q1573" t="s">
        <v>460</v>
      </c>
      <c r="R1573">
        <v>0</v>
      </c>
    </row>
    <row r="1574" spans="1:18" x14ac:dyDescent="0.3">
      <c r="A1574">
        <v>101490</v>
      </c>
      <c r="B1574" t="s">
        <v>568</v>
      </c>
      <c r="C1574" t="s">
        <v>671</v>
      </c>
      <c r="D1574" t="s">
        <v>2157</v>
      </c>
      <c r="E1574" s="452">
        <v>45992</v>
      </c>
      <c r="F1574" s="452">
        <v>45999</v>
      </c>
      <c r="G1574" t="s">
        <v>672</v>
      </c>
      <c r="H1574" t="s">
        <v>240</v>
      </c>
      <c r="J1574">
        <v>-300</v>
      </c>
      <c r="K1574">
        <v>-300</v>
      </c>
      <c r="O1574" t="s">
        <v>631</v>
      </c>
      <c r="P1574" t="s">
        <v>820</v>
      </c>
      <c r="Q1574" t="s">
        <v>460</v>
      </c>
      <c r="R1574">
        <v>0</v>
      </c>
    </row>
    <row r="1575" spans="1:18" x14ac:dyDescent="0.3">
      <c r="A1575">
        <v>101501</v>
      </c>
      <c r="B1575" t="s">
        <v>568</v>
      </c>
      <c r="C1575" t="s">
        <v>671</v>
      </c>
      <c r="D1575" t="s">
        <v>2158</v>
      </c>
      <c r="E1575" s="452">
        <v>45992</v>
      </c>
      <c r="F1575" s="452">
        <v>46006</v>
      </c>
      <c r="G1575" t="s">
        <v>672</v>
      </c>
      <c r="H1575" t="s">
        <v>240</v>
      </c>
      <c r="J1575">
        <v>-300</v>
      </c>
      <c r="K1575">
        <v>-300</v>
      </c>
      <c r="O1575" t="s">
        <v>631</v>
      </c>
      <c r="P1575" t="s">
        <v>820</v>
      </c>
      <c r="Q1575" t="s">
        <v>460</v>
      </c>
      <c r="R1575">
        <v>0</v>
      </c>
    </row>
    <row r="1576" spans="1:18" x14ac:dyDescent="0.3">
      <c r="A1576">
        <v>187553</v>
      </c>
      <c r="B1576" t="s">
        <v>568</v>
      </c>
      <c r="C1576" t="s">
        <v>729</v>
      </c>
      <c r="D1576" t="s">
        <v>2058</v>
      </c>
      <c r="E1576" s="452">
        <v>45992</v>
      </c>
      <c r="F1576" s="452">
        <v>46027</v>
      </c>
      <c r="G1576" t="s">
        <v>280</v>
      </c>
      <c r="H1576" t="s">
        <v>287</v>
      </c>
      <c r="I1576" t="s">
        <v>2159</v>
      </c>
      <c r="J1576">
        <v>-616.03</v>
      </c>
      <c r="K1576">
        <v>-616.03</v>
      </c>
      <c r="O1576" t="s">
        <v>631</v>
      </c>
      <c r="P1576" t="s">
        <v>820</v>
      </c>
      <c r="Q1576" t="s">
        <v>460</v>
      </c>
      <c r="R1576">
        <v>0</v>
      </c>
    </row>
    <row r="1577" spans="1:18" x14ac:dyDescent="0.3">
      <c r="A1577">
        <v>185668</v>
      </c>
      <c r="B1577" t="s">
        <v>568</v>
      </c>
      <c r="C1577" t="s">
        <v>744</v>
      </c>
      <c r="D1577" t="s">
        <v>2160</v>
      </c>
      <c r="E1577" s="452">
        <v>45992</v>
      </c>
      <c r="F1577" s="452">
        <v>46031</v>
      </c>
      <c r="G1577" t="s">
        <v>677</v>
      </c>
      <c r="H1577" t="s">
        <v>678</v>
      </c>
      <c r="I1577" t="s">
        <v>460</v>
      </c>
      <c r="J1577">
        <v>-1500</v>
      </c>
      <c r="K1577">
        <v>-1500</v>
      </c>
      <c r="M1577" t="s">
        <v>746</v>
      </c>
      <c r="N1577" t="s">
        <v>131</v>
      </c>
      <c r="O1577" t="s">
        <v>631</v>
      </c>
      <c r="P1577" t="s">
        <v>820</v>
      </c>
      <c r="Q1577" t="s">
        <v>460</v>
      </c>
      <c r="R1577">
        <v>0</v>
      </c>
    </row>
    <row r="1578" spans="1:18" x14ac:dyDescent="0.3">
      <c r="A1578">
        <v>187551</v>
      </c>
      <c r="B1578" t="s">
        <v>568</v>
      </c>
      <c r="C1578" t="s">
        <v>823</v>
      </c>
      <c r="D1578" t="s">
        <v>2058</v>
      </c>
      <c r="E1578" s="452">
        <v>45992</v>
      </c>
      <c r="F1578" s="452">
        <v>46027</v>
      </c>
      <c r="G1578" t="s">
        <v>280</v>
      </c>
      <c r="H1578" t="s">
        <v>287</v>
      </c>
      <c r="I1578" t="s">
        <v>2161</v>
      </c>
      <c r="J1578">
        <v>-23.8</v>
      </c>
      <c r="K1578">
        <v>-23.8</v>
      </c>
      <c r="O1578" t="s">
        <v>631</v>
      </c>
      <c r="P1578" t="s">
        <v>820</v>
      </c>
      <c r="Q1578" t="s">
        <v>460</v>
      </c>
      <c r="R1578">
        <v>0</v>
      </c>
    </row>
    <row r="1579" spans="1:18" x14ac:dyDescent="0.3">
      <c r="A1579">
        <v>185670</v>
      </c>
      <c r="B1579" t="s">
        <v>568</v>
      </c>
      <c r="C1579" t="s">
        <v>771</v>
      </c>
      <c r="D1579" t="s">
        <v>2162</v>
      </c>
      <c r="E1579" s="452">
        <v>45992</v>
      </c>
      <c r="F1579" s="452">
        <v>46037</v>
      </c>
      <c r="G1579" t="s">
        <v>677</v>
      </c>
      <c r="H1579" t="s">
        <v>678</v>
      </c>
      <c r="I1579" t="s">
        <v>460</v>
      </c>
      <c r="J1579">
        <v>-1750</v>
      </c>
      <c r="K1579">
        <v>-1750</v>
      </c>
      <c r="M1579" t="s">
        <v>772</v>
      </c>
      <c r="N1579" t="s">
        <v>135</v>
      </c>
      <c r="O1579" t="s">
        <v>631</v>
      </c>
      <c r="P1579" t="s">
        <v>820</v>
      </c>
      <c r="Q1579" t="s">
        <v>460</v>
      </c>
      <c r="R1579">
        <v>0</v>
      </c>
    </row>
    <row r="1580" spans="1:18" x14ac:dyDescent="0.3">
      <c r="A1580">
        <v>187163</v>
      </c>
      <c r="B1580" t="s">
        <v>568</v>
      </c>
      <c r="C1580" t="s">
        <v>853</v>
      </c>
      <c r="D1580" t="s">
        <v>2163</v>
      </c>
      <c r="E1580" s="452">
        <v>45992</v>
      </c>
      <c r="F1580" s="452">
        <v>46027</v>
      </c>
      <c r="G1580" t="s">
        <v>931</v>
      </c>
      <c r="H1580" t="s">
        <v>932</v>
      </c>
      <c r="I1580" t="s">
        <v>2148</v>
      </c>
      <c r="J1580">
        <v>-13.14</v>
      </c>
      <c r="K1580">
        <v>-13.14</v>
      </c>
      <c r="O1580" t="s">
        <v>631</v>
      </c>
      <c r="P1580" t="s">
        <v>820</v>
      </c>
      <c r="Q1580" t="s">
        <v>460</v>
      </c>
      <c r="R1580">
        <v>0</v>
      </c>
    </row>
    <row r="1581" spans="1:18" x14ac:dyDescent="0.3">
      <c r="A1581">
        <v>187557</v>
      </c>
      <c r="B1581" t="s">
        <v>568</v>
      </c>
      <c r="C1581" t="s">
        <v>853</v>
      </c>
      <c r="D1581" t="s">
        <v>2164</v>
      </c>
      <c r="E1581" s="452">
        <v>45992</v>
      </c>
      <c r="F1581" s="452">
        <v>46027</v>
      </c>
      <c r="G1581" t="s">
        <v>931</v>
      </c>
      <c r="H1581" t="s">
        <v>932</v>
      </c>
      <c r="I1581" t="s">
        <v>2148</v>
      </c>
      <c r="J1581">
        <v>-5.94</v>
      </c>
      <c r="K1581">
        <v>-5.94</v>
      </c>
      <c r="O1581" t="s">
        <v>631</v>
      </c>
      <c r="P1581" t="s">
        <v>820</v>
      </c>
      <c r="Q1581" t="s">
        <v>460</v>
      </c>
      <c r="R1581">
        <v>0</v>
      </c>
    </row>
    <row r="1582" spans="1:18" x14ac:dyDescent="0.3">
      <c r="A1582">
        <v>188002</v>
      </c>
      <c r="B1582" t="s">
        <v>568</v>
      </c>
      <c r="C1582" t="s">
        <v>1068</v>
      </c>
      <c r="E1582" s="452">
        <v>45992</v>
      </c>
      <c r="F1582" s="452">
        <v>45992</v>
      </c>
      <c r="G1582" t="s">
        <v>280</v>
      </c>
      <c r="H1582" t="s">
        <v>285</v>
      </c>
      <c r="I1582" t="s">
        <v>1201</v>
      </c>
      <c r="J1582">
        <v>-60</v>
      </c>
      <c r="K1582">
        <v>-60</v>
      </c>
      <c r="O1582" t="s">
        <v>631</v>
      </c>
      <c r="P1582" t="s">
        <v>820</v>
      </c>
      <c r="Q1582" t="s">
        <v>460</v>
      </c>
      <c r="R1582">
        <v>0</v>
      </c>
    </row>
    <row r="1583" spans="1:18" x14ac:dyDescent="0.3">
      <c r="A1583">
        <v>191011</v>
      </c>
      <c r="B1583" t="s">
        <v>568</v>
      </c>
      <c r="C1583" t="s">
        <v>606</v>
      </c>
      <c r="D1583" t="s">
        <v>1852</v>
      </c>
      <c r="E1583" s="452">
        <v>45992</v>
      </c>
      <c r="F1583" s="452">
        <v>46073</v>
      </c>
      <c r="G1583" t="s">
        <v>257</v>
      </c>
      <c r="H1583" t="s">
        <v>258</v>
      </c>
      <c r="I1583" t="s">
        <v>2165</v>
      </c>
      <c r="J1583">
        <v>-9066.74</v>
      </c>
      <c r="K1583">
        <v>-9066.74</v>
      </c>
      <c r="O1583" t="s">
        <v>631</v>
      </c>
      <c r="P1583" t="s">
        <v>820</v>
      </c>
      <c r="Q1583" t="s">
        <v>460</v>
      </c>
      <c r="R1583">
        <v>0</v>
      </c>
    </row>
    <row r="1584" spans="1:18" x14ac:dyDescent="0.3">
      <c r="A1584">
        <v>188003</v>
      </c>
      <c r="B1584" t="s">
        <v>568</v>
      </c>
      <c r="C1584" t="s">
        <v>1068</v>
      </c>
      <c r="E1584" s="452">
        <v>45992</v>
      </c>
      <c r="F1584" s="452">
        <v>45992</v>
      </c>
      <c r="G1584" t="s">
        <v>280</v>
      </c>
      <c r="H1584" t="s">
        <v>285</v>
      </c>
      <c r="I1584" t="s">
        <v>1202</v>
      </c>
      <c r="J1584">
        <v>-40</v>
      </c>
      <c r="K1584">
        <v>-40</v>
      </c>
      <c r="O1584" t="s">
        <v>631</v>
      </c>
      <c r="P1584" t="s">
        <v>820</v>
      </c>
      <c r="Q1584" t="s">
        <v>460</v>
      </c>
      <c r="R1584">
        <v>0</v>
      </c>
    </row>
    <row r="1585" spans="1:18" x14ac:dyDescent="0.3">
      <c r="A1585">
        <v>185671</v>
      </c>
      <c r="B1585" t="s">
        <v>568</v>
      </c>
      <c r="C1585" t="s">
        <v>676</v>
      </c>
      <c r="D1585" t="s">
        <v>2166</v>
      </c>
      <c r="E1585" s="452">
        <v>45992</v>
      </c>
      <c r="F1585" s="452">
        <v>46023</v>
      </c>
      <c r="G1585" t="s">
        <v>677</v>
      </c>
      <c r="H1585" t="s">
        <v>678</v>
      </c>
      <c r="I1585" t="s">
        <v>460</v>
      </c>
      <c r="J1585">
        <v>-2700</v>
      </c>
      <c r="K1585">
        <v>-2700</v>
      </c>
      <c r="M1585" t="s">
        <v>680</v>
      </c>
      <c r="N1585" t="s">
        <v>134</v>
      </c>
      <c r="O1585" t="s">
        <v>631</v>
      </c>
      <c r="Q1585" t="s">
        <v>460</v>
      </c>
      <c r="R1585">
        <v>0</v>
      </c>
    </row>
    <row r="1586" spans="1:18" x14ac:dyDescent="0.3">
      <c r="A1586">
        <v>188812</v>
      </c>
      <c r="B1586" t="s">
        <v>568</v>
      </c>
      <c r="C1586" t="s">
        <v>676</v>
      </c>
      <c r="D1586" t="s">
        <v>2087</v>
      </c>
      <c r="E1586" s="452">
        <v>45992</v>
      </c>
      <c r="F1586" s="452">
        <v>46047</v>
      </c>
      <c r="G1586" t="s">
        <v>705</v>
      </c>
      <c r="H1586" t="s">
        <v>114</v>
      </c>
      <c r="I1586" t="s">
        <v>2167</v>
      </c>
      <c r="J1586">
        <v>-5550</v>
      </c>
      <c r="K1586">
        <v>-5550</v>
      </c>
      <c r="M1586" t="s">
        <v>680</v>
      </c>
      <c r="N1586" t="s">
        <v>134</v>
      </c>
      <c r="O1586" t="s">
        <v>631</v>
      </c>
      <c r="P1586" t="s">
        <v>820</v>
      </c>
      <c r="Q1586" t="s">
        <v>460</v>
      </c>
      <c r="R1586">
        <v>0</v>
      </c>
    </row>
    <row r="1587" spans="1:18" x14ac:dyDescent="0.3">
      <c r="A1587">
        <v>188004</v>
      </c>
      <c r="B1587" t="s">
        <v>568</v>
      </c>
      <c r="C1587" t="s">
        <v>1068</v>
      </c>
      <c r="E1587" s="452">
        <v>45992</v>
      </c>
      <c r="F1587" s="452">
        <v>45992</v>
      </c>
      <c r="G1587" t="s">
        <v>280</v>
      </c>
      <c r="H1587" t="s">
        <v>285</v>
      </c>
      <c r="I1587" t="s">
        <v>1200</v>
      </c>
      <c r="J1587">
        <v>-160</v>
      </c>
      <c r="K1587">
        <v>-160</v>
      </c>
      <c r="O1587" t="s">
        <v>631</v>
      </c>
      <c r="P1587" t="s">
        <v>820</v>
      </c>
      <c r="Q1587" t="s">
        <v>460</v>
      </c>
      <c r="R1587">
        <v>0</v>
      </c>
    </row>
    <row r="1588" spans="1:18" x14ac:dyDescent="0.3">
      <c r="A1588">
        <v>179985</v>
      </c>
      <c r="B1588" t="s">
        <v>568</v>
      </c>
      <c r="C1588" t="s">
        <v>2168</v>
      </c>
      <c r="D1588" t="s">
        <v>2169</v>
      </c>
      <c r="E1588" s="452">
        <v>45992</v>
      </c>
      <c r="F1588" s="452">
        <v>46006</v>
      </c>
      <c r="G1588" t="s">
        <v>677</v>
      </c>
      <c r="H1588" t="s">
        <v>678</v>
      </c>
      <c r="I1588" t="s">
        <v>2170</v>
      </c>
      <c r="J1588">
        <v>-2274.94</v>
      </c>
      <c r="K1588">
        <v>-2274.9699999999998</v>
      </c>
      <c r="M1588" t="s">
        <v>772</v>
      </c>
      <c r="N1588" t="s">
        <v>135</v>
      </c>
      <c r="O1588" t="s">
        <v>631</v>
      </c>
      <c r="P1588" t="s">
        <v>820</v>
      </c>
      <c r="Q1588" t="s">
        <v>460</v>
      </c>
      <c r="R1588">
        <v>0</v>
      </c>
    </row>
    <row r="1589" spans="1:18" x14ac:dyDescent="0.3">
      <c r="A1589">
        <v>188005</v>
      </c>
      <c r="B1589" t="s">
        <v>568</v>
      </c>
      <c r="C1589" t="s">
        <v>1068</v>
      </c>
      <c r="E1589" s="452">
        <v>45992</v>
      </c>
      <c r="F1589" s="452">
        <v>45993</v>
      </c>
      <c r="G1589" t="s">
        <v>280</v>
      </c>
      <c r="H1589" t="s">
        <v>285</v>
      </c>
      <c r="I1589" t="s">
        <v>1098</v>
      </c>
      <c r="J1589">
        <v>-53.47</v>
      </c>
      <c r="K1589">
        <v>-53.47</v>
      </c>
      <c r="O1589" t="s">
        <v>631</v>
      </c>
      <c r="P1589" t="s">
        <v>820</v>
      </c>
      <c r="Q1589" t="s">
        <v>460</v>
      </c>
      <c r="R1589">
        <v>0</v>
      </c>
    </row>
    <row r="1590" spans="1:18" x14ac:dyDescent="0.3">
      <c r="A1590">
        <v>101309</v>
      </c>
      <c r="B1590" t="s">
        <v>568</v>
      </c>
      <c r="C1590" t="s">
        <v>662</v>
      </c>
      <c r="D1590" t="s">
        <v>2171</v>
      </c>
      <c r="E1590" s="452">
        <v>45992</v>
      </c>
      <c r="F1590" s="452">
        <v>46014</v>
      </c>
      <c r="G1590" t="s">
        <v>280</v>
      </c>
      <c r="H1590" t="s">
        <v>284</v>
      </c>
      <c r="I1590" t="s">
        <v>2172</v>
      </c>
      <c r="J1590">
        <v>-181.27</v>
      </c>
      <c r="K1590">
        <v>-194.13</v>
      </c>
      <c r="O1590" t="s">
        <v>631</v>
      </c>
      <c r="P1590" t="s">
        <v>820</v>
      </c>
      <c r="Q1590" t="s">
        <v>460</v>
      </c>
      <c r="R1590">
        <v>0</v>
      </c>
    </row>
    <row r="1591" spans="1:18" x14ac:dyDescent="0.3">
      <c r="A1591">
        <v>184179</v>
      </c>
      <c r="B1591" t="s">
        <v>568</v>
      </c>
      <c r="C1591" t="s">
        <v>1314</v>
      </c>
      <c r="D1591" t="s">
        <v>2173</v>
      </c>
      <c r="E1591" s="452">
        <v>45992</v>
      </c>
      <c r="F1591" s="452">
        <v>46013</v>
      </c>
      <c r="G1591" t="s">
        <v>297</v>
      </c>
      <c r="H1591" t="s">
        <v>305</v>
      </c>
      <c r="I1591" t="s">
        <v>2174</v>
      </c>
      <c r="J1591">
        <v>-2035</v>
      </c>
      <c r="K1591">
        <v>-2035</v>
      </c>
      <c r="O1591" t="s">
        <v>631</v>
      </c>
      <c r="P1591" t="s">
        <v>820</v>
      </c>
      <c r="Q1591" t="s">
        <v>460</v>
      </c>
      <c r="R1591">
        <v>0</v>
      </c>
    </row>
    <row r="1592" spans="1:18" x14ac:dyDescent="0.3">
      <c r="A1592">
        <v>101267</v>
      </c>
      <c r="B1592" t="s">
        <v>568</v>
      </c>
      <c r="C1592" t="s">
        <v>1938</v>
      </c>
      <c r="D1592" t="s">
        <v>2175</v>
      </c>
      <c r="E1592" s="452">
        <v>45992</v>
      </c>
      <c r="F1592" s="452">
        <v>46042</v>
      </c>
      <c r="G1592" t="s">
        <v>319</v>
      </c>
      <c r="H1592" t="s">
        <v>320</v>
      </c>
      <c r="I1592" t="s">
        <v>2176</v>
      </c>
      <c r="J1592">
        <v>-292.87</v>
      </c>
      <c r="K1592">
        <v>-292.87</v>
      </c>
      <c r="O1592" t="s">
        <v>631</v>
      </c>
      <c r="P1592" t="s">
        <v>820</v>
      </c>
      <c r="Q1592" t="s">
        <v>460</v>
      </c>
      <c r="R1592">
        <v>0</v>
      </c>
    </row>
    <row r="1593" spans="1:18" x14ac:dyDescent="0.3">
      <c r="A1593">
        <v>101254</v>
      </c>
      <c r="B1593" t="s">
        <v>568</v>
      </c>
      <c r="C1593" t="s">
        <v>757</v>
      </c>
      <c r="D1593" t="s">
        <v>2177</v>
      </c>
      <c r="E1593" s="452">
        <v>45992</v>
      </c>
      <c r="F1593" s="452">
        <v>46006</v>
      </c>
      <c r="G1593" t="s">
        <v>309</v>
      </c>
      <c r="H1593" t="s">
        <v>317</v>
      </c>
      <c r="J1593">
        <v>-450</v>
      </c>
      <c r="K1593">
        <v>-460.19</v>
      </c>
      <c r="O1593" t="s">
        <v>631</v>
      </c>
      <c r="P1593" t="s">
        <v>820</v>
      </c>
      <c r="Q1593" t="s">
        <v>460</v>
      </c>
      <c r="R1593">
        <v>0</v>
      </c>
    </row>
    <row r="1594" spans="1:18" x14ac:dyDescent="0.3">
      <c r="A1594">
        <v>100206</v>
      </c>
      <c r="B1594" t="s">
        <v>568</v>
      </c>
      <c r="C1594" t="s">
        <v>1798</v>
      </c>
      <c r="D1594" t="s">
        <v>2178</v>
      </c>
      <c r="E1594" s="452">
        <v>45992</v>
      </c>
      <c r="F1594" s="452">
        <v>46027</v>
      </c>
      <c r="G1594" t="s">
        <v>309</v>
      </c>
      <c r="H1594" t="s">
        <v>317</v>
      </c>
      <c r="I1594" t="s">
        <v>2179</v>
      </c>
      <c r="J1594">
        <v>-200</v>
      </c>
      <c r="K1594">
        <v>-200</v>
      </c>
      <c r="O1594" t="s">
        <v>631</v>
      </c>
      <c r="P1594" t="s">
        <v>820</v>
      </c>
      <c r="Q1594" t="s">
        <v>460</v>
      </c>
      <c r="R1594">
        <v>0</v>
      </c>
    </row>
    <row r="1595" spans="1:18" x14ac:dyDescent="0.3">
      <c r="A1595">
        <v>99339</v>
      </c>
      <c r="B1595" t="s">
        <v>568</v>
      </c>
      <c r="C1595" t="s">
        <v>569</v>
      </c>
      <c r="E1595" s="452">
        <v>45992</v>
      </c>
      <c r="F1595" s="452">
        <v>46001</v>
      </c>
      <c r="G1595" t="s">
        <v>257</v>
      </c>
      <c r="H1595" t="s">
        <v>263</v>
      </c>
      <c r="I1595" t="s">
        <v>570</v>
      </c>
      <c r="J1595">
        <v>-12000</v>
      </c>
      <c r="K1595">
        <v>-12000</v>
      </c>
      <c r="O1595" t="s">
        <v>631</v>
      </c>
      <c r="P1595" t="s">
        <v>820</v>
      </c>
      <c r="Q1595" t="s">
        <v>460</v>
      </c>
      <c r="R1595">
        <v>0</v>
      </c>
    </row>
    <row r="1596" spans="1:18" x14ac:dyDescent="0.3">
      <c r="A1596">
        <v>184180</v>
      </c>
      <c r="B1596" t="s">
        <v>568</v>
      </c>
      <c r="C1596" t="s">
        <v>1314</v>
      </c>
      <c r="D1596" t="s">
        <v>2180</v>
      </c>
      <c r="E1596" s="452">
        <v>45992</v>
      </c>
      <c r="F1596" s="452">
        <v>46013</v>
      </c>
      <c r="G1596" t="s">
        <v>297</v>
      </c>
      <c r="H1596" t="s">
        <v>305</v>
      </c>
      <c r="I1596" t="s">
        <v>2181</v>
      </c>
      <c r="J1596">
        <v>-148.5</v>
      </c>
      <c r="K1596">
        <v>-148.5</v>
      </c>
      <c r="O1596" t="s">
        <v>631</v>
      </c>
      <c r="P1596" t="s">
        <v>820</v>
      </c>
      <c r="Q1596" t="s">
        <v>460</v>
      </c>
      <c r="R1596">
        <v>0</v>
      </c>
    </row>
    <row r="1597" spans="1:18" x14ac:dyDescent="0.3">
      <c r="A1597">
        <v>186839</v>
      </c>
      <c r="B1597" t="s">
        <v>568</v>
      </c>
      <c r="C1597" t="s">
        <v>853</v>
      </c>
      <c r="D1597" t="s">
        <v>2182</v>
      </c>
      <c r="E1597" s="452">
        <v>45992</v>
      </c>
      <c r="F1597" s="452">
        <v>46027</v>
      </c>
      <c r="G1597" t="s">
        <v>265</v>
      </c>
      <c r="H1597" t="s">
        <v>270</v>
      </c>
      <c r="I1597" t="s">
        <v>2183</v>
      </c>
      <c r="J1597">
        <v>-400</v>
      </c>
      <c r="K1597">
        <v>-400</v>
      </c>
      <c r="O1597" t="s">
        <v>631</v>
      </c>
      <c r="P1597" t="s">
        <v>820</v>
      </c>
      <c r="Q1597" t="s">
        <v>460</v>
      </c>
      <c r="R1597">
        <v>0</v>
      </c>
    </row>
    <row r="1598" spans="1:18" x14ac:dyDescent="0.3">
      <c r="A1598">
        <v>186846</v>
      </c>
      <c r="B1598" t="s">
        <v>568</v>
      </c>
      <c r="C1598" t="s">
        <v>853</v>
      </c>
      <c r="D1598" t="s">
        <v>2184</v>
      </c>
      <c r="E1598" s="452">
        <v>45992</v>
      </c>
      <c r="F1598" s="452">
        <v>46027</v>
      </c>
      <c r="G1598" t="s">
        <v>931</v>
      </c>
      <c r="H1598" t="s">
        <v>932</v>
      </c>
      <c r="I1598" t="s">
        <v>2185</v>
      </c>
      <c r="J1598">
        <v>-10.8</v>
      </c>
      <c r="K1598">
        <v>-10.8</v>
      </c>
      <c r="O1598" t="s">
        <v>631</v>
      </c>
      <c r="P1598" t="s">
        <v>820</v>
      </c>
      <c r="Q1598" t="s">
        <v>460</v>
      </c>
      <c r="R1598">
        <v>0</v>
      </c>
    </row>
    <row r="1599" spans="1:18" x14ac:dyDescent="0.3">
      <c r="A1599">
        <v>178293</v>
      </c>
      <c r="B1599" t="s">
        <v>568</v>
      </c>
      <c r="C1599" t="s">
        <v>685</v>
      </c>
      <c r="D1599" t="s">
        <v>2186</v>
      </c>
      <c r="E1599" s="452">
        <v>45992</v>
      </c>
      <c r="F1599" s="452">
        <v>46021</v>
      </c>
      <c r="G1599" t="s">
        <v>672</v>
      </c>
      <c r="H1599" t="s">
        <v>243</v>
      </c>
      <c r="I1599" t="s">
        <v>460</v>
      </c>
      <c r="J1599">
        <v>-69.22</v>
      </c>
      <c r="K1599">
        <v>-69.22</v>
      </c>
      <c r="O1599" t="s">
        <v>631</v>
      </c>
      <c r="P1599" t="s">
        <v>820</v>
      </c>
      <c r="Q1599" t="s">
        <v>460</v>
      </c>
      <c r="R1599">
        <v>0</v>
      </c>
    </row>
    <row r="1600" spans="1:18" x14ac:dyDescent="0.3">
      <c r="A1600">
        <v>186845</v>
      </c>
      <c r="B1600" t="s">
        <v>568</v>
      </c>
      <c r="C1600" t="s">
        <v>853</v>
      </c>
      <c r="D1600" t="s">
        <v>2187</v>
      </c>
      <c r="E1600" s="452">
        <v>45992</v>
      </c>
      <c r="F1600" s="452">
        <v>46027</v>
      </c>
      <c r="G1600" t="s">
        <v>931</v>
      </c>
      <c r="H1600" t="s">
        <v>932</v>
      </c>
      <c r="I1600" t="s">
        <v>2188</v>
      </c>
      <c r="J1600">
        <v>-9.4600000000000009</v>
      </c>
      <c r="K1600">
        <v>-9.4600000000000009</v>
      </c>
      <c r="O1600" t="s">
        <v>631</v>
      </c>
      <c r="P1600" t="s">
        <v>820</v>
      </c>
      <c r="Q1600" t="s">
        <v>460</v>
      </c>
      <c r="R1600">
        <v>0</v>
      </c>
    </row>
    <row r="1601" spans="1:18" x14ac:dyDescent="0.3">
      <c r="A1601">
        <v>179243</v>
      </c>
      <c r="B1601" t="s">
        <v>568</v>
      </c>
      <c r="C1601" t="s">
        <v>606</v>
      </c>
      <c r="D1601" t="s">
        <v>2189</v>
      </c>
      <c r="E1601" s="452">
        <v>45992</v>
      </c>
      <c r="F1601" s="452">
        <v>46032</v>
      </c>
      <c r="G1601" t="s">
        <v>257</v>
      </c>
      <c r="H1601" t="s">
        <v>260</v>
      </c>
      <c r="I1601" t="s">
        <v>2190</v>
      </c>
      <c r="J1601">
        <v>-2717.77</v>
      </c>
      <c r="K1601">
        <v>-2717.77</v>
      </c>
      <c r="O1601" t="s">
        <v>631</v>
      </c>
      <c r="P1601" t="s">
        <v>820</v>
      </c>
      <c r="Q1601" t="s">
        <v>460</v>
      </c>
      <c r="R1601">
        <v>0</v>
      </c>
    </row>
    <row r="1602" spans="1:18" x14ac:dyDescent="0.3">
      <c r="A1602">
        <v>179577</v>
      </c>
      <c r="B1602" t="s">
        <v>568</v>
      </c>
      <c r="C1602" t="s">
        <v>2191</v>
      </c>
      <c r="D1602" t="s">
        <v>2192</v>
      </c>
      <c r="E1602" s="452">
        <v>45992</v>
      </c>
      <c r="F1602" s="452">
        <v>45999</v>
      </c>
      <c r="G1602" t="s">
        <v>931</v>
      </c>
      <c r="H1602" t="s">
        <v>932</v>
      </c>
      <c r="I1602" t="s">
        <v>2193</v>
      </c>
      <c r="J1602">
        <v>-972</v>
      </c>
      <c r="K1602">
        <v>-997.2</v>
      </c>
      <c r="O1602" t="s">
        <v>631</v>
      </c>
      <c r="P1602" t="s">
        <v>820</v>
      </c>
      <c r="Q1602" t="s">
        <v>460</v>
      </c>
      <c r="R1602">
        <v>0</v>
      </c>
    </row>
    <row r="1603" spans="1:18" x14ac:dyDescent="0.3">
      <c r="A1603">
        <v>186844</v>
      </c>
      <c r="B1603" t="s">
        <v>568</v>
      </c>
      <c r="C1603" t="s">
        <v>853</v>
      </c>
      <c r="D1603" t="s">
        <v>2194</v>
      </c>
      <c r="E1603" s="452">
        <v>45992</v>
      </c>
      <c r="F1603" s="452">
        <v>46027</v>
      </c>
      <c r="G1603" t="s">
        <v>931</v>
      </c>
      <c r="H1603" t="s">
        <v>932</v>
      </c>
      <c r="I1603" t="s">
        <v>2195</v>
      </c>
      <c r="J1603">
        <v>-9.15</v>
      </c>
      <c r="K1603">
        <v>-9.15</v>
      </c>
      <c r="O1603" t="s">
        <v>631</v>
      </c>
      <c r="P1603" t="s">
        <v>820</v>
      </c>
      <c r="Q1603" t="s">
        <v>460</v>
      </c>
      <c r="R1603">
        <v>0</v>
      </c>
    </row>
    <row r="1604" spans="1:18" x14ac:dyDescent="0.3">
      <c r="A1604">
        <v>186843</v>
      </c>
      <c r="B1604" t="s">
        <v>568</v>
      </c>
      <c r="C1604" t="s">
        <v>853</v>
      </c>
      <c r="D1604" t="s">
        <v>2196</v>
      </c>
      <c r="E1604" s="452">
        <v>45992</v>
      </c>
      <c r="F1604" s="452">
        <v>46027</v>
      </c>
      <c r="G1604" t="s">
        <v>931</v>
      </c>
      <c r="H1604" t="s">
        <v>932</v>
      </c>
      <c r="I1604" t="s">
        <v>2195</v>
      </c>
      <c r="J1604">
        <v>-5.98</v>
      </c>
      <c r="K1604">
        <v>-5.98</v>
      </c>
      <c r="O1604" t="s">
        <v>631</v>
      </c>
      <c r="P1604" t="s">
        <v>820</v>
      </c>
      <c r="Q1604" t="s">
        <v>460</v>
      </c>
      <c r="R1604">
        <v>0</v>
      </c>
    </row>
    <row r="1605" spans="1:18" x14ac:dyDescent="0.3">
      <c r="A1605">
        <v>186842</v>
      </c>
      <c r="B1605" t="s">
        <v>568</v>
      </c>
      <c r="C1605" t="s">
        <v>853</v>
      </c>
      <c r="D1605" t="s">
        <v>2197</v>
      </c>
      <c r="E1605" s="452">
        <v>45992</v>
      </c>
      <c r="F1605" s="452">
        <v>46027</v>
      </c>
      <c r="G1605" t="s">
        <v>931</v>
      </c>
      <c r="H1605" t="s">
        <v>932</v>
      </c>
      <c r="I1605" t="s">
        <v>2198</v>
      </c>
      <c r="J1605">
        <v>-18.690000000000001</v>
      </c>
      <c r="K1605">
        <v>-18.690000000000001</v>
      </c>
      <c r="O1605" t="s">
        <v>631</v>
      </c>
      <c r="P1605" t="s">
        <v>820</v>
      </c>
      <c r="Q1605" t="s">
        <v>460</v>
      </c>
      <c r="R1605">
        <v>0</v>
      </c>
    </row>
    <row r="1606" spans="1:18" x14ac:dyDescent="0.3">
      <c r="A1606">
        <v>186841</v>
      </c>
      <c r="B1606" t="s">
        <v>568</v>
      </c>
      <c r="C1606" t="s">
        <v>853</v>
      </c>
      <c r="D1606" t="s">
        <v>2199</v>
      </c>
      <c r="E1606" s="452">
        <v>45992</v>
      </c>
      <c r="F1606" s="452">
        <v>46027</v>
      </c>
      <c r="G1606" t="s">
        <v>683</v>
      </c>
      <c r="H1606" t="s">
        <v>292</v>
      </c>
      <c r="I1606" t="s">
        <v>2200</v>
      </c>
      <c r="J1606">
        <v>-281</v>
      </c>
      <c r="K1606">
        <v>-281</v>
      </c>
      <c r="O1606" t="s">
        <v>631</v>
      </c>
      <c r="P1606" t="s">
        <v>820</v>
      </c>
      <c r="Q1606" t="s">
        <v>460</v>
      </c>
      <c r="R1606">
        <v>0</v>
      </c>
    </row>
    <row r="1607" spans="1:18" x14ac:dyDescent="0.3">
      <c r="A1607">
        <v>186840</v>
      </c>
      <c r="B1607" t="s">
        <v>568</v>
      </c>
      <c r="C1607" t="s">
        <v>853</v>
      </c>
      <c r="D1607" t="s">
        <v>2201</v>
      </c>
      <c r="E1607" s="452">
        <v>45992</v>
      </c>
      <c r="F1607" s="452">
        <v>46027</v>
      </c>
      <c r="G1607" t="s">
        <v>683</v>
      </c>
      <c r="H1607" t="s">
        <v>292</v>
      </c>
      <c r="I1607" t="s">
        <v>2202</v>
      </c>
      <c r="J1607">
        <v>-40</v>
      </c>
      <c r="K1607">
        <v>-40</v>
      </c>
      <c r="O1607" t="s">
        <v>631</v>
      </c>
      <c r="P1607" t="s">
        <v>820</v>
      </c>
      <c r="Q1607" t="s">
        <v>460</v>
      </c>
      <c r="R1607">
        <v>0</v>
      </c>
    </row>
    <row r="1608" spans="1:18" x14ac:dyDescent="0.3">
      <c r="A1608">
        <v>186847</v>
      </c>
      <c r="B1608" t="s">
        <v>568</v>
      </c>
      <c r="C1608" t="s">
        <v>853</v>
      </c>
      <c r="D1608" t="s">
        <v>2203</v>
      </c>
      <c r="E1608" s="452">
        <v>45992</v>
      </c>
      <c r="F1608" s="452">
        <v>46027</v>
      </c>
      <c r="G1608" t="s">
        <v>683</v>
      </c>
      <c r="H1608" t="s">
        <v>292</v>
      </c>
      <c r="I1608" t="s">
        <v>2204</v>
      </c>
      <c r="J1608">
        <v>-360</v>
      </c>
      <c r="K1608">
        <v>-360</v>
      </c>
      <c r="O1608" t="s">
        <v>631</v>
      </c>
      <c r="P1608" t="s">
        <v>820</v>
      </c>
      <c r="Q1608" t="s">
        <v>460</v>
      </c>
      <c r="R1608">
        <v>0</v>
      </c>
    </row>
    <row r="1609" spans="1:18" x14ac:dyDescent="0.3">
      <c r="A1609">
        <v>186838</v>
      </c>
      <c r="B1609" t="s">
        <v>568</v>
      </c>
      <c r="C1609" t="s">
        <v>853</v>
      </c>
      <c r="D1609" t="s">
        <v>2205</v>
      </c>
      <c r="E1609" s="452">
        <v>45992</v>
      </c>
      <c r="F1609" s="452">
        <v>46027</v>
      </c>
      <c r="G1609" t="s">
        <v>265</v>
      </c>
      <c r="H1609" t="s">
        <v>270</v>
      </c>
      <c r="I1609" t="s">
        <v>2206</v>
      </c>
      <c r="J1609">
        <v>-25</v>
      </c>
      <c r="K1609">
        <v>-25</v>
      </c>
      <c r="O1609" t="s">
        <v>631</v>
      </c>
      <c r="P1609" t="s">
        <v>820</v>
      </c>
      <c r="Q1609" t="s">
        <v>460</v>
      </c>
      <c r="R1609">
        <v>0</v>
      </c>
    </row>
    <row r="1610" spans="1:18" x14ac:dyDescent="0.3">
      <c r="A1610">
        <v>186837</v>
      </c>
      <c r="B1610" t="s">
        <v>568</v>
      </c>
      <c r="C1610" t="s">
        <v>853</v>
      </c>
      <c r="D1610" t="s">
        <v>2207</v>
      </c>
      <c r="E1610" s="452">
        <v>45992</v>
      </c>
      <c r="F1610" s="452">
        <v>46027</v>
      </c>
      <c r="G1610" t="s">
        <v>931</v>
      </c>
      <c r="H1610" t="s">
        <v>932</v>
      </c>
      <c r="I1610" t="s">
        <v>2208</v>
      </c>
      <c r="J1610">
        <v>-21.98</v>
      </c>
      <c r="K1610">
        <v>-21.98</v>
      </c>
      <c r="O1610" t="s">
        <v>631</v>
      </c>
      <c r="P1610" t="s">
        <v>820</v>
      </c>
      <c r="Q1610" t="s">
        <v>460</v>
      </c>
      <c r="R1610">
        <v>0</v>
      </c>
    </row>
    <row r="1611" spans="1:18" x14ac:dyDescent="0.3">
      <c r="A1611">
        <v>186836</v>
      </c>
      <c r="B1611" t="s">
        <v>568</v>
      </c>
      <c r="C1611" t="s">
        <v>853</v>
      </c>
      <c r="D1611" t="s">
        <v>2209</v>
      </c>
      <c r="E1611" s="452">
        <v>45992</v>
      </c>
      <c r="F1611" s="452">
        <v>46027</v>
      </c>
      <c r="G1611" t="s">
        <v>265</v>
      </c>
      <c r="H1611" t="s">
        <v>270</v>
      </c>
      <c r="I1611" t="s">
        <v>2210</v>
      </c>
      <c r="J1611">
        <v>-74.5</v>
      </c>
      <c r="K1611">
        <v>-74.5</v>
      </c>
      <c r="O1611" t="s">
        <v>631</v>
      </c>
      <c r="P1611" t="s">
        <v>820</v>
      </c>
      <c r="Q1611" t="s">
        <v>460</v>
      </c>
      <c r="R1611">
        <v>0</v>
      </c>
    </row>
    <row r="1612" spans="1:18" x14ac:dyDescent="0.3">
      <c r="A1612">
        <v>186834</v>
      </c>
      <c r="B1612" t="s">
        <v>568</v>
      </c>
      <c r="C1612" t="s">
        <v>853</v>
      </c>
      <c r="D1612" t="s">
        <v>2211</v>
      </c>
      <c r="E1612" s="452">
        <v>45992</v>
      </c>
      <c r="F1612" s="452">
        <v>46027</v>
      </c>
      <c r="G1612" t="s">
        <v>931</v>
      </c>
      <c r="H1612" t="s">
        <v>932</v>
      </c>
      <c r="I1612" t="s">
        <v>2212</v>
      </c>
      <c r="J1612">
        <v>-62.9</v>
      </c>
      <c r="K1612">
        <v>-62.9</v>
      </c>
      <c r="O1612" t="s">
        <v>631</v>
      </c>
      <c r="P1612" t="s">
        <v>820</v>
      </c>
      <c r="Q1612" t="s">
        <v>460</v>
      </c>
      <c r="R1612">
        <v>0</v>
      </c>
    </row>
    <row r="1613" spans="1:18" x14ac:dyDescent="0.3">
      <c r="A1613">
        <v>186833</v>
      </c>
      <c r="B1613" t="s">
        <v>568</v>
      </c>
      <c r="C1613" t="s">
        <v>853</v>
      </c>
      <c r="D1613" t="s">
        <v>2213</v>
      </c>
      <c r="E1613" s="452">
        <v>45992</v>
      </c>
      <c r="F1613" s="452">
        <v>46027</v>
      </c>
      <c r="G1613" t="s">
        <v>265</v>
      </c>
      <c r="H1613" t="s">
        <v>273</v>
      </c>
      <c r="I1613" t="s">
        <v>2214</v>
      </c>
      <c r="J1613">
        <v>-12</v>
      </c>
      <c r="K1613">
        <v>-12</v>
      </c>
      <c r="O1613" t="s">
        <v>631</v>
      </c>
      <c r="P1613" t="s">
        <v>820</v>
      </c>
      <c r="Q1613" t="s">
        <v>460</v>
      </c>
      <c r="R1613">
        <v>0</v>
      </c>
    </row>
    <row r="1614" spans="1:18" x14ac:dyDescent="0.3">
      <c r="A1614">
        <v>186832</v>
      </c>
      <c r="B1614" t="s">
        <v>568</v>
      </c>
      <c r="C1614" t="s">
        <v>853</v>
      </c>
      <c r="D1614" t="s">
        <v>2215</v>
      </c>
      <c r="E1614" s="452">
        <v>45992</v>
      </c>
      <c r="F1614" s="452">
        <v>46027</v>
      </c>
      <c r="G1614" t="s">
        <v>265</v>
      </c>
      <c r="H1614" t="s">
        <v>270</v>
      </c>
      <c r="I1614" t="s">
        <v>2214</v>
      </c>
      <c r="J1614">
        <v>-72</v>
      </c>
      <c r="K1614">
        <v>-72</v>
      </c>
      <c r="O1614" t="s">
        <v>631</v>
      </c>
      <c r="P1614" t="s">
        <v>820</v>
      </c>
      <c r="Q1614" t="s">
        <v>460</v>
      </c>
      <c r="R1614">
        <v>0</v>
      </c>
    </row>
    <row r="1615" spans="1:18" x14ac:dyDescent="0.3">
      <c r="A1615">
        <v>186831</v>
      </c>
      <c r="B1615" t="s">
        <v>568</v>
      </c>
      <c r="C1615" t="s">
        <v>853</v>
      </c>
      <c r="D1615" t="s">
        <v>2216</v>
      </c>
      <c r="E1615" s="452">
        <v>45992</v>
      </c>
      <c r="F1615" s="452">
        <v>46027</v>
      </c>
      <c r="G1615" t="s">
        <v>683</v>
      </c>
      <c r="H1615" t="s">
        <v>292</v>
      </c>
      <c r="I1615" t="s">
        <v>2217</v>
      </c>
      <c r="J1615">
        <v>-43.9</v>
      </c>
      <c r="K1615">
        <v>-43.9</v>
      </c>
      <c r="O1615" t="s">
        <v>631</v>
      </c>
      <c r="P1615" t="s">
        <v>820</v>
      </c>
      <c r="Q1615" t="s">
        <v>460</v>
      </c>
      <c r="R1615">
        <v>0</v>
      </c>
    </row>
    <row r="1616" spans="1:18" x14ac:dyDescent="0.3">
      <c r="A1616">
        <v>186830</v>
      </c>
      <c r="B1616" t="s">
        <v>568</v>
      </c>
      <c r="C1616" t="s">
        <v>853</v>
      </c>
      <c r="D1616" t="s">
        <v>2218</v>
      </c>
      <c r="E1616" s="452">
        <v>45992</v>
      </c>
      <c r="F1616" s="452">
        <v>46027</v>
      </c>
      <c r="G1616" t="s">
        <v>683</v>
      </c>
      <c r="H1616" t="s">
        <v>292</v>
      </c>
      <c r="I1616" t="s">
        <v>2219</v>
      </c>
      <c r="J1616">
        <v>-146</v>
      </c>
      <c r="K1616">
        <v>-146</v>
      </c>
      <c r="O1616" t="s">
        <v>631</v>
      </c>
      <c r="P1616" t="s">
        <v>820</v>
      </c>
      <c r="Q1616" t="s">
        <v>460</v>
      </c>
      <c r="R1616">
        <v>0</v>
      </c>
    </row>
    <row r="1617" spans="1:18" x14ac:dyDescent="0.3">
      <c r="A1617">
        <v>185672</v>
      </c>
      <c r="B1617" t="s">
        <v>568</v>
      </c>
      <c r="C1617" t="s">
        <v>747</v>
      </c>
      <c r="D1617" t="s">
        <v>1461</v>
      </c>
      <c r="E1617" s="452">
        <v>45992</v>
      </c>
      <c r="F1617" s="452">
        <v>46037</v>
      </c>
      <c r="G1617" t="s">
        <v>677</v>
      </c>
      <c r="H1617" t="s">
        <v>678</v>
      </c>
      <c r="I1617" t="s">
        <v>460</v>
      </c>
      <c r="J1617">
        <v>-600</v>
      </c>
      <c r="K1617">
        <v>-600</v>
      </c>
      <c r="M1617" t="s">
        <v>748</v>
      </c>
      <c r="N1617" t="s">
        <v>75</v>
      </c>
      <c r="O1617" t="s">
        <v>631</v>
      </c>
      <c r="P1617" t="s">
        <v>820</v>
      </c>
      <c r="Q1617" t="s">
        <v>460</v>
      </c>
      <c r="R1617">
        <v>0</v>
      </c>
    </row>
    <row r="1618" spans="1:18" x14ac:dyDescent="0.3">
      <c r="A1618">
        <v>186852</v>
      </c>
      <c r="B1618" t="s">
        <v>568</v>
      </c>
      <c r="C1618" t="s">
        <v>853</v>
      </c>
      <c r="D1618" t="s">
        <v>2220</v>
      </c>
      <c r="E1618" s="452">
        <v>45992</v>
      </c>
      <c r="F1618" s="452">
        <v>46027</v>
      </c>
      <c r="G1618" t="s">
        <v>683</v>
      </c>
      <c r="H1618" t="s">
        <v>292</v>
      </c>
      <c r="I1618" t="s">
        <v>2214</v>
      </c>
      <c r="J1618">
        <v>-360</v>
      </c>
      <c r="K1618">
        <v>-350</v>
      </c>
      <c r="O1618" t="s">
        <v>631</v>
      </c>
      <c r="P1618" t="s">
        <v>820</v>
      </c>
      <c r="Q1618" t="s">
        <v>460</v>
      </c>
      <c r="R1618">
        <v>0</v>
      </c>
    </row>
    <row r="1619" spans="1:18" x14ac:dyDescent="0.3">
      <c r="A1619">
        <v>185675</v>
      </c>
      <c r="B1619" t="s">
        <v>568</v>
      </c>
      <c r="C1619" t="s">
        <v>759</v>
      </c>
      <c r="D1619" t="s">
        <v>2221</v>
      </c>
      <c r="E1619" s="452">
        <v>45992</v>
      </c>
      <c r="F1619" s="452">
        <v>46031</v>
      </c>
      <c r="G1619" t="s">
        <v>677</v>
      </c>
      <c r="H1619" t="s">
        <v>678</v>
      </c>
      <c r="I1619" t="s">
        <v>460</v>
      </c>
      <c r="J1619">
        <v>-1125</v>
      </c>
      <c r="K1619">
        <v>-1125</v>
      </c>
      <c r="M1619" t="s">
        <v>760</v>
      </c>
      <c r="N1619" t="s">
        <v>131</v>
      </c>
      <c r="O1619" t="s">
        <v>631</v>
      </c>
      <c r="P1619" t="s">
        <v>820</v>
      </c>
      <c r="Q1619" t="s">
        <v>460</v>
      </c>
      <c r="R1619">
        <v>0</v>
      </c>
    </row>
    <row r="1620" spans="1:18" x14ac:dyDescent="0.3">
      <c r="A1620">
        <v>187160</v>
      </c>
      <c r="B1620" t="s">
        <v>568</v>
      </c>
      <c r="C1620" t="s">
        <v>853</v>
      </c>
      <c r="D1620" t="s">
        <v>2222</v>
      </c>
      <c r="E1620" s="452">
        <v>45992</v>
      </c>
      <c r="F1620" s="452">
        <v>46027</v>
      </c>
      <c r="G1620" t="s">
        <v>265</v>
      </c>
      <c r="H1620" t="s">
        <v>273</v>
      </c>
      <c r="I1620" t="s">
        <v>2148</v>
      </c>
      <c r="J1620">
        <v>-16</v>
      </c>
      <c r="K1620">
        <v>-16</v>
      </c>
      <c r="O1620" t="s">
        <v>631</v>
      </c>
      <c r="P1620" t="s">
        <v>820</v>
      </c>
      <c r="Q1620" t="s">
        <v>460</v>
      </c>
      <c r="R1620">
        <v>0</v>
      </c>
    </row>
    <row r="1621" spans="1:18" x14ac:dyDescent="0.3">
      <c r="A1621">
        <v>187159</v>
      </c>
      <c r="B1621" t="s">
        <v>568</v>
      </c>
      <c r="C1621" t="s">
        <v>853</v>
      </c>
      <c r="D1621" t="s">
        <v>2223</v>
      </c>
      <c r="E1621" s="452">
        <v>45992</v>
      </c>
      <c r="F1621" s="452">
        <v>46027</v>
      </c>
      <c r="G1621" t="s">
        <v>931</v>
      </c>
      <c r="H1621" t="s">
        <v>932</v>
      </c>
      <c r="I1621" t="s">
        <v>2148</v>
      </c>
      <c r="J1621">
        <v>-38.69</v>
      </c>
      <c r="K1621">
        <v>-38.69</v>
      </c>
      <c r="O1621" t="s">
        <v>631</v>
      </c>
      <c r="P1621" t="s">
        <v>820</v>
      </c>
      <c r="Q1621" t="s">
        <v>460</v>
      </c>
      <c r="R1621">
        <v>0</v>
      </c>
    </row>
    <row r="1622" spans="1:18" x14ac:dyDescent="0.3">
      <c r="A1622">
        <v>187158</v>
      </c>
      <c r="B1622" t="s">
        <v>568</v>
      </c>
      <c r="C1622" t="s">
        <v>853</v>
      </c>
      <c r="D1622" t="s">
        <v>2224</v>
      </c>
      <c r="E1622" s="452">
        <v>45992</v>
      </c>
      <c r="F1622" s="452">
        <v>46027</v>
      </c>
      <c r="G1622" t="s">
        <v>683</v>
      </c>
      <c r="H1622" t="s">
        <v>292</v>
      </c>
      <c r="I1622" t="s">
        <v>2148</v>
      </c>
      <c r="J1622">
        <v>-40</v>
      </c>
      <c r="K1622">
        <v>-40</v>
      </c>
      <c r="O1622" t="s">
        <v>631</v>
      </c>
      <c r="P1622" t="s">
        <v>820</v>
      </c>
      <c r="Q1622" t="s">
        <v>460</v>
      </c>
      <c r="R1622">
        <v>0</v>
      </c>
    </row>
    <row r="1623" spans="1:18" x14ac:dyDescent="0.3">
      <c r="A1623">
        <v>186857</v>
      </c>
      <c r="B1623" t="s">
        <v>568</v>
      </c>
      <c r="C1623" t="s">
        <v>853</v>
      </c>
      <c r="D1623" t="s">
        <v>2225</v>
      </c>
      <c r="E1623" s="452">
        <v>45992</v>
      </c>
      <c r="F1623" s="452">
        <v>46027</v>
      </c>
      <c r="G1623" t="s">
        <v>265</v>
      </c>
      <c r="H1623" t="s">
        <v>269</v>
      </c>
      <c r="I1623" t="s">
        <v>2226</v>
      </c>
      <c r="J1623">
        <v>-77.5</v>
      </c>
      <c r="K1623">
        <v>-77.5</v>
      </c>
      <c r="O1623" t="s">
        <v>631</v>
      </c>
      <c r="P1623" t="s">
        <v>820</v>
      </c>
      <c r="Q1623" t="s">
        <v>460</v>
      </c>
      <c r="R1623">
        <v>0</v>
      </c>
    </row>
    <row r="1624" spans="1:18" x14ac:dyDescent="0.3">
      <c r="A1624">
        <v>186856</v>
      </c>
      <c r="B1624" t="s">
        <v>568</v>
      </c>
      <c r="C1624" t="s">
        <v>853</v>
      </c>
      <c r="D1624" t="s">
        <v>2227</v>
      </c>
      <c r="E1624" s="452">
        <v>45992</v>
      </c>
      <c r="F1624" s="452">
        <v>46027</v>
      </c>
      <c r="G1624" t="s">
        <v>931</v>
      </c>
      <c r="H1624" t="s">
        <v>932</v>
      </c>
      <c r="I1624" t="s">
        <v>2214</v>
      </c>
      <c r="J1624">
        <v>-114.39</v>
      </c>
      <c r="K1624">
        <v>-114.39</v>
      </c>
      <c r="O1624" t="s">
        <v>631</v>
      </c>
      <c r="P1624" t="s">
        <v>820</v>
      </c>
      <c r="Q1624" t="s">
        <v>460</v>
      </c>
      <c r="R1624">
        <v>0</v>
      </c>
    </row>
    <row r="1625" spans="1:18" x14ac:dyDescent="0.3">
      <c r="A1625">
        <v>186855</v>
      </c>
      <c r="B1625" t="s">
        <v>568</v>
      </c>
      <c r="C1625" t="s">
        <v>853</v>
      </c>
      <c r="D1625" t="s">
        <v>2228</v>
      </c>
      <c r="E1625" s="452">
        <v>45992</v>
      </c>
      <c r="F1625" s="452">
        <v>46027</v>
      </c>
      <c r="G1625" t="s">
        <v>931</v>
      </c>
      <c r="H1625" t="s">
        <v>932</v>
      </c>
      <c r="I1625" t="s">
        <v>2214</v>
      </c>
      <c r="J1625">
        <v>-41.59</v>
      </c>
      <c r="K1625">
        <v>-41.59</v>
      </c>
      <c r="O1625" t="s">
        <v>631</v>
      </c>
      <c r="P1625" t="s">
        <v>820</v>
      </c>
      <c r="Q1625" t="s">
        <v>460</v>
      </c>
      <c r="R1625">
        <v>0</v>
      </c>
    </row>
    <row r="1626" spans="1:18" x14ac:dyDescent="0.3">
      <c r="A1626">
        <v>186854</v>
      </c>
      <c r="B1626" t="s">
        <v>568</v>
      </c>
      <c r="C1626" t="s">
        <v>853</v>
      </c>
      <c r="D1626" t="s">
        <v>2229</v>
      </c>
      <c r="E1626" s="452">
        <v>45992</v>
      </c>
      <c r="F1626" s="452">
        <v>46027</v>
      </c>
      <c r="G1626" t="s">
        <v>683</v>
      </c>
      <c r="H1626" t="s">
        <v>292</v>
      </c>
      <c r="I1626" t="s">
        <v>2214</v>
      </c>
      <c r="J1626">
        <v>-25</v>
      </c>
      <c r="K1626">
        <v>-25</v>
      </c>
      <c r="O1626" t="s">
        <v>631</v>
      </c>
      <c r="P1626" t="s">
        <v>820</v>
      </c>
      <c r="Q1626" t="s">
        <v>460</v>
      </c>
      <c r="R1626">
        <v>0</v>
      </c>
    </row>
    <row r="1627" spans="1:18" x14ac:dyDescent="0.3">
      <c r="A1627">
        <v>186853</v>
      </c>
      <c r="B1627" t="s">
        <v>568</v>
      </c>
      <c r="C1627" t="s">
        <v>853</v>
      </c>
      <c r="D1627" t="s">
        <v>2230</v>
      </c>
      <c r="E1627" s="452">
        <v>45992</v>
      </c>
      <c r="F1627" s="452">
        <v>46027</v>
      </c>
      <c r="G1627" t="s">
        <v>683</v>
      </c>
      <c r="H1627" t="s">
        <v>292</v>
      </c>
      <c r="I1627" t="s">
        <v>2231</v>
      </c>
      <c r="J1627">
        <v>-169.93</v>
      </c>
      <c r="K1627">
        <v>-169.93</v>
      </c>
      <c r="O1627" t="s">
        <v>631</v>
      </c>
      <c r="P1627" t="s">
        <v>820</v>
      </c>
      <c r="Q1627" t="s">
        <v>460</v>
      </c>
      <c r="R1627">
        <v>0</v>
      </c>
    </row>
    <row r="1628" spans="1:18" x14ac:dyDescent="0.3">
      <c r="A1628">
        <v>187162</v>
      </c>
      <c r="B1628" t="s">
        <v>568</v>
      </c>
      <c r="C1628" t="s">
        <v>853</v>
      </c>
      <c r="D1628" t="s">
        <v>2232</v>
      </c>
      <c r="E1628" s="452">
        <v>45992</v>
      </c>
      <c r="F1628" s="452">
        <v>46027</v>
      </c>
      <c r="G1628" t="s">
        <v>931</v>
      </c>
      <c r="H1628" t="s">
        <v>932</v>
      </c>
      <c r="I1628" t="s">
        <v>2148</v>
      </c>
      <c r="J1628">
        <v>-18.100000000000001</v>
      </c>
      <c r="K1628">
        <v>-18.100000000000001</v>
      </c>
      <c r="O1628" t="s">
        <v>631</v>
      </c>
      <c r="P1628" t="s">
        <v>820</v>
      </c>
      <c r="Q1628" t="s">
        <v>460</v>
      </c>
      <c r="R1628">
        <v>0</v>
      </c>
    </row>
    <row r="1629" spans="1:18" x14ac:dyDescent="0.3">
      <c r="A1629">
        <v>186851</v>
      </c>
      <c r="B1629" t="s">
        <v>568</v>
      </c>
      <c r="C1629" t="s">
        <v>853</v>
      </c>
      <c r="D1629" t="s">
        <v>2233</v>
      </c>
      <c r="E1629" s="452">
        <v>45992</v>
      </c>
      <c r="F1629" s="452">
        <v>46027</v>
      </c>
      <c r="G1629" t="s">
        <v>931</v>
      </c>
      <c r="H1629" t="s">
        <v>932</v>
      </c>
      <c r="I1629" t="s">
        <v>2234</v>
      </c>
      <c r="J1629">
        <v>-6.1</v>
      </c>
      <c r="K1629">
        <v>-6.1</v>
      </c>
      <c r="O1629" t="s">
        <v>631</v>
      </c>
      <c r="P1629" t="s">
        <v>820</v>
      </c>
      <c r="Q1629" t="s">
        <v>460</v>
      </c>
      <c r="R1629">
        <v>0</v>
      </c>
    </row>
    <row r="1630" spans="1:18" x14ac:dyDescent="0.3">
      <c r="A1630">
        <v>186850</v>
      </c>
      <c r="B1630" t="s">
        <v>568</v>
      </c>
      <c r="C1630" t="s">
        <v>853</v>
      </c>
      <c r="D1630" t="s">
        <v>2235</v>
      </c>
      <c r="E1630" s="452">
        <v>45992</v>
      </c>
      <c r="F1630" s="452">
        <v>46027</v>
      </c>
      <c r="G1630" t="s">
        <v>265</v>
      </c>
      <c r="H1630" t="s">
        <v>269</v>
      </c>
      <c r="I1630" t="s">
        <v>2236</v>
      </c>
      <c r="J1630">
        <v>-21.5</v>
      </c>
      <c r="K1630">
        <v>-21.5</v>
      </c>
      <c r="O1630" t="s">
        <v>631</v>
      </c>
      <c r="P1630" t="s">
        <v>820</v>
      </c>
      <c r="Q1630" t="s">
        <v>460</v>
      </c>
      <c r="R1630">
        <v>0</v>
      </c>
    </row>
    <row r="1631" spans="1:18" x14ac:dyDescent="0.3">
      <c r="A1631">
        <v>186849</v>
      </c>
      <c r="B1631" t="s">
        <v>568</v>
      </c>
      <c r="C1631" t="s">
        <v>853</v>
      </c>
      <c r="D1631" t="s">
        <v>2237</v>
      </c>
      <c r="E1631" s="452">
        <v>45992</v>
      </c>
      <c r="F1631" s="452">
        <v>46027</v>
      </c>
      <c r="G1631" t="s">
        <v>265</v>
      </c>
      <c r="H1631" t="s">
        <v>273</v>
      </c>
      <c r="I1631" t="s">
        <v>2238</v>
      </c>
      <c r="J1631">
        <v>-31.6</v>
      </c>
      <c r="K1631">
        <v>-31.6</v>
      </c>
      <c r="O1631" t="s">
        <v>631</v>
      </c>
      <c r="P1631" t="s">
        <v>820</v>
      </c>
      <c r="Q1631" t="s">
        <v>460</v>
      </c>
      <c r="R1631">
        <v>0</v>
      </c>
    </row>
    <row r="1632" spans="1:18" x14ac:dyDescent="0.3">
      <c r="A1632">
        <v>168172</v>
      </c>
      <c r="B1632" t="s">
        <v>568</v>
      </c>
      <c r="C1632" t="s">
        <v>735</v>
      </c>
      <c r="D1632" t="s">
        <v>2239</v>
      </c>
      <c r="E1632" s="452">
        <v>45992</v>
      </c>
      <c r="F1632" s="452">
        <v>46003</v>
      </c>
      <c r="G1632" t="s">
        <v>309</v>
      </c>
      <c r="H1632" t="s">
        <v>310</v>
      </c>
      <c r="I1632" t="s">
        <v>2240</v>
      </c>
      <c r="J1632">
        <v>-1083.5</v>
      </c>
      <c r="K1632">
        <v>-1083.5</v>
      </c>
      <c r="O1632" t="s">
        <v>631</v>
      </c>
      <c r="P1632" t="s">
        <v>820</v>
      </c>
      <c r="Q1632" t="s">
        <v>460</v>
      </c>
      <c r="R1632">
        <v>0</v>
      </c>
    </row>
    <row r="1633" spans="1:18" x14ac:dyDescent="0.3">
      <c r="A1633">
        <v>175208</v>
      </c>
      <c r="B1633" t="s">
        <v>568</v>
      </c>
      <c r="C1633" t="s">
        <v>671</v>
      </c>
      <c r="D1633" t="s">
        <v>2241</v>
      </c>
      <c r="E1633" s="452">
        <v>45992</v>
      </c>
      <c r="F1633" s="452">
        <v>45989</v>
      </c>
      <c r="G1633" t="s">
        <v>672</v>
      </c>
      <c r="H1633" t="s">
        <v>240</v>
      </c>
      <c r="I1633" t="s">
        <v>2242</v>
      </c>
      <c r="J1633">
        <v>-1525.45</v>
      </c>
      <c r="K1633">
        <v>-1525.45</v>
      </c>
      <c r="O1633" t="s">
        <v>631</v>
      </c>
      <c r="P1633" t="s">
        <v>820</v>
      </c>
      <c r="Q1633" t="s">
        <v>460</v>
      </c>
      <c r="R1633">
        <v>0</v>
      </c>
    </row>
    <row r="1634" spans="1:18" x14ac:dyDescent="0.3">
      <c r="A1634">
        <v>175209</v>
      </c>
      <c r="B1634" t="s">
        <v>568</v>
      </c>
      <c r="C1634" t="s">
        <v>671</v>
      </c>
      <c r="D1634" t="s">
        <v>2243</v>
      </c>
      <c r="E1634" s="452">
        <v>45992</v>
      </c>
      <c r="F1634" s="452">
        <v>45982</v>
      </c>
      <c r="G1634" t="s">
        <v>672</v>
      </c>
      <c r="H1634" t="s">
        <v>240</v>
      </c>
      <c r="I1634" t="s">
        <v>2244</v>
      </c>
      <c r="J1634">
        <v>-556.20000000000005</v>
      </c>
      <c r="K1634">
        <v>-556.20000000000005</v>
      </c>
      <c r="O1634" t="s">
        <v>631</v>
      </c>
      <c r="P1634" t="s">
        <v>820</v>
      </c>
      <c r="Q1634" t="s">
        <v>460</v>
      </c>
      <c r="R1634">
        <v>0</v>
      </c>
    </row>
    <row r="1635" spans="1:18" x14ac:dyDescent="0.3">
      <c r="A1635">
        <v>175476</v>
      </c>
      <c r="B1635" t="s">
        <v>568</v>
      </c>
      <c r="C1635" t="s">
        <v>606</v>
      </c>
      <c r="D1635" t="s">
        <v>2189</v>
      </c>
      <c r="E1635" s="452">
        <v>45992</v>
      </c>
      <c r="F1635" s="452">
        <v>46032</v>
      </c>
      <c r="G1635" t="s">
        <v>257</v>
      </c>
      <c r="H1635" t="s">
        <v>258</v>
      </c>
      <c r="I1635" t="s">
        <v>785</v>
      </c>
      <c r="J1635">
        <v>-23903.26</v>
      </c>
      <c r="K1635">
        <v>-23908.34</v>
      </c>
      <c r="O1635" t="s">
        <v>631</v>
      </c>
      <c r="P1635" t="s">
        <v>820</v>
      </c>
      <c r="Q1635" t="s">
        <v>460</v>
      </c>
      <c r="R1635">
        <v>0</v>
      </c>
    </row>
    <row r="1636" spans="1:18" x14ac:dyDescent="0.3">
      <c r="A1636">
        <v>186848</v>
      </c>
      <c r="B1636" t="s">
        <v>568</v>
      </c>
      <c r="C1636" t="s">
        <v>853</v>
      </c>
      <c r="D1636" t="s">
        <v>2245</v>
      </c>
      <c r="E1636" s="452">
        <v>45992</v>
      </c>
      <c r="F1636" s="452">
        <v>46027</v>
      </c>
      <c r="G1636" t="s">
        <v>931</v>
      </c>
      <c r="H1636" t="s">
        <v>932</v>
      </c>
      <c r="I1636" t="s">
        <v>2246</v>
      </c>
      <c r="J1636">
        <v>-67.569999999999993</v>
      </c>
      <c r="K1636">
        <v>-67.569999999999993</v>
      </c>
      <c r="O1636" t="s">
        <v>631</v>
      </c>
      <c r="P1636" t="s">
        <v>820</v>
      </c>
      <c r="Q1636" t="s">
        <v>460</v>
      </c>
      <c r="R1636">
        <v>0</v>
      </c>
    </row>
    <row r="1637" spans="1:18" x14ac:dyDescent="0.3">
      <c r="A1637">
        <v>175521</v>
      </c>
      <c r="B1637" t="s">
        <v>568</v>
      </c>
      <c r="C1637" t="s">
        <v>606</v>
      </c>
      <c r="D1637" t="s">
        <v>2247</v>
      </c>
      <c r="E1637" s="452">
        <v>45992</v>
      </c>
      <c r="F1637" s="452">
        <v>45993</v>
      </c>
      <c r="G1637" t="s">
        <v>613</v>
      </c>
      <c r="H1637" t="s">
        <v>369</v>
      </c>
      <c r="I1637" t="s">
        <v>614</v>
      </c>
      <c r="J1637">
        <v>-5792.21</v>
      </c>
      <c r="K1637">
        <v>-5792.21</v>
      </c>
      <c r="O1637" t="s">
        <v>631</v>
      </c>
      <c r="P1637" t="s">
        <v>820</v>
      </c>
      <c r="Q1637" t="s">
        <v>460</v>
      </c>
      <c r="R1637">
        <v>0</v>
      </c>
    </row>
    <row r="1638" spans="1:18" x14ac:dyDescent="0.3">
      <c r="A1638">
        <v>230547</v>
      </c>
      <c r="B1638" t="s">
        <v>568</v>
      </c>
      <c r="C1638" t="s">
        <v>723</v>
      </c>
      <c r="E1638" s="452">
        <v>45992</v>
      </c>
      <c r="F1638" s="452">
        <v>45992</v>
      </c>
      <c r="G1638" t="s">
        <v>724</v>
      </c>
      <c r="H1638" t="s">
        <v>725</v>
      </c>
      <c r="J1638">
        <v>-2</v>
      </c>
      <c r="K1638">
        <v>-2</v>
      </c>
      <c r="O1638" t="s">
        <v>631</v>
      </c>
      <c r="P1638" t="s">
        <v>820</v>
      </c>
      <c r="Q1638" t="s">
        <v>460</v>
      </c>
      <c r="R163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35"/>
  <sheetViews>
    <sheetView workbookViewId="0"/>
  </sheetViews>
  <sheetFormatPr defaultRowHeight="14.4" x14ac:dyDescent="0.3"/>
  <sheetData>
    <row r="1" spans="1:17" x14ac:dyDescent="0.3">
      <c r="A1" t="s">
        <v>550</v>
      </c>
      <c r="B1" t="s">
        <v>2248</v>
      </c>
      <c r="C1" t="s">
        <v>2249</v>
      </c>
      <c r="D1" t="s">
        <v>552</v>
      </c>
      <c r="E1" t="s">
        <v>553</v>
      </c>
      <c r="F1" t="s">
        <v>554</v>
      </c>
      <c r="G1" t="s">
        <v>2250</v>
      </c>
      <c r="H1" t="s">
        <v>555</v>
      </c>
      <c r="I1" t="s">
        <v>560</v>
      </c>
      <c r="J1" t="s">
        <v>2251</v>
      </c>
      <c r="K1" t="s">
        <v>2252</v>
      </c>
      <c r="L1" t="s">
        <v>2253</v>
      </c>
      <c r="M1" t="s">
        <v>2254</v>
      </c>
      <c r="N1" t="s">
        <v>2255</v>
      </c>
      <c r="O1" t="s">
        <v>2256</v>
      </c>
      <c r="P1" t="s">
        <v>2257</v>
      </c>
      <c r="Q1" t="s">
        <v>566</v>
      </c>
    </row>
    <row r="2" spans="1:17" x14ac:dyDescent="0.3">
      <c r="A2">
        <v>242816</v>
      </c>
      <c r="B2">
        <v>116</v>
      </c>
      <c r="C2" t="s">
        <v>568</v>
      </c>
      <c r="D2" t="s">
        <v>2258</v>
      </c>
      <c r="E2" t="s">
        <v>2259</v>
      </c>
      <c r="F2" s="452">
        <v>46206</v>
      </c>
      <c r="G2" s="452">
        <v>46205</v>
      </c>
      <c r="H2" s="452">
        <v>46219</v>
      </c>
      <c r="I2">
        <v>194.01</v>
      </c>
      <c r="J2">
        <v>179.01</v>
      </c>
      <c r="K2">
        <v>194.01</v>
      </c>
      <c r="L2">
        <v>0</v>
      </c>
      <c r="M2">
        <v>0</v>
      </c>
      <c r="N2">
        <v>0</v>
      </c>
      <c r="O2">
        <v>0</v>
      </c>
      <c r="P2">
        <v>0</v>
      </c>
      <c r="Q2" t="s">
        <v>467</v>
      </c>
    </row>
    <row r="3" spans="1:17" x14ac:dyDescent="0.3">
      <c r="A3">
        <v>242704</v>
      </c>
      <c r="B3">
        <v>116</v>
      </c>
      <c r="C3" t="s">
        <v>568</v>
      </c>
      <c r="D3" t="s">
        <v>2260</v>
      </c>
      <c r="E3" t="s">
        <v>2261</v>
      </c>
      <c r="F3" s="452">
        <v>46203</v>
      </c>
      <c r="G3" s="452">
        <v>46205</v>
      </c>
      <c r="H3" s="452">
        <v>46224</v>
      </c>
      <c r="I3">
        <v>1367.8</v>
      </c>
      <c r="J3">
        <v>1357.8</v>
      </c>
      <c r="K3">
        <v>1367.8</v>
      </c>
      <c r="L3">
        <v>0</v>
      </c>
      <c r="M3">
        <v>0</v>
      </c>
      <c r="N3">
        <v>0</v>
      </c>
      <c r="O3">
        <v>0</v>
      </c>
      <c r="P3">
        <v>0</v>
      </c>
      <c r="Q3" t="s">
        <v>467</v>
      </c>
    </row>
    <row r="4" spans="1:17" x14ac:dyDescent="0.3">
      <c r="A4">
        <v>242702</v>
      </c>
      <c r="B4">
        <v>116</v>
      </c>
      <c r="C4" t="s">
        <v>568</v>
      </c>
      <c r="D4" t="s">
        <v>2262</v>
      </c>
      <c r="E4" t="s">
        <v>2263</v>
      </c>
      <c r="F4" s="452">
        <v>46204</v>
      </c>
      <c r="G4" s="452">
        <v>46205</v>
      </c>
      <c r="H4" s="452">
        <v>46232</v>
      </c>
      <c r="I4">
        <v>1607.65</v>
      </c>
      <c r="J4">
        <v>1607.65</v>
      </c>
      <c r="K4">
        <v>1607.65</v>
      </c>
      <c r="L4">
        <v>0</v>
      </c>
      <c r="M4">
        <v>0</v>
      </c>
      <c r="N4">
        <v>0</v>
      </c>
      <c r="O4">
        <v>0</v>
      </c>
      <c r="P4">
        <v>0</v>
      </c>
      <c r="Q4" t="s">
        <v>467</v>
      </c>
    </row>
    <row r="5" spans="1:17" x14ac:dyDescent="0.3">
      <c r="A5">
        <v>242701</v>
      </c>
      <c r="B5">
        <v>116</v>
      </c>
      <c r="C5" t="s">
        <v>568</v>
      </c>
      <c r="D5" t="s">
        <v>2262</v>
      </c>
      <c r="E5" t="s">
        <v>2264</v>
      </c>
      <c r="F5" s="452">
        <v>46195</v>
      </c>
      <c r="G5" s="452">
        <v>46205</v>
      </c>
      <c r="H5" s="452">
        <v>46223</v>
      </c>
      <c r="I5">
        <v>1303.3</v>
      </c>
      <c r="J5">
        <v>1304.3900000000001</v>
      </c>
      <c r="K5">
        <v>1303.3</v>
      </c>
      <c r="L5">
        <v>0</v>
      </c>
      <c r="M5">
        <v>0</v>
      </c>
      <c r="N5">
        <v>0</v>
      </c>
      <c r="O5">
        <v>0</v>
      </c>
      <c r="P5">
        <v>0</v>
      </c>
      <c r="Q5" t="s">
        <v>467</v>
      </c>
    </row>
    <row r="6" spans="1:17" x14ac:dyDescent="0.3">
      <c r="A6">
        <v>242699</v>
      </c>
      <c r="B6">
        <v>116</v>
      </c>
      <c r="C6" t="s">
        <v>568</v>
      </c>
      <c r="D6" t="s">
        <v>2265</v>
      </c>
      <c r="E6" t="s">
        <v>2266</v>
      </c>
      <c r="F6" s="452">
        <v>46204</v>
      </c>
      <c r="G6" s="452">
        <v>46205</v>
      </c>
      <c r="H6" s="452">
        <v>46218</v>
      </c>
      <c r="I6">
        <v>414.99</v>
      </c>
      <c r="J6">
        <v>414.99</v>
      </c>
      <c r="K6">
        <v>0</v>
      </c>
      <c r="L6">
        <v>0</v>
      </c>
      <c r="M6">
        <v>375.27</v>
      </c>
      <c r="N6">
        <v>0</v>
      </c>
      <c r="O6">
        <v>39.72</v>
      </c>
      <c r="P6">
        <v>0</v>
      </c>
      <c r="Q6" t="s">
        <v>467</v>
      </c>
    </row>
    <row r="7" spans="1:17" x14ac:dyDescent="0.3">
      <c r="A7">
        <v>242698</v>
      </c>
      <c r="B7">
        <v>116</v>
      </c>
      <c r="C7" t="s">
        <v>568</v>
      </c>
      <c r="D7" t="s">
        <v>2267</v>
      </c>
      <c r="E7" t="s">
        <v>2268</v>
      </c>
      <c r="F7" s="452">
        <v>46203</v>
      </c>
      <c r="G7" s="452">
        <v>46205</v>
      </c>
      <c r="H7" s="452">
        <v>46231</v>
      </c>
      <c r="I7">
        <v>472.52</v>
      </c>
      <c r="J7">
        <v>472.52</v>
      </c>
      <c r="K7">
        <v>472.52</v>
      </c>
      <c r="L7">
        <v>0</v>
      </c>
      <c r="M7">
        <v>0</v>
      </c>
      <c r="N7">
        <v>0</v>
      </c>
      <c r="O7">
        <v>0</v>
      </c>
      <c r="P7">
        <v>0</v>
      </c>
      <c r="Q7" t="s">
        <v>467</v>
      </c>
    </row>
    <row r="8" spans="1:17" x14ac:dyDescent="0.3">
      <c r="A8">
        <v>242697</v>
      </c>
      <c r="B8">
        <v>116</v>
      </c>
      <c r="C8" t="s">
        <v>568</v>
      </c>
      <c r="D8" t="s">
        <v>2269</v>
      </c>
      <c r="E8" t="s">
        <v>2270</v>
      </c>
      <c r="F8" s="452">
        <v>46202</v>
      </c>
      <c r="G8" s="452">
        <v>46205</v>
      </c>
      <c r="H8" s="452">
        <v>46230</v>
      </c>
      <c r="I8">
        <v>103.23</v>
      </c>
      <c r="J8">
        <v>103.23</v>
      </c>
      <c r="K8">
        <v>103.23</v>
      </c>
      <c r="L8">
        <v>0</v>
      </c>
      <c r="M8">
        <v>0</v>
      </c>
      <c r="N8">
        <v>0</v>
      </c>
      <c r="O8">
        <v>0</v>
      </c>
      <c r="P8">
        <v>0</v>
      </c>
      <c r="Q8" t="s">
        <v>467</v>
      </c>
    </row>
    <row r="9" spans="1:17" x14ac:dyDescent="0.3">
      <c r="A9">
        <v>242694</v>
      </c>
      <c r="B9">
        <v>116</v>
      </c>
      <c r="C9" t="s">
        <v>568</v>
      </c>
      <c r="D9" t="s">
        <v>2271</v>
      </c>
      <c r="E9" t="s">
        <v>2272</v>
      </c>
      <c r="F9" s="452">
        <v>46203</v>
      </c>
      <c r="G9" s="452">
        <v>46205</v>
      </c>
      <c r="H9" s="452">
        <v>46212</v>
      </c>
      <c r="I9">
        <v>130.13999999999999</v>
      </c>
      <c r="J9">
        <v>130.13999999999999</v>
      </c>
      <c r="K9">
        <v>0</v>
      </c>
      <c r="L9">
        <v>130.13999999999999</v>
      </c>
      <c r="M9">
        <v>0</v>
      </c>
      <c r="N9">
        <v>0</v>
      </c>
      <c r="O9">
        <v>0</v>
      </c>
      <c r="P9">
        <v>0</v>
      </c>
      <c r="Q9" t="s">
        <v>467</v>
      </c>
    </row>
    <row r="10" spans="1:17" x14ac:dyDescent="0.3">
      <c r="A10">
        <v>242682</v>
      </c>
      <c r="B10">
        <v>116</v>
      </c>
      <c r="C10" t="s">
        <v>568</v>
      </c>
      <c r="D10" t="s">
        <v>2273</v>
      </c>
      <c r="E10" t="s">
        <v>2274</v>
      </c>
      <c r="F10" s="452">
        <v>46202</v>
      </c>
      <c r="G10" s="452">
        <v>46205</v>
      </c>
      <c r="H10" s="452">
        <v>46230</v>
      </c>
      <c r="I10">
        <v>110.98</v>
      </c>
      <c r="J10">
        <v>110.98</v>
      </c>
      <c r="K10">
        <v>110.98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467</v>
      </c>
    </row>
    <row r="11" spans="1:17" x14ac:dyDescent="0.3">
      <c r="A11">
        <v>242680</v>
      </c>
      <c r="B11">
        <v>116</v>
      </c>
      <c r="C11" t="s">
        <v>568</v>
      </c>
      <c r="D11" t="s">
        <v>2275</v>
      </c>
      <c r="E11" t="s">
        <v>2276</v>
      </c>
      <c r="F11" s="452">
        <v>46202</v>
      </c>
      <c r="G11" s="452">
        <v>46205</v>
      </c>
      <c r="H11" s="452">
        <v>46238</v>
      </c>
      <c r="I11">
        <v>579.5</v>
      </c>
      <c r="J11">
        <v>579.5</v>
      </c>
      <c r="K11">
        <v>0</v>
      </c>
      <c r="L11">
        <v>579.5</v>
      </c>
      <c r="M11">
        <v>0</v>
      </c>
      <c r="N11">
        <v>0</v>
      </c>
      <c r="O11">
        <v>0</v>
      </c>
      <c r="P11">
        <v>0</v>
      </c>
      <c r="Q11" t="s">
        <v>467</v>
      </c>
    </row>
    <row r="12" spans="1:17" x14ac:dyDescent="0.3">
      <c r="A12">
        <v>242677</v>
      </c>
      <c r="B12">
        <v>116</v>
      </c>
      <c r="C12" t="s">
        <v>568</v>
      </c>
      <c r="D12" t="s">
        <v>2277</v>
      </c>
      <c r="E12" t="s">
        <v>2278</v>
      </c>
      <c r="F12" s="452">
        <v>46204</v>
      </c>
      <c r="G12" s="452">
        <v>46205</v>
      </c>
      <c r="H12" s="452">
        <v>46225</v>
      </c>
      <c r="I12">
        <v>1056.33</v>
      </c>
      <c r="J12">
        <v>1054.33</v>
      </c>
      <c r="K12">
        <v>1056.33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467</v>
      </c>
    </row>
    <row r="13" spans="1:17" x14ac:dyDescent="0.3">
      <c r="A13">
        <v>242674</v>
      </c>
      <c r="B13">
        <v>116</v>
      </c>
      <c r="C13" t="s">
        <v>568</v>
      </c>
      <c r="D13" t="s">
        <v>2277</v>
      </c>
      <c r="E13" t="s">
        <v>2279</v>
      </c>
      <c r="F13" s="452">
        <v>46204</v>
      </c>
      <c r="G13" s="452">
        <v>46205</v>
      </c>
      <c r="H13" s="452">
        <v>46225</v>
      </c>
      <c r="I13">
        <v>683.07</v>
      </c>
      <c r="J13">
        <v>681.07</v>
      </c>
      <c r="K13">
        <v>683.07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467</v>
      </c>
    </row>
    <row r="14" spans="1:17" x14ac:dyDescent="0.3">
      <c r="A14">
        <v>242673</v>
      </c>
      <c r="B14">
        <v>116</v>
      </c>
      <c r="C14" t="s">
        <v>568</v>
      </c>
      <c r="D14" t="s">
        <v>2280</v>
      </c>
      <c r="E14" t="s">
        <v>2281</v>
      </c>
      <c r="F14" s="452">
        <v>46202</v>
      </c>
      <c r="G14" s="452">
        <v>46205</v>
      </c>
      <c r="H14" s="452">
        <v>46230</v>
      </c>
      <c r="I14">
        <v>126.95</v>
      </c>
      <c r="J14">
        <v>126.95</v>
      </c>
      <c r="K14">
        <v>126.95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467</v>
      </c>
    </row>
    <row r="15" spans="1:17" x14ac:dyDescent="0.3">
      <c r="A15">
        <v>242672</v>
      </c>
      <c r="B15">
        <v>116</v>
      </c>
      <c r="C15" t="s">
        <v>568</v>
      </c>
      <c r="D15" t="s">
        <v>2282</v>
      </c>
      <c r="E15" t="s">
        <v>2283</v>
      </c>
      <c r="F15" s="452">
        <v>46203</v>
      </c>
      <c r="G15" s="452">
        <v>46205</v>
      </c>
      <c r="H15" s="452">
        <v>46217</v>
      </c>
      <c r="I15">
        <v>269.10000000000002</v>
      </c>
      <c r="J15">
        <v>269.10000000000002</v>
      </c>
      <c r="K15">
        <v>0</v>
      </c>
      <c r="L15">
        <v>0</v>
      </c>
      <c r="M15">
        <v>0</v>
      </c>
      <c r="N15">
        <v>269.10000000000002</v>
      </c>
      <c r="O15">
        <v>0</v>
      </c>
      <c r="P15">
        <v>0</v>
      </c>
      <c r="Q15" t="s">
        <v>467</v>
      </c>
    </row>
    <row r="16" spans="1:17" x14ac:dyDescent="0.3">
      <c r="A16">
        <v>242671</v>
      </c>
      <c r="B16">
        <v>116</v>
      </c>
      <c r="C16" t="s">
        <v>568</v>
      </c>
      <c r="D16" t="s">
        <v>2284</v>
      </c>
      <c r="E16" t="s">
        <v>2285</v>
      </c>
      <c r="F16" s="452">
        <v>46203</v>
      </c>
      <c r="G16" s="452">
        <v>46205</v>
      </c>
      <c r="H16" s="452">
        <v>46231</v>
      </c>
      <c r="I16">
        <v>548.58000000000004</v>
      </c>
      <c r="J16">
        <v>548.58000000000004</v>
      </c>
      <c r="K16">
        <v>548.58000000000004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467</v>
      </c>
    </row>
    <row r="17" spans="1:17" x14ac:dyDescent="0.3">
      <c r="A17">
        <v>242670</v>
      </c>
      <c r="B17">
        <v>116</v>
      </c>
      <c r="C17" t="s">
        <v>568</v>
      </c>
      <c r="D17" t="s">
        <v>2286</v>
      </c>
      <c r="E17" t="s">
        <v>2287</v>
      </c>
      <c r="F17" s="452">
        <v>46203</v>
      </c>
      <c r="G17" s="452">
        <v>46205</v>
      </c>
      <c r="H17" s="452">
        <v>46230</v>
      </c>
      <c r="I17">
        <v>180.8</v>
      </c>
      <c r="J17">
        <v>180.8</v>
      </c>
      <c r="K17">
        <v>180.8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467</v>
      </c>
    </row>
    <row r="18" spans="1:17" x14ac:dyDescent="0.3">
      <c r="A18">
        <v>242276</v>
      </c>
      <c r="B18">
        <v>116</v>
      </c>
      <c r="C18" t="s">
        <v>568</v>
      </c>
      <c r="D18" t="s">
        <v>2288</v>
      </c>
      <c r="E18" t="s">
        <v>2289</v>
      </c>
      <c r="F18" s="452">
        <v>46203</v>
      </c>
      <c r="G18" s="452">
        <v>46199</v>
      </c>
      <c r="H18" s="452">
        <v>46209</v>
      </c>
      <c r="I18">
        <v>545</v>
      </c>
      <c r="J18">
        <v>468.56</v>
      </c>
      <c r="K18">
        <v>0</v>
      </c>
      <c r="L18">
        <v>0</v>
      </c>
      <c r="M18">
        <v>0</v>
      </c>
      <c r="N18">
        <v>0</v>
      </c>
      <c r="O18">
        <v>0</v>
      </c>
      <c r="P18">
        <v>545</v>
      </c>
      <c r="Q18" t="s">
        <v>466</v>
      </c>
    </row>
    <row r="19" spans="1:17" x14ac:dyDescent="0.3">
      <c r="A19">
        <v>241916</v>
      </c>
      <c r="B19">
        <v>116</v>
      </c>
      <c r="C19" t="s">
        <v>568</v>
      </c>
      <c r="D19" t="s">
        <v>2269</v>
      </c>
      <c r="E19" t="s">
        <v>2290</v>
      </c>
      <c r="F19" s="452">
        <v>46190</v>
      </c>
      <c r="G19" s="452">
        <v>46195</v>
      </c>
      <c r="H19" s="452">
        <v>46218</v>
      </c>
      <c r="I19">
        <v>103.23</v>
      </c>
      <c r="J19">
        <v>103.23</v>
      </c>
      <c r="K19">
        <v>103.23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466</v>
      </c>
    </row>
    <row r="20" spans="1:17" x14ac:dyDescent="0.3">
      <c r="A20">
        <v>241915</v>
      </c>
      <c r="B20">
        <v>116</v>
      </c>
      <c r="C20" t="s">
        <v>568</v>
      </c>
      <c r="D20" t="s">
        <v>2262</v>
      </c>
      <c r="E20" t="s">
        <v>2291</v>
      </c>
      <c r="F20" s="452">
        <v>46196</v>
      </c>
      <c r="G20" s="452">
        <v>46197</v>
      </c>
      <c r="H20" s="452">
        <v>46224</v>
      </c>
      <c r="I20">
        <v>756.78</v>
      </c>
      <c r="J20">
        <v>756.78</v>
      </c>
      <c r="K20">
        <v>756.78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466</v>
      </c>
    </row>
    <row r="21" spans="1:17" x14ac:dyDescent="0.3">
      <c r="A21">
        <v>241913</v>
      </c>
      <c r="B21">
        <v>116</v>
      </c>
      <c r="C21" t="s">
        <v>568</v>
      </c>
      <c r="D21" t="s">
        <v>2262</v>
      </c>
      <c r="E21" t="s">
        <v>2292</v>
      </c>
      <c r="F21" s="452">
        <v>46190</v>
      </c>
      <c r="G21" s="452">
        <v>46195</v>
      </c>
      <c r="H21" s="452">
        <v>46218</v>
      </c>
      <c r="I21">
        <v>330.78</v>
      </c>
      <c r="J21">
        <v>330.78</v>
      </c>
      <c r="K21">
        <v>330.78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466</v>
      </c>
    </row>
    <row r="22" spans="1:17" x14ac:dyDescent="0.3">
      <c r="A22">
        <v>241912</v>
      </c>
      <c r="B22">
        <v>116</v>
      </c>
      <c r="C22" t="s">
        <v>568</v>
      </c>
      <c r="D22" t="s">
        <v>2293</v>
      </c>
      <c r="E22" t="s">
        <v>2294</v>
      </c>
      <c r="F22" s="452">
        <v>46185</v>
      </c>
      <c r="G22" s="452">
        <v>46191</v>
      </c>
      <c r="H22" s="452">
        <v>46215</v>
      </c>
      <c r="I22">
        <v>675</v>
      </c>
      <c r="J22">
        <v>675</v>
      </c>
      <c r="K22">
        <v>0</v>
      </c>
      <c r="L22">
        <v>675</v>
      </c>
      <c r="M22">
        <v>0</v>
      </c>
      <c r="N22">
        <v>0</v>
      </c>
      <c r="O22">
        <v>0</v>
      </c>
      <c r="P22">
        <v>0</v>
      </c>
      <c r="Q22" t="s">
        <v>466</v>
      </c>
    </row>
    <row r="23" spans="1:17" x14ac:dyDescent="0.3">
      <c r="A23">
        <v>241911</v>
      </c>
      <c r="B23">
        <v>116</v>
      </c>
      <c r="C23" t="s">
        <v>568</v>
      </c>
      <c r="D23" t="s">
        <v>2293</v>
      </c>
      <c r="E23" t="s">
        <v>2295</v>
      </c>
      <c r="F23" s="452">
        <v>46188</v>
      </c>
      <c r="G23" s="452">
        <v>46191</v>
      </c>
      <c r="H23" s="452">
        <v>46218</v>
      </c>
      <c r="I23">
        <v>540</v>
      </c>
      <c r="J23">
        <v>540</v>
      </c>
      <c r="K23">
        <v>0</v>
      </c>
      <c r="L23">
        <v>540</v>
      </c>
      <c r="M23">
        <v>0</v>
      </c>
      <c r="N23">
        <v>0</v>
      </c>
      <c r="O23">
        <v>0</v>
      </c>
      <c r="P23">
        <v>0</v>
      </c>
      <c r="Q23" t="s">
        <v>466</v>
      </c>
    </row>
    <row r="24" spans="1:17" x14ac:dyDescent="0.3">
      <c r="A24">
        <v>241909</v>
      </c>
      <c r="B24">
        <v>116</v>
      </c>
      <c r="C24" t="s">
        <v>568</v>
      </c>
      <c r="D24" t="s">
        <v>2267</v>
      </c>
      <c r="E24" t="s">
        <v>2296</v>
      </c>
      <c r="F24" s="452">
        <v>46190</v>
      </c>
      <c r="G24" s="452">
        <v>46191</v>
      </c>
      <c r="H24" s="452">
        <v>46219</v>
      </c>
      <c r="I24">
        <v>574.14</v>
      </c>
      <c r="J24">
        <v>574.14</v>
      </c>
      <c r="K24">
        <v>574.14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466</v>
      </c>
    </row>
    <row r="25" spans="1:17" x14ac:dyDescent="0.3">
      <c r="A25">
        <v>241907</v>
      </c>
      <c r="B25">
        <v>116</v>
      </c>
      <c r="C25" t="s">
        <v>568</v>
      </c>
      <c r="D25" t="s">
        <v>2269</v>
      </c>
      <c r="E25" t="s">
        <v>2297</v>
      </c>
      <c r="F25" s="452">
        <v>46188</v>
      </c>
      <c r="G25" s="452">
        <v>46191</v>
      </c>
      <c r="H25" s="452">
        <v>46216</v>
      </c>
      <c r="I25">
        <v>103.23</v>
      </c>
      <c r="J25">
        <v>103.23</v>
      </c>
      <c r="K25">
        <v>103.23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466</v>
      </c>
    </row>
    <row r="26" spans="1:17" x14ac:dyDescent="0.3">
      <c r="A26">
        <v>241905</v>
      </c>
      <c r="B26">
        <v>116</v>
      </c>
      <c r="C26" t="s">
        <v>568</v>
      </c>
      <c r="D26" t="s">
        <v>2286</v>
      </c>
      <c r="E26" t="s">
        <v>2298</v>
      </c>
      <c r="F26" s="452">
        <v>46191</v>
      </c>
      <c r="G26" s="452">
        <v>46195</v>
      </c>
      <c r="H26" s="452">
        <v>46219</v>
      </c>
      <c r="I26">
        <v>752.3</v>
      </c>
      <c r="J26">
        <v>752.3</v>
      </c>
      <c r="K26">
        <v>752.3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466</v>
      </c>
    </row>
    <row r="27" spans="1:17" x14ac:dyDescent="0.3">
      <c r="A27">
        <v>241904</v>
      </c>
      <c r="B27">
        <v>116</v>
      </c>
      <c r="C27" t="s">
        <v>568</v>
      </c>
      <c r="D27" t="s">
        <v>2286</v>
      </c>
      <c r="E27" t="s">
        <v>2299</v>
      </c>
      <c r="F27" s="452">
        <v>46188</v>
      </c>
      <c r="G27" s="452">
        <v>46191</v>
      </c>
      <c r="H27" s="452">
        <v>46216</v>
      </c>
      <c r="I27">
        <v>111.75</v>
      </c>
      <c r="J27">
        <v>111.75</v>
      </c>
      <c r="K27">
        <v>111.75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466</v>
      </c>
    </row>
    <row r="28" spans="1:17" x14ac:dyDescent="0.3">
      <c r="A28">
        <v>241902</v>
      </c>
      <c r="B28">
        <v>116</v>
      </c>
      <c r="C28" t="s">
        <v>568</v>
      </c>
      <c r="D28" t="s">
        <v>2284</v>
      </c>
      <c r="E28" t="s">
        <v>2300</v>
      </c>
      <c r="F28" s="452">
        <v>46189</v>
      </c>
      <c r="G28" s="452">
        <v>46191</v>
      </c>
      <c r="H28" s="452">
        <v>46217</v>
      </c>
      <c r="I28">
        <v>170.8</v>
      </c>
      <c r="J28">
        <v>118</v>
      </c>
      <c r="K28">
        <v>170.8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466</v>
      </c>
    </row>
    <row r="29" spans="1:17" x14ac:dyDescent="0.3">
      <c r="A29">
        <v>241900</v>
      </c>
      <c r="B29">
        <v>116</v>
      </c>
      <c r="C29" t="s">
        <v>568</v>
      </c>
      <c r="D29" t="s">
        <v>2284</v>
      </c>
      <c r="E29" t="s">
        <v>2301</v>
      </c>
      <c r="F29" s="452">
        <v>46189</v>
      </c>
      <c r="G29" s="452">
        <v>46191</v>
      </c>
      <c r="H29" s="452">
        <v>46217</v>
      </c>
      <c r="I29">
        <v>434.2</v>
      </c>
      <c r="J29">
        <v>434.2</v>
      </c>
      <c r="K29">
        <v>0</v>
      </c>
      <c r="L29">
        <v>434.2</v>
      </c>
      <c r="M29">
        <v>0</v>
      </c>
      <c r="N29">
        <v>0</v>
      </c>
      <c r="O29">
        <v>0</v>
      </c>
      <c r="P29">
        <v>0</v>
      </c>
      <c r="Q29" t="s">
        <v>466</v>
      </c>
    </row>
    <row r="30" spans="1:17" x14ac:dyDescent="0.3">
      <c r="A30">
        <v>241899</v>
      </c>
      <c r="B30">
        <v>116</v>
      </c>
      <c r="C30" t="s">
        <v>568</v>
      </c>
      <c r="D30" t="s">
        <v>2273</v>
      </c>
      <c r="E30" t="s">
        <v>2302</v>
      </c>
      <c r="F30" s="452">
        <v>46191</v>
      </c>
      <c r="G30" s="452">
        <v>46195</v>
      </c>
      <c r="H30" s="452">
        <v>46219</v>
      </c>
      <c r="I30">
        <v>424.93</v>
      </c>
      <c r="J30">
        <v>424.93</v>
      </c>
      <c r="K30">
        <v>424.93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466</v>
      </c>
    </row>
    <row r="31" spans="1:17" x14ac:dyDescent="0.3">
      <c r="A31">
        <v>241896</v>
      </c>
      <c r="B31">
        <v>116</v>
      </c>
      <c r="C31" t="s">
        <v>568</v>
      </c>
      <c r="D31" t="s">
        <v>2273</v>
      </c>
      <c r="E31" t="s">
        <v>2303</v>
      </c>
      <c r="F31" s="452">
        <v>46188</v>
      </c>
      <c r="G31" s="452">
        <v>46191</v>
      </c>
      <c r="H31" s="452">
        <v>46216</v>
      </c>
      <c r="I31">
        <v>473.11</v>
      </c>
      <c r="J31">
        <v>472.11</v>
      </c>
      <c r="K31">
        <v>473.11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466</v>
      </c>
    </row>
    <row r="32" spans="1:17" x14ac:dyDescent="0.3">
      <c r="A32">
        <v>241894</v>
      </c>
      <c r="B32">
        <v>116</v>
      </c>
      <c r="C32" t="s">
        <v>568</v>
      </c>
      <c r="D32" t="s">
        <v>2275</v>
      </c>
      <c r="E32" t="s">
        <v>2304</v>
      </c>
      <c r="F32" s="452">
        <v>46188</v>
      </c>
      <c r="G32" s="452">
        <v>46191</v>
      </c>
      <c r="H32" s="452">
        <v>46224</v>
      </c>
      <c r="I32">
        <v>693</v>
      </c>
      <c r="J32">
        <v>693</v>
      </c>
      <c r="K32">
        <v>0</v>
      </c>
      <c r="L32">
        <v>693</v>
      </c>
      <c r="M32">
        <v>0</v>
      </c>
      <c r="N32">
        <v>0</v>
      </c>
      <c r="O32">
        <v>0</v>
      </c>
      <c r="P32">
        <v>0</v>
      </c>
      <c r="Q32" t="s">
        <v>466</v>
      </c>
    </row>
    <row r="33" spans="1:17" x14ac:dyDescent="0.3">
      <c r="A33">
        <v>241893</v>
      </c>
      <c r="B33">
        <v>116</v>
      </c>
      <c r="C33" t="s">
        <v>568</v>
      </c>
      <c r="D33" t="s">
        <v>2280</v>
      </c>
      <c r="E33" t="s">
        <v>2305</v>
      </c>
      <c r="F33" s="452">
        <v>46188</v>
      </c>
      <c r="G33" s="452">
        <v>46191</v>
      </c>
      <c r="H33" s="452">
        <v>46216</v>
      </c>
      <c r="I33">
        <v>82.73</v>
      </c>
      <c r="J33">
        <v>82.73</v>
      </c>
      <c r="K33">
        <v>82.73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466</v>
      </c>
    </row>
    <row r="34" spans="1:17" x14ac:dyDescent="0.3">
      <c r="A34">
        <v>241891</v>
      </c>
      <c r="B34">
        <v>116</v>
      </c>
      <c r="C34" t="s">
        <v>568</v>
      </c>
      <c r="D34" t="s">
        <v>2306</v>
      </c>
      <c r="E34" t="s">
        <v>2307</v>
      </c>
      <c r="F34" s="452">
        <v>46190</v>
      </c>
      <c r="G34" s="452">
        <v>46191</v>
      </c>
      <c r="H34" s="452">
        <v>46218</v>
      </c>
      <c r="I34">
        <v>677.15</v>
      </c>
      <c r="J34">
        <v>677.16</v>
      </c>
      <c r="K34">
        <v>677.15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466</v>
      </c>
    </row>
    <row r="35" spans="1:17" x14ac:dyDescent="0.3">
      <c r="A35">
        <v>241890</v>
      </c>
      <c r="B35">
        <v>116</v>
      </c>
      <c r="C35" t="s">
        <v>568</v>
      </c>
      <c r="D35" t="s">
        <v>2308</v>
      </c>
      <c r="E35" t="s">
        <v>2309</v>
      </c>
      <c r="F35" s="452">
        <v>46190</v>
      </c>
      <c r="G35" s="452">
        <v>46191</v>
      </c>
      <c r="H35" s="452">
        <v>46218</v>
      </c>
      <c r="I35">
        <v>1343</v>
      </c>
      <c r="J35">
        <v>1343</v>
      </c>
      <c r="K35">
        <v>1343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466</v>
      </c>
    </row>
    <row r="36" spans="1:17" x14ac:dyDescent="0.3">
      <c r="A36">
        <v>241889</v>
      </c>
      <c r="B36">
        <v>116</v>
      </c>
      <c r="C36" t="s">
        <v>568</v>
      </c>
      <c r="D36" t="s">
        <v>2310</v>
      </c>
      <c r="E36" t="s">
        <v>2311</v>
      </c>
      <c r="F36" s="452">
        <v>46190</v>
      </c>
      <c r="G36" s="452">
        <v>46195</v>
      </c>
      <c r="H36" s="452">
        <v>46223</v>
      </c>
      <c r="I36">
        <v>342.5</v>
      </c>
      <c r="J36">
        <v>342.5</v>
      </c>
      <c r="K36">
        <v>342.5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466</v>
      </c>
    </row>
    <row r="37" spans="1:17" x14ac:dyDescent="0.3">
      <c r="A37">
        <v>241888</v>
      </c>
      <c r="B37">
        <v>116</v>
      </c>
      <c r="C37" t="s">
        <v>568</v>
      </c>
      <c r="D37" t="s">
        <v>2312</v>
      </c>
      <c r="E37" t="s">
        <v>2313</v>
      </c>
      <c r="F37" s="452">
        <v>46190</v>
      </c>
      <c r="G37" s="452">
        <v>46195</v>
      </c>
      <c r="H37" s="452">
        <v>46223</v>
      </c>
      <c r="I37">
        <v>198.6</v>
      </c>
      <c r="J37">
        <v>198.6</v>
      </c>
      <c r="K37">
        <v>0</v>
      </c>
      <c r="L37">
        <v>0</v>
      </c>
      <c r="M37">
        <v>198.6</v>
      </c>
      <c r="N37">
        <v>0</v>
      </c>
      <c r="O37">
        <v>0</v>
      </c>
      <c r="P37">
        <v>0</v>
      </c>
      <c r="Q37" t="s">
        <v>466</v>
      </c>
    </row>
    <row r="38" spans="1:17" x14ac:dyDescent="0.3">
      <c r="A38">
        <v>241886</v>
      </c>
      <c r="B38">
        <v>116</v>
      </c>
      <c r="C38" t="s">
        <v>568</v>
      </c>
      <c r="D38" t="s">
        <v>2314</v>
      </c>
      <c r="E38" t="s">
        <v>2315</v>
      </c>
      <c r="F38" s="452">
        <v>46192</v>
      </c>
      <c r="G38" s="452">
        <v>46195</v>
      </c>
      <c r="H38" s="452">
        <v>46223</v>
      </c>
      <c r="I38">
        <v>3508.8</v>
      </c>
      <c r="J38">
        <v>3508.8</v>
      </c>
      <c r="K38">
        <v>0</v>
      </c>
      <c r="L38">
        <v>3508.8</v>
      </c>
      <c r="M38">
        <v>0</v>
      </c>
      <c r="N38">
        <v>0</v>
      </c>
      <c r="O38">
        <v>0</v>
      </c>
      <c r="P38">
        <v>0</v>
      </c>
      <c r="Q38" t="s">
        <v>466</v>
      </c>
    </row>
    <row r="39" spans="1:17" x14ac:dyDescent="0.3">
      <c r="A39">
        <v>241885</v>
      </c>
      <c r="B39">
        <v>116</v>
      </c>
      <c r="C39" t="s">
        <v>568</v>
      </c>
      <c r="D39" t="s">
        <v>2314</v>
      </c>
      <c r="E39" t="s">
        <v>2316</v>
      </c>
      <c r="F39" s="452">
        <v>46186</v>
      </c>
      <c r="G39" s="452">
        <v>46191</v>
      </c>
      <c r="H39" s="452">
        <v>46218</v>
      </c>
      <c r="I39">
        <v>612</v>
      </c>
      <c r="J39">
        <v>612</v>
      </c>
      <c r="K39">
        <v>0</v>
      </c>
      <c r="L39">
        <v>612</v>
      </c>
      <c r="M39">
        <v>0</v>
      </c>
      <c r="N39">
        <v>0</v>
      </c>
      <c r="O39">
        <v>0</v>
      </c>
      <c r="P39">
        <v>0</v>
      </c>
      <c r="Q39" t="s">
        <v>466</v>
      </c>
    </row>
    <row r="40" spans="1:17" x14ac:dyDescent="0.3">
      <c r="A40">
        <v>241883</v>
      </c>
      <c r="B40">
        <v>116</v>
      </c>
      <c r="C40" t="s">
        <v>568</v>
      </c>
      <c r="D40" t="s">
        <v>2314</v>
      </c>
      <c r="E40" t="s">
        <v>2317</v>
      </c>
      <c r="F40" s="452">
        <v>46186</v>
      </c>
      <c r="G40" s="452">
        <v>46191</v>
      </c>
      <c r="H40" s="452">
        <v>46218</v>
      </c>
      <c r="I40">
        <v>7242</v>
      </c>
      <c r="J40">
        <v>7242</v>
      </c>
      <c r="K40">
        <v>0</v>
      </c>
      <c r="L40">
        <v>7242</v>
      </c>
      <c r="M40">
        <v>0</v>
      </c>
      <c r="N40">
        <v>0</v>
      </c>
      <c r="O40">
        <v>0</v>
      </c>
      <c r="P40">
        <v>0</v>
      </c>
      <c r="Q40" t="s">
        <v>466</v>
      </c>
    </row>
    <row r="41" spans="1:17" x14ac:dyDescent="0.3">
      <c r="A41">
        <v>241729</v>
      </c>
      <c r="B41">
        <v>116</v>
      </c>
      <c r="C41" t="s">
        <v>568</v>
      </c>
      <c r="D41" t="s">
        <v>2318</v>
      </c>
      <c r="E41" t="s">
        <v>2319</v>
      </c>
      <c r="F41" s="452">
        <v>46195</v>
      </c>
      <c r="G41" s="452">
        <v>46198</v>
      </c>
      <c r="H41" s="452">
        <v>46209</v>
      </c>
      <c r="I41">
        <v>839</v>
      </c>
      <c r="J41">
        <v>839</v>
      </c>
      <c r="K41">
        <v>839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466</v>
      </c>
    </row>
    <row r="42" spans="1:17" x14ac:dyDescent="0.3">
      <c r="A42">
        <v>241727</v>
      </c>
      <c r="B42">
        <v>116</v>
      </c>
      <c r="C42" t="s">
        <v>568</v>
      </c>
      <c r="D42" t="s">
        <v>2320</v>
      </c>
      <c r="E42" t="s">
        <v>2321</v>
      </c>
      <c r="F42" s="452">
        <v>46197</v>
      </c>
      <c r="G42" s="452">
        <v>46198</v>
      </c>
      <c r="H42" s="452">
        <v>46211</v>
      </c>
      <c r="I42">
        <v>991.03</v>
      </c>
      <c r="J42">
        <v>991.03</v>
      </c>
      <c r="K42">
        <v>991.03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466</v>
      </c>
    </row>
    <row r="43" spans="1:17" x14ac:dyDescent="0.3">
      <c r="A43">
        <v>241726</v>
      </c>
      <c r="B43">
        <v>116</v>
      </c>
      <c r="C43" t="s">
        <v>568</v>
      </c>
      <c r="D43" t="s">
        <v>2265</v>
      </c>
      <c r="E43" t="s">
        <v>2322</v>
      </c>
      <c r="F43" s="452">
        <v>46195</v>
      </c>
      <c r="G43" s="452">
        <v>46198</v>
      </c>
      <c r="H43" s="452">
        <v>46211</v>
      </c>
      <c r="I43">
        <v>535.76</v>
      </c>
      <c r="J43">
        <v>535.76</v>
      </c>
      <c r="K43">
        <v>0</v>
      </c>
      <c r="L43">
        <v>0</v>
      </c>
      <c r="M43">
        <v>449.76</v>
      </c>
      <c r="N43">
        <v>0</v>
      </c>
      <c r="O43">
        <v>86</v>
      </c>
      <c r="P43">
        <v>0</v>
      </c>
      <c r="Q43" t="s">
        <v>466</v>
      </c>
    </row>
    <row r="44" spans="1:17" x14ac:dyDescent="0.3">
      <c r="A44">
        <v>241724</v>
      </c>
      <c r="B44">
        <v>116</v>
      </c>
      <c r="C44" t="s">
        <v>568</v>
      </c>
      <c r="D44" t="s">
        <v>2323</v>
      </c>
      <c r="E44" t="s">
        <v>2324</v>
      </c>
      <c r="F44" s="452">
        <v>46196</v>
      </c>
      <c r="G44" s="452">
        <v>46198</v>
      </c>
      <c r="H44" s="452">
        <v>46210</v>
      </c>
      <c r="I44">
        <v>2462.88</v>
      </c>
      <c r="J44">
        <v>2462.88</v>
      </c>
      <c r="K44">
        <v>2462.88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466</v>
      </c>
    </row>
    <row r="45" spans="1:17" x14ac:dyDescent="0.3">
      <c r="A45">
        <v>241723</v>
      </c>
      <c r="B45">
        <v>116</v>
      </c>
      <c r="C45" t="s">
        <v>568</v>
      </c>
      <c r="D45" t="s">
        <v>2325</v>
      </c>
      <c r="E45" t="s">
        <v>2326</v>
      </c>
      <c r="F45" s="452">
        <v>46196</v>
      </c>
      <c r="G45" s="452">
        <v>46199</v>
      </c>
      <c r="H45" s="452">
        <v>46216</v>
      </c>
      <c r="I45">
        <v>257.10000000000002</v>
      </c>
      <c r="J45">
        <v>257.10000000000002</v>
      </c>
      <c r="K45">
        <v>0</v>
      </c>
      <c r="L45">
        <v>0</v>
      </c>
      <c r="M45">
        <v>257.10000000000002</v>
      </c>
      <c r="N45">
        <v>0</v>
      </c>
      <c r="O45">
        <v>0</v>
      </c>
      <c r="P45">
        <v>0</v>
      </c>
      <c r="Q45" t="s">
        <v>466</v>
      </c>
    </row>
    <row r="46" spans="1:17" x14ac:dyDescent="0.3">
      <c r="A46">
        <v>241721</v>
      </c>
      <c r="B46">
        <v>116</v>
      </c>
      <c r="C46" t="s">
        <v>568</v>
      </c>
      <c r="D46" t="s">
        <v>2314</v>
      </c>
      <c r="E46" t="s">
        <v>2327</v>
      </c>
      <c r="F46" s="452">
        <v>46196</v>
      </c>
      <c r="G46" s="452">
        <v>46199</v>
      </c>
      <c r="H46" s="452">
        <v>46227</v>
      </c>
      <c r="I46">
        <v>4474.3999999999996</v>
      </c>
      <c r="J46">
        <v>4474.3999999999996</v>
      </c>
      <c r="K46">
        <v>0</v>
      </c>
      <c r="L46">
        <v>4474.3999999999996</v>
      </c>
      <c r="M46">
        <v>0</v>
      </c>
      <c r="N46">
        <v>0</v>
      </c>
      <c r="O46">
        <v>0</v>
      </c>
      <c r="P46">
        <v>0</v>
      </c>
      <c r="Q46" t="s">
        <v>466</v>
      </c>
    </row>
    <row r="47" spans="1:17" x14ac:dyDescent="0.3">
      <c r="A47">
        <v>241720</v>
      </c>
      <c r="B47">
        <v>116</v>
      </c>
      <c r="C47" t="s">
        <v>568</v>
      </c>
      <c r="D47" t="s">
        <v>2314</v>
      </c>
      <c r="E47" t="s">
        <v>2328</v>
      </c>
      <c r="F47" s="452">
        <v>46197</v>
      </c>
      <c r="G47" s="452">
        <v>46199</v>
      </c>
      <c r="H47" s="452">
        <v>46227</v>
      </c>
      <c r="I47">
        <v>2821.8</v>
      </c>
      <c r="J47">
        <v>2284.75</v>
      </c>
      <c r="K47">
        <v>0</v>
      </c>
      <c r="L47">
        <v>2821.8</v>
      </c>
      <c r="M47">
        <v>0</v>
      </c>
      <c r="N47">
        <v>0</v>
      </c>
      <c r="O47">
        <v>0</v>
      </c>
      <c r="P47">
        <v>0</v>
      </c>
      <c r="Q47" t="s">
        <v>466</v>
      </c>
    </row>
    <row r="48" spans="1:17" x14ac:dyDescent="0.3">
      <c r="A48">
        <v>241718</v>
      </c>
      <c r="B48">
        <v>116</v>
      </c>
      <c r="C48" t="s">
        <v>568</v>
      </c>
      <c r="D48" t="s">
        <v>2314</v>
      </c>
      <c r="E48" t="s">
        <v>2329</v>
      </c>
      <c r="F48" s="452">
        <v>46199</v>
      </c>
      <c r="G48" s="452">
        <v>46200</v>
      </c>
      <c r="H48" s="452">
        <v>46230</v>
      </c>
      <c r="I48">
        <v>3379.59</v>
      </c>
      <c r="J48">
        <v>3379.6</v>
      </c>
      <c r="K48">
        <v>0</v>
      </c>
      <c r="L48">
        <v>3379.59</v>
      </c>
      <c r="M48">
        <v>0</v>
      </c>
      <c r="N48">
        <v>0</v>
      </c>
      <c r="O48">
        <v>0</v>
      </c>
      <c r="P48">
        <v>0</v>
      </c>
      <c r="Q48" t="s">
        <v>466</v>
      </c>
    </row>
    <row r="49" spans="1:17" x14ac:dyDescent="0.3">
      <c r="A49">
        <v>241717</v>
      </c>
      <c r="B49">
        <v>116</v>
      </c>
      <c r="C49" t="s">
        <v>568</v>
      </c>
      <c r="D49" t="s">
        <v>2330</v>
      </c>
      <c r="E49" t="s">
        <v>2331</v>
      </c>
      <c r="F49" s="452">
        <v>46195</v>
      </c>
      <c r="G49" s="452">
        <v>46199</v>
      </c>
      <c r="H49" s="452">
        <v>46223</v>
      </c>
      <c r="I49">
        <v>238</v>
      </c>
      <c r="J49">
        <v>238</v>
      </c>
      <c r="K49">
        <v>0</v>
      </c>
      <c r="L49">
        <v>238</v>
      </c>
      <c r="M49">
        <v>0</v>
      </c>
      <c r="N49">
        <v>0</v>
      </c>
      <c r="O49">
        <v>0</v>
      </c>
      <c r="P49">
        <v>0</v>
      </c>
      <c r="Q49" t="s">
        <v>466</v>
      </c>
    </row>
    <row r="50" spans="1:17" x14ac:dyDescent="0.3">
      <c r="A50">
        <v>241715</v>
      </c>
      <c r="B50">
        <v>116</v>
      </c>
      <c r="C50" t="s">
        <v>568</v>
      </c>
      <c r="D50" t="s">
        <v>2332</v>
      </c>
      <c r="E50" t="s">
        <v>2333</v>
      </c>
      <c r="F50" s="452">
        <v>46197</v>
      </c>
      <c r="G50" s="452">
        <v>46199</v>
      </c>
      <c r="H50" s="452">
        <v>46218</v>
      </c>
      <c r="I50">
        <v>219.46</v>
      </c>
      <c r="J50">
        <v>219.46</v>
      </c>
      <c r="K50">
        <v>0</v>
      </c>
      <c r="L50">
        <v>219.46</v>
      </c>
      <c r="M50">
        <v>0</v>
      </c>
      <c r="N50">
        <v>0</v>
      </c>
      <c r="O50">
        <v>0</v>
      </c>
      <c r="P50">
        <v>0</v>
      </c>
      <c r="Q50" t="s">
        <v>466</v>
      </c>
    </row>
    <row r="51" spans="1:17" x14ac:dyDescent="0.3">
      <c r="A51">
        <v>241713</v>
      </c>
      <c r="B51">
        <v>116</v>
      </c>
      <c r="C51" t="s">
        <v>568</v>
      </c>
      <c r="D51" t="s">
        <v>2334</v>
      </c>
      <c r="E51" t="s">
        <v>2335</v>
      </c>
      <c r="F51" s="452">
        <v>46196</v>
      </c>
      <c r="G51" s="452">
        <v>46198</v>
      </c>
      <c r="H51" s="452">
        <v>46226</v>
      </c>
      <c r="I51">
        <v>270</v>
      </c>
      <c r="J51">
        <v>270</v>
      </c>
      <c r="K51">
        <v>0</v>
      </c>
      <c r="L51">
        <v>270</v>
      </c>
      <c r="M51">
        <v>0</v>
      </c>
      <c r="N51">
        <v>0</v>
      </c>
      <c r="O51">
        <v>0</v>
      </c>
      <c r="P51">
        <v>0</v>
      </c>
      <c r="Q51" t="s">
        <v>466</v>
      </c>
    </row>
    <row r="52" spans="1:17" x14ac:dyDescent="0.3">
      <c r="A52">
        <v>241712</v>
      </c>
      <c r="B52">
        <v>116</v>
      </c>
      <c r="C52" t="s">
        <v>568</v>
      </c>
      <c r="D52" t="s">
        <v>2284</v>
      </c>
      <c r="E52" t="s">
        <v>2336</v>
      </c>
      <c r="F52" s="452">
        <v>46197</v>
      </c>
      <c r="G52" s="452">
        <v>46199</v>
      </c>
      <c r="H52" s="452">
        <v>46227</v>
      </c>
      <c r="I52">
        <v>272.8</v>
      </c>
      <c r="J52">
        <v>202</v>
      </c>
      <c r="K52">
        <v>272.8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466</v>
      </c>
    </row>
    <row r="53" spans="1:17" x14ac:dyDescent="0.3">
      <c r="A53">
        <v>241710</v>
      </c>
      <c r="B53">
        <v>116</v>
      </c>
      <c r="C53" t="s">
        <v>568</v>
      </c>
      <c r="D53" t="s">
        <v>2277</v>
      </c>
      <c r="E53" t="s">
        <v>2337</v>
      </c>
      <c r="F53" s="452">
        <v>46197</v>
      </c>
      <c r="G53" s="452">
        <v>46198</v>
      </c>
      <c r="H53" s="452">
        <v>46218</v>
      </c>
      <c r="I53">
        <v>494.96</v>
      </c>
      <c r="J53">
        <v>485.16</v>
      </c>
      <c r="K53">
        <v>494.96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466</v>
      </c>
    </row>
    <row r="54" spans="1:17" x14ac:dyDescent="0.3">
      <c r="A54">
        <v>241707</v>
      </c>
      <c r="B54">
        <v>116</v>
      </c>
      <c r="C54" t="s">
        <v>568</v>
      </c>
      <c r="D54" t="s">
        <v>2338</v>
      </c>
      <c r="E54" t="s">
        <v>2339</v>
      </c>
      <c r="F54" s="452">
        <v>46195</v>
      </c>
      <c r="G54" s="452">
        <v>46199</v>
      </c>
      <c r="H54" s="452">
        <v>46223</v>
      </c>
      <c r="I54">
        <v>517.20000000000005</v>
      </c>
      <c r="J54">
        <v>517.20000000000005</v>
      </c>
      <c r="K54">
        <v>517.20000000000005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466</v>
      </c>
    </row>
    <row r="55" spans="1:17" x14ac:dyDescent="0.3">
      <c r="A55">
        <v>241703</v>
      </c>
      <c r="B55">
        <v>116</v>
      </c>
      <c r="C55" t="s">
        <v>568</v>
      </c>
      <c r="D55" t="s">
        <v>2340</v>
      </c>
      <c r="E55" t="s">
        <v>2341</v>
      </c>
      <c r="F55" s="452">
        <v>46197</v>
      </c>
      <c r="G55" s="452">
        <v>46199</v>
      </c>
      <c r="H55" s="452">
        <v>46225</v>
      </c>
      <c r="I55">
        <v>698.82</v>
      </c>
      <c r="J55">
        <v>698.82</v>
      </c>
      <c r="K55">
        <v>698.82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466</v>
      </c>
    </row>
    <row r="56" spans="1:17" x14ac:dyDescent="0.3">
      <c r="A56">
        <v>241701</v>
      </c>
      <c r="B56">
        <v>116</v>
      </c>
      <c r="C56" t="s">
        <v>568</v>
      </c>
      <c r="D56" t="s">
        <v>2342</v>
      </c>
      <c r="E56" t="s">
        <v>2343</v>
      </c>
      <c r="F56" s="452">
        <v>46195</v>
      </c>
      <c r="G56" s="452">
        <v>46199</v>
      </c>
      <c r="H56" s="452">
        <v>46217</v>
      </c>
      <c r="I56">
        <v>325</v>
      </c>
      <c r="J56">
        <v>325</v>
      </c>
      <c r="K56">
        <v>325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466</v>
      </c>
    </row>
    <row r="57" spans="1:17" x14ac:dyDescent="0.3">
      <c r="A57">
        <v>241697</v>
      </c>
      <c r="B57">
        <v>116</v>
      </c>
      <c r="C57" t="s">
        <v>568</v>
      </c>
      <c r="D57" t="s">
        <v>2310</v>
      </c>
      <c r="E57" t="s">
        <v>2344</v>
      </c>
      <c r="F57" s="452">
        <v>46197</v>
      </c>
      <c r="G57" s="452">
        <v>46199</v>
      </c>
      <c r="H57" s="452">
        <v>46230</v>
      </c>
      <c r="I57">
        <v>110.5</v>
      </c>
      <c r="J57">
        <v>110.5</v>
      </c>
      <c r="K57">
        <v>110.5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466</v>
      </c>
    </row>
    <row r="58" spans="1:17" x14ac:dyDescent="0.3">
      <c r="A58">
        <v>241696</v>
      </c>
      <c r="B58">
        <v>116</v>
      </c>
      <c r="C58" t="s">
        <v>568</v>
      </c>
      <c r="D58" t="s">
        <v>2262</v>
      </c>
      <c r="E58" t="s">
        <v>2345</v>
      </c>
      <c r="F58" s="452">
        <v>46199</v>
      </c>
      <c r="G58" s="452">
        <v>46199</v>
      </c>
      <c r="H58" s="452">
        <v>46227</v>
      </c>
      <c r="I58">
        <v>1254.43</v>
      </c>
      <c r="J58">
        <v>1254.43</v>
      </c>
      <c r="K58">
        <v>1254.43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466</v>
      </c>
    </row>
    <row r="59" spans="1:17" x14ac:dyDescent="0.3">
      <c r="A59">
        <v>241694</v>
      </c>
      <c r="B59">
        <v>116</v>
      </c>
      <c r="C59" t="s">
        <v>568</v>
      </c>
      <c r="D59" t="s">
        <v>2267</v>
      </c>
      <c r="E59" t="s">
        <v>2346</v>
      </c>
      <c r="F59" s="452">
        <v>46196</v>
      </c>
      <c r="G59" s="452">
        <v>46199</v>
      </c>
      <c r="H59" s="452">
        <v>46223</v>
      </c>
      <c r="I59">
        <v>430.99</v>
      </c>
      <c r="J59">
        <v>430.99</v>
      </c>
      <c r="K59">
        <v>430.99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466</v>
      </c>
    </row>
    <row r="60" spans="1:17" x14ac:dyDescent="0.3">
      <c r="A60">
        <v>241692</v>
      </c>
      <c r="B60">
        <v>116</v>
      </c>
      <c r="C60" t="s">
        <v>568</v>
      </c>
      <c r="D60" t="s">
        <v>2286</v>
      </c>
      <c r="E60" t="s">
        <v>2347</v>
      </c>
      <c r="F60" s="452">
        <v>46195</v>
      </c>
      <c r="G60" s="452">
        <v>46199</v>
      </c>
      <c r="H60" s="452">
        <v>46223</v>
      </c>
      <c r="I60">
        <v>256.39999999999998</v>
      </c>
      <c r="J60">
        <v>276.39999999999998</v>
      </c>
      <c r="K60">
        <v>256.39999999999998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466</v>
      </c>
    </row>
    <row r="61" spans="1:17" x14ac:dyDescent="0.3">
      <c r="A61">
        <v>241690</v>
      </c>
      <c r="B61">
        <v>116</v>
      </c>
      <c r="C61" t="s">
        <v>568</v>
      </c>
      <c r="D61" t="s">
        <v>2286</v>
      </c>
      <c r="E61" t="s">
        <v>2348</v>
      </c>
      <c r="F61" s="452">
        <v>46198</v>
      </c>
      <c r="G61" s="452">
        <v>46199</v>
      </c>
      <c r="H61" s="452">
        <v>46226</v>
      </c>
      <c r="I61">
        <v>750.35</v>
      </c>
      <c r="J61">
        <v>750.35</v>
      </c>
      <c r="K61">
        <v>750.35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466</v>
      </c>
    </row>
    <row r="62" spans="1:17" x14ac:dyDescent="0.3">
      <c r="A62">
        <v>241688</v>
      </c>
      <c r="B62">
        <v>116</v>
      </c>
      <c r="C62" t="s">
        <v>568</v>
      </c>
      <c r="D62" t="s">
        <v>2280</v>
      </c>
      <c r="E62" t="s">
        <v>2349</v>
      </c>
      <c r="F62" s="452">
        <v>46195</v>
      </c>
      <c r="G62" s="452">
        <v>46199</v>
      </c>
      <c r="H62" s="452">
        <v>46223</v>
      </c>
      <c r="I62">
        <v>122.36</v>
      </c>
      <c r="J62">
        <v>122.36</v>
      </c>
      <c r="K62">
        <v>122.36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466</v>
      </c>
    </row>
    <row r="63" spans="1:17" x14ac:dyDescent="0.3">
      <c r="A63">
        <v>241687</v>
      </c>
      <c r="B63">
        <v>116</v>
      </c>
      <c r="C63" t="s">
        <v>568</v>
      </c>
      <c r="D63" t="s">
        <v>2273</v>
      </c>
      <c r="E63" t="s">
        <v>2350</v>
      </c>
      <c r="F63" s="452">
        <v>46195</v>
      </c>
      <c r="G63" s="452">
        <v>46199</v>
      </c>
      <c r="H63" s="452">
        <v>46223</v>
      </c>
      <c r="I63">
        <v>282.27999999999997</v>
      </c>
      <c r="J63">
        <v>282.49</v>
      </c>
      <c r="K63">
        <v>282.27999999999997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466</v>
      </c>
    </row>
    <row r="64" spans="1:17" x14ac:dyDescent="0.3">
      <c r="A64">
        <v>241684</v>
      </c>
      <c r="B64">
        <v>116</v>
      </c>
      <c r="C64" t="s">
        <v>568</v>
      </c>
      <c r="D64" t="s">
        <v>2280</v>
      </c>
      <c r="E64" t="s">
        <v>2351</v>
      </c>
      <c r="F64" s="452">
        <v>46191</v>
      </c>
      <c r="G64" s="452">
        <v>46195</v>
      </c>
      <c r="H64" s="452">
        <v>46219</v>
      </c>
      <c r="I64">
        <v>110.15</v>
      </c>
      <c r="J64">
        <v>110.15</v>
      </c>
      <c r="K64">
        <v>110.15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466</v>
      </c>
    </row>
    <row r="65" spans="1:17" x14ac:dyDescent="0.3">
      <c r="A65">
        <v>241682</v>
      </c>
      <c r="B65">
        <v>116</v>
      </c>
      <c r="C65" t="s">
        <v>568</v>
      </c>
      <c r="D65" t="s">
        <v>2280</v>
      </c>
      <c r="E65" t="s">
        <v>2352</v>
      </c>
      <c r="F65" s="452">
        <v>46198</v>
      </c>
      <c r="G65" s="452">
        <v>46199</v>
      </c>
      <c r="H65" s="452">
        <v>46226</v>
      </c>
      <c r="I65">
        <v>318.02</v>
      </c>
      <c r="J65">
        <v>318.02</v>
      </c>
      <c r="K65">
        <v>318.02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466</v>
      </c>
    </row>
    <row r="66" spans="1:17" x14ac:dyDescent="0.3">
      <c r="A66">
        <v>241681</v>
      </c>
      <c r="B66">
        <v>116</v>
      </c>
      <c r="C66" t="s">
        <v>568</v>
      </c>
      <c r="D66" t="s">
        <v>2273</v>
      </c>
      <c r="E66" t="s">
        <v>2353</v>
      </c>
      <c r="F66" s="452">
        <v>46198</v>
      </c>
      <c r="G66" s="452">
        <v>46199</v>
      </c>
      <c r="H66" s="452">
        <v>46226</v>
      </c>
      <c r="I66">
        <v>107.04</v>
      </c>
      <c r="J66">
        <v>107.04</v>
      </c>
      <c r="K66">
        <v>107.04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466</v>
      </c>
    </row>
    <row r="67" spans="1:17" x14ac:dyDescent="0.3">
      <c r="A67">
        <v>241680</v>
      </c>
      <c r="B67">
        <v>116</v>
      </c>
      <c r="C67" t="s">
        <v>568</v>
      </c>
      <c r="D67" t="s">
        <v>2280</v>
      </c>
      <c r="E67" t="s">
        <v>2354</v>
      </c>
      <c r="F67" s="452">
        <v>46199</v>
      </c>
      <c r="G67" s="452">
        <v>46200</v>
      </c>
      <c r="H67" s="452">
        <v>46227</v>
      </c>
      <c r="I67">
        <v>36</v>
      </c>
      <c r="J67">
        <v>104</v>
      </c>
      <c r="K67">
        <v>36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466</v>
      </c>
    </row>
    <row r="68" spans="1:17" x14ac:dyDescent="0.3">
      <c r="A68">
        <v>241678</v>
      </c>
      <c r="B68">
        <v>116</v>
      </c>
      <c r="C68" t="s">
        <v>568</v>
      </c>
      <c r="D68" t="s">
        <v>2280</v>
      </c>
      <c r="E68" t="s">
        <v>2355</v>
      </c>
      <c r="F68" s="452">
        <v>46199</v>
      </c>
      <c r="G68" s="452">
        <v>46200</v>
      </c>
      <c r="H68" s="452">
        <v>46227</v>
      </c>
      <c r="I68">
        <v>104</v>
      </c>
      <c r="J68">
        <v>104</v>
      </c>
      <c r="K68">
        <v>104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466</v>
      </c>
    </row>
    <row r="69" spans="1:17" x14ac:dyDescent="0.3">
      <c r="A69">
        <v>241676</v>
      </c>
      <c r="B69">
        <v>116</v>
      </c>
      <c r="C69" t="s">
        <v>568</v>
      </c>
      <c r="D69" t="s">
        <v>2269</v>
      </c>
      <c r="E69" t="s">
        <v>2356</v>
      </c>
      <c r="F69" s="452">
        <v>46195</v>
      </c>
      <c r="G69" s="452">
        <v>46199</v>
      </c>
      <c r="H69" s="452">
        <v>46222</v>
      </c>
      <c r="I69">
        <v>103.23</v>
      </c>
      <c r="J69">
        <v>103.23</v>
      </c>
      <c r="K69">
        <v>103.23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466</v>
      </c>
    </row>
    <row r="70" spans="1:17" x14ac:dyDescent="0.3">
      <c r="A70">
        <v>241675</v>
      </c>
      <c r="B70">
        <v>116</v>
      </c>
      <c r="C70" t="s">
        <v>568</v>
      </c>
      <c r="D70" t="s">
        <v>2357</v>
      </c>
      <c r="E70" t="s">
        <v>2358</v>
      </c>
      <c r="F70" s="452">
        <v>46195</v>
      </c>
      <c r="G70" s="452">
        <v>46198</v>
      </c>
      <c r="H70" s="452">
        <v>46209</v>
      </c>
      <c r="I70">
        <v>355.08</v>
      </c>
      <c r="J70">
        <v>355.08</v>
      </c>
      <c r="K70">
        <v>355.08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466</v>
      </c>
    </row>
    <row r="71" spans="1:17" x14ac:dyDescent="0.3">
      <c r="A71">
        <v>241674</v>
      </c>
      <c r="B71">
        <v>116</v>
      </c>
      <c r="C71" t="s">
        <v>568</v>
      </c>
      <c r="D71" t="s">
        <v>2359</v>
      </c>
      <c r="E71" t="s">
        <v>2360</v>
      </c>
      <c r="F71" s="452">
        <v>46195</v>
      </c>
      <c r="G71" s="452">
        <v>46198</v>
      </c>
      <c r="H71" s="452">
        <v>46209</v>
      </c>
      <c r="I71">
        <v>328.02</v>
      </c>
      <c r="J71">
        <v>328.02</v>
      </c>
      <c r="K71">
        <v>0</v>
      </c>
      <c r="L71">
        <v>328.02</v>
      </c>
      <c r="M71">
        <v>0</v>
      </c>
      <c r="N71">
        <v>0</v>
      </c>
      <c r="O71">
        <v>0</v>
      </c>
      <c r="P71">
        <v>0</v>
      </c>
      <c r="Q71" t="s">
        <v>466</v>
      </c>
    </row>
    <row r="72" spans="1:17" x14ac:dyDescent="0.3">
      <c r="A72">
        <v>241671</v>
      </c>
      <c r="B72">
        <v>116</v>
      </c>
      <c r="C72" t="s">
        <v>568</v>
      </c>
      <c r="D72" t="s">
        <v>2361</v>
      </c>
      <c r="E72" t="s">
        <v>2362</v>
      </c>
      <c r="F72" s="452">
        <v>46196</v>
      </c>
      <c r="G72" s="452">
        <v>46198</v>
      </c>
      <c r="H72" s="452">
        <v>46210</v>
      </c>
      <c r="I72">
        <v>183</v>
      </c>
      <c r="J72">
        <v>158</v>
      </c>
      <c r="K72">
        <v>183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466</v>
      </c>
    </row>
    <row r="73" spans="1:17" x14ac:dyDescent="0.3">
      <c r="A73">
        <v>241670</v>
      </c>
      <c r="B73">
        <v>116</v>
      </c>
      <c r="C73" t="s">
        <v>568</v>
      </c>
      <c r="D73" t="s">
        <v>2260</v>
      </c>
      <c r="E73" t="s">
        <v>2363</v>
      </c>
      <c r="F73" s="452">
        <v>46196</v>
      </c>
      <c r="G73" s="452">
        <v>46199</v>
      </c>
      <c r="H73" s="452">
        <v>46217</v>
      </c>
      <c r="I73">
        <v>1357.7</v>
      </c>
      <c r="J73">
        <v>1347.7</v>
      </c>
      <c r="K73">
        <v>1357.7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466</v>
      </c>
    </row>
    <row r="74" spans="1:17" x14ac:dyDescent="0.3">
      <c r="A74">
        <v>241022</v>
      </c>
      <c r="B74">
        <v>116</v>
      </c>
      <c r="C74" t="s">
        <v>568</v>
      </c>
      <c r="D74" t="s">
        <v>2314</v>
      </c>
      <c r="E74" t="s">
        <v>2364</v>
      </c>
      <c r="F74" s="452">
        <v>46174</v>
      </c>
      <c r="G74" s="452">
        <v>46198</v>
      </c>
      <c r="H74" s="452">
        <v>46199</v>
      </c>
      <c r="I74">
        <v>809.99</v>
      </c>
      <c r="J74">
        <v>612</v>
      </c>
      <c r="K74">
        <v>0</v>
      </c>
      <c r="L74">
        <v>809.99</v>
      </c>
      <c r="M74">
        <v>0</v>
      </c>
      <c r="N74">
        <v>0</v>
      </c>
      <c r="O74">
        <v>0</v>
      </c>
      <c r="P74">
        <v>0</v>
      </c>
      <c r="Q74" t="s">
        <v>466</v>
      </c>
    </row>
    <row r="75" spans="1:17" x14ac:dyDescent="0.3">
      <c r="A75">
        <v>241021</v>
      </c>
      <c r="B75">
        <v>116</v>
      </c>
      <c r="C75" t="s">
        <v>568</v>
      </c>
      <c r="D75" t="s">
        <v>2314</v>
      </c>
      <c r="E75" t="s">
        <v>2365</v>
      </c>
      <c r="F75" s="452">
        <v>46174</v>
      </c>
      <c r="G75" s="452">
        <v>46198</v>
      </c>
      <c r="H75" s="452">
        <v>46199</v>
      </c>
      <c r="I75">
        <v>3870</v>
      </c>
      <c r="J75">
        <v>2896.8</v>
      </c>
      <c r="K75">
        <v>0</v>
      </c>
      <c r="L75">
        <v>3870</v>
      </c>
      <c r="M75">
        <v>0</v>
      </c>
      <c r="N75">
        <v>0</v>
      </c>
      <c r="O75">
        <v>0</v>
      </c>
      <c r="P75">
        <v>0</v>
      </c>
      <c r="Q75" t="s">
        <v>466</v>
      </c>
    </row>
    <row r="76" spans="1:17" x14ac:dyDescent="0.3">
      <c r="A76">
        <v>240891</v>
      </c>
      <c r="B76">
        <v>116</v>
      </c>
      <c r="C76" t="s">
        <v>568</v>
      </c>
      <c r="D76" t="s">
        <v>2282</v>
      </c>
      <c r="E76" t="s">
        <v>2366</v>
      </c>
      <c r="F76" s="452">
        <v>46191</v>
      </c>
      <c r="G76" s="452">
        <v>46195</v>
      </c>
      <c r="H76" s="452">
        <v>46205</v>
      </c>
      <c r="I76">
        <v>110.4</v>
      </c>
      <c r="J76">
        <v>110.4</v>
      </c>
      <c r="K76">
        <v>0</v>
      </c>
      <c r="L76">
        <v>0</v>
      </c>
      <c r="M76">
        <v>0</v>
      </c>
      <c r="N76">
        <v>110.4</v>
      </c>
      <c r="O76">
        <v>0</v>
      </c>
      <c r="P76">
        <v>0</v>
      </c>
      <c r="Q76" t="s">
        <v>466</v>
      </c>
    </row>
    <row r="77" spans="1:17" x14ac:dyDescent="0.3">
      <c r="A77">
        <v>240890</v>
      </c>
      <c r="B77">
        <v>116</v>
      </c>
      <c r="C77" t="s">
        <v>568</v>
      </c>
      <c r="D77" t="s">
        <v>2367</v>
      </c>
      <c r="E77" t="s">
        <v>2368</v>
      </c>
      <c r="F77" s="452">
        <v>46190</v>
      </c>
      <c r="G77" s="452">
        <v>46195</v>
      </c>
      <c r="H77" s="452">
        <v>46204</v>
      </c>
      <c r="I77">
        <v>466.44</v>
      </c>
      <c r="J77">
        <v>466.44</v>
      </c>
      <c r="K77">
        <v>466.44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466</v>
      </c>
    </row>
    <row r="78" spans="1:17" x14ac:dyDescent="0.3">
      <c r="A78">
        <v>240889</v>
      </c>
      <c r="B78">
        <v>116</v>
      </c>
      <c r="C78" t="s">
        <v>568</v>
      </c>
      <c r="D78" t="s">
        <v>2258</v>
      </c>
      <c r="E78" t="s">
        <v>2369</v>
      </c>
      <c r="F78" s="452">
        <v>46197</v>
      </c>
      <c r="G78" s="452">
        <v>46197</v>
      </c>
      <c r="H78" s="452">
        <v>46209</v>
      </c>
      <c r="I78">
        <v>265.38</v>
      </c>
      <c r="J78">
        <v>250.38</v>
      </c>
      <c r="K78">
        <v>265.38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466</v>
      </c>
    </row>
    <row r="79" spans="1:17" x14ac:dyDescent="0.3">
      <c r="A79">
        <v>240682</v>
      </c>
      <c r="B79">
        <v>116</v>
      </c>
      <c r="C79" t="s">
        <v>568</v>
      </c>
      <c r="D79" t="s">
        <v>2260</v>
      </c>
      <c r="E79" t="s">
        <v>2370</v>
      </c>
      <c r="F79" s="452">
        <v>46188</v>
      </c>
      <c r="G79" s="452">
        <v>46191</v>
      </c>
      <c r="H79" s="452">
        <v>46210</v>
      </c>
      <c r="I79">
        <v>3884.87</v>
      </c>
      <c r="J79">
        <v>3856.17</v>
      </c>
      <c r="K79">
        <v>3884.87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466</v>
      </c>
    </row>
    <row r="80" spans="1:17" x14ac:dyDescent="0.3">
      <c r="A80">
        <v>240681</v>
      </c>
      <c r="B80">
        <v>116</v>
      </c>
      <c r="C80" t="s">
        <v>568</v>
      </c>
      <c r="D80" t="s">
        <v>2282</v>
      </c>
      <c r="E80" t="s">
        <v>2371</v>
      </c>
      <c r="F80" s="452">
        <v>46188</v>
      </c>
      <c r="G80" s="452">
        <v>46191</v>
      </c>
      <c r="H80" s="452">
        <v>46202</v>
      </c>
      <c r="I80">
        <v>134.55000000000001</v>
      </c>
      <c r="J80">
        <v>134.55000000000001</v>
      </c>
      <c r="K80">
        <v>0</v>
      </c>
      <c r="L80">
        <v>0</v>
      </c>
      <c r="M80">
        <v>0</v>
      </c>
      <c r="N80">
        <v>134.55000000000001</v>
      </c>
      <c r="O80">
        <v>0</v>
      </c>
      <c r="P80">
        <v>0</v>
      </c>
      <c r="Q80" t="s">
        <v>466</v>
      </c>
    </row>
    <row r="81" spans="1:17" x14ac:dyDescent="0.3">
      <c r="A81">
        <v>240680</v>
      </c>
      <c r="B81">
        <v>116</v>
      </c>
      <c r="C81" t="s">
        <v>568</v>
      </c>
      <c r="D81" t="s">
        <v>2277</v>
      </c>
      <c r="E81" t="s">
        <v>2372</v>
      </c>
      <c r="F81" s="452">
        <v>46190</v>
      </c>
      <c r="G81" s="452">
        <v>46191</v>
      </c>
      <c r="H81" s="452">
        <v>46211</v>
      </c>
      <c r="I81">
        <v>357.71</v>
      </c>
      <c r="J81">
        <v>348.81</v>
      </c>
      <c r="K81">
        <v>357.71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466</v>
      </c>
    </row>
    <row r="82" spans="1:17" x14ac:dyDescent="0.3">
      <c r="A82">
        <v>240678</v>
      </c>
      <c r="B82">
        <v>116</v>
      </c>
      <c r="C82" t="s">
        <v>568</v>
      </c>
      <c r="D82" t="s">
        <v>2277</v>
      </c>
      <c r="E82" t="s">
        <v>2373</v>
      </c>
      <c r="F82" s="452">
        <v>46188</v>
      </c>
      <c r="G82" s="452">
        <v>46191</v>
      </c>
      <c r="H82" s="452">
        <v>46209</v>
      </c>
      <c r="I82">
        <v>690.43</v>
      </c>
      <c r="J82">
        <v>688.16</v>
      </c>
      <c r="K82">
        <v>690.43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466</v>
      </c>
    </row>
    <row r="83" spans="1:17" x14ac:dyDescent="0.3">
      <c r="A83">
        <v>240675</v>
      </c>
      <c r="B83">
        <v>116</v>
      </c>
      <c r="C83" t="s">
        <v>568</v>
      </c>
      <c r="D83" t="s">
        <v>2258</v>
      </c>
      <c r="E83" t="s">
        <v>2374</v>
      </c>
      <c r="F83" s="452">
        <v>46190</v>
      </c>
      <c r="G83" s="452">
        <v>46191</v>
      </c>
      <c r="H83" s="452">
        <v>46204</v>
      </c>
      <c r="I83">
        <v>180.1</v>
      </c>
      <c r="J83">
        <v>165.1</v>
      </c>
      <c r="K83">
        <v>180.1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466</v>
      </c>
    </row>
    <row r="84" spans="1:17" x14ac:dyDescent="0.3">
      <c r="A84">
        <v>240674</v>
      </c>
      <c r="B84">
        <v>116</v>
      </c>
      <c r="C84" t="s">
        <v>568</v>
      </c>
      <c r="D84" t="s">
        <v>2260</v>
      </c>
      <c r="E84" t="s">
        <v>2375</v>
      </c>
      <c r="F84" s="452">
        <v>46188</v>
      </c>
      <c r="G84" s="452">
        <v>46191</v>
      </c>
      <c r="H84" s="452">
        <v>46203</v>
      </c>
      <c r="I84">
        <v>254.4</v>
      </c>
      <c r="J84">
        <v>254.4</v>
      </c>
      <c r="K84">
        <v>254.4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466</v>
      </c>
    </row>
    <row r="85" spans="1:17" x14ac:dyDescent="0.3">
      <c r="A85">
        <v>240672</v>
      </c>
      <c r="B85">
        <v>116</v>
      </c>
      <c r="C85" t="s">
        <v>568</v>
      </c>
      <c r="D85" t="s">
        <v>2320</v>
      </c>
      <c r="E85" t="s">
        <v>2376</v>
      </c>
      <c r="F85" s="452">
        <v>46190</v>
      </c>
      <c r="G85" s="452">
        <v>46191</v>
      </c>
      <c r="H85" s="452">
        <v>46204</v>
      </c>
      <c r="I85">
        <v>1058.1300000000001</v>
      </c>
      <c r="J85">
        <v>1058.1300000000001</v>
      </c>
      <c r="K85">
        <v>1058.1300000000001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466</v>
      </c>
    </row>
    <row r="86" spans="1:17" x14ac:dyDescent="0.3">
      <c r="A86">
        <v>240670</v>
      </c>
      <c r="B86">
        <v>116</v>
      </c>
      <c r="C86" t="s">
        <v>568</v>
      </c>
      <c r="D86" t="s">
        <v>2318</v>
      </c>
      <c r="E86" t="s">
        <v>2377</v>
      </c>
      <c r="F86" s="452">
        <v>46188</v>
      </c>
      <c r="G86" s="452">
        <v>46191</v>
      </c>
      <c r="H86" s="452">
        <v>46202</v>
      </c>
      <c r="I86">
        <v>1119.8599999999999</v>
      </c>
      <c r="J86">
        <v>1119.8599999999999</v>
      </c>
      <c r="K86">
        <v>1119.8599999999999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466</v>
      </c>
    </row>
    <row r="87" spans="1:17" x14ac:dyDescent="0.3">
      <c r="A87">
        <v>240664</v>
      </c>
      <c r="B87">
        <v>116</v>
      </c>
      <c r="C87" t="s">
        <v>568</v>
      </c>
      <c r="D87" t="s">
        <v>2323</v>
      </c>
      <c r="E87" t="s">
        <v>2378</v>
      </c>
      <c r="F87" s="452">
        <v>46189</v>
      </c>
      <c r="G87" s="452">
        <v>46191</v>
      </c>
      <c r="H87" s="452">
        <v>46204</v>
      </c>
      <c r="I87">
        <v>1076.54</v>
      </c>
      <c r="J87">
        <v>1076.54</v>
      </c>
      <c r="K87">
        <v>1076.54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466</v>
      </c>
    </row>
    <row r="88" spans="1:17" x14ac:dyDescent="0.3">
      <c r="A88">
        <v>240663</v>
      </c>
      <c r="B88">
        <v>116</v>
      </c>
      <c r="C88" t="s">
        <v>568</v>
      </c>
      <c r="D88" t="s">
        <v>2265</v>
      </c>
      <c r="E88" t="s">
        <v>1522</v>
      </c>
      <c r="F88" s="452">
        <v>46189</v>
      </c>
      <c r="G88" s="452">
        <v>46191</v>
      </c>
      <c r="H88" s="452">
        <v>46203</v>
      </c>
      <c r="I88">
        <v>1138.53</v>
      </c>
      <c r="J88">
        <v>867.16</v>
      </c>
      <c r="K88">
        <v>0</v>
      </c>
      <c r="L88">
        <v>0</v>
      </c>
      <c r="M88">
        <v>1096.52</v>
      </c>
      <c r="N88">
        <v>0</v>
      </c>
      <c r="O88">
        <v>42.01</v>
      </c>
      <c r="P88">
        <v>0</v>
      </c>
      <c r="Q88" t="s">
        <v>466</v>
      </c>
    </row>
    <row r="89" spans="1:17" x14ac:dyDescent="0.3">
      <c r="A89">
        <v>240661</v>
      </c>
      <c r="B89">
        <v>116</v>
      </c>
      <c r="C89" t="s">
        <v>568</v>
      </c>
      <c r="D89" t="s">
        <v>2379</v>
      </c>
      <c r="E89" t="s">
        <v>2380</v>
      </c>
      <c r="F89" s="452">
        <v>46174</v>
      </c>
      <c r="G89" s="452">
        <v>46185</v>
      </c>
      <c r="H89" s="452">
        <v>46209</v>
      </c>
      <c r="I89">
        <v>2279.75</v>
      </c>
      <c r="J89">
        <v>1827</v>
      </c>
      <c r="K89">
        <v>0</v>
      </c>
      <c r="L89">
        <v>2279.75</v>
      </c>
      <c r="M89">
        <v>0</v>
      </c>
      <c r="N89">
        <v>0</v>
      </c>
      <c r="O89">
        <v>0</v>
      </c>
      <c r="P89">
        <v>0</v>
      </c>
      <c r="Q89" t="s">
        <v>466</v>
      </c>
    </row>
    <row r="90" spans="1:17" x14ac:dyDescent="0.3">
      <c r="A90">
        <v>239898</v>
      </c>
      <c r="B90">
        <v>116</v>
      </c>
      <c r="C90" t="s">
        <v>568</v>
      </c>
      <c r="D90" t="s">
        <v>2381</v>
      </c>
      <c r="E90" t="s">
        <v>2382</v>
      </c>
      <c r="F90" s="452">
        <v>46182</v>
      </c>
      <c r="G90" s="452">
        <v>46185</v>
      </c>
      <c r="H90" s="452">
        <v>46210</v>
      </c>
      <c r="I90">
        <v>1824.55</v>
      </c>
      <c r="J90">
        <v>1824.6</v>
      </c>
      <c r="K90">
        <v>1824.55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466</v>
      </c>
    </row>
    <row r="91" spans="1:17" x14ac:dyDescent="0.3">
      <c r="A91">
        <v>239896</v>
      </c>
      <c r="B91">
        <v>116</v>
      </c>
      <c r="C91" t="s">
        <v>568</v>
      </c>
      <c r="D91" t="s">
        <v>2383</v>
      </c>
      <c r="E91" t="s">
        <v>2384</v>
      </c>
      <c r="F91" s="452">
        <v>46178</v>
      </c>
      <c r="G91" s="452">
        <v>46185</v>
      </c>
      <c r="H91" s="452">
        <v>46206</v>
      </c>
      <c r="I91">
        <v>2189.6999999999998</v>
      </c>
      <c r="J91">
        <v>2159.71</v>
      </c>
      <c r="K91">
        <v>0</v>
      </c>
      <c r="L91">
        <v>0</v>
      </c>
      <c r="M91">
        <v>0</v>
      </c>
      <c r="N91">
        <v>0</v>
      </c>
      <c r="O91">
        <v>2189.6999999999998</v>
      </c>
      <c r="P91">
        <v>0</v>
      </c>
      <c r="Q91" t="s">
        <v>466</v>
      </c>
    </row>
    <row r="92" spans="1:17" x14ac:dyDescent="0.3">
      <c r="A92">
        <v>239893</v>
      </c>
      <c r="B92">
        <v>116</v>
      </c>
      <c r="C92" t="s">
        <v>568</v>
      </c>
      <c r="D92" t="s">
        <v>2385</v>
      </c>
      <c r="E92" t="s">
        <v>2386</v>
      </c>
      <c r="F92" s="452">
        <v>46184</v>
      </c>
      <c r="G92" s="452">
        <v>46185</v>
      </c>
      <c r="H92" s="452">
        <v>46205</v>
      </c>
      <c r="I92">
        <v>739.85</v>
      </c>
      <c r="J92">
        <v>707.85</v>
      </c>
      <c r="K92">
        <v>739.85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466</v>
      </c>
    </row>
    <row r="93" spans="1:17" x14ac:dyDescent="0.3">
      <c r="A93">
        <v>239889</v>
      </c>
      <c r="B93">
        <v>116</v>
      </c>
      <c r="C93" t="s">
        <v>568</v>
      </c>
      <c r="D93" t="s">
        <v>2387</v>
      </c>
      <c r="E93" t="s">
        <v>2388</v>
      </c>
      <c r="F93" s="452">
        <v>46182</v>
      </c>
      <c r="G93" s="452">
        <v>46185</v>
      </c>
      <c r="H93" s="452">
        <v>46210</v>
      </c>
      <c r="I93">
        <v>988</v>
      </c>
      <c r="J93">
        <v>988</v>
      </c>
      <c r="K93">
        <v>0</v>
      </c>
      <c r="L93">
        <v>0</v>
      </c>
      <c r="M93">
        <v>988</v>
      </c>
      <c r="N93">
        <v>0</v>
      </c>
      <c r="O93">
        <v>0</v>
      </c>
      <c r="P93">
        <v>0</v>
      </c>
      <c r="Q93" t="s">
        <v>466</v>
      </c>
    </row>
    <row r="94" spans="1:17" x14ac:dyDescent="0.3">
      <c r="A94">
        <v>239888</v>
      </c>
      <c r="B94">
        <v>116</v>
      </c>
      <c r="C94" t="s">
        <v>568</v>
      </c>
      <c r="D94" t="s">
        <v>2267</v>
      </c>
      <c r="E94" t="s">
        <v>2389</v>
      </c>
      <c r="F94" s="452">
        <v>46186</v>
      </c>
      <c r="G94" s="452">
        <v>46188</v>
      </c>
      <c r="H94" s="452">
        <v>46213</v>
      </c>
      <c r="I94">
        <v>640.79999999999995</v>
      </c>
      <c r="J94">
        <v>640.79999999999995</v>
      </c>
      <c r="K94">
        <v>640.79999999999995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466</v>
      </c>
    </row>
    <row r="95" spans="1:17" x14ac:dyDescent="0.3">
      <c r="A95">
        <v>239887</v>
      </c>
      <c r="B95">
        <v>116</v>
      </c>
      <c r="C95" t="s">
        <v>568</v>
      </c>
      <c r="D95" t="s">
        <v>2269</v>
      </c>
      <c r="E95" t="s">
        <v>2390</v>
      </c>
      <c r="F95" s="452">
        <v>46183</v>
      </c>
      <c r="G95" s="452">
        <v>46185</v>
      </c>
      <c r="H95" s="452">
        <v>46213</v>
      </c>
      <c r="I95">
        <v>103.23</v>
      </c>
      <c r="J95">
        <v>103.23</v>
      </c>
      <c r="K95">
        <v>103.23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466</v>
      </c>
    </row>
    <row r="96" spans="1:17" x14ac:dyDescent="0.3">
      <c r="A96">
        <v>239728</v>
      </c>
      <c r="B96">
        <v>116</v>
      </c>
      <c r="C96" t="s">
        <v>568</v>
      </c>
      <c r="D96" t="s">
        <v>2334</v>
      </c>
      <c r="E96" t="s">
        <v>2391</v>
      </c>
      <c r="F96" s="452">
        <v>46183</v>
      </c>
      <c r="G96" s="452">
        <v>46185</v>
      </c>
      <c r="H96" s="452">
        <v>46213</v>
      </c>
      <c r="I96">
        <v>329</v>
      </c>
      <c r="J96">
        <v>329</v>
      </c>
      <c r="K96">
        <v>179</v>
      </c>
      <c r="L96">
        <v>150</v>
      </c>
      <c r="M96">
        <v>0</v>
      </c>
      <c r="N96">
        <v>0</v>
      </c>
      <c r="O96">
        <v>0</v>
      </c>
      <c r="P96">
        <v>0</v>
      </c>
      <c r="Q96" t="s">
        <v>466</v>
      </c>
    </row>
    <row r="97" spans="1:17" x14ac:dyDescent="0.3">
      <c r="A97">
        <v>239726</v>
      </c>
      <c r="B97">
        <v>116</v>
      </c>
      <c r="C97" t="s">
        <v>568</v>
      </c>
      <c r="D97" t="s">
        <v>2271</v>
      </c>
      <c r="E97" t="s">
        <v>2392</v>
      </c>
      <c r="F97" s="452">
        <v>46185</v>
      </c>
      <c r="G97" s="452">
        <v>46188</v>
      </c>
      <c r="H97" s="452">
        <v>46216</v>
      </c>
      <c r="I97">
        <v>440.08</v>
      </c>
      <c r="J97">
        <v>440.08</v>
      </c>
      <c r="K97">
        <v>0</v>
      </c>
      <c r="L97">
        <v>440.08</v>
      </c>
      <c r="M97">
        <v>0</v>
      </c>
      <c r="N97">
        <v>0</v>
      </c>
      <c r="O97">
        <v>0</v>
      </c>
      <c r="P97">
        <v>0</v>
      </c>
      <c r="Q97" t="s">
        <v>466</v>
      </c>
    </row>
    <row r="98" spans="1:17" x14ac:dyDescent="0.3">
      <c r="A98">
        <v>239723</v>
      </c>
      <c r="B98">
        <v>116</v>
      </c>
      <c r="C98" t="s">
        <v>568</v>
      </c>
      <c r="D98" t="s">
        <v>2340</v>
      </c>
      <c r="E98" t="s">
        <v>2393</v>
      </c>
      <c r="F98" s="452">
        <v>46182</v>
      </c>
      <c r="G98" s="452">
        <v>46185</v>
      </c>
      <c r="H98" s="452">
        <v>46211</v>
      </c>
      <c r="I98">
        <v>479.86</v>
      </c>
      <c r="J98">
        <v>479.86</v>
      </c>
      <c r="K98">
        <v>479.86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466</v>
      </c>
    </row>
    <row r="99" spans="1:17" x14ac:dyDescent="0.3">
      <c r="A99">
        <v>239721</v>
      </c>
      <c r="B99">
        <v>116</v>
      </c>
      <c r="C99" t="s">
        <v>568</v>
      </c>
      <c r="D99" t="s">
        <v>2332</v>
      </c>
      <c r="E99" t="s">
        <v>2394</v>
      </c>
      <c r="F99" s="452">
        <v>46184</v>
      </c>
      <c r="G99" s="452">
        <v>46188</v>
      </c>
      <c r="H99" s="452">
        <v>46206</v>
      </c>
      <c r="I99">
        <v>309</v>
      </c>
      <c r="J99">
        <v>309</v>
      </c>
      <c r="K99">
        <v>0</v>
      </c>
      <c r="L99">
        <v>309</v>
      </c>
      <c r="M99">
        <v>0</v>
      </c>
      <c r="N99">
        <v>0</v>
      </c>
      <c r="O99">
        <v>0</v>
      </c>
      <c r="P99">
        <v>0</v>
      </c>
      <c r="Q99" t="s">
        <v>466</v>
      </c>
    </row>
    <row r="100" spans="1:17" x14ac:dyDescent="0.3">
      <c r="A100">
        <v>239719</v>
      </c>
      <c r="B100">
        <v>116</v>
      </c>
      <c r="C100" t="s">
        <v>568</v>
      </c>
      <c r="D100" t="s">
        <v>2286</v>
      </c>
      <c r="E100" t="s">
        <v>2395</v>
      </c>
      <c r="F100" s="452">
        <v>46184</v>
      </c>
      <c r="G100" s="452">
        <v>46188</v>
      </c>
      <c r="H100" s="452">
        <v>46212</v>
      </c>
      <c r="I100">
        <v>388.6</v>
      </c>
      <c r="J100">
        <v>388.6</v>
      </c>
      <c r="K100">
        <v>388.6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466</v>
      </c>
    </row>
    <row r="101" spans="1:17" x14ac:dyDescent="0.3">
      <c r="A101">
        <v>239717</v>
      </c>
      <c r="B101">
        <v>116</v>
      </c>
      <c r="C101" t="s">
        <v>568</v>
      </c>
      <c r="D101" t="s">
        <v>2286</v>
      </c>
      <c r="E101" t="s">
        <v>2396</v>
      </c>
      <c r="F101" s="452">
        <v>46181</v>
      </c>
      <c r="G101" s="452">
        <v>46185</v>
      </c>
      <c r="H101" s="452">
        <v>46209</v>
      </c>
      <c r="I101">
        <v>633.04999999999995</v>
      </c>
      <c r="J101">
        <v>633.04999999999995</v>
      </c>
      <c r="K101">
        <v>633.04999999999995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466</v>
      </c>
    </row>
    <row r="102" spans="1:17" x14ac:dyDescent="0.3">
      <c r="A102">
        <v>239711</v>
      </c>
      <c r="B102">
        <v>116</v>
      </c>
      <c r="C102" t="s">
        <v>568</v>
      </c>
      <c r="D102" t="s">
        <v>2284</v>
      </c>
      <c r="E102" t="s">
        <v>2397</v>
      </c>
      <c r="F102" s="452">
        <v>46184</v>
      </c>
      <c r="G102" s="452">
        <v>46188</v>
      </c>
      <c r="H102" s="452">
        <v>46213</v>
      </c>
      <c r="I102">
        <v>161.66</v>
      </c>
      <c r="J102">
        <v>161.66</v>
      </c>
      <c r="K102">
        <v>161.66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466</v>
      </c>
    </row>
    <row r="103" spans="1:17" x14ac:dyDescent="0.3">
      <c r="A103">
        <v>239707</v>
      </c>
      <c r="B103">
        <v>116</v>
      </c>
      <c r="C103" t="s">
        <v>568</v>
      </c>
      <c r="D103" t="s">
        <v>2284</v>
      </c>
      <c r="E103" t="s">
        <v>2398</v>
      </c>
      <c r="F103" s="452">
        <v>46183</v>
      </c>
      <c r="G103" s="452">
        <v>46185</v>
      </c>
      <c r="H103" s="452">
        <v>46213</v>
      </c>
      <c r="I103">
        <v>791.43</v>
      </c>
      <c r="J103">
        <v>791.43</v>
      </c>
      <c r="K103">
        <v>637.83000000000004</v>
      </c>
      <c r="L103">
        <v>153.6</v>
      </c>
      <c r="M103">
        <v>0</v>
      </c>
      <c r="N103">
        <v>0</v>
      </c>
      <c r="O103">
        <v>0</v>
      </c>
      <c r="P103">
        <v>0</v>
      </c>
      <c r="Q103" t="s">
        <v>466</v>
      </c>
    </row>
    <row r="104" spans="1:17" x14ac:dyDescent="0.3">
      <c r="A104">
        <v>239705</v>
      </c>
      <c r="B104">
        <v>116</v>
      </c>
      <c r="C104" t="s">
        <v>568</v>
      </c>
      <c r="D104" t="s">
        <v>2284</v>
      </c>
      <c r="E104" t="s">
        <v>2399</v>
      </c>
      <c r="F104" s="452">
        <v>46182</v>
      </c>
      <c r="G104" s="452">
        <v>46185</v>
      </c>
      <c r="H104" s="452">
        <v>46210</v>
      </c>
      <c r="I104">
        <v>187.3</v>
      </c>
      <c r="J104">
        <v>187.3</v>
      </c>
      <c r="K104">
        <v>187.3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466</v>
      </c>
    </row>
    <row r="105" spans="1:17" x14ac:dyDescent="0.3">
      <c r="A105">
        <v>239704</v>
      </c>
      <c r="B105">
        <v>116</v>
      </c>
      <c r="C105" t="s">
        <v>568</v>
      </c>
      <c r="D105" t="s">
        <v>2273</v>
      </c>
      <c r="E105" t="s">
        <v>2400</v>
      </c>
      <c r="F105" s="452">
        <v>46184</v>
      </c>
      <c r="G105" s="452">
        <v>46188</v>
      </c>
      <c r="H105" s="452">
        <v>46212</v>
      </c>
      <c r="I105">
        <v>599.57000000000005</v>
      </c>
      <c r="J105">
        <v>479.15</v>
      </c>
      <c r="K105">
        <v>599.57000000000005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466</v>
      </c>
    </row>
    <row r="106" spans="1:17" x14ac:dyDescent="0.3">
      <c r="A106">
        <v>239703</v>
      </c>
      <c r="B106">
        <v>116</v>
      </c>
      <c r="C106" t="s">
        <v>568</v>
      </c>
      <c r="D106" t="s">
        <v>2277</v>
      </c>
      <c r="E106" t="s">
        <v>2401</v>
      </c>
      <c r="F106" s="452">
        <v>46184</v>
      </c>
      <c r="G106" s="452">
        <v>46185</v>
      </c>
      <c r="H106" s="452">
        <v>46205</v>
      </c>
      <c r="I106">
        <v>113.15</v>
      </c>
      <c r="J106">
        <v>104.25</v>
      </c>
      <c r="K106">
        <v>113.15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466</v>
      </c>
    </row>
    <row r="107" spans="1:17" x14ac:dyDescent="0.3">
      <c r="A107">
        <v>239702</v>
      </c>
      <c r="B107">
        <v>116</v>
      </c>
      <c r="C107" t="s">
        <v>568</v>
      </c>
      <c r="D107" t="s">
        <v>2277</v>
      </c>
      <c r="E107" t="s">
        <v>2402</v>
      </c>
      <c r="F107" s="452">
        <v>46183</v>
      </c>
      <c r="G107" s="452">
        <v>46185</v>
      </c>
      <c r="H107" s="452">
        <v>46204</v>
      </c>
      <c r="I107">
        <v>440.86</v>
      </c>
      <c r="J107">
        <v>431.96</v>
      </c>
      <c r="K107">
        <v>440.86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466</v>
      </c>
    </row>
    <row r="108" spans="1:17" x14ac:dyDescent="0.3">
      <c r="A108">
        <v>239700</v>
      </c>
      <c r="B108">
        <v>116</v>
      </c>
      <c r="C108" t="s">
        <v>568</v>
      </c>
      <c r="D108" t="s">
        <v>2280</v>
      </c>
      <c r="E108" t="s">
        <v>2403</v>
      </c>
      <c r="F108" s="452">
        <v>46184</v>
      </c>
      <c r="G108" s="452">
        <v>46188</v>
      </c>
      <c r="H108" s="452">
        <v>46212</v>
      </c>
      <c r="I108">
        <v>151.62</v>
      </c>
      <c r="J108">
        <v>151.62</v>
      </c>
      <c r="K108">
        <v>151.62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466</v>
      </c>
    </row>
    <row r="109" spans="1:17" x14ac:dyDescent="0.3">
      <c r="A109">
        <v>239698</v>
      </c>
      <c r="B109">
        <v>116</v>
      </c>
      <c r="C109" t="s">
        <v>568</v>
      </c>
      <c r="D109" t="s">
        <v>2280</v>
      </c>
      <c r="E109" t="s">
        <v>2404</v>
      </c>
      <c r="F109" s="452">
        <v>46181</v>
      </c>
      <c r="G109" s="452">
        <v>46185</v>
      </c>
      <c r="H109" s="452">
        <v>46209</v>
      </c>
      <c r="I109">
        <v>118.1</v>
      </c>
      <c r="J109">
        <v>118.1</v>
      </c>
      <c r="K109">
        <v>118.1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466</v>
      </c>
    </row>
    <row r="110" spans="1:17" x14ac:dyDescent="0.3">
      <c r="A110">
        <v>239696</v>
      </c>
      <c r="B110">
        <v>116</v>
      </c>
      <c r="C110" t="s">
        <v>568</v>
      </c>
      <c r="D110" t="s">
        <v>2262</v>
      </c>
      <c r="E110" t="s">
        <v>2405</v>
      </c>
      <c r="F110" s="452">
        <v>46183</v>
      </c>
      <c r="G110" s="452">
        <v>46185</v>
      </c>
      <c r="H110" s="452">
        <v>46211</v>
      </c>
      <c r="I110">
        <v>1282.28</v>
      </c>
      <c r="J110">
        <v>1282.28</v>
      </c>
      <c r="K110">
        <v>1282.28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466</v>
      </c>
    </row>
    <row r="111" spans="1:17" x14ac:dyDescent="0.3">
      <c r="A111">
        <v>239695</v>
      </c>
      <c r="B111">
        <v>116</v>
      </c>
      <c r="C111" t="s">
        <v>568</v>
      </c>
      <c r="D111" t="s">
        <v>2262</v>
      </c>
      <c r="E111" t="s">
        <v>2406</v>
      </c>
      <c r="F111" s="452">
        <v>46184</v>
      </c>
      <c r="G111" s="452">
        <v>46185</v>
      </c>
      <c r="H111" s="452">
        <v>46212</v>
      </c>
      <c r="I111">
        <v>1320.14</v>
      </c>
      <c r="J111">
        <v>1320.14</v>
      </c>
      <c r="K111">
        <v>1320.14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466</v>
      </c>
    </row>
    <row r="112" spans="1:17" x14ac:dyDescent="0.3">
      <c r="A112">
        <v>239693</v>
      </c>
      <c r="B112">
        <v>116</v>
      </c>
      <c r="C112" t="s">
        <v>568</v>
      </c>
      <c r="D112" t="s">
        <v>2280</v>
      </c>
      <c r="E112" t="s">
        <v>2407</v>
      </c>
      <c r="F112" s="452">
        <v>46178</v>
      </c>
      <c r="G112" s="452">
        <v>46185</v>
      </c>
      <c r="H112" s="452">
        <v>46206</v>
      </c>
      <c r="I112">
        <v>153.15</v>
      </c>
      <c r="J112">
        <v>153.15</v>
      </c>
      <c r="K112">
        <v>153.15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466</v>
      </c>
    </row>
    <row r="113" spans="1:17" x14ac:dyDescent="0.3">
      <c r="A113">
        <v>239686</v>
      </c>
      <c r="B113">
        <v>116</v>
      </c>
      <c r="C113" t="s">
        <v>568</v>
      </c>
      <c r="D113" t="s">
        <v>2408</v>
      </c>
      <c r="E113" t="s">
        <v>2409</v>
      </c>
      <c r="F113" s="452">
        <v>46184</v>
      </c>
      <c r="G113" s="452">
        <v>46188</v>
      </c>
      <c r="H113" s="452">
        <v>46212</v>
      </c>
      <c r="I113">
        <v>759.91</v>
      </c>
      <c r="J113">
        <v>692.4</v>
      </c>
      <c r="K113">
        <v>0</v>
      </c>
      <c r="L113">
        <v>0</v>
      </c>
      <c r="M113">
        <v>0</v>
      </c>
      <c r="N113">
        <v>0</v>
      </c>
      <c r="O113">
        <v>759.91</v>
      </c>
      <c r="P113">
        <v>0</v>
      </c>
      <c r="Q113" t="s">
        <v>466</v>
      </c>
    </row>
    <row r="114" spans="1:17" x14ac:dyDescent="0.3">
      <c r="A114">
        <v>239684</v>
      </c>
      <c r="B114">
        <v>116</v>
      </c>
      <c r="C114" t="s">
        <v>568</v>
      </c>
      <c r="D114" t="s">
        <v>2410</v>
      </c>
      <c r="E114" t="s">
        <v>2352</v>
      </c>
      <c r="F114" s="452">
        <v>46182</v>
      </c>
      <c r="G114" s="452">
        <v>46185</v>
      </c>
      <c r="H114" s="452">
        <v>46210</v>
      </c>
      <c r="I114">
        <v>674.4</v>
      </c>
      <c r="J114">
        <v>674.4</v>
      </c>
      <c r="K114">
        <v>0</v>
      </c>
      <c r="L114">
        <v>674.4</v>
      </c>
      <c r="M114">
        <v>0</v>
      </c>
      <c r="N114">
        <v>0</v>
      </c>
      <c r="O114">
        <v>0</v>
      </c>
      <c r="P114">
        <v>0</v>
      </c>
      <c r="Q114" t="s">
        <v>466</v>
      </c>
    </row>
    <row r="115" spans="1:17" x14ac:dyDescent="0.3">
      <c r="A115">
        <v>239682</v>
      </c>
      <c r="B115">
        <v>116</v>
      </c>
      <c r="C115" t="s">
        <v>568</v>
      </c>
      <c r="D115" t="s">
        <v>2338</v>
      </c>
      <c r="E115" t="s">
        <v>2411</v>
      </c>
      <c r="F115" s="452">
        <v>46181</v>
      </c>
      <c r="G115" s="452">
        <v>46185</v>
      </c>
      <c r="H115" s="452">
        <v>46209</v>
      </c>
      <c r="I115">
        <v>643.20000000000005</v>
      </c>
      <c r="J115">
        <v>643.20000000000005</v>
      </c>
      <c r="K115">
        <v>643.20000000000005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466</v>
      </c>
    </row>
    <row r="116" spans="1:17" x14ac:dyDescent="0.3">
      <c r="A116">
        <v>239681</v>
      </c>
      <c r="B116">
        <v>116</v>
      </c>
      <c r="C116" t="s">
        <v>568</v>
      </c>
      <c r="D116" t="s">
        <v>2310</v>
      </c>
      <c r="E116" t="s">
        <v>2412</v>
      </c>
      <c r="F116" s="452">
        <v>46183</v>
      </c>
      <c r="G116" s="452">
        <v>46185</v>
      </c>
      <c r="H116" s="452">
        <v>46216</v>
      </c>
      <c r="I116">
        <v>251.3</v>
      </c>
      <c r="J116">
        <v>251.3</v>
      </c>
      <c r="K116">
        <v>251.3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466</v>
      </c>
    </row>
    <row r="117" spans="1:17" x14ac:dyDescent="0.3">
      <c r="A117">
        <v>239680</v>
      </c>
      <c r="B117">
        <v>116</v>
      </c>
      <c r="C117" t="s">
        <v>568</v>
      </c>
      <c r="D117" t="s">
        <v>2310</v>
      </c>
      <c r="E117" t="s">
        <v>2352</v>
      </c>
      <c r="F117" s="452">
        <v>46183</v>
      </c>
      <c r="G117" s="452">
        <v>46185</v>
      </c>
      <c r="H117" s="452">
        <v>46216</v>
      </c>
      <c r="I117">
        <v>42.9</v>
      </c>
      <c r="J117">
        <v>42.9</v>
      </c>
      <c r="K117">
        <v>42.9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466</v>
      </c>
    </row>
    <row r="118" spans="1:17" x14ac:dyDescent="0.3">
      <c r="A118">
        <v>239679</v>
      </c>
      <c r="B118">
        <v>116</v>
      </c>
      <c r="C118" t="s">
        <v>568</v>
      </c>
      <c r="D118" t="s">
        <v>2314</v>
      </c>
      <c r="E118" t="s">
        <v>2413</v>
      </c>
      <c r="F118" s="452">
        <v>46182</v>
      </c>
      <c r="G118" s="452">
        <v>46185</v>
      </c>
      <c r="H118" s="452">
        <v>46213</v>
      </c>
      <c r="I118">
        <v>918.01</v>
      </c>
      <c r="J118">
        <v>918</v>
      </c>
      <c r="K118">
        <v>0</v>
      </c>
      <c r="L118">
        <v>918.01</v>
      </c>
      <c r="M118">
        <v>0</v>
      </c>
      <c r="N118">
        <v>0</v>
      </c>
      <c r="O118">
        <v>0</v>
      </c>
      <c r="P118">
        <v>0</v>
      </c>
      <c r="Q118" t="s">
        <v>466</v>
      </c>
    </row>
    <row r="119" spans="1:17" x14ac:dyDescent="0.3">
      <c r="A119">
        <v>239677</v>
      </c>
      <c r="B119">
        <v>116</v>
      </c>
      <c r="C119" t="s">
        <v>568</v>
      </c>
      <c r="D119" t="s">
        <v>2314</v>
      </c>
      <c r="E119" t="s">
        <v>2414</v>
      </c>
      <c r="F119" s="452">
        <v>46182</v>
      </c>
      <c r="G119" s="452">
        <v>46185</v>
      </c>
      <c r="H119" s="452">
        <v>46213</v>
      </c>
      <c r="I119">
        <v>1344.54</v>
      </c>
      <c r="J119">
        <v>1344.52</v>
      </c>
      <c r="K119">
        <v>0</v>
      </c>
      <c r="L119">
        <v>1089.24</v>
      </c>
      <c r="M119">
        <v>0</v>
      </c>
      <c r="N119">
        <v>0</v>
      </c>
      <c r="O119">
        <v>0</v>
      </c>
      <c r="P119">
        <v>0</v>
      </c>
      <c r="Q119" t="s">
        <v>466</v>
      </c>
    </row>
    <row r="120" spans="1:17" x14ac:dyDescent="0.3">
      <c r="A120">
        <v>239676</v>
      </c>
      <c r="B120">
        <v>116</v>
      </c>
      <c r="C120" t="s">
        <v>568</v>
      </c>
      <c r="D120" t="s">
        <v>2314</v>
      </c>
      <c r="E120" t="s">
        <v>2415</v>
      </c>
      <c r="F120" s="452">
        <v>46182</v>
      </c>
      <c r="G120" s="452">
        <v>46185</v>
      </c>
      <c r="H120" s="452">
        <v>46213</v>
      </c>
      <c r="I120">
        <v>5793.6</v>
      </c>
      <c r="J120">
        <v>5793.6</v>
      </c>
      <c r="K120">
        <v>0</v>
      </c>
      <c r="L120">
        <v>5793.6</v>
      </c>
      <c r="M120">
        <v>0</v>
      </c>
      <c r="N120">
        <v>0</v>
      </c>
      <c r="O120">
        <v>0</v>
      </c>
      <c r="P120">
        <v>0</v>
      </c>
      <c r="Q120" t="s">
        <v>466</v>
      </c>
    </row>
    <row r="121" spans="1:17" x14ac:dyDescent="0.3">
      <c r="A121">
        <v>239507</v>
      </c>
      <c r="B121">
        <v>116</v>
      </c>
      <c r="C121" t="s">
        <v>568</v>
      </c>
      <c r="D121" t="s">
        <v>2282</v>
      </c>
      <c r="E121" t="s">
        <v>2416</v>
      </c>
      <c r="F121" s="452">
        <v>46183</v>
      </c>
      <c r="G121" s="452">
        <v>46185</v>
      </c>
      <c r="H121" s="452">
        <v>46196</v>
      </c>
      <c r="I121">
        <v>269.10000000000002</v>
      </c>
      <c r="J121">
        <v>269.10000000000002</v>
      </c>
      <c r="K121">
        <v>0</v>
      </c>
      <c r="L121">
        <v>0</v>
      </c>
      <c r="M121">
        <v>0</v>
      </c>
      <c r="N121">
        <v>269.10000000000002</v>
      </c>
      <c r="O121">
        <v>0</v>
      </c>
      <c r="P121">
        <v>0</v>
      </c>
      <c r="Q121" t="s">
        <v>466</v>
      </c>
    </row>
    <row r="122" spans="1:17" x14ac:dyDescent="0.3">
      <c r="A122">
        <v>239506</v>
      </c>
      <c r="B122">
        <v>116</v>
      </c>
      <c r="C122" t="s">
        <v>568</v>
      </c>
      <c r="D122" t="s">
        <v>2325</v>
      </c>
      <c r="E122" t="s">
        <v>2417</v>
      </c>
      <c r="F122" s="452">
        <v>46182</v>
      </c>
      <c r="G122" s="452">
        <v>46185</v>
      </c>
      <c r="H122" s="452">
        <v>46203</v>
      </c>
      <c r="I122">
        <v>257.10000000000002</v>
      </c>
      <c r="J122">
        <v>257.10000000000002</v>
      </c>
      <c r="K122">
        <v>0</v>
      </c>
      <c r="L122">
        <v>0</v>
      </c>
      <c r="M122">
        <v>257.10000000000002</v>
      </c>
      <c r="N122">
        <v>0</v>
      </c>
      <c r="O122">
        <v>0</v>
      </c>
      <c r="P122">
        <v>0</v>
      </c>
      <c r="Q122" t="s">
        <v>466</v>
      </c>
    </row>
    <row r="123" spans="1:17" x14ac:dyDescent="0.3">
      <c r="A123">
        <v>239505</v>
      </c>
      <c r="B123">
        <v>116</v>
      </c>
      <c r="C123" t="s">
        <v>568</v>
      </c>
      <c r="D123" t="s">
        <v>2277</v>
      </c>
      <c r="E123" t="s">
        <v>2418</v>
      </c>
      <c r="F123" s="452">
        <v>46182</v>
      </c>
      <c r="G123" s="452">
        <v>46185</v>
      </c>
      <c r="H123" s="452">
        <v>46203</v>
      </c>
      <c r="I123">
        <v>1098.44</v>
      </c>
      <c r="J123">
        <v>1095.07</v>
      </c>
      <c r="K123">
        <v>1098.44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466</v>
      </c>
    </row>
    <row r="124" spans="1:17" x14ac:dyDescent="0.3">
      <c r="A124">
        <v>239504</v>
      </c>
      <c r="B124">
        <v>116</v>
      </c>
      <c r="C124" t="s">
        <v>568</v>
      </c>
      <c r="D124" t="s">
        <v>2258</v>
      </c>
      <c r="E124" t="s">
        <v>2419</v>
      </c>
      <c r="F124" s="452">
        <v>46183</v>
      </c>
      <c r="G124" s="452">
        <v>46185</v>
      </c>
      <c r="H124" s="452">
        <v>46197</v>
      </c>
      <c r="I124">
        <v>174.12</v>
      </c>
      <c r="J124">
        <v>159.12</v>
      </c>
      <c r="K124">
        <v>174.12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466</v>
      </c>
    </row>
    <row r="125" spans="1:17" x14ac:dyDescent="0.3">
      <c r="A125">
        <v>239503</v>
      </c>
      <c r="B125">
        <v>116</v>
      </c>
      <c r="C125" t="s">
        <v>568</v>
      </c>
      <c r="D125" t="s">
        <v>2342</v>
      </c>
      <c r="E125" t="s">
        <v>2420</v>
      </c>
      <c r="F125" s="452">
        <v>46181</v>
      </c>
      <c r="G125" s="452">
        <v>46185</v>
      </c>
      <c r="H125" s="452">
        <v>46203</v>
      </c>
      <c r="I125">
        <v>325</v>
      </c>
      <c r="J125">
        <v>325</v>
      </c>
      <c r="K125">
        <v>325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466</v>
      </c>
    </row>
    <row r="126" spans="1:17" x14ac:dyDescent="0.3">
      <c r="A126">
        <v>239502</v>
      </c>
      <c r="B126">
        <v>116</v>
      </c>
      <c r="C126" t="s">
        <v>568</v>
      </c>
      <c r="D126" t="s">
        <v>2359</v>
      </c>
      <c r="E126" t="s">
        <v>2421</v>
      </c>
      <c r="F126" s="452">
        <v>46183</v>
      </c>
      <c r="G126" s="452">
        <v>46185</v>
      </c>
      <c r="H126" s="452">
        <v>46197</v>
      </c>
      <c r="I126">
        <v>516.55999999999995</v>
      </c>
      <c r="J126">
        <v>516.6</v>
      </c>
      <c r="K126">
        <v>0</v>
      </c>
      <c r="L126">
        <v>516.55999999999995</v>
      </c>
      <c r="M126">
        <v>0</v>
      </c>
      <c r="N126">
        <v>0</v>
      </c>
      <c r="O126">
        <v>0</v>
      </c>
      <c r="P126">
        <v>0</v>
      </c>
      <c r="Q126" t="s">
        <v>466</v>
      </c>
    </row>
    <row r="127" spans="1:17" x14ac:dyDescent="0.3">
      <c r="A127">
        <v>239501</v>
      </c>
      <c r="B127">
        <v>116</v>
      </c>
      <c r="C127" t="s">
        <v>568</v>
      </c>
      <c r="D127" t="s">
        <v>2320</v>
      </c>
      <c r="E127" t="s">
        <v>2422</v>
      </c>
      <c r="F127" s="452">
        <v>46185</v>
      </c>
      <c r="G127" s="452">
        <v>46188</v>
      </c>
      <c r="H127" s="452">
        <v>46199</v>
      </c>
      <c r="I127">
        <v>1028.23</v>
      </c>
      <c r="J127">
        <v>1028.23</v>
      </c>
      <c r="K127">
        <v>1028.23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466</v>
      </c>
    </row>
    <row r="128" spans="1:17" x14ac:dyDescent="0.3">
      <c r="A128">
        <v>239500</v>
      </c>
      <c r="B128">
        <v>116</v>
      </c>
      <c r="C128" t="s">
        <v>568</v>
      </c>
      <c r="D128" t="s">
        <v>2318</v>
      </c>
      <c r="E128" t="s">
        <v>2423</v>
      </c>
      <c r="F128" s="452">
        <v>46182</v>
      </c>
      <c r="G128" s="452">
        <v>46185</v>
      </c>
      <c r="H128" s="452">
        <v>46196</v>
      </c>
      <c r="I128">
        <v>819</v>
      </c>
      <c r="J128">
        <v>819</v>
      </c>
      <c r="K128">
        <v>819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466</v>
      </c>
    </row>
    <row r="129" spans="1:17" x14ac:dyDescent="0.3">
      <c r="A129">
        <v>239499</v>
      </c>
      <c r="B129">
        <v>116</v>
      </c>
      <c r="C129" t="s">
        <v>568</v>
      </c>
      <c r="D129" t="s">
        <v>2318</v>
      </c>
      <c r="E129" t="s">
        <v>2424</v>
      </c>
      <c r="F129" s="452">
        <v>46183</v>
      </c>
      <c r="G129" s="452">
        <v>46185</v>
      </c>
      <c r="H129" s="452">
        <v>46197</v>
      </c>
      <c r="I129">
        <v>839</v>
      </c>
      <c r="J129">
        <v>839</v>
      </c>
      <c r="K129">
        <v>839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466</v>
      </c>
    </row>
    <row r="130" spans="1:17" x14ac:dyDescent="0.3">
      <c r="A130">
        <v>239498</v>
      </c>
      <c r="B130">
        <v>116</v>
      </c>
      <c r="C130" t="s">
        <v>568</v>
      </c>
      <c r="D130" t="s">
        <v>2323</v>
      </c>
      <c r="E130" t="s">
        <v>2425</v>
      </c>
      <c r="F130" s="452">
        <v>46184</v>
      </c>
      <c r="G130" s="452">
        <v>46185</v>
      </c>
      <c r="H130" s="452">
        <v>46198</v>
      </c>
      <c r="I130">
        <v>2092.04</v>
      </c>
      <c r="J130">
        <v>2092.04</v>
      </c>
      <c r="K130">
        <v>2092.04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466</v>
      </c>
    </row>
    <row r="131" spans="1:17" x14ac:dyDescent="0.3">
      <c r="A131">
        <v>239497</v>
      </c>
      <c r="B131">
        <v>116</v>
      </c>
      <c r="C131" t="s">
        <v>568</v>
      </c>
      <c r="D131" t="s">
        <v>2265</v>
      </c>
      <c r="E131" t="s">
        <v>849</v>
      </c>
      <c r="F131" s="452">
        <v>46182</v>
      </c>
      <c r="G131" s="452">
        <v>46185</v>
      </c>
      <c r="H131" s="452">
        <v>46197</v>
      </c>
      <c r="I131">
        <v>701.36</v>
      </c>
      <c r="J131">
        <v>701.36</v>
      </c>
      <c r="K131">
        <v>0</v>
      </c>
      <c r="L131">
        <v>0</v>
      </c>
      <c r="M131">
        <v>669.36</v>
      </c>
      <c r="N131">
        <v>0</v>
      </c>
      <c r="O131">
        <v>32</v>
      </c>
      <c r="P131">
        <v>0</v>
      </c>
      <c r="Q131" t="s">
        <v>466</v>
      </c>
    </row>
    <row r="132" spans="1:17" x14ac:dyDescent="0.3">
      <c r="A132">
        <v>238339</v>
      </c>
      <c r="B132">
        <v>116</v>
      </c>
      <c r="C132" t="s">
        <v>568</v>
      </c>
      <c r="D132" t="s">
        <v>2340</v>
      </c>
      <c r="E132" t="s">
        <v>2426</v>
      </c>
      <c r="F132" s="452">
        <v>46175</v>
      </c>
      <c r="G132" s="452">
        <v>46178</v>
      </c>
      <c r="H132" s="452">
        <v>46204</v>
      </c>
      <c r="I132">
        <v>473.1</v>
      </c>
      <c r="J132">
        <v>473.1</v>
      </c>
      <c r="K132">
        <v>473.1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466</v>
      </c>
    </row>
    <row r="133" spans="1:17" x14ac:dyDescent="0.3">
      <c r="A133">
        <v>238337</v>
      </c>
      <c r="B133">
        <v>116</v>
      </c>
      <c r="C133" t="s">
        <v>568</v>
      </c>
      <c r="D133" t="s">
        <v>2277</v>
      </c>
      <c r="E133" t="s">
        <v>2427</v>
      </c>
      <c r="F133" s="452">
        <v>46176</v>
      </c>
      <c r="G133" s="452">
        <v>46178</v>
      </c>
      <c r="H133" s="452">
        <v>46197</v>
      </c>
      <c r="I133">
        <v>679.37</v>
      </c>
      <c r="J133">
        <v>1150.93</v>
      </c>
      <c r="K133">
        <v>679.37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466</v>
      </c>
    </row>
    <row r="134" spans="1:17" x14ac:dyDescent="0.3">
      <c r="A134">
        <v>238325</v>
      </c>
      <c r="B134">
        <v>116</v>
      </c>
      <c r="C134" t="s">
        <v>568</v>
      </c>
      <c r="D134" t="s">
        <v>2338</v>
      </c>
      <c r="E134" t="s">
        <v>2428</v>
      </c>
      <c r="F134" s="452">
        <v>46174</v>
      </c>
      <c r="G134" s="452">
        <v>46178</v>
      </c>
      <c r="H134" s="452">
        <v>46202</v>
      </c>
      <c r="I134">
        <v>643.20000000000005</v>
      </c>
      <c r="J134">
        <v>643.20000000000005</v>
      </c>
      <c r="K134">
        <v>643.20000000000005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466</v>
      </c>
    </row>
    <row r="135" spans="1:17" x14ac:dyDescent="0.3">
      <c r="A135">
        <v>238323</v>
      </c>
      <c r="B135">
        <v>116</v>
      </c>
      <c r="C135" t="s">
        <v>568</v>
      </c>
      <c r="D135" t="s">
        <v>2429</v>
      </c>
      <c r="E135" t="s">
        <v>2430</v>
      </c>
      <c r="F135" s="452">
        <v>46176</v>
      </c>
      <c r="G135" s="452">
        <v>46178</v>
      </c>
      <c r="H135" s="452">
        <v>46197</v>
      </c>
      <c r="I135">
        <v>161.1</v>
      </c>
      <c r="J135">
        <v>161.1</v>
      </c>
      <c r="K135">
        <v>161.1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466</v>
      </c>
    </row>
    <row r="136" spans="1:17" x14ac:dyDescent="0.3">
      <c r="A136">
        <v>238320</v>
      </c>
      <c r="B136">
        <v>116</v>
      </c>
      <c r="C136" t="s">
        <v>568</v>
      </c>
      <c r="D136" t="s">
        <v>2277</v>
      </c>
      <c r="E136" t="s">
        <v>2431</v>
      </c>
      <c r="F136" s="452">
        <v>46175</v>
      </c>
      <c r="G136" s="452">
        <v>46178</v>
      </c>
      <c r="H136" s="452">
        <v>46203</v>
      </c>
      <c r="I136">
        <v>1153.2</v>
      </c>
      <c r="J136">
        <v>1150.93</v>
      </c>
      <c r="K136">
        <v>1153.2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466</v>
      </c>
    </row>
    <row r="137" spans="1:17" x14ac:dyDescent="0.3">
      <c r="A137">
        <v>238319</v>
      </c>
      <c r="B137">
        <v>116</v>
      </c>
      <c r="C137" t="s">
        <v>568</v>
      </c>
      <c r="D137" t="s">
        <v>2312</v>
      </c>
      <c r="E137" t="s">
        <v>2432</v>
      </c>
      <c r="F137" s="452">
        <v>46176</v>
      </c>
      <c r="G137" s="452">
        <v>46178</v>
      </c>
      <c r="H137" s="452">
        <v>46209</v>
      </c>
      <c r="I137">
        <v>166.1</v>
      </c>
      <c r="J137">
        <v>42.9</v>
      </c>
      <c r="K137">
        <v>166.1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466</v>
      </c>
    </row>
    <row r="138" spans="1:17" x14ac:dyDescent="0.3">
      <c r="A138">
        <v>238318</v>
      </c>
      <c r="B138">
        <v>116</v>
      </c>
      <c r="C138" t="s">
        <v>568</v>
      </c>
      <c r="D138" t="s">
        <v>2269</v>
      </c>
      <c r="E138" t="s">
        <v>2433</v>
      </c>
      <c r="F138" s="452">
        <v>46176</v>
      </c>
      <c r="G138" s="452">
        <v>46178</v>
      </c>
      <c r="H138" s="452">
        <v>46206</v>
      </c>
      <c r="I138">
        <v>103.23</v>
      </c>
      <c r="J138">
        <v>103.23</v>
      </c>
      <c r="K138">
        <v>103.23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466</v>
      </c>
    </row>
    <row r="139" spans="1:17" x14ac:dyDescent="0.3">
      <c r="A139">
        <v>238315</v>
      </c>
      <c r="B139">
        <v>116</v>
      </c>
      <c r="C139" t="s">
        <v>568</v>
      </c>
      <c r="D139" t="s">
        <v>2269</v>
      </c>
      <c r="E139" t="s">
        <v>2434</v>
      </c>
      <c r="F139" s="452">
        <v>46174</v>
      </c>
      <c r="G139" s="452">
        <v>46178</v>
      </c>
      <c r="H139" s="452">
        <v>46204</v>
      </c>
      <c r="I139">
        <v>103.23</v>
      </c>
      <c r="J139">
        <v>103.23</v>
      </c>
      <c r="K139">
        <v>103.23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466</v>
      </c>
    </row>
    <row r="140" spans="1:17" x14ac:dyDescent="0.3">
      <c r="A140">
        <v>238313</v>
      </c>
      <c r="B140">
        <v>116</v>
      </c>
      <c r="C140" t="s">
        <v>568</v>
      </c>
      <c r="D140" t="s">
        <v>2275</v>
      </c>
      <c r="E140" t="s">
        <v>2435</v>
      </c>
      <c r="F140" s="452">
        <v>46174</v>
      </c>
      <c r="G140" s="452">
        <v>46178</v>
      </c>
      <c r="H140" s="452">
        <v>46210</v>
      </c>
      <c r="I140">
        <v>579.5</v>
      </c>
      <c r="J140">
        <v>579.5</v>
      </c>
      <c r="K140">
        <v>0</v>
      </c>
      <c r="L140">
        <v>579.5</v>
      </c>
      <c r="M140">
        <v>0</v>
      </c>
      <c r="N140">
        <v>0</v>
      </c>
      <c r="O140">
        <v>0</v>
      </c>
      <c r="P140">
        <v>0</v>
      </c>
      <c r="Q140" t="s">
        <v>466</v>
      </c>
    </row>
    <row r="141" spans="1:17" x14ac:dyDescent="0.3">
      <c r="A141">
        <v>238311</v>
      </c>
      <c r="B141">
        <v>116</v>
      </c>
      <c r="C141" t="s">
        <v>568</v>
      </c>
      <c r="D141" t="s">
        <v>2330</v>
      </c>
      <c r="E141" t="s">
        <v>2436</v>
      </c>
      <c r="F141" s="452">
        <v>46174</v>
      </c>
      <c r="G141" s="452">
        <v>46178</v>
      </c>
      <c r="H141" s="452">
        <v>46202</v>
      </c>
      <c r="I141">
        <v>405</v>
      </c>
      <c r="J141">
        <v>405</v>
      </c>
      <c r="K141">
        <v>0</v>
      </c>
      <c r="L141">
        <v>405</v>
      </c>
      <c r="M141">
        <v>0</v>
      </c>
      <c r="N141">
        <v>0</v>
      </c>
      <c r="O141">
        <v>0</v>
      </c>
      <c r="P141">
        <v>0</v>
      </c>
      <c r="Q141" t="s">
        <v>466</v>
      </c>
    </row>
    <row r="142" spans="1:17" x14ac:dyDescent="0.3">
      <c r="A142">
        <v>238307</v>
      </c>
      <c r="B142">
        <v>116</v>
      </c>
      <c r="C142" t="s">
        <v>568</v>
      </c>
      <c r="D142" t="s">
        <v>2410</v>
      </c>
      <c r="E142" t="s">
        <v>2437</v>
      </c>
      <c r="F142" s="452">
        <v>46175</v>
      </c>
      <c r="G142" s="452">
        <v>46178</v>
      </c>
      <c r="H142" s="452">
        <v>46203</v>
      </c>
      <c r="I142">
        <v>419.4</v>
      </c>
      <c r="J142">
        <v>419.4</v>
      </c>
      <c r="K142">
        <v>0</v>
      </c>
      <c r="L142">
        <v>419.4</v>
      </c>
      <c r="M142">
        <v>0</v>
      </c>
      <c r="N142">
        <v>0</v>
      </c>
      <c r="O142">
        <v>0</v>
      </c>
      <c r="P142">
        <v>0</v>
      </c>
      <c r="Q142" t="s">
        <v>466</v>
      </c>
    </row>
    <row r="143" spans="1:17" x14ac:dyDescent="0.3">
      <c r="A143">
        <v>238292</v>
      </c>
      <c r="B143">
        <v>116</v>
      </c>
      <c r="C143" t="s">
        <v>568</v>
      </c>
      <c r="D143" t="s">
        <v>2284</v>
      </c>
      <c r="E143" t="s">
        <v>2438</v>
      </c>
      <c r="F143" s="452">
        <v>46175</v>
      </c>
      <c r="G143" s="452">
        <v>46178</v>
      </c>
      <c r="H143" s="452">
        <v>46203</v>
      </c>
      <c r="I143">
        <v>253.92</v>
      </c>
      <c r="J143">
        <v>253.92</v>
      </c>
      <c r="K143">
        <v>253.92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466</v>
      </c>
    </row>
    <row r="144" spans="1:17" x14ac:dyDescent="0.3">
      <c r="A144">
        <v>238291</v>
      </c>
      <c r="B144">
        <v>116</v>
      </c>
      <c r="C144" t="s">
        <v>568</v>
      </c>
      <c r="D144" t="s">
        <v>2284</v>
      </c>
      <c r="E144" t="s">
        <v>2439</v>
      </c>
      <c r="F144" s="452">
        <v>46176</v>
      </c>
      <c r="G144" s="452">
        <v>46178</v>
      </c>
      <c r="H144" s="452">
        <v>46206</v>
      </c>
      <c r="I144">
        <v>317.3</v>
      </c>
      <c r="J144">
        <v>317.3</v>
      </c>
      <c r="K144">
        <v>317.3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466</v>
      </c>
    </row>
    <row r="145" spans="1:17" x14ac:dyDescent="0.3">
      <c r="A145">
        <v>238290</v>
      </c>
      <c r="B145">
        <v>116</v>
      </c>
      <c r="C145" t="s">
        <v>568</v>
      </c>
      <c r="D145" t="s">
        <v>2284</v>
      </c>
      <c r="E145" t="s">
        <v>2440</v>
      </c>
      <c r="F145" s="452">
        <v>46175</v>
      </c>
      <c r="G145" s="452">
        <v>46178</v>
      </c>
      <c r="H145" s="452">
        <v>46203</v>
      </c>
      <c r="I145">
        <v>230.4</v>
      </c>
      <c r="J145">
        <v>230.4</v>
      </c>
      <c r="K145">
        <v>0</v>
      </c>
      <c r="L145">
        <v>230.4</v>
      </c>
      <c r="M145">
        <v>0</v>
      </c>
      <c r="N145">
        <v>0</v>
      </c>
      <c r="O145">
        <v>0</v>
      </c>
      <c r="P145">
        <v>0</v>
      </c>
      <c r="Q145" t="s">
        <v>466</v>
      </c>
    </row>
    <row r="146" spans="1:17" x14ac:dyDescent="0.3">
      <c r="A146">
        <v>238260</v>
      </c>
      <c r="B146">
        <v>116</v>
      </c>
      <c r="C146" t="s">
        <v>568</v>
      </c>
      <c r="D146" t="s">
        <v>2332</v>
      </c>
      <c r="E146" t="s">
        <v>2441</v>
      </c>
      <c r="F146" s="452">
        <v>46176</v>
      </c>
      <c r="G146" s="452">
        <v>46178</v>
      </c>
      <c r="H146" s="452">
        <v>46197</v>
      </c>
      <c r="I146">
        <v>205.8</v>
      </c>
      <c r="J146">
        <v>205.8</v>
      </c>
      <c r="K146">
        <v>0</v>
      </c>
      <c r="L146">
        <v>205.8</v>
      </c>
      <c r="M146">
        <v>0</v>
      </c>
      <c r="N146">
        <v>0</v>
      </c>
      <c r="O146">
        <v>0</v>
      </c>
      <c r="P146">
        <v>0</v>
      </c>
      <c r="Q146" t="s">
        <v>466</v>
      </c>
    </row>
    <row r="147" spans="1:17" x14ac:dyDescent="0.3">
      <c r="A147">
        <v>238256</v>
      </c>
      <c r="B147">
        <v>116</v>
      </c>
      <c r="C147" t="s">
        <v>568</v>
      </c>
      <c r="D147" t="s">
        <v>2262</v>
      </c>
      <c r="E147" t="s">
        <v>2442</v>
      </c>
      <c r="F147" s="452">
        <v>46177</v>
      </c>
      <c r="G147" s="452">
        <v>46178</v>
      </c>
      <c r="H147" s="452">
        <v>46205</v>
      </c>
      <c r="I147">
        <v>3945.05</v>
      </c>
      <c r="J147">
        <v>3945.05</v>
      </c>
      <c r="K147">
        <v>3945.05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466</v>
      </c>
    </row>
    <row r="148" spans="1:17" x14ac:dyDescent="0.3">
      <c r="A148">
        <v>238254</v>
      </c>
      <c r="B148">
        <v>116</v>
      </c>
      <c r="C148" t="s">
        <v>568</v>
      </c>
      <c r="D148" t="s">
        <v>2262</v>
      </c>
      <c r="E148" t="s">
        <v>2443</v>
      </c>
      <c r="F148" s="452">
        <v>46177</v>
      </c>
      <c r="G148" s="452">
        <v>46178</v>
      </c>
      <c r="H148" s="452">
        <v>46205</v>
      </c>
      <c r="I148">
        <v>521.36</v>
      </c>
      <c r="J148">
        <v>521.36</v>
      </c>
      <c r="K148">
        <v>521.36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466</v>
      </c>
    </row>
    <row r="149" spans="1:17" x14ac:dyDescent="0.3">
      <c r="A149">
        <v>238253</v>
      </c>
      <c r="B149">
        <v>116</v>
      </c>
      <c r="C149" t="s">
        <v>568</v>
      </c>
      <c r="D149" t="s">
        <v>2267</v>
      </c>
      <c r="E149" t="s">
        <v>2444</v>
      </c>
      <c r="F149" s="452">
        <v>46175</v>
      </c>
      <c r="G149" s="452">
        <v>46178</v>
      </c>
      <c r="H149" s="452">
        <v>46204</v>
      </c>
      <c r="I149">
        <v>883.91</v>
      </c>
      <c r="J149">
        <v>883.91</v>
      </c>
      <c r="K149">
        <v>883.91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466</v>
      </c>
    </row>
    <row r="150" spans="1:17" x14ac:dyDescent="0.3">
      <c r="A150">
        <v>238252</v>
      </c>
      <c r="B150">
        <v>116</v>
      </c>
      <c r="C150" t="s">
        <v>568</v>
      </c>
      <c r="D150" t="s">
        <v>2286</v>
      </c>
      <c r="E150" t="s">
        <v>2445</v>
      </c>
      <c r="F150" s="452">
        <v>46177</v>
      </c>
      <c r="G150" s="452">
        <v>46178</v>
      </c>
      <c r="H150" s="452">
        <v>46205</v>
      </c>
      <c r="I150">
        <v>438.85</v>
      </c>
      <c r="J150">
        <v>438.85</v>
      </c>
      <c r="K150">
        <v>438.85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466</v>
      </c>
    </row>
    <row r="151" spans="1:17" x14ac:dyDescent="0.3">
      <c r="A151">
        <v>238251</v>
      </c>
      <c r="B151">
        <v>116</v>
      </c>
      <c r="C151" t="s">
        <v>568</v>
      </c>
      <c r="D151" t="s">
        <v>2273</v>
      </c>
      <c r="E151" t="s">
        <v>2446</v>
      </c>
      <c r="F151" s="452">
        <v>46174</v>
      </c>
      <c r="G151" s="452">
        <v>46178</v>
      </c>
      <c r="H151" s="452">
        <v>46202</v>
      </c>
      <c r="I151">
        <v>330.96</v>
      </c>
      <c r="J151">
        <v>330.96</v>
      </c>
      <c r="K151">
        <v>330.96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466</v>
      </c>
    </row>
    <row r="152" spans="1:17" x14ac:dyDescent="0.3">
      <c r="A152">
        <v>238249</v>
      </c>
      <c r="B152">
        <v>116</v>
      </c>
      <c r="C152" t="s">
        <v>568</v>
      </c>
      <c r="D152" t="s">
        <v>2273</v>
      </c>
      <c r="E152" t="s">
        <v>2447</v>
      </c>
      <c r="F152" s="452">
        <v>46177</v>
      </c>
      <c r="G152" s="452">
        <v>46178</v>
      </c>
      <c r="H152" s="452">
        <v>46205</v>
      </c>
      <c r="I152">
        <v>326.01</v>
      </c>
      <c r="J152">
        <v>326.01</v>
      </c>
      <c r="K152">
        <v>326.01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466</v>
      </c>
    </row>
    <row r="153" spans="1:17" x14ac:dyDescent="0.3">
      <c r="A153">
        <v>238244</v>
      </c>
      <c r="B153">
        <v>116</v>
      </c>
      <c r="C153" t="s">
        <v>568</v>
      </c>
      <c r="D153" t="s">
        <v>2280</v>
      </c>
      <c r="E153" t="s">
        <v>2448</v>
      </c>
      <c r="F153" s="452">
        <v>46174</v>
      </c>
      <c r="G153" s="452">
        <v>46178</v>
      </c>
      <c r="H153" s="452">
        <v>46202</v>
      </c>
      <c r="I153">
        <v>151.74</v>
      </c>
      <c r="J153">
        <v>151.74</v>
      </c>
      <c r="K153">
        <v>151.74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466</v>
      </c>
    </row>
    <row r="154" spans="1:17" x14ac:dyDescent="0.3">
      <c r="A154">
        <v>238243</v>
      </c>
      <c r="B154">
        <v>116</v>
      </c>
      <c r="C154" t="s">
        <v>568</v>
      </c>
      <c r="D154" t="s">
        <v>2312</v>
      </c>
      <c r="E154" t="s">
        <v>2449</v>
      </c>
      <c r="F154" s="452">
        <v>46176</v>
      </c>
      <c r="G154" s="452">
        <v>46178</v>
      </c>
      <c r="H154" s="452">
        <v>46209</v>
      </c>
      <c r="I154">
        <v>118.97</v>
      </c>
      <c r="J154">
        <v>118.97</v>
      </c>
      <c r="K154">
        <v>0</v>
      </c>
      <c r="L154">
        <v>0</v>
      </c>
      <c r="M154">
        <v>118.97</v>
      </c>
      <c r="N154">
        <v>0</v>
      </c>
      <c r="O154">
        <v>0</v>
      </c>
      <c r="P154">
        <v>0</v>
      </c>
      <c r="Q154" t="s">
        <v>466</v>
      </c>
    </row>
    <row r="155" spans="1:17" x14ac:dyDescent="0.3">
      <c r="A155">
        <v>238241</v>
      </c>
      <c r="B155">
        <v>116</v>
      </c>
      <c r="C155" t="s">
        <v>568</v>
      </c>
      <c r="D155" t="s">
        <v>2260</v>
      </c>
      <c r="E155" t="s">
        <v>2450</v>
      </c>
      <c r="F155" s="452">
        <v>46175</v>
      </c>
      <c r="G155" s="452">
        <v>46178</v>
      </c>
      <c r="H155" s="452">
        <v>46196</v>
      </c>
      <c r="I155">
        <v>3212.3</v>
      </c>
      <c r="J155">
        <v>3202.3</v>
      </c>
      <c r="K155">
        <v>3212.3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466</v>
      </c>
    </row>
    <row r="156" spans="1:17" x14ac:dyDescent="0.3">
      <c r="A156">
        <v>238240</v>
      </c>
      <c r="B156">
        <v>116</v>
      </c>
      <c r="C156" t="s">
        <v>568</v>
      </c>
      <c r="D156" t="s">
        <v>2361</v>
      </c>
      <c r="E156" t="s">
        <v>2451</v>
      </c>
      <c r="F156" s="452">
        <v>46182</v>
      </c>
      <c r="G156" s="452">
        <v>46183</v>
      </c>
      <c r="H156" s="452">
        <v>46196</v>
      </c>
      <c r="I156">
        <v>49</v>
      </c>
      <c r="J156">
        <v>24</v>
      </c>
      <c r="K156">
        <v>49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466</v>
      </c>
    </row>
    <row r="157" spans="1:17" x14ac:dyDescent="0.3">
      <c r="A157">
        <v>238239</v>
      </c>
      <c r="B157">
        <v>116</v>
      </c>
      <c r="C157" t="s">
        <v>568</v>
      </c>
      <c r="D157" t="s">
        <v>2267</v>
      </c>
      <c r="E157" t="s">
        <v>2452</v>
      </c>
      <c r="F157" s="452">
        <v>46182</v>
      </c>
      <c r="G157" s="452">
        <v>46183</v>
      </c>
      <c r="H157" s="452">
        <v>46211</v>
      </c>
      <c r="I157">
        <v>702.87</v>
      </c>
      <c r="J157">
        <v>702.87</v>
      </c>
      <c r="K157">
        <v>702.87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466</v>
      </c>
    </row>
    <row r="158" spans="1:17" x14ac:dyDescent="0.3">
      <c r="A158">
        <v>238238</v>
      </c>
      <c r="B158">
        <v>116</v>
      </c>
      <c r="C158" t="s">
        <v>568</v>
      </c>
      <c r="D158" t="s">
        <v>2273</v>
      </c>
      <c r="E158" t="s">
        <v>2453</v>
      </c>
      <c r="F158" s="452">
        <v>46181</v>
      </c>
      <c r="G158" s="452">
        <v>46183</v>
      </c>
      <c r="H158" s="452">
        <v>46209</v>
      </c>
      <c r="I158">
        <v>431.71</v>
      </c>
      <c r="J158">
        <v>431.71</v>
      </c>
      <c r="K158">
        <v>431.71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466</v>
      </c>
    </row>
    <row r="159" spans="1:17" x14ac:dyDescent="0.3">
      <c r="A159">
        <v>238237</v>
      </c>
      <c r="B159">
        <v>116</v>
      </c>
      <c r="C159" t="s">
        <v>568</v>
      </c>
      <c r="D159" t="s">
        <v>2260</v>
      </c>
      <c r="E159" t="s">
        <v>2454</v>
      </c>
      <c r="F159" s="452">
        <v>46182</v>
      </c>
      <c r="G159" s="452">
        <v>46183</v>
      </c>
      <c r="H159" s="452">
        <v>46203</v>
      </c>
      <c r="I159">
        <v>4255.6000000000004</v>
      </c>
      <c r="J159">
        <v>3410.7</v>
      </c>
      <c r="K159">
        <v>4255.6000000000004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466</v>
      </c>
    </row>
    <row r="160" spans="1:17" x14ac:dyDescent="0.3">
      <c r="A160">
        <v>238236</v>
      </c>
      <c r="B160">
        <v>116</v>
      </c>
      <c r="C160" t="s">
        <v>568</v>
      </c>
      <c r="D160" t="s">
        <v>2357</v>
      </c>
      <c r="E160" t="s">
        <v>2455</v>
      </c>
      <c r="F160" s="452">
        <v>46181</v>
      </c>
      <c r="G160" s="452">
        <v>46183</v>
      </c>
      <c r="H160" s="452">
        <v>46195</v>
      </c>
      <c r="I160">
        <v>355.08</v>
      </c>
      <c r="J160">
        <v>355.08</v>
      </c>
      <c r="K160">
        <v>355.08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466</v>
      </c>
    </row>
    <row r="161" spans="1:17" x14ac:dyDescent="0.3">
      <c r="A161">
        <v>237981</v>
      </c>
      <c r="B161">
        <v>116</v>
      </c>
      <c r="C161" t="s">
        <v>568</v>
      </c>
      <c r="D161" t="s">
        <v>2456</v>
      </c>
      <c r="E161" t="s">
        <v>2457</v>
      </c>
      <c r="F161" s="452">
        <v>46177</v>
      </c>
      <c r="G161" s="452">
        <v>46181</v>
      </c>
      <c r="H161" s="452">
        <v>46192</v>
      </c>
      <c r="I161">
        <v>1223.72</v>
      </c>
      <c r="J161">
        <v>1224.27</v>
      </c>
      <c r="K161">
        <v>1223.72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466</v>
      </c>
    </row>
    <row r="162" spans="1:17" x14ac:dyDescent="0.3">
      <c r="A162">
        <v>237967</v>
      </c>
      <c r="B162">
        <v>116</v>
      </c>
      <c r="C162" t="s">
        <v>568</v>
      </c>
      <c r="D162" t="s">
        <v>2282</v>
      </c>
      <c r="E162" t="s">
        <v>2458</v>
      </c>
      <c r="F162" s="452">
        <v>46174</v>
      </c>
      <c r="G162" s="452">
        <v>46181</v>
      </c>
      <c r="H162" s="452">
        <v>46188</v>
      </c>
      <c r="I162">
        <v>379.5</v>
      </c>
      <c r="J162">
        <v>379.5</v>
      </c>
      <c r="K162">
        <v>0</v>
      </c>
      <c r="L162">
        <v>0</v>
      </c>
      <c r="M162">
        <v>0</v>
      </c>
      <c r="N162">
        <v>379.5</v>
      </c>
      <c r="O162">
        <v>0</v>
      </c>
      <c r="P162">
        <v>0</v>
      </c>
      <c r="Q162" t="s">
        <v>466</v>
      </c>
    </row>
    <row r="163" spans="1:17" x14ac:dyDescent="0.3">
      <c r="A163">
        <v>237966</v>
      </c>
      <c r="B163">
        <v>116</v>
      </c>
      <c r="C163" t="s">
        <v>568</v>
      </c>
      <c r="D163" t="s">
        <v>2265</v>
      </c>
      <c r="E163" t="s">
        <v>2459</v>
      </c>
      <c r="F163" s="452">
        <v>46176</v>
      </c>
      <c r="G163" s="452">
        <v>46181</v>
      </c>
      <c r="H163" s="452">
        <v>46190</v>
      </c>
      <c r="I163">
        <v>907.31</v>
      </c>
      <c r="J163">
        <v>907.31</v>
      </c>
      <c r="K163">
        <v>0</v>
      </c>
      <c r="L163">
        <v>0</v>
      </c>
      <c r="M163">
        <v>853.31</v>
      </c>
      <c r="N163">
        <v>0</v>
      </c>
      <c r="O163">
        <v>54</v>
      </c>
      <c r="P163">
        <v>0</v>
      </c>
      <c r="Q163" t="s">
        <v>466</v>
      </c>
    </row>
    <row r="164" spans="1:17" x14ac:dyDescent="0.3">
      <c r="A164">
        <v>237965</v>
      </c>
      <c r="B164">
        <v>116</v>
      </c>
      <c r="C164" t="s">
        <v>568</v>
      </c>
      <c r="D164" t="s">
        <v>2286</v>
      </c>
      <c r="E164" t="s">
        <v>2460</v>
      </c>
      <c r="F164" s="452">
        <v>46174</v>
      </c>
      <c r="G164" s="452">
        <v>46178</v>
      </c>
      <c r="H164" s="452">
        <v>46188</v>
      </c>
      <c r="I164">
        <v>370.85</v>
      </c>
      <c r="J164">
        <v>370.85</v>
      </c>
      <c r="K164">
        <v>370.85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466</v>
      </c>
    </row>
    <row r="165" spans="1:17" x14ac:dyDescent="0.3">
      <c r="A165">
        <v>237961</v>
      </c>
      <c r="B165">
        <v>116</v>
      </c>
      <c r="C165" t="s">
        <v>568</v>
      </c>
      <c r="D165" t="s">
        <v>2320</v>
      </c>
      <c r="E165" t="s">
        <v>2461</v>
      </c>
      <c r="F165" s="452">
        <v>46176</v>
      </c>
      <c r="G165" s="452">
        <v>46178</v>
      </c>
      <c r="H165" s="452">
        <v>46190</v>
      </c>
      <c r="I165">
        <v>988.43</v>
      </c>
      <c r="J165">
        <v>988.43</v>
      </c>
      <c r="K165">
        <v>988.43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466</v>
      </c>
    </row>
    <row r="166" spans="1:17" x14ac:dyDescent="0.3">
      <c r="A166">
        <v>237960</v>
      </c>
      <c r="B166">
        <v>116</v>
      </c>
      <c r="C166" t="s">
        <v>568</v>
      </c>
      <c r="D166" t="s">
        <v>2361</v>
      </c>
      <c r="E166" t="s">
        <v>2462</v>
      </c>
      <c r="F166" s="452">
        <v>46175</v>
      </c>
      <c r="G166" s="452">
        <v>46181</v>
      </c>
      <c r="H166" s="452">
        <v>46189</v>
      </c>
      <c r="I166">
        <v>183</v>
      </c>
      <c r="J166">
        <v>158</v>
      </c>
      <c r="K166">
        <v>183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466</v>
      </c>
    </row>
    <row r="167" spans="1:17" x14ac:dyDescent="0.3">
      <c r="A167">
        <v>237756</v>
      </c>
      <c r="B167">
        <v>116</v>
      </c>
      <c r="C167" t="s">
        <v>568</v>
      </c>
      <c r="D167" t="s">
        <v>2463</v>
      </c>
      <c r="E167" t="s">
        <v>2464</v>
      </c>
      <c r="F167" s="452">
        <v>46181</v>
      </c>
      <c r="G167" s="452">
        <v>46181</v>
      </c>
      <c r="H167" s="452">
        <v>46188</v>
      </c>
      <c r="I167">
        <v>2395.64</v>
      </c>
      <c r="J167">
        <v>2395.29</v>
      </c>
      <c r="K167">
        <v>2395.64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466</v>
      </c>
    </row>
    <row r="168" spans="1:17" x14ac:dyDescent="0.3">
      <c r="A168">
        <v>237753</v>
      </c>
      <c r="B168">
        <v>116</v>
      </c>
      <c r="C168" t="s">
        <v>568</v>
      </c>
      <c r="D168" t="s">
        <v>2258</v>
      </c>
      <c r="E168" t="s">
        <v>1522</v>
      </c>
      <c r="F168" s="452">
        <v>46176</v>
      </c>
      <c r="G168" s="452">
        <v>46170</v>
      </c>
      <c r="H168" s="452">
        <v>46188</v>
      </c>
      <c r="I168">
        <v>178.15</v>
      </c>
      <c r="J168">
        <v>163.15</v>
      </c>
      <c r="K168">
        <v>178.15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465</v>
      </c>
    </row>
    <row r="169" spans="1:17" x14ac:dyDescent="0.3">
      <c r="A169">
        <v>235824</v>
      </c>
      <c r="B169">
        <v>116</v>
      </c>
      <c r="C169" t="s">
        <v>568</v>
      </c>
      <c r="D169" t="s">
        <v>2465</v>
      </c>
      <c r="E169" t="s">
        <v>2466</v>
      </c>
      <c r="F169" s="452">
        <v>46170</v>
      </c>
      <c r="G169" s="452">
        <v>46172</v>
      </c>
      <c r="H169" s="452">
        <v>46185</v>
      </c>
      <c r="I169">
        <v>212.5</v>
      </c>
      <c r="J169">
        <v>212.5</v>
      </c>
      <c r="K169">
        <v>212.5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465</v>
      </c>
    </row>
    <row r="170" spans="1:17" x14ac:dyDescent="0.3">
      <c r="A170">
        <v>235823</v>
      </c>
      <c r="B170">
        <v>116</v>
      </c>
      <c r="C170" t="s">
        <v>568</v>
      </c>
      <c r="D170" t="s">
        <v>2265</v>
      </c>
      <c r="E170" t="s">
        <v>2467</v>
      </c>
      <c r="F170" s="452">
        <v>46169</v>
      </c>
      <c r="G170" s="452">
        <v>46172</v>
      </c>
      <c r="H170" s="452">
        <v>46183</v>
      </c>
      <c r="I170">
        <v>653.85</v>
      </c>
      <c r="J170">
        <v>577.48</v>
      </c>
      <c r="K170">
        <v>0</v>
      </c>
      <c r="L170">
        <v>0</v>
      </c>
      <c r="M170">
        <v>593.84</v>
      </c>
      <c r="N170">
        <v>0</v>
      </c>
      <c r="O170">
        <v>60.01</v>
      </c>
      <c r="P170">
        <v>0</v>
      </c>
      <c r="Q170" t="s">
        <v>465</v>
      </c>
    </row>
    <row r="171" spans="1:17" x14ac:dyDescent="0.3">
      <c r="A171">
        <v>235821</v>
      </c>
      <c r="B171">
        <v>116</v>
      </c>
      <c r="C171" t="s">
        <v>568</v>
      </c>
      <c r="D171" t="s">
        <v>2468</v>
      </c>
      <c r="E171" t="s">
        <v>2469</v>
      </c>
      <c r="F171" s="452">
        <v>46167</v>
      </c>
      <c r="G171" s="452">
        <v>46170</v>
      </c>
      <c r="H171" s="452">
        <v>46188</v>
      </c>
      <c r="I171">
        <v>1788.06</v>
      </c>
      <c r="J171">
        <v>1788.06</v>
      </c>
      <c r="K171">
        <v>1788.06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465</v>
      </c>
    </row>
    <row r="172" spans="1:17" x14ac:dyDescent="0.3">
      <c r="A172">
        <v>235820</v>
      </c>
      <c r="B172">
        <v>116</v>
      </c>
      <c r="C172" t="s">
        <v>568</v>
      </c>
      <c r="D172" t="s">
        <v>2267</v>
      </c>
      <c r="E172" t="s">
        <v>2470</v>
      </c>
      <c r="F172" s="452">
        <v>46169</v>
      </c>
      <c r="G172" s="452">
        <v>46170</v>
      </c>
      <c r="H172" s="452">
        <v>46199</v>
      </c>
      <c r="I172">
        <v>664.34</v>
      </c>
      <c r="J172">
        <v>664.34</v>
      </c>
      <c r="K172">
        <v>664.34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465</v>
      </c>
    </row>
    <row r="173" spans="1:17" x14ac:dyDescent="0.3">
      <c r="A173">
        <v>235819</v>
      </c>
      <c r="B173">
        <v>116</v>
      </c>
      <c r="C173" t="s">
        <v>568</v>
      </c>
      <c r="D173" t="s">
        <v>2293</v>
      </c>
      <c r="E173" t="s">
        <v>2471</v>
      </c>
      <c r="F173" s="452">
        <v>46168</v>
      </c>
      <c r="G173" s="452">
        <v>46172</v>
      </c>
      <c r="H173" s="452">
        <v>46198</v>
      </c>
      <c r="I173">
        <v>675</v>
      </c>
      <c r="J173">
        <v>675</v>
      </c>
      <c r="K173">
        <v>0</v>
      </c>
      <c r="L173">
        <v>675</v>
      </c>
      <c r="M173">
        <v>0</v>
      </c>
      <c r="N173">
        <v>0</v>
      </c>
      <c r="O173">
        <v>0</v>
      </c>
      <c r="P173">
        <v>0</v>
      </c>
      <c r="Q173" t="s">
        <v>465</v>
      </c>
    </row>
    <row r="174" spans="1:17" x14ac:dyDescent="0.3">
      <c r="A174">
        <v>235818</v>
      </c>
      <c r="B174">
        <v>116</v>
      </c>
      <c r="C174" t="s">
        <v>568</v>
      </c>
      <c r="D174" t="s">
        <v>2269</v>
      </c>
      <c r="E174" t="s">
        <v>2472</v>
      </c>
      <c r="F174" s="452">
        <v>46169</v>
      </c>
      <c r="G174" s="452">
        <v>46172</v>
      </c>
      <c r="H174" s="452">
        <v>46200</v>
      </c>
      <c r="I174">
        <v>103.23</v>
      </c>
      <c r="J174">
        <v>103.23</v>
      </c>
      <c r="K174">
        <v>103.23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465</v>
      </c>
    </row>
    <row r="175" spans="1:17" x14ac:dyDescent="0.3">
      <c r="A175">
        <v>235817</v>
      </c>
      <c r="B175">
        <v>116</v>
      </c>
      <c r="C175" t="s">
        <v>568</v>
      </c>
      <c r="D175" t="s">
        <v>2269</v>
      </c>
      <c r="E175" t="s">
        <v>2473</v>
      </c>
      <c r="F175" s="452">
        <v>46167</v>
      </c>
      <c r="G175" s="452">
        <v>46170</v>
      </c>
      <c r="H175" s="452">
        <v>46198</v>
      </c>
      <c r="I175">
        <v>103.23</v>
      </c>
      <c r="J175">
        <v>103.23</v>
      </c>
      <c r="K175">
        <v>103.23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465</v>
      </c>
    </row>
    <row r="176" spans="1:17" x14ac:dyDescent="0.3">
      <c r="A176">
        <v>235815</v>
      </c>
      <c r="B176">
        <v>116</v>
      </c>
      <c r="C176" t="s">
        <v>568</v>
      </c>
      <c r="D176" t="s">
        <v>2260</v>
      </c>
      <c r="E176" t="s">
        <v>2474</v>
      </c>
      <c r="F176" s="452">
        <v>46168</v>
      </c>
      <c r="G176" s="452">
        <v>46170</v>
      </c>
      <c r="H176" s="452">
        <v>46189</v>
      </c>
      <c r="I176">
        <v>2325</v>
      </c>
      <c r="J176">
        <v>2315</v>
      </c>
      <c r="K176">
        <v>2325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465</v>
      </c>
    </row>
    <row r="177" spans="1:17" x14ac:dyDescent="0.3">
      <c r="A177">
        <v>235814</v>
      </c>
      <c r="B177">
        <v>116</v>
      </c>
      <c r="C177" t="s">
        <v>568</v>
      </c>
      <c r="D177" t="s">
        <v>2357</v>
      </c>
      <c r="E177" t="s">
        <v>2475</v>
      </c>
      <c r="F177" s="452">
        <v>46167</v>
      </c>
      <c r="G177" s="452">
        <v>46170</v>
      </c>
      <c r="H177" s="452">
        <v>46181</v>
      </c>
      <c r="I177">
        <v>313.8</v>
      </c>
      <c r="J177">
        <v>313.8</v>
      </c>
      <c r="K177">
        <v>313.8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465</v>
      </c>
    </row>
    <row r="178" spans="1:17" x14ac:dyDescent="0.3">
      <c r="A178">
        <v>235813</v>
      </c>
      <c r="B178">
        <v>116</v>
      </c>
      <c r="C178" t="s">
        <v>568</v>
      </c>
      <c r="D178" t="s">
        <v>2271</v>
      </c>
      <c r="E178" t="s">
        <v>2476</v>
      </c>
      <c r="F178" s="452">
        <v>46162</v>
      </c>
      <c r="G178" s="452">
        <v>46163</v>
      </c>
      <c r="H178" s="452">
        <v>46184</v>
      </c>
      <c r="I178">
        <v>130.13999999999999</v>
      </c>
      <c r="J178">
        <v>130.13999999999999</v>
      </c>
      <c r="K178">
        <v>0</v>
      </c>
      <c r="L178">
        <v>130.13999999999999</v>
      </c>
      <c r="M178">
        <v>0</v>
      </c>
      <c r="N178">
        <v>0</v>
      </c>
      <c r="O178">
        <v>0</v>
      </c>
      <c r="P178">
        <v>0</v>
      </c>
      <c r="Q178" t="s">
        <v>465</v>
      </c>
    </row>
    <row r="179" spans="1:17" x14ac:dyDescent="0.3">
      <c r="A179">
        <v>235812</v>
      </c>
      <c r="B179">
        <v>116</v>
      </c>
      <c r="C179" t="s">
        <v>568</v>
      </c>
      <c r="D179" t="s">
        <v>2340</v>
      </c>
      <c r="E179" t="s">
        <v>2477</v>
      </c>
      <c r="F179" s="452">
        <v>46168</v>
      </c>
      <c r="G179" s="452">
        <v>46170</v>
      </c>
      <c r="H179" s="452">
        <v>46197</v>
      </c>
      <c r="I179">
        <v>494.67</v>
      </c>
      <c r="J179">
        <v>494.67</v>
      </c>
      <c r="K179">
        <v>494.67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465</v>
      </c>
    </row>
    <row r="180" spans="1:17" x14ac:dyDescent="0.3">
      <c r="A180">
        <v>235811</v>
      </c>
      <c r="B180">
        <v>116</v>
      </c>
      <c r="C180" t="s">
        <v>568</v>
      </c>
      <c r="D180" t="s">
        <v>2340</v>
      </c>
      <c r="E180" t="s">
        <v>2478</v>
      </c>
      <c r="F180" s="452">
        <v>46168</v>
      </c>
      <c r="G180" s="452">
        <v>46170</v>
      </c>
      <c r="H180" s="452">
        <v>46197</v>
      </c>
      <c r="I180">
        <v>124.5</v>
      </c>
      <c r="J180">
        <v>124.5</v>
      </c>
      <c r="K180">
        <v>124.5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465</v>
      </c>
    </row>
    <row r="181" spans="1:17" x14ac:dyDescent="0.3">
      <c r="A181">
        <v>235809</v>
      </c>
      <c r="B181">
        <v>116</v>
      </c>
      <c r="C181" t="s">
        <v>568</v>
      </c>
      <c r="D181" t="s">
        <v>2340</v>
      </c>
      <c r="E181" t="s">
        <v>2479</v>
      </c>
      <c r="F181" s="452">
        <v>46162</v>
      </c>
      <c r="G181" s="452">
        <v>46163</v>
      </c>
      <c r="H181" s="452">
        <v>46190</v>
      </c>
      <c r="I181">
        <v>869.95</v>
      </c>
      <c r="J181">
        <v>869.95</v>
      </c>
      <c r="K181">
        <v>869.95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465</v>
      </c>
    </row>
    <row r="182" spans="1:17" x14ac:dyDescent="0.3">
      <c r="A182">
        <v>235807</v>
      </c>
      <c r="B182">
        <v>116</v>
      </c>
      <c r="C182" t="s">
        <v>568</v>
      </c>
      <c r="D182" t="s">
        <v>2332</v>
      </c>
      <c r="E182" t="s">
        <v>2480</v>
      </c>
      <c r="F182" s="452">
        <v>46161</v>
      </c>
      <c r="G182" s="452">
        <v>46163</v>
      </c>
      <c r="H182" s="452">
        <v>46183</v>
      </c>
      <c r="I182">
        <v>203.68</v>
      </c>
      <c r="J182">
        <v>203.68</v>
      </c>
      <c r="K182">
        <v>0</v>
      </c>
      <c r="L182">
        <v>203.68</v>
      </c>
      <c r="M182">
        <v>0</v>
      </c>
      <c r="N182">
        <v>0</v>
      </c>
      <c r="O182">
        <v>0</v>
      </c>
      <c r="P182">
        <v>0</v>
      </c>
      <c r="Q182" t="s">
        <v>465</v>
      </c>
    </row>
    <row r="183" spans="1:17" x14ac:dyDescent="0.3">
      <c r="A183">
        <v>235806</v>
      </c>
      <c r="B183">
        <v>116</v>
      </c>
      <c r="C183" t="s">
        <v>568</v>
      </c>
      <c r="D183" t="s">
        <v>2286</v>
      </c>
      <c r="E183" t="s">
        <v>2481</v>
      </c>
      <c r="F183" s="452">
        <v>46170</v>
      </c>
      <c r="G183" s="452">
        <v>46172</v>
      </c>
      <c r="H183" s="452">
        <v>46184</v>
      </c>
      <c r="I183">
        <v>257.60000000000002</v>
      </c>
      <c r="J183">
        <v>257.60000000000002</v>
      </c>
      <c r="K183">
        <v>257.60000000000002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465</v>
      </c>
    </row>
    <row r="184" spans="1:17" x14ac:dyDescent="0.3">
      <c r="A184">
        <v>235803</v>
      </c>
      <c r="B184">
        <v>116</v>
      </c>
      <c r="C184" t="s">
        <v>568</v>
      </c>
      <c r="D184" t="s">
        <v>2286</v>
      </c>
      <c r="E184" t="s">
        <v>2482</v>
      </c>
      <c r="F184" s="452">
        <v>46167</v>
      </c>
      <c r="G184" s="452">
        <v>46170</v>
      </c>
      <c r="H184" s="452">
        <v>46181</v>
      </c>
      <c r="I184">
        <v>234.98</v>
      </c>
      <c r="J184">
        <v>234.98</v>
      </c>
      <c r="K184">
        <v>234.98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465</v>
      </c>
    </row>
    <row r="185" spans="1:17" x14ac:dyDescent="0.3">
      <c r="A185">
        <v>235802</v>
      </c>
      <c r="B185">
        <v>116</v>
      </c>
      <c r="C185" t="s">
        <v>568</v>
      </c>
      <c r="D185" t="s">
        <v>2284</v>
      </c>
      <c r="E185" t="s">
        <v>2483</v>
      </c>
      <c r="F185" s="452">
        <v>46161</v>
      </c>
      <c r="G185" s="452">
        <v>46163</v>
      </c>
      <c r="H185" s="452">
        <v>46189</v>
      </c>
      <c r="I185">
        <v>153.6</v>
      </c>
      <c r="J185">
        <v>153.6</v>
      </c>
      <c r="K185">
        <v>0</v>
      </c>
      <c r="L185">
        <v>153.6</v>
      </c>
      <c r="M185">
        <v>0</v>
      </c>
      <c r="N185">
        <v>0</v>
      </c>
      <c r="O185">
        <v>0</v>
      </c>
      <c r="P185">
        <v>0</v>
      </c>
      <c r="Q185" t="s">
        <v>465</v>
      </c>
    </row>
    <row r="186" spans="1:17" x14ac:dyDescent="0.3">
      <c r="A186">
        <v>235800</v>
      </c>
      <c r="B186">
        <v>116</v>
      </c>
      <c r="C186" t="s">
        <v>568</v>
      </c>
      <c r="D186" t="s">
        <v>2284</v>
      </c>
      <c r="E186" t="s">
        <v>2484</v>
      </c>
      <c r="F186" s="452">
        <v>46168</v>
      </c>
      <c r="G186" s="452">
        <v>46170</v>
      </c>
      <c r="H186" s="452">
        <v>46196</v>
      </c>
      <c r="I186">
        <v>409.68</v>
      </c>
      <c r="J186">
        <v>409.68</v>
      </c>
      <c r="K186">
        <v>409.68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465</v>
      </c>
    </row>
    <row r="187" spans="1:17" x14ac:dyDescent="0.3">
      <c r="A187">
        <v>235798</v>
      </c>
      <c r="B187">
        <v>116</v>
      </c>
      <c r="C187" t="s">
        <v>568</v>
      </c>
      <c r="D187" t="s">
        <v>2284</v>
      </c>
      <c r="E187" t="s">
        <v>2485</v>
      </c>
      <c r="F187" s="452">
        <v>46168</v>
      </c>
      <c r="G187" s="452">
        <v>46170</v>
      </c>
      <c r="H187" s="452">
        <v>46196</v>
      </c>
      <c r="I187">
        <v>249.79</v>
      </c>
      <c r="J187">
        <v>130.38999999999999</v>
      </c>
      <c r="K187">
        <v>249.79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465</v>
      </c>
    </row>
    <row r="188" spans="1:17" x14ac:dyDescent="0.3">
      <c r="A188">
        <v>235796</v>
      </c>
      <c r="B188">
        <v>116</v>
      </c>
      <c r="C188" t="s">
        <v>568</v>
      </c>
      <c r="D188" t="s">
        <v>2284</v>
      </c>
      <c r="E188" t="s">
        <v>2486</v>
      </c>
      <c r="F188" s="452">
        <v>46161</v>
      </c>
      <c r="G188" s="452">
        <v>46163</v>
      </c>
      <c r="H188" s="452">
        <v>46189</v>
      </c>
      <c r="I188">
        <v>237.3</v>
      </c>
      <c r="J188">
        <v>237.3</v>
      </c>
      <c r="K188">
        <v>237.3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465</v>
      </c>
    </row>
    <row r="189" spans="1:17" x14ac:dyDescent="0.3">
      <c r="A189">
        <v>235794</v>
      </c>
      <c r="B189">
        <v>116</v>
      </c>
      <c r="C189" t="s">
        <v>568</v>
      </c>
      <c r="D189" t="s">
        <v>2273</v>
      </c>
      <c r="E189" t="s">
        <v>2487</v>
      </c>
      <c r="F189" s="452">
        <v>46171</v>
      </c>
      <c r="G189" s="452">
        <v>46172</v>
      </c>
      <c r="H189" s="452">
        <v>46199</v>
      </c>
      <c r="I189">
        <v>25.84</v>
      </c>
      <c r="J189">
        <v>25.84</v>
      </c>
      <c r="K189">
        <v>25.84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465</v>
      </c>
    </row>
    <row r="190" spans="1:17" x14ac:dyDescent="0.3">
      <c r="A190">
        <v>235793</v>
      </c>
      <c r="B190">
        <v>116</v>
      </c>
      <c r="C190" t="s">
        <v>568</v>
      </c>
      <c r="D190" t="s">
        <v>2273</v>
      </c>
      <c r="E190" t="s">
        <v>2488</v>
      </c>
      <c r="F190" s="452">
        <v>46170</v>
      </c>
      <c r="G190" s="452">
        <v>46172</v>
      </c>
      <c r="H190" s="452">
        <v>46198</v>
      </c>
      <c r="I190">
        <v>354.35</v>
      </c>
      <c r="J190">
        <v>354.35</v>
      </c>
      <c r="K190">
        <v>354.35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465</v>
      </c>
    </row>
    <row r="191" spans="1:17" x14ac:dyDescent="0.3">
      <c r="A191">
        <v>235792</v>
      </c>
      <c r="B191">
        <v>116</v>
      </c>
      <c r="C191" t="s">
        <v>568</v>
      </c>
      <c r="D191" t="s">
        <v>2273</v>
      </c>
      <c r="E191" t="s">
        <v>2489</v>
      </c>
      <c r="F191" s="452">
        <v>46168</v>
      </c>
      <c r="G191" s="452">
        <v>46170</v>
      </c>
      <c r="H191" s="452">
        <v>46195</v>
      </c>
      <c r="I191">
        <v>419.47</v>
      </c>
      <c r="J191">
        <v>419.47</v>
      </c>
      <c r="K191">
        <v>419.47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465</v>
      </c>
    </row>
    <row r="192" spans="1:17" x14ac:dyDescent="0.3">
      <c r="A192">
        <v>235791</v>
      </c>
      <c r="B192">
        <v>116</v>
      </c>
      <c r="C192" t="s">
        <v>568</v>
      </c>
      <c r="D192" t="s">
        <v>2275</v>
      </c>
      <c r="E192" t="s">
        <v>2490</v>
      </c>
      <c r="F192" s="452">
        <v>46165</v>
      </c>
      <c r="G192" s="452">
        <v>46170</v>
      </c>
      <c r="H192" s="452">
        <v>46203</v>
      </c>
      <c r="I192">
        <v>370.4</v>
      </c>
      <c r="J192">
        <v>370.4</v>
      </c>
      <c r="K192">
        <v>0</v>
      </c>
      <c r="L192">
        <v>370.4</v>
      </c>
      <c r="M192">
        <v>0</v>
      </c>
      <c r="N192">
        <v>0</v>
      </c>
      <c r="O192">
        <v>0</v>
      </c>
      <c r="P192">
        <v>0</v>
      </c>
      <c r="Q192" t="s">
        <v>465</v>
      </c>
    </row>
    <row r="193" spans="1:17" x14ac:dyDescent="0.3">
      <c r="A193">
        <v>235789</v>
      </c>
      <c r="B193">
        <v>116</v>
      </c>
      <c r="C193" t="s">
        <v>568</v>
      </c>
      <c r="D193" t="s">
        <v>2277</v>
      </c>
      <c r="E193" t="s">
        <v>2491</v>
      </c>
      <c r="F193" s="452">
        <v>46169</v>
      </c>
      <c r="G193" s="452">
        <v>46170</v>
      </c>
      <c r="H193" s="452">
        <v>46190</v>
      </c>
      <c r="I193">
        <v>218.98</v>
      </c>
      <c r="J193">
        <v>226.78</v>
      </c>
      <c r="K193">
        <v>218.98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465</v>
      </c>
    </row>
    <row r="194" spans="1:17" x14ac:dyDescent="0.3">
      <c r="A194">
        <v>235787</v>
      </c>
      <c r="B194">
        <v>116</v>
      </c>
      <c r="C194" t="s">
        <v>568</v>
      </c>
      <c r="D194" t="s">
        <v>2277</v>
      </c>
      <c r="E194" t="s">
        <v>2492</v>
      </c>
      <c r="F194" s="452">
        <v>46168</v>
      </c>
      <c r="G194" s="452">
        <v>46170</v>
      </c>
      <c r="H194" s="452">
        <v>46189</v>
      </c>
      <c r="I194">
        <v>247.25</v>
      </c>
      <c r="J194">
        <v>104.45</v>
      </c>
      <c r="K194">
        <v>247.25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465</v>
      </c>
    </row>
    <row r="195" spans="1:17" x14ac:dyDescent="0.3">
      <c r="A195">
        <v>235785</v>
      </c>
      <c r="B195">
        <v>116</v>
      </c>
      <c r="C195" t="s">
        <v>568</v>
      </c>
      <c r="D195" t="s">
        <v>2277</v>
      </c>
      <c r="E195" t="s">
        <v>2493</v>
      </c>
      <c r="F195" s="452">
        <v>46162</v>
      </c>
      <c r="G195" s="452">
        <v>46163</v>
      </c>
      <c r="H195" s="452">
        <v>46183</v>
      </c>
      <c r="I195">
        <v>523.27</v>
      </c>
      <c r="J195">
        <v>521.27</v>
      </c>
      <c r="K195">
        <v>523.27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465</v>
      </c>
    </row>
    <row r="196" spans="1:17" x14ac:dyDescent="0.3">
      <c r="A196">
        <v>235784</v>
      </c>
      <c r="B196">
        <v>116</v>
      </c>
      <c r="C196" t="s">
        <v>568</v>
      </c>
      <c r="D196" t="s">
        <v>2280</v>
      </c>
      <c r="E196" t="s">
        <v>2494</v>
      </c>
      <c r="F196" s="452">
        <v>46163</v>
      </c>
      <c r="G196" s="452">
        <v>46165</v>
      </c>
      <c r="H196" s="452">
        <v>46191</v>
      </c>
      <c r="I196">
        <v>256.89999999999998</v>
      </c>
      <c r="J196">
        <v>256.89999999999998</v>
      </c>
      <c r="K196">
        <v>256.89999999999998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465</v>
      </c>
    </row>
    <row r="197" spans="1:17" x14ac:dyDescent="0.3">
      <c r="A197">
        <v>235782</v>
      </c>
      <c r="B197">
        <v>116</v>
      </c>
      <c r="C197" t="s">
        <v>568</v>
      </c>
      <c r="D197" t="s">
        <v>2280</v>
      </c>
      <c r="E197" t="s">
        <v>2495</v>
      </c>
      <c r="F197" s="452">
        <v>46170</v>
      </c>
      <c r="G197" s="452">
        <v>46172</v>
      </c>
      <c r="H197" s="452">
        <v>46198</v>
      </c>
      <c r="I197">
        <v>181.64</v>
      </c>
      <c r="J197">
        <v>181.64</v>
      </c>
      <c r="K197">
        <v>181.64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465</v>
      </c>
    </row>
    <row r="198" spans="1:17" x14ac:dyDescent="0.3">
      <c r="A198">
        <v>235780</v>
      </c>
      <c r="B198">
        <v>116</v>
      </c>
      <c r="C198" t="s">
        <v>568</v>
      </c>
      <c r="D198" t="s">
        <v>2312</v>
      </c>
      <c r="E198" t="s">
        <v>2496</v>
      </c>
      <c r="F198" s="452">
        <v>46169</v>
      </c>
      <c r="G198" s="452">
        <v>46172</v>
      </c>
      <c r="H198" s="452">
        <v>46202</v>
      </c>
      <c r="I198">
        <v>113.8</v>
      </c>
      <c r="J198">
        <v>70.900000000000006</v>
      </c>
      <c r="K198">
        <v>113.8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465</v>
      </c>
    </row>
    <row r="199" spans="1:17" x14ac:dyDescent="0.3">
      <c r="A199">
        <v>235778</v>
      </c>
      <c r="B199">
        <v>116</v>
      </c>
      <c r="C199" t="s">
        <v>568</v>
      </c>
      <c r="D199" t="s">
        <v>2312</v>
      </c>
      <c r="E199" t="s">
        <v>2497</v>
      </c>
      <c r="F199" s="452">
        <v>46162</v>
      </c>
      <c r="G199" s="452">
        <v>46163</v>
      </c>
      <c r="H199" s="452">
        <v>46195</v>
      </c>
      <c r="I199">
        <v>278.39999999999998</v>
      </c>
      <c r="J199">
        <v>278.39999999999998</v>
      </c>
      <c r="K199">
        <v>278.39999999999998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465</v>
      </c>
    </row>
    <row r="200" spans="1:17" x14ac:dyDescent="0.3">
      <c r="A200">
        <v>235777</v>
      </c>
      <c r="B200">
        <v>116</v>
      </c>
      <c r="C200" t="s">
        <v>568</v>
      </c>
      <c r="D200" t="s">
        <v>2312</v>
      </c>
      <c r="E200" t="s">
        <v>2498</v>
      </c>
      <c r="F200" s="452">
        <v>46148</v>
      </c>
      <c r="G200" s="452">
        <v>46168</v>
      </c>
      <c r="H200" s="452">
        <v>46183</v>
      </c>
      <c r="I200">
        <v>34</v>
      </c>
      <c r="J200">
        <v>34</v>
      </c>
      <c r="K200">
        <v>34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465</v>
      </c>
    </row>
    <row r="201" spans="1:17" x14ac:dyDescent="0.3">
      <c r="A201">
        <v>235775</v>
      </c>
      <c r="B201">
        <v>116</v>
      </c>
      <c r="C201" t="s">
        <v>568</v>
      </c>
      <c r="D201" t="s">
        <v>2499</v>
      </c>
      <c r="E201" t="s">
        <v>2500</v>
      </c>
      <c r="F201" s="452">
        <v>46168</v>
      </c>
      <c r="G201" s="452">
        <v>46170</v>
      </c>
      <c r="H201" s="452">
        <v>46184</v>
      </c>
      <c r="I201">
        <v>1050.23</v>
      </c>
      <c r="J201">
        <v>1050.22</v>
      </c>
      <c r="K201">
        <v>1050.23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465</v>
      </c>
    </row>
    <row r="202" spans="1:17" x14ac:dyDescent="0.3">
      <c r="A202">
        <v>235769</v>
      </c>
      <c r="B202">
        <v>116</v>
      </c>
      <c r="C202" t="s">
        <v>568</v>
      </c>
      <c r="D202" t="s">
        <v>2314</v>
      </c>
      <c r="E202" t="s">
        <v>2501</v>
      </c>
      <c r="F202" s="452">
        <v>46168</v>
      </c>
      <c r="G202" s="452">
        <v>46172</v>
      </c>
      <c r="H202" s="452">
        <v>46199</v>
      </c>
      <c r="I202">
        <v>819.84</v>
      </c>
      <c r="J202">
        <v>819.98</v>
      </c>
      <c r="K202">
        <v>0</v>
      </c>
      <c r="L202">
        <v>819.84</v>
      </c>
      <c r="M202">
        <v>0</v>
      </c>
      <c r="N202">
        <v>0</v>
      </c>
      <c r="O202">
        <v>0</v>
      </c>
      <c r="P202">
        <v>0</v>
      </c>
      <c r="Q202" t="s">
        <v>465</v>
      </c>
    </row>
    <row r="203" spans="1:17" x14ac:dyDescent="0.3">
      <c r="A203">
        <v>235768</v>
      </c>
      <c r="B203">
        <v>116</v>
      </c>
      <c r="C203" t="s">
        <v>568</v>
      </c>
      <c r="D203" t="s">
        <v>2314</v>
      </c>
      <c r="E203" t="s">
        <v>2502</v>
      </c>
      <c r="F203" s="452">
        <v>46171</v>
      </c>
      <c r="G203" s="452">
        <v>46172</v>
      </c>
      <c r="H203" s="452">
        <v>46202</v>
      </c>
      <c r="I203">
        <v>3588.49</v>
      </c>
      <c r="J203">
        <v>3588.48</v>
      </c>
      <c r="K203">
        <v>0</v>
      </c>
      <c r="L203">
        <v>3588.49</v>
      </c>
      <c r="M203">
        <v>0</v>
      </c>
      <c r="N203">
        <v>0</v>
      </c>
      <c r="O203">
        <v>0</v>
      </c>
      <c r="P203">
        <v>0</v>
      </c>
      <c r="Q203" t="s">
        <v>465</v>
      </c>
    </row>
    <row r="204" spans="1:17" x14ac:dyDescent="0.3">
      <c r="A204">
        <v>235766</v>
      </c>
      <c r="B204">
        <v>116</v>
      </c>
      <c r="C204" t="s">
        <v>568</v>
      </c>
      <c r="D204" t="s">
        <v>2308</v>
      </c>
      <c r="E204" t="s">
        <v>2503</v>
      </c>
      <c r="F204" s="452">
        <v>46162</v>
      </c>
      <c r="G204" s="452">
        <v>46163</v>
      </c>
      <c r="H204" s="452">
        <v>46190</v>
      </c>
      <c r="I204">
        <v>1040</v>
      </c>
      <c r="J204">
        <v>1040</v>
      </c>
      <c r="K204">
        <v>1040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465</v>
      </c>
    </row>
    <row r="205" spans="1:17" x14ac:dyDescent="0.3">
      <c r="A205">
        <v>235765</v>
      </c>
      <c r="B205">
        <v>116</v>
      </c>
      <c r="C205" t="s">
        <v>568</v>
      </c>
      <c r="D205" t="s">
        <v>2308</v>
      </c>
      <c r="E205" t="s">
        <v>2504</v>
      </c>
      <c r="F205" s="452">
        <v>46161</v>
      </c>
      <c r="G205" s="452">
        <v>46163</v>
      </c>
      <c r="H205" s="452">
        <v>46189</v>
      </c>
      <c r="I205">
        <v>1213.8</v>
      </c>
      <c r="J205">
        <v>1213.8</v>
      </c>
      <c r="K205">
        <v>1213.8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465</v>
      </c>
    </row>
    <row r="206" spans="1:17" x14ac:dyDescent="0.3">
      <c r="A206">
        <v>235764</v>
      </c>
      <c r="B206">
        <v>116</v>
      </c>
      <c r="C206" t="s">
        <v>568</v>
      </c>
      <c r="D206" t="s">
        <v>2338</v>
      </c>
      <c r="E206" t="s">
        <v>2505</v>
      </c>
      <c r="F206" s="452">
        <v>46167</v>
      </c>
      <c r="G206" s="452">
        <v>46170</v>
      </c>
      <c r="H206" s="452">
        <v>46195</v>
      </c>
      <c r="I206">
        <v>476.7</v>
      </c>
      <c r="J206">
        <v>476.7</v>
      </c>
      <c r="K206">
        <v>476.7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465</v>
      </c>
    </row>
    <row r="207" spans="1:17" x14ac:dyDescent="0.3">
      <c r="A207">
        <v>235763</v>
      </c>
      <c r="B207">
        <v>116</v>
      </c>
      <c r="C207" t="s">
        <v>568</v>
      </c>
      <c r="D207" t="s">
        <v>2338</v>
      </c>
      <c r="E207" t="s">
        <v>2506</v>
      </c>
      <c r="F207" s="452">
        <v>46161</v>
      </c>
      <c r="G207" s="452">
        <v>46163</v>
      </c>
      <c r="H207" s="452">
        <v>46189</v>
      </c>
      <c r="I207">
        <v>643.20000000000005</v>
      </c>
      <c r="J207">
        <v>643.20000000000005</v>
      </c>
      <c r="K207">
        <v>643.20000000000005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465</v>
      </c>
    </row>
    <row r="208" spans="1:17" x14ac:dyDescent="0.3">
      <c r="A208">
        <v>235757</v>
      </c>
      <c r="B208">
        <v>116</v>
      </c>
      <c r="C208" t="s">
        <v>568</v>
      </c>
      <c r="D208" t="s">
        <v>2320</v>
      </c>
      <c r="E208" t="s">
        <v>2507</v>
      </c>
      <c r="F208" s="452">
        <v>46169</v>
      </c>
      <c r="G208" s="452">
        <v>46170</v>
      </c>
      <c r="H208" s="452">
        <v>46183</v>
      </c>
      <c r="I208">
        <v>1079.1600000000001</v>
      </c>
      <c r="J208">
        <v>1079.94</v>
      </c>
      <c r="K208">
        <v>1079.1600000000001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465</v>
      </c>
    </row>
    <row r="209" spans="1:17" x14ac:dyDescent="0.3">
      <c r="A209">
        <v>235743</v>
      </c>
      <c r="B209">
        <v>116</v>
      </c>
      <c r="C209" t="s">
        <v>568</v>
      </c>
      <c r="D209" t="s">
        <v>2381</v>
      </c>
      <c r="E209" t="s">
        <v>2508</v>
      </c>
      <c r="F209" s="452">
        <v>46161</v>
      </c>
      <c r="G209" s="452">
        <v>46163</v>
      </c>
      <c r="H209" s="452">
        <v>46189</v>
      </c>
      <c r="I209">
        <v>1637.66</v>
      </c>
      <c r="J209">
        <v>1637.43</v>
      </c>
      <c r="K209">
        <v>1637.66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465</v>
      </c>
    </row>
    <row r="210" spans="1:17" x14ac:dyDescent="0.3">
      <c r="A210">
        <v>235613</v>
      </c>
      <c r="B210">
        <v>116</v>
      </c>
      <c r="C210" t="s">
        <v>568</v>
      </c>
      <c r="D210" t="s">
        <v>2465</v>
      </c>
      <c r="E210" t="s">
        <v>2509</v>
      </c>
      <c r="F210" s="452">
        <v>46167</v>
      </c>
      <c r="G210" s="452">
        <v>46170</v>
      </c>
      <c r="H210" s="452">
        <v>46182</v>
      </c>
      <c r="I210">
        <v>123</v>
      </c>
      <c r="J210">
        <v>123</v>
      </c>
      <c r="K210">
        <v>123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465</v>
      </c>
    </row>
    <row r="211" spans="1:17" x14ac:dyDescent="0.3">
      <c r="A211">
        <v>235415</v>
      </c>
      <c r="B211">
        <v>116</v>
      </c>
      <c r="C211" t="s">
        <v>568</v>
      </c>
      <c r="D211" t="s">
        <v>2262</v>
      </c>
      <c r="E211" t="s">
        <v>2510</v>
      </c>
      <c r="F211" s="452">
        <v>46168</v>
      </c>
      <c r="G211" s="452">
        <v>46170</v>
      </c>
      <c r="H211" s="452">
        <v>46196</v>
      </c>
      <c r="I211">
        <v>1703.49</v>
      </c>
      <c r="J211">
        <v>1703.49</v>
      </c>
      <c r="K211">
        <v>1703.49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465</v>
      </c>
    </row>
    <row r="212" spans="1:17" x14ac:dyDescent="0.3">
      <c r="A212">
        <v>234823</v>
      </c>
      <c r="B212">
        <v>116</v>
      </c>
      <c r="C212" t="s">
        <v>568</v>
      </c>
      <c r="D212" t="s">
        <v>2094</v>
      </c>
      <c r="E212" t="s">
        <v>2511</v>
      </c>
      <c r="F212" s="452">
        <v>46167</v>
      </c>
      <c r="G212" s="452">
        <v>46156</v>
      </c>
      <c r="H212" s="452">
        <v>46170</v>
      </c>
      <c r="I212">
        <v>820</v>
      </c>
      <c r="J212">
        <v>115</v>
      </c>
      <c r="K212">
        <v>0</v>
      </c>
      <c r="L212">
        <v>820</v>
      </c>
      <c r="M212">
        <v>0</v>
      </c>
      <c r="N212">
        <v>0</v>
      </c>
      <c r="O212">
        <v>0</v>
      </c>
      <c r="P212">
        <v>0</v>
      </c>
      <c r="Q212" t="s">
        <v>465</v>
      </c>
    </row>
    <row r="213" spans="1:17" x14ac:dyDescent="0.3">
      <c r="A213">
        <v>234685</v>
      </c>
      <c r="B213">
        <v>116</v>
      </c>
      <c r="C213" t="s">
        <v>568</v>
      </c>
      <c r="D213" t="s">
        <v>2314</v>
      </c>
      <c r="E213" t="s">
        <v>2512</v>
      </c>
      <c r="F213" s="452">
        <v>46161</v>
      </c>
      <c r="G213" s="452">
        <v>46163</v>
      </c>
      <c r="H213" s="452">
        <v>46192</v>
      </c>
      <c r="I213">
        <v>4128.68</v>
      </c>
      <c r="J213">
        <v>4131.92</v>
      </c>
      <c r="K213">
        <v>0</v>
      </c>
      <c r="L213">
        <v>4128.68</v>
      </c>
      <c r="M213">
        <v>0</v>
      </c>
      <c r="N213">
        <v>0</v>
      </c>
      <c r="O213">
        <v>0</v>
      </c>
      <c r="P213">
        <v>0</v>
      </c>
      <c r="Q213" t="s">
        <v>465</v>
      </c>
    </row>
    <row r="214" spans="1:17" x14ac:dyDescent="0.3">
      <c r="A214">
        <v>234672</v>
      </c>
      <c r="B214">
        <v>116</v>
      </c>
      <c r="C214" t="s">
        <v>568</v>
      </c>
      <c r="D214" t="s">
        <v>2286</v>
      </c>
      <c r="E214" t="s">
        <v>2513</v>
      </c>
      <c r="F214" s="452">
        <v>46163</v>
      </c>
      <c r="G214" s="452">
        <v>46164</v>
      </c>
      <c r="H214" s="452">
        <v>46177</v>
      </c>
      <c r="I214">
        <v>319.95</v>
      </c>
      <c r="J214">
        <v>319.95</v>
      </c>
      <c r="K214">
        <v>319.95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465</v>
      </c>
    </row>
    <row r="215" spans="1:17" x14ac:dyDescent="0.3">
      <c r="A215">
        <v>234670</v>
      </c>
      <c r="B215">
        <v>116</v>
      </c>
      <c r="C215" t="s">
        <v>568</v>
      </c>
      <c r="D215" t="s">
        <v>2286</v>
      </c>
      <c r="E215" t="s">
        <v>2514</v>
      </c>
      <c r="F215" s="452">
        <v>46164</v>
      </c>
      <c r="G215" s="452">
        <v>46164</v>
      </c>
      <c r="H215" s="452">
        <v>46178</v>
      </c>
      <c r="I215">
        <v>43.5</v>
      </c>
      <c r="J215">
        <v>130.5</v>
      </c>
      <c r="K215">
        <v>43.5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465</v>
      </c>
    </row>
    <row r="216" spans="1:17" x14ac:dyDescent="0.3">
      <c r="A216">
        <v>234657</v>
      </c>
      <c r="B216">
        <v>116</v>
      </c>
      <c r="C216" t="s">
        <v>568</v>
      </c>
      <c r="D216" t="s">
        <v>2286</v>
      </c>
      <c r="E216" t="s">
        <v>2515</v>
      </c>
      <c r="F216" s="452">
        <v>46164</v>
      </c>
      <c r="G216" s="452">
        <v>46164</v>
      </c>
      <c r="H216" s="452">
        <v>46178</v>
      </c>
      <c r="I216">
        <v>87</v>
      </c>
      <c r="J216">
        <v>130.5</v>
      </c>
      <c r="K216">
        <v>87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465</v>
      </c>
    </row>
    <row r="217" spans="1:17" x14ac:dyDescent="0.3">
      <c r="A217">
        <v>234644</v>
      </c>
      <c r="B217">
        <v>116</v>
      </c>
      <c r="C217" t="s">
        <v>568</v>
      </c>
      <c r="D217" t="s">
        <v>2465</v>
      </c>
      <c r="E217" t="s">
        <v>2516</v>
      </c>
      <c r="F217" s="452">
        <v>46164</v>
      </c>
      <c r="G217" s="452">
        <v>46164</v>
      </c>
      <c r="H217" s="452">
        <v>46178</v>
      </c>
      <c r="I217">
        <v>205</v>
      </c>
      <c r="J217">
        <v>205</v>
      </c>
      <c r="K217">
        <v>205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465</v>
      </c>
    </row>
    <row r="218" spans="1:17" x14ac:dyDescent="0.3">
      <c r="A218">
        <v>234643</v>
      </c>
      <c r="B218">
        <v>116</v>
      </c>
      <c r="C218" t="s">
        <v>568</v>
      </c>
      <c r="D218" t="s">
        <v>2265</v>
      </c>
      <c r="E218" t="s">
        <v>926</v>
      </c>
      <c r="F218" s="452">
        <v>46162</v>
      </c>
      <c r="G218" s="452">
        <v>46163</v>
      </c>
      <c r="H218" s="452">
        <v>46176</v>
      </c>
      <c r="I218">
        <v>737.44</v>
      </c>
      <c r="J218">
        <v>737.44</v>
      </c>
      <c r="K218">
        <v>0</v>
      </c>
      <c r="L218">
        <v>0</v>
      </c>
      <c r="M218">
        <v>651.44000000000005</v>
      </c>
      <c r="N218">
        <v>0</v>
      </c>
      <c r="O218">
        <v>86</v>
      </c>
      <c r="P218">
        <v>0</v>
      </c>
      <c r="Q218" t="s">
        <v>465</v>
      </c>
    </row>
    <row r="219" spans="1:17" x14ac:dyDescent="0.3">
      <c r="A219">
        <v>234642</v>
      </c>
      <c r="B219">
        <v>116</v>
      </c>
      <c r="C219" t="s">
        <v>568</v>
      </c>
      <c r="D219" t="s">
        <v>2468</v>
      </c>
      <c r="E219" t="s">
        <v>2517</v>
      </c>
      <c r="F219" s="452">
        <v>46143</v>
      </c>
      <c r="G219" s="452">
        <v>46168</v>
      </c>
      <c r="H219" s="452">
        <v>46174</v>
      </c>
      <c r="I219">
        <v>2120.5300000000002</v>
      </c>
      <c r="J219">
        <v>2015.78</v>
      </c>
      <c r="K219">
        <v>2120.5300000000002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465</v>
      </c>
    </row>
    <row r="220" spans="1:17" x14ac:dyDescent="0.3">
      <c r="A220">
        <v>234638</v>
      </c>
      <c r="B220">
        <v>116</v>
      </c>
      <c r="C220" t="s">
        <v>568</v>
      </c>
      <c r="D220" t="s">
        <v>2258</v>
      </c>
      <c r="E220" t="s">
        <v>2518</v>
      </c>
      <c r="F220" s="452">
        <v>46163</v>
      </c>
      <c r="G220" s="452">
        <v>46168</v>
      </c>
      <c r="H220" s="452">
        <v>46174</v>
      </c>
      <c r="I220">
        <v>198.95</v>
      </c>
      <c r="J220">
        <v>183.95</v>
      </c>
      <c r="K220">
        <v>198.95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465</v>
      </c>
    </row>
    <row r="221" spans="1:17" x14ac:dyDescent="0.3">
      <c r="A221">
        <v>233780</v>
      </c>
      <c r="B221">
        <v>116</v>
      </c>
      <c r="C221" t="s">
        <v>568</v>
      </c>
      <c r="D221" t="s">
        <v>2282</v>
      </c>
      <c r="E221" t="s">
        <v>2519</v>
      </c>
      <c r="F221" s="452">
        <v>46160</v>
      </c>
      <c r="G221" s="452">
        <v>46162</v>
      </c>
      <c r="H221" s="452">
        <v>46174</v>
      </c>
      <c r="I221">
        <v>269.10000000000002</v>
      </c>
      <c r="J221">
        <v>269.10000000000002</v>
      </c>
      <c r="K221">
        <v>0</v>
      </c>
      <c r="L221">
        <v>0</v>
      </c>
      <c r="M221">
        <v>0</v>
      </c>
      <c r="N221">
        <v>269.10000000000002</v>
      </c>
      <c r="O221">
        <v>0</v>
      </c>
      <c r="P221">
        <v>0</v>
      </c>
      <c r="Q221" t="s">
        <v>465</v>
      </c>
    </row>
    <row r="222" spans="1:17" x14ac:dyDescent="0.3">
      <c r="A222">
        <v>233779</v>
      </c>
      <c r="B222">
        <v>116</v>
      </c>
      <c r="C222" t="s">
        <v>568</v>
      </c>
      <c r="D222" t="s">
        <v>2273</v>
      </c>
      <c r="E222" t="s">
        <v>2520</v>
      </c>
      <c r="F222" s="452">
        <v>46160</v>
      </c>
      <c r="G222" s="452">
        <v>46162</v>
      </c>
      <c r="H222" s="452">
        <v>46188</v>
      </c>
      <c r="I222">
        <v>191.21</v>
      </c>
      <c r="J222">
        <v>191.2</v>
      </c>
      <c r="K222">
        <v>191.21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465</v>
      </c>
    </row>
    <row r="223" spans="1:17" x14ac:dyDescent="0.3">
      <c r="A223">
        <v>233778</v>
      </c>
      <c r="B223">
        <v>116</v>
      </c>
      <c r="C223" t="s">
        <v>568</v>
      </c>
      <c r="D223" t="s">
        <v>2280</v>
      </c>
      <c r="E223" t="s">
        <v>2521</v>
      </c>
      <c r="F223" s="452">
        <v>46160</v>
      </c>
      <c r="G223" s="452">
        <v>46162</v>
      </c>
      <c r="H223" s="452">
        <v>46188</v>
      </c>
      <c r="I223">
        <v>114.58</v>
      </c>
      <c r="J223">
        <v>114.58</v>
      </c>
      <c r="K223">
        <v>114.58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465</v>
      </c>
    </row>
    <row r="224" spans="1:17" x14ac:dyDescent="0.3">
      <c r="A224">
        <v>233777</v>
      </c>
      <c r="B224">
        <v>116</v>
      </c>
      <c r="C224" t="s">
        <v>568</v>
      </c>
      <c r="D224" t="s">
        <v>2465</v>
      </c>
      <c r="E224" t="s">
        <v>2522</v>
      </c>
      <c r="F224" s="452">
        <v>46160</v>
      </c>
      <c r="G224" s="452">
        <v>46162</v>
      </c>
      <c r="H224" s="452">
        <v>46175</v>
      </c>
      <c r="I224">
        <v>82</v>
      </c>
      <c r="J224">
        <v>82</v>
      </c>
      <c r="K224">
        <v>82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465</v>
      </c>
    </row>
    <row r="225" spans="1:17" x14ac:dyDescent="0.3">
      <c r="A225">
        <v>233776</v>
      </c>
      <c r="B225">
        <v>116</v>
      </c>
      <c r="C225" t="s">
        <v>568</v>
      </c>
      <c r="D225" t="s">
        <v>2286</v>
      </c>
      <c r="E225" t="s">
        <v>2523</v>
      </c>
      <c r="F225" s="452">
        <v>46160</v>
      </c>
      <c r="G225" s="452">
        <v>46162</v>
      </c>
      <c r="H225" s="452">
        <v>46174</v>
      </c>
      <c r="I225">
        <v>418.43</v>
      </c>
      <c r="J225">
        <v>418.42</v>
      </c>
      <c r="K225">
        <v>418.43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465</v>
      </c>
    </row>
    <row r="226" spans="1:17" x14ac:dyDescent="0.3">
      <c r="A226">
        <v>233775</v>
      </c>
      <c r="B226">
        <v>116</v>
      </c>
      <c r="C226" t="s">
        <v>568</v>
      </c>
      <c r="D226" t="s">
        <v>2318</v>
      </c>
      <c r="E226" t="s">
        <v>2524</v>
      </c>
      <c r="F226" s="452">
        <v>46160</v>
      </c>
      <c r="G226" s="452">
        <v>46162</v>
      </c>
      <c r="H226" s="452">
        <v>46174</v>
      </c>
      <c r="I226">
        <v>1095.8599999999999</v>
      </c>
      <c r="J226">
        <v>1095.8599999999999</v>
      </c>
      <c r="K226">
        <v>1095.8599999999999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465</v>
      </c>
    </row>
    <row r="227" spans="1:17" x14ac:dyDescent="0.3">
      <c r="A227">
        <v>233774</v>
      </c>
      <c r="B227">
        <v>116</v>
      </c>
      <c r="C227" t="s">
        <v>568</v>
      </c>
      <c r="D227" t="s">
        <v>2267</v>
      </c>
      <c r="E227" t="s">
        <v>2525</v>
      </c>
      <c r="F227" s="452">
        <v>46161</v>
      </c>
      <c r="G227" s="452">
        <v>46162</v>
      </c>
      <c r="H227" s="452">
        <v>46190</v>
      </c>
      <c r="I227">
        <v>888.22</v>
      </c>
      <c r="J227">
        <v>960.69</v>
      </c>
      <c r="K227">
        <v>888.22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465</v>
      </c>
    </row>
    <row r="228" spans="1:17" x14ac:dyDescent="0.3">
      <c r="A228">
        <v>233773</v>
      </c>
      <c r="B228">
        <v>116</v>
      </c>
      <c r="C228" t="s">
        <v>568</v>
      </c>
      <c r="D228" t="s">
        <v>2262</v>
      </c>
      <c r="E228" t="s">
        <v>2526</v>
      </c>
      <c r="F228" s="452">
        <v>46161</v>
      </c>
      <c r="G228" s="452">
        <v>46162</v>
      </c>
      <c r="H228" s="452">
        <v>46189</v>
      </c>
      <c r="I228">
        <v>3289.91</v>
      </c>
      <c r="J228">
        <v>3289.91</v>
      </c>
      <c r="K228">
        <v>3289.91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465</v>
      </c>
    </row>
    <row r="229" spans="1:17" x14ac:dyDescent="0.3">
      <c r="A229">
        <v>233772</v>
      </c>
      <c r="B229">
        <v>116</v>
      </c>
      <c r="C229" t="s">
        <v>568</v>
      </c>
      <c r="D229" t="s">
        <v>2262</v>
      </c>
      <c r="E229" t="s">
        <v>2527</v>
      </c>
      <c r="F229" s="452">
        <v>46161</v>
      </c>
      <c r="G229" s="452">
        <v>46162</v>
      </c>
      <c r="H229" s="452">
        <v>46189</v>
      </c>
      <c r="I229">
        <v>352.56</v>
      </c>
      <c r="J229">
        <v>352.56</v>
      </c>
      <c r="K229">
        <v>352.56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465</v>
      </c>
    </row>
    <row r="230" spans="1:17" x14ac:dyDescent="0.3">
      <c r="A230">
        <v>233771</v>
      </c>
      <c r="B230">
        <v>116</v>
      </c>
      <c r="C230" t="s">
        <v>568</v>
      </c>
      <c r="D230" t="s">
        <v>2528</v>
      </c>
      <c r="E230" t="s">
        <v>2529</v>
      </c>
      <c r="F230" s="452">
        <v>46156</v>
      </c>
      <c r="G230" s="452">
        <v>46161</v>
      </c>
      <c r="H230" s="452">
        <v>46189</v>
      </c>
      <c r="I230">
        <v>2571.31</v>
      </c>
      <c r="J230">
        <v>2470.3200000000002</v>
      </c>
      <c r="K230">
        <v>2335.2399999999998</v>
      </c>
      <c r="L230">
        <v>0</v>
      </c>
      <c r="M230">
        <v>0</v>
      </c>
      <c r="N230">
        <v>0</v>
      </c>
      <c r="O230">
        <v>236.07</v>
      </c>
      <c r="P230">
        <v>0</v>
      </c>
      <c r="Q230" t="s">
        <v>465</v>
      </c>
    </row>
    <row r="231" spans="1:17" x14ac:dyDescent="0.3">
      <c r="A231">
        <v>233770</v>
      </c>
      <c r="B231">
        <v>116</v>
      </c>
      <c r="C231" t="s">
        <v>568</v>
      </c>
      <c r="D231" t="s">
        <v>2277</v>
      </c>
      <c r="E231" t="s">
        <v>2530</v>
      </c>
      <c r="F231" s="452">
        <v>46161</v>
      </c>
      <c r="G231" s="452">
        <v>46161</v>
      </c>
      <c r="H231" s="452">
        <v>46182</v>
      </c>
      <c r="I231">
        <v>865.58</v>
      </c>
      <c r="J231">
        <v>863.31</v>
      </c>
      <c r="K231">
        <v>865.58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465</v>
      </c>
    </row>
    <row r="232" spans="1:17" x14ac:dyDescent="0.3">
      <c r="A232">
        <v>233769</v>
      </c>
      <c r="B232">
        <v>116</v>
      </c>
      <c r="C232" t="s">
        <v>568</v>
      </c>
      <c r="D232" t="s">
        <v>2330</v>
      </c>
      <c r="E232" t="s">
        <v>2531</v>
      </c>
      <c r="F232" s="452">
        <v>46160</v>
      </c>
      <c r="G232" s="452">
        <v>46161</v>
      </c>
      <c r="H232" s="452">
        <v>46188</v>
      </c>
      <c r="I232">
        <v>260</v>
      </c>
      <c r="J232">
        <v>260</v>
      </c>
      <c r="K232">
        <v>0</v>
      </c>
      <c r="L232">
        <v>260</v>
      </c>
      <c r="M232">
        <v>0</v>
      </c>
      <c r="N232">
        <v>0</v>
      </c>
      <c r="O232">
        <v>0</v>
      </c>
      <c r="P232">
        <v>0</v>
      </c>
      <c r="Q232" t="s">
        <v>465</v>
      </c>
    </row>
    <row r="233" spans="1:17" x14ac:dyDescent="0.3">
      <c r="A233">
        <v>233768</v>
      </c>
      <c r="B233">
        <v>116</v>
      </c>
      <c r="C233" t="s">
        <v>568</v>
      </c>
      <c r="D233" t="s">
        <v>2284</v>
      </c>
      <c r="E233" t="s">
        <v>2532</v>
      </c>
      <c r="F233" s="452">
        <v>46160</v>
      </c>
      <c r="G233" s="452">
        <v>46161</v>
      </c>
      <c r="H233" s="452">
        <v>46189</v>
      </c>
      <c r="I233">
        <v>389.09</v>
      </c>
      <c r="J233">
        <v>125.67</v>
      </c>
      <c r="K233">
        <v>389.09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465</v>
      </c>
    </row>
    <row r="234" spans="1:17" x14ac:dyDescent="0.3">
      <c r="A234">
        <v>233767</v>
      </c>
      <c r="B234">
        <v>116</v>
      </c>
      <c r="C234" t="s">
        <v>568</v>
      </c>
      <c r="D234" t="s">
        <v>2284</v>
      </c>
      <c r="E234" t="s">
        <v>2533</v>
      </c>
      <c r="F234" s="452">
        <v>46157</v>
      </c>
      <c r="G234" s="452">
        <v>46161</v>
      </c>
      <c r="H234" s="452">
        <v>46185</v>
      </c>
      <c r="I234">
        <v>293.3</v>
      </c>
      <c r="J234">
        <v>293.3</v>
      </c>
      <c r="K234">
        <v>0</v>
      </c>
      <c r="L234">
        <v>293.3</v>
      </c>
      <c r="M234">
        <v>0</v>
      </c>
      <c r="N234">
        <v>0</v>
      </c>
      <c r="O234">
        <v>0</v>
      </c>
      <c r="P234">
        <v>0</v>
      </c>
      <c r="Q234" t="s">
        <v>465</v>
      </c>
    </row>
    <row r="235" spans="1:17" x14ac:dyDescent="0.3">
      <c r="A235">
        <v>233766</v>
      </c>
      <c r="B235">
        <v>116</v>
      </c>
      <c r="C235" t="s">
        <v>568</v>
      </c>
      <c r="D235" t="s">
        <v>2410</v>
      </c>
      <c r="E235" t="s">
        <v>2534</v>
      </c>
      <c r="F235" s="452">
        <v>46160</v>
      </c>
      <c r="G235" s="452">
        <v>46161</v>
      </c>
      <c r="H235" s="452">
        <v>46188</v>
      </c>
      <c r="I235">
        <v>394.8</v>
      </c>
      <c r="J235">
        <v>394.8</v>
      </c>
      <c r="K235">
        <v>0</v>
      </c>
      <c r="L235">
        <v>394.8</v>
      </c>
      <c r="M235">
        <v>0</v>
      </c>
      <c r="N235">
        <v>0</v>
      </c>
      <c r="O235">
        <v>0</v>
      </c>
      <c r="P235">
        <v>0</v>
      </c>
      <c r="Q235" t="s">
        <v>465</v>
      </c>
    </row>
    <row r="236" spans="1:17" x14ac:dyDescent="0.3">
      <c r="A236">
        <v>233765</v>
      </c>
      <c r="B236">
        <v>116</v>
      </c>
      <c r="C236" t="s">
        <v>568</v>
      </c>
      <c r="D236" t="s">
        <v>2314</v>
      </c>
      <c r="E236" t="s">
        <v>2535</v>
      </c>
      <c r="F236" s="452">
        <v>46158</v>
      </c>
      <c r="G236" s="452">
        <v>46161</v>
      </c>
      <c r="H236" s="452">
        <v>46190</v>
      </c>
      <c r="I236">
        <v>2896.8</v>
      </c>
      <c r="J236">
        <v>2896.8</v>
      </c>
      <c r="K236">
        <v>0</v>
      </c>
      <c r="L236">
        <v>2896.8</v>
      </c>
      <c r="M236">
        <v>0</v>
      </c>
      <c r="N236">
        <v>0</v>
      </c>
      <c r="O236">
        <v>0</v>
      </c>
      <c r="P236">
        <v>0</v>
      </c>
      <c r="Q236" t="s">
        <v>465</v>
      </c>
    </row>
    <row r="237" spans="1:17" x14ac:dyDescent="0.3">
      <c r="A237">
        <v>233764</v>
      </c>
      <c r="B237">
        <v>116</v>
      </c>
      <c r="C237" t="s">
        <v>568</v>
      </c>
      <c r="D237" t="s">
        <v>2260</v>
      </c>
      <c r="E237" t="s">
        <v>2536</v>
      </c>
      <c r="F237" s="452">
        <v>46157</v>
      </c>
      <c r="G237" s="452">
        <v>46162</v>
      </c>
      <c r="H237" s="452">
        <v>46182</v>
      </c>
      <c r="I237">
        <v>3905.68</v>
      </c>
      <c r="J237">
        <v>3895.68</v>
      </c>
      <c r="K237">
        <v>3905.68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465</v>
      </c>
    </row>
    <row r="238" spans="1:17" x14ac:dyDescent="0.3">
      <c r="A238">
        <v>233763</v>
      </c>
      <c r="B238">
        <v>116</v>
      </c>
      <c r="C238" t="s">
        <v>568</v>
      </c>
      <c r="D238" t="s">
        <v>2537</v>
      </c>
      <c r="E238" t="s">
        <v>2538</v>
      </c>
      <c r="F238" s="452">
        <v>46153</v>
      </c>
      <c r="G238" s="452">
        <v>46156</v>
      </c>
      <c r="H238" s="452">
        <v>46181</v>
      </c>
      <c r="I238">
        <v>988</v>
      </c>
      <c r="J238">
        <v>988</v>
      </c>
      <c r="K238">
        <v>0</v>
      </c>
      <c r="L238">
        <v>0</v>
      </c>
      <c r="M238">
        <v>988</v>
      </c>
      <c r="N238">
        <v>0</v>
      </c>
      <c r="O238">
        <v>0</v>
      </c>
      <c r="P238">
        <v>0</v>
      </c>
      <c r="Q238" t="s">
        <v>465</v>
      </c>
    </row>
    <row r="239" spans="1:17" x14ac:dyDescent="0.3">
      <c r="A239">
        <v>233762</v>
      </c>
      <c r="B239">
        <v>116</v>
      </c>
      <c r="C239" t="s">
        <v>568</v>
      </c>
      <c r="D239" t="s">
        <v>2280</v>
      </c>
      <c r="E239" t="s">
        <v>2539</v>
      </c>
      <c r="F239" s="452">
        <v>46156</v>
      </c>
      <c r="G239" s="452">
        <v>46158</v>
      </c>
      <c r="H239" s="452">
        <v>46184</v>
      </c>
      <c r="I239">
        <v>309.26</v>
      </c>
      <c r="J239">
        <v>309.26</v>
      </c>
      <c r="K239">
        <v>309.26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465</v>
      </c>
    </row>
    <row r="240" spans="1:17" x14ac:dyDescent="0.3">
      <c r="A240">
        <v>233761</v>
      </c>
      <c r="B240">
        <v>116</v>
      </c>
      <c r="C240" t="s">
        <v>568</v>
      </c>
      <c r="D240" t="s">
        <v>2280</v>
      </c>
      <c r="E240" t="s">
        <v>2540</v>
      </c>
      <c r="F240" s="452">
        <v>46153</v>
      </c>
      <c r="G240" s="452">
        <v>46156</v>
      </c>
      <c r="H240" s="452">
        <v>46181</v>
      </c>
      <c r="I240">
        <v>54.38</v>
      </c>
      <c r="J240">
        <v>54.38</v>
      </c>
      <c r="K240">
        <v>54.38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465</v>
      </c>
    </row>
    <row r="241" spans="1:17" x14ac:dyDescent="0.3">
      <c r="A241">
        <v>233760</v>
      </c>
      <c r="B241">
        <v>116</v>
      </c>
      <c r="C241" t="s">
        <v>568</v>
      </c>
      <c r="D241" t="s">
        <v>2273</v>
      </c>
      <c r="E241" t="s">
        <v>2541</v>
      </c>
      <c r="F241" s="452">
        <v>46160</v>
      </c>
      <c r="G241" s="452">
        <v>46156</v>
      </c>
      <c r="H241" s="452">
        <v>46181</v>
      </c>
      <c r="I241">
        <v>260.12</v>
      </c>
      <c r="J241">
        <v>260.12</v>
      </c>
      <c r="K241">
        <v>260.12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465</v>
      </c>
    </row>
    <row r="242" spans="1:17" x14ac:dyDescent="0.3">
      <c r="A242">
        <v>233759</v>
      </c>
      <c r="B242">
        <v>116</v>
      </c>
      <c r="C242" t="s">
        <v>568</v>
      </c>
      <c r="D242" t="s">
        <v>2260</v>
      </c>
      <c r="E242" t="s">
        <v>2542</v>
      </c>
      <c r="F242" s="452">
        <v>46156</v>
      </c>
      <c r="G242" s="452">
        <v>46158</v>
      </c>
      <c r="H242" s="452">
        <v>46177</v>
      </c>
      <c r="I242">
        <v>1945.5</v>
      </c>
      <c r="J242">
        <v>1935.5</v>
      </c>
      <c r="K242">
        <v>1945.5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465</v>
      </c>
    </row>
    <row r="243" spans="1:17" x14ac:dyDescent="0.3">
      <c r="A243">
        <v>233758</v>
      </c>
      <c r="B243">
        <v>116</v>
      </c>
      <c r="C243" t="s">
        <v>568</v>
      </c>
      <c r="D243" t="s">
        <v>2267</v>
      </c>
      <c r="E243" t="s">
        <v>2543</v>
      </c>
      <c r="F243" s="452">
        <v>46155</v>
      </c>
      <c r="G243" s="452">
        <v>46156</v>
      </c>
      <c r="H243" s="452">
        <v>46182</v>
      </c>
      <c r="I243">
        <v>725.21</v>
      </c>
      <c r="J243">
        <v>725.21</v>
      </c>
      <c r="K243">
        <v>725.21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465</v>
      </c>
    </row>
    <row r="244" spans="1:17" x14ac:dyDescent="0.3">
      <c r="A244">
        <v>233757</v>
      </c>
      <c r="B244">
        <v>116</v>
      </c>
      <c r="C244" t="s">
        <v>568</v>
      </c>
      <c r="D244" t="s">
        <v>2468</v>
      </c>
      <c r="E244" t="s">
        <v>2544</v>
      </c>
      <c r="F244" s="452">
        <v>46153</v>
      </c>
      <c r="G244" s="452">
        <v>46156</v>
      </c>
      <c r="H244" s="452">
        <v>46174</v>
      </c>
      <c r="I244">
        <v>684.34</v>
      </c>
      <c r="J244">
        <v>684.33</v>
      </c>
      <c r="K244">
        <v>684.34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465</v>
      </c>
    </row>
    <row r="245" spans="1:17" x14ac:dyDescent="0.3">
      <c r="A245">
        <v>233756</v>
      </c>
      <c r="B245">
        <v>116</v>
      </c>
      <c r="C245" t="s">
        <v>568</v>
      </c>
      <c r="D245" t="s">
        <v>2262</v>
      </c>
      <c r="E245" t="s">
        <v>2545</v>
      </c>
      <c r="F245" s="452">
        <v>46154</v>
      </c>
      <c r="G245" s="452">
        <v>46156</v>
      </c>
      <c r="H245" s="452">
        <v>46182</v>
      </c>
      <c r="I245">
        <v>3374.89</v>
      </c>
      <c r="J245">
        <v>3374.89</v>
      </c>
      <c r="K245">
        <v>3374.89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465</v>
      </c>
    </row>
    <row r="246" spans="1:17" x14ac:dyDescent="0.3">
      <c r="A246">
        <v>233755</v>
      </c>
      <c r="B246">
        <v>116</v>
      </c>
      <c r="C246" t="s">
        <v>568</v>
      </c>
      <c r="D246" t="s">
        <v>2308</v>
      </c>
      <c r="E246" t="s">
        <v>2546</v>
      </c>
      <c r="F246" s="452">
        <v>46154</v>
      </c>
      <c r="G246" s="452">
        <v>46158</v>
      </c>
      <c r="H246" s="452">
        <v>46182</v>
      </c>
      <c r="I246">
        <v>1021.2</v>
      </c>
      <c r="J246">
        <v>1021.2</v>
      </c>
      <c r="K246">
        <v>1021.2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465</v>
      </c>
    </row>
    <row r="247" spans="1:17" x14ac:dyDescent="0.3">
      <c r="A247">
        <v>233754</v>
      </c>
      <c r="B247">
        <v>116</v>
      </c>
      <c r="C247" t="s">
        <v>568</v>
      </c>
      <c r="D247" t="s">
        <v>2312</v>
      </c>
      <c r="E247" t="s">
        <v>2547</v>
      </c>
      <c r="F247" s="452">
        <v>46154</v>
      </c>
      <c r="G247" s="452">
        <v>46156</v>
      </c>
      <c r="H247" s="452">
        <v>46188</v>
      </c>
      <c r="I247">
        <v>297.8</v>
      </c>
      <c r="J247">
        <v>297.8</v>
      </c>
      <c r="K247">
        <v>297.8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465</v>
      </c>
    </row>
    <row r="248" spans="1:17" x14ac:dyDescent="0.3">
      <c r="A248">
        <v>233753</v>
      </c>
      <c r="B248">
        <v>116</v>
      </c>
      <c r="C248" t="s">
        <v>568</v>
      </c>
      <c r="D248" t="s">
        <v>2340</v>
      </c>
      <c r="E248" t="s">
        <v>2548</v>
      </c>
      <c r="F248" s="452">
        <v>46154</v>
      </c>
      <c r="G248" s="452">
        <v>46156</v>
      </c>
      <c r="H248" s="452">
        <v>46183</v>
      </c>
      <c r="I248">
        <v>467.31</v>
      </c>
      <c r="J248">
        <v>467.31</v>
      </c>
      <c r="K248">
        <v>467.31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465</v>
      </c>
    </row>
    <row r="249" spans="1:17" x14ac:dyDescent="0.3">
      <c r="A249">
        <v>233752</v>
      </c>
      <c r="B249">
        <v>116</v>
      </c>
      <c r="C249" t="s">
        <v>568</v>
      </c>
      <c r="D249" t="s">
        <v>2312</v>
      </c>
      <c r="E249" t="s">
        <v>2549</v>
      </c>
      <c r="F249" s="452">
        <v>46156</v>
      </c>
      <c r="G249" s="452">
        <v>46158</v>
      </c>
      <c r="H249" s="452">
        <v>46191</v>
      </c>
      <c r="I249">
        <v>300</v>
      </c>
      <c r="J249">
        <v>300</v>
      </c>
      <c r="K249">
        <v>300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465</v>
      </c>
    </row>
    <row r="250" spans="1:17" x14ac:dyDescent="0.3">
      <c r="A250">
        <v>233751</v>
      </c>
      <c r="B250">
        <v>116</v>
      </c>
      <c r="C250" t="s">
        <v>568</v>
      </c>
      <c r="D250" t="s">
        <v>2277</v>
      </c>
      <c r="E250" t="s">
        <v>2550</v>
      </c>
      <c r="F250" s="452">
        <v>46154</v>
      </c>
      <c r="G250" s="452">
        <v>46156</v>
      </c>
      <c r="H250" s="452">
        <v>46175</v>
      </c>
      <c r="I250">
        <v>409.3</v>
      </c>
      <c r="J250">
        <v>400.4</v>
      </c>
      <c r="K250">
        <v>409.3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465</v>
      </c>
    </row>
    <row r="251" spans="1:17" x14ac:dyDescent="0.3">
      <c r="A251">
        <v>233750</v>
      </c>
      <c r="B251">
        <v>116</v>
      </c>
      <c r="C251" t="s">
        <v>568</v>
      </c>
      <c r="D251" t="s">
        <v>2277</v>
      </c>
      <c r="E251" t="s">
        <v>2551</v>
      </c>
      <c r="F251" s="452">
        <v>46154</v>
      </c>
      <c r="G251" s="452">
        <v>46156</v>
      </c>
      <c r="H251" s="452">
        <v>46175</v>
      </c>
      <c r="I251">
        <v>849.2</v>
      </c>
      <c r="J251">
        <v>747.4</v>
      </c>
      <c r="K251">
        <v>849.2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465</v>
      </c>
    </row>
    <row r="252" spans="1:17" x14ac:dyDescent="0.3">
      <c r="A252">
        <v>233749</v>
      </c>
      <c r="B252">
        <v>116</v>
      </c>
      <c r="C252" t="s">
        <v>568</v>
      </c>
      <c r="D252" t="s">
        <v>2284</v>
      </c>
      <c r="E252" t="s">
        <v>2552</v>
      </c>
      <c r="F252" s="452">
        <v>46156</v>
      </c>
      <c r="G252" s="452">
        <v>46158</v>
      </c>
      <c r="H252" s="452">
        <v>46185</v>
      </c>
      <c r="I252">
        <v>1695.33</v>
      </c>
      <c r="J252">
        <v>838.8</v>
      </c>
      <c r="K252">
        <v>1695.33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465</v>
      </c>
    </row>
    <row r="253" spans="1:17" x14ac:dyDescent="0.3">
      <c r="A253">
        <v>233748</v>
      </c>
      <c r="B253">
        <v>116</v>
      </c>
      <c r="C253" t="s">
        <v>568</v>
      </c>
      <c r="D253" t="s">
        <v>2284</v>
      </c>
      <c r="E253" t="s">
        <v>2553</v>
      </c>
      <c r="F253" s="452">
        <v>46154</v>
      </c>
      <c r="G253" s="452">
        <v>46156</v>
      </c>
      <c r="H253" s="452">
        <v>46182</v>
      </c>
      <c r="I253">
        <v>367.4</v>
      </c>
      <c r="J253">
        <v>86.85</v>
      </c>
      <c r="K253">
        <v>367.4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465</v>
      </c>
    </row>
    <row r="254" spans="1:17" x14ac:dyDescent="0.3">
      <c r="A254">
        <v>233747</v>
      </c>
      <c r="B254">
        <v>116</v>
      </c>
      <c r="C254" t="s">
        <v>568</v>
      </c>
      <c r="D254" t="s">
        <v>2284</v>
      </c>
      <c r="E254" t="s">
        <v>2554</v>
      </c>
      <c r="F254" s="452">
        <v>46153</v>
      </c>
      <c r="G254" s="452">
        <v>46156</v>
      </c>
      <c r="H254" s="452">
        <v>46182</v>
      </c>
      <c r="I254">
        <v>309.20999999999998</v>
      </c>
      <c r="J254">
        <v>162.30000000000001</v>
      </c>
      <c r="K254">
        <v>309.20999999999998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465</v>
      </c>
    </row>
    <row r="255" spans="1:17" x14ac:dyDescent="0.3">
      <c r="A255">
        <v>233746</v>
      </c>
      <c r="B255">
        <v>116</v>
      </c>
      <c r="C255" t="s">
        <v>568</v>
      </c>
      <c r="D255" t="s">
        <v>2332</v>
      </c>
      <c r="E255" t="s">
        <v>2555</v>
      </c>
      <c r="F255" s="452">
        <v>46154</v>
      </c>
      <c r="G255" s="452">
        <v>46156</v>
      </c>
      <c r="H255" s="452">
        <v>46176</v>
      </c>
      <c r="I255">
        <v>390.88</v>
      </c>
      <c r="J255">
        <v>390.88</v>
      </c>
      <c r="K255">
        <v>0</v>
      </c>
      <c r="L255">
        <v>390.88</v>
      </c>
      <c r="M255">
        <v>0</v>
      </c>
      <c r="N255">
        <v>0</v>
      </c>
      <c r="O255">
        <v>0</v>
      </c>
      <c r="P255">
        <v>0</v>
      </c>
      <c r="Q255" t="s">
        <v>465</v>
      </c>
    </row>
    <row r="256" spans="1:17" x14ac:dyDescent="0.3">
      <c r="A256">
        <v>233745</v>
      </c>
      <c r="B256">
        <v>116</v>
      </c>
      <c r="C256" t="s">
        <v>568</v>
      </c>
      <c r="D256" t="s">
        <v>2275</v>
      </c>
      <c r="E256" t="s">
        <v>2556</v>
      </c>
      <c r="F256" s="452">
        <v>46153</v>
      </c>
      <c r="G256" s="452">
        <v>46156</v>
      </c>
      <c r="H256" s="452">
        <v>46189</v>
      </c>
      <c r="I256">
        <v>579.5</v>
      </c>
      <c r="J256">
        <v>579.5</v>
      </c>
      <c r="K256">
        <v>0</v>
      </c>
      <c r="L256">
        <v>579.5</v>
      </c>
      <c r="M256">
        <v>0</v>
      </c>
      <c r="N256">
        <v>0</v>
      </c>
      <c r="O256">
        <v>0</v>
      </c>
      <c r="P256">
        <v>0</v>
      </c>
      <c r="Q256" t="s">
        <v>465</v>
      </c>
    </row>
    <row r="257" spans="1:17" x14ac:dyDescent="0.3">
      <c r="A257">
        <v>233744</v>
      </c>
      <c r="B257">
        <v>116</v>
      </c>
      <c r="C257" t="s">
        <v>568</v>
      </c>
      <c r="D257" t="s">
        <v>2314</v>
      </c>
      <c r="E257" t="s">
        <v>2557</v>
      </c>
      <c r="F257" s="452">
        <v>46156</v>
      </c>
      <c r="G257" s="452">
        <v>46158</v>
      </c>
      <c r="H257" s="452">
        <v>46188</v>
      </c>
      <c r="I257">
        <v>311.52</v>
      </c>
      <c r="J257">
        <v>5266</v>
      </c>
      <c r="K257">
        <v>0</v>
      </c>
      <c r="L257">
        <v>311.52</v>
      </c>
      <c r="M257">
        <v>0</v>
      </c>
      <c r="N257">
        <v>0</v>
      </c>
      <c r="O257">
        <v>0</v>
      </c>
      <c r="P257">
        <v>0</v>
      </c>
      <c r="Q257" t="s">
        <v>465</v>
      </c>
    </row>
    <row r="258" spans="1:17" x14ac:dyDescent="0.3">
      <c r="A258">
        <v>233743</v>
      </c>
      <c r="B258">
        <v>116</v>
      </c>
      <c r="C258" t="s">
        <v>568</v>
      </c>
      <c r="D258" t="s">
        <v>2314</v>
      </c>
      <c r="E258" t="s">
        <v>2558</v>
      </c>
      <c r="F258" s="452">
        <v>46156</v>
      </c>
      <c r="G258" s="452">
        <v>46158</v>
      </c>
      <c r="H258" s="452">
        <v>46188</v>
      </c>
      <c r="I258">
        <v>4960.01</v>
      </c>
      <c r="J258">
        <v>5266</v>
      </c>
      <c r="K258">
        <v>0</v>
      </c>
      <c r="L258">
        <v>4960.01</v>
      </c>
      <c r="M258">
        <v>0</v>
      </c>
      <c r="N258">
        <v>0</v>
      </c>
      <c r="O258">
        <v>0</v>
      </c>
      <c r="P258">
        <v>0</v>
      </c>
      <c r="Q258" t="s">
        <v>465</v>
      </c>
    </row>
    <row r="259" spans="1:17" x14ac:dyDescent="0.3">
      <c r="A259">
        <v>233742</v>
      </c>
      <c r="B259">
        <v>116</v>
      </c>
      <c r="C259" t="s">
        <v>568</v>
      </c>
      <c r="D259" t="s">
        <v>2314</v>
      </c>
      <c r="E259" t="s">
        <v>2559</v>
      </c>
      <c r="F259" s="452">
        <v>46155</v>
      </c>
      <c r="G259" s="452">
        <v>46156</v>
      </c>
      <c r="H259" s="452">
        <v>46188</v>
      </c>
      <c r="I259">
        <v>2896.8</v>
      </c>
      <c r="J259">
        <v>2896.8</v>
      </c>
      <c r="K259">
        <v>0</v>
      </c>
      <c r="L259">
        <v>2896.8</v>
      </c>
      <c r="M259">
        <v>0</v>
      </c>
      <c r="N259">
        <v>0</v>
      </c>
      <c r="O259">
        <v>0</v>
      </c>
      <c r="P259">
        <v>0</v>
      </c>
      <c r="Q259" t="s">
        <v>465</v>
      </c>
    </row>
    <row r="260" spans="1:17" x14ac:dyDescent="0.3">
      <c r="A260">
        <v>233741</v>
      </c>
      <c r="B260">
        <v>116</v>
      </c>
      <c r="C260" t="s">
        <v>568</v>
      </c>
      <c r="D260" t="s">
        <v>2314</v>
      </c>
      <c r="E260" t="s">
        <v>2560</v>
      </c>
      <c r="F260" s="452">
        <v>46154</v>
      </c>
      <c r="G260" s="452">
        <v>46158</v>
      </c>
      <c r="H260" s="452">
        <v>46185</v>
      </c>
      <c r="I260">
        <v>552.03</v>
      </c>
      <c r="J260">
        <v>7937.2</v>
      </c>
      <c r="K260">
        <v>0</v>
      </c>
      <c r="L260">
        <v>552.03</v>
      </c>
      <c r="M260">
        <v>0</v>
      </c>
      <c r="N260">
        <v>0</v>
      </c>
      <c r="O260">
        <v>0</v>
      </c>
      <c r="P260">
        <v>0</v>
      </c>
      <c r="Q260" t="s">
        <v>465</v>
      </c>
    </row>
    <row r="261" spans="1:17" x14ac:dyDescent="0.3">
      <c r="A261">
        <v>233740</v>
      </c>
      <c r="B261">
        <v>116</v>
      </c>
      <c r="C261" t="s">
        <v>568</v>
      </c>
      <c r="D261" t="s">
        <v>2314</v>
      </c>
      <c r="E261" t="s">
        <v>2561</v>
      </c>
      <c r="F261" s="452">
        <v>46154</v>
      </c>
      <c r="G261" s="452">
        <v>46158</v>
      </c>
      <c r="H261" s="452">
        <v>46185</v>
      </c>
      <c r="I261">
        <v>7563.03</v>
      </c>
      <c r="J261">
        <v>7937.2</v>
      </c>
      <c r="K261">
        <v>0</v>
      </c>
      <c r="L261">
        <v>7563.03</v>
      </c>
      <c r="M261">
        <v>0</v>
      </c>
      <c r="N261">
        <v>0</v>
      </c>
      <c r="O261">
        <v>0</v>
      </c>
      <c r="P261">
        <v>0</v>
      </c>
      <c r="Q261" t="s">
        <v>465</v>
      </c>
    </row>
    <row r="262" spans="1:17" x14ac:dyDescent="0.3">
      <c r="A262">
        <v>233739</v>
      </c>
      <c r="B262">
        <v>116</v>
      </c>
      <c r="C262" t="s">
        <v>568</v>
      </c>
      <c r="D262" t="s">
        <v>2408</v>
      </c>
      <c r="E262" t="s">
        <v>2562</v>
      </c>
      <c r="F262" s="452">
        <v>46143</v>
      </c>
      <c r="G262" s="452">
        <v>46156</v>
      </c>
      <c r="H262" s="452">
        <v>46184</v>
      </c>
      <c r="I262">
        <v>659.2</v>
      </c>
      <c r="J262">
        <v>574.79999999999995</v>
      </c>
      <c r="K262">
        <v>0</v>
      </c>
      <c r="L262">
        <v>0</v>
      </c>
      <c r="M262">
        <v>0</v>
      </c>
      <c r="N262">
        <v>0</v>
      </c>
      <c r="O262">
        <v>659.2</v>
      </c>
      <c r="P262">
        <v>0</v>
      </c>
      <c r="Q262" t="s">
        <v>465</v>
      </c>
    </row>
    <row r="263" spans="1:17" x14ac:dyDescent="0.3">
      <c r="A263">
        <v>233738</v>
      </c>
      <c r="B263">
        <v>116</v>
      </c>
      <c r="C263" t="s">
        <v>568</v>
      </c>
      <c r="D263" t="s">
        <v>2563</v>
      </c>
      <c r="E263" t="s">
        <v>2564</v>
      </c>
      <c r="F263" s="452">
        <v>46148</v>
      </c>
      <c r="G263" s="452">
        <v>46156</v>
      </c>
      <c r="H263" s="452">
        <v>46167</v>
      </c>
      <c r="I263">
        <v>600</v>
      </c>
      <c r="J263">
        <v>600</v>
      </c>
      <c r="K263">
        <v>0</v>
      </c>
      <c r="L263">
        <v>0</v>
      </c>
      <c r="M263">
        <v>0</v>
      </c>
      <c r="N263">
        <v>0</v>
      </c>
      <c r="O263">
        <v>600</v>
      </c>
      <c r="P263">
        <v>0</v>
      </c>
      <c r="Q263" t="s">
        <v>465</v>
      </c>
    </row>
    <row r="264" spans="1:17" x14ac:dyDescent="0.3">
      <c r="A264">
        <v>233197</v>
      </c>
      <c r="B264">
        <v>116</v>
      </c>
      <c r="C264" t="s">
        <v>568</v>
      </c>
      <c r="D264" t="s">
        <v>2269</v>
      </c>
      <c r="E264" t="s">
        <v>2565</v>
      </c>
      <c r="F264" s="452">
        <v>46157</v>
      </c>
      <c r="G264" s="452">
        <v>46162</v>
      </c>
      <c r="H264" s="452">
        <v>46188</v>
      </c>
      <c r="I264">
        <v>114.7</v>
      </c>
      <c r="J264">
        <v>114.7</v>
      </c>
      <c r="K264">
        <v>114.7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465</v>
      </c>
    </row>
    <row r="265" spans="1:17" x14ac:dyDescent="0.3">
      <c r="A265">
        <v>233195</v>
      </c>
      <c r="B265">
        <v>116</v>
      </c>
      <c r="C265" t="s">
        <v>568</v>
      </c>
      <c r="D265" t="s">
        <v>2258</v>
      </c>
      <c r="E265" t="s">
        <v>2566</v>
      </c>
      <c r="F265" s="452">
        <v>46160</v>
      </c>
      <c r="G265" s="452">
        <v>46162</v>
      </c>
      <c r="H265" s="452">
        <v>46167</v>
      </c>
      <c r="I265">
        <v>196.22</v>
      </c>
      <c r="J265">
        <v>181.22</v>
      </c>
      <c r="K265">
        <v>196.22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465</v>
      </c>
    </row>
    <row r="266" spans="1:17" x14ac:dyDescent="0.3">
      <c r="A266">
        <v>233187</v>
      </c>
      <c r="B266">
        <v>116</v>
      </c>
      <c r="C266" t="s">
        <v>568</v>
      </c>
      <c r="D266" t="s">
        <v>2265</v>
      </c>
      <c r="E266" t="s">
        <v>2567</v>
      </c>
      <c r="F266" s="452">
        <v>46154</v>
      </c>
      <c r="G266" s="452">
        <v>46156</v>
      </c>
      <c r="H266" s="452">
        <v>46169</v>
      </c>
      <c r="I266">
        <v>534.9</v>
      </c>
      <c r="J266">
        <v>434.05</v>
      </c>
      <c r="K266">
        <v>0</v>
      </c>
      <c r="L266">
        <v>0</v>
      </c>
      <c r="M266">
        <v>534.9</v>
      </c>
      <c r="N266">
        <v>0</v>
      </c>
      <c r="O266">
        <v>0</v>
      </c>
      <c r="P266">
        <v>0</v>
      </c>
      <c r="Q266" t="s">
        <v>465</v>
      </c>
    </row>
    <row r="267" spans="1:17" x14ac:dyDescent="0.3">
      <c r="A267">
        <v>233185</v>
      </c>
      <c r="B267">
        <v>116</v>
      </c>
      <c r="C267" t="s">
        <v>568</v>
      </c>
      <c r="D267" t="s">
        <v>2465</v>
      </c>
      <c r="E267" t="s">
        <v>2568</v>
      </c>
      <c r="F267" s="452">
        <v>46156</v>
      </c>
      <c r="G267" s="452">
        <v>46158</v>
      </c>
      <c r="H267" s="452">
        <v>46171</v>
      </c>
      <c r="I267">
        <v>210</v>
      </c>
      <c r="J267">
        <v>210</v>
      </c>
      <c r="K267">
        <v>210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465</v>
      </c>
    </row>
    <row r="268" spans="1:17" x14ac:dyDescent="0.3">
      <c r="A268">
        <v>233183</v>
      </c>
      <c r="B268">
        <v>116</v>
      </c>
      <c r="C268" t="s">
        <v>568</v>
      </c>
      <c r="D268" t="s">
        <v>2465</v>
      </c>
      <c r="E268" t="s">
        <v>2569</v>
      </c>
      <c r="F268" s="452">
        <v>46154</v>
      </c>
      <c r="G268" s="452">
        <v>46156</v>
      </c>
      <c r="H268" s="452">
        <v>46168</v>
      </c>
      <c r="I268">
        <v>134.85</v>
      </c>
      <c r="J268">
        <v>134.85</v>
      </c>
      <c r="K268">
        <v>134.85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465</v>
      </c>
    </row>
    <row r="269" spans="1:17" x14ac:dyDescent="0.3">
      <c r="A269">
        <v>233179</v>
      </c>
      <c r="B269">
        <v>116</v>
      </c>
      <c r="C269" t="s">
        <v>568</v>
      </c>
      <c r="D269" t="s">
        <v>2286</v>
      </c>
      <c r="E269" t="s">
        <v>2570</v>
      </c>
      <c r="F269" s="452">
        <v>46156</v>
      </c>
      <c r="G269" s="452">
        <v>46158</v>
      </c>
      <c r="H269" s="452">
        <v>46170</v>
      </c>
      <c r="I269">
        <v>733.75</v>
      </c>
      <c r="J269">
        <v>733.75</v>
      </c>
      <c r="K269">
        <v>733.75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465</v>
      </c>
    </row>
    <row r="270" spans="1:17" x14ac:dyDescent="0.3">
      <c r="A270">
        <v>233178</v>
      </c>
      <c r="B270">
        <v>116</v>
      </c>
      <c r="C270" t="s">
        <v>568</v>
      </c>
      <c r="D270" t="s">
        <v>2286</v>
      </c>
      <c r="E270" t="s">
        <v>2571</v>
      </c>
      <c r="F270" s="452">
        <v>46153</v>
      </c>
      <c r="G270" s="452">
        <v>46156</v>
      </c>
      <c r="H270" s="452">
        <v>46167</v>
      </c>
      <c r="I270">
        <v>391.44</v>
      </c>
      <c r="J270">
        <v>391.44</v>
      </c>
      <c r="K270">
        <v>391.44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465</v>
      </c>
    </row>
    <row r="271" spans="1:17" x14ac:dyDescent="0.3">
      <c r="A271">
        <v>233177</v>
      </c>
      <c r="B271">
        <v>116</v>
      </c>
      <c r="C271" t="s">
        <v>568</v>
      </c>
      <c r="D271" t="s">
        <v>2260</v>
      </c>
      <c r="E271" t="s">
        <v>2572</v>
      </c>
      <c r="F271" s="452">
        <v>46154</v>
      </c>
      <c r="G271" s="452">
        <v>46156</v>
      </c>
      <c r="H271" s="452">
        <v>46168</v>
      </c>
      <c r="I271">
        <v>2904.4</v>
      </c>
      <c r="J271">
        <v>2904.4</v>
      </c>
      <c r="K271">
        <v>2904.4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465</v>
      </c>
    </row>
    <row r="272" spans="1:17" x14ac:dyDescent="0.3">
      <c r="A272">
        <v>233176</v>
      </c>
      <c r="B272">
        <v>116</v>
      </c>
      <c r="C272" t="s">
        <v>568</v>
      </c>
      <c r="D272" t="s">
        <v>2320</v>
      </c>
      <c r="E272" t="s">
        <v>2573</v>
      </c>
      <c r="F272" s="452">
        <v>46154</v>
      </c>
      <c r="G272" s="452">
        <v>46156</v>
      </c>
      <c r="H272" s="452">
        <v>46168</v>
      </c>
      <c r="I272">
        <v>1137.97</v>
      </c>
      <c r="J272">
        <v>1137.97</v>
      </c>
      <c r="K272">
        <v>1137.97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465</v>
      </c>
    </row>
    <row r="273" spans="1:17" x14ac:dyDescent="0.3">
      <c r="A273">
        <v>233175</v>
      </c>
      <c r="B273">
        <v>116</v>
      </c>
      <c r="C273" t="s">
        <v>568</v>
      </c>
      <c r="D273" t="s">
        <v>2269</v>
      </c>
      <c r="E273" t="s">
        <v>2574</v>
      </c>
      <c r="F273" s="452">
        <v>46155</v>
      </c>
      <c r="G273" s="452">
        <v>46156</v>
      </c>
      <c r="H273" s="452">
        <v>46186</v>
      </c>
      <c r="I273">
        <v>103.23</v>
      </c>
      <c r="J273">
        <v>103.23</v>
      </c>
      <c r="K273">
        <v>103.23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465</v>
      </c>
    </row>
    <row r="274" spans="1:17" x14ac:dyDescent="0.3">
      <c r="A274">
        <v>233174</v>
      </c>
      <c r="B274">
        <v>116</v>
      </c>
      <c r="C274" t="s">
        <v>568</v>
      </c>
      <c r="D274" t="s">
        <v>2269</v>
      </c>
      <c r="E274" t="s">
        <v>2575</v>
      </c>
      <c r="F274" s="452">
        <v>46153</v>
      </c>
      <c r="G274" s="452">
        <v>46156</v>
      </c>
      <c r="H274" s="452">
        <v>46184</v>
      </c>
      <c r="I274">
        <v>114.7</v>
      </c>
      <c r="J274">
        <v>103.23</v>
      </c>
      <c r="K274">
        <v>114.7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465</v>
      </c>
    </row>
    <row r="275" spans="1:17" x14ac:dyDescent="0.3">
      <c r="A275">
        <v>233172</v>
      </c>
      <c r="B275">
        <v>116</v>
      </c>
      <c r="C275" t="s">
        <v>568</v>
      </c>
      <c r="D275" t="s">
        <v>2361</v>
      </c>
      <c r="E275" t="s">
        <v>2576</v>
      </c>
      <c r="F275" s="452">
        <v>46155</v>
      </c>
      <c r="G275" s="452">
        <v>46156</v>
      </c>
      <c r="H275" s="452">
        <v>46169</v>
      </c>
      <c r="I275">
        <v>231</v>
      </c>
      <c r="J275">
        <v>206</v>
      </c>
      <c r="K275">
        <v>231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465</v>
      </c>
    </row>
    <row r="276" spans="1:17" x14ac:dyDescent="0.3">
      <c r="A276">
        <v>233171</v>
      </c>
      <c r="B276">
        <v>116</v>
      </c>
      <c r="C276" t="s">
        <v>568</v>
      </c>
      <c r="D276" t="s">
        <v>2277</v>
      </c>
      <c r="E276" t="s">
        <v>2577</v>
      </c>
      <c r="F276" s="452">
        <v>46157</v>
      </c>
      <c r="G276" s="452">
        <v>46158</v>
      </c>
      <c r="H276" s="452">
        <v>46171</v>
      </c>
      <c r="I276">
        <v>753.74</v>
      </c>
      <c r="J276">
        <v>407.28</v>
      </c>
      <c r="K276">
        <v>753.74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465</v>
      </c>
    </row>
    <row r="277" spans="1:17" x14ac:dyDescent="0.3">
      <c r="A277">
        <v>233170</v>
      </c>
      <c r="B277">
        <v>116</v>
      </c>
      <c r="C277" t="s">
        <v>568</v>
      </c>
      <c r="D277" t="s">
        <v>2359</v>
      </c>
      <c r="E277" t="s">
        <v>2578</v>
      </c>
      <c r="F277" s="452">
        <v>46153</v>
      </c>
      <c r="G277" s="452">
        <v>46156</v>
      </c>
      <c r="H277" s="452">
        <v>46167</v>
      </c>
      <c r="I277">
        <v>116.41</v>
      </c>
      <c r="J277">
        <v>116.41</v>
      </c>
      <c r="K277">
        <v>0</v>
      </c>
      <c r="L277">
        <v>116.41</v>
      </c>
      <c r="M277">
        <v>0</v>
      </c>
      <c r="N277">
        <v>0</v>
      </c>
      <c r="O277">
        <v>0</v>
      </c>
      <c r="P277">
        <v>0</v>
      </c>
      <c r="Q277" t="s">
        <v>465</v>
      </c>
    </row>
    <row r="278" spans="1:17" x14ac:dyDescent="0.3">
      <c r="A278">
        <v>233169</v>
      </c>
      <c r="B278">
        <v>116</v>
      </c>
      <c r="C278" t="s">
        <v>568</v>
      </c>
      <c r="D278" t="s">
        <v>2288</v>
      </c>
      <c r="E278" t="s">
        <v>2579</v>
      </c>
      <c r="F278" s="452">
        <v>46155</v>
      </c>
      <c r="G278" s="452">
        <v>46158</v>
      </c>
      <c r="H278" s="452">
        <v>46183</v>
      </c>
      <c r="I278">
        <v>508.99</v>
      </c>
      <c r="J278">
        <v>1001.8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508.99</v>
      </c>
      <c r="Q278" t="s">
        <v>465</v>
      </c>
    </row>
    <row r="279" spans="1:17" x14ac:dyDescent="0.3">
      <c r="A279">
        <v>232109</v>
      </c>
      <c r="B279">
        <v>116</v>
      </c>
      <c r="C279" t="s">
        <v>568</v>
      </c>
      <c r="D279" t="s">
        <v>2314</v>
      </c>
      <c r="E279" t="s">
        <v>2580</v>
      </c>
      <c r="F279" s="452">
        <v>46150</v>
      </c>
      <c r="G279" s="452">
        <v>46151</v>
      </c>
      <c r="H279" s="452">
        <v>46181</v>
      </c>
      <c r="I279">
        <v>918.01</v>
      </c>
      <c r="J279">
        <v>918</v>
      </c>
      <c r="K279">
        <v>0</v>
      </c>
      <c r="L279">
        <v>918.01</v>
      </c>
      <c r="M279">
        <v>0</v>
      </c>
      <c r="N279">
        <v>0</v>
      </c>
      <c r="O279">
        <v>0</v>
      </c>
      <c r="P279">
        <v>0</v>
      </c>
      <c r="Q279" t="s">
        <v>465</v>
      </c>
    </row>
    <row r="280" spans="1:17" x14ac:dyDescent="0.3">
      <c r="A280">
        <v>232108</v>
      </c>
      <c r="B280">
        <v>116</v>
      </c>
      <c r="C280" t="s">
        <v>568</v>
      </c>
      <c r="D280" t="s">
        <v>2275</v>
      </c>
      <c r="E280" t="s">
        <v>2581</v>
      </c>
      <c r="F280" s="452">
        <v>46146</v>
      </c>
      <c r="G280" s="452">
        <v>46150</v>
      </c>
      <c r="H280" s="452">
        <v>46181</v>
      </c>
      <c r="I280">
        <v>699</v>
      </c>
      <c r="J280">
        <v>699</v>
      </c>
      <c r="K280">
        <v>0</v>
      </c>
      <c r="L280">
        <v>699</v>
      </c>
      <c r="M280">
        <v>0</v>
      </c>
      <c r="N280">
        <v>0</v>
      </c>
      <c r="O280">
        <v>0</v>
      </c>
      <c r="P280">
        <v>0</v>
      </c>
      <c r="Q280" t="s">
        <v>465</v>
      </c>
    </row>
    <row r="281" spans="1:17" x14ac:dyDescent="0.3">
      <c r="A281">
        <v>232107</v>
      </c>
      <c r="B281">
        <v>116</v>
      </c>
      <c r="C281" t="s">
        <v>568</v>
      </c>
      <c r="D281" t="s">
        <v>2284</v>
      </c>
      <c r="E281" t="s">
        <v>2582</v>
      </c>
      <c r="F281" s="452">
        <v>46147</v>
      </c>
      <c r="G281" s="452">
        <v>46150</v>
      </c>
      <c r="H281" s="452">
        <v>46175</v>
      </c>
      <c r="I281">
        <v>434.7</v>
      </c>
      <c r="J281">
        <v>434.7</v>
      </c>
      <c r="K281">
        <v>13.1</v>
      </c>
      <c r="L281">
        <v>421.6</v>
      </c>
      <c r="M281">
        <v>0</v>
      </c>
      <c r="N281">
        <v>0</v>
      </c>
      <c r="O281">
        <v>0</v>
      </c>
      <c r="P281">
        <v>0</v>
      </c>
      <c r="Q281" t="s">
        <v>465</v>
      </c>
    </row>
    <row r="282" spans="1:17" x14ac:dyDescent="0.3">
      <c r="A282">
        <v>232106</v>
      </c>
      <c r="B282">
        <v>116</v>
      </c>
      <c r="C282" t="s">
        <v>568</v>
      </c>
      <c r="D282" t="s">
        <v>2284</v>
      </c>
      <c r="E282" t="s">
        <v>2583</v>
      </c>
      <c r="F282" s="452">
        <v>46148</v>
      </c>
      <c r="G282" s="452">
        <v>46151</v>
      </c>
      <c r="H282" s="452">
        <v>46178</v>
      </c>
      <c r="I282">
        <v>640.16</v>
      </c>
      <c r="J282">
        <v>665.06</v>
      </c>
      <c r="K282">
        <v>605.6</v>
      </c>
      <c r="L282">
        <v>34.56</v>
      </c>
      <c r="M282">
        <v>0</v>
      </c>
      <c r="N282">
        <v>0</v>
      </c>
      <c r="O282">
        <v>0</v>
      </c>
      <c r="P282">
        <v>0</v>
      </c>
      <c r="Q282" t="s">
        <v>465</v>
      </c>
    </row>
    <row r="283" spans="1:17" x14ac:dyDescent="0.3">
      <c r="A283">
        <v>232105</v>
      </c>
      <c r="B283">
        <v>116</v>
      </c>
      <c r="C283" t="s">
        <v>568</v>
      </c>
      <c r="D283" t="s">
        <v>2284</v>
      </c>
      <c r="E283" t="s">
        <v>2584</v>
      </c>
      <c r="F283" s="452">
        <v>46148</v>
      </c>
      <c r="G283" s="452">
        <v>46151</v>
      </c>
      <c r="H283" s="452">
        <v>46175</v>
      </c>
      <c r="I283">
        <v>276.8</v>
      </c>
      <c r="J283">
        <v>116.7</v>
      </c>
      <c r="K283">
        <v>0</v>
      </c>
      <c r="L283">
        <v>276.8</v>
      </c>
      <c r="M283">
        <v>0</v>
      </c>
      <c r="N283">
        <v>0</v>
      </c>
      <c r="O283">
        <v>0</v>
      </c>
      <c r="P283">
        <v>0</v>
      </c>
      <c r="Q283" t="s">
        <v>465</v>
      </c>
    </row>
    <row r="284" spans="1:17" x14ac:dyDescent="0.3">
      <c r="A284">
        <v>232104</v>
      </c>
      <c r="B284">
        <v>116</v>
      </c>
      <c r="C284" t="s">
        <v>568</v>
      </c>
      <c r="D284" t="s">
        <v>2094</v>
      </c>
      <c r="E284" t="s">
        <v>2585</v>
      </c>
      <c r="F284" s="452">
        <v>46145</v>
      </c>
      <c r="G284" s="452">
        <v>46153</v>
      </c>
      <c r="H284" s="452">
        <v>46160</v>
      </c>
      <c r="I284">
        <v>625</v>
      </c>
      <c r="J284">
        <v>625</v>
      </c>
      <c r="K284">
        <v>0</v>
      </c>
      <c r="L284">
        <v>625</v>
      </c>
      <c r="M284">
        <v>0</v>
      </c>
      <c r="N284">
        <v>0</v>
      </c>
      <c r="O284">
        <v>0</v>
      </c>
      <c r="P284">
        <v>0</v>
      </c>
      <c r="Q284" t="s">
        <v>465</v>
      </c>
    </row>
    <row r="285" spans="1:17" x14ac:dyDescent="0.3">
      <c r="A285">
        <v>232103</v>
      </c>
      <c r="B285">
        <v>116</v>
      </c>
      <c r="C285" t="s">
        <v>568</v>
      </c>
      <c r="D285" t="s">
        <v>2277</v>
      </c>
      <c r="E285" t="s">
        <v>2586</v>
      </c>
      <c r="F285" s="452">
        <v>46148</v>
      </c>
      <c r="G285" s="452">
        <v>46151</v>
      </c>
      <c r="H285" s="452">
        <v>46169</v>
      </c>
      <c r="I285">
        <v>1068.57</v>
      </c>
      <c r="J285">
        <v>856.32</v>
      </c>
      <c r="K285">
        <v>1068.57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465</v>
      </c>
    </row>
    <row r="286" spans="1:17" x14ac:dyDescent="0.3">
      <c r="A286">
        <v>232102</v>
      </c>
      <c r="B286">
        <v>116</v>
      </c>
      <c r="C286" t="s">
        <v>568</v>
      </c>
      <c r="D286" t="s">
        <v>2277</v>
      </c>
      <c r="E286" t="s">
        <v>2587</v>
      </c>
      <c r="F286" s="452">
        <v>46148</v>
      </c>
      <c r="G286" s="452">
        <v>46151</v>
      </c>
      <c r="H286" s="452">
        <v>46176</v>
      </c>
      <c r="I286">
        <v>448.09</v>
      </c>
      <c r="J286">
        <v>439.19</v>
      </c>
      <c r="K286">
        <v>448.09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465</v>
      </c>
    </row>
    <row r="287" spans="1:17" x14ac:dyDescent="0.3">
      <c r="A287">
        <v>232101</v>
      </c>
      <c r="B287">
        <v>116</v>
      </c>
      <c r="C287" t="s">
        <v>568</v>
      </c>
      <c r="D287" t="s">
        <v>2340</v>
      </c>
      <c r="E287" t="s">
        <v>2588</v>
      </c>
      <c r="F287" s="452">
        <v>46148</v>
      </c>
      <c r="G287" s="452">
        <v>46151</v>
      </c>
      <c r="H287" s="452">
        <v>46176</v>
      </c>
      <c r="I287">
        <v>482.38</v>
      </c>
      <c r="J287">
        <v>482.3</v>
      </c>
      <c r="K287">
        <v>482.38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465</v>
      </c>
    </row>
    <row r="288" spans="1:17" x14ac:dyDescent="0.3">
      <c r="A288">
        <v>232100</v>
      </c>
      <c r="B288">
        <v>116</v>
      </c>
      <c r="C288" t="s">
        <v>568</v>
      </c>
      <c r="D288" t="s">
        <v>2312</v>
      </c>
      <c r="E288" t="s">
        <v>2589</v>
      </c>
      <c r="F288" s="452">
        <v>46147</v>
      </c>
      <c r="G288" s="452">
        <v>46151</v>
      </c>
      <c r="H288" s="452">
        <v>46181</v>
      </c>
      <c r="I288">
        <v>113.8</v>
      </c>
      <c r="J288">
        <v>42.9</v>
      </c>
      <c r="K288">
        <v>113.8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465</v>
      </c>
    </row>
    <row r="289" spans="1:17" x14ac:dyDescent="0.3">
      <c r="A289">
        <v>232099</v>
      </c>
      <c r="B289">
        <v>116</v>
      </c>
      <c r="C289" t="s">
        <v>568</v>
      </c>
      <c r="D289" t="s">
        <v>2338</v>
      </c>
      <c r="E289" t="s">
        <v>2590</v>
      </c>
      <c r="F289" s="452">
        <v>46147</v>
      </c>
      <c r="G289" s="452">
        <v>46151</v>
      </c>
      <c r="H289" s="452">
        <v>46175</v>
      </c>
      <c r="I289">
        <v>480.5</v>
      </c>
      <c r="J289">
        <v>480.5</v>
      </c>
      <c r="K289">
        <v>480.5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465</v>
      </c>
    </row>
    <row r="290" spans="1:17" x14ac:dyDescent="0.3">
      <c r="A290">
        <v>232098</v>
      </c>
      <c r="B290">
        <v>116</v>
      </c>
      <c r="C290" t="s">
        <v>568</v>
      </c>
      <c r="D290" t="s">
        <v>2468</v>
      </c>
      <c r="E290" t="s">
        <v>2591</v>
      </c>
      <c r="F290" s="452">
        <v>46146</v>
      </c>
      <c r="G290" s="452">
        <v>46151</v>
      </c>
      <c r="H290" s="452">
        <v>46167</v>
      </c>
      <c r="I290">
        <v>786.51</v>
      </c>
      <c r="J290">
        <v>786.51</v>
      </c>
      <c r="K290">
        <v>786.51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465</v>
      </c>
    </row>
    <row r="291" spans="1:17" x14ac:dyDescent="0.3">
      <c r="A291">
        <v>232097</v>
      </c>
      <c r="B291">
        <v>116</v>
      </c>
      <c r="C291" t="s">
        <v>568</v>
      </c>
      <c r="D291" t="s">
        <v>2342</v>
      </c>
      <c r="E291" t="s">
        <v>2592</v>
      </c>
      <c r="F291" s="452">
        <v>46146</v>
      </c>
      <c r="G291" s="452">
        <v>46151</v>
      </c>
      <c r="H291" s="452">
        <v>46167</v>
      </c>
      <c r="I291">
        <v>240</v>
      </c>
      <c r="J291">
        <v>240</v>
      </c>
      <c r="K291">
        <v>240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465</v>
      </c>
    </row>
    <row r="292" spans="1:17" x14ac:dyDescent="0.3">
      <c r="A292">
        <v>232096</v>
      </c>
      <c r="B292">
        <v>116</v>
      </c>
      <c r="C292" t="s">
        <v>568</v>
      </c>
      <c r="D292" t="s">
        <v>2468</v>
      </c>
      <c r="E292" t="s">
        <v>2593</v>
      </c>
      <c r="F292" s="452">
        <v>46147</v>
      </c>
      <c r="G292" s="452">
        <v>46153</v>
      </c>
      <c r="H292" s="452">
        <v>46168</v>
      </c>
      <c r="I292">
        <v>959.85</v>
      </c>
      <c r="J292">
        <v>959.85</v>
      </c>
      <c r="K292">
        <v>959.85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465</v>
      </c>
    </row>
    <row r="293" spans="1:17" x14ac:dyDescent="0.3">
      <c r="A293">
        <v>232095</v>
      </c>
      <c r="B293">
        <v>116</v>
      </c>
      <c r="C293" t="s">
        <v>568</v>
      </c>
      <c r="D293" t="s">
        <v>2262</v>
      </c>
      <c r="E293" t="s">
        <v>2594</v>
      </c>
      <c r="F293" s="452">
        <v>46146</v>
      </c>
      <c r="G293" s="452">
        <v>46150</v>
      </c>
      <c r="H293" s="452">
        <v>46174</v>
      </c>
      <c r="I293">
        <v>543.01</v>
      </c>
      <c r="J293">
        <v>543.01</v>
      </c>
      <c r="K293">
        <v>543.01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465</v>
      </c>
    </row>
    <row r="294" spans="1:17" x14ac:dyDescent="0.3">
      <c r="A294">
        <v>232094</v>
      </c>
      <c r="B294">
        <v>116</v>
      </c>
      <c r="C294" t="s">
        <v>568</v>
      </c>
      <c r="D294" t="s">
        <v>2262</v>
      </c>
      <c r="E294" t="s">
        <v>2595</v>
      </c>
      <c r="F294" s="452">
        <v>46147</v>
      </c>
      <c r="G294" s="452">
        <v>46150</v>
      </c>
      <c r="H294" s="452">
        <v>46175</v>
      </c>
      <c r="I294">
        <v>1818.61</v>
      </c>
      <c r="J294">
        <v>1818.61</v>
      </c>
      <c r="K294">
        <v>1818.61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465</v>
      </c>
    </row>
    <row r="295" spans="1:17" x14ac:dyDescent="0.3">
      <c r="A295">
        <v>232093</v>
      </c>
      <c r="B295">
        <v>116</v>
      </c>
      <c r="C295" t="s">
        <v>568</v>
      </c>
      <c r="D295" t="s">
        <v>2262</v>
      </c>
      <c r="E295" t="s">
        <v>2596</v>
      </c>
      <c r="F295" s="452">
        <v>46148</v>
      </c>
      <c r="G295" s="452">
        <v>46153</v>
      </c>
      <c r="H295" s="452">
        <v>46176</v>
      </c>
      <c r="I295">
        <v>1041.3900000000001</v>
      </c>
      <c r="J295">
        <v>1041.3900000000001</v>
      </c>
      <c r="K295">
        <v>1041.3900000000001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465</v>
      </c>
    </row>
    <row r="296" spans="1:17" x14ac:dyDescent="0.3">
      <c r="A296">
        <v>232092</v>
      </c>
      <c r="B296">
        <v>116</v>
      </c>
      <c r="C296" t="s">
        <v>568</v>
      </c>
      <c r="D296" t="s">
        <v>2267</v>
      </c>
      <c r="E296" t="s">
        <v>2597</v>
      </c>
      <c r="F296" s="452">
        <v>46146</v>
      </c>
      <c r="G296" s="452">
        <v>46150</v>
      </c>
      <c r="H296" s="452">
        <v>46174</v>
      </c>
      <c r="I296">
        <v>583.38</v>
      </c>
      <c r="J296">
        <v>583.38</v>
      </c>
      <c r="K296">
        <v>583.38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465</v>
      </c>
    </row>
    <row r="297" spans="1:17" x14ac:dyDescent="0.3">
      <c r="A297">
        <v>232091</v>
      </c>
      <c r="B297">
        <v>116</v>
      </c>
      <c r="C297" t="s">
        <v>568</v>
      </c>
      <c r="D297" t="s">
        <v>2273</v>
      </c>
      <c r="E297" t="s">
        <v>2598</v>
      </c>
      <c r="F297" s="452">
        <v>46146</v>
      </c>
      <c r="G297" s="452">
        <v>46150</v>
      </c>
      <c r="H297" s="452">
        <v>46174</v>
      </c>
      <c r="I297">
        <v>366.17</v>
      </c>
      <c r="J297">
        <v>366.17</v>
      </c>
      <c r="K297">
        <v>366.17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465</v>
      </c>
    </row>
    <row r="298" spans="1:17" x14ac:dyDescent="0.3">
      <c r="A298">
        <v>232090</v>
      </c>
      <c r="B298">
        <v>116</v>
      </c>
      <c r="C298" t="s">
        <v>568</v>
      </c>
      <c r="D298" t="s">
        <v>2273</v>
      </c>
      <c r="E298" t="s">
        <v>2599</v>
      </c>
      <c r="F298" s="452">
        <v>46149</v>
      </c>
      <c r="G298" s="452">
        <v>46150</v>
      </c>
      <c r="H298" s="452">
        <v>46177</v>
      </c>
      <c r="I298">
        <v>433.41</v>
      </c>
      <c r="J298">
        <v>433.41</v>
      </c>
      <c r="K298">
        <v>433.41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465</v>
      </c>
    </row>
    <row r="299" spans="1:17" x14ac:dyDescent="0.3">
      <c r="A299">
        <v>232089</v>
      </c>
      <c r="B299">
        <v>116</v>
      </c>
      <c r="C299" t="s">
        <v>568</v>
      </c>
      <c r="D299" t="s">
        <v>2280</v>
      </c>
      <c r="E299" t="s">
        <v>2600</v>
      </c>
      <c r="F299" s="452">
        <v>46146</v>
      </c>
      <c r="G299" s="452">
        <v>46150</v>
      </c>
      <c r="H299" s="452">
        <v>46174</v>
      </c>
      <c r="I299">
        <v>177.71</v>
      </c>
      <c r="J299">
        <v>177.71</v>
      </c>
      <c r="K299">
        <v>177.71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465</v>
      </c>
    </row>
    <row r="300" spans="1:17" x14ac:dyDescent="0.3">
      <c r="A300">
        <v>232088</v>
      </c>
      <c r="B300">
        <v>116</v>
      </c>
      <c r="C300" t="s">
        <v>568</v>
      </c>
      <c r="D300" t="s">
        <v>2280</v>
      </c>
      <c r="E300" t="s">
        <v>2601</v>
      </c>
      <c r="F300" s="452">
        <v>46149</v>
      </c>
      <c r="G300" s="452">
        <v>46150</v>
      </c>
      <c r="H300" s="452">
        <v>46177</v>
      </c>
      <c r="I300">
        <v>121.42</v>
      </c>
      <c r="J300">
        <v>121.42</v>
      </c>
      <c r="K300">
        <v>121.42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465</v>
      </c>
    </row>
    <row r="301" spans="1:17" x14ac:dyDescent="0.3">
      <c r="A301">
        <v>232087</v>
      </c>
      <c r="B301">
        <v>116</v>
      </c>
      <c r="C301" t="s">
        <v>568</v>
      </c>
      <c r="D301" t="s">
        <v>2312</v>
      </c>
      <c r="E301" t="s">
        <v>2602</v>
      </c>
      <c r="F301" s="452">
        <v>46146</v>
      </c>
      <c r="G301" s="452">
        <v>46151</v>
      </c>
      <c r="H301" s="452">
        <v>46181</v>
      </c>
      <c r="I301">
        <v>224.7</v>
      </c>
      <c r="J301">
        <v>224.7</v>
      </c>
      <c r="K301">
        <v>0</v>
      </c>
      <c r="L301">
        <v>0</v>
      </c>
      <c r="M301">
        <v>224.7</v>
      </c>
      <c r="N301">
        <v>0</v>
      </c>
      <c r="O301">
        <v>0</v>
      </c>
      <c r="P301">
        <v>0</v>
      </c>
      <c r="Q301" t="s">
        <v>465</v>
      </c>
    </row>
    <row r="302" spans="1:17" x14ac:dyDescent="0.3">
      <c r="A302">
        <v>231446</v>
      </c>
      <c r="B302">
        <v>116</v>
      </c>
      <c r="C302" t="s">
        <v>568</v>
      </c>
      <c r="D302" t="s">
        <v>2314</v>
      </c>
      <c r="E302" t="s">
        <v>2603</v>
      </c>
      <c r="F302" s="452">
        <v>46148</v>
      </c>
      <c r="G302" s="452">
        <v>46150</v>
      </c>
      <c r="H302" s="452">
        <v>46181</v>
      </c>
      <c r="I302">
        <v>4681.17</v>
      </c>
      <c r="J302">
        <v>4681.16</v>
      </c>
      <c r="K302">
        <v>0</v>
      </c>
      <c r="L302">
        <v>4681.17</v>
      </c>
      <c r="M302">
        <v>0</v>
      </c>
      <c r="N302">
        <v>0</v>
      </c>
      <c r="O302">
        <v>0</v>
      </c>
      <c r="P302">
        <v>0</v>
      </c>
      <c r="Q302" t="s">
        <v>465</v>
      </c>
    </row>
    <row r="303" spans="1:17" x14ac:dyDescent="0.3">
      <c r="A303">
        <v>231443</v>
      </c>
      <c r="B303">
        <v>116</v>
      </c>
      <c r="C303" t="s">
        <v>568</v>
      </c>
      <c r="D303" t="s">
        <v>2359</v>
      </c>
      <c r="E303" t="s">
        <v>2604</v>
      </c>
      <c r="F303" s="452">
        <v>46147</v>
      </c>
      <c r="G303" s="452">
        <v>46150</v>
      </c>
      <c r="H303" s="452">
        <v>46161</v>
      </c>
      <c r="I303">
        <v>162.69</v>
      </c>
      <c r="J303">
        <v>162.66</v>
      </c>
      <c r="K303">
        <v>0</v>
      </c>
      <c r="L303">
        <v>162.69</v>
      </c>
      <c r="M303">
        <v>0</v>
      </c>
      <c r="N303">
        <v>0</v>
      </c>
      <c r="O303">
        <v>0</v>
      </c>
      <c r="P303">
        <v>0</v>
      </c>
      <c r="Q303" t="s">
        <v>465</v>
      </c>
    </row>
    <row r="304" spans="1:17" x14ac:dyDescent="0.3">
      <c r="A304">
        <v>231439</v>
      </c>
      <c r="B304">
        <v>116</v>
      </c>
      <c r="C304" t="s">
        <v>568</v>
      </c>
      <c r="D304" t="s">
        <v>2357</v>
      </c>
      <c r="E304" t="s">
        <v>2605</v>
      </c>
      <c r="F304" s="452">
        <v>46146</v>
      </c>
      <c r="G304" s="452">
        <v>46150</v>
      </c>
      <c r="H304" s="452">
        <v>46160</v>
      </c>
      <c r="I304">
        <v>313.8</v>
      </c>
      <c r="J304">
        <v>313.8</v>
      </c>
      <c r="K304">
        <v>313.8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465</v>
      </c>
    </row>
    <row r="305" spans="1:17" x14ac:dyDescent="0.3">
      <c r="A305">
        <v>231438</v>
      </c>
      <c r="B305">
        <v>116</v>
      </c>
      <c r="C305" t="s">
        <v>568</v>
      </c>
      <c r="D305" t="s">
        <v>2320</v>
      </c>
      <c r="E305" t="s">
        <v>2606</v>
      </c>
      <c r="F305" s="452">
        <v>46150</v>
      </c>
      <c r="G305" s="452">
        <v>46150</v>
      </c>
      <c r="H305" s="452">
        <v>46164</v>
      </c>
      <c r="I305">
        <v>1121.73</v>
      </c>
      <c r="J305">
        <v>1120.17</v>
      </c>
      <c r="K305">
        <v>1121.73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465</v>
      </c>
    </row>
    <row r="306" spans="1:17" x14ac:dyDescent="0.3">
      <c r="A306">
        <v>231436</v>
      </c>
      <c r="B306">
        <v>116</v>
      </c>
      <c r="C306" t="s">
        <v>568</v>
      </c>
      <c r="D306" t="s">
        <v>2367</v>
      </c>
      <c r="E306" t="s">
        <v>2607</v>
      </c>
      <c r="F306" s="452">
        <v>46147</v>
      </c>
      <c r="G306" s="452">
        <v>46150</v>
      </c>
      <c r="H306" s="452">
        <v>46161</v>
      </c>
      <c r="I306">
        <v>355.05</v>
      </c>
      <c r="J306">
        <v>355.05</v>
      </c>
      <c r="K306">
        <v>355.05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465</v>
      </c>
    </row>
    <row r="307" spans="1:17" x14ac:dyDescent="0.3">
      <c r="A307">
        <v>231433</v>
      </c>
      <c r="B307">
        <v>116</v>
      </c>
      <c r="C307" t="s">
        <v>568</v>
      </c>
      <c r="D307" t="s">
        <v>2282</v>
      </c>
      <c r="E307" t="s">
        <v>2608</v>
      </c>
      <c r="F307" s="452">
        <v>46147</v>
      </c>
      <c r="G307" s="452">
        <v>46151</v>
      </c>
      <c r="H307" s="452">
        <v>46161</v>
      </c>
      <c r="I307">
        <v>379.5</v>
      </c>
      <c r="J307">
        <v>379.5</v>
      </c>
      <c r="K307">
        <v>0</v>
      </c>
      <c r="L307">
        <v>0</v>
      </c>
      <c r="M307">
        <v>0</v>
      </c>
      <c r="N307">
        <v>379.5</v>
      </c>
      <c r="O307">
        <v>0</v>
      </c>
      <c r="P307">
        <v>0</v>
      </c>
      <c r="Q307" t="s">
        <v>465</v>
      </c>
    </row>
    <row r="308" spans="1:17" x14ac:dyDescent="0.3">
      <c r="A308">
        <v>231427</v>
      </c>
      <c r="B308">
        <v>116</v>
      </c>
      <c r="C308" t="s">
        <v>568</v>
      </c>
      <c r="D308" t="s">
        <v>2265</v>
      </c>
      <c r="E308" t="s">
        <v>2609</v>
      </c>
      <c r="F308" s="452">
        <v>46148</v>
      </c>
      <c r="G308" s="452">
        <v>46150</v>
      </c>
      <c r="H308" s="452">
        <v>46162</v>
      </c>
      <c r="I308">
        <v>783.96</v>
      </c>
      <c r="J308">
        <v>783.96</v>
      </c>
      <c r="K308">
        <v>0</v>
      </c>
      <c r="L308">
        <v>0</v>
      </c>
      <c r="M308">
        <v>751.96</v>
      </c>
      <c r="N308">
        <v>0</v>
      </c>
      <c r="O308">
        <v>32</v>
      </c>
      <c r="P308">
        <v>0</v>
      </c>
      <c r="Q308" t="s">
        <v>465</v>
      </c>
    </row>
    <row r="309" spans="1:17" x14ac:dyDescent="0.3">
      <c r="A309">
        <v>231425</v>
      </c>
      <c r="B309">
        <v>116</v>
      </c>
      <c r="C309" t="s">
        <v>568</v>
      </c>
      <c r="D309" t="s">
        <v>2286</v>
      </c>
      <c r="E309" t="s">
        <v>2610</v>
      </c>
      <c r="F309" s="452">
        <v>46149</v>
      </c>
      <c r="G309" s="452">
        <v>46150</v>
      </c>
      <c r="H309" s="452">
        <v>46163</v>
      </c>
      <c r="I309">
        <v>392.15</v>
      </c>
      <c r="J309">
        <v>392.15</v>
      </c>
      <c r="K309">
        <v>392.15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465</v>
      </c>
    </row>
    <row r="310" spans="1:17" x14ac:dyDescent="0.3">
      <c r="A310">
        <v>231424</v>
      </c>
      <c r="B310">
        <v>116</v>
      </c>
      <c r="C310" t="s">
        <v>568</v>
      </c>
      <c r="D310" t="s">
        <v>2286</v>
      </c>
      <c r="E310" t="s">
        <v>2611</v>
      </c>
      <c r="F310" s="452">
        <v>46147</v>
      </c>
      <c r="G310" s="452">
        <v>46150</v>
      </c>
      <c r="H310" s="452">
        <v>46160</v>
      </c>
      <c r="I310">
        <v>255.65</v>
      </c>
      <c r="J310">
        <v>255.65</v>
      </c>
      <c r="K310">
        <v>255.65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465</v>
      </c>
    </row>
    <row r="311" spans="1:17" x14ac:dyDescent="0.3">
      <c r="A311">
        <v>231423</v>
      </c>
      <c r="B311">
        <v>116</v>
      </c>
      <c r="C311" t="s">
        <v>568</v>
      </c>
      <c r="D311" t="s">
        <v>2260</v>
      </c>
      <c r="E311" t="s">
        <v>2612</v>
      </c>
      <c r="F311" s="452">
        <v>46147</v>
      </c>
      <c r="G311" s="452">
        <v>46150</v>
      </c>
      <c r="H311" s="452">
        <v>46161</v>
      </c>
      <c r="I311">
        <v>3039.75</v>
      </c>
      <c r="J311">
        <v>3029.75</v>
      </c>
      <c r="K311">
        <v>3039.75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465</v>
      </c>
    </row>
    <row r="312" spans="1:17" x14ac:dyDescent="0.3">
      <c r="A312">
        <v>231188</v>
      </c>
      <c r="B312">
        <v>116</v>
      </c>
      <c r="C312" t="s">
        <v>568</v>
      </c>
      <c r="D312" t="s">
        <v>2293</v>
      </c>
      <c r="E312" t="s">
        <v>2613</v>
      </c>
      <c r="F312" s="452">
        <v>46143</v>
      </c>
      <c r="G312" s="452">
        <v>46092</v>
      </c>
      <c r="H312" s="452">
        <v>46155</v>
      </c>
      <c r="I312">
        <v>713.7</v>
      </c>
      <c r="J312">
        <v>675</v>
      </c>
      <c r="K312">
        <v>0</v>
      </c>
      <c r="L312">
        <v>713.7</v>
      </c>
      <c r="M312">
        <v>0</v>
      </c>
      <c r="N312">
        <v>0</v>
      </c>
      <c r="O312">
        <v>0</v>
      </c>
      <c r="P312">
        <v>0</v>
      </c>
      <c r="Q312" t="s">
        <v>463</v>
      </c>
    </row>
    <row r="313" spans="1:17" x14ac:dyDescent="0.3">
      <c r="A313">
        <v>230190</v>
      </c>
      <c r="B313">
        <v>116</v>
      </c>
      <c r="C313" t="s">
        <v>568</v>
      </c>
      <c r="D313" t="s">
        <v>2258</v>
      </c>
      <c r="E313" t="s">
        <v>2065</v>
      </c>
      <c r="F313" s="452">
        <v>46149</v>
      </c>
      <c r="G313" s="452">
        <v>46128</v>
      </c>
      <c r="H313" s="452">
        <v>46160</v>
      </c>
      <c r="I313">
        <v>193.7</v>
      </c>
      <c r="J313">
        <v>159.12</v>
      </c>
      <c r="K313">
        <v>193.7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464</v>
      </c>
    </row>
    <row r="314" spans="1:17" x14ac:dyDescent="0.3">
      <c r="A314">
        <v>230189</v>
      </c>
      <c r="B314">
        <v>116</v>
      </c>
      <c r="C314" t="s">
        <v>568</v>
      </c>
      <c r="D314" t="s">
        <v>2258</v>
      </c>
      <c r="E314" t="s">
        <v>2614</v>
      </c>
      <c r="F314" s="452">
        <v>46149</v>
      </c>
      <c r="G314" s="452">
        <v>46149</v>
      </c>
      <c r="H314" s="452">
        <v>46153</v>
      </c>
      <c r="I314">
        <v>196.7</v>
      </c>
      <c r="J314">
        <v>181.74</v>
      </c>
      <c r="K314">
        <v>196.7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465</v>
      </c>
    </row>
    <row r="315" spans="1:17" x14ac:dyDescent="0.3">
      <c r="A315">
        <v>230188</v>
      </c>
      <c r="B315">
        <v>116</v>
      </c>
      <c r="C315" t="s">
        <v>568</v>
      </c>
      <c r="D315" t="s">
        <v>2463</v>
      </c>
      <c r="E315" t="s">
        <v>2615</v>
      </c>
      <c r="F315" s="452">
        <v>46143</v>
      </c>
      <c r="G315" s="452">
        <v>46149</v>
      </c>
      <c r="H315" s="452">
        <v>46157</v>
      </c>
      <c r="I315">
        <v>937.25</v>
      </c>
      <c r="J315">
        <v>937.25</v>
      </c>
      <c r="K315">
        <v>937.25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465</v>
      </c>
    </row>
    <row r="316" spans="1:17" x14ac:dyDescent="0.3">
      <c r="A316">
        <v>230186</v>
      </c>
      <c r="B316">
        <v>116</v>
      </c>
      <c r="C316" t="s">
        <v>568</v>
      </c>
      <c r="D316" t="s">
        <v>2273</v>
      </c>
      <c r="E316" t="s">
        <v>2616</v>
      </c>
      <c r="F316" s="452">
        <v>46142</v>
      </c>
      <c r="G316" s="452">
        <v>46149</v>
      </c>
      <c r="H316" s="452">
        <v>46161</v>
      </c>
      <c r="I316">
        <v>157.79</v>
      </c>
      <c r="J316">
        <v>135.22999999999999</v>
      </c>
      <c r="K316">
        <v>157.79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465</v>
      </c>
    </row>
    <row r="317" spans="1:17" x14ac:dyDescent="0.3">
      <c r="A317">
        <v>230142</v>
      </c>
      <c r="B317">
        <v>116</v>
      </c>
      <c r="C317" t="s">
        <v>568</v>
      </c>
      <c r="D317" t="s">
        <v>2269</v>
      </c>
      <c r="E317" t="s">
        <v>2617</v>
      </c>
      <c r="F317" s="452">
        <v>46142</v>
      </c>
      <c r="G317" s="452">
        <v>46148</v>
      </c>
      <c r="H317" s="452">
        <v>46171</v>
      </c>
      <c r="I317">
        <v>91.76</v>
      </c>
      <c r="J317">
        <v>91.76</v>
      </c>
      <c r="K317">
        <v>91.76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465</v>
      </c>
    </row>
    <row r="318" spans="1:17" x14ac:dyDescent="0.3">
      <c r="A318">
        <v>230141</v>
      </c>
      <c r="B318">
        <v>116</v>
      </c>
      <c r="C318" t="s">
        <v>568</v>
      </c>
      <c r="D318" t="s">
        <v>2286</v>
      </c>
      <c r="E318" t="s">
        <v>2618</v>
      </c>
      <c r="F318" s="452">
        <v>46143</v>
      </c>
      <c r="G318" s="452">
        <v>46148</v>
      </c>
      <c r="H318" s="452">
        <v>46156</v>
      </c>
      <c r="I318">
        <v>373.71</v>
      </c>
      <c r="J318">
        <v>373.71</v>
      </c>
      <c r="K318">
        <v>373.71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465</v>
      </c>
    </row>
    <row r="319" spans="1:17" x14ac:dyDescent="0.3">
      <c r="A319">
        <v>230140</v>
      </c>
      <c r="B319">
        <v>116</v>
      </c>
      <c r="C319" t="s">
        <v>568</v>
      </c>
      <c r="D319" t="s">
        <v>2273</v>
      </c>
      <c r="E319" t="s">
        <v>2619</v>
      </c>
      <c r="F319" s="452">
        <v>46143</v>
      </c>
      <c r="G319" s="452">
        <v>46148</v>
      </c>
      <c r="H319" s="452">
        <v>46170</v>
      </c>
      <c r="I319">
        <v>281.61</v>
      </c>
      <c r="J319">
        <v>281.61</v>
      </c>
      <c r="K319">
        <v>281.61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465</v>
      </c>
    </row>
    <row r="320" spans="1:17" x14ac:dyDescent="0.3">
      <c r="A320">
        <v>230139</v>
      </c>
      <c r="B320">
        <v>116</v>
      </c>
      <c r="C320" t="s">
        <v>568</v>
      </c>
      <c r="D320" t="s">
        <v>2280</v>
      </c>
      <c r="E320" t="s">
        <v>2620</v>
      </c>
      <c r="F320" s="452">
        <v>46143</v>
      </c>
      <c r="G320" s="452">
        <v>46148</v>
      </c>
      <c r="H320" s="452">
        <v>46170</v>
      </c>
      <c r="I320">
        <v>200.37</v>
      </c>
      <c r="J320">
        <v>200.37</v>
      </c>
      <c r="K320">
        <v>200.37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465</v>
      </c>
    </row>
    <row r="321" spans="1:17" x14ac:dyDescent="0.3">
      <c r="A321">
        <v>229659</v>
      </c>
      <c r="B321">
        <v>116</v>
      </c>
      <c r="C321" t="s">
        <v>568</v>
      </c>
      <c r="D321" t="s">
        <v>2267</v>
      </c>
      <c r="E321" t="s">
        <v>2621</v>
      </c>
      <c r="F321" s="452">
        <v>46142</v>
      </c>
      <c r="G321" s="452">
        <v>46142</v>
      </c>
      <c r="H321" s="452">
        <v>46167</v>
      </c>
      <c r="I321">
        <v>841.4</v>
      </c>
      <c r="J321">
        <v>841.13</v>
      </c>
      <c r="K321">
        <v>841.4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464</v>
      </c>
    </row>
    <row r="322" spans="1:17" x14ac:dyDescent="0.3">
      <c r="A322">
        <v>229658</v>
      </c>
      <c r="B322">
        <v>116</v>
      </c>
      <c r="C322" t="s">
        <v>568</v>
      </c>
      <c r="D322" t="s">
        <v>2260</v>
      </c>
      <c r="E322" t="s">
        <v>2622</v>
      </c>
      <c r="F322" s="452">
        <v>46142</v>
      </c>
      <c r="G322" s="452">
        <v>46142</v>
      </c>
      <c r="H322" s="452">
        <v>46162</v>
      </c>
      <c r="I322">
        <v>2506.5</v>
      </c>
      <c r="J322">
        <v>2496.5</v>
      </c>
      <c r="K322">
        <v>2506.5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464</v>
      </c>
    </row>
    <row r="323" spans="1:17" x14ac:dyDescent="0.3">
      <c r="A323">
        <v>229657</v>
      </c>
      <c r="B323">
        <v>116</v>
      </c>
      <c r="C323" t="s">
        <v>568</v>
      </c>
      <c r="D323" t="s">
        <v>2340</v>
      </c>
      <c r="E323" t="s">
        <v>2623</v>
      </c>
      <c r="F323" s="452">
        <v>46142</v>
      </c>
      <c r="G323" s="452">
        <v>46142</v>
      </c>
      <c r="H323" s="452">
        <v>46170</v>
      </c>
      <c r="I323">
        <v>562.71</v>
      </c>
      <c r="J323">
        <v>562.89</v>
      </c>
      <c r="K323">
        <v>562.71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464</v>
      </c>
    </row>
    <row r="324" spans="1:17" x14ac:dyDescent="0.3">
      <c r="A324">
        <v>229656</v>
      </c>
      <c r="B324">
        <v>116</v>
      </c>
      <c r="C324" t="s">
        <v>568</v>
      </c>
      <c r="D324" t="s">
        <v>2277</v>
      </c>
      <c r="E324" t="s">
        <v>2624</v>
      </c>
      <c r="F324" s="452">
        <v>46142</v>
      </c>
      <c r="G324" s="452">
        <v>46142</v>
      </c>
      <c r="H324" s="452">
        <v>46161</v>
      </c>
      <c r="I324">
        <v>1024.79</v>
      </c>
      <c r="J324">
        <v>894.3</v>
      </c>
      <c r="K324">
        <v>1024.79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464</v>
      </c>
    </row>
    <row r="325" spans="1:17" x14ac:dyDescent="0.3">
      <c r="A325">
        <v>229655</v>
      </c>
      <c r="B325">
        <v>116</v>
      </c>
      <c r="C325" t="s">
        <v>568</v>
      </c>
      <c r="D325" t="s">
        <v>2308</v>
      </c>
      <c r="E325" t="s">
        <v>2625</v>
      </c>
      <c r="F325" s="452">
        <v>46142</v>
      </c>
      <c r="G325" s="452">
        <v>46142</v>
      </c>
      <c r="H325" s="452">
        <v>46169</v>
      </c>
      <c r="I325">
        <v>1213.8</v>
      </c>
      <c r="J325">
        <v>1213.8</v>
      </c>
      <c r="K325">
        <v>1213.8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464</v>
      </c>
    </row>
    <row r="326" spans="1:17" x14ac:dyDescent="0.3">
      <c r="A326">
        <v>229654</v>
      </c>
      <c r="B326">
        <v>116</v>
      </c>
      <c r="C326" t="s">
        <v>568</v>
      </c>
      <c r="D326" t="s">
        <v>2262</v>
      </c>
      <c r="E326" t="s">
        <v>2626</v>
      </c>
      <c r="F326" s="452">
        <v>46142</v>
      </c>
      <c r="G326" s="452">
        <v>46142</v>
      </c>
      <c r="H326" s="452">
        <v>46168</v>
      </c>
      <c r="I326">
        <v>1729.38</v>
      </c>
      <c r="J326">
        <v>1729.38</v>
      </c>
      <c r="K326">
        <v>1729.38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464</v>
      </c>
    </row>
    <row r="327" spans="1:17" x14ac:dyDescent="0.3">
      <c r="A327">
        <v>229652</v>
      </c>
      <c r="B327">
        <v>116</v>
      </c>
      <c r="C327" t="s">
        <v>568</v>
      </c>
      <c r="D327" t="s">
        <v>2280</v>
      </c>
      <c r="E327" t="s">
        <v>2627</v>
      </c>
      <c r="F327" s="452">
        <v>46142</v>
      </c>
      <c r="G327" s="452">
        <v>46142</v>
      </c>
      <c r="H327" s="452">
        <v>46167</v>
      </c>
      <c r="I327">
        <v>275.64</v>
      </c>
      <c r="J327">
        <v>275.64</v>
      </c>
      <c r="K327">
        <v>275.64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464</v>
      </c>
    </row>
    <row r="328" spans="1:17" x14ac:dyDescent="0.3">
      <c r="A328">
        <v>229651</v>
      </c>
      <c r="B328">
        <v>116</v>
      </c>
      <c r="C328" t="s">
        <v>568</v>
      </c>
      <c r="D328" t="s">
        <v>2308</v>
      </c>
      <c r="E328" t="s">
        <v>2628</v>
      </c>
      <c r="F328" s="452">
        <v>46142</v>
      </c>
      <c r="G328" s="452">
        <v>46142</v>
      </c>
      <c r="H328" s="452">
        <v>46168</v>
      </c>
      <c r="I328">
        <v>957.7</v>
      </c>
      <c r="J328">
        <v>957.7</v>
      </c>
      <c r="K328">
        <v>957.7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464</v>
      </c>
    </row>
    <row r="329" spans="1:17" x14ac:dyDescent="0.3">
      <c r="A329">
        <v>229649</v>
      </c>
      <c r="B329">
        <v>116</v>
      </c>
      <c r="C329" t="s">
        <v>568</v>
      </c>
      <c r="D329" t="s">
        <v>2273</v>
      </c>
      <c r="E329" t="s">
        <v>2629</v>
      </c>
      <c r="F329" s="452">
        <v>46142</v>
      </c>
      <c r="G329" s="452">
        <v>46142</v>
      </c>
      <c r="H329" s="452">
        <v>46167</v>
      </c>
      <c r="I329">
        <v>75.760000000000005</v>
      </c>
      <c r="J329">
        <v>74.02</v>
      </c>
      <c r="K329">
        <v>75.760000000000005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464</v>
      </c>
    </row>
    <row r="330" spans="1:17" x14ac:dyDescent="0.3">
      <c r="A330">
        <v>229648</v>
      </c>
      <c r="B330">
        <v>116</v>
      </c>
      <c r="C330" t="s">
        <v>568</v>
      </c>
      <c r="D330" t="s">
        <v>2273</v>
      </c>
      <c r="E330" t="s">
        <v>2630</v>
      </c>
      <c r="F330" s="452">
        <v>46142</v>
      </c>
      <c r="G330" s="452">
        <v>46142</v>
      </c>
      <c r="H330" s="452">
        <v>46168</v>
      </c>
      <c r="I330">
        <v>6.57</v>
      </c>
      <c r="J330">
        <v>6.57</v>
      </c>
      <c r="K330">
        <v>6.57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464</v>
      </c>
    </row>
    <row r="331" spans="1:17" x14ac:dyDescent="0.3">
      <c r="A331">
        <v>229647</v>
      </c>
      <c r="B331">
        <v>116</v>
      </c>
      <c r="C331" t="s">
        <v>568</v>
      </c>
      <c r="D331" t="s">
        <v>2312</v>
      </c>
      <c r="E331" t="s">
        <v>2631</v>
      </c>
      <c r="F331" s="452">
        <v>46142</v>
      </c>
      <c r="G331" s="452">
        <v>46142</v>
      </c>
      <c r="H331" s="452">
        <v>46174</v>
      </c>
      <c r="I331">
        <v>305.7</v>
      </c>
      <c r="J331">
        <v>185.7</v>
      </c>
      <c r="K331">
        <v>305.7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464</v>
      </c>
    </row>
    <row r="332" spans="1:17" x14ac:dyDescent="0.3">
      <c r="A332">
        <v>229644</v>
      </c>
      <c r="B332">
        <v>116</v>
      </c>
      <c r="C332" t="s">
        <v>568</v>
      </c>
      <c r="D332" t="s">
        <v>2284</v>
      </c>
      <c r="E332" t="s">
        <v>2632</v>
      </c>
      <c r="F332" s="452">
        <v>46142</v>
      </c>
      <c r="G332" s="452">
        <v>46142</v>
      </c>
      <c r="H332" s="452">
        <v>46168</v>
      </c>
      <c r="I332">
        <v>230.32</v>
      </c>
      <c r="J332">
        <v>110.92</v>
      </c>
      <c r="K332">
        <v>230.32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464</v>
      </c>
    </row>
    <row r="333" spans="1:17" x14ac:dyDescent="0.3">
      <c r="A333">
        <v>229643</v>
      </c>
      <c r="B333">
        <v>116</v>
      </c>
      <c r="C333" t="s">
        <v>568</v>
      </c>
      <c r="D333" t="s">
        <v>2284</v>
      </c>
      <c r="E333" t="s">
        <v>2633</v>
      </c>
      <c r="F333" s="452">
        <v>46142</v>
      </c>
      <c r="G333" s="452">
        <v>46142</v>
      </c>
      <c r="H333" s="452">
        <v>46168</v>
      </c>
      <c r="I333">
        <v>184.48</v>
      </c>
      <c r="J333">
        <v>184.48</v>
      </c>
      <c r="K333">
        <v>184.48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464</v>
      </c>
    </row>
    <row r="334" spans="1:17" x14ac:dyDescent="0.3">
      <c r="A334">
        <v>229641</v>
      </c>
      <c r="B334">
        <v>116</v>
      </c>
      <c r="C334" t="s">
        <v>568</v>
      </c>
      <c r="D334" t="s">
        <v>2338</v>
      </c>
      <c r="E334" t="s">
        <v>2634</v>
      </c>
      <c r="F334" s="452">
        <v>46142</v>
      </c>
      <c r="G334" s="452">
        <v>46142</v>
      </c>
      <c r="H334" s="452">
        <v>46167</v>
      </c>
      <c r="I334">
        <v>405.6</v>
      </c>
      <c r="J334">
        <v>405.6</v>
      </c>
      <c r="K334">
        <v>405.6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464</v>
      </c>
    </row>
    <row r="335" spans="1:17" x14ac:dyDescent="0.3">
      <c r="A335">
        <v>229640</v>
      </c>
      <c r="B335">
        <v>116</v>
      </c>
      <c r="C335" t="s">
        <v>568</v>
      </c>
      <c r="D335" t="s">
        <v>2342</v>
      </c>
      <c r="E335" t="s">
        <v>2635</v>
      </c>
      <c r="F335" s="452">
        <v>46142</v>
      </c>
      <c r="G335" s="452">
        <v>46142</v>
      </c>
      <c r="H335" s="452">
        <v>46161</v>
      </c>
      <c r="I335">
        <v>240</v>
      </c>
      <c r="J335">
        <v>240</v>
      </c>
      <c r="K335">
        <v>240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464</v>
      </c>
    </row>
    <row r="336" spans="1:17" x14ac:dyDescent="0.3">
      <c r="A336">
        <v>229639</v>
      </c>
      <c r="B336">
        <v>116</v>
      </c>
      <c r="C336" t="s">
        <v>568</v>
      </c>
      <c r="D336" t="s">
        <v>2277</v>
      </c>
      <c r="E336" t="s">
        <v>2636</v>
      </c>
      <c r="F336" s="452">
        <v>46142</v>
      </c>
      <c r="G336" s="452">
        <v>46142</v>
      </c>
      <c r="H336" s="452">
        <v>46162</v>
      </c>
      <c r="I336">
        <v>410.63</v>
      </c>
      <c r="J336">
        <v>401.73</v>
      </c>
      <c r="K336">
        <v>410.63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464</v>
      </c>
    </row>
    <row r="337" spans="1:17" x14ac:dyDescent="0.3">
      <c r="A337">
        <v>229638</v>
      </c>
      <c r="B337">
        <v>116</v>
      </c>
      <c r="C337" t="s">
        <v>568</v>
      </c>
      <c r="D337" t="s">
        <v>2381</v>
      </c>
      <c r="E337" t="s">
        <v>2637</v>
      </c>
      <c r="F337" s="452">
        <v>46142</v>
      </c>
      <c r="G337" s="452">
        <v>46142</v>
      </c>
      <c r="H337" s="452">
        <v>46160</v>
      </c>
      <c r="I337">
        <v>1724.4</v>
      </c>
      <c r="J337">
        <v>1724.4</v>
      </c>
      <c r="K337">
        <v>1724.4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464</v>
      </c>
    </row>
    <row r="338" spans="1:17" x14ac:dyDescent="0.3">
      <c r="A338">
        <v>229631</v>
      </c>
      <c r="B338">
        <v>116</v>
      </c>
      <c r="C338" t="s">
        <v>568</v>
      </c>
      <c r="D338" t="s">
        <v>2410</v>
      </c>
      <c r="E338" t="s">
        <v>2638</v>
      </c>
      <c r="F338" s="452">
        <v>46142</v>
      </c>
      <c r="G338" s="452">
        <v>46142</v>
      </c>
      <c r="H338" s="452">
        <v>46168</v>
      </c>
      <c r="I338">
        <v>674.4</v>
      </c>
      <c r="J338">
        <v>674.4</v>
      </c>
      <c r="K338">
        <v>0</v>
      </c>
      <c r="L338">
        <v>674.4</v>
      </c>
      <c r="M338">
        <v>0</v>
      </c>
      <c r="N338">
        <v>0</v>
      </c>
      <c r="O338">
        <v>0</v>
      </c>
      <c r="P338">
        <v>0</v>
      </c>
      <c r="Q338" t="s">
        <v>464</v>
      </c>
    </row>
    <row r="339" spans="1:17" x14ac:dyDescent="0.3">
      <c r="A339">
        <v>229629</v>
      </c>
      <c r="B339">
        <v>116</v>
      </c>
      <c r="C339" t="s">
        <v>568</v>
      </c>
      <c r="D339" t="s">
        <v>2332</v>
      </c>
      <c r="E339" t="s">
        <v>2639</v>
      </c>
      <c r="F339" s="452">
        <v>46142</v>
      </c>
      <c r="G339" s="452">
        <v>46142</v>
      </c>
      <c r="H339" s="452">
        <v>46162</v>
      </c>
      <c r="I339">
        <v>205.96</v>
      </c>
      <c r="J339">
        <v>205.96</v>
      </c>
      <c r="K339">
        <v>0</v>
      </c>
      <c r="L339">
        <v>205.96</v>
      </c>
      <c r="M339">
        <v>0</v>
      </c>
      <c r="N339">
        <v>0</v>
      </c>
      <c r="O339">
        <v>0</v>
      </c>
      <c r="P339">
        <v>0</v>
      </c>
      <c r="Q339" t="s">
        <v>464</v>
      </c>
    </row>
    <row r="340" spans="1:17" x14ac:dyDescent="0.3">
      <c r="A340">
        <v>229628</v>
      </c>
      <c r="B340">
        <v>116</v>
      </c>
      <c r="C340" t="s">
        <v>568</v>
      </c>
      <c r="D340" t="s">
        <v>2293</v>
      </c>
      <c r="E340" t="s">
        <v>2640</v>
      </c>
      <c r="F340" s="452">
        <v>46143</v>
      </c>
      <c r="G340" s="452">
        <v>46142</v>
      </c>
      <c r="H340" s="452">
        <v>46164</v>
      </c>
      <c r="I340">
        <v>540</v>
      </c>
      <c r="J340">
        <v>540</v>
      </c>
      <c r="K340">
        <v>0</v>
      </c>
      <c r="L340">
        <v>540</v>
      </c>
      <c r="M340">
        <v>0</v>
      </c>
      <c r="N340">
        <v>0</v>
      </c>
      <c r="O340">
        <v>0</v>
      </c>
      <c r="P340">
        <v>0</v>
      </c>
      <c r="Q340" t="s">
        <v>464</v>
      </c>
    </row>
    <row r="341" spans="1:17" x14ac:dyDescent="0.3">
      <c r="A341">
        <v>229627</v>
      </c>
      <c r="B341">
        <v>116</v>
      </c>
      <c r="C341" t="s">
        <v>568</v>
      </c>
      <c r="D341" t="s">
        <v>2314</v>
      </c>
      <c r="E341" t="s">
        <v>2641</v>
      </c>
      <c r="F341" s="452">
        <v>46142</v>
      </c>
      <c r="G341" s="452">
        <v>46142</v>
      </c>
      <c r="H341" s="452">
        <v>46174</v>
      </c>
      <c r="I341">
        <v>2896.8</v>
      </c>
      <c r="J341">
        <v>2896.8</v>
      </c>
      <c r="K341">
        <v>0</v>
      </c>
      <c r="L341">
        <v>2896.8</v>
      </c>
      <c r="M341">
        <v>0</v>
      </c>
      <c r="N341">
        <v>0</v>
      </c>
      <c r="O341">
        <v>0</v>
      </c>
      <c r="P341">
        <v>0</v>
      </c>
      <c r="Q341" t="s">
        <v>464</v>
      </c>
    </row>
    <row r="342" spans="1:17" x14ac:dyDescent="0.3">
      <c r="A342">
        <v>229626</v>
      </c>
      <c r="B342">
        <v>116</v>
      </c>
      <c r="C342" t="s">
        <v>568</v>
      </c>
      <c r="D342" t="s">
        <v>2314</v>
      </c>
      <c r="E342" t="s">
        <v>2642</v>
      </c>
      <c r="F342" s="452">
        <v>46142</v>
      </c>
      <c r="G342" s="452">
        <v>46142</v>
      </c>
      <c r="H342" s="452">
        <v>46169</v>
      </c>
      <c r="I342">
        <v>3814.81</v>
      </c>
      <c r="J342">
        <v>2896.8</v>
      </c>
      <c r="K342">
        <v>0</v>
      </c>
      <c r="L342">
        <v>3814.81</v>
      </c>
      <c r="M342">
        <v>0</v>
      </c>
      <c r="N342">
        <v>0</v>
      </c>
      <c r="O342">
        <v>0</v>
      </c>
      <c r="P342">
        <v>0</v>
      </c>
      <c r="Q342" t="s">
        <v>464</v>
      </c>
    </row>
    <row r="343" spans="1:17" x14ac:dyDescent="0.3">
      <c r="A343">
        <v>229624</v>
      </c>
      <c r="B343">
        <v>116</v>
      </c>
      <c r="C343" t="s">
        <v>568</v>
      </c>
      <c r="D343" t="s">
        <v>2314</v>
      </c>
      <c r="E343" t="s">
        <v>2643</v>
      </c>
      <c r="F343" s="452">
        <v>46142</v>
      </c>
      <c r="G343" s="452">
        <v>46142</v>
      </c>
      <c r="H343" s="452">
        <v>46167</v>
      </c>
      <c r="I343">
        <v>4743.92</v>
      </c>
      <c r="J343">
        <v>4743.92</v>
      </c>
      <c r="K343">
        <v>0</v>
      </c>
      <c r="L343">
        <v>4743.92</v>
      </c>
      <c r="M343">
        <v>0</v>
      </c>
      <c r="N343">
        <v>0</v>
      </c>
      <c r="O343">
        <v>0</v>
      </c>
      <c r="P343">
        <v>0</v>
      </c>
      <c r="Q343" t="s">
        <v>464</v>
      </c>
    </row>
    <row r="344" spans="1:17" x14ac:dyDescent="0.3">
      <c r="A344">
        <v>229622</v>
      </c>
      <c r="B344">
        <v>116</v>
      </c>
      <c r="C344" t="s">
        <v>568</v>
      </c>
      <c r="D344" t="s">
        <v>2269</v>
      </c>
      <c r="E344" t="s">
        <v>2644</v>
      </c>
      <c r="F344" s="452">
        <v>46142</v>
      </c>
      <c r="G344" s="452">
        <v>46142</v>
      </c>
      <c r="H344" s="452">
        <v>46169</v>
      </c>
      <c r="I344">
        <v>91.76</v>
      </c>
      <c r="J344">
        <v>91.76</v>
      </c>
      <c r="K344">
        <v>91.76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464</v>
      </c>
    </row>
    <row r="345" spans="1:17" x14ac:dyDescent="0.3">
      <c r="A345">
        <v>229619</v>
      </c>
      <c r="B345">
        <v>116</v>
      </c>
      <c r="C345" t="s">
        <v>568</v>
      </c>
      <c r="D345" t="s">
        <v>2265</v>
      </c>
      <c r="E345" t="s">
        <v>2645</v>
      </c>
      <c r="F345" s="452">
        <v>46143</v>
      </c>
      <c r="G345" s="452">
        <v>46142</v>
      </c>
      <c r="H345" s="452">
        <v>46154</v>
      </c>
      <c r="I345">
        <v>804.86</v>
      </c>
      <c r="J345">
        <v>670.63</v>
      </c>
      <c r="K345">
        <v>0</v>
      </c>
      <c r="L345">
        <v>0</v>
      </c>
      <c r="M345">
        <v>766.46</v>
      </c>
      <c r="N345">
        <v>0</v>
      </c>
      <c r="O345">
        <v>38.4</v>
      </c>
      <c r="P345">
        <v>0</v>
      </c>
      <c r="Q345" t="s">
        <v>464</v>
      </c>
    </row>
    <row r="346" spans="1:17" x14ac:dyDescent="0.3">
      <c r="A346">
        <v>229615</v>
      </c>
      <c r="B346">
        <v>116</v>
      </c>
      <c r="C346" t="s">
        <v>568</v>
      </c>
      <c r="D346" t="s">
        <v>2260</v>
      </c>
      <c r="E346" t="s">
        <v>2401</v>
      </c>
      <c r="F346" s="452">
        <v>46142</v>
      </c>
      <c r="G346" s="452">
        <v>46142</v>
      </c>
      <c r="H346" s="452">
        <v>46156</v>
      </c>
      <c r="I346">
        <v>713.8</v>
      </c>
      <c r="J346">
        <v>703.8</v>
      </c>
      <c r="K346">
        <v>713.8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464</v>
      </c>
    </row>
    <row r="347" spans="1:17" x14ac:dyDescent="0.3">
      <c r="A347">
        <v>229612</v>
      </c>
      <c r="B347">
        <v>116</v>
      </c>
      <c r="C347" t="s">
        <v>568</v>
      </c>
      <c r="D347" t="s">
        <v>2367</v>
      </c>
      <c r="E347" t="s">
        <v>2646</v>
      </c>
      <c r="F347" s="452">
        <v>46142</v>
      </c>
      <c r="G347" s="452">
        <v>46142</v>
      </c>
      <c r="H347" s="452">
        <v>46154</v>
      </c>
      <c r="I347">
        <v>314.24</v>
      </c>
      <c r="J347">
        <v>314.24</v>
      </c>
      <c r="K347">
        <v>314.24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464</v>
      </c>
    </row>
    <row r="348" spans="1:17" x14ac:dyDescent="0.3">
      <c r="A348">
        <v>229603</v>
      </c>
      <c r="B348">
        <v>116</v>
      </c>
      <c r="C348" t="s">
        <v>568</v>
      </c>
      <c r="D348" t="s">
        <v>2286</v>
      </c>
      <c r="E348" t="s">
        <v>2647</v>
      </c>
      <c r="F348" s="452">
        <v>46142</v>
      </c>
      <c r="G348" s="452">
        <v>46142</v>
      </c>
      <c r="H348" s="452">
        <v>46153</v>
      </c>
      <c r="I348">
        <v>567.62</v>
      </c>
      <c r="J348">
        <v>630.62</v>
      </c>
      <c r="K348">
        <v>567.62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464</v>
      </c>
    </row>
    <row r="349" spans="1:17" x14ac:dyDescent="0.3">
      <c r="A349">
        <v>229591</v>
      </c>
      <c r="B349">
        <v>116</v>
      </c>
      <c r="C349" t="s">
        <v>568</v>
      </c>
      <c r="D349" t="s">
        <v>2286</v>
      </c>
      <c r="E349" t="s">
        <v>2648</v>
      </c>
      <c r="F349" s="452">
        <v>46142</v>
      </c>
      <c r="G349" s="452">
        <v>46142</v>
      </c>
      <c r="H349" s="452">
        <v>46153</v>
      </c>
      <c r="I349">
        <v>303.8</v>
      </c>
      <c r="J349">
        <v>303.8</v>
      </c>
      <c r="K349">
        <v>303.8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464</v>
      </c>
    </row>
    <row r="350" spans="1:17" x14ac:dyDescent="0.3">
      <c r="A350">
        <v>229588</v>
      </c>
      <c r="B350">
        <v>116</v>
      </c>
      <c r="C350" t="s">
        <v>568</v>
      </c>
      <c r="D350" t="s">
        <v>2262</v>
      </c>
      <c r="E350" t="s">
        <v>2649</v>
      </c>
      <c r="F350" s="452">
        <v>46142</v>
      </c>
      <c r="G350" s="452">
        <v>46135</v>
      </c>
      <c r="H350" s="452">
        <v>46163</v>
      </c>
      <c r="I350">
        <v>344.76</v>
      </c>
      <c r="J350">
        <v>344.76</v>
      </c>
      <c r="K350">
        <v>344.76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464</v>
      </c>
    </row>
    <row r="351" spans="1:17" x14ac:dyDescent="0.3">
      <c r="A351">
        <v>229584</v>
      </c>
      <c r="B351">
        <v>116</v>
      </c>
      <c r="C351" t="s">
        <v>568</v>
      </c>
      <c r="D351" t="s">
        <v>2650</v>
      </c>
      <c r="E351" t="s">
        <v>2651</v>
      </c>
      <c r="F351" s="452">
        <v>46142</v>
      </c>
      <c r="G351" s="452">
        <v>46134</v>
      </c>
      <c r="H351" s="452">
        <v>46153</v>
      </c>
      <c r="I351">
        <v>120</v>
      </c>
      <c r="J351">
        <v>105</v>
      </c>
      <c r="K351">
        <v>120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464</v>
      </c>
    </row>
    <row r="352" spans="1:17" x14ac:dyDescent="0.3">
      <c r="A352">
        <v>229581</v>
      </c>
      <c r="B352">
        <v>116</v>
      </c>
      <c r="C352" t="s">
        <v>568</v>
      </c>
      <c r="D352" t="s">
        <v>2280</v>
      </c>
      <c r="E352" t="s">
        <v>2652</v>
      </c>
      <c r="F352" s="452">
        <v>46142</v>
      </c>
      <c r="G352" s="452">
        <v>46134</v>
      </c>
      <c r="H352" s="452">
        <v>46160</v>
      </c>
      <c r="I352">
        <v>116.66</v>
      </c>
      <c r="J352">
        <v>116.66</v>
      </c>
      <c r="K352">
        <v>116.66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464</v>
      </c>
    </row>
    <row r="353" spans="1:17" x14ac:dyDescent="0.3">
      <c r="A353">
        <v>229578</v>
      </c>
      <c r="B353">
        <v>116</v>
      </c>
      <c r="C353" t="s">
        <v>568</v>
      </c>
      <c r="D353" t="s">
        <v>2273</v>
      </c>
      <c r="E353" t="s">
        <v>2653</v>
      </c>
      <c r="F353" s="452">
        <v>46142</v>
      </c>
      <c r="G353" s="452">
        <v>46137</v>
      </c>
      <c r="H353" s="452">
        <v>46163</v>
      </c>
      <c r="I353">
        <v>385.16</v>
      </c>
      <c r="J353">
        <v>385.16</v>
      </c>
      <c r="K353">
        <v>385.16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464</v>
      </c>
    </row>
    <row r="354" spans="1:17" x14ac:dyDescent="0.3">
      <c r="A354">
        <v>229569</v>
      </c>
      <c r="B354">
        <v>116</v>
      </c>
      <c r="C354" t="s">
        <v>568</v>
      </c>
      <c r="D354" t="s">
        <v>2280</v>
      </c>
      <c r="E354" t="s">
        <v>2654</v>
      </c>
      <c r="F354" s="452">
        <v>46142</v>
      </c>
      <c r="G354" s="452">
        <v>46137</v>
      </c>
      <c r="H354" s="452">
        <v>46163</v>
      </c>
      <c r="I354">
        <v>116.12</v>
      </c>
      <c r="J354">
        <v>116.12</v>
      </c>
      <c r="K354">
        <v>116.12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464</v>
      </c>
    </row>
    <row r="355" spans="1:17" x14ac:dyDescent="0.3">
      <c r="A355">
        <v>229544</v>
      </c>
      <c r="B355">
        <v>116</v>
      </c>
      <c r="C355" t="s">
        <v>568</v>
      </c>
      <c r="D355" t="s">
        <v>2468</v>
      </c>
      <c r="E355" t="s">
        <v>2655</v>
      </c>
      <c r="F355" s="452">
        <v>46142</v>
      </c>
      <c r="G355" s="452">
        <v>46134</v>
      </c>
      <c r="H355" s="452">
        <v>46153</v>
      </c>
      <c r="I355">
        <v>593.64</v>
      </c>
      <c r="J355">
        <v>593.64</v>
      </c>
      <c r="K355">
        <v>593.64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464</v>
      </c>
    </row>
    <row r="356" spans="1:17" x14ac:dyDescent="0.3">
      <c r="A356">
        <v>229541</v>
      </c>
      <c r="B356">
        <v>116</v>
      </c>
      <c r="C356" t="s">
        <v>568</v>
      </c>
      <c r="D356" t="s">
        <v>2267</v>
      </c>
      <c r="E356" t="s">
        <v>2656</v>
      </c>
      <c r="F356" s="452">
        <v>46142</v>
      </c>
      <c r="G356" s="452">
        <v>46134</v>
      </c>
      <c r="H356" s="452">
        <v>46159</v>
      </c>
      <c r="I356">
        <v>757.28</v>
      </c>
      <c r="J356">
        <v>757.28</v>
      </c>
      <c r="K356">
        <v>757.28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464</v>
      </c>
    </row>
    <row r="357" spans="1:17" x14ac:dyDescent="0.3">
      <c r="A357">
        <v>229539</v>
      </c>
      <c r="B357">
        <v>116</v>
      </c>
      <c r="C357" t="s">
        <v>568</v>
      </c>
      <c r="D357" t="s">
        <v>2262</v>
      </c>
      <c r="E357" t="s">
        <v>2657</v>
      </c>
      <c r="F357" s="452">
        <v>46142</v>
      </c>
      <c r="G357" s="452">
        <v>46134</v>
      </c>
      <c r="H357" s="452">
        <v>46162</v>
      </c>
      <c r="I357">
        <v>3644.35</v>
      </c>
      <c r="J357">
        <v>3644.35</v>
      </c>
      <c r="K357">
        <v>3644.35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464</v>
      </c>
    </row>
    <row r="358" spans="1:17" x14ac:dyDescent="0.3">
      <c r="A358">
        <v>229537</v>
      </c>
      <c r="B358">
        <v>116</v>
      </c>
      <c r="C358" t="s">
        <v>568</v>
      </c>
      <c r="D358" t="s">
        <v>2308</v>
      </c>
      <c r="E358" t="s">
        <v>2658</v>
      </c>
      <c r="F358" s="452">
        <v>46142</v>
      </c>
      <c r="G358" s="452">
        <v>46135</v>
      </c>
      <c r="H358" s="452">
        <v>46162</v>
      </c>
      <c r="I358">
        <v>939.4</v>
      </c>
      <c r="J358">
        <v>939.4</v>
      </c>
      <c r="K358">
        <v>939.4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464</v>
      </c>
    </row>
    <row r="359" spans="1:17" x14ac:dyDescent="0.3">
      <c r="A359">
        <v>229523</v>
      </c>
      <c r="B359">
        <v>116</v>
      </c>
      <c r="C359" t="s">
        <v>568</v>
      </c>
      <c r="D359" t="s">
        <v>2312</v>
      </c>
      <c r="E359" t="s">
        <v>2659</v>
      </c>
      <c r="F359" s="452">
        <v>46142</v>
      </c>
      <c r="G359" s="452">
        <v>46137</v>
      </c>
      <c r="H359" s="452">
        <v>46167</v>
      </c>
      <c r="I359">
        <v>309.7</v>
      </c>
      <c r="J359">
        <v>309.7</v>
      </c>
      <c r="K359">
        <v>309.7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464</v>
      </c>
    </row>
    <row r="360" spans="1:17" x14ac:dyDescent="0.3">
      <c r="A360">
        <v>229520</v>
      </c>
      <c r="B360">
        <v>116</v>
      </c>
      <c r="C360" t="s">
        <v>568</v>
      </c>
      <c r="D360" t="s">
        <v>2284</v>
      </c>
      <c r="E360" t="s">
        <v>2660</v>
      </c>
      <c r="F360" s="452">
        <v>46142</v>
      </c>
      <c r="G360" s="452">
        <v>46134</v>
      </c>
      <c r="H360" s="452">
        <v>46161</v>
      </c>
      <c r="I360">
        <v>231.07</v>
      </c>
      <c r="J360">
        <v>104.22</v>
      </c>
      <c r="K360">
        <v>231.07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464</v>
      </c>
    </row>
    <row r="361" spans="1:17" x14ac:dyDescent="0.3">
      <c r="A361">
        <v>229514</v>
      </c>
      <c r="B361">
        <v>116</v>
      </c>
      <c r="C361" t="s">
        <v>568</v>
      </c>
      <c r="D361" t="s">
        <v>2342</v>
      </c>
      <c r="E361" t="s">
        <v>2661</v>
      </c>
      <c r="F361" s="452">
        <v>46142</v>
      </c>
      <c r="G361" s="452">
        <v>46134</v>
      </c>
      <c r="H361" s="452">
        <v>46155</v>
      </c>
      <c r="I361">
        <v>240</v>
      </c>
      <c r="J361">
        <v>240</v>
      </c>
      <c r="K361">
        <v>240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464</v>
      </c>
    </row>
    <row r="362" spans="1:17" x14ac:dyDescent="0.3">
      <c r="A362">
        <v>229509</v>
      </c>
      <c r="B362">
        <v>116</v>
      </c>
      <c r="C362" t="s">
        <v>568</v>
      </c>
      <c r="D362" t="s">
        <v>2338</v>
      </c>
      <c r="E362" t="s">
        <v>2662</v>
      </c>
      <c r="F362" s="452">
        <v>46142</v>
      </c>
      <c r="G362" s="452">
        <v>46134</v>
      </c>
      <c r="H362" s="452">
        <v>46162</v>
      </c>
      <c r="I362">
        <v>517.20000000000005</v>
      </c>
      <c r="J362">
        <v>517.20000000000005</v>
      </c>
      <c r="K362">
        <v>517.20000000000005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464</v>
      </c>
    </row>
    <row r="363" spans="1:17" x14ac:dyDescent="0.3">
      <c r="A363">
        <v>229507</v>
      </c>
      <c r="B363">
        <v>116</v>
      </c>
      <c r="C363" t="s">
        <v>568</v>
      </c>
      <c r="D363" t="s">
        <v>2340</v>
      </c>
      <c r="E363" t="s">
        <v>2663</v>
      </c>
      <c r="F363" s="452">
        <v>46142</v>
      </c>
      <c r="G363" s="452">
        <v>46134</v>
      </c>
      <c r="H363" s="452">
        <v>46162</v>
      </c>
      <c r="I363">
        <v>514.35</v>
      </c>
      <c r="J363">
        <v>514.35</v>
      </c>
      <c r="K363">
        <v>514.35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464</v>
      </c>
    </row>
    <row r="364" spans="1:17" x14ac:dyDescent="0.3">
      <c r="A364">
        <v>229504</v>
      </c>
      <c r="B364">
        <v>116</v>
      </c>
      <c r="C364" t="s">
        <v>568</v>
      </c>
      <c r="D364" t="s">
        <v>2277</v>
      </c>
      <c r="E364" t="s">
        <v>2664</v>
      </c>
      <c r="F364" s="452">
        <v>46142</v>
      </c>
      <c r="G364" s="452">
        <v>46135</v>
      </c>
      <c r="H364" s="452">
        <v>46162</v>
      </c>
      <c r="I364">
        <v>324.64</v>
      </c>
      <c r="J364">
        <v>315.74</v>
      </c>
      <c r="K364">
        <v>324.64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464</v>
      </c>
    </row>
    <row r="365" spans="1:17" x14ac:dyDescent="0.3">
      <c r="A365">
        <v>229501</v>
      </c>
      <c r="B365">
        <v>116</v>
      </c>
      <c r="C365" t="s">
        <v>568</v>
      </c>
      <c r="D365" t="s">
        <v>2284</v>
      </c>
      <c r="E365" t="s">
        <v>2665</v>
      </c>
      <c r="F365" s="452">
        <v>46142</v>
      </c>
      <c r="G365" s="452">
        <v>46137</v>
      </c>
      <c r="H365" s="452">
        <v>46164</v>
      </c>
      <c r="I365">
        <v>531.79</v>
      </c>
      <c r="J365">
        <v>531.79</v>
      </c>
      <c r="K365">
        <v>531.79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464</v>
      </c>
    </row>
    <row r="366" spans="1:17" x14ac:dyDescent="0.3">
      <c r="A366">
        <v>229498</v>
      </c>
      <c r="B366">
        <v>116</v>
      </c>
      <c r="C366" t="s">
        <v>568</v>
      </c>
      <c r="D366" t="s">
        <v>2284</v>
      </c>
      <c r="E366" t="s">
        <v>2666</v>
      </c>
      <c r="F366" s="452">
        <v>46142</v>
      </c>
      <c r="G366" s="452">
        <v>46135</v>
      </c>
      <c r="H366" s="452">
        <v>46164</v>
      </c>
      <c r="I366">
        <v>484.47</v>
      </c>
      <c r="J366">
        <v>484.47</v>
      </c>
      <c r="K366">
        <v>484.47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464</v>
      </c>
    </row>
    <row r="367" spans="1:17" x14ac:dyDescent="0.3">
      <c r="A367">
        <v>229496</v>
      </c>
      <c r="B367">
        <v>116</v>
      </c>
      <c r="C367" t="s">
        <v>568</v>
      </c>
      <c r="D367" t="s">
        <v>2284</v>
      </c>
      <c r="E367" t="s">
        <v>2667</v>
      </c>
      <c r="F367" s="452">
        <v>46142</v>
      </c>
      <c r="G367" s="452">
        <v>46134</v>
      </c>
      <c r="H367" s="452">
        <v>46161</v>
      </c>
      <c r="I367">
        <v>153.9</v>
      </c>
      <c r="J367">
        <v>153.9</v>
      </c>
      <c r="K367">
        <v>0</v>
      </c>
      <c r="L367">
        <v>153.9</v>
      </c>
      <c r="M367">
        <v>0</v>
      </c>
      <c r="N367">
        <v>0</v>
      </c>
      <c r="O367">
        <v>0</v>
      </c>
      <c r="P367">
        <v>0</v>
      </c>
      <c r="Q367" t="s">
        <v>464</v>
      </c>
    </row>
    <row r="368" spans="1:17" x14ac:dyDescent="0.3">
      <c r="A368">
        <v>229494</v>
      </c>
      <c r="B368">
        <v>116</v>
      </c>
      <c r="C368" t="s">
        <v>568</v>
      </c>
      <c r="D368" t="s">
        <v>2332</v>
      </c>
      <c r="E368" t="s">
        <v>2668</v>
      </c>
      <c r="F368" s="452">
        <v>46142</v>
      </c>
      <c r="G368" s="452">
        <v>46134</v>
      </c>
      <c r="H368" s="452">
        <v>46155</v>
      </c>
      <c r="I368">
        <v>207.6</v>
      </c>
      <c r="J368">
        <v>207.6</v>
      </c>
      <c r="K368">
        <v>0</v>
      </c>
      <c r="L368">
        <v>207.6</v>
      </c>
      <c r="M368">
        <v>0</v>
      </c>
      <c r="N368">
        <v>0</v>
      </c>
      <c r="O368">
        <v>0</v>
      </c>
      <c r="P368">
        <v>0</v>
      </c>
      <c r="Q368" t="s">
        <v>464</v>
      </c>
    </row>
    <row r="369" spans="1:17" x14ac:dyDescent="0.3">
      <c r="A369">
        <v>229493</v>
      </c>
      <c r="B369">
        <v>116</v>
      </c>
      <c r="C369" t="s">
        <v>568</v>
      </c>
      <c r="D369" t="s">
        <v>2275</v>
      </c>
      <c r="E369" t="s">
        <v>2669</v>
      </c>
      <c r="F369" s="452">
        <v>46142</v>
      </c>
      <c r="G369" s="452">
        <v>46136</v>
      </c>
      <c r="H369" s="452">
        <v>46170</v>
      </c>
      <c r="I369">
        <v>699</v>
      </c>
      <c r="J369">
        <v>699</v>
      </c>
      <c r="K369">
        <v>0</v>
      </c>
      <c r="L369">
        <v>699</v>
      </c>
      <c r="M369">
        <v>0</v>
      </c>
      <c r="N369">
        <v>0</v>
      </c>
      <c r="O369">
        <v>0</v>
      </c>
      <c r="P369">
        <v>0</v>
      </c>
      <c r="Q369" t="s">
        <v>464</v>
      </c>
    </row>
    <row r="370" spans="1:17" x14ac:dyDescent="0.3">
      <c r="A370">
        <v>229490</v>
      </c>
      <c r="B370">
        <v>116</v>
      </c>
      <c r="C370" t="s">
        <v>568</v>
      </c>
      <c r="D370" t="s">
        <v>2314</v>
      </c>
      <c r="E370" t="s">
        <v>2670</v>
      </c>
      <c r="F370" s="452">
        <v>46142</v>
      </c>
      <c r="G370" s="452">
        <v>46134</v>
      </c>
      <c r="H370" s="452">
        <v>46164</v>
      </c>
      <c r="I370">
        <v>2896.8</v>
      </c>
      <c r="J370">
        <v>2896.8</v>
      </c>
      <c r="K370">
        <v>0</v>
      </c>
      <c r="L370">
        <v>2896.8</v>
      </c>
      <c r="M370">
        <v>0</v>
      </c>
      <c r="N370">
        <v>0</v>
      </c>
      <c r="O370">
        <v>0</v>
      </c>
      <c r="P370">
        <v>0</v>
      </c>
      <c r="Q370" t="s">
        <v>464</v>
      </c>
    </row>
    <row r="371" spans="1:17" x14ac:dyDescent="0.3">
      <c r="A371">
        <v>229488</v>
      </c>
      <c r="B371">
        <v>116</v>
      </c>
      <c r="C371" t="s">
        <v>568</v>
      </c>
      <c r="D371" t="s">
        <v>2277</v>
      </c>
      <c r="E371" t="s">
        <v>2671</v>
      </c>
      <c r="F371" s="452">
        <v>46142</v>
      </c>
      <c r="G371" s="452">
        <v>46134</v>
      </c>
      <c r="H371" s="452">
        <v>46153</v>
      </c>
      <c r="I371">
        <v>829.95</v>
      </c>
      <c r="J371">
        <v>827.68</v>
      </c>
      <c r="K371">
        <v>829.95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464</v>
      </c>
    </row>
    <row r="372" spans="1:17" x14ac:dyDescent="0.3">
      <c r="A372">
        <v>229486</v>
      </c>
      <c r="B372">
        <v>116</v>
      </c>
      <c r="C372" t="s">
        <v>568</v>
      </c>
      <c r="D372" t="s">
        <v>2269</v>
      </c>
      <c r="E372" t="s">
        <v>2672</v>
      </c>
      <c r="F372" s="452">
        <v>46142</v>
      </c>
      <c r="G372" s="452">
        <v>46136</v>
      </c>
      <c r="H372" s="452">
        <v>46164</v>
      </c>
      <c r="I372">
        <v>91.76</v>
      </c>
      <c r="J372">
        <v>91.76</v>
      </c>
      <c r="K372">
        <v>91.76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464</v>
      </c>
    </row>
    <row r="373" spans="1:17" x14ac:dyDescent="0.3">
      <c r="A373">
        <v>229482</v>
      </c>
      <c r="B373">
        <v>116</v>
      </c>
      <c r="C373" t="s">
        <v>568</v>
      </c>
      <c r="D373" t="s">
        <v>2269</v>
      </c>
      <c r="E373" t="s">
        <v>2673</v>
      </c>
      <c r="F373" s="452">
        <v>46142</v>
      </c>
      <c r="G373" s="452">
        <v>46135</v>
      </c>
      <c r="H373" s="452">
        <v>46157</v>
      </c>
      <c r="I373">
        <v>91.76</v>
      </c>
      <c r="J373">
        <v>114.7</v>
      </c>
      <c r="K373">
        <v>91.76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464</v>
      </c>
    </row>
    <row r="374" spans="1:17" x14ac:dyDescent="0.3">
      <c r="A374">
        <v>229480</v>
      </c>
      <c r="B374">
        <v>116</v>
      </c>
      <c r="C374" t="s">
        <v>568</v>
      </c>
      <c r="D374" t="s">
        <v>2269</v>
      </c>
      <c r="E374" t="s">
        <v>2674</v>
      </c>
      <c r="F374" s="452">
        <v>46142</v>
      </c>
      <c r="G374" s="452">
        <v>46135</v>
      </c>
      <c r="H374" s="452">
        <v>46163</v>
      </c>
      <c r="I374">
        <v>91.76</v>
      </c>
      <c r="J374">
        <v>114.7</v>
      </c>
      <c r="K374">
        <v>91.76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464</v>
      </c>
    </row>
    <row r="375" spans="1:17" x14ac:dyDescent="0.3">
      <c r="A375">
        <v>227936</v>
      </c>
      <c r="B375">
        <v>116</v>
      </c>
      <c r="C375" t="s">
        <v>568</v>
      </c>
      <c r="D375" t="s">
        <v>2258</v>
      </c>
      <c r="E375" t="s">
        <v>2675</v>
      </c>
      <c r="F375" s="452">
        <v>46134</v>
      </c>
      <c r="G375" s="452">
        <v>46141</v>
      </c>
      <c r="H375" s="452">
        <v>46144</v>
      </c>
      <c r="I375">
        <v>191.8</v>
      </c>
      <c r="J375">
        <v>176.8</v>
      </c>
      <c r="K375">
        <v>191.8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464</v>
      </c>
    </row>
    <row r="376" spans="1:17" x14ac:dyDescent="0.3">
      <c r="A376">
        <v>227440</v>
      </c>
      <c r="B376">
        <v>116</v>
      </c>
      <c r="C376" t="s">
        <v>568</v>
      </c>
      <c r="D376" t="s">
        <v>2676</v>
      </c>
      <c r="E376" t="s">
        <v>2677</v>
      </c>
      <c r="F376" s="452">
        <v>46133</v>
      </c>
      <c r="G376" s="452">
        <v>46135</v>
      </c>
      <c r="H376" s="452">
        <v>46146</v>
      </c>
      <c r="I376">
        <v>14.6</v>
      </c>
      <c r="J376">
        <v>14.6</v>
      </c>
      <c r="K376">
        <v>14.6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464</v>
      </c>
    </row>
    <row r="377" spans="1:17" x14ac:dyDescent="0.3">
      <c r="A377">
        <v>227373</v>
      </c>
      <c r="B377">
        <v>116</v>
      </c>
      <c r="C377" t="s">
        <v>568</v>
      </c>
      <c r="D377" t="s">
        <v>2260</v>
      </c>
      <c r="E377" t="s">
        <v>2678</v>
      </c>
      <c r="F377" s="452">
        <v>46134</v>
      </c>
      <c r="G377" s="452">
        <v>46134</v>
      </c>
      <c r="H377" s="452">
        <v>46148</v>
      </c>
      <c r="I377">
        <v>3760.06</v>
      </c>
      <c r="J377">
        <v>3750.06</v>
      </c>
      <c r="K377">
        <v>3760.06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464</v>
      </c>
    </row>
    <row r="378" spans="1:17" x14ac:dyDescent="0.3">
      <c r="A378">
        <v>227362</v>
      </c>
      <c r="B378">
        <v>116</v>
      </c>
      <c r="C378" t="s">
        <v>568</v>
      </c>
      <c r="D378" t="s">
        <v>2282</v>
      </c>
      <c r="E378" t="s">
        <v>2679</v>
      </c>
      <c r="F378" s="452">
        <v>46132</v>
      </c>
      <c r="G378" s="452">
        <v>46134</v>
      </c>
      <c r="H378" s="452">
        <v>46146</v>
      </c>
      <c r="I378">
        <v>244.95</v>
      </c>
      <c r="J378">
        <v>244.95</v>
      </c>
      <c r="K378">
        <v>0</v>
      </c>
      <c r="L378">
        <v>0</v>
      </c>
      <c r="M378">
        <v>0</v>
      </c>
      <c r="N378">
        <v>244.95</v>
      </c>
      <c r="O378">
        <v>0</v>
      </c>
      <c r="P378">
        <v>0</v>
      </c>
      <c r="Q378" t="s">
        <v>464</v>
      </c>
    </row>
    <row r="379" spans="1:17" x14ac:dyDescent="0.3">
      <c r="A379">
        <v>227361</v>
      </c>
      <c r="B379">
        <v>116</v>
      </c>
      <c r="C379" t="s">
        <v>568</v>
      </c>
      <c r="D379" t="s">
        <v>2286</v>
      </c>
      <c r="E379" t="s">
        <v>2680</v>
      </c>
      <c r="F379" s="452">
        <v>46133</v>
      </c>
      <c r="G379" s="452">
        <v>46134</v>
      </c>
      <c r="H379" s="452">
        <v>46147</v>
      </c>
      <c r="I379">
        <v>547.04999999999995</v>
      </c>
      <c r="J379">
        <v>547.04999999999995</v>
      </c>
      <c r="K379">
        <v>547.04999999999995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464</v>
      </c>
    </row>
    <row r="380" spans="1:17" x14ac:dyDescent="0.3">
      <c r="A380">
        <v>227360</v>
      </c>
      <c r="B380">
        <v>116</v>
      </c>
      <c r="C380" t="s">
        <v>568</v>
      </c>
      <c r="D380" t="s">
        <v>2286</v>
      </c>
      <c r="E380" t="s">
        <v>2681</v>
      </c>
      <c r="F380" s="452">
        <v>46133</v>
      </c>
      <c r="G380" s="452">
        <v>46134</v>
      </c>
      <c r="H380" s="452">
        <v>46146</v>
      </c>
      <c r="I380">
        <v>18.75</v>
      </c>
      <c r="J380">
        <v>18.75</v>
      </c>
      <c r="K380">
        <v>18.75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464</v>
      </c>
    </row>
    <row r="381" spans="1:17" x14ac:dyDescent="0.3">
      <c r="A381">
        <v>227358</v>
      </c>
      <c r="B381">
        <v>116</v>
      </c>
      <c r="C381" t="s">
        <v>568</v>
      </c>
      <c r="D381" t="s">
        <v>2318</v>
      </c>
      <c r="E381" t="s">
        <v>2682</v>
      </c>
      <c r="F381" s="452">
        <v>46132</v>
      </c>
      <c r="G381" s="452">
        <v>46134</v>
      </c>
      <c r="H381" s="452">
        <v>46146</v>
      </c>
      <c r="I381">
        <v>1344.64</v>
      </c>
      <c r="J381">
        <v>1344.64</v>
      </c>
      <c r="K381">
        <v>1344.64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464</v>
      </c>
    </row>
    <row r="382" spans="1:17" x14ac:dyDescent="0.3">
      <c r="A382">
        <v>227355</v>
      </c>
      <c r="B382">
        <v>116</v>
      </c>
      <c r="C382" t="s">
        <v>568</v>
      </c>
      <c r="D382" t="s">
        <v>2683</v>
      </c>
      <c r="E382" t="s">
        <v>2684</v>
      </c>
      <c r="F382" s="452">
        <v>46134</v>
      </c>
      <c r="G382" s="452">
        <v>46134</v>
      </c>
      <c r="H382" s="452">
        <v>46147</v>
      </c>
      <c r="I382">
        <v>360.93</v>
      </c>
      <c r="J382">
        <v>197.08</v>
      </c>
      <c r="K382">
        <v>360.93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464</v>
      </c>
    </row>
    <row r="383" spans="1:17" x14ac:dyDescent="0.3">
      <c r="A383">
        <v>227351</v>
      </c>
      <c r="B383">
        <v>116</v>
      </c>
      <c r="C383" t="s">
        <v>568</v>
      </c>
      <c r="D383" t="s">
        <v>2685</v>
      </c>
      <c r="E383" t="s">
        <v>2686</v>
      </c>
      <c r="F383" s="452">
        <v>46132</v>
      </c>
      <c r="G383" s="452">
        <v>46134</v>
      </c>
      <c r="H383" s="452">
        <v>46148</v>
      </c>
      <c r="I383">
        <v>683.16</v>
      </c>
      <c r="J383">
        <v>683.16</v>
      </c>
      <c r="K383">
        <v>683.16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464</v>
      </c>
    </row>
    <row r="384" spans="1:17" x14ac:dyDescent="0.3">
      <c r="A384">
        <v>227349</v>
      </c>
      <c r="B384">
        <v>116</v>
      </c>
      <c r="C384" t="s">
        <v>568</v>
      </c>
      <c r="D384" t="s">
        <v>2357</v>
      </c>
      <c r="E384" t="s">
        <v>2687</v>
      </c>
      <c r="F384" s="452">
        <v>46132</v>
      </c>
      <c r="G384" s="452">
        <v>46134</v>
      </c>
      <c r="H384" s="452">
        <v>46146</v>
      </c>
      <c r="I384">
        <v>355.08</v>
      </c>
      <c r="J384">
        <v>355.08</v>
      </c>
      <c r="K384">
        <v>355.08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464</v>
      </c>
    </row>
    <row r="385" spans="1:17" x14ac:dyDescent="0.3">
      <c r="A385">
        <v>227347</v>
      </c>
      <c r="B385">
        <v>116</v>
      </c>
      <c r="C385" t="s">
        <v>568</v>
      </c>
      <c r="D385" t="s">
        <v>2359</v>
      </c>
      <c r="E385" t="s">
        <v>2688</v>
      </c>
      <c r="F385" s="452">
        <v>46132</v>
      </c>
      <c r="G385" s="452">
        <v>46134</v>
      </c>
      <c r="H385" s="452">
        <v>46146</v>
      </c>
      <c r="I385">
        <v>162.66</v>
      </c>
      <c r="J385">
        <v>162.66</v>
      </c>
      <c r="K385">
        <v>0</v>
      </c>
      <c r="L385">
        <v>162.66</v>
      </c>
      <c r="M385">
        <v>0</v>
      </c>
      <c r="N385">
        <v>0</v>
      </c>
      <c r="O385">
        <v>0</v>
      </c>
      <c r="P385">
        <v>0</v>
      </c>
      <c r="Q385" t="s">
        <v>464</v>
      </c>
    </row>
    <row r="386" spans="1:17" x14ac:dyDescent="0.3">
      <c r="A386">
        <v>227346</v>
      </c>
      <c r="B386">
        <v>116</v>
      </c>
      <c r="C386" t="s">
        <v>568</v>
      </c>
      <c r="D386" t="s">
        <v>2265</v>
      </c>
      <c r="E386" t="s">
        <v>2689</v>
      </c>
      <c r="F386" s="452">
        <v>46134</v>
      </c>
      <c r="G386" s="452">
        <v>46136</v>
      </c>
      <c r="H386" s="452">
        <v>46149</v>
      </c>
      <c r="I386">
        <v>642.70000000000005</v>
      </c>
      <c r="J386">
        <v>642.70000000000005</v>
      </c>
      <c r="K386">
        <v>0</v>
      </c>
      <c r="L386">
        <v>0</v>
      </c>
      <c r="M386">
        <v>560.70000000000005</v>
      </c>
      <c r="N386">
        <v>0</v>
      </c>
      <c r="O386">
        <v>82</v>
      </c>
      <c r="P386">
        <v>0</v>
      </c>
      <c r="Q386" t="s">
        <v>464</v>
      </c>
    </row>
    <row r="387" spans="1:17" x14ac:dyDescent="0.3">
      <c r="A387">
        <v>227343</v>
      </c>
      <c r="B387">
        <v>116</v>
      </c>
      <c r="C387" t="s">
        <v>568</v>
      </c>
      <c r="D387" t="s">
        <v>2269</v>
      </c>
      <c r="E387" t="s">
        <v>2690</v>
      </c>
      <c r="F387" s="452">
        <v>46114</v>
      </c>
      <c r="G387" s="452">
        <v>46135</v>
      </c>
      <c r="H387" s="452">
        <v>46144</v>
      </c>
      <c r="I387">
        <v>91.76</v>
      </c>
      <c r="J387">
        <v>91.76</v>
      </c>
      <c r="K387">
        <v>91.76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464</v>
      </c>
    </row>
    <row r="388" spans="1:17" x14ac:dyDescent="0.3">
      <c r="A388">
        <v>227338</v>
      </c>
      <c r="B388">
        <v>116</v>
      </c>
      <c r="C388" t="s">
        <v>568</v>
      </c>
      <c r="D388" t="s">
        <v>2269</v>
      </c>
      <c r="E388" t="s">
        <v>2691</v>
      </c>
      <c r="F388" s="452">
        <v>46121</v>
      </c>
      <c r="G388" s="452">
        <v>46135</v>
      </c>
      <c r="H388" s="452">
        <v>46151</v>
      </c>
      <c r="I388">
        <v>91.76</v>
      </c>
      <c r="J388">
        <v>114.7</v>
      </c>
      <c r="K388">
        <v>91.76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464</v>
      </c>
    </row>
    <row r="389" spans="1:17" x14ac:dyDescent="0.3">
      <c r="A389">
        <v>226581</v>
      </c>
      <c r="B389">
        <v>116</v>
      </c>
      <c r="C389" t="s">
        <v>568</v>
      </c>
      <c r="D389" t="s">
        <v>2314</v>
      </c>
      <c r="E389" t="s">
        <v>2692</v>
      </c>
      <c r="F389" s="452">
        <v>46126</v>
      </c>
      <c r="G389" s="452">
        <v>46128</v>
      </c>
      <c r="H389" s="452">
        <v>46157</v>
      </c>
      <c r="I389">
        <v>3245.13</v>
      </c>
      <c r="J389">
        <v>3261.57</v>
      </c>
      <c r="K389">
        <v>0</v>
      </c>
      <c r="L389">
        <v>3245.13</v>
      </c>
      <c r="M389">
        <v>0</v>
      </c>
      <c r="N389">
        <v>0</v>
      </c>
      <c r="O389">
        <v>0</v>
      </c>
      <c r="P389">
        <v>0</v>
      </c>
      <c r="Q389" t="s">
        <v>464</v>
      </c>
    </row>
    <row r="390" spans="1:17" x14ac:dyDescent="0.3">
      <c r="A390">
        <v>226579</v>
      </c>
      <c r="B390">
        <v>116</v>
      </c>
      <c r="C390" t="s">
        <v>568</v>
      </c>
      <c r="D390" t="s">
        <v>2314</v>
      </c>
      <c r="E390" t="s">
        <v>2693</v>
      </c>
      <c r="F390" s="452">
        <v>46128</v>
      </c>
      <c r="G390" s="452">
        <v>46130</v>
      </c>
      <c r="H390" s="452">
        <v>46160</v>
      </c>
      <c r="I390">
        <v>352.79</v>
      </c>
      <c r="J390">
        <v>352.8</v>
      </c>
      <c r="K390">
        <v>0</v>
      </c>
      <c r="L390">
        <v>352.79</v>
      </c>
      <c r="M390">
        <v>0</v>
      </c>
      <c r="N390">
        <v>0</v>
      </c>
      <c r="O390">
        <v>0</v>
      </c>
      <c r="P390">
        <v>0</v>
      </c>
      <c r="Q390" t="s">
        <v>464</v>
      </c>
    </row>
    <row r="391" spans="1:17" x14ac:dyDescent="0.3">
      <c r="A391">
        <v>226577</v>
      </c>
      <c r="B391">
        <v>116</v>
      </c>
      <c r="C391" t="s">
        <v>568</v>
      </c>
      <c r="D391" t="s">
        <v>2314</v>
      </c>
      <c r="E391" t="s">
        <v>2694</v>
      </c>
      <c r="F391" s="452">
        <v>46128</v>
      </c>
      <c r="G391" s="452">
        <v>46130</v>
      </c>
      <c r="H391" s="452">
        <v>46160</v>
      </c>
      <c r="I391">
        <v>4168.3999999999996</v>
      </c>
      <c r="J391">
        <v>4168.3999999999996</v>
      </c>
      <c r="K391">
        <v>0</v>
      </c>
      <c r="L391">
        <v>4168.3999999999996</v>
      </c>
      <c r="M391">
        <v>0</v>
      </c>
      <c r="N391">
        <v>0</v>
      </c>
      <c r="O391">
        <v>0</v>
      </c>
      <c r="P391">
        <v>0</v>
      </c>
      <c r="Q391" t="s">
        <v>464</v>
      </c>
    </row>
    <row r="392" spans="1:17" x14ac:dyDescent="0.3">
      <c r="A392">
        <v>226575</v>
      </c>
      <c r="B392">
        <v>116</v>
      </c>
      <c r="C392" t="s">
        <v>568</v>
      </c>
      <c r="D392" t="s">
        <v>2314</v>
      </c>
      <c r="E392" t="s">
        <v>2695</v>
      </c>
      <c r="F392" s="452">
        <v>46123</v>
      </c>
      <c r="G392" s="452">
        <v>46128</v>
      </c>
      <c r="H392" s="452">
        <v>46155</v>
      </c>
      <c r="I392">
        <v>2977.38</v>
      </c>
      <c r="J392">
        <v>2977.38</v>
      </c>
      <c r="K392">
        <v>0</v>
      </c>
      <c r="L392">
        <v>2977.38</v>
      </c>
      <c r="M392">
        <v>0</v>
      </c>
      <c r="N392">
        <v>0</v>
      </c>
      <c r="O392">
        <v>0</v>
      </c>
      <c r="P392">
        <v>0</v>
      </c>
      <c r="Q392" t="s">
        <v>464</v>
      </c>
    </row>
    <row r="393" spans="1:17" x14ac:dyDescent="0.3">
      <c r="A393">
        <v>226574</v>
      </c>
      <c r="B393">
        <v>116</v>
      </c>
      <c r="C393" t="s">
        <v>568</v>
      </c>
      <c r="D393" t="s">
        <v>2293</v>
      </c>
      <c r="E393" t="s">
        <v>2696</v>
      </c>
      <c r="F393" s="452">
        <v>46143</v>
      </c>
      <c r="G393" s="452">
        <v>46128</v>
      </c>
      <c r="H393" s="452">
        <v>46150</v>
      </c>
      <c r="I393">
        <v>540</v>
      </c>
      <c r="J393">
        <v>540</v>
      </c>
      <c r="K393">
        <v>0</v>
      </c>
      <c r="L393">
        <v>540</v>
      </c>
      <c r="M393">
        <v>0</v>
      </c>
      <c r="N393">
        <v>0</v>
      </c>
      <c r="O393">
        <v>0</v>
      </c>
      <c r="P393">
        <v>0</v>
      </c>
      <c r="Q393" t="s">
        <v>464</v>
      </c>
    </row>
    <row r="394" spans="1:17" x14ac:dyDescent="0.3">
      <c r="A394">
        <v>226572</v>
      </c>
      <c r="B394">
        <v>116</v>
      </c>
      <c r="C394" t="s">
        <v>568</v>
      </c>
      <c r="D394" t="s">
        <v>2330</v>
      </c>
      <c r="E394" t="s">
        <v>2697</v>
      </c>
      <c r="F394" s="452">
        <v>46125</v>
      </c>
      <c r="G394" s="452">
        <v>46128</v>
      </c>
      <c r="H394" s="452">
        <v>46153</v>
      </c>
      <c r="I394">
        <v>246</v>
      </c>
      <c r="J394">
        <v>246</v>
      </c>
      <c r="K394">
        <v>0</v>
      </c>
      <c r="L394">
        <v>246</v>
      </c>
      <c r="M394">
        <v>0</v>
      </c>
      <c r="N394">
        <v>0</v>
      </c>
      <c r="O394">
        <v>0</v>
      </c>
      <c r="P394">
        <v>0</v>
      </c>
      <c r="Q394" t="s">
        <v>464</v>
      </c>
    </row>
    <row r="395" spans="1:17" x14ac:dyDescent="0.3">
      <c r="A395">
        <v>226568</v>
      </c>
      <c r="B395">
        <v>116</v>
      </c>
      <c r="C395" t="s">
        <v>568</v>
      </c>
      <c r="D395" t="s">
        <v>2271</v>
      </c>
      <c r="E395" t="s">
        <v>2698</v>
      </c>
      <c r="F395" s="452">
        <v>46126</v>
      </c>
      <c r="G395" s="452">
        <v>46128</v>
      </c>
      <c r="H395" s="452">
        <v>46154</v>
      </c>
      <c r="I395">
        <v>219.8</v>
      </c>
      <c r="J395">
        <v>219.8</v>
      </c>
      <c r="K395">
        <v>0</v>
      </c>
      <c r="L395">
        <v>219.8</v>
      </c>
      <c r="M395">
        <v>0</v>
      </c>
      <c r="N395">
        <v>0</v>
      </c>
      <c r="O395">
        <v>0</v>
      </c>
      <c r="P395">
        <v>0</v>
      </c>
      <c r="Q395" t="s">
        <v>464</v>
      </c>
    </row>
    <row r="396" spans="1:17" x14ac:dyDescent="0.3">
      <c r="A396">
        <v>226565</v>
      </c>
      <c r="B396">
        <v>116</v>
      </c>
      <c r="C396" t="s">
        <v>568</v>
      </c>
      <c r="D396" t="s">
        <v>2273</v>
      </c>
      <c r="E396" t="s">
        <v>2699</v>
      </c>
      <c r="F396" s="452">
        <v>46125</v>
      </c>
      <c r="G396" s="452">
        <v>46134</v>
      </c>
      <c r="H396" s="452">
        <v>46153</v>
      </c>
      <c r="I396">
        <v>467.87</v>
      </c>
      <c r="J396">
        <v>157.79</v>
      </c>
      <c r="K396">
        <v>467.87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464</v>
      </c>
    </row>
    <row r="397" spans="1:17" x14ac:dyDescent="0.3">
      <c r="A397">
        <v>226561</v>
      </c>
      <c r="B397">
        <v>116</v>
      </c>
      <c r="C397" t="s">
        <v>568</v>
      </c>
      <c r="D397" t="s">
        <v>2280</v>
      </c>
      <c r="E397" t="s">
        <v>2656</v>
      </c>
      <c r="F397" s="452">
        <v>46126</v>
      </c>
      <c r="G397" s="452">
        <v>46128</v>
      </c>
      <c r="H397" s="452">
        <v>46153</v>
      </c>
      <c r="I397">
        <v>84.41</v>
      </c>
      <c r="J397">
        <v>84.41</v>
      </c>
      <c r="K397">
        <v>84.41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464</v>
      </c>
    </row>
    <row r="398" spans="1:17" x14ac:dyDescent="0.3">
      <c r="A398">
        <v>226559</v>
      </c>
      <c r="B398">
        <v>116</v>
      </c>
      <c r="C398" t="s">
        <v>568</v>
      </c>
      <c r="D398" t="s">
        <v>2284</v>
      </c>
      <c r="E398" t="s">
        <v>2700</v>
      </c>
      <c r="F398" s="452">
        <v>46126</v>
      </c>
      <c r="G398" s="452">
        <v>46128</v>
      </c>
      <c r="H398" s="452">
        <v>46154</v>
      </c>
      <c r="I398">
        <v>1206.31</v>
      </c>
      <c r="J398">
        <v>1085.68</v>
      </c>
      <c r="K398">
        <v>1206.31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464</v>
      </c>
    </row>
    <row r="399" spans="1:17" x14ac:dyDescent="0.3">
      <c r="A399">
        <v>226558</v>
      </c>
      <c r="B399">
        <v>116</v>
      </c>
      <c r="C399" t="s">
        <v>568</v>
      </c>
      <c r="D399" t="s">
        <v>2277</v>
      </c>
      <c r="E399" t="s">
        <v>2701</v>
      </c>
      <c r="F399" s="452">
        <v>46127</v>
      </c>
      <c r="G399" s="452">
        <v>46128</v>
      </c>
      <c r="H399" s="452">
        <v>46148</v>
      </c>
      <c r="I399">
        <v>1271.3</v>
      </c>
      <c r="J399">
        <v>721.44</v>
      </c>
      <c r="K399">
        <v>1271.3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464</v>
      </c>
    </row>
    <row r="400" spans="1:17" x14ac:dyDescent="0.3">
      <c r="A400">
        <v>226556</v>
      </c>
      <c r="B400">
        <v>116</v>
      </c>
      <c r="C400" t="s">
        <v>568</v>
      </c>
      <c r="D400" t="s">
        <v>2277</v>
      </c>
      <c r="E400" t="s">
        <v>2702</v>
      </c>
      <c r="F400" s="452">
        <v>46126</v>
      </c>
      <c r="G400" s="452">
        <v>46128</v>
      </c>
      <c r="H400" s="452">
        <v>46147</v>
      </c>
      <c r="I400">
        <v>113.15</v>
      </c>
      <c r="J400">
        <v>104.25</v>
      </c>
      <c r="K400">
        <v>113.15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464</v>
      </c>
    </row>
    <row r="401" spans="1:17" x14ac:dyDescent="0.3">
      <c r="A401">
        <v>226555</v>
      </c>
      <c r="B401">
        <v>116</v>
      </c>
      <c r="C401" t="s">
        <v>568</v>
      </c>
      <c r="D401" t="s">
        <v>2312</v>
      </c>
      <c r="E401" t="s">
        <v>2703</v>
      </c>
      <c r="F401" s="452">
        <v>46127</v>
      </c>
      <c r="G401" s="452">
        <v>46128</v>
      </c>
      <c r="H401" s="452">
        <v>46160</v>
      </c>
      <c r="I401">
        <v>227.6</v>
      </c>
      <c r="J401">
        <v>227.6</v>
      </c>
      <c r="K401">
        <v>227.6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464</v>
      </c>
    </row>
    <row r="402" spans="1:17" x14ac:dyDescent="0.3">
      <c r="A402">
        <v>226553</v>
      </c>
      <c r="B402">
        <v>116</v>
      </c>
      <c r="C402" t="s">
        <v>568</v>
      </c>
      <c r="D402" t="s">
        <v>2260</v>
      </c>
      <c r="E402" t="s">
        <v>2704</v>
      </c>
      <c r="F402" s="452">
        <v>46126</v>
      </c>
      <c r="G402" s="452">
        <v>46128</v>
      </c>
      <c r="H402" s="452">
        <v>46147</v>
      </c>
      <c r="I402">
        <v>1805.75</v>
      </c>
      <c r="J402">
        <v>1806.08</v>
      </c>
      <c r="K402">
        <v>1805.75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464</v>
      </c>
    </row>
    <row r="403" spans="1:17" x14ac:dyDescent="0.3">
      <c r="A403">
        <v>226552</v>
      </c>
      <c r="B403">
        <v>116</v>
      </c>
      <c r="C403" t="s">
        <v>568</v>
      </c>
      <c r="D403" t="s">
        <v>2267</v>
      </c>
      <c r="E403" t="s">
        <v>2705</v>
      </c>
      <c r="F403" s="452">
        <v>46126</v>
      </c>
      <c r="G403" s="452">
        <v>46128</v>
      </c>
      <c r="H403" s="452">
        <v>46155</v>
      </c>
      <c r="I403">
        <v>597.75</v>
      </c>
      <c r="J403">
        <v>597.74</v>
      </c>
      <c r="K403">
        <v>597.75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464</v>
      </c>
    </row>
    <row r="404" spans="1:17" x14ac:dyDescent="0.3">
      <c r="A404">
        <v>226550</v>
      </c>
      <c r="B404">
        <v>116</v>
      </c>
      <c r="C404" t="s">
        <v>568</v>
      </c>
      <c r="D404" t="s">
        <v>2308</v>
      </c>
      <c r="E404" t="s">
        <v>2706</v>
      </c>
      <c r="F404" s="452">
        <v>46126</v>
      </c>
      <c r="G404" s="452">
        <v>46128</v>
      </c>
      <c r="H404" s="452">
        <v>46154</v>
      </c>
      <c r="I404">
        <v>639.28</v>
      </c>
      <c r="J404">
        <v>639.28</v>
      </c>
      <c r="K404">
        <v>639.28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464</v>
      </c>
    </row>
    <row r="405" spans="1:17" x14ac:dyDescent="0.3">
      <c r="A405">
        <v>226549</v>
      </c>
      <c r="B405">
        <v>116</v>
      </c>
      <c r="C405" t="s">
        <v>568</v>
      </c>
      <c r="D405" t="s">
        <v>2262</v>
      </c>
      <c r="E405" t="s">
        <v>2707</v>
      </c>
      <c r="F405" s="452">
        <v>46126</v>
      </c>
      <c r="G405" s="452">
        <v>46128</v>
      </c>
      <c r="H405" s="452">
        <v>46154</v>
      </c>
      <c r="I405">
        <v>1543.89</v>
      </c>
      <c r="J405">
        <v>1543.89</v>
      </c>
      <c r="K405">
        <v>1543.89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464</v>
      </c>
    </row>
    <row r="406" spans="1:17" x14ac:dyDescent="0.3">
      <c r="A406">
        <v>226547</v>
      </c>
      <c r="B406">
        <v>116</v>
      </c>
      <c r="C406" t="s">
        <v>568</v>
      </c>
      <c r="D406" t="s">
        <v>2468</v>
      </c>
      <c r="E406" t="s">
        <v>2708</v>
      </c>
      <c r="F406" s="452">
        <v>46125</v>
      </c>
      <c r="G406" s="452">
        <v>46128</v>
      </c>
      <c r="H406" s="452">
        <v>46146</v>
      </c>
      <c r="I406">
        <v>1785.26</v>
      </c>
      <c r="J406">
        <v>1785.26</v>
      </c>
      <c r="K406">
        <v>1785.26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464</v>
      </c>
    </row>
    <row r="407" spans="1:17" x14ac:dyDescent="0.3">
      <c r="A407">
        <v>226546</v>
      </c>
      <c r="B407">
        <v>116</v>
      </c>
      <c r="C407" t="s">
        <v>568</v>
      </c>
      <c r="D407" t="s">
        <v>2709</v>
      </c>
      <c r="E407" t="s">
        <v>2710</v>
      </c>
      <c r="F407" s="452">
        <v>46126</v>
      </c>
      <c r="G407" s="452">
        <v>46128</v>
      </c>
      <c r="H407" s="452">
        <v>46160</v>
      </c>
      <c r="I407">
        <v>222.74</v>
      </c>
      <c r="J407">
        <v>222.74</v>
      </c>
      <c r="K407">
        <v>0</v>
      </c>
      <c r="L407">
        <v>0</v>
      </c>
      <c r="M407">
        <v>222.74</v>
      </c>
      <c r="N407">
        <v>0</v>
      </c>
      <c r="O407">
        <v>0</v>
      </c>
      <c r="P407">
        <v>0</v>
      </c>
      <c r="Q407" t="s">
        <v>464</v>
      </c>
    </row>
    <row r="408" spans="1:17" x14ac:dyDescent="0.3">
      <c r="A408">
        <v>226545</v>
      </c>
      <c r="B408">
        <v>116</v>
      </c>
      <c r="C408" t="s">
        <v>568</v>
      </c>
      <c r="D408" t="s">
        <v>2284</v>
      </c>
      <c r="E408" t="s">
        <v>2711</v>
      </c>
      <c r="F408" s="452">
        <v>46128</v>
      </c>
      <c r="G408" s="452">
        <v>46130</v>
      </c>
      <c r="H408" s="452">
        <v>46156</v>
      </c>
      <c r="I408">
        <v>246.28</v>
      </c>
      <c r="J408">
        <v>246.28</v>
      </c>
      <c r="K408">
        <v>246.28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464</v>
      </c>
    </row>
    <row r="409" spans="1:17" x14ac:dyDescent="0.3">
      <c r="A409">
        <v>226544</v>
      </c>
      <c r="B409">
        <v>116</v>
      </c>
      <c r="C409" t="s">
        <v>568</v>
      </c>
      <c r="D409" t="s">
        <v>2280</v>
      </c>
      <c r="E409" t="s">
        <v>2712</v>
      </c>
      <c r="F409" s="452">
        <v>46128</v>
      </c>
      <c r="G409" s="452">
        <v>46130</v>
      </c>
      <c r="H409" s="452">
        <v>46156</v>
      </c>
      <c r="I409">
        <v>174.59</v>
      </c>
      <c r="J409">
        <v>174.59</v>
      </c>
      <c r="K409">
        <v>174.59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464</v>
      </c>
    </row>
    <row r="410" spans="1:17" x14ac:dyDescent="0.3">
      <c r="A410">
        <v>226542</v>
      </c>
      <c r="B410">
        <v>116</v>
      </c>
      <c r="C410" t="s">
        <v>568</v>
      </c>
      <c r="D410" t="s">
        <v>2273</v>
      </c>
      <c r="E410" t="s">
        <v>2713</v>
      </c>
      <c r="F410" s="452">
        <v>46128</v>
      </c>
      <c r="G410" s="452">
        <v>46130</v>
      </c>
      <c r="H410" s="452">
        <v>46156</v>
      </c>
      <c r="I410">
        <v>358.99</v>
      </c>
      <c r="J410">
        <v>358.99</v>
      </c>
      <c r="K410">
        <v>358.99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464</v>
      </c>
    </row>
    <row r="411" spans="1:17" x14ac:dyDescent="0.3">
      <c r="A411">
        <v>226286</v>
      </c>
      <c r="B411">
        <v>116</v>
      </c>
      <c r="C411" t="s">
        <v>568</v>
      </c>
      <c r="D411" t="s">
        <v>2499</v>
      </c>
      <c r="E411" t="s">
        <v>2714</v>
      </c>
      <c r="F411" s="452">
        <v>46126</v>
      </c>
      <c r="G411" s="452">
        <v>46135</v>
      </c>
      <c r="H411" s="452">
        <v>46142</v>
      </c>
      <c r="I411">
        <v>992.94</v>
      </c>
      <c r="J411">
        <v>992.94</v>
      </c>
      <c r="K411">
        <v>992.94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464</v>
      </c>
    </row>
    <row r="412" spans="1:17" x14ac:dyDescent="0.3">
      <c r="A412">
        <v>226128</v>
      </c>
      <c r="B412">
        <v>116</v>
      </c>
      <c r="C412" t="s">
        <v>568</v>
      </c>
      <c r="D412" t="s">
        <v>2258</v>
      </c>
      <c r="E412" t="s">
        <v>2715</v>
      </c>
      <c r="F412" s="452">
        <v>46132</v>
      </c>
      <c r="G412" s="452">
        <v>46134</v>
      </c>
      <c r="H412" s="452">
        <v>46142</v>
      </c>
      <c r="I412">
        <v>196.7</v>
      </c>
      <c r="J412">
        <v>181.74</v>
      </c>
      <c r="K412">
        <v>196.7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464</v>
      </c>
    </row>
    <row r="413" spans="1:17" x14ac:dyDescent="0.3">
      <c r="A413">
        <v>226127</v>
      </c>
      <c r="B413">
        <v>116</v>
      </c>
      <c r="C413" t="s">
        <v>568</v>
      </c>
      <c r="D413" t="s">
        <v>2265</v>
      </c>
      <c r="E413" t="s">
        <v>2716</v>
      </c>
      <c r="F413" s="452">
        <v>46127</v>
      </c>
      <c r="G413" s="452">
        <v>46128</v>
      </c>
      <c r="H413" s="452">
        <v>46141</v>
      </c>
      <c r="I413">
        <v>411.26</v>
      </c>
      <c r="J413">
        <v>411.26</v>
      </c>
      <c r="K413">
        <v>0</v>
      </c>
      <c r="L413">
        <v>0</v>
      </c>
      <c r="M413">
        <v>384.26</v>
      </c>
      <c r="N413">
        <v>0</v>
      </c>
      <c r="O413">
        <v>27</v>
      </c>
      <c r="P413">
        <v>0</v>
      </c>
      <c r="Q413" t="s">
        <v>464</v>
      </c>
    </row>
    <row r="414" spans="1:17" x14ac:dyDescent="0.3">
      <c r="A414">
        <v>226126</v>
      </c>
      <c r="B414">
        <v>116</v>
      </c>
      <c r="C414" t="s">
        <v>568</v>
      </c>
      <c r="D414" t="s">
        <v>2286</v>
      </c>
      <c r="E414" t="s">
        <v>2717</v>
      </c>
      <c r="F414" s="452">
        <v>46128</v>
      </c>
      <c r="G414" s="452">
        <v>46130</v>
      </c>
      <c r="H414" s="452">
        <v>46142</v>
      </c>
      <c r="I414">
        <v>586.65</v>
      </c>
      <c r="J414">
        <v>586.65</v>
      </c>
      <c r="K414">
        <v>586.65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464</v>
      </c>
    </row>
    <row r="415" spans="1:17" x14ac:dyDescent="0.3">
      <c r="A415">
        <v>226125</v>
      </c>
      <c r="B415">
        <v>116</v>
      </c>
      <c r="C415" t="s">
        <v>568</v>
      </c>
      <c r="D415" t="s">
        <v>2367</v>
      </c>
      <c r="E415" t="s">
        <v>2718</v>
      </c>
      <c r="F415" s="452">
        <v>46126</v>
      </c>
      <c r="G415" s="452">
        <v>46128</v>
      </c>
      <c r="H415" s="452">
        <v>46140</v>
      </c>
      <c r="I415">
        <v>423.96</v>
      </c>
      <c r="J415">
        <v>423.96</v>
      </c>
      <c r="K415">
        <v>423.96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464</v>
      </c>
    </row>
    <row r="416" spans="1:17" x14ac:dyDescent="0.3">
      <c r="A416">
        <v>226124</v>
      </c>
      <c r="B416">
        <v>116</v>
      </c>
      <c r="C416" t="s">
        <v>568</v>
      </c>
      <c r="D416" t="s">
        <v>2361</v>
      </c>
      <c r="E416" t="s">
        <v>2719</v>
      </c>
      <c r="F416" s="452">
        <v>46126</v>
      </c>
      <c r="G416" s="452">
        <v>46128</v>
      </c>
      <c r="H416" s="452">
        <v>46140</v>
      </c>
      <c r="I416">
        <v>242</v>
      </c>
      <c r="J416">
        <v>158</v>
      </c>
      <c r="K416">
        <v>242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464</v>
      </c>
    </row>
    <row r="417" spans="1:17" x14ac:dyDescent="0.3">
      <c r="A417">
        <v>226123</v>
      </c>
      <c r="B417">
        <v>116</v>
      </c>
      <c r="C417" t="s">
        <v>568</v>
      </c>
      <c r="D417" t="s">
        <v>2286</v>
      </c>
      <c r="E417" t="s">
        <v>2720</v>
      </c>
      <c r="F417" s="452">
        <v>46125</v>
      </c>
      <c r="G417" s="452">
        <v>46128</v>
      </c>
      <c r="H417" s="452">
        <v>46139</v>
      </c>
      <c r="I417">
        <v>276.10000000000002</v>
      </c>
      <c r="J417">
        <v>276.10000000000002</v>
      </c>
      <c r="K417">
        <v>276.10000000000002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464</v>
      </c>
    </row>
    <row r="418" spans="1:17" x14ac:dyDescent="0.3">
      <c r="A418">
        <v>226122</v>
      </c>
      <c r="B418">
        <v>116</v>
      </c>
      <c r="C418" t="s">
        <v>568</v>
      </c>
      <c r="D418" t="s">
        <v>2359</v>
      </c>
      <c r="E418" t="s">
        <v>2721</v>
      </c>
      <c r="F418" s="452">
        <v>46126</v>
      </c>
      <c r="G418" s="452">
        <v>46128</v>
      </c>
      <c r="H418" s="452">
        <v>46140</v>
      </c>
      <c r="I418">
        <v>162.16</v>
      </c>
      <c r="J418">
        <v>162.16</v>
      </c>
      <c r="K418">
        <v>0</v>
      </c>
      <c r="L418">
        <v>162.16</v>
      </c>
      <c r="M418">
        <v>0</v>
      </c>
      <c r="N418">
        <v>0</v>
      </c>
      <c r="O418">
        <v>0</v>
      </c>
      <c r="P418">
        <v>0</v>
      </c>
      <c r="Q418" t="s">
        <v>464</v>
      </c>
    </row>
    <row r="419" spans="1:17" x14ac:dyDescent="0.3">
      <c r="A419">
        <v>226121</v>
      </c>
      <c r="B419">
        <v>116</v>
      </c>
      <c r="C419" t="s">
        <v>568</v>
      </c>
      <c r="D419" t="s">
        <v>2269</v>
      </c>
      <c r="E419" t="s">
        <v>2722</v>
      </c>
      <c r="F419" s="452">
        <v>46125</v>
      </c>
      <c r="G419" s="452">
        <v>46128</v>
      </c>
      <c r="H419" s="452">
        <v>46155</v>
      </c>
      <c r="I419">
        <v>91.76</v>
      </c>
      <c r="J419">
        <v>91.76</v>
      </c>
      <c r="K419">
        <v>91.76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464</v>
      </c>
    </row>
    <row r="420" spans="1:17" x14ac:dyDescent="0.3">
      <c r="A420">
        <v>225861</v>
      </c>
      <c r="B420">
        <v>116</v>
      </c>
      <c r="C420" t="s">
        <v>568</v>
      </c>
      <c r="D420" t="s">
        <v>2277</v>
      </c>
      <c r="E420" t="s">
        <v>2723</v>
      </c>
      <c r="F420" s="452">
        <v>46121</v>
      </c>
      <c r="G420" s="452">
        <v>46121</v>
      </c>
      <c r="H420" s="452">
        <v>46149</v>
      </c>
      <c r="I420">
        <v>1219.74</v>
      </c>
      <c r="J420">
        <v>1217.47</v>
      </c>
      <c r="K420">
        <v>1219.74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464</v>
      </c>
    </row>
    <row r="421" spans="1:17" x14ac:dyDescent="0.3">
      <c r="A421">
        <v>225860</v>
      </c>
      <c r="B421">
        <v>116</v>
      </c>
      <c r="C421" t="s">
        <v>568</v>
      </c>
      <c r="D421" t="s">
        <v>2280</v>
      </c>
      <c r="E421" t="s">
        <v>2724</v>
      </c>
      <c r="F421" s="452">
        <v>46121</v>
      </c>
      <c r="G421" s="452">
        <v>46121</v>
      </c>
      <c r="H421" s="452">
        <v>46149</v>
      </c>
      <c r="I421">
        <v>105.46</v>
      </c>
      <c r="J421">
        <v>105.46</v>
      </c>
      <c r="K421">
        <v>105.46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464</v>
      </c>
    </row>
    <row r="422" spans="1:17" x14ac:dyDescent="0.3">
      <c r="A422">
        <v>225858</v>
      </c>
      <c r="B422">
        <v>116</v>
      </c>
      <c r="C422" t="s">
        <v>568</v>
      </c>
      <c r="D422" t="s">
        <v>2410</v>
      </c>
      <c r="E422" t="s">
        <v>2725</v>
      </c>
      <c r="F422" s="452">
        <v>46119</v>
      </c>
      <c r="G422" s="452">
        <v>46119</v>
      </c>
      <c r="H422" s="452">
        <v>46147</v>
      </c>
      <c r="I422">
        <v>462.6</v>
      </c>
      <c r="J422">
        <v>462.6</v>
      </c>
      <c r="K422">
        <v>0</v>
      </c>
      <c r="L422">
        <v>462.6</v>
      </c>
      <c r="M422">
        <v>0</v>
      </c>
      <c r="N422">
        <v>0</v>
      </c>
      <c r="O422">
        <v>0</v>
      </c>
      <c r="P422">
        <v>0</v>
      </c>
      <c r="Q422" t="s">
        <v>464</v>
      </c>
    </row>
    <row r="423" spans="1:17" x14ac:dyDescent="0.3">
      <c r="A423">
        <v>225855</v>
      </c>
      <c r="B423">
        <v>116</v>
      </c>
      <c r="C423" t="s">
        <v>568</v>
      </c>
      <c r="D423" t="s">
        <v>2308</v>
      </c>
      <c r="E423" t="s">
        <v>2726</v>
      </c>
      <c r="F423" s="452">
        <v>46120</v>
      </c>
      <c r="G423" s="452">
        <v>46120</v>
      </c>
      <c r="H423" s="452">
        <v>46148</v>
      </c>
      <c r="I423">
        <v>768.46</v>
      </c>
      <c r="J423">
        <v>768.46</v>
      </c>
      <c r="K423">
        <v>768.46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464</v>
      </c>
    </row>
    <row r="424" spans="1:17" x14ac:dyDescent="0.3">
      <c r="A424">
        <v>225853</v>
      </c>
      <c r="B424">
        <v>116</v>
      </c>
      <c r="C424" t="s">
        <v>568</v>
      </c>
      <c r="D424" t="s">
        <v>2308</v>
      </c>
      <c r="E424" t="s">
        <v>2727</v>
      </c>
      <c r="F424" s="452">
        <v>46119</v>
      </c>
      <c r="G424" s="452">
        <v>46119</v>
      </c>
      <c r="H424" s="452">
        <v>46147</v>
      </c>
      <c r="I424">
        <v>622.20000000000005</v>
      </c>
      <c r="J424">
        <v>622.20000000000005</v>
      </c>
      <c r="K424">
        <v>622.20000000000005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464</v>
      </c>
    </row>
    <row r="425" spans="1:17" x14ac:dyDescent="0.3">
      <c r="A425">
        <v>225850</v>
      </c>
      <c r="B425">
        <v>116</v>
      </c>
      <c r="C425" t="s">
        <v>568</v>
      </c>
      <c r="D425" t="s">
        <v>2338</v>
      </c>
      <c r="E425" t="s">
        <v>2728</v>
      </c>
      <c r="F425" s="452">
        <v>46120</v>
      </c>
      <c r="G425" s="452">
        <v>46120</v>
      </c>
      <c r="H425" s="452">
        <v>46147</v>
      </c>
      <c r="I425">
        <v>517.20000000000005</v>
      </c>
      <c r="J425">
        <v>517.20000000000005</v>
      </c>
      <c r="K425">
        <v>517.20000000000005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464</v>
      </c>
    </row>
    <row r="426" spans="1:17" x14ac:dyDescent="0.3">
      <c r="A426">
        <v>225848</v>
      </c>
      <c r="B426">
        <v>116</v>
      </c>
      <c r="C426" t="s">
        <v>568</v>
      </c>
      <c r="D426" t="s">
        <v>2314</v>
      </c>
      <c r="E426" t="s">
        <v>2729</v>
      </c>
      <c r="F426" s="452">
        <v>46118</v>
      </c>
      <c r="G426" s="452">
        <v>46118</v>
      </c>
      <c r="H426" s="452">
        <v>46153</v>
      </c>
      <c r="I426">
        <v>132.06</v>
      </c>
      <c r="J426">
        <v>132.07</v>
      </c>
      <c r="K426">
        <v>0</v>
      </c>
      <c r="L426">
        <v>132.06</v>
      </c>
      <c r="M426">
        <v>0</v>
      </c>
      <c r="N426">
        <v>0</v>
      </c>
      <c r="O426">
        <v>0</v>
      </c>
      <c r="P426">
        <v>0</v>
      </c>
      <c r="Q426" t="s">
        <v>464</v>
      </c>
    </row>
    <row r="427" spans="1:17" x14ac:dyDescent="0.3">
      <c r="A427">
        <v>225846</v>
      </c>
      <c r="B427">
        <v>116</v>
      </c>
      <c r="C427" t="s">
        <v>568</v>
      </c>
      <c r="D427" t="s">
        <v>2314</v>
      </c>
      <c r="E427" t="s">
        <v>2730</v>
      </c>
      <c r="F427" s="452">
        <v>46119</v>
      </c>
      <c r="G427" s="452">
        <v>46119</v>
      </c>
      <c r="H427" s="452">
        <v>46150</v>
      </c>
      <c r="I427">
        <v>3924</v>
      </c>
      <c r="J427">
        <v>3741.3</v>
      </c>
      <c r="K427">
        <v>0</v>
      </c>
      <c r="L427">
        <v>3924</v>
      </c>
      <c r="M427">
        <v>0</v>
      </c>
      <c r="N427">
        <v>0</v>
      </c>
      <c r="O427">
        <v>0</v>
      </c>
      <c r="P427">
        <v>0</v>
      </c>
      <c r="Q427" t="s">
        <v>464</v>
      </c>
    </row>
    <row r="428" spans="1:17" x14ac:dyDescent="0.3">
      <c r="A428">
        <v>225841</v>
      </c>
      <c r="B428">
        <v>116</v>
      </c>
      <c r="C428" t="s">
        <v>568</v>
      </c>
      <c r="D428" t="s">
        <v>2314</v>
      </c>
      <c r="E428" t="s">
        <v>2731</v>
      </c>
      <c r="F428" s="452">
        <v>46118</v>
      </c>
      <c r="G428" s="452">
        <v>46118</v>
      </c>
      <c r="H428" s="452">
        <v>46148</v>
      </c>
      <c r="I428">
        <v>436.39</v>
      </c>
      <c r="J428">
        <v>436.38</v>
      </c>
      <c r="K428">
        <v>0</v>
      </c>
      <c r="L428">
        <v>436.39</v>
      </c>
      <c r="M428">
        <v>0</v>
      </c>
      <c r="N428">
        <v>0</v>
      </c>
      <c r="O428">
        <v>0</v>
      </c>
      <c r="P428">
        <v>0</v>
      </c>
      <c r="Q428" t="s">
        <v>464</v>
      </c>
    </row>
    <row r="429" spans="1:17" x14ac:dyDescent="0.3">
      <c r="A429">
        <v>225838</v>
      </c>
      <c r="B429">
        <v>116</v>
      </c>
      <c r="C429" t="s">
        <v>568</v>
      </c>
      <c r="D429" t="s">
        <v>2314</v>
      </c>
      <c r="E429" t="s">
        <v>2732</v>
      </c>
      <c r="F429" s="452">
        <v>46118</v>
      </c>
      <c r="G429" s="452">
        <v>46118</v>
      </c>
      <c r="H429" s="452">
        <v>46148</v>
      </c>
      <c r="I429">
        <v>2896.8</v>
      </c>
      <c r="J429">
        <v>3518.06</v>
      </c>
      <c r="K429">
        <v>0</v>
      </c>
      <c r="L429">
        <v>2896.8</v>
      </c>
      <c r="M429">
        <v>0</v>
      </c>
      <c r="N429">
        <v>0</v>
      </c>
      <c r="O429">
        <v>0</v>
      </c>
      <c r="P429">
        <v>0</v>
      </c>
      <c r="Q429" t="s">
        <v>464</v>
      </c>
    </row>
    <row r="430" spans="1:17" x14ac:dyDescent="0.3">
      <c r="A430">
        <v>225834</v>
      </c>
      <c r="B430">
        <v>116</v>
      </c>
      <c r="C430" t="s">
        <v>568</v>
      </c>
      <c r="D430" t="s">
        <v>2275</v>
      </c>
      <c r="E430" t="s">
        <v>2733</v>
      </c>
      <c r="F430" s="452">
        <v>46118</v>
      </c>
      <c r="G430" s="452">
        <v>46118</v>
      </c>
      <c r="H430" s="452">
        <v>46154</v>
      </c>
      <c r="I430">
        <v>466</v>
      </c>
      <c r="J430">
        <v>466</v>
      </c>
      <c r="K430">
        <v>0</v>
      </c>
      <c r="L430">
        <v>466</v>
      </c>
      <c r="M430">
        <v>0</v>
      </c>
      <c r="N430">
        <v>0</v>
      </c>
      <c r="O430">
        <v>0</v>
      </c>
      <c r="P430">
        <v>0</v>
      </c>
      <c r="Q430" t="s">
        <v>464</v>
      </c>
    </row>
    <row r="431" spans="1:17" x14ac:dyDescent="0.3">
      <c r="A431">
        <v>225831</v>
      </c>
      <c r="B431">
        <v>116</v>
      </c>
      <c r="C431" t="s">
        <v>568</v>
      </c>
      <c r="D431" t="s">
        <v>2273</v>
      </c>
      <c r="E431" t="s">
        <v>2734</v>
      </c>
      <c r="F431" s="452">
        <v>46119</v>
      </c>
      <c r="G431" s="452">
        <v>46119</v>
      </c>
      <c r="H431" s="452">
        <v>46146</v>
      </c>
      <c r="I431">
        <v>479.05</v>
      </c>
      <c r="J431">
        <v>467.86</v>
      </c>
      <c r="K431">
        <v>479.05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464</v>
      </c>
    </row>
    <row r="432" spans="1:17" x14ac:dyDescent="0.3">
      <c r="A432">
        <v>225830</v>
      </c>
      <c r="B432">
        <v>116</v>
      </c>
      <c r="C432" t="s">
        <v>568</v>
      </c>
      <c r="D432" t="s">
        <v>2273</v>
      </c>
      <c r="E432" t="s">
        <v>2735</v>
      </c>
      <c r="F432" s="452">
        <v>46121</v>
      </c>
      <c r="G432" s="452">
        <v>46121</v>
      </c>
      <c r="H432" s="452">
        <v>46149</v>
      </c>
      <c r="I432">
        <v>443.98</v>
      </c>
      <c r="J432">
        <v>443.98</v>
      </c>
      <c r="K432">
        <v>443.98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464</v>
      </c>
    </row>
    <row r="433" spans="1:17" x14ac:dyDescent="0.3">
      <c r="A433">
        <v>225829</v>
      </c>
      <c r="B433">
        <v>116</v>
      </c>
      <c r="C433" t="s">
        <v>568</v>
      </c>
      <c r="D433" t="s">
        <v>2284</v>
      </c>
      <c r="E433" t="s">
        <v>2736</v>
      </c>
      <c r="F433" s="452">
        <v>46118</v>
      </c>
      <c r="G433" s="452">
        <v>46118</v>
      </c>
      <c r="H433" s="452">
        <v>46147</v>
      </c>
      <c r="I433">
        <v>202.2</v>
      </c>
      <c r="J433">
        <v>101.9</v>
      </c>
      <c r="K433">
        <v>202.2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464</v>
      </c>
    </row>
    <row r="434" spans="1:17" x14ac:dyDescent="0.3">
      <c r="A434">
        <v>225826</v>
      </c>
      <c r="B434">
        <v>116</v>
      </c>
      <c r="C434" t="s">
        <v>568</v>
      </c>
      <c r="D434" t="s">
        <v>2284</v>
      </c>
      <c r="E434" t="s">
        <v>2737</v>
      </c>
      <c r="F434" s="452">
        <v>46119</v>
      </c>
      <c r="G434" s="452">
        <v>46119</v>
      </c>
      <c r="H434" s="452">
        <v>46147</v>
      </c>
      <c r="I434">
        <v>211.8</v>
      </c>
      <c r="J434">
        <v>211.8</v>
      </c>
      <c r="K434">
        <v>0</v>
      </c>
      <c r="L434">
        <v>211.8</v>
      </c>
      <c r="M434">
        <v>0</v>
      </c>
      <c r="N434">
        <v>0</v>
      </c>
      <c r="O434">
        <v>0</v>
      </c>
      <c r="P434">
        <v>0</v>
      </c>
      <c r="Q434" t="s">
        <v>464</v>
      </c>
    </row>
    <row r="435" spans="1:17" x14ac:dyDescent="0.3">
      <c r="A435">
        <v>225825</v>
      </c>
      <c r="B435">
        <v>116</v>
      </c>
      <c r="C435" t="s">
        <v>568</v>
      </c>
      <c r="D435" t="s">
        <v>2284</v>
      </c>
      <c r="E435" t="s">
        <v>2738</v>
      </c>
      <c r="F435" s="452">
        <v>46120</v>
      </c>
      <c r="G435" s="452">
        <v>46120</v>
      </c>
      <c r="H435" s="452">
        <v>46150</v>
      </c>
      <c r="I435">
        <v>1151.9000000000001</v>
      </c>
      <c r="J435">
        <v>1151.8399999999999</v>
      </c>
      <c r="K435">
        <v>1151.9000000000001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464</v>
      </c>
    </row>
    <row r="436" spans="1:17" x14ac:dyDescent="0.3">
      <c r="A436">
        <v>225824</v>
      </c>
      <c r="B436">
        <v>116</v>
      </c>
      <c r="C436" t="s">
        <v>568</v>
      </c>
      <c r="D436" t="s">
        <v>2340</v>
      </c>
      <c r="E436" t="s">
        <v>2739</v>
      </c>
      <c r="F436" s="452">
        <v>46120</v>
      </c>
      <c r="G436" s="452">
        <v>46120</v>
      </c>
      <c r="H436" s="452">
        <v>46149</v>
      </c>
      <c r="I436">
        <v>470.79</v>
      </c>
      <c r="J436">
        <v>470.79</v>
      </c>
      <c r="K436">
        <v>470.79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464</v>
      </c>
    </row>
    <row r="437" spans="1:17" x14ac:dyDescent="0.3">
      <c r="A437">
        <v>225822</v>
      </c>
      <c r="B437">
        <v>116</v>
      </c>
      <c r="C437" t="s">
        <v>568</v>
      </c>
      <c r="D437" t="s">
        <v>2288</v>
      </c>
      <c r="E437" t="s">
        <v>2740</v>
      </c>
      <c r="F437" s="452">
        <v>46118</v>
      </c>
      <c r="G437" s="452">
        <v>46118</v>
      </c>
      <c r="H437" s="452">
        <v>46146</v>
      </c>
      <c r="I437">
        <v>481.01</v>
      </c>
      <c r="J437">
        <v>381.05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481.01</v>
      </c>
      <c r="Q437" t="s">
        <v>464</v>
      </c>
    </row>
    <row r="438" spans="1:17" x14ac:dyDescent="0.3">
      <c r="A438">
        <v>225821</v>
      </c>
      <c r="B438">
        <v>116</v>
      </c>
      <c r="C438" t="s">
        <v>568</v>
      </c>
      <c r="D438" t="s">
        <v>2267</v>
      </c>
      <c r="E438" t="s">
        <v>2741</v>
      </c>
      <c r="F438" s="452">
        <v>46121</v>
      </c>
      <c r="G438" s="452">
        <v>46121</v>
      </c>
      <c r="H438" s="452">
        <v>46149</v>
      </c>
      <c r="I438">
        <v>776.54</v>
      </c>
      <c r="J438">
        <v>776.54</v>
      </c>
      <c r="K438">
        <v>776.54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464</v>
      </c>
    </row>
    <row r="439" spans="1:17" x14ac:dyDescent="0.3">
      <c r="A439">
        <v>225819</v>
      </c>
      <c r="B439">
        <v>116</v>
      </c>
      <c r="C439" t="s">
        <v>568</v>
      </c>
      <c r="D439" t="s">
        <v>2293</v>
      </c>
      <c r="E439" t="s">
        <v>2742</v>
      </c>
      <c r="F439" s="452">
        <v>46143</v>
      </c>
      <c r="G439" s="452">
        <v>46143</v>
      </c>
      <c r="H439" s="452">
        <v>46148</v>
      </c>
      <c r="I439">
        <v>810</v>
      </c>
      <c r="J439">
        <v>810</v>
      </c>
      <c r="K439">
        <v>0</v>
      </c>
      <c r="L439">
        <v>810</v>
      </c>
      <c r="M439">
        <v>0</v>
      </c>
      <c r="N439">
        <v>0</v>
      </c>
      <c r="O439">
        <v>0</v>
      </c>
      <c r="P439">
        <v>0</v>
      </c>
      <c r="Q439" t="s">
        <v>465</v>
      </c>
    </row>
    <row r="440" spans="1:17" x14ac:dyDescent="0.3">
      <c r="A440">
        <v>225818</v>
      </c>
      <c r="B440">
        <v>116</v>
      </c>
      <c r="C440" t="s">
        <v>568</v>
      </c>
      <c r="D440" t="s">
        <v>2262</v>
      </c>
      <c r="E440" t="s">
        <v>2743</v>
      </c>
      <c r="F440" s="452">
        <v>46119</v>
      </c>
      <c r="G440" s="452">
        <v>46119</v>
      </c>
      <c r="H440" s="452">
        <v>46147</v>
      </c>
      <c r="I440">
        <v>2452.33</v>
      </c>
      <c r="J440">
        <v>2452.33</v>
      </c>
      <c r="K440">
        <v>2452.33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464</v>
      </c>
    </row>
    <row r="441" spans="1:17" x14ac:dyDescent="0.3">
      <c r="A441">
        <v>224699</v>
      </c>
      <c r="B441">
        <v>116</v>
      </c>
      <c r="C441" t="s">
        <v>568</v>
      </c>
      <c r="D441" t="s">
        <v>2258</v>
      </c>
      <c r="E441" t="s">
        <v>2744</v>
      </c>
      <c r="F441" s="452">
        <v>46118</v>
      </c>
      <c r="G441" s="452">
        <v>46118</v>
      </c>
      <c r="H441" s="452">
        <v>46132</v>
      </c>
      <c r="I441">
        <v>174</v>
      </c>
      <c r="J441">
        <v>169</v>
      </c>
      <c r="K441">
        <v>174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464</v>
      </c>
    </row>
    <row r="442" spans="1:17" x14ac:dyDescent="0.3">
      <c r="A442">
        <v>224674</v>
      </c>
      <c r="B442">
        <v>116</v>
      </c>
      <c r="C442" t="s">
        <v>568</v>
      </c>
      <c r="D442" t="s">
        <v>2286</v>
      </c>
      <c r="E442" t="s">
        <v>2745</v>
      </c>
      <c r="F442" s="452">
        <v>46119</v>
      </c>
      <c r="G442" s="452">
        <v>46119</v>
      </c>
      <c r="H442" s="452">
        <v>46132</v>
      </c>
      <c r="I442">
        <v>327.85</v>
      </c>
      <c r="J442">
        <v>327.85</v>
      </c>
      <c r="K442">
        <v>327.85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464</v>
      </c>
    </row>
    <row r="443" spans="1:17" x14ac:dyDescent="0.3">
      <c r="A443">
        <v>224673</v>
      </c>
      <c r="B443">
        <v>116</v>
      </c>
      <c r="C443" t="s">
        <v>568</v>
      </c>
      <c r="D443" t="s">
        <v>2286</v>
      </c>
      <c r="E443" t="s">
        <v>2746</v>
      </c>
      <c r="F443" s="452">
        <v>46122</v>
      </c>
      <c r="G443" s="452">
        <v>46122</v>
      </c>
      <c r="H443" s="452">
        <v>46135</v>
      </c>
      <c r="I443">
        <v>271.58</v>
      </c>
      <c r="J443">
        <v>271.58</v>
      </c>
      <c r="K443">
        <v>271.58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464</v>
      </c>
    </row>
    <row r="444" spans="1:17" x14ac:dyDescent="0.3">
      <c r="A444">
        <v>224672</v>
      </c>
      <c r="B444">
        <v>116</v>
      </c>
      <c r="C444" t="s">
        <v>568</v>
      </c>
      <c r="D444" t="s">
        <v>2359</v>
      </c>
      <c r="E444" t="s">
        <v>2747</v>
      </c>
      <c r="F444" s="452">
        <v>46119</v>
      </c>
      <c r="G444" s="452">
        <v>46119</v>
      </c>
      <c r="H444" s="452">
        <v>46133</v>
      </c>
      <c r="I444">
        <v>288.98</v>
      </c>
      <c r="J444">
        <v>288.98</v>
      </c>
      <c r="K444">
        <v>0</v>
      </c>
      <c r="L444">
        <v>288.98</v>
      </c>
      <c r="M444">
        <v>0</v>
      </c>
      <c r="N444">
        <v>0</v>
      </c>
      <c r="O444">
        <v>0</v>
      </c>
      <c r="P444">
        <v>0</v>
      </c>
      <c r="Q444" t="s">
        <v>464</v>
      </c>
    </row>
    <row r="445" spans="1:17" x14ac:dyDescent="0.3">
      <c r="A445">
        <v>224671</v>
      </c>
      <c r="B445">
        <v>116</v>
      </c>
      <c r="C445" t="s">
        <v>568</v>
      </c>
      <c r="D445" t="s">
        <v>2260</v>
      </c>
      <c r="E445" t="s">
        <v>2748</v>
      </c>
      <c r="F445" s="452">
        <v>46119</v>
      </c>
      <c r="G445" s="452">
        <v>46119</v>
      </c>
      <c r="H445" s="452">
        <v>46140</v>
      </c>
      <c r="I445">
        <v>2990.7</v>
      </c>
      <c r="J445">
        <v>2980.5</v>
      </c>
      <c r="K445">
        <v>2990.7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464</v>
      </c>
    </row>
    <row r="446" spans="1:17" x14ac:dyDescent="0.3">
      <c r="A446">
        <v>224670</v>
      </c>
      <c r="B446">
        <v>116</v>
      </c>
      <c r="C446" t="s">
        <v>568</v>
      </c>
      <c r="D446" t="s">
        <v>2342</v>
      </c>
      <c r="E446" t="s">
        <v>2749</v>
      </c>
      <c r="F446" s="452">
        <v>46121</v>
      </c>
      <c r="G446" s="452">
        <v>46121</v>
      </c>
      <c r="H446" s="452">
        <v>46139</v>
      </c>
      <c r="I446">
        <v>240</v>
      </c>
      <c r="J446">
        <v>240</v>
      </c>
      <c r="K446">
        <v>240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464</v>
      </c>
    </row>
    <row r="447" spans="1:17" x14ac:dyDescent="0.3">
      <c r="A447">
        <v>224669</v>
      </c>
      <c r="B447">
        <v>116</v>
      </c>
      <c r="C447" t="s">
        <v>568</v>
      </c>
      <c r="D447" t="s">
        <v>2456</v>
      </c>
      <c r="E447" t="s">
        <v>2750</v>
      </c>
      <c r="F447" s="452">
        <v>46119</v>
      </c>
      <c r="G447" s="452">
        <v>46119</v>
      </c>
      <c r="H447" s="452">
        <v>46135</v>
      </c>
      <c r="I447">
        <v>140.34</v>
      </c>
      <c r="J447">
        <v>140.34</v>
      </c>
      <c r="K447">
        <v>140.34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464</v>
      </c>
    </row>
    <row r="448" spans="1:17" x14ac:dyDescent="0.3">
      <c r="A448">
        <v>224668</v>
      </c>
      <c r="B448">
        <v>116</v>
      </c>
      <c r="C448" t="s">
        <v>568</v>
      </c>
      <c r="D448" t="s">
        <v>2318</v>
      </c>
      <c r="E448" t="s">
        <v>2751</v>
      </c>
      <c r="F448" s="452">
        <v>46120</v>
      </c>
      <c r="G448" s="452">
        <v>46120</v>
      </c>
      <c r="H448" s="452">
        <v>46134</v>
      </c>
      <c r="I448">
        <v>1254.45</v>
      </c>
      <c r="J448">
        <v>1254.45</v>
      </c>
      <c r="K448">
        <v>1254.45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464</v>
      </c>
    </row>
    <row r="449" spans="1:17" x14ac:dyDescent="0.3">
      <c r="A449">
        <v>224666</v>
      </c>
      <c r="B449">
        <v>116</v>
      </c>
      <c r="C449" t="s">
        <v>568</v>
      </c>
      <c r="D449" t="s">
        <v>2323</v>
      </c>
      <c r="E449" t="s">
        <v>2752</v>
      </c>
      <c r="F449" s="452">
        <v>46119</v>
      </c>
      <c r="G449" s="452">
        <v>46119</v>
      </c>
      <c r="H449" s="452">
        <v>46133</v>
      </c>
      <c r="I449">
        <v>274.38</v>
      </c>
      <c r="J449">
        <v>274.38</v>
      </c>
      <c r="K449">
        <v>274.38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464</v>
      </c>
    </row>
    <row r="450" spans="1:17" x14ac:dyDescent="0.3">
      <c r="A450">
        <v>224664</v>
      </c>
      <c r="B450">
        <v>116</v>
      </c>
      <c r="C450" t="s">
        <v>568</v>
      </c>
      <c r="D450" t="s">
        <v>2265</v>
      </c>
      <c r="E450" t="s">
        <v>2753</v>
      </c>
      <c r="F450" s="452">
        <v>46119</v>
      </c>
      <c r="G450" s="452">
        <v>46119</v>
      </c>
      <c r="H450" s="452">
        <v>46133</v>
      </c>
      <c r="I450">
        <v>2731.56</v>
      </c>
      <c r="J450">
        <v>1400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464</v>
      </c>
    </row>
    <row r="451" spans="1:17" x14ac:dyDescent="0.3">
      <c r="A451">
        <v>223574</v>
      </c>
      <c r="B451">
        <v>116</v>
      </c>
      <c r="C451" t="s">
        <v>568</v>
      </c>
      <c r="D451" t="s">
        <v>2273</v>
      </c>
      <c r="E451" t="s">
        <v>2754</v>
      </c>
      <c r="F451" s="452">
        <v>46113</v>
      </c>
      <c r="G451" s="452">
        <v>46113</v>
      </c>
      <c r="H451" s="452">
        <v>46126</v>
      </c>
      <c r="I451">
        <v>26.1</v>
      </c>
      <c r="J451">
        <v>26.1</v>
      </c>
      <c r="K451">
        <v>26.1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464</v>
      </c>
    </row>
    <row r="452" spans="1:17" x14ac:dyDescent="0.3">
      <c r="A452">
        <v>223573</v>
      </c>
      <c r="B452">
        <v>116</v>
      </c>
      <c r="C452" t="s">
        <v>568</v>
      </c>
      <c r="D452" t="s">
        <v>2463</v>
      </c>
      <c r="E452" t="s">
        <v>2755</v>
      </c>
      <c r="F452" s="452">
        <v>46114</v>
      </c>
      <c r="G452" s="452">
        <v>46114</v>
      </c>
      <c r="H452" s="452">
        <v>46127</v>
      </c>
      <c r="I452">
        <v>1196.3</v>
      </c>
      <c r="J452">
        <v>1196.26</v>
      </c>
      <c r="K452">
        <v>1196.3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464</v>
      </c>
    </row>
    <row r="453" spans="1:17" x14ac:dyDescent="0.3">
      <c r="A453">
        <v>223075</v>
      </c>
      <c r="B453">
        <v>116</v>
      </c>
      <c r="C453" t="s">
        <v>568</v>
      </c>
      <c r="D453" t="s">
        <v>2262</v>
      </c>
      <c r="E453" t="s">
        <v>2756</v>
      </c>
      <c r="F453" s="452">
        <v>46113</v>
      </c>
      <c r="G453" s="452">
        <v>46113</v>
      </c>
      <c r="H453" s="452">
        <v>46141</v>
      </c>
      <c r="I453">
        <v>1268.3800000000001</v>
      </c>
      <c r="J453">
        <v>1150.3</v>
      </c>
      <c r="K453">
        <v>1268.3800000000001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464</v>
      </c>
    </row>
    <row r="454" spans="1:17" x14ac:dyDescent="0.3">
      <c r="A454">
        <v>223072</v>
      </c>
      <c r="B454">
        <v>116</v>
      </c>
      <c r="C454" t="s">
        <v>568</v>
      </c>
      <c r="D454" t="s">
        <v>2273</v>
      </c>
      <c r="E454" t="s">
        <v>2757</v>
      </c>
      <c r="F454" s="452">
        <v>46115</v>
      </c>
      <c r="G454" s="452">
        <v>46115</v>
      </c>
      <c r="H454" s="452">
        <v>46143</v>
      </c>
      <c r="I454">
        <v>590.44000000000005</v>
      </c>
      <c r="J454">
        <v>606.76</v>
      </c>
      <c r="K454">
        <v>590.44000000000005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464</v>
      </c>
    </row>
    <row r="455" spans="1:17" x14ac:dyDescent="0.3">
      <c r="A455">
        <v>223068</v>
      </c>
      <c r="B455">
        <v>116</v>
      </c>
      <c r="C455" t="s">
        <v>568</v>
      </c>
      <c r="D455" t="s">
        <v>2286</v>
      </c>
      <c r="E455" t="s">
        <v>2758</v>
      </c>
      <c r="F455" s="452">
        <v>46115</v>
      </c>
      <c r="G455" s="452">
        <v>46115</v>
      </c>
      <c r="H455" s="452">
        <v>46129</v>
      </c>
      <c r="I455">
        <v>197.85</v>
      </c>
      <c r="J455">
        <v>197.85</v>
      </c>
      <c r="K455">
        <v>197.85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464</v>
      </c>
    </row>
    <row r="456" spans="1:17" x14ac:dyDescent="0.3">
      <c r="A456">
        <v>223052</v>
      </c>
      <c r="B456">
        <v>116</v>
      </c>
      <c r="C456" t="s">
        <v>568</v>
      </c>
      <c r="D456" t="s">
        <v>2286</v>
      </c>
      <c r="E456" t="s">
        <v>2759</v>
      </c>
      <c r="F456" s="452">
        <v>46115</v>
      </c>
      <c r="G456" s="452">
        <v>46115</v>
      </c>
      <c r="H456" s="452">
        <v>46129</v>
      </c>
      <c r="I456">
        <v>399.83</v>
      </c>
      <c r="J456">
        <v>399.83</v>
      </c>
      <c r="K456">
        <v>399.83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464</v>
      </c>
    </row>
    <row r="457" spans="1:17" x14ac:dyDescent="0.3">
      <c r="A457">
        <v>223047</v>
      </c>
      <c r="B457">
        <v>116</v>
      </c>
      <c r="C457" t="s">
        <v>568</v>
      </c>
      <c r="D457" t="s">
        <v>2273</v>
      </c>
      <c r="E457" t="s">
        <v>2760</v>
      </c>
      <c r="F457" s="452">
        <v>46112</v>
      </c>
      <c r="G457" s="452">
        <v>46112</v>
      </c>
      <c r="H457" s="452">
        <v>46139</v>
      </c>
      <c r="I457">
        <v>225.18</v>
      </c>
      <c r="J457">
        <v>225.17</v>
      </c>
      <c r="K457">
        <v>225.18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463</v>
      </c>
    </row>
    <row r="458" spans="1:17" x14ac:dyDescent="0.3">
      <c r="A458">
        <v>223030</v>
      </c>
      <c r="B458">
        <v>116</v>
      </c>
      <c r="C458" t="s">
        <v>568</v>
      </c>
      <c r="D458" t="s">
        <v>2265</v>
      </c>
      <c r="E458" t="s">
        <v>2761</v>
      </c>
      <c r="F458" s="452">
        <v>46112</v>
      </c>
      <c r="H458" s="452">
        <v>46126</v>
      </c>
      <c r="I458">
        <v>455.08</v>
      </c>
      <c r="J458">
        <v>455.08</v>
      </c>
      <c r="K458">
        <v>0</v>
      </c>
      <c r="L458">
        <v>0</v>
      </c>
      <c r="M458">
        <v>455.08</v>
      </c>
      <c r="N458">
        <v>0</v>
      </c>
      <c r="O458">
        <v>0</v>
      </c>
      <c r="P458">
        <v>0</v>
      </c>
      <c r="Q458" t="s">
        <v>463</v>
      </c>
    </row>
    <row r="459" spans="1:17" x14ac:dyDescent="0.3">
      <c r="A459">
        <v>223029</v>
      </c>
      <c r="B459">
        <v>116</v>
      </c>
      <c r="C459" t="s">
        <v>568</v>
      </c>
      <c r="D459" t="s">
        <v>2286</v>
      </c>
      <c r="E459" t="s">
        <v>2762</v>
      </c>
      <c r="F459" s="452">
        <v>46112</v>
      </c>
      <c r="G459" s="452">
        <v>46112</v>
      </c>
      <c r="H459" s="452">
        <v>46125</v>
      </c>
      <c r="I459">
        <v>312.55</v>
      </c>
      <c r="J459">
        <v>312.55</v>
      </c>
      <c r="K459">
        <v>312.55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463</v>
      </c>
    </row>
    <row r="460" spans="1:17" x14ac:dyDescent="0.3">
      <c r="A460">
        <v>222985</v>
      </c>
      <c r="B460">
        <v>116</v>
      </c>
      <c r="C460" t="s">
        <v>568</v>
      </c>
      <c r="D460" t="s">
        <v>2277</v>
      </c>
      <c r="E460" t="s">
        <v>2763</v>
      </c>
      <c r="F460" s="452">
        <v>46112</v>
      </c>
      <c r="G460" s="452">
        <v>46112</v>
      </c>
      <c r="H460" s="452">
        <v>46133</v>
      </c>
      <c r="I460">
        <v>394.98</v>
      </c>
      <c r="J460">
        <v>386.08</v>
      </c>
      <c r="K460">
        <v>394.98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463</v>
      </c>
    </row>
    <row r="461" spans="1:17" x14ac:dyDescent="0.3">
      <c r="A461">
        <v>222984</v>
      </c>
      <c r="B461">
        <v>116</v>
      </c>
      <c r="C461" t="s">
        <v>568</v>
      </c>
      <c r="D461" t="s">
        <v>2361</v>
      </c>
      <c r="E461" t="s">
        <v>2764</v>
      </c>
      <c r="F461" s="452">
        <v>46113</v>
      </c>
      <c r="G461" s="452">
        <v>46113</v>
      </c>
      <c r="H461" s="452">
        <v>46127</v>
      </c>
      <c r="I461">
        <v>59.95</v>
      </c>
      <c r="J461">
        <v>34.950000000000003</v>
      </c>
      <c r="K461">
        <v>59.95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464</v>
      </c>
    </row>
    <row r="462" spans="1:17" x14ac:dyDescent="0.3">
      <c r="A462">
        <v>222979</v>
      </c>
      <c r="B462">
        <v>116</v>
      </c>
      <c r="C462" t="s">
        <v>568</v>
      </c>
      <c r="D462" t="s">
        <v>2260</v>
      </c>
      <c r="E462" t="s">
        <v>2765</v>
      </c>
      <c r="F462" s="452">
        <v>46112</v>
      </c>
      <c r="G462" s="452">
        <v>46112</v>
      </c>
      <c r="H462" s="452">
        <v>46133</v>
      </c>
      <c r="I462">
        <v>2633.5</v>
      </c>
      <c r="J462">
        <v>2623.5</v>
      </c>
      <c r="K462">
        <v>2633.5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463</v>
      </c>
    </row>
    <row r="463" spans="1:17" x14ac:dyDescent="0.3">
      <c r="A463">
        <v>221746</v>
      </c>
      <c r="B463">
        <v>116</v>
      </c>
      <c r="C463" t="s">
        <v>568</v>
      </c>
      <c r="D463" t="s">
        <v>2323</v>
      </c>
      <c r="E463" t="s">
        <v>2766</v>
      </c>
      <c r="F463" s="452">
        <v>46112</v>
      </c>
      <c r="G463" s="452">
        <v>46112</v>
      </c>
      <c r="H463" s="452">
        <v>46126</v>
      </c>
      <c r="I463">
        <v>272.95</v>
      </c>
      <c r="J463">
        <v>272.95</v>
      </c>
      <c r="K463">
        <v>272.95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463</v>
      </c>
    </row>
    <row r="464" spans="1:17" x14ac:dyDescent="0.3">
      <c r="A464">
        <v>221745</v>
      </c>
      <c r="B464">
        <v>116</v>
      </c>
      <c r="C464" t="s">
        <v>568</v>
      </c>
      <c r="D464" t="s">
        <v>2267</v>
      </c>
      <c r="E464" t="s">
        <v>2767</v>
      </c>
      <c r="F464" s="452">
        <v>46112</v>
      </c>
      <c r="G464" s="452">
        <v>46112</v>
      </c>
      <c r="H464" s="452">
        <v>46141</v>
      </c>
      <c r="I464">
        <v>677.34</v>
      </c>
      <c r="J464">
        <v>677.34</v>
      </c>
      <c r="K464">
        <v>677.34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463</v>
      </c>
    </row>
    <row r="465" spans="1:17" x14ac:dyDescent="0.3">
      <c r="A465">
        <v>221744</v>
      </c>
      <c r="B465">
        <v>116</v>
      </c>
      <c r="C465" t="s">
        <v>568</v>
      </c>
      <c r="D465" t="s">
        <v>2768</v>
      </c>
      <c r="E465" t="s">
        <v>2769</v>
      </c>
      <c r="F465" s="452">
        <v>46111</v>
      </c>
      <c r="G465" s="452">
        <v>46111</v>
      </c>
      <c r="H465" s="452">
        <v>46139</v>
      </c>
      <c r="I465">
        <v>1037.5</v>
      </c>
      <c r="J465">
        <v>1037.5</v>
      </c>
      <c r="K465">
        <v>1037.5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463</v>
      </c>
    </row>
    <row r="466" spans="1:17" x14ac:dyDescent="0.3">
      <c r="A466">
        <v>221743</v>
      </c>
      <c r="B466">
        <v>116</v>
      </c>
      <c r="C466" t="s">
        <v>568</v>
      </c>
      <c r="D466" t="s">
        <v>2284</v>
      </c>
      <c r="E466" t="s">
        <v>2770</v>
      </c>
      <c r="F466" s="452">
        <v>46111</v>
      </c>
      <c r="G466" s="452">
        <v>46111</v>
      </c>
      <c r="H466" s="452">
        <v>46140</v>
      </c>
      <c r="I466">
        <v>1535.51</v>
      </c>
      <c r="J466">
        <v>1374.84</v>
      </c>
      <c r="K466">
        <v>1535.51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463</v>
      </c>
    </row>
    <row r="467" spans="1:17" x14ac:dyDescent="0.3">
      <c r="A467">
        <v>221742</v>
      </c>
      <c r="B467">
        <v>116</v>
      </c>
      <c r="C467" t="s">
        <v>568</v>
      </c>
      <c r="D467" t="s">
        <v>2280</v>
      </c>
      <c r="E467" t="s">
        <v>2771</v>
      </c>
      <c r="F467" s="452">
        <v>46111</v>
      </c>
      <c r="G467" s="452">
        <v>46111</v>
      </c>
      <c r="H467" s="452">
        <v>46139</v>
      </c>
      <c r="I467">
        <v>134.11000000000001</v>
      </c>
      <c r="J467">
        <v>134.11000000000001</v>
      </c>
      <c r="K467">
        <v>134.11000000000001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463</v>
      </c>
    </row>
    <row r="468" spans="1:17" x14ac:dyDescent="0.3">
      <c r="A468">
        <v>221741</v>
      </c>
      <c r="B468">
        <v>116</v>
      </c>
      <c r="C468" t="s">
        <v>568</v>
      </c>
      <c r="D468" t="s">
        <v>2282</v>
      </c>
      <c r="E468" t="s">
        <v>2772</v>
      </c>
      <c r="F468" s="452">
        <v>46111</v>
      </c>
      <c r="H468" s="452">
        <v>46125</v>
      </c>
      <c r="I468">
        <v>379.5</v>
      </c>
      <c r="J468">
        <v>379.5</v>
      </c>
      <c r="K468">
        <v>0</v>
      </c>
      <c r="L468">
        <v>0</v>
      </c>
      <c r="M468">
        <v>0</v>
      </c>
      <c r="N468">
        <v>379.5</v>
      </c>
      <c r="O468">
        <v>0</v>
      </c>
      <c r="P468">
        <v>0</v>
      </c>
      <c r="Q468" t="s">
        <v>463</v>
      </c>
    </row>
    <row r="469" spans="1:17" x14ac:dyDescent="0.3">
      <c r="A469">
        <v>221740</v>
      </c>
      <c r="B469">
        <v>116</v>
      </c>
      <c r="C469" t="s">
        <v>568</v>
      </c>
      <c r="D469" t="s">
        <v>2308</v>
      </c>
      <c r="E469" t="s">
        <v>2773</v>
      </c>
      <c r="F469" s="452">
        <v>46113</v>
      </c>
      <c r="G469" s="452">
        <v>46113</v>
      </c>
      <c r="H469" s="452">
        <v>46140</v>
      </c>
      <c r="I469">
        <v>2512.21</v>
      </c>
      <c r="J469">
        <v>2512.21</v>
      </c>
      <c r="K469">
        <v>2512.21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464</v>
      </c>
    </row>
    <row r="470" spans="1:17" x14ac:dyDescent="0.3">
      <c r="A470">
        <v>221739</v>
      </c>
      <c r="B470">
        <v>116</v>
      </c>
      <c r="C470" t="s">
        <v>568</v>
      </c>
      <c r="D470" t="s">
        <v>2314</v>
      </c>
      <c r="E470" t="s">
        <v>2774</v>
      </c>
      <c r="F470" s="452">
        <v>46113</v>
      </c>
      <c r="G470" s="452">
        <v>46113</v>
      </c>
      <c r="H470" s="452">
        <v>46146</v>
      </c>
      <c r="I470">
        <v>1036.33</v>
      </c>
      <c r="J470">
        <v>1036.33</v>
      </c>
      <c r="K470">
        <v>0</v>
      </c>
      <c r="L470">
        <v>1036.33</v>
      </c>
      <c r="M470">
        <v>0</v>
      </c>
      <c r="N470">
        <v>0</v>
      </c>
      <c r="O470">
        <v>0</v>
      </c>
      <c r="P470">
        <v>0</v>
      </c>
      <c r="Q470" t="s">
        <v>464</v>
      </c>
    </row>
    <row r="471" spans="1:17" x14ac:dyDescent="0.3">
      <c r="A471">
        <v>221738</v>
      </c>
      <c r="B471">
        <v>116</v>
      </c>
      <c r="C471" t="s">
        <v>568</v>
      </c>
      <c r="D471" t="s">
        <v>2314</v>
      </c>
      <c r="E471" t="s">
        <v>2775</v>
      </c>
      <c r="F471" s="452">
        <v>46113</v>
      </c>
      <c r="G471" s="452">
        <v>46113</v>
      </c>
      <c r="H471" s="452">
        <v>46146</v>
      </c>
      <c r="I471">
        <v>7242</v>
      </c>
      <c r="J471">
        <v>7242</v>
      </c>
      <c r="K471">
        <v>0</v>
      </c>
      <c r="L471">
        <v>7242</v>
      </c>
      <c r="M471">
        <v>0</v>
      </c>
      <c r="N471">
        <v>0</v>
      </c>
      <c r="O471">
        <v>0</v>
      </c>
      <c r="P471">
        <v>0</v>
      </c>
      <c r="Q471" t="s">
        <v>464</v>
      </c>
    </row>
    <row r="472" spans="1:17" x14ac:dyDescent="0.3">
      <c r="A472">
        <v>221737</v>
      </c>
      <c r="B472">
        <v>116</v>
      </c>
      <c r="C472" t="s">
        <v>568</v>
      </c>
      <c r="D472" t="s">
        <v>2776</v>
      </c>
      <c r="E472" t="s">
        <v>2777</v>
      </c>
      <c r="F472" s="452">
        <v>46111</v>
      </c>
      <c r="G472" s="452">
        <v>46111</v>
      </c>
      <c r="H472" s="452">
        <v>46139</v>
      </c>
      <c r="I472">
        <v>563</v>
      </c>
      <c r="J472">
        <v>563</v>
      </c>
      <c r="K472">
        <v>0</v>
      </c>
      <c r="L472">
        <v>563</v>
      </c>
      <c r="M472">
        <v>0</v>
      </c>
      <c r="N472">
        <v>0</v>
      </c>
      <c r="O472">
        <v>0</v>
      </c>
      <c r="P472">
        <v>0</v>
      </c>
      <c r="Q472" t="s">
        <v>463</v>
      </c>
    </row>
    <row r="473" spans="1:17" x14ac:dyDescent="0.3">
      <c r="A473">
        <v>221736</v>
      </c>
      <c r="B473">
        <v>116</v>
      </c>
      <c r="C473" t="s">
        <v>568</v>
      </c>
      <c r="D473" t="s">
        <v>2271</v>
      </c>
      <c r="E473" t="s">
        <v>2778</v>
      </c>
      <c r="F473" s="452">
        <v>46111</v>
      </c>
      <c r="G473" s="452">
        <v>46111</v>
      </c>
      <c r="H473" s="452">
        <v>46140</v>
      </c>
      <c r="I473">
        <v>188.4</v>
      </c>
      <c r="J473">
        <v>188.4</v>
      </c>
      <c r="K473">
        <v>0</v>
      </c>
      <c r="L473">
        <v>188.4</v>
      </c>
      <c r="M473">
        <v>0</v>
      </c>
      <c r="N473">
        <v>0</v>
      </c>
      <c r="O473">
        <v>0</v>
      </c>
      <c r="P473">
        <v>0</v>
      </c>
      <c r="Q473" t="s">
        <v>463</v>
      </c>
    </row>
    <row r="474" spans="1:17" x14ac:dyDescent="0.3">
      <c r="A474">
        <v>221735</v>
      </c>
      <c r="B474">
        <v>116</v>
      </c>
      <c r="C474" t="s">
        <v>568</v>
      </c>
      <c r="D474" t="s">
        <v>2357</v>
      </c>
      <c r="E474" t="s">
        <v>2779</v>
      </c>
      <c r="F474" s="452">
        <v>46111</v>
      </c>
      <c r="G474" s="452">
        <v>46111</v>
      </c>
      <c r="H474" s="452">
        <v>46125</v>
      </c>
      <c r="I474">
        <v>332.7</v>
      </c>
      <c r="J474">
        <v>332.7</v>
      </c>
      <c r="K474">
        <v>332.7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463</v>
      </c>
    </row>
    <row r="475" spans="1:17" x14ac:dyDescent="0.3">
      <c r="A475">
        <v>221081</v>
      </c>
      <c r="B475">
        <v>116</v>
      </c>
      <c r="C475" t="s">
        <v>568</v>
      </c>
      <c r="D475" t="s">
        <v>2314</v>
      </c>
      <c r="E475" t="s">
        <v>2780</v>
      </c>
      <c r="F475" s="452">
        <v>46098</v>
      </c>
      <c r="G475" s="452">
        <v>46098</v>
      </c>
      <c r="H475" s="452">
        <v>46129</v>
      </c>
      <c r="I475">
        <v>3202.8</v>
      </c>
      <c r="J475">
        <v>3478.12</v>
      </c>
      <c r="K475">
        <v>0</v>
      </c>
      <c r="L475">
        <v>3202.8</v>
      </c>
      <c r="M475">
        <v>0</v>
      </c>
      <c r="N475">
        <v>0</v>
      </c>
      <c r="O475">
        <v>0</v>
      </c>
      <c r="P475">
        <v>0</v>
      </c>
      <c r="Q475" t="s">
        <v>463</v>
      </c>
    </row>
    <row r="476" spans="1:17" x14ac:dyDescent="0.3">
      <c r="A476">
        <v>221079</v>
      </c>
      <c r="B476">
        <v>116</v>
      </c>
      <c r="C476" t="s">
        <v>568</v>
      </c>
      <c r="D476" t="s">
        <v>2314</v>
      </c>
      <c r="E476" t="s">
        <v>2781</v>
      </c>
      <c r="F476" s="452">
        <v>46101</v>
      </c>
      <c r="G476" s="452">
        <v>46101</v>
      </c>
      <c r="H476" s="452">
        <v>46132</v>
      </c>
      <c r="I476">
        <v>3318</v>
      </c>
      <c r="J476">
        <v>3346.8</v>
      </c>
      <c r="K476">
        <v>0</v>
      </c>
      <c r="L476">
        <v>3318</v>
      </c>
      <c r="M476">
        <v>0</v>
      </c>
      <c r="N476">
        <v>0</v>
      </c>
      <c r="O476">
        <v>0</v>
      </c>
      <c r="P476">
        <v>0</v>
      </c>
      <c r="Q476" t="s">
        <v>463</v>
      </c>
    </row>
    <row r="477" spans="1:17" x14ac:dyDescent="0.3">
      <c r="A477">
        <v>221077</v>
      </c>
      <c r="B477">
        <v>116</v>
      </c>
      <c r="C477" t="s">
        <v>568</v>
      </c>
      <c r="D477" t="s">
        <v>2314</v>
      </c>
      <c r="E477" t="s">
        <v>2782</v>
      </c>
      <c r="F477" s="452">
        <v>46105</v>
      </c>
      <c r="G477" s="452">
        <v>46105</v>
      </c>
      <c r="H477" s="452">
        <v>46136</v>
      </c>
      <c r="I477">
        <v>4168.3999999999996</v>
      </c>
      <c r="J477">
        <v>4168.3999999999996</v>
      </c>
      <c r="K477">
        <v>0</v>
      </c>
      <c r="L477">
        <v>4168.3999999999996</v>
      </c>
      <c r="M477">
        <v>0</v>
      </c>
      <c r="N477">
        <v>0</v>
      </c>
      <c r="O477">
        <v>0</v>
      </c>
      <c r="P477">
        <v>0</v>
      </c>
      <c r="Q477" t="s">
        <v>463</v>
      </c>
    </row>
    <row r="478" spans="1:17" x14ac:dyDescent="0.3">
      <c r="A478">
        <v>221075</v>
      </c>
      <c r="B478">
        <v>116</v>
      </c>
      <c r="C478" t="s">
        <v>568</v>
      </c>
      <c r="D478" t="s">
        <v>2330</v>
      </c>
      <c r="E478" t="s">
        <v>2783</v>
      </c>
      <c r="F478" s="452">
        <v>46097</v>
      </c>
      <c r="G478" s="452">
        <v>46097</v>
      </c>
      <c r="H478" s="452">
        <v>46125</v>
      </c>
      <c r="I478">
        <v>369</v>
      </c>
      <c r="J478">
        <v>563</v>
      </c>
      <c r="K478">
        <v>0</v>
      </c>
      <c r="L478">
        <v>369</v>
      </c>
      <c r="M478">
        <v>0</v>
      </c>
      <c r="N478">
        <v>0</v>
      </c>
      <c r="O478">
        <v>0</v>
      </c>
      <c r="P478">
        <v>0</v>
      </c>
      <c r="Q478" t="s">
        <v>463</v>
      </c>
    </row>
    <row r="479" spans="1:17" x14ac:dyDescent="0.3">
      <c r="A479">
        <v>221074</v>
      </c>
      <c r="B479">
        <v>116</v>
      </c>
      <c r="C479" t="s">
        <v>568</v>
      </c>
      <c r="D479" t="s">
        <v>2338</v>
      </c>
      <c r="E479" t="s">
        <v>2784</v>
      </c>
      <c r="F479" s="452">
        <v>46099</v>
      </c>
      <c r="G479" s="452">
        <v>46099</v>
      </c>
      <c r="H479" s="452">
        <v>46127</v>
      </c>
      <c r="I479">
        <v>409.44</v>
      </c>
      <c r="J479">
        <v>409.44</v>
      </c>
      <c r="K479">
        <v>409.44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463</v>
      </c>
    </row>
    <row r="480" spans="1:17" x14ac:dyDescent="0.3">
      <c r="A480">
        <v>221073</v>
      </c>
      <c r="B480">
        <v>116</v>
      </c>
      <c r="C480" t="s">
        <v>568</v>
      </c>
      <c r="D480" t="s">
        <v>2338</v>
      </c>
      <c r="E480" t="s">
        <v>2785</v>
      </c>
      <c r="F480" s="452">
        <v>46105</v>
      </c>
      <c r="G480" s="452">
        <v>46105</v>
      </c>
      <c r="H480" s="452">
        <v>46133</v>
      </c>
      <c r="I480">
        <v>410.94</v>
      </c>
      <c r="J480">
        <v>410.94</v>
      </c>
      <c r="K480">
        <v>410.94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463</v>
      </c>
    </row>
    <row r="481" spans="1:17" x14ac:dyDescent="0.3">
      <c r="A481">
        <v>221072</v>
      </c>
      <c r="B481">
        <v>116</v>
      </c>
      <c r="C481" t="s">
        <v>568</v>
      </c>
      <c r="D481" t="s">
        <v>2308</v>
      </c>
      <c r="E481" t="s">
        <v>2786</v>
      </c>
      <c r="F481" s="452">
        <v>46099</v>
      </c>
      <c r="G481" s="452">
        <v>46099</v>
      </c>
      <c r="H481" s="452">
        <v>46127</v>
      </c>
      <c r="I481">
        <v>598.5</v>
      </c>
      <c r="J481">
        <v>598.5</v>
      </c>
      <c r="K481">
        <v>598.5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463</v>
      </c>
    </row>
    <row r="482" spans="1:17" x14ac:dyDescent="0.3">
      <c r="A482">
        <v>221070</v>
      </c>
      <c r="B482">
        <v>116</v>
      </c>
      <c r="C482" t="s">
        <v>568</v>
      </c>
      <c r="D482" t="s">
        <v>2308</v>
      </c>
      <c r="E482" t="s">
        <v>2787</v>
      </c>
      <c r="F482" s="452">
        <v>46105</v>
      </c>
      <c r="G482" s="452">
        <v>46105</v>
      </c>
      <c r="H482" s="452">
        <v>46133</v>
      </c>
      <c r="I482">
        <v>658.8</v>
      </c>
      <c r="J482">
        <v>658.8</v>
      </c>
      <c r="K482">
        <v>658.8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463</v>
      </c>
    </row>
    <row r="483" spans="1:17" x14ac:dyDescent="0.3">
      <c r="A483">
        <v>221069</v>
      </c>
      <c r="B483">
        <v>116</v>
      </c>
      <c r="C483" t="s">
        <v>568</v>
      </c>
      <c r="D483" t="s">
        <v>2308</v>
      </c>
      <c r="E483" t="s">
        <v>2788</v>
      </c>
      <c r="F483" s="452">
        <v>46106</v>
      </c>
      <c r="G483" s="452">
        <v>46106</v>
      </c>
      <c r="H483" s="452">
        <v>46134</v>
      </c>
      <c r="I483">
        <v>2000.8</v>
      </c>
      <c r="J483">
        <v>2000.8</v>
      </c>
      <c r="K483">
        <v>2000.8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463</v>
      </c>
    </row>
    <row r="484" spans="1:17" x14ac:dyDescent="0.3">
      <c r="A484">
        <v>221068</v>
      </c>
      <c r="B484">
        <v>116</v>
      </c>
      <c r="C484" t="s">
        <v>568</v>
      </c>
      <c r="D484" t="s">
        <v>2537</v>
      </c>
      <c r="E484" t="s">
        <v>2789</v>
      </c>
      <c r="F484" s="452">
        <v>46100</v>
      </c>
      <c r="H484" s="452">
        <v>46128</v>
      </c>
      <c r="I484">
        <v>988</v>
      </c>
      <c r="J484">
        <v>988</v>
      </c>
      <c r="K484">
        <v>0</v>
      </c>
      <c r="L484">
        <v>0</v>
      </c>
      <c r="M484">
        <v>988</v>
      </c>
      <c r="N484">
        <v>0</v>
      </c>
      <c r="O484">
        <v>0</v>
      </c>
      <c r="P484">
        <v>0</v>
      </c>
      <c r="Q484" t="s">
        <v>463</v>
      </c>
    </row>
    <row r="485" spans="1:17" x14ac:dyDescent="0.3">
      <c r="A485">
        <v>221067</v>
      </c>
      <c r="B485">
        <v>116</v>
      </c>
      <c r="C485" t="s">
        <v>568</v>
      </c>
      <c r="D485" t="s">
        <v>2280</v>
      </c>
      <c r="E485" t="s">
        <v>2790</v>
      </c>
      <c r="F485" s="452">
        <v>46097</v>
      </c>
      <c r="G485" s="452">
        <v>46097</v>
      </c>
      <c r="H485" s="452">
        <v>46125</v>
      </c>
      <c r="I485">
        <v>93.38</v>
      </c>
      <c r="J485">
        <v>93.38</v>
      </c>
      <c r="K485">
        <v>93.38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463</v>
      </c>
    </row>
    <row r="486" spans="1:17" x14ac:dyDescent="0.3">
      <c r="A486">
        <v>221066</v>
      </c>
      <c r="B486">
        <v>116</v>
      </c>
      <c r="C486" t="s">
        <v>568</v>
      </c>
      <c r="D486" t="s">
        <v>2280</v>
      </c>
      <c r="E486" t="s">
        <v>2791</v>
      </c>
      <c r="F486" s="452">
        <v>46100</v>
      </c>
      <c r="G486" s="452">
        <v>46100</v>
      </c>
      <c r="H486" s="452">
        <v>46128</v>
      </c>
      <c r="I486">
        <v>147.84</v>
      </c>
      <c r="J486">
        <v>147.84</v>
      </c>
      <c r="K486">
        <v>147.84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463</v>
      </c>
    </row>
    <row r="487" spans="1:17" x14ac:dyDescent="0.3">
      <c r="A487">
        <v>221065</v>
      </c>
      <c r="B487">
        <v>116</v>
      </c>
      <c r="C487" t="s">
        <v>568</v>
      </c>
      <c r="D487" t="s">
        <v>2280</v>
      </c>
      <c r="E487" t="s">
        <v>2792</v>
      </c>
      <c r="F487" s="452">
        <v>46104</v>
      </c>
      <c r="G487" s="452">
        <v>46104</v>
      </c>
      <c r="H487" s="452">
        <v>46132</v>
      </c>
      <c r="I487">
        <v>125.24</v>
      </c>
      <c r="J487">
        <v>125.24</v>
      </c>
      <c r="K487">
        <v>125.24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463</v>
      </c>
    </row>
    <row r="488" spans="1:17" x14ac:dyDescent="0.3">
      <c r="A488">
        <v>221064</v>
      </c>
      <c r="B488">
        <v>116</v>
      </c>
      <c r="C488" t="s">
        <v>568</v>
      </c>
      <c r="D488" t="s">
        <v>2277</v>
      </c>
      <c r="E488" t="s">
        <v>2793</v>
      </c>
      <c r="F488" s="452">
        <v>46106</v>
      </c>
      <c r="G488" s="452">
        <v>46106</v>
      </c>
      <c r="H488" s="452">
        <v>46127</v>
      </c>
      <c r="I488">
        <v>505.23</v>
      </c>
      <c r="J488">
        <v>503.23</v>
      </c>
      <c r="K488">
        <v>505.23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463</v>
      </c>
    </row>
    <row r="489" spans="1:17" x14ac:dyDescent="0.3">
      <c r="A489">
        <v>221063</v>
      </c>
      <c r="B489">
        <v>116</v>
      </c>
      <c r="C489" t="s">
        <v>568</v>
      </c>
      <c r="D489" t="s">
        <v>2275</v>
      </c>
      <c r="E489" t="s">
        <v>2794</v>
      </c>
      <c r="F489" s="452">
        <v>46104</v>
      </c>
      <c r="G489" s="452">
        <v>46104</v>
      </c>
      <c r="H489" s="452">
        <v>46140</v>
      </c>
      <c r="I489">
        <v>699</v>
      </c>
      <c r="J489">
        <v>699</v>
      </c>
      <c r="K489">
        <v>0</v>
      </c>
      <c r="L489">
        <v>699</v>
      </c>
      <c r="M489">
        <v>0</v>
      </c>
      <c r="N489">
        <v>0</v>
      </c>
      <c r="O489">
        <v>0</v>
      </c>
      <c r="P489">
        <v>0</v>
      </c>
      <c r="Q489" t="s">
        <v>463</v>
      </c>
    </row>
    <row r="490" spans="1:17" x14ac:dyDescent="0.3">
      <c r="A490">
        <v>221062</v>
      </c>
      <c r="B490">
        <v>116</v>
      </c>
      <c r="C490" t="s">
        <v>568</v>
      </c>
      <c r="D490" t="s">
        <v>2273</v>
      </c>
      <c r="E490" t="s">
        <v>2795</v>
      </c>
      <c r="F490" s="452">
        <v>46097</v>
      </c>
      <c r="G490" s="452">
        <v>46097</v>
      </c>
      <c r="H490" s="452">
        <v>46125</v>
      </c>
      <c r="I490">
        <v>214.21</v>
      </c>
      <c r="J490">
        <v>214.21</v>
      </c>
      <c r="K490">
        <v>214.21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463</v>
      </c>
    </row>
    <row r="491" spans="1:17" x14ac:dyDescent="0.3">
      <c r="A491">
        <v>221060</v>
      </c>
      <c r="B491">
        <v>116</v>
      </c>
      <c r="C491" t="s">
        <v>568</v>
      </c>
      <c r="D491" t="s">
        <v>2273</v>
      </c>
      <c r="E491" t="s">
        <v>2796</v>
      </c>
      <c r="F491" s="452">
        <v>46100</v>
      </c>
      <c r="G491" s="452">
        <v>46100</v>
      </c>
      <c r="H491" s="452">
        <v>46128</v>
      </c>
      <c r="I491">
        <v>392.86</v>
      </c>
      <c r="J491">
        <v>392.86</v>
      </c>
      <c r="K491">
        <v>392.86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463</v>
      </c>
    </row>
    <row r="492" spans="1:17" x14ac:dyDescent="0.3">
      <c r="A492">
        <v>221059</v>
      </c>
      <c r="B492">
        <v>116</v>
      </c>
      <c r="C492" t="s">
        <v>568</v>
      </c>
      <c r="D492" t="s">
        <v>2273</v>
      </c>
      <c r="E492" t="s">
        <v>2797</v>
      </c>
      <c r="F492" s="452">
        <v>46104</v>
      </c>
      <c r="G492" s="452">
        <v>46104</v>
      </c>
      <c r="H492" s="452">
        <v>46132</v>
      </c>
      <c r="I492">
        <v>65.069999999999993</v>
      </c>
      <c r="J492">
        <v>65.069999999999993</v>
      </c>
      <c r="K492">
        <v>65.069999999999993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463</v>
      </c>
    </row>
    <row r="493" spans="1:17" x14ac:dyDescent="0.3">
      <c r="A493">
        <v>221058</v>
      </c>
      <c r="B493">
        <v>116</v>
      </c>
      <c r="C493" t="s">
        <v>568</v>
      </c>
      <c r="D493" t="s">
        <v>2284</v>
      </c>
      <c r="E493" t="s">
        <v>2798</v>
      </c>
      <c r="F493" s="452">
        <v>46097</v>
      </c>
      <c r="G493" s="452">
        <v>46097</v>
      </c>
      <c r="H493" s="452">
        <v>46126</v>
      </c>
      <c r="I493">
        <v>264.76</v>
      </c>
      <c r="J493">
        <v>163.43</v>
      </c>
      <c r="K493">
        <v>264.76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463</v>
      </c>
    </row>
    <row r="494" spans="1:17" x14ac:dyDescent="0.3">
      <c r="A494">
        <v>221057</v>
      </c>
      <c r="B494">
        <v>116</v>
      </c>
      <c r="C494" t="s">
        <v>568</v>
      </c>
      <c r="D494" t="s">
        <v>2284</v>
      </c>
      <c r="E494" t="s">
        <v>2799</v>
      </c>
      <c r="F494" s="452">
        <v>46098</v>
      </c>
      <c r="G494" s="452">
        <v>46098</v>
      </c>
      <c r="H494" s="452">
        <v>46126</v>
      </c>
      <c r="I494">
        <v>317.7</v>
      </c>
      <c r="J494">
        <v>317.7</v>
      </c>
      <c r="K494">
        <v>0</v>
      </c>
      <c r="L494">
        <v>317.7</v>
      </c>
      <c r="M494">
        <v>0</v>
      </c>
      <c r="N494">
        <v>0</v>
      </c>
      <c r="O494">
        <v>0</v>
      </c>
      <c r="P494">
        <v>0</v>
      </c>
      <c r="Q494" t="s">
        <v>463</v>
      </c>
    </row>
    <row r="495" spans="1:17" x14ac:dyDescent="0.3">
      <c r="A495">
        <v>221056</v>
      </c>
      <c r="B495">
        <v>116</v>
      </c>
      <c r="C495" t="s">
        <v>568</v>
      </c>
      <c r="D495" t="s">
        <v>2284</v>
      </c>
      <c r="E495" t="s">
        <v>2800</v>
      </c>
      <c r="F495" s="452">
        <v>46099</v>
      </c>
      <c r="G495" s="452">
        <v>46099</v>
      </c>
      <c r="H495" s="452">
        <v>46129</v>
      </c>
      <c r="I495">
        <v>1394.38</v>
      </c>
      <c r="J495">
        <v>1394.38</v>
      </c>
      <c r="K495">
        <v>1394.38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463</v>
      </c>
    </row>
    <row r="496" spans="1:17" x14ac:dyDescent="0.3">
      <c r="A496">
        <v>221055</v>
      </c>
      <c r="B496">
        <v>116</v>
      </c>
      <c r="C496" t="s">
        <v>568</v>
      </c>
      <c r="D496" t="s">
        <v>2284</v>
      </c>
      <c r="E496" t="s">
        <v>2801</v>
      </c>
      <c r="F496" s="452">
        <v>46105</v>
      </c>
      <c r="G496" s="452">
        <v>46105</v>
      </c>
      <c r="H496" s="452">
        <v>46133</v>
      </c>
      <c r="I496">
        <v>1331.9</v>
      </c>
      <c r="J496">
        <v>1196.19</v>
      </c>
      <c r="K496">
        <v>1331.9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463</v>
      </c>
    </row>
    <row r="497" spans="1:17" x14ac:dyDescent="0.3">
      <c r="A497">
        <v>221053</v>
      </c>
      <c r="B497">
        <v>116</v>
      </c>
      <c r="C497" t="s">
        <v>568</v>
      </c>
      <c r="D497" t="s">
        <v>2288</v>
      </c>
      <c r="E497" t="s">
        <v>2802</v>
      </c>
      <c r="F497" s="452">
        <v>46097</v>
      </c>
      <c r="G497" s="452">
        <v>46097</v>
      </c>
      <c r="H497" s="452">
        <v>46125</v>
      </c>
      <c r="I497">
        <v>609.99</v>
      </c>
      <c r="J497">
        <v>540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609.99</v>
      </c>
      <c r="Q497" t="s">
        <v>463</v>
      </c>
    </row>
    <row r="498" spans="1:17" x14ac:dyDescent="0.3">
      <c r="A498">
        <v>221052</v>
      </c>
      <c r="B498">
        <v>116</v>
      </c>
      <c r="C498" t="s">
        <v>568</v>
      </c>
      <c r="D498" t="s">
        <v>2267</v>
      </c>
      <c r="E498" t="s">
        <v>2803</v>
      </c>
      <c r="F498" s="452">
        <v>46100</v>
      </c>
      <c r="G498" s="452">
        <v>46100</v>
      </c>
      <c r="H498" s="452">
        <v>46130</v>
      </c>
      <c r="I498">
        <v>852.23</v>
      </c>
      <c r="J498">
        <v>852.23</v>
      </c>
      <c r="K498">
        <v>852.23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463</v>
      </c>
    </row>
    <row r="499" spans="1:17" x14ac:dyDescent="0.3">
      <c r="A499">
        <v>221050</v>
      </c>
      <c r="B499">
        <v>116</v>
      </c>
      <c r="C499" t="s">
        <v>568</v>
      </c>
      <c r="D499" t="s">
        <v>2709</v>
      </c>
      <c r="E499" t="s">
        <v>2804</v>
      </c>
      <c r="F499" s="452">
        <v>46105</v>
      </c>
      <c r="H499" s="452">
        <v>46139</v>
      </c>
      <c r="I499">
        <v>74.900000000000006</v>
      </c>
      <c r="J499">
        <v>74.900000000000006</v>
      </c>
      <c r="K499">
        <v>0</v>
      </c>
      <c r="L499">
        <v>0</v>
      </c>
      <c r="M499">
        <v>74.900000000000006</v>
      </c>
      <c r="N499">
        <v>0</v>
      </c>
      <c r="O499">
        <v>0</v>
      </c>
      <c r="P499">
        <v>0</v>
      </c>
      <c r="Q499" t="s">
        <v>463</v>
      </c>
    </row>
    <row r="500" spans="1:17" x14ac:dyDescent="0.3">
      <c r="A500">
        <v>221049</v>
      </c>
      <c r="B500">
        <v>116</v>
      </c>
      <c r="C500" t="s">
        <v>568</v>
      </c>
      <c r="D500" t="s">
        <v>2709</v>
      </c>
      <c r="E500" t="s">
        <v>2805</v>
      </c>
      <c r="F500" s="452">
        <v>46105</v>
      </c>
      <c r="H500" s="452">
        <v>46139</v>
      </c>
      <c r="I500">
        <v>117.64</v>
      </c>
      <c r="J500">
        <v>117.64</v>
      </c>
      <c r="K500">
        <v>0</v>
      </c>
      <c r="L500">
        <v>0</v>
      </c>
      <c r="M500">
        <v>117.64</v>
      </c>
      <c r="N500">
        <v>0</v>
      </c>
      <c r="O500">
        <v>0</v>
      </c>
      <c r="P500">
        <v>0</v>
      </c>
      <c r="Q500" t="s">
        <v>463</v>
      </c>
    </row>
    <row r="501" spans="1:17" x14ac:dyDescent="0.3">
      <c r="A501">
        <v>221047</v>
      </c>
      <c r="B501">
        <v>116</v>
      </c>
      <c r="C501" t="s">
        <v>568</v>
      </c>
      <c r="D501" t="s">
        <v>2709</v>
      </c>
      <c r="E501" t="s">
        <v>2806</v>
      </c>
      <c r="F501" s="452">
        <v>46105</v>
      </c>
      <c r="G501" s="452">
        <v>46105</v>
      </c>
      <c r="H501" s="452">
        <v>46139</v>
      </c>
      <c r="I501">
        <v>444.41</v>
      </c>
      <c r="J501">
        <v>435.28</v>
      </c>
      <c r="K501">
        <v>444.41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463</v>
      </c>
    </row>
    <row r="502" spans="1:17" x14ac:dyDescent="0.3">
      <c r="A502">
        <v>221045</v>
      </c>
      <c r="B502">
        <v>116</v>
      </c>
      <c r="C502" t="s">
        <v>568</v>
      </c>
      <c r="D502" t="s">
        <v>2709</v>
      </c>
      <c r="E502" t="s">
        <v>2807</v>
      </c>
      <c r="F502" s="452">
        <v>46098</v>
      </c>
      <c r="H502" s="452">
        <v>46132</v>
      </c>
      <c r="I502">
        <v>63.64</v>
      </c>
      <c r="J502">
        <v>63.64</v>
      </c>
      <c r="K502">
        <v>0</v>
      </c>
      <c r="L502">
        <v>0</v>
      </c>
      <c r="M502">
        <v>63.64</v>
      </c>
      <c r="N502">
        <v>0</v>
      </c>
      <c r="O502">
        <v>0</v>
      </c>
      <c r="P502">
        <v>0</v>
      </c>
      <c r="Q502" t="s">
        <v>463</v>
      </c>
    </row>
    <row r="503" spans="1:17" x14ac:dyDescent="0.3">
      <c r="A503">
        <v>221044</v>
      </c>
      <c r="B503">
        <v>116</v>
      </c>
      <c r="C503" t="s">
        <v>568</v>
      </c>
      <c r="D503" t="s">
        <v>2262</v>
      </c>
      <c r="E503" t="s">
        <v>2808</v>
      </c>
      <c r="F503" s="452">
        <v>46098</v>
      </c>
      <c r="G503" s="452">
        <v>46098</v>
      </c>
      <c r="H503" s="452">
        <v>46126</v>
      </c>
      <c r="I503">
        <v>2275.7199999999998</v>
      </c>
      <c r="J503">
        <v>2275.7199999999998</v>
      </c>
      <c r="K503">
        <v>2275.7199999999998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463</v>
      </c>
    </row>
    <row r="504" spans="1:17" x14ac:dyDescent="0.3">
      <c r="A504">
        <v>221042</v>
      </c>
      <c r="B504">
        <v>116</v>
      </c>
      <c r="C504" t="s">
        <v>568</v>
      </c>
      <c r="D504" t="s">
        <v>2262</v>
      </c>
      <c r="E504" t="s">
        <v>2809</v>
      </c>
      <c r="F504" s="452">
        <v>46099</v>
      </c>
      <c r="G504" s="452">
        <v>46099</v>
      </c>
      <c r="H504" s="452">
        <v>46127</v>
      </c>
      <c r="I504">
        <v>1166.25</v>
      </c>
      <c r="J504">
        <v>1166.25</v>
      </c>
      <c r="K504">
        <v>1166.25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463</v>
      </c>
    </row>
    <row r="505" spans="1:17" x14ac:dyDescent="0.3">
      <c r="A505">
        <v>221041</v>
      </c>
      <c r="B505">
        <v>116</v>
      </c>
      <c r="C505" t="s">
        <v>568</v>
      </c>
      <c r="D505" t="s">
        <v>2262</v>
      </c>
      <c r="E505" t="s">
        <v>2810</v>
      </c>
      <c r="F505" s="452">
        <v>46105</v>
      </c>
      <c r="G505" s="452">
        <v>46105</v>
      </c>
      <c r="H505" s="452">
        <v>46133</v>
      </c>
      <c r="I505">
        <v>2283.4699999999998</v>
      </c>
      <c r="J505">
        <v>2283.4699999999998</v>
      </c>
      <c r="K505">
        <v>2283.4699999999998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463</v>
      </c>
    </row>
    <row r="506" spans="1:17" x14ac:dyDescent="0.3">
      <c r="A506">
        <v>221030</v>
      </c>
      <c r="B506">
        <v>116</v>
      </c>
      <c r="C506" t="s">
        <v>568</v>
      </c>
      <c r="D506" t="s">
        <v>2277</v>
      </c>
      <c r="E506" t="s">
        <v>2811</v>
      </c>
      <c r="F506" s="452">
        <v>46101</v>
      </c>
      <c r="G506" s="452">
        <v>46101</v>
      </c>
      <c r="H506" s="452">
        <v>46122</v>
      </c>
      <c r="I506">
        <v>851.11</v>
      </c>
      <c r="J506">
        <v>375.52</v>
      </c>
      <c r="K506">
        <v>851.11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463</v>
      </c>
    </row>
    <row r="507" spans="1:17" x14ac:dyDescent="0.3">
      <c r="A507">
        <v>220916</v>
      </c>
      <c r="B507">
        <v>116</v>
      </c>
      <c r="C507" t="s">
        <v>568</v>
      </c>
      <c r="D507" t="s">
        <v>2330</v>
      </c>
      <c r="E507" t="s">
        <v>2812</v>
      </c>
      <c r="F507" s="452">
        <v>46104</v>
      </c>
      <c r="G507" s="452">
        <v>46104</v>
      </c>
      <c r="H507" s="452">
        <v>46132</v>
      </c>
      <c r="I507">
        <v>779.83</v>
      </c>
      <c r="J507">
        <v>369</v>
      </c>
      <c r="K507">
        <v>0</v>
      </c>
      <c r="L507">
        <v>779.83</v>
      </c>
      <c r="M507">
        <v>0</v>
      </c>
      <c r="N507">
        <v>0</v>
      </c>
      <c r="O507">
        <v>0</v>
      </c>
      <c r="P507">
        <v>0</v>
      </c>
      <c r="Q507" t="s">
        <v>463</v>
      </c>
    </row>
    <row r="508" spans="1:17" x14ac:dyDescent="0.3">
      <c r="A508">
        <v>220911</v>
      </c>
      <c r="B508">
        <v>116</v>
      </c>
      <c r="C508" t="s">
        <v>568</v>
      </c>
      <c r="D508" t="s">
        <v>2277</v>
      </c>
      <c r="E508" t="s">
        <v>2813</v>
      </c>
      <c r="F508" s="452">
        <v>46108</v>
      </c>
      <c r="G508" s="452">
        <v>46108</v>
      </c>
      <c r="H508" s="452">
        <v>46129</v>
      </c>
      <c r="I508">
        <v>802.8</v>
      </c>
      <c r="J508">
        <v>849.11</v>
      </c>
      <c r="K508">
        <v>802.8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463</v>
      </c>
    </row>
    <row r="509" spans="1:17" x14ac:dyDescent="0.3">
      <c r="A509">
        <v>220910</v>
      </c>
      <c r="B509">
        <v>116</v>
      </c>
      <c r="C509" t="s">
        <v>568</v>
      </c>
      <c r="D509" t="s">
        <v>2280</v>
      </c>
      <c r="E509" t="s">
        <v>2814</v>
      </c>
      <c r="F509" s="452">
        <v>46107</v>
      </c>
      <c r="G509" s="452">
        <v>46107</v>
      </c>
      <c r="H509" s="452">
        <v>46135</v>
      </c>
      <c r="I509">
        <v>106.25</v>
      </c>
      <c r="J509">
        <v>106.25</v>
      </c>
      <c r="K509">
        <v>106.25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463</v>
      </c>
    </row>
    <row r="510" spans="1:17" x14ac:dyDescent="0.3">
      <c r="A510">
        <v>220909</v>
      </c>
      <c r="B510">
        <v>116</v>
      </c>
      <c r="C510" t="s">
        <v>568</v>
      </c>
      <c r="D510" t="s">
        <v>2273</v>
      </c>
      <c r="E510" t="s">
        <v>2815</v>
      </c>
      <c r="F510" s="452">
        <v>46107</v>
      </c>
      <c r="G510" s="452">
        <v>46107</v>
      </c>
      <c r="H510" s="452">
        <v>46135</v>
      </c>
      <c r="I510">
        <v>404.42</v>
      </c>
      <c r="J510">
        <v>404.42</v>
      </c>
      <c r="K510">
        <v>404.42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463</v>
      </c>
    </row>
    <row r="511" spans="1:17" x14ac:dyDescent="0.3">
      <c r="A511">
        <v>220908</v>
      </c>
      <c r="B511">
        <v>116</v>
      </c>
      <c r="C511" t="s">
        <v>568</v>
      </c>
      <c r="D511" t="s">
        <v>2277</v>
      </c>
      <c r="E511" t="s">
        <v>2816</v>
      </c>
      <c r="F511" s="452">
        <v>46108</v>
      </c>
      <c r="G511" s="452">
        <v>46108</v>
      </c>
      <c r="H511" s="452">
        <v>46129</v>
      </c>
      <c r="I511">
        <v>802.8</v>
      </c>
      <c r="J511">
        <v>800.8</v>
      </c>
      <c r="K511">
        <v>802.8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463</v>
      </c>
    </row>
    <row r="512" spans="1:17" x14ac:dyDescent="0.3">
      <c r="A512">
        <v>220907</v>
      </c>
      <c r="B512">
        <v>116</v>
      </c>
      <c r="C512" t="s">
        <v>568</v>
      </c>
      <c r="D512" t="s">
        <v>2318</v>
      </c>
      <c r="E512" t="s">
        <v>2817</v>
      </c>
      <c r="F512" s="452">
        <v>46108</v>
      </c>
      <c r="G512" s="452">
        <v>46108</v>
      </c>
      <c r="H512" s="452">
        <v>46122</v>
      </c>
      <c r="I512">
        <v>588</v>
      </c>
      <c r="J512">
        <v>588</v>
      </c>
      <c r="K512">
        <v>588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463</v>
      </c>
    </row>
    <row r="513" spans="1:17" x14ac:dyDescent="0.3">
      <c r="A513">
        <v>220906</v>
      </c>
      <c r="B513">
        <v>116</v>
      </c>
      <c r="C513" t="s">
        <v>568</v>
      </c>
      <c r="D513" t="s">
        <v>2314</v>
      </c>
      <c r="E513" t="s">
        <v>2818</v>
      </c>
      <c r="F513" s="452">
        <v>46107</v>
      </c>
      <c r="G513" s="452">
        <v>46107</v>
      </c>
      <c r="H513" s="452">
        <v>46139</v>
      </c>
      <c r="I513">
        <v>4168.3999999999996</v>
      </c>
      <c r="J513">
        <v>4168.3999999999996</v>
      </c>
      <c r="K513">
        <v>0</v>
      </c>
      <c r="L513">
        <v>4168.3999999999996</v>
      </c>
      <c r="M513">
        <v>0</v>
      </c>
      <c r="N513">
        <v>0</v>
      </c>
      <c r="O513">
        <v>0</v>
      </c>
      <c r="P513">
        <v>0</v>
      </c>
      <c r="Q513" t="s">
        <v>463</v>
      </c>
    </row>
    <row r="514" spans="1:17" x14ac:dyDescent="0.3">
      <c r="A514">
        <v>220905</v>
      </c>
      <c r="B514">
        <v>116</v>
      </c>
      <c r="C514" t="s">
        <v>568</v>
      </c>
      <c r="D514" t="s">
        <v>2267</v>
      </c>
      <c r="E514" t="s">
        <v>2819</v>
      </c>
      <c r="F514" s="452">
        <v>46107</v>
      </c>
      <c r="G514" s="452">
        <v>46107</v>
      </c>
      <c r="H514" s="452">
        <v>46135</v>
      </c>
      <c r="I514">
        <v>965.97</v>
      </c>
      <c r="J514">
        <v>965.97</v>
      </c>
      <c r="K514">
        <v>965.97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463</v>
      </c>
    </row>
    <row r="515" spans="1:17" x14ac:dyDescent="0.3">
      <c r="A515">
        <v>220904</v>
      </c>
      <c r="B515">
        <v>116</v>
      </c>
      <c r="C515" t="s">
        <v>568</v>
      </c>
      <c r="D515" t="s">
        <v>2286</v>
      </c>
      <c r="E515" t="s">
        <v>2820</v>
      </c>
      <c r="F515" s="452">
        <v>46082</v>
      </c>
      <c r="G515" s="452">
        <v>46082</v>
      </c>
      <c r="H515" s="452">
        <v>46121</v>
      </c>
      <c r="I515">
        <v>539.70000000000005</v>
      </c>
      <c r="J515">
        <v>539.70000000000005</v>
      </c>
      <c r="K515">
        <v>539.70000000000005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463</v>
      </c>
    </row>
    <row r="516" spans="1:17" x14ac:dyDescent="0.3">
      <c r="A516">
        <v>220903</v>
      </c>
      <c r="B516">
        <v>116</v>
      </c>
      <c r="C516" t="s">
        <v>568</v>
      </c>
      <c r="D516" t="s">
        <v>2258</v>
      </c>
      <c r="E516" t="s">
        <v>2821</v>
      </c>
      <c r="F516" s="452">
        <v>46111</v>
      </c>
      <c r="G516" s="452">
        <v>46111</v>
      </c>
      <c r="H516" s="452">
        <v>46122</v>
      </c>
      <c r="I516">
        <v>178.41</v>
      </c>
      <c r="J516">
        <v>163.41</v>
      </c>
      <c r="K516">
        <v>178.41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463</v>
      </c>
    </row>
    <row r="517" spans="1:17" x14ac:dyDescent="0.3">
      <c r="A517">
        <v>220902</v>
      </c>
      <c r="B517">
        <v>116</v>
      </c>
      <c r="C517" t="s">
        <v>568</v>
      </c>
      <c r="D517" t="s">
        <v>2367</v>
      </c>
      <c r="E517" t="s">
        <v>2822</v>
      </c>
      <c r="F517" s="452">
        <v>46105</v>
      </c>
      <c r="G517" s="452">
        <v>46105</v>
      </c>
      <c r="H517" s="452">
        <v>46119</v>
      </c>
      <c r="I517">
        <v>396.56</v>
      </c>
      <c r="J517">
        <v>396.56</v>
      </c>
      <c r="K517">
        <v>396.56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463</v>
      </c>
    </row>
    <row r="518" spans="1:17" x14ac:dyDescent="0.3">
      <c r="A518">
        <v>220901</v>
      </c>
      <c r="B518">
        <v>116</v>
      </c>
      <c r="C518" t="s">
        <v>568</v>
      </c>
      <c r="D518" t="s">
        <v>2823</v>
      </c>
      <c r="E518" t="s">
        <v>2824</v>
      </c>
      <c r="F518" s="452">
        <v>46113</v>
      </c>
      <c r="H518" s="452">
        <v>46139</v>
      </c>
      <c r="I518">
        <v>1097.32</v>
      </c>
      <c r="J518">
        <v>1023.3</v>
      </c>
      <c r="K518">
        <v>0</v>
      </c>
      <c r="L518">
        <v>0</v>
      </c>
      <c r="M518">
        <v>0</v>
      </c>
      <c r="N518">
        <v>0</v>
      </c>
      <c r="O518">
        <v>1097.32</v>
      </c>
      <c r="P518">
        <v>0</v>
      </c>
      <c r="Q518" t="s">
        <v>464</v>
      </c>
    </row>
    <row r="519" spans="1:17" x14ac:dyDescent="0.3">
      <c r="A519">
        <v>220900</v>
      </c>
      <c r="B519">
        <v>116</v>
      </c>
      <c r="C519" t="s">
        <v>568</v>
      </c>
      <c r="D519" t="s">
        <v>2265</v>
      </c>
      <c r="E519" t="s">
        <v>2825</v>
      </c>
      <c r="F519" s="452">
        <v>46105</v>
      </c>
      <c r="H519" s="452">
        <v>46120</v>
      </c>
      <c r="I519">
        <v>821.52</v>
      </c>
      <c r="J519">
        <v>821.52</v>
      </c>
      <c r="K519">
        <v>0</v>
      </c>
      <c r="L519">
        <v>0</v>
      </c>
      <c r="M519">
        <v>821.52</v>
      </c>
      <c r="N519">
        <v>0</v>
      </c>
      <c r="O519">
        <v>0</v>
      </c>
      <c r="P519">
        <v>0</v>
      </c>
      <c r="Q519" t="s">
        <v>463</v>
      </c>
    </row>
    <row r="520" spans="1:17" x14ac:dyDescent="0.3">
      <c r="A520">
        <v>220899</v>
      </c>
      <c r="B520">
        <v>116</v>
      </c>
      <c r="C520" t="s">
        <v>568</v>
      </c>
      <c r="D520" t="s">
        <v>2385</v>
      </c>
      <c r="E520" t="s">
        <v>2826</v>
      </c>
      <c r="F520" s="452">
        <v>46105</v>
      </c>
      <c r="G520" s="452">
        <v>46105</v>
      </c>
      <c r="H520" s="452">
        <v>46126</v>
      </c>
      <c r="I520">
        <v>648.20000000000005</v>
      </c>
      <c r="J520">
        <v>616.20000000000005</v>
      </c>
      <c r="K520">
        <v>648.20000000000005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463</v>
      </c>
    </row>
    <row r="521" spans="1:17" x14ac:dyDescent="0.3">
      <c r="A521">
        <v>220898</v>
      </c>
      <c r="B521">
        <v>116</v>
      </c>
      <c r="C521" t="s">
        <v>568</v>
      </c>
      <c r="D521" t="s">
        <v>2323</v>
      </c>
      <c r="E521" t="s">
        <v>2827</v>
      </c>
      <c r="F521" s="452">
        <v>46105</v>
      </c>
      <c r="G521" s="452">
        <v>46105</v>
      </c>
      <c r="H521" s="452">
        <v>46119</v>
      </c>
      <c r="I521">
        <v>283.25</v>
      </c>
      <c r="J521">
        <v>283.25</v>
      </c>
      <c r="K521">
        <v>283.25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463</v>
      </c>
    </row>
    <row r="522" spans="1:17" x14ac:dyDescent="0.3">
      <c r="A522">
        <v>220897</v>
      </c>
      <c r="B522">
        <v>116</v>
      </c>
      <c r="C522" t="s">
        <v>568</v>
      </c>
      <c r="D522" t="s">
        <v>2318</v>
      </c>
      <c r="E522" t="s">
        <v>2828</v>
      </c>
      <c r="F522" s="452">
        <v>46104</v>
      </c>
      <c r="G522" s="452">
        <v>46104</v>
      </c>
      <c r="H522" s="452">
        <v>46118</v>
      </c>
      <c r="I522">
        <v>380</v>
      </c>
      <c r="J522">
        <v>380</v>
      </c>
      <c r="K522">
        <v>380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463</v>
      </c>
    </row>
    <row r="523" spans="1:17" x14ac:dyDescent="0.3">
      <c r="A523">
        <v>220896</v>
      </c>
      <c r="B523">
        <v>116</v>
      </c>
      <c r="C523" t="s">
        <v>568</v>
      </c>
      <c r="D523" t="s">
        <v>2361</v>
      </c>
      <c r="E523" t="s">
        <v>2829</v>
      </c>
      <c r="F523" s="452">
        <v>46105</v>
      </c>
      <c r="G523" s="452">
        <v>46105</v>
      </c>
      <c r="H523" s="452">
        <v>46119</v>
      </c>
      <c r="I523">
        <v>183</v>
      </c>
      <c r="J523">
        <v>158</v>
      </c>
      <c r="K523">
        <v>183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463</v>
      </c>
    </row>
    <row r="524" spans="1:17" x14ac:dyDescent="0.3">
      <c r="A524">
        <v>220895</v>
      </c>
      <c r="B524">
        <v>116</v>
      </c>
      <c r="C524" t="s">
        <v>568</v>
      </c>
      <c r="D524" t="s">
        <v>2260</v>
      </c>
      <c r="E524" t="s">
        <v>2830</v>
      </c>
      <c r="F524" s="452">
        <v>46105</v>
      </c>
      <c r="G524" s="452">
        <v>46105</v>
      </c>
      <c r="H524" s="452">
        <v>46119</v>
      </c>
      <c r="I524">
        <v>2986.12</v>
      </c>
      <c r="J524">
        <v>2976.12</v>
      </c>
      <c r="K524">
        <v>2986.12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463</v>
      </c>
    </row>
    <row r="525" spans="1:17" x14ac:dyDescent="0.3">
      <c r="A525">
        <v>220813</v>
      </c>
      <c r="B525">
        <v>116</v>
      </c>
      <c r="C525" t="s">
        <v>568</v>
      </c>
      <c r="D525" t="s">
        <v>2332</v>
      </c>
      <c r="E525" t="s">
        <v>2831</v>
      </c>
      <c r="F525" s="452">
        <v>46098</v>
      </c>
      <c r="G525" s="452">
        <v>46098</v>
      </c>
      <c r="H525" s="452">
        <v>46120</v>
      </c>
      <c r="I525">
        <v>155.58000000000001</v>
      </c>
      <c r="J525">
        <v>155.58000000000001</v>
      </c>
      <c r="K525">
        <v>0</v>
      </c>
      <c r="L525">
        <v>155.58000000000001</v>
      </c>
      <c r="M525">
        <v>0</v>
      </c>
      <c r="N525">
        <v>0</v>
      </c>
      <c r="O525">
        <v>0</v>
      </c>
      <c r="P525">
        <v>0</v>
      </c>
      <c r="Q525" t="s">
        <v>463</v>
      </c>
    </row>
    <row r="526" spans="1:17" x14ac:dyDescent="0.3">
      <c r="A526">
        <v>220812</v>
      </c>
      <c r="B526">
        <v>116</v>
      </c>
      <c r="C526" t="s">
        <v>568</v>
      </c>
      <c r="D526" t="s">
        <v>2286</v>
      </c>
      <c r="E526" t="s">
        <v>2832</v>
      </c>
      <c r="F526" s="452">
        <v>46104</v>
      </c>
      <c r="G526" s="452">
        <v>46104</v>
      </c>
      <c r="H526" s="452">
        <v>46118</v>
      </c>
      <c r="I526">
        <v>329.9</v>
      </c>
      <c r="J526">
        <v>329.9</v>
      </c>
      <c r="K526">
        <v>329.9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463</v>
      </c>
    </row>
    <row r="527" spans="1:17" x14ac:dyDescent="0.3">
      <c r="A527">
        <v>220811</v>
      </c>
      <c r="B527">
        <v>116</v>
      </c>
      <c r="C527" t="s">
        <v>568</v>
      </c>
      <c r="D527" t="s">
        <v>2273</v>
      </c>
      <c r="E527" t="s">
        <v>2833</v>
      </c>
      <c r="F527" s="452">
        <v>46094</v>
      </c>
      <c r="G527" s="452">
        <v>46094</v>
      </c>
      <c r="H527" s="452">
        <v>46122</v>
      </c>
      <c r="I527">
        <v>26.1</v>
      </c>
      <c r="J527">
        <v>26.1</v>
      </c>
      <c r="K527">
        <v>26.1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463</v>
      </c>
    </row>
    <row r="528" spans="1:17" x14ac:dyDescent="0.3">
      <c r="A528">
        <v>220809</v>
      </c>
      <c r="B528">
        <v>116</v>
      </c>
      <c r="C528" t="s">
        <v>568</v>
      </c>
      <c r="D528" t="s">
        <v>2277</v>
      </c>
      <c r="E528" t="s">
        <v>2834</v>
      </c>
      <c r="F528" s="452">
        <v>46100</v>
      </c>
      <c r="G528" s="452">
        <v>46100</v>
      </c>
      <c r="H528" s="452">
        <v>46121</v>
      </c>
      <c r="I528">
        <v>384.42</v>
      </c>
      <c r="J528">
        <v>800.8</v>
      </c>
      <c r="K528">
        <v>384.42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463</v>
      </c>
    </row>
    <row r="529" spans="1:17" x14ac:dyDescent="0.3">
      <c r="A529">
        <v>220807</v>
      </c>
      <c r="B529">
        <v>116</v>
      </c>
      <c r="C529" t="s">
        <v>568</v>
      </c>
      <c r="D529" t="s">
        <v>2282</v>
      </c>
      <c r="E529" t="s">
        <v>2835</v>
      </c>
      <c r="F529" s="452">
        <v>46104</v>
      </c>
      <c r="H529" s="452">
        <v>46118</v>
      </c>
      <c r="I529">
        <v>269.10000000000002</v>
      </c>
      <c r="J529">
        <v>269.10000000000002</v>
      </c>
      <c r="K529">
        <v>0</v>
      </c>
      <c r="L529">
        <v>0</v>
      </c>
      <c r="M529">
        <v>0</v>
      </c>
      <c r="N529">
        <v>269.10000000000002</v>
      </c>
      <c r="O529">
        <v>0</v>
      </c>
      <c r="P529">
        <v>0</v>
      </c>
      <c r="Q529" t="s">
        <v>463</v>
      </c>
    </row>
    <row r="530" spans="1:17" x14ac:dyDescent="0.3">
      <c r="A530">
        <v>219774</v>
      </c>
      <c r="B530">
        <v>116</v>
      </c>
      <c r="C530" t="s">
        <v>568</v>
      </c>
      <c r="D530" t="s">
        <v>2260</v>
      </c>
      <c r="E530" t="s">
        <v>2836</v>
      </c>
      <c r="F530" s="452">
        <v>46098</v>
      </c>
      <c r="G530" s="452">
        <v>46098</v>
      </c>
      <c r="H530" s="452">
        <v>46119</v>
      </c>
      <c r="I530">
        <v>1723.02</v>
      </c>
      <c r="J530">
        <v>1713.02</v>
      </c>
      <c r="K530">
        <v>1723.02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463</v>
      </c>
    </row>
    <row r="531" spans="1:17" x14ac:dyDescent="0.3">
      <c r="A531">
        <v>219773</v>
      </c>
      <c r="B531">
        <v>116</v>
      </c>
      <c r="C531" t="s">
        <v>568</v>
      </c>
      <c r="D531" t="s">
        <v>2357</v>
      </c>
      <c r="E531" t="s">
        <v>2837</v>
      </c>
      <c r="F531" s="452">
        <v>46099</v>
      </c>
      <c r="G531" s="452">
        <v>46099</v>
      </c>
      <c r="H531" s="452">
        <v>46113</v>
      </c>
      <c r="I531">
        <v>350</v>
      </c>
      <c r="J531">
        <v>350</v>
      </c>
      <c r="K531">
        <v>350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463</v>
      </c>
    </row>
    <row r="532" spans="1:17" x14ac:dyDescent="0.3">
      <c r="A532">
        <v>219772</v>
      </c>
      <c r="B532">
        <v>116</v>
      </c>
      <c r="C532" t="s">
        <v>568</v>
      </c>
      <c r="D532" t="s">
        <v>2342</v>
      </c>
      <c r="E532" t="s">
        <v>2838</v>
      </c>
      <c r="F532" s="452">
        <v>46099</v>
      </c>
      <c r="G532" s="452">
        <v>46099</v>
      </c>
      <c r="H532" s="452">
        <v>46118</v>
      </c>
      <c r="I532">
        <v>275</v>
      </c>
      <c r="J532">
        <v>240</v>
      </c>
      <c r="K532">
        <v>275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463</v>
      </c>
    </row>
    <row r="533" spans="1:17" x14ac:dyDescent="0.3">
      <c r="A533">
        <v>219771</v>
      </c>
      <c r="B533">
        <v>116</v>
      </c>
      <c r="C533" t="s">
        <v>568</v>
      </c>
      <c r="D533" t="s">
        <v>2320</v>
      </c>
      <c r="E533" t="s">
        <v>2839</v>
      </c>
      <c r="F533" s="452">
        <v>46099</v>
      </c>
      <c r="G533" s="452">
        <v>46099</v>
      </c>
      <c r="H533" s="452">
        <v>46113</v>
      </c>
      <c r="I533">
        <v>1075.02</v>
      </c>
      <c r="J533">
        <v>1075.02</v>
      </c>
      <c r="K533">
        <v>1075.02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463</v>
      </c>
    </row>
    <row r="534" spans="1:17" x14ac:dyDescent="0.3">
      <c r="A534">
        <v>219770</v>
      </c>
      <c r="B534">
        <v>116</v>
      </c>
      <c r="C534" t="s">
        <v>568</v>
      </c>
      <c r="D534" t="s">
        <v>2323</v>
      </c>
      <c r="E534" t="s">
        <v>2840</v>
      </c>
      <c r="F534" s="452">
        <v>46098</v>
      </c>
      <c r="G534" s="452">
        <v>46098</v>
      </c>
      <c r="H534" s="452">
        <v>46112</v>
      </c>
      <c r="I534">
        <v>988.59</v>
      </c>
      <c r="J534">
        <v>988.59</v>
      </c>
      <c r="K534">
        <v>988.59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463</v>
      </c>
    </row>
    <row r="535" spans="1:17" x14ac:dyDescent="0.3">
      <c r="A535">
        <v>219769</v>
      </c>
      <c r="B535">
        <v>116</v>
      </c>
      <c r="C535" t="s">
        <v>568</v>
      </c>
      <c r="D535" t="s">
        <v>2385</v>
      </c>
      <c r="E535" t="s">
        <v>2841</v>
      </c>
      <c r="F535" s="452">
        <v>46097</v>
      </c>
      <c r="G535" s="452">
        <v>46097</v>
      </c>
      <c r="H535" s="452">
        <v>46118</v>
      </c>
      <c r="I535">
        <v>773</v>
      </c>
      <c r="J535">
        <v>741</v>
      </c>
      <c r="K535">
        <v>773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463</v>
      </c>
    </row>
    <row r="536" spans="1:17" x14ac:dyDescent="0.3">
      <c r="A536">
        <v>219768</v>
      </c>
      <c r="B536">
        <v>116</v>
      </c>
      <c r="C536" t="s">
        <v>568</v>
      </c>
      <c r="D536" t="s">
        <v>2265</v>
      </c>
      <c r="E536" t="s">
        <v>2842</v>
      </c>
      <c r="F536" s="452">
        <v>46098</v>
      </c>
      <c r="H536" s="452">
        <v>46112</v>
      </c>
      <c r="I536">
        <v>507.94</v>
      </c>
      <c r="J536">
        <v>507.94</v>
      </c>
      <c r="K536">
        <v>0</v>
      </c>
      <c r="L536">
        <v>0</v>
      </c>
      <c r="M536">
        <v>458.92</v>
      </c>
      <c r="N536">
        <v>0</v>
      </c>
      <c r="O536">
        <v>21.12</v>
      </c>
      <c r="P536">
        <v>0</v>
      </c>
      <c r="Q536" t="s">
        <v>463</v>
      </c>
    </row>
    <row r="537" spans="1:17" x14ac:dyDescent="0.3">
      <c r="A537">
        <v>219767</v>
      </c>
      <c r="B537">
        <v>116</v>
      </c>
      <c r="C537" t="s">
        <v>568</v>
      </c>
      <c r="D537" t="s">
        <v>2265</v>
      </c>
      <c r="E537" t="s">
        <v>2843</v>
      </c>
      <c r="F537" s="452">
        <v>46098</v>
      </c>
      <c r="H537" s="452">
        <v>46112</v>
      </c>
      <c r="I537">
        <v>48.14</v>
      </c>
      <c r="J537">
        <v>48.14</v>
      </c>
      <c r="K537">
        <v>0</v>
      </c>
      <c r="L537">
        <v>0</v>
      </c>
      <c r="M537">
        <v>0</v>
      </c>
      <c r="N537">
        <v>0</v>
      </c>
      <c r="O537">
        <v>48.14</v>
      </c>
      <c r="P537">
        <v>0</v>
      </c>
      <c r="Q537" t="s">
        <v>463</v>
      </c>
    </row>
    <row r="538" spans="1:17" x14ac:dyDescent="0.3">
      <c r="A538">
        <v>219766</v>
      </c>
      <c r="B538">
        <v>116</v>
      </c>
      <c r="C538" t="s">
        <v>568</v>
      </c>
      <c r="D538" t="s">
        <v>2844</v>
      </c>
      <c r="E538" t="s">
        <v>2845</v>
      </c>
      <c r="F538" s="452">
        <v>46092</v>
      </c>
      <c r="H538" s="452">
        <v>46113</v>
      </c>
      <c r="I538">
        <v>639.98</v>
      </c>
      <c r="J538">
        <v>640</v>
      </c>
      <c r="K538">
        <v>0</v>
      </c>
      <c r="L538">
        <v>0</v>
      </c>
      <c r="M538">
        <v>639.98</v>
      </c>
      <c r="N538">
        <v>0</v>
      </c>
      <c r="O538">
        <v>0</v>
      </c>
      <c r="P538">
        <v>0</v>
      </c>
      <c r="Q538" t="s">
        <v>463</v>
      </c>
    </row>
    <row r="539" spans="1:17" x14ac:dyDescent="0.3">
      <c r="A539">
        <v>219765</v>
      </c>
      <c r="B539">
        <v>116</v>
      </c>
      <c r="C539" t="s">
        <v>568</v>
      </c>
      <c r="D539" t="s">
        <v>2286</v>
      </c>
      <c r="E539" t="s">
        <v>2846</v>
      </c>
      <c r="F539" s="452">
        <v>46097</v>
      </c>
      <c r="G539" s="452">
        <v>46097</v>
      </c>
      <c r="H539" s="452">
        <v>46114</v>
      </c>
      <c r="I539">
        <v>644.04999999999995</v>
      </c>
      <c r="J539">
        <v>644.04999999999995</v>
      </c>
      <c r="K539">
        <v>644.04999999999995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463</v>
      </c>
    </row>
    <row r="540" spans="1:17" x14ac:dyDescent="0.3">
      <c r="A540">
        <v>219764</v>
      </c>
      <c r="B540">
        <v>116</v>
      </c>
      <c r="C540" t="s">
        <v>568</v>
      </c>
      <c r="D540" t="s">
        <v>2258</v>
      </c>
      <c r="E540" t="s">
        <v>2847</v>
      </c>
      <c r="F540" s="452">
        <v>46100</v>
      </c>
      <c r="G540" s="452">
        <v>46100</v>
      </c>
      <c r="H540" s="452">
        <v>46111</v>
      </c>
      <c r="I540">
        <v>185.3</v>
      </c>
      <c r="J540">
        <v>170.3</v>
      </c>
      <c r="K540">
        <v>185.3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463</v>
      </c>
    </row>
    <row r="541" spans="1:17" x14ac:dyDescent="0.3">
      <c r="A541">
        <v>219763</v>
      </c>
      <c r="B541">
        <v>116</v>
      </c>
      <c r="C541" t="s">
        <v>568</v>
      </c>
      <c r="D541" t="s">
        <v>2286</v>
      </c>
      <c r="E541" t="s">
        <v>2848</v>
      </c>
      <c r="F541" s="452">
        <v>46097</v>
      </c>
      <c r="G541" s="452">
        <v>46097</v>
      </c>
      <c r="H541" s="452">
        <v>46111</v>
      </c>
      <c r="I541">
        <v>406.9</v>
      </c>
      <c r="J541">
        <v>406.9</v>
      </c>
      <c r="K541">
        <v>406.9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463</v>
      </c>
    </row>
    <row r="542" spans="1:17" x14ac:dyDescent="0.3">
      <c r="A542">
        <v>219453</v>
      </c>
      <c r="B542">
        <v>116</v>
      </c>
      <c r="C542" t="s">
        <v>568</v>
      </c>
      <c r="D542" t="s">
        <v>2262</v>
      </c>
      <c r="E542" t="s">
        <v>2849</v>
      </c>
      <c r="F542" s="452">
        <v>46087</v>
      </c>
      <c r="G542" s="452">
        <v>46087</v>
      </c>
      <c r="H542" s="452">
        <v>46115</v>
      </c>
      <c r="I542">
        <v>875.71</v>
      </c>
      <c r="J542">
        <v>875.71</v>
      </c>
      <c r="K542">
        <v>875.71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463</v>
      </c>
    </row>
    <row r="543" spans="1:17" x14ac:dyDescent="0.3">
      <c r="A543">
        <v>217966</v>
      </c>
      <c r="B543">
        <v>116</v>
      </c>
      <c r="C543" t="s">
        <v>568</v>
      </c>
      <c r="D543" t="s">
        <v>2709</v>
      </c>
      <c r="E543" t="s">
        <v>2850</v>
      </c>
      <c r="F543" s="452">
        <v>46092</v>
      </c>
      <c r="G543" s="452">
        <v>46092</v>
      </c>
      <c r="H543" s="452">
        <v>46125</v>
      </c>
      <c r="I543">
        <v>202.24</v>
      </c>
      <c r="J543">
        <v>202.24</v>
      </c>
      <c r="K543">
        <v>202.24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463</v>
      </c>
    </row>
    <row r="544" spans="1:17" x14ac:dyDescent="0.3">
      <c r="A544">
        <v>217963</v>
      </c>
      <c r="B544">
        <v>116</v>
      </c>
      <c r="C544" t="s">
        <v>568</v>
      </c>
      <c r="D544" t="s">
        <v>2267</v>
      </c>
      <c r="E544" t="s">
        <v>2851</v>
      </c>
      <c r="F544" s="452">
        <v>46093</v>
      </c>
      <c r="G544" s="452">
        <v>46093</v>
      </c>
      <c r="H544" s="452">
        <v>46124</v>
      </c>
      <c r="I544">
        <v>565.39</v>
      </c>
      <c r="J544">
        <v>565.38</v>
      </c>
      <c r="K544">
        <v>565.39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463</v>
      </c>
    </row>
    <row r="545" spans="1:17" x14ac:dyDescent="0.3">
      <c r="A545">
        <v>217962</v>
      </c>
      <c r="B545">
        <v>116</v>
      </c>
      <c r="C545" t="s">
        <v>568</v>
      </c>
      <c r="D545" t="s">
        <v>2277</v>
      </c>
      <c r="E545" t="s">
        <v>2852</v>
      </c>
      <c r="F545" s="452">
        <v>46078</v>
      </c>
      <c r="G545" s="452">
        <v>46078</v>
      </c>
      <c r="H545" s="452">
        <v>46106</v>
      </c>
      <c r="I545">
        <v>1661.96</v>
      </c>
      <c r="J545">
        <v>1659.96</v>
      </c>
      <c r="K545">
        <v>1661.96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462</v>
      </c>
    </row>
    <row r="546" spans="1:17" x14ac:dyDescent="0.3">
      <c r="A546">
        <v>217961</v>
      </c>
      <c r="B546">
        <v>116</v>
      </c>
      <c r="C546" t="s">
        <v>568</v>
      </c>
      <c r="D546" t="s">
        <v>2314</v>
      </c>
      <c r="E546" t="s">
        <v>2853</v>
      </c>
      <c r="F546" s="452">
        <v>46086</v>
      </c>
      <c r="G546" s="452">
        <v>46086</v>
      </c>
      <c r="H546" s="452">
        <v>46117</v>
      </c>
      <c r="I546">
        <v>2896.8</v>
      </c>
      <c r="J546">
        <v>2896.8</v>
      </c>
      <c r="K546">
        <v>0</v>
      </c>
      <c r="L546">
        <v>2896.8</v>
      </c>
      <c r="M546">
        <v>0</v>
      </c>
      <c r="N546">
        <v>0</v>
      </c>
      <c r="O546">
        <v>0</v>
      </c>
      <c r="P546">
        <v>0</v>
      </c>
      <c r="Q546" t="s">
        <v>463</v>
      </c>
    </row>
    <row r="547" spans="1:17" x14ac:dyDescent="0.3">
      <c r="A547">
        <v>217960</v>
      </c>
      <c r="B547">
        <v>116</v>
      </c>
      <c r="C547" t="s">
        <v>568</v>
      </c>
      <c r="D547" t="s">
        <v>2280</v>
      </c>
      <c r="E547" t="s">
        <v>1783</v>
      </c>
      <c r="F547" s="452">
        <v>46086</v>
      </c>
      <c r="G547" s="452">
        <v>46086</v>
      </c>
      <c r="H547" s="452">
        <v>46114</v>
      </c>
      <c r="I547">
        <v>99.4</v>
      </c>
      <c r="J547">
        <v>99.4</v>
      </c>
      <c r="K547">
        <v>99.4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463</v>
      </c>
    </row>
    <row r="548" spans="1:17" x14ac:dyDescent="0.3">
      <c r="A548">
        <v>217956</v>
      </c>
      <c r="B548">
        <v>116</v>
      </c>
      <c r="C548" t="s">
        <v>568</v>
      </c>
      <c r="D548" t="s">
        <v>2273</v>
      </c>
      <c r="E548" t="s">
        <v>2854</v>
      </c>
      <c r="F548" s="452">
        <v>46086</v>
      </c>
      <c r="G548" s="452">
        <v>46086</v>
      </c>
      <c r="H548" s="452">
        <v>46114</v>
      </c>
      <c r="I548">
        <v>378.33</v>
      </c>
      <c r="J548">
        <v>378.33</v>
      </c>
      <c r="K548">
        <v>378.33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463</v>
      </c>
    </row>
    <row r="549" spans="1:17" x14ac:dyDescent="0.3">
      <c r="A549">
        <v>217948</v>
      </c>
      <c r="B549">
        <v>116</v>
      </c>
      <c r="C549" t="s">
        <v>568</v>
      </c>
      <c r="D549" t="s">
        <v>2265</v>
      </c>
      <c r="E549" t="s">
        <v>2855</v>
      </c>
      <c r="F549" s="452">
        <v>46091</v>
      </c>
      <c r="H549" s="452">
        <v>46106</v>
      </c>
      <c r="I549">
        <v>714.51</v>
      </c>
      <c r="J549">
        <v>714.51</v>
      </c>
      <c r="K549">
        <v>0</v>
      </c>
      <c r="L549">
        <v>0</v>
      </c>
      <c r="M549">
        <v>714.51</v>
      </c>
      <c r="N549">
        <v>0</v>
      </c>
      <c r="O549">
        <v>0</v>
      </c>
      <c r="P549">
        <v>0</v>
      </c>
      <c r="Q549" t="s">
        <v>463</v>
      </c>
    </row>
    <row r="550" spans="1:17" x14ac:dyDescent="0.3">
      <c r="A550">
        <v>217946</v>
      </c>
      <c r="B550">
        <v>116</v>
      </c>
      <c r="C550" t="s">
        <v>568</v>
      </c>
      <c r="D550" t="s">
        <v>2286</v>
      </c>
      <c r="E550" t="s">
        <v>2856</v>
      </c>
      <c r="F550" s="452">
        <v>46090</v>
      </c>
      <c r="G550" s="452">
        <v>46090</v>
      </c>
      <c r="H550" s="452">
        <v>46104</v>
      </c>
      <c r="I550">
        <v>368</v>
      </c>
      <c r="J550">
        <v>368</v>
      </c>
      <c r="K550">
        <v>368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463</v>
      </c>
    </row>
    <row r="551" spans="1:17" x14ac:dyDescent="0.3">
      <c r="A551">
        <v>217945</v>
      </c>
      <c r="B551">
        <v>116</v>
      </c>
      <c r="C551" t="s">
        <v>568</v>
      </c>
      <c r="D551" t="s">
        <v>2286</v>
      </c>
      <c r="E551" t="s">
        <v>2857</v>
      </c>
      <c r="F551" s="452">
        <v>46093</v>
      </c>
      <c r="G551" s="452">
        <v>46093</v>
      </c>
      <c r="H551" s="452">
        <v>46107</v>
      </c>
      <c r="I551">
        <v>537.75</v>
      </c>
      <c r="J551">
        <v>537.75</v>
      </c>
      <c r="K551">
        <v>537.75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463</v>
      </c>
    </row>
    <row r="552" spans="1:17" x14ac:dyDescent="0.3">
      <c r="A552">
        <v>217942</v>
      </c>
      <c r="B552">
        <v>116</v>
      </c>
      <c r="C552" t="s">
        <v>568</v>
      </c>
      <c r="D552" t="s">
        <v>2260</v>
      </c>
      <c r="E552" t="s">
        <v>2858</v>
      </c>
      <c r="F552" s="452">
        <v>46091</v>
      </c>
      <c r="G552" s="452">
        <v>46091</v>
      </c>
      <c r="H552" s="452">
        <v>46112</v>
      </c>
      <c r="I552">
        <v>1744.8</v>
      </c>
      <c r="J552">
        <v>1734.8</v>
      </c>
      <c r="K552">
        <v>1744.8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463</v>
      </c>
    </row>
    <row r="553" spans="1:17" x14ac:dyDescent="0.3">
      <c r="A553">
        <v>217938</v>
      </c>
      <c r="B553">
        <v>116</v>
      </c>
      <c r="C553" t="s">
        <v>568</v>
      </c>
      <c r="D553" t="s">
        <v>2359</v>
      </c>
      <c r="E553" t="s">
        <v>2859</v>
      </c>
      <c r="F553" s="452">
        <v>46091</v>
      </c>
      <c r="G553" s="452">
        <v>46091</v>
      </c>
      <c r="H553" s="452">
        <v>46112</v>
      </c>
      <c r="I553">
        <v>412.62</v>
      </c>
      <c r="J553">
        <v>412.62</v>
      </c>
      <c r="K553">
        <v>0</v>
      </c>
      <c r="L553">
        <v>412.62</v>
      </c>
      <c r="M553">
        <v>0</v>
      </c>
      <c r="N553">
        <v>0</v>
      </c>
      <c r="O553">
        <v>0</v>
      </c>
      <c r="P553">
        <v>0</v>
      </c>
      <c r="Q553" t="s">
        <v>463</v>
      </c>
    </row>
    <row r="554" spans="1:17" x14ac:dyDescent="0.3">
      <c r="A554">
        <v>217936</v>
      </c>
      <c r="B554">
        <v>116</v>
      </c>
      <c r="C554" t="s">
        <v>568</v>
      </c>
      <c r="D554" t="s">
        <v>2860</v>
      </c>
      <c r="E554" t="s">
        <v>2861</v>
      </c>
      <c r="F554" s="452">
        <v>46091</v>
      </c>
      <c r="G554" s="452">
        <v>46091</v>
      </c>
      <c r="H554" s="452">
        <v>46105</v>
      </c>
      <c r="I554">
        <v>499.2</v>
      </c>
      <c r="J554">
        <v>499.2</v>
      </c>
      <c r="K554">
        <v>0</v>
      </c>
      <c r="L554">
        <v>499.2</v>
      </c>
      <c r="M554">
        <v>0</v>
      </c>
      <c r="N554">
        <v>0</v>
      </c>
      <c r="O554">
        <v>0</v>
      </c>
      <c r="P554">
        <v>0</v>
      </c>
      <c r="Q554" t="s">
        <v>463</v>
      </c>
    </row>
    <row r="555" spans="1:17" x14ac:dyDescent="0.3">
      <c r="A555">
        <v>217934</v>
      </c>
      <c r="B555">
        <v>116</v>
      </c>
      <c r="C555" t="s">
        <v>568</v>
      </c>
      <c r="D555" t="s">
        <v>2320</v>
      </c>
      <c r="E555" t="s">
        <v>2862</v>
      </c>
      <c r="F555" s="452">
        <v>46092</v>
      </c>
      <c r="G555" s="452">
        <v>46092</v>
      </c>
      <c r="H555" s="452">
        <v>46106</v>
      </c>
      <c r="I555">
        <v>1024.95</v>
      </c>
      <c r="J555">
        <v>1024.95</v>
      </c>
      <c r="K555">
        <v>1024.95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463</v>
      </c>
    </row>
    <row r="556" spans="1:17" x14ac:dyDescent="0.3">
      <c r="A556">
        <v>217932</v>
      </c>
      <c r="B556">
        <v>116</v>
      </c>
      <c r="C556" t="s">
        <v>568</v>
      </c>
      <c r="D556" t="s">
        <v>2314</v>
      </c>
      <c r="E556" t="s">
        <v>2863</v>
      </c>
      <c r="F556" s="452">
        <v>46093</v>
      </c>
      <c r="G556" s="452">
        <v>46093</v>
      </c>
      <c r="H556" s="452">
        <v>46125</v>
      </c>
      <c r="I556">
        <v>3049.98</v>
      </c>
      <c r="J556">
        <v>3049.98</v>
      </c>
      <c r="K556">
        <v>0</v>
      </c>
      <c r="L556">
        <v>3049.98</v>
      </c>
      <c r="M556">
        <v>0</v>
      </c>
      <c r="N556">
        <v>0</v>
      </c>
      <c r="O556">
        <v>0</v>
      </c>
      <c r="P556">
        <v>0</v>
      </c>
      <c r="Q556" t="s">
        <v>463</v>
      </c>
    </row>
    <row r="557" spans="1:17" x14ac:dyDescent="0.3">
      <c r="A557">
        <v>217928</v>
      </c>
      <c r="B557">
        <v>116</v>
      </c>
      <c r="C557" t="s">
        <v>568</v>
      </c>
      <c r="D557" t="s">
        <v>2314</v>
      </c>
      <c r="E557" t="s">
        <v>2864</v>
      </c>
      <c r="F557" s="452">
        <v>46091</v>
      </c>
      <c r="G557" s="452">
        <v>46091</v>
      </c>
      <c r="H557" s="452">
        <v>46122</v>
      </c>
      <c r="I557">
        <v>3814.81</v>
      </c>
      <c r="J557">
        <v>3984.72</v>
      </c>
      <c r="K557">
        <v>0</v>
      </c>
      <c r="L557">
        <v>3814.81</v>
      </c>
      <c r="M557">
        <v>0</v>
      </c>
      <c r="N557">
        <v>0</v>
      </c>
      <c r="O557">
        <v>0</v>
      </c>
      <c r="P557">
        <v>0</v>
      </c>
      <c r="Q557" t="s">
        <v>463</v>
      </c>
    </row>
    <row r="558" spans="1:17" x14ac:dyDescent="0.3">
      <c r="A558">
        <v>217864</v>
      </c>
      <c r="B558">
        <v>116</v>
      </c>
      <c r="C558" t="s">
        <v>568</v>
      </c>
      <c r="D558" t="s">
        <v>2277</v>
      </c>
      <c r="E558" t="s">
        <v>2865</v>
      </c>
      <c r="F558" s="452">
        <v>46092</v>
      </c>
      <c r="G558" s="452">
        <v>46092</v>
      </c>
      <c r="H558" s="452">
        <v>46120</v>
      </c>
      <c r="I558">
        <v>1066.8699999999999</v>
      </c>
      <c r="J558">
        <v>1064.8699999999999</v>
      </c>
      <c r="K558">
        <v>1066.8699999999999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463</v>
      </c>
    </row>
    <row r="559" spans="1:17" x14ac:dyDescent="0.3">
      <c r="A559">
        <v>217862</v>
      </c>
      <c r="B559">
        <v>116</v>
      </c>
      <c r="C559" t="s">
        <v>568</v>
      </c>
      <c r="D559" t="s">
        <v>2340</v>
      </c>
      <c r="E559" t="s">
        <v>2866</v>
      </c>
      <c r="F559" s="452">
        <v>46092</v>
      </c>
      <c r="G559" s="452">
        <v>46092</v>
      </c>
      <c r="H559" s="452">
        <v>46121</v>
      </c>
      <c r="I559">
        <v>429.54</v>
      </c>
      <c r="J559">
        <v>429.54</v>
      </c>
      <c r="K559">
        <v>429.54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463</v>
      </c>
    </row>
    <row r="560" spans="1:17" x14ac:dyDescent="0.3">
      <c r="A560">
        <v>217861</v>
      </c>
      <c r="B560">
        <v>116</v>
      </c>
      <c r="C560" t="s">
        <v>568</v>
      </c>
      <c r="D560" t="s">
        <v>2284</v>
      </c>
      <c r="E560" t="s">
        <v>2867</v>
      </c>
      <c r="F560" s="452">
        <v>46092</v>
      </c>
      <c r="G560" s="452">
        <v>46092</v>
      </c>
      <c r="H560" s="452">
        <v>46122</v>
      </c>
      <c r="I560">
        <v>1101.1099999999999</v>
      </c>
      <c r="J560">
        <v>1016.11</v>
      </c>
      <c r="K560">
        <v>1075.6400000000001</v>
      </c>
      <c r="L560">
        <v>25.47</v>
      </c>
      <c r="M560">
        <v>0</v>
      </c>
      <c r="N560">
        <v>0</v>
      </c>
      <c r="O560">
        <v>0</v>
      </c>
      <c r="P560">
        <v>0</v>
      </c>
      <c r="Q560" t="s">
        <v>463</v>
      </c>
    </row>
    <row r="561" spans="1:17" x14ac:dyDescent="0.3">
      <c r="A561">
        <v>217859</v>
      </c>
      <c r="B561">
        <v>116</v>
      </c>
      <c r="C561" t="s">
        <v>568</v>
      </c>
      <c r="D561" t="s">
        <v>2308</v>
      </c>
      <c r="E561" t="s">
        <v>2868</v>
      </c>
      <c r="F561" s="452">
        <v>46092</v>
      </c>
      <c r="G561" s="452">
        <v>46092</v>
      </c>
      <c r="H561" s="452">
        <v>46120</v>
      </c>
      <c r="I561">
        <v>798</v>
      </c>
      <c r="J561">
        <v>798</v>
      </c>
      <c r="K561">
        <v>798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463</v>
      </c>
    </row>
    <row r="562" spans="1:17" x14ac:dyDescent="0.3">
      <c r="A562">
        <v>217444</v>
      </c>
      <c r="B562">
        <v>116</v>
      </c>
      <c r="C562" t="s">
        <v>568</v>
      </c>
      <c r="D562" t="s">
        <v>2869</v>
      </c>
      <c r="E562" t="s">
        <v>2870</v>
      </c>
      <c r="F562" s="452">
        <v>46093</v>
      </c>
      <c r="H562" s="452">
        <v>46125</v>
      </c>
      <c r="I562">
        <v>200</v>
      </c>
      <c r="J562">
        <v>200.34</v>
      </c>
      <c r="K562">
        <v>0</v>
      </c>
      <c r="L562">
        <v>0</v>
      </c>
      <c r="M562">
        <v>0</v>
      </c>
      <c r="N562">
        <v>0</v>
      </c>
      <c r="O562">
        <v>200</v>
      </c>
      <c r="P562">
        <v>0</v>
      </c>
      <c r="Q562" t="s">
        <v>463</v>
      </c>
    </row>
    <row r="563" spans="1:17" x14ac:dyDescent="0.3">
      <c r="A563">
        <v>217443</v>
      </c>
      <c r="B563">
        <v>116</v>
      </c>
      <c r="C563" t="s">
        <v>568</v>
      </c>
      <c r="D563" t="s">
        <v>2334</v>
      </c>
      <c r="E563" t="s">
        <v>2871</v>
      </c>
      <c r="F563" s="452">
        <v>46092</v>
      </c>
      <c r="G563" s="452">
        <v>46092</v>
      </c>
      <c r="H563" s="452">
        <v>46122</v>
      </c>
      <c r="I563">
        <v>161.1</v>
      </c>
      <c r="J563">
        <v>161.1</v>
      </c>
      <c r="K563">
        <v>161.1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463</v>
      </c>
    </row>
    <row r="564" spans="1:17" x14ac:dyDescent="0.3">
      <c r="A564">
        <v>217442</v>
      </c>
      <c r="B564">
        <v>116</v>
      </c>
      <c r="C564" t="s">
        <v>568</v>
      </c>
      <c r="D564" t="s">
        <v>2284</v>
      </c>
      <c r="E564" t="s">
        <v>2872</v>
      </c>
      <c r="F564" s="452">
        <v>46091</v>
      </c>
      <c r="G564" s="452">
        <v>46091</v>
      </c>
      <c r="H564" s="452">
        <v>46119</v>
      </c>
      <c r="I564">
        <v>159.80000000000001</v>
      </c>
      <c r="J564">
        <v>159.80000000000001</v>
      </c>
      <c r="K564">
        <v>0</v>
      </c>
      <c r="L564">
        <v>159.80000000000001</v>
      </c>
      <c r="M564">
        <v>0</v>
      </c>
      <c r="N564">
        <v>0</v>
      </c>
      <c r="O564">
        <v>0</v>
      </c>
      <c r="P564">
        <v>0</v>
      </c>
      <c r="Q564" t="s">
        <v>463</v>
      </c>
    </row>
    <row r="565" spans="1:17" x14ac:dyDescent="0.3">
      <c r="A565">
        <v>217440</v>
      </c>
      <c r="B565">
        <v>116</v>
      </c>
      <c r="C565" t="s">
        <v>568</v>
      </c>
      <c r="D565" t="s">
        <v>2709</v>
      </c>
      <c r="E565" t="s">
        <v>2873</v>
      </c>
      <c r="F565" s="452">
        <v>46090</v>
      </c>
      <c r="H565" s="452">
        <v>46125</v>
      </c>
      <c r="I565">
        <v>37.82</v>
      </c>
      <c r="J565">
        <v>37.82</v>
      </c>
      <c r="K565">
        <v>0</v>
      </c>
      <c r="L565">
        <v>0</v>
      </c>
      <c r="M565">
        <v>37.82</v>
      </c>
      <c r="N565">
        <v>0</v>
      </c>
      <c r="O565">
        <v>0</v>
      </c>
      <c r="P565">
        <v>0</v>
      </c>
      <c r="Q565" t="s">
        <v>463</v>
      </c>
    </row>
    <row r="566" spans="1:17" x14ac:dyDescent="0.3">
      <c r="A566">
        <v>217439</v>
      </c>
      <c r="B566">
        <v>116</v>
      </c>
      <c r="C566" t="s">
        <v>568</v>
      </c>
      <c r="D566" t="s">
        <v>2277</v>
      </c>
      <c r="E566" t="s">
        <v>2874</v>
      </c>
      <c r="F566" s="452">
        <v>46092</v>
      </c>
      <c r="G566" s="452">
        <v>46092</v>
      </c>
      <c r="H566" s="452">
        <v>46113</v>
      </c>
      <c r="I566">
        <v>113.15</v>
      </c>
      <c r="J566">
        <v>104.25</v>
      </c>
      <c r="K566">
        <v>113.15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463</v>
      </c>
    </row>
    <row r="567" spans="1:17" x14ac:dyDescent="0.3">
      <c r="A567">
        <v>217437</v>
      </c>
      <c r="B567">
        <v>116</v>
      </c>
      <c r="C567" t="s">
        <v>568</v>
      </c>
      <c r="D567" t="s">
        <v>2262</v>
      </c>
      <c r="E567" t="s">
        <v>2875</v>
      </c>
      <c r="F567" s="452">
        <v>46091</v>
      </c>
      <c r="G567" s="452">
        <v>46091</v>
      </c>
      <c r="H567" s="452">
        <v>46119</v>
      </c>
      <c r="I567">
        <v>3813.39</v>
      </c>
      <c r="J567">
        <v>3813.39</v>
      </c>
      <c r="K567">
        <v>3813.39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463</v>
      </c>
    </row>
    <row r="568" spans="1:17" x14ac:dyDescent="0.3">
      <c r="A568">
        <v>217434</v>
      </c>
      <c r="B568">
        <v>116</v>
      </c>
      <c r="C568" t="s">
        <v>568</v>
      </c>
      <c r="D568" t="s">
        <v>2273</v>
      </c>
      <c r="E568" t="s">
        <v>2876</v>
      </c>
      <c r="F568" s="452">
        <v>46090</v>
      </c>
      <c r="G568" s="452">
        <v>46090</v>
      </c>
      <c r="H568" s="452">
        <v>46118</v>
      </c>
      <c r="I568">
        <v>113.35</v>
      </c>
      <c r="J568">
        <v>113.34</v>
      </c>
      <c r="K568">
        <v>113.35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463</v>
      </c>
    </row>
    <row r="569" spans="1:17" x14ac:dyDescent="0.3">
      <c r="A569">
        <v>217433</v>
      </c>
      <c r="B569">
        <v>116</v>
      </c>
      <c r="C569" t="s">
        <v>568</v>
      </c>
      <c r="D569" t="s">
        <v>2280</v>
      </c>
      <c r="E569" t="s">
        <v>2877</v>
      </c>
      <c r="F569" s="452">
        <v>46091</v>
      </c>
      <c r="G569" s="452">
        <v>46091</v>
      </c>
      <c r="H569" s="452">
        <v>46118</v>
      </c>
      <c r="I569">
        <v>222.34</v>
      </c>
      <c r="J569">
        <v>222.34</v>
      </c>
      <c r="K569">
        <v>222.34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463</v>
      </c>
    </row>
    <row r="570" spans="1:17" x14ac:dyDescent="0.3">
      <c r="A570">
        <v>217431</v>
      </c>
      <c r="B570">
        <v>116</v>
      </c>
      <c r="C570" t="s">
        <v>568</v>
      </c>
      <c r="D570" t="s">
        <v>2280</v>
      </c>
      <c r="E570" t="s">
        <v>2878</v>
      </c>
      <c r="F570" s="452">
        <v>46093</v>
      </c>
      <c r="G570" s="452">
        <v>46093</v>
      </c>
      <c r="H570" s="452">
        <v>46121</v>
      </c>
      <c r="I570">
        <v>183.44</v>
      </c>
      <c r="J570">
        <v>183.44</v>
      </c>
      <c r="K570">
        <v>183.44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463</v>
      </c>
    </row>
    <row r="571" spans="1:17" x14ac:dyDescent="0.3">
      <c r="A571">
        <v>217430</v>
      </c>
      <c r="B571">
        <v>116</v>
      </c>
      <c r="C571" t="s">
        <v>568</v>
      </c>
      <c r="D571" t="s">
        <v>2273</v>
      </c>
      <c r="E571" t="s">
        <v>2879</v>
      </c>
      <c r="F571" s="452">
        <v>46093</v>
      </c>
      <c r="G571" s="452">
        <v>46093</v>
      </c>
      <c r="H571" s="452">
        <v>46121</v>
      </c>
      <c r="I571">
        <v>393.69</v>
      </c>
      <c r="J571">
        <v>442.12</v>
      </c>
      <c r="K571">
        <v>393.69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463</v>
      </c>
    </row>
    <row r="572" spans="1:17" x14ac:dyDescent="0.3">
      <c r="A572">
        <v>217427</v>
      </c>
      <c r="B572">
        <v>116</v>
      </c>
      <c r="C572" t="s">
        <v>568</v>
      </c>
      <c r="D572" t="s">
        <v>2293</v>
      </c>
      <c r="E572" t="s">
        <v>2880</v>
      </c>
      <c r="F572" s="452">
        <v>46090</v>
      </c>
      <c r="G572" s="452">
        <v>46090</v>
      </c>
      <c r="H572" s="452">
        <v>46120</v>
      </c>
      <c r="I572">
        <v>540</v>
      </c>
      <c r="J572">
        <v>540</v>
      </c>
      <c r="K572">
        <v>0</v>
      </c>
      <c r="L572">
        <v>540</v>
      </c>
      <c r="M572">
        <v>0</v>
      </c>
      <c r="N572">
        <v>0</v>
      </c>
      <c r="O572">
        <v>0</v>
      </c>
      <c r="P572">
        <v>0</v>
      </c>
      <c r="Q572" t="s">
        <v>463</v>
      </c>
    </row>
    <row r="573" spans="1:17" x14ac:dyDescent="0.3">
      <c r="A573">
        <v>217424</v>
      </c>
      <c r="B573">
        <v>116</v>
      </c>
      <c r="C573" t="s">
        <v>568</v>
      </c>
      <c r="D573" t="s">
        <v>2258</v>
      </c>
      <c r="E573" t="s">
        <v>2881</v>
      </c>
      <c r="F573" s="452">
        <v>46094</v>
      </c>
      <c r="G573" s="452">
        <v>46094</v>
      </c>
      <c r="H573" s="452">
        <v>46104</v>
      </c>
      <c r="I573">
        <v>174.5</v>
      </c>
      <c r="J573">
        <v>158.6</v>
      </c>
      <c r="K573">
        <v>174.5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463</v>
      </c>
    </row>
    <row r="574" spans="1:17" x14ac:dyDescent="0.3">
      <c r="A574">
        <v>216049</v>
      </c>
      <c r="B574">
        <v>116</v>
      </c>
      <c r="C574" t="s">
        <v>568</v>
      </c>
      <c r="D574" t="s">
        <v>2683</v>
      </c>
      <c r="E574" t="s">
        <v>2882</v>
      </c>
      <c r="F574" s="452">
        <v>46091</v>
      </c>
      <c r="G574" s="452">
        <v>46091</v>
      </c>
      <c r="H574" s="452">
        <v>46098</v>
      </c>
      <c r="I574">
        <v>177.44</v>
      </c>
      <c r="J574">
        <v>177.44</v>
      </c>
      <c r="K574">
        <v>177.44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463</v>
      </c>
    </row>
    <row r="575" spans="1:17" x14ac:dyDescent="0.3">
      <c r="A575">
        <v>216048</v>
      </c>
      <c r="B575">
        <v>116</v>
      </c>
      <c r="C575" t="s">
        <v>568</v>
      </c>
      <c r="D575" t="s">
        <v>2367</v>
      </c>
      <c r="E575" t="s">
        <v>2883</v>
      </c>
      <c r="F575" s="452">
        <v>46085</v>
      </c>
      <c r="G575" s="452">
        <v>46085</v>
      </c>
      <c r="H575" s="452">
        <v>46099</v>
      </c>
      <c r="I575">
        <v>341.06</v>
      </c>
      <c r="J575">
        <v>341.05</v>
      </c>
      <c r="K575">
        <v>341.06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463</v>
      </c>
    </row>
    <row r="576" spans="1:17" x14ac:dyDescent="0.3">
      <c r="A576">
        <v>216047</v>
      </c>
      <c r="B576">
        <v>116</v>
      </c>
      <c r="C576" t="s">
        <v>568</v>
      </c>
      <c r="D576" t="s">
        <v>2318</v>
      </c>
      <c r="E576" t="s">
        <v>2884</v>
      </c>
      <c r="F576" s="452">
        <v>46090</v>
      </c>
      <c r="G576" s="452">
        <v>46090</v>
      </c>
      <c r="H576" s="452">
        <v>46104</v>
      </c>
      <c r="I576">
        <v>1119.8599999999999</v>
      </c>
      <c r="J576">
        <v>1119.8599999999999</v>
      </c>
      <c r="K576">
        <v>1119.8599999999999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463</v>
      </c>
    </row>
    <row r="577" spans="1:17" x14ac:dyDescent="0.3">
      <c r="A577">
        <v>216046</v>
      </c>
      <c r="B577">
        <v>116</v>
      </c>
      <c r="C577" t="s">
        <v>568</v>
      </c>
      <c r="D577" t="s">
        <v>2258</v>
      </c>
      <c r="E577" t="s">
        <v>2885</v>
      </c>
      <c r="F577" s="452">
        <v>46090</v>
      </c>
      <c r="G577" s="452">
        <v>46090</v>
      </c>
      <c r="H577" s="452">
        <v>46100</v>
      </c>
      <c r="I577">
        <v>168.65</v>
      </c>
      <c r="J577">
        <v>156.65</v>
      </c>
      <c r="K577">
        <v>168.65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463</v>
      </c>
    </row>
    <row r="578" spans="1:17" x14ac:dyDescent="0.3">
      <c r="A578">
        <v>216045</v>
      </c>
      <c r="B578">
        <v>116</v>
      </c>
      <c r="C578" t="s">
        <v>568</v>
      </c>
      <c r="D578" t="s">
        <v>2463</v>
      </c>
      <c r="E578" t="s">
        <v>2886</v>
      </c>
      <c r="F578" s="452">
        <v>46084</v>
      </c>
      <c r="G578" s="452">
        <v>46084</v>
      </c>
      <c r="H578" s="452">
        <v>46099</v>
      </c>
      <c r="I578">
        <v>1176.18</v>
      </c>
      <c r="J578">
        <v>1162.5</v>
      </c>
      <c r="K578">
        <v>1176.18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463</v>
      </c>
    </row>
    <row r="579" spans="1:17" x14ac:dyDescent="0.3">
      <c r="A579">
        <v>215784</v>
      </c>
      <c r="B579">
        <v>116</v>
      </c>
      <c r="C579" t="s">
        <v>568</v>
      </c>
      <c r="D579" t="s">
        <v>2286</v>
      </c>
      <c r="E579" t="s">
        <v>2887</v>
      </c>
      <c r="F579" s="452">
        <v>46086</v>
      </c>
      <c r="G579" s="452">
        <v>46086</v>
      </c>
      <c r="H579" s="452">
        <v>46100</v>
      </c>
      <c r="I579">
        <v>564.17999999999995</v>
      </c>
      <c r="J579">
        <v>564.17999999999995</v>
      </c>
      <c r="K579">
        <v>564.17999999999995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463</v>
      </c>
    </row>
    <row r="580" spans="1:17" x14ac:dyDescent="0.3">
      <c r="A580">
        <v>215604</v>
      </c>
      <c r="B580">
        <v>116</v>
      </c>
      <c r="C580" t="s">
        <v>568</v>
      </c>
      <c r="D580" t="s">
        <v>2888</v>
      </c>
      <c r="E580" t="s">
        <v>2889</v>
      </c>
      <c r="F580" s="452">
        <v>46083</v>
      </c>
      <c r="H580" s="452">
        <v>46113</v>
      </c>
      <c r="I580">
        <v>524.62</v>
      </c>
      <c r="J580">
        <v>524.62</v>
      </c>
      <c r="K580">
        <v>0</v>
      </c>
      <c r="L580">
        <v>0</v>
      </c>
      <c r="M580">
        <v>0</v>
      </c>
      <c r="N580">
        <v>0</v>
      </c>
      <c r="O580">
        <v>524.62</v>
      </c>
      <c r="P580">
        <v>0</v>
      </c>
      <c r="Q580" t="s">
        <v>463</v>
      </c>
    </row>
    <row r="581" spans="1:17" x14ac:dyDescent="0.3">
      <c r="A581">
        <v>215602</v>
      </c>
      <c r="B581">
        <v>116</v>
      </c>
      <c r="C581" t="s">
        <v>568</v>
      </c>
      <c r="D581" t="s">
        <v>2314</v>
      </c>
      <c r="E581" t="s">
        <v>2890</v>
      </c>
      <c r="F581" s="452">
        <v>46077</v>
      </c>
      <c r="G581" s="452">
        <v>46077</v>
      </c>
      <c r="H581" s="452">
        <v>46108</v>
      </c>
      <c r="I581">
        <v>2896.8</v>
      </c>
      <c r="J581">
        <v>2983.2</v>
      </c>
      <c r="K581">
        <v>0</v>
      </c>
      <c r="L581">
        <v>2896.8</v>
      </c>
      <c r="M581">
        <v>0</v>
      </c>
      <c r="N581">
        <v>0</v>
      </c>
      <c r="O581">
        <v>0</v>
      </c>
      <c r="P581">
        <v>0</v>
      </c>
      <c r="Q581" t="s">
        <v>462</v>
      </c>
    </row>
    <row r="582" spans="1:17" x14ac:dyDescent="0.3">
      <c r="A582">
        <v>215599</v>
      </c>
      <c r="B582">
        <v>116</v>
      </c>
      <c r="C582" t="s">
        <v>568</v>
      </c>
      <c r="D582" t="s">
        <v>2314</v>
      </c>
      <c r="E582" t="s">
        <v>2891</v>
      </c>
      <c r="F582" s="452">
        <v>46079</v>
      </c>
      <c r="G582" s="452">
        <v>46079</v>
      </c>
      <c r="H582" s="452">
        <v>46111</v>
      </c>
      <c r="I582">
        <v>3862.4</v>
      </c>
      <c r="J582">
        <v>3862.4</v>
      </c>
      <c r="K582">
        <v>0</v>
      </c>
      <c r="L582">
        <v>3862.4</v>
      </c>
      <c r="M582">
        <v>0</v>
      </c>
      <c r="N582">
        <v>0</v>
      </c>
      <c r="O582">
        <v>0</v>
      </c>
      <c r="P582">
        <v>0</v>
      </c>
      <c r="Q582" t="s">
        <v>462</v>
      </c>
    </row>
    <row r="583" spans="1:17" x14ac:dyDescent="0.3">
      <c r="A583">
        <v>215591</v>
      </c>
      <c r="B583">
        <v>116</v>
      </c>
      <c r="C583" t="s">
        <v>568</v>
      </c>
      <c r="D583" t="s">
        <v>2314</v>
      </c>
      <c r="E583" t="s">
        <v>2892</v>
      </c>
      <c r="F583" s="452">
        <v>46084</v>
      </c>
      <c r="G583" s="452">
        <v>46084</v>
      </c>
      <c r="H583" s="452">
        <v>46118</v>
      </c>
      <c r="I583">
        <v>3942.46</v>
      </c>
      <c r="J583">
        <v>3942.45</v>
      </c>
      <c r="K583">
        <v>0</v>
      </c>
      <c r="L583">
        <v>3942.46</v>
      </c>
      <c r="M583">
        <v>0</v>
      </c>
      <c r="N583">
        <v>0</v>
      </c>
      <c r="O583">
        <v>0</v>
      </c>
      <c r="P583">
        <v>0</v>
      </c>
      <c r="Q583" t="s">
        <v>463</v>
      </c>
    </row>
    <row r="584" spans="1:17" x14ac:dyDescent="0.3">
      <c r="A584">
        <v>215587</v>
      </c>
      <c r="B584">
        <v>116</v>
      </c>
      <c r="C584" t="s">
        <v>568</v>
      </c>
      <c r="D584" t="s">
        <v>2776</v>
      </c>
      <c r="E584" t="s">
        <v>2893</v>
      </c>
      <c r="F584" s="452">
        <v>46076</v>
      </c>
      <c r="G584" s="452">
        <v>46076</v>
      </c>
      <c r="H584" s="452">
        <v>46104</v>
      </c>
      <c r="I584">
        <v>252</v>
      </c>
      <c r="J584">
        <v>252</v>
      </c>
      <c r="K584">
        <v>0</v>
      </c>
      <c r="L584">
        <v>252</v>
      </c>
      <c r="M584">
        <v>0</v>
      </c>
      <c r="N584">
        <v>0</v>
      </c>
      <c r="O584">
        <v>0</v>
      </c>
      <c r="P584">
        <v>0</v>
      </c>
      <c r="Q584" t="s">
        <v>462</v>
      </c>
    </row>
    <row r="585" spans="1:17" x14ac:dyDescent="0.3">
      <c r="A585">
        <v>215584</v>
      </c>
      <c r="B585">
        <v>116</v>
      </c>
      <c r="C585" t="s">
        <v>568</v>
      </c>
      <c r="D585" t="s">
        <v>2338</v>
      </c>
      <c r="E585" t="s">
        <v>2894</v>
      </c>
      <c r="F585" s="452">
        <v>46077</v>
      </c>
      <c r="G585" s="452">
        <v>46077</v>
      </c>
      <c r="H585" s="452">
        <v>46105</v>
      </c>
      <c r="I585">
        <v>495.96</v>
      </c>
      <c r="J585">
        <v>495.96</v>
      </c>
      <c r="K585">
        <v>495.96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462</v>
      </c>
    </row>
    <row r="586" spans="1:17" x14ac:dyDescent="0.3">
      <c r="A586">
        <v>215583</v>
      </c>
      <c r="B586">
        <v>116</v>
      </c>
      <c r="C586" t="s">
        <v>568</v>
      </c>
      <c r="D586" t="s">
        <v>2338</v>
      </c>
      <c r="E586" t="s">
        <v>2895</v>
      </c>
      <c r="F586" s="452">
        <v>46084</v>
      </c>
      <c r="G586" s="452">
        <v>46084</v>
      </c>
      <c r="H586" s="452">
        <v>46112</v>
      </c>
      <c r="I586">
        <v>455.52</v>
      </c>
      <c r="J586">
        <v>455.52</v>
      </c>
      <c r="K586">
        <v>455.52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463</v>
      </c>
    </row>
    <row r="587" spans="1:17" x14ac:dyDescent="0.3">
      <c r="A587">
        <v>215582</v>
      </c>
      <c r="B587">
        <v>116</v>
      </c>
      <c r="C587" t="s">
        <v>568</v>
      </c>
      <c r="D587" t="s">
        <v>2896</v>
      </c>
      <c r="E587" t="s">
        <v>2897</v>
      </c>
      <c r="F587" s="452">
        <v>46079</v>
      </c>
      <c r="H587" s="452">
        <v>46107</v>
      </c>
      <c r="I587">
        <v>377.76</v>
      </c>
      <c r="J587">
        <v>377.76</v>
      </c>
      <c r="K587">
        <v>0</v>
      </c>
      <c r="L587">
        <v>0</v>
      </c>
      <c r="M587">
        <v>0</v>
      </c>
      <c r="N587">
        <v>0</v>
      </c>
      <c r="O587">
        <v>377.76</v>
      </c>
      <c r="P587">
        <v>0</v>
      </c>
      <c r="Q587" t="s">
        <v>462</v>
      </c>
    </row>
    <row r="588" spans="1:17" x14ac:dyDescent="0.3">
      <c r="A588">
        <v>215579</v>
      </c>
      <c r="B588">
        <v>116</v>
      </c>
      <c r="C588" t="s">
        <v>568</v>
      </c>
      <c r="D588" t="s">
        <v>2410</v>
      </c>
      <c r="E588" t="s">
        <v>2898</v>
      </c>
      <c r="F588" s="452">
        <v>46083</v>
      </c>
      <c r="G588" s="452">
        <v>46083</v>
      </c>
      <c r="H588" s="452">
        <v>46111</v>
      </c>
      <c r="I588">
        <v>674.4</v>
      </c>
      <c r="J588">
        <v>674.4</v>
      </c>
      <c r="K588">
        <v>0</v>
      </c>
      <c r="L588">
        <v>674.4</v>
      </c>
      <c r="M588">
        <v>0</v>
      </c>
      <c r="N588">
        <v>0</v>
      </c>
      <c r="O588">
        <v>0</v>
      </c>
      <c r="P588">
        <v>0</v>
      </c>
      <c r="Q588" t="s">
        <v>463</v>
      </c>
    </row>
    <row r="589" spans="1:17" x14ac:dyDescent="0.3">
      <c r="A589">
        <v>215577</v>
      </c>
      <c r="B589">
        <v>116</v>
      </c>
      <c r="C589" t="s">
        <v>568</v>
      </c>
      <c r="D589" t="s">
        <v>2282</v>
      </c>
      <c r="E589" t="s">
        <v>2899</v>
      </c>
      <c r="F589" s="452">
        <v>46084</v>
      </c>
      <c r="H589" s="452">
        <v>46097</v>
      </c>
      <c r="I589">
        <v>379.5</v>
      </c>
      <c r="J589">
        <v>379.5</v>
      </c>
      <c r="K589">
        <v>0</v>
      </c>
      <c r="L589">
        <v>0</v>
      </c>
      <c r="M589">
        <v>0</v>
      </c>
      <c r="N589">
        <v>379.5</v>
      </c>
      <c r="O589">
        <v>0</v>
      </c>
      <c r="P589">
        <v>0</v>
      </c>
      <c r="Q589" t="s">
        <v>463</v>
      </c>
    </row>
    <row r="590" spans="1:17" x14ac:dyDescent="0.3">
      <c r="A590">
        <v>215487</v>
      </c>
      <c r="B590">
        <v>116</v>
      </c>
      <c r="C590" t="s">
        <v>568</v>
      </c>
      <c r="D590" t="s">
        <v>2277</v>
      </c>
      <c r="E590" t="s">
        <v>2900</v>
      </c>
      <c r="F590" s="452">
        <v>46078</v>
      </c>
      <c r="G590" s="452">
        <v>46078</v>
      </c>
      <c r="H590" s="452">
        <v>46106</v>
      </c>
      <c r="I590">
        <v>115.9</v>
      </c>
      <c r="J590">
        <v>107</v>
      </c>
      <c r="K590">
        <v>115.9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462</v>
      </c>
    </row>
    <row r="591" spans="1:17" x14ac:dyDescent="0.3">
      <c r="A591">
        <v>215484</v>
      </c>
      <c r="B591">
        <v>116</v>
      </c>
      <c r="C591" t="s">
        <v>568</v>
      </c>
      <c r="D591" t="s">
        <v>2277</v>
      </c>
      <c r="E591" t="s">
        <v>2901</v>
      </c>
      <c r="F591" s="452">
        <v>46085</v>
      </c>
      <c r="G591" s="452">
        <v>46085</v>
      </c>
      <c r="H591" s="452">
        <v>46106</v>
      </c>
      <c r="I591">
        <v>1076.81</v>
      </c>
      <c r="J591">
        <v>1074.81</v>
      </c>
      <c r="K591">
        <v>1076.81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463</v>
      </c>
    </row>
    <row r="592" spans="1:17" x14ac:dyDescent="0.3">
      <c r="A592">
        <v>215480</v>
      </c>
      <c r="B592">
        <v>116</v>
      </c>
      <c r="C592" t="s">
        <v>568</v>
      </c>
      <c r="D592" t="s">
        <v>2273</v>
      </c>
      <c r="E592" t="s">
        <v>2902</v>
      </c>
      <c r="F592" s="452">
        <v>46075</v>
      </c>
      <c r="G592" s="452">
        <v>46075</v>
      </c>
      <c r="H592" s="452">
        <v>46104</v>
      </c>
      <c r="I592">
        <v>286.27999999999997</v>
      </c>
      <c r="J592">
        <v>286.27999999999997</v>
      </c>
      <c r="K592">
        <v>286.27999999999997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462</v>
      </c>
    </row>
    <row r="593" spans="1:17" x14ac:dyDescent="0.3">
      <c r="A593">
        <v>215478</v>
      </c>
      <c r="B593">
        <v>116</v>
      </c>
      <c r="C593" t="s">
        <v>568</v>
      </c>
      <c r="D593" t="s">
        <v>2273</v>
      </c>
      <c r="E593" t="s">
        <v>2903</v>
      </c>
      <c r="F593" s="452">
        <v>46079</v>
      </c>
      <c r="G593" s="452">
        <v>46079</v>
      </c>
      <c r="H593" s="452">
        <v>46107</v>
      </c>
      <c r="I593">
        <v>377.98</v>
      </c>
      <c r="J593">
        <v>377.96</v>
      </c>
      <c r="K593">
        <v>377.98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462</v>
      </c>
    </row>
    <row r="594" spans="1:17" x14ac:dyDescent="0.3">
      <c r="A594">
        <v>215477</v>
      </c>
      <c r="B594">
        <v>116</v>
      </c>
      <c r="C594" t="s">
        <v>568</v>
      </c>
      <c r="D594" t="s">
        <v>2273</v>
      </c>
      <c r="E594" t="s">
        <v>2904</v>
      </c>
      <c r="F594" s="452">
        <v>46083</v>
      </c>
      <c r="G594" s="452">
        <v>46083</v>
      </c>
      <c r="H594" s="452">
        <v>46111</v>
      </c>
      <c r="I594">
        <v>74.599999999999994</v>
      </c>
      <c r="J594">
        <v>74.599999999999994</v>
      </c>
      <c r="K594">
        <v>74.599999999999994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463</v>
      </c>
    </row>
    <row r="595" spans="1:17" x14ac:dyDescent="0.3">
      <c r="A595">
        <v>215475</v>
      </c>
      <c r="B595">
        <v>116</v>
      </c>
      <c r="C595" t="s">
        <v>568</v>
      </c>
      <c r="D595" t="s">
        <v>2284</v>
      </c>
      <c r="E595" t="s">
        <v>2905</v>
      </c>
      <c r="F595" s="452">
        <v>46076</v>
      </c>
      <c r="G595" s="452">
        <v>46076</v>
      </c>
      <c r="H595" s="452">
        <v>46105</v>
      </c>
      <c r="I595">
        <v>225.85</v>
      </c>
      <c r="J595">
        <v>225.85</v>
      </c>
      <c r="K595">
        <v>225.85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462</v>
      </c>
    </row>
    <row r="596" spans="1:17" x14ac:dyDescent="0.3">
      <c r="A596">
        <v>215473</v>
      </c>
      <c r="B596">
        <v>116</v>
      </c>
      <c r="C596" t="s">
        <v>568</v>
      </c>
      <c r="D596" t="s">
        <v>2284</v>
      </c>
      <c r="E596" t="s">
        <v>2906</v>
      </c>
      <c r="F596" s="452">
        <v>46078</v>
      </c>
      <c r="G596" s="452">
        <v>46078</v>
      </c>
      <c r="H596" s="452">
        <v>46108</v>
      </c>
      <c r="I596">
        <v>379.48</v>
      </c>
      <c r="J596">
        <v>379.48</v>
      </c>
      <c r="K596">
        <v>379.48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462</v>
      </c>
    </row>
    <row r="597" spans="1:17" x14ac:dyDescent="0.3">
      <c r="A597">
        <v>215472</v>
      </c>
      <c r="B597">
        <v>116</v>
      </c>
      <c r="C597" t="s">
        <v>568</v>
      </c>
      <c r="D597" t="s">
        <v>2284</v>
      </c>
      <c r="E597" t="s">
        <v>2907</v>
      </c>
      <c r="F597" s="452">
        <v>46084</v>
      </c>
      <c r="G597" s="452">
        <v>46084</v>
      </c>
      <c r="H597" s="452">
        <v>46112</v>
      </c>
      <c r="I597">
        <v>211.8</v>
      </c>
      <c r="J597">
        <v>211.8</v>
      </c>
      <c r="K597">
        <v>0</v>
      </c>
      <c r="L597">
        <v>211.8</v>
      </c>
      <c r="M597">
        <v>0</v>
      </c>
      <c r="N597">
        <v>0</v>
      </c>
      <c r="O597">
        <v>0</v>
      </c>
      <c r="P597">
        <v>0</v>
      </c>
      <c r="Q597" t="s">
        <v>463</v>
      </c>
    </row>
    <row r="598" spans="1:17" x14ac:dyDescent="0.3">
      <c r="A598">
        <v>215468</v>
      </c>
      <c r="B598">
        <v>116</v>
      </c>
      <c r="C598" t="s">
        <v>568</v>
      </c>
      <c r="D598" t="s">
        <v>2284</v>
      </c>
      <c r="E598" t="s">
        <v>2908</v>
      </c>
      <c r="F598" s="452">
        <v>46085</v>
      </c>
      <c r="G598" s="452">
        <v>46085</v>
      </c>
      <c r="H598" s="452">
        <v>46115</v>
      </c>
      <c r="I598">
        <v>970.13</v>
      </c>
      <c r="J598">
        <v>970.09</v>
      </c>
      <c r="K598">
        <v>970.13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463</v>
      </c>
    </row>
    <row r="599" spans="1:17" x14ac:dyDescent="0.3">
      <c r="A599">
        <v>215467</v>
      </c>
      <c r="B599">
        <v>116</v>
      </c>
      <c r="C599" t="s">
        <v>568</v>
      </c>
      <c r="D599" t="s">
        <v>2286</v>
      </c>
      <c r="E599" t="s">
        <v>2909</v>
      </c>
      <c r="F599" s="452">
        <v>46083</v>
      </c>
      <c r="G599" s="452">
        <v>46083</v>
      </c>
      <c r="H599" s="452">
        <v>46097</v>
      </c>
      <c r="I599">
        <v>362.45</v>
      </c>
      <c r="J599">
        <v>362.45</v>
      </c>
      <c r="K599">
        <v>362.45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463</v>
      </c>
    </row>
    <row r="600" spans="1:17" x14ac:dyDescent="0.3">
      <c r="A600">
        <v>215464</v>
      </c>
      <c r="B600">
        <v>116</v>
      </c>
      <c r="C600" t="s">
        <v>568</v>
      </c>
      <c r="D600" t="s">
        <v>2340</v>
      </c>
      <c r="E600" t="s">
        <v>2910</v>
      </c>
      <c r="F600" s="452">
        <v>46078</v>
      </c>
      <c r="G600" s="452">
        <v>46078</v>
      </c>
      <c r="H600" s="452">
        <v>46107</v>
      </c>
      <c r="I600">
        <v>515.64</v>
      </c>
      <c r="J600">
        <v>515.64</v>
      </c>
      <c r="K600">
        <v>515.64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462</v>
      </c>
    </row>
    <row r="601" spans="1:17" x14ac:dyDescent="0.3">
      <c r="A601">
        <v>215463</v>
      </c>
      <c r="B601">
        <v>116</v>
      </c>
      <c r="C601" t="s">
        <v>568</v>
      </c>
      <c r="D601" t="s">
        <v>2340</v>
      </c>
      <c r="E601" t="s">
        <v>2911</v>
      </c>
      <c r="F601" s="452">
        <v>46085</v>
      </c>
      <c r="G601" s="452">
        <v>46085</v>
      </c>
      <c r="H601" s="452">
        <v>46114</v>
      </c>
      <c r="I601">
        <v>108.4</v>
      </c>
      <c r="J601">
        <v>108.4</v>
      </c>
      <c r="K601">
        <v>108.4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463</v>
      </c>
    </row>
    <row r="602" spans="1:17" x14ac:dyDescent="0.3">
      <c r="A602">
        <v>215460</v>
      </c>
      <c r="B602">
        <v>116</v>
      </c>
      <c r="C602" t="s">
        <v>568</v>
      </c>
      <c r="D602" t="s">
        <v>2340</v>
      </c>
      <c r="E602" t="s">
        <v>2912</v>
      </c>
      <c r="F602" s="452">
        <v>46085</v>
      </c>
      <c r="G602" s="452">
        <v>46085</v>
      </c>
      <c r="H602" s="452">
        <v>46114</v>
      </c>
      <c r="I602">
        <v>344.64</v>
      </c>
      <c r="J602">
        <v>344.64</v>
      </c>
      <c r="K602">
        <v>344.64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463</v>
      </c>
    </row>
    <row r="603" spans="1:17" x14ac:dyDescent="0.3">
      <c r="A603">
        <v>215458</v>
      </c>
      <c r="B603">
        <v>116</v>
      </c>
      <c r="C603" t="s">
        <v>568</v>
      </c>
      <c r="D603" t="s">
        <v>2262</v>
      </c>
      <c r="E603" t="s">
        <v>2913</v>
      </c>
      <c r="F603" s="452">
        <v>46085</v>
      </c>
      <c r="G603" s="452">
        <v>46085</v>
      </c>
      <c r="H603" s="452">
        <v>46113</v>
      </c>
      <c r="I603">
        <v>3291.14</v>
      </c>
      <c r="J603">
        <v>3291.14</v>
      </c>
      <c r="K603">
        <v>3291.14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463</v>
      </c>
    </row>
    <row r="604" spans="1:17" x14ac:dyDescent="0.3">
      <c r="A604">
        <v>215454</v>
      </c>
      <c r="B604">
        <v>116</v>
      </c>
      <c r="C604" t="s">
        <v>568</v>
      </c>
      <c r="D604" t="s">
        <v>2262</v>
      </c>
      <c r="E604" t="s">
        <v>2914</v>
      </c>
      <c r="F604" s="452">
        <v>46077</v>
      </c>
      <c r="G604" s="452">
        <v>46077</v>
      </c>
      <c r="H604" s="452">
        <v>46105</v>
      </c>
      <c r="I604">
        <v>3603.46</v>
      </c>
      <c r="J604">
        <v>3603.46</v>
      </c>
      <c r="K604">
        <v>3603.46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462</v>
      </c>
    </row>
    <row r="605" spans="1:17" x14ac:dyDescent="0.3">
      <c r="A605">
        <v>215452</v>
      </c>
      <c r="B605">
        <v>116</v>
      </c>
      <c r="C605" t="s">
        <v>568</v>
      </c>
      <c r="D605" t="s">
        <v>2379</v>
      </c>
      <c r="E605" t="s">
        <v>2915</v>
      </c>
      <c r="F605" s="452">
        <v>46077</v>
      </c>
      <c r="G605" s="452">
        <v>46077</v>
      </c>
      <c r="H605" s="452">
        <v>46112</v>
      </c>
      <c r="I605">
        <v>2279.75</v>
      </c>
      <c r="J605">
        <v>2280</v>
      </c>
      <c r="K605">
        <v>0</v>
      </c>
      <c r="L605">
        <v>2279.75</v>
      </c>
      <c r="M605">
        <v>0</v>
      </c>
      <c r="N605">
        <v>0</v>
      </c>
      <c r="O605">
        <v>0</v>
      </c>
      <c r="P605">
        <v>0</v>
      </c>
      <c r="Q605" t="s">
        <v>462</v>
      </c>
    </row>
    <row r="606" spans="1:17" x14ac:dyDescent="0.3">
      <c r="A606">
        <v>215450</v>
      </c>
      <c r="B606">
        <v>116</v>
      </c>
      <c r="C606" t="s">
        <v>568</v>
      </c>
      <c r="D606" t="s">
        <v>2265</v>
      </c>
      <c r="E606" t="s">
        <v>2916</v>
      </c>
      <c r="F606" s="452">
        <v>46084</v>
      </c>
      <c r="H606" s="452">
        <v>46099</v>
      </c>
      <c r="I606">
        <v>935.17</v>
      </c>
      <c r="J606">
        <v>855.21</v>
      </c>
      <c r="K606">
        <v>0</v>
      </c>
      <c r="L606">
        <v>0</v>
      </c>
      <c r="M606">
        <v>935.17</v>
      </c>
      <c r="N606">
        <v>0</v>
      </c>
      <c r="O606">
        <v>0</v>
      </c>
      <c r="P606">
        <v>0</v>
      </c>
      <c r="Q606" t="s">
        <v>463</v>
      </c>
    </row>
    <row r="607" spans="1:17" x14ac:dyDescent="0.3">
      <c r="A607">
        <v>215445</v>
      </c>
      <c r="B607">
        <v>116</v>
      </c>
      <c r="C607" t="s">
        <v>568</v>
      </c>
      <c r="D607" t="s">
        <v>2271</v>
      </c>
      <c r="E607" t="s">
        <v>2917</v>
      </c>
      <c r="F607" s="452">
        <v>46084</v>
      </c>
      <c r="G607" s="452">
        <v>46084</v>
      </c>
      <c r="H607" s="452">
        <v>46112</v>
      </c>
      <c r="I607">
        <v>188.4</v>
      </c>
      <c r="J607">
        <v>188.4</v>
      </c>
      <c r="K607">
        <v>0</v>
      </c>
      <c r="L607">
        <v>188.4</v>
      </c>
      <c r="M607">
        <v>0</v>
      </c>
      <c r="N607">
        <v>0</v>
      </c>
      <c r="O607">
        <v>0</v>
      </c>
      <c r="P607">
        <v>0</v>
      </c>
      <c r="Q607" t="s">
        <v>463</v>
      </c>
    </row>
    <row r="608" spans="1:17" x14ac:dyDescent="0.3">
      <c r="A608">
        <v>215331</v>
      </c>
      <c r="B608">
        <v>116</v>
      </c>
      <c r="C608" t="s">
        <v>568</v>
      </c>
      <c r="D608" t="s">
        <v>2918</v>
      </c>
      <c r="E608" t="s">
        <v>2919</v>
      </c>
      <c r="F608" s="452">
        <v>46080</v>
      </c>
      <c r="H608" s="452">
        <v>46090</v>
      </c>
      <c r="I608">
        <v>3142.86</v>
      </c>
      <c r="J608">
        <v>3334.95</v>
      </c>
      <c r="K608">
        <v>0</v>
      </c>
      <c r="L608">
        <v>0</v>
      </c>
      <c r="M608">
        <v>0</v>
      </c>
      <c r="N608">
        <v>0</v>
      </c>
      <c r="O608">
        <v>3142.86</v>
      </c>
      <c r="P608">
        <v>0</v>
      </c>
      <c r="Q608" t="s">
        <v>462</v>
      </c>
    </row>
    <row r="609" spans="1:17" x14ac:dyDescent="0.3">
      <c r="A609">
        <v>215327</v>
      </c>
      <c r="B609">
        <v>116</v>
      </c>
      <c r="C609" t="s">
        <v>568</v>
      </c>
      <c r="D609" t="s">
        <v>2918</v>
      </c>
      <c r="E609" t="s">
        <v>2920</v>
      </c>
      <c r="F609" s="452">
        <v>46080</v>
      </c>
      <c r="H609" s="452">
        <v>46090</v>
      </c>
      <c r="I609">
        <v>3364.95</v>
      </c>
      <c r="J609">
        <v>3059.65</v>
      </c>
      <c r="K609">
        <v>0</v>
      </c>
      <c r="L609">
        <v>0</v>
      </c>
      <c r="M609">
        <v>0</v>
      </c>
      <c r="N609">
        <v>0</v>
      </c>
      <c r="O609">
        <v>3364.95</v>
      </c>
      <c r="P609">
        <v>0</v>
      </c>
      <c r="Q609" t="s">
        <v>462</v>
      </c>
    </row>
    <row r="610" spans="1:17" x14ac:dyDescent="0.3">
      <c r="A610">
        <v>215324</v>
      </c>
      <c r="B610">
        <v>116</v>
      </c>
      <c r="C610" t="s">
        <v>568</v>
      </c>
      <c r="D610" t="s">
        <v>2918</v>
      </c>
      <c r="E610" t="s">
        <v>2921</v>
      </c>
      <c r="F610" s="452">
        <v>46080</v>
      </c>
      <c r="H610" s="452">
        <v>46090</v>
      </c>
      <c r="I610">
        <v>3553.91</v>
      </c>
      <c r="J610">
        <v>3523.91</v>
      </c>
      <c r="K610">
        <v>0</v>
      </c>
      <c r="L610">
        <v>0</v>
      </c>
      <c r="M610">
        <v>0</v>
      </c>
      <c r="N610">
        <v>0</v>
      </c>
      <c r="O610">
        <v>3553.91</v>
      </c>
      <c r="P610">
        <v>0</v>
      </c>
      <c r="Q610" t="s">
        <v>462</v>
      </c>
    </row>
    <row r="611" spans="1:17" x14ac:dyDescent="0.3">
      <c r="A611">
        <v>215322</v>
      </c>
      <c r="B611">
        <v>116</v>
      </c>
      <c r="C611" t="s">
        <v>568</v>
      </c>
      <c r="D611" t="s">
        <v>2922</v>
      </c>
      <c r="E611" t="s">
        <v>2923</v>
      </c>
      <c r="F611" s="452">
        <v>46076</v>
      </c>
      <c r="G611" s="452">
        <v>46076</v>
      </c>
      <c r="H611" s="452">
        <v>46104</v>
      </c>
      <c r="I611">
        <v>178.44</v>
      </c>
      <c r="J611">
        <v>178.44</v>
      </c>
      <c r="K611">
        <v>178.44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462</v>
      </c>
    </row>
    <row r="612" spans="1:17" x14ac:dyDescent="0.3">
      <c r="A612">
        <v>215321</v>
      </c>
      <c r="B612">
        <v>116</v>
      </c>
      <c r="C612" t="s">
        <v>568</v>
      </c>
      <c r="D612" t="s">
        <v>2922</v>
      </c>
      <c r="E612" t="s">
        <v>2924</v>
      </c>
      <c r="F612" s="452">
        <v>46079</v>
      </c>
      <c r="G612" s="452">
        <v>46079</v>
      </c>
      <c r="H612" s="452">
        <v>46107</v>
      </c>
      <c r="I612">
        <v>183.99</v>
      </c>
      <c r="J612">
        <v>183.99</v>
      </c>
      <c r="K612">
        <v>183.99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462</v>
      </c>
    </row>
    <row r="613" spans="1:17" x14ac:dyDescent="0.3">
      <c r="A613">
        <v>215318</v>
      </c>
      <c r="B613">
        <v>116</v>
      </c>
      <c r="C613" t="s">
        <v>568</v>
      </c>
      <c r="D613" t="s">
        <v>2922</v>
      </c>
      <c r="E613" t="s">
        <v>2925</v>
      </c>
      <c r="F613" s="452">
        <v>46083</v>
      </c>
      <c r="G613" s="452">
        <v>46083</v>
      </c>
      <c r="H613" s="452">
        <v>46111</v>
      </c>
      <c r="I613">
        <v>292.42</v>
      </c>
      <c r="J613">
        <v>292.42</v>
      </c>
      <c r="K613">
        <v>292.42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463</v>
      </c>
    </row>
    <row r="614" spans="1:17" x14ac:dyDescent="0.3">
      <c r="A614">
        <v>215315</v>
      </c>
      <c r="B614">
        <v>116</v>
      </c>
      <c r="C614" t="s">
        <v>568</v>
      </c>
      <c r="D614" t="s">
        <v>2357</v>
      </c>
      <c r="E614" t="s">
        <v>2926</v>
      </c>
      <c r="F614" s="452">
        <v>46083</v>
      </c>
      <c r="G614" s="452">
        <v>46083</v>
      </c>
      <c r="H614" s="452">
        <v>46097</v>
      </c>
      <c r="I614">
        <v>332.7</v>
      </c>
      <c r="J614">
        <v>332.7</v>
      </c>
      <c r="K614">
        <v>332.7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463</v>
      </c>
    </row>
    <row r="615" spans="1:17" x14ac:dyDescent="0.3">
      <c r="A615">
        <v>215314</v>
      </c>
      <c r="B615">
        <v>116</v>
      </c>
      <c r="C615" t="s">
        <v>568</v>
      </c>
      <c r="D615" t="s">
        <v>2260</v>
      </c>
      <c r="E615" t="s">
        <v>2927</v>
      </c>
      <c r="F615" s="452">
        <v>46084</v>
      </c>
      <c r="G615" s="452">
        <v>46084</v>
      </c>
      <c r="H615" s="452">
        <v>46105</v>
      </c>
      <c r="I615">
        <v>1258.1199999999999</v>
      </c>
      <c r="J615">
        <v>1248.1199999999999</v>
      </c>
      <c r="K615">
        <v>1258.1199999999999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463</v>
      </c>
    </row>
    <row r="616" spans="1:17" x14ac:dyDescent="0.3">
      <c r="A616">
        <v>215312</v>
      </c>
      <c r="B616">
        <v>116</v>
      </c>
      <c r="C616" t="s">
        <v>568</v>
      </c>
      <c r="D616" t="s">
        <v>2260</v>
      </c>
      <c r="E616" t="s">
        <v>2928</v>
      </c>
      <c r="F616" s="452">
        <v>46085</v>
      </c>
      <c r="G616" s="452">
        <v>46085</v>
      </c>
      <c r="H616" s="452">
        <v>46099</v>
      </c>
      <c r="I616">
        <v>468</v>
      </c>
      <c r="J616">
        <v>468</v>
      </c>
      <c r="K616">
        <v>468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463</v>
      </c>
    </row>
    <row r="617" spans="1:17" x14ac:dyDescent="0.3">
      <c r="A617">
        <v>215311</v>
      </c>
      <c r="B617">
        <v>116</v>
      </c>
      <c r="C617" t="s">
        <v>568</v>
      </c>
      <c r="D617" t="s">
        <v>2260</v>
      </c>
      <c r="E617" t="s">
        <v>2929</v>
      </c>
      <c r="F617" s="452">
        <v>46085</v>
      </c>
      <c r="G617" s="452">
        <v>46085</v>
      </c>
      <c r="H617" s="452">
        <v>46106</v>
      </c>
      <c r="I617">
        <v>1743.6</v>
      </c>
      <c r="J617">
        <v>1733.6</v>
      </c>
      <c r="K617">
        <v>1743.6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463</v>
      </c>
    </row>
    <row r="618" spans="1:17" x14ac:dyDescent="0.3">
      <c r="A618">
        <v>215310</v>
      </c>
      <c r="B618">
        <v>116</v>
      </c>
      <c r="C618" t="s">
        <v>568</v>
      </c>
      <c r="D618" t="s">
        <v>2267</v>
      </c>
      <c r="E618" t="s">
        <v>2930</v>
      </c>
      <c r="F618" s="452">
        <v>46086</v>
      </c>
      <c r="G618" s="452">
        <v>46086</v>
      </c>
      <c r="H618" s="452">
        <v>46112</v>
      </c>
      <c r="I618">
        <v>535.76</v>
      </c>
      <c r="J618">
        <v>535.76</v>
      </c>
      <c r="K618">
        <v>535.76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463</v>
      </c>
    </row>
    <row r="619" spans="1:17" x14ac:dyDescent="0.3">
      <c r="A619">
        <v>215309</v>
      </c>
      <c r="B619">
        <v>116</v>
      </c>
      <c r="C619" t="s">
        <v>568</v>
      </c>
      <c r="D619" t="s">
        <v>2320</v>
      </c>
      <c r="E619" t="s">
        <v>2931</v>
      </c>
      <c r="F619" s="452">
        <v>46085</v>
      </c>
      <c r="G619" s="452">
        <v>46085</v>
      </c>
      <c r="H619" s="452">
        <v>46099</v>
      </c>
      <c r="I619">
        <v>1268.31</v>
      </c>
      <c r="J619">
        <v>1268.31</v>
      </c>
      <c r="K619">
        <v>1268.31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463</v>
      </c>
    </row>
    <row r="620" spans="1:17" x14ac:dyDescent="0.3">
      <c r="A620">
        <v>215308</v>
      </c>
      <c r="B620">
        <v>116</v>
      </c>
      <c r="C620" t="s">
        <v>568</v>
      </c>
      <c r="D620" t="s">
        <v>2709</v>
      </c>
      <c r="E620" t="s">
        <v>2932</v>
      </c>
      <c r="F620" s="452">
        <v>46076</v>
      </c>
      <c r="H620" s="452">
        <v>46111</v>
      </c>
      <c r="I620">
        <v>31.82</v>
      </c>
      <c r="J620">
        <v>31.82</v>
      </c>
      <c r="K620">
        <v>0</v>
      </c>
      <c r="L620">
        <v>0</v>
      </c>
      <c r="M620">
        <v>31.82</v>
      </c>
      <c r="N620">
        <v>0</v>
      </c>
      <c r="O620">
        <v>0</v>
      </c>
      <c r="P620">
        <v>0</v>
      </c>
      <c r="Q620" t="s">
        <v>462</v>
      </c>
    </row>
    <row r="621" spans="1:17" x14ac:dyDescent="0.3">
      <c r="A621">
        <v>215307</v>
      </c>
      <c r="B621">
        <v>116</v>
      </c>
      <c r="C621" t="s">
        <v>568</v>
      </c>
      <c r="D621" t="s">
        <v>2709</v>
      </c>
      <c r="E621" t="s">
        <v>2933</v>
      </c>
      <c r="F621" s="452">
        <v>46077</v>
      </c>
      <c r="H621" s="452">
        <v>46111</v>
      </c>
      <c r="I621">
        <v>21</v>
      </c>
      <c r="J621">
        <v>21</v>
      </c>
      <c r="K621">
        <v>0</v>
      </c>
      <c r="L621">
        <v>0</v>
      </c>
      <c r="M621">
        <v>21</v>
      </c>
      <c r="N621">
        <v>0</v>
      </c>
      <c r="O621">
        <v>0</v>
      </c>
      <c r="P621">
        <v>0</v>
      </c>
      <c r="Q621" t="s">
        <v>462</v>
      </c>
    </row>
    <row r="622" spans="1:17" x14ac:dyDescent="0.3">
      <c r="A622">
        <v>215306</v>
      </c>
      <c r="B622">
        <v>116</v>
      </c>
      <c r="C622" t="s">
        <v>568</v>
      </c>
      <c r="D622" t="s">
        <v>2709</v>
      </c>
      <c r="E622" t="s">
        <v>2934</v>
      </c>
      <c r="F622" s="452">
        <v>46078</v>
      </c>
      <c r="G622" s="452">
        <v>46078</v>
      </c>
      <c r="H622" s="452">
        <v>46111</v>
      </c>
      <c r="I622">
        <v>280.5</v>
      </c>
      <c r="J622">
        <v>280.5</v>
      </c>
      <c r="K622">
        <v>280.5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462</v>
      </c>
    </row>
    <row r="623" spans="1:17" x14ac:dyDescent="0.3">
      <c r="A623">
        <v>215304</v>
      </c>
      <c r="B623">
        <v>116</v>
      </c>
      <c r="C623" t="s">
        <v>568</v>
      </c>
      <c r="D623" t="s">
        <v>2709</v>
      </c>
      <c r="E623" t="s">
        <v>2935</v>
      </c>
      <c r="F623" s="452">
        <v>46083</v>
      </c>
      <c r="H623" s="452">
        <v>46118</v>
      </c>
      <c r="I623">
        <v>112.82</v>
      </c>
      <c r="J623">
        <v>112.82</v>
      </c>
      <c r="K623">
        <v>0</v>
      </c>
      <c r="L623">
        <v>0</v>
      </c>
      <c r="M623">
        <v>112.82</v>
      </c>
      <c r="N623">
        <v>0</v>
      </c>
      <c r="O623">
        <v>0</v>
      </c>
      <c r="P623">
        <v>0</v>
      </c>
      <c r="Q623" t="s">
        <v>463</v>
      </c>
    </row>
    <row r="624" spans="1:17" x14ac:dyDescent="0.3">
      <c r="A624">
        <v>215282</v>
      </c>
      <c r="B624">
        <v>116</v>
      </c>
      <c r="C624" t="s">
        <v>568</v>
      </c>
      <c r="D624" t="s">
        <v>2709</v>
      </c>
      <c r="E624" t="s">
        <v>2936</v>
      </c>
      <c r="F624" s="452">
        <v>46085</v>
      </c>
      <c r="G624" s="452">
        <v>46085</v>
      </c>
      <c r="H624" s="452">
        <v>46118</v>
      </c>
      <c r="I624">
        <v>239.3</v>
      </c>
      <c r="J624">
        <v>239.3</v>
      </c>
      <c r="K624">
        <v>239.3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463</v>
      </c>
    </row>
    <row r="625" spans="1:17" x14ac:dyDescent="0.3">
      <c r="A625">
        <v>215280</v>
      </c>
      <c r="B625">
        <v>116</v>
      </c>
      <c r="C625" t="s">
        <v>568</v>
      </c>
      <c r="D625" t="s">
        <v>2385</v>
      </c>
      <c r="E625" t="s">
        <v>2937</v>
      </c>
      <c r="F625" s="452">
        <v>46084</v>
      </c>
      <c r="G625" s="452">
        <v>46084</v>
      </c>
      <c r="H625" s="452">
        <v>46105</v>
      </c>
      <c r="I625">
        <v>743.43</v>
      </c>
      <c r="J625">
        <v>711.43</v>
      </c>
      <c r="K625">
        <v>743.43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463</v>
      </c>
    </row>
    <row r="626" spans="1:17" x14ac:dyDescent="0.3">
      <c r="A626">
        <v>214126</v>
      </c>
      <c r="B626">
        <v>116</v>
      </c>
      <c r="C626" t="s">
        <v>568</v>
      </c>
      <c r="D626" t="s">
        <v>2258</v>
      </c>
      <c r="E626" t="s">
        <v>2938</v>
      </c>
      <c r="F626" s="452">
        <v>46083</v>
      </c>
      <c r="G626" s="452">
        <v>46083</v>
      </c>
      <c r="H626" s="452">
        <v>46093</v>
      </c>
      <c r="I626">
        <v>170.6</v>
      </c>
      <c r="J626">
        <v>158.6</v>
      </c>
      <c r="K626">
        <v>170.6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463</v>
      </c>
    </row>
    <row r="627" spans="1:17" x14ac:dyDescent="0.3">
      <c r="A627">
        <v>214124</v>
      </c>
      <c r="B627">
        <v>116</v>
      </c>
      <c r="C627" t="s">
        <v>568</v>
      </c>
      <c r="D627" t="s">
        <v>2683</v>
      </c>
      <c r="E627" t="s">
        <v>2939</v>
      </c>
      <c r="F627" s="452">
        <v>46085</v>
      </c>
      <c r="G627" s="452">
        <v>46085</v>
      </c>
      <c r="H627" s="452">
        <v>46092</v>
      </c>
      <c r="I627">
        <v>144.38</v>
      </c>
      <c r="J627">
        <v>144.38</v>
      </c>
      <c r="K627">
        <v>144.38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463</v>
      </c>
    </row>
    <row r="628" spans="1:17" x14ac:dyDescent="0.3">
      <c r="A628">
        <v>213545</v>
      </c>
      <c r="B628">
        <v>116</v>
      </c>
      <c r="C628" t="s">
        <v>568</v>
      </c>
      <c r="D628" t="s">
        <v>2286</v>
      </c>
      <c r="E628" t="s">
        <v>2940</v>
      </c>
      <c r="F628" s="452">
        <v>46076</v>
      </c>
      <c r="G628" s="452">
        <v>46076</v>
      </c>
      <c r="H628" s="452">
        <v>46090</v>
      </c>
      <c r="I628">
        <v>60.3</v>
      </c>
      <c r="J628">
        <v>60.3</v>
      </c>
      <c r="K628">
        <v>60.3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462</v>
      </c>
    </row>
    <row r="629" spans="1:17" x14ac:dyDescent="0.3">
      <c r="A629">
        <v>213544</v>
      </c>
      <c r="B629">
        <v>116</v>
      </c>
      <c r="C629" t="s">
        <v>568</v>
      </c>
      <c r="D629" t="s">
        <v>2286</v>
      </c>
      <c r="E629" t="s">
        <v>2941</v>
      </c>
      <c r="F629" s="452">
        <v>46079</v>
      </c>
      <c r="G629" s="452">
        <v>46079</v>
      </c>
      <c r="H629" s="452">
        <v>46093</v>
      </c>
      <c r="I629">
        <v>253.95</v>
      </c>
      <c r="J629">
        <v>253.95</v>
      </c>
      <c r="K629">
        <v>253.95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462</v>
      </c>
    </row>
    <row r="630" spans="1:17" x14ac:dyDescent="0.3">
      <c r="A630">
        <v>213543</v>
      </c>
      <c r="B630">
        <v>116</v>
      </c>
      <c r="C630" t="s">
        <v>568</v>
      </c>
      <c r="D630" t="s">
        <v>2286</v>
      </c>
      <c r="E630" t="s">
        <v>2942</v>
      </c>
      <c r="F630" s="452">
        <v>46080</v>
      </c>
      <c r="G630" s="452">
        <v>46080</v>
      </c>
      <c r="H630" s="452">
        <v>46094</v>
      </c>
      <c r="I630">
        <v>11.5</v>
      </c>
      <c r="J630">
        <v>11.5</v>
      </c>
      <c r="K630">
        <v>11.5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462</v>
      </c>
    </row>
    <row r="631" spans="1:17" x14ac:dyDescent="0.3">
      <c r="A631">
        <v>213539</v>
      </c>
      <c r="B631">
        <v>116</v>
      </c>
      <c r="C631" t="s">
        <v>568</v>
      </c>
      <c r="D631" t="s">
        <v>2332</v>
      </c>
      <c r="E631" t="s">
        <v>2943</v>
      </c>
      <c r="F631" s="452">
        <v>46078</v>
      </c>
      <c r="G631" s="452">
        <v>46078</v>
      </c>
      <c r="H631" s="452">
        <v>46099</v>
      </c>
      <c r="I631">
        <v>180.5</v>
      </c>
      <c r="J631">
        <v>180.5</v>
      </c>
      <c r="K631">
        <v>0</v>
      </c>
      <c r="L631">
        <v>180.5</v>
      </c>
      <c r="M631">
        <v>0</v>
      </c>
      <c r="N631">
        <v>0</v>
      </c>
      <c r="O631">
        <v>0</v>
      </c>
      <c r="P631">
        <v>0</v>
      </c>
      <c r="Q631" t="s">
        <v>462</v>
      </c>
    </row>
    <row r="632" spans="1:17" x14ac:dyDescent="0.3">
      <c r="A632">
        <v>213536</v>
      </c>
      <c r="B632">
        <v>116</v>
      </c>
      <c r="C632" t="s">
        <v>568</v>
      </c>
      <c r="D632" t="s">
        <v>2332</v>
      </c>
      <c r="E632" t="s">
        <v>2944</v>
      </c>
      <c r="F632" s="452">
        <v>46078</v>
      </c>
      <c r="G632" s="452">
        <v>46078</v>
      </c>
      <c r="H632" s="452">
        <v>46100</v>
      </c>
      <c r="I632">
        <v>149.88</v>
      </c>
      <c r="J632">
        <v>149.88</v>
      </c>
      <c r="K632">
        <v>0</v>
      </c>
      <c r="L632">
        <v>149.88</v>
      </c>
      <c r="M632">
        <v>0</v>
      </c>
      <c r="N632">
        <v>0</v>
      </c>
      <c r="O632">
        <v>0</v>
      </c>
      <c r="P632">
        <v>0</v>
      </c>
      <c r="Q632" t="s">
        <v>462</v>
      </c>
    </row>
    <row r="633" spans="1:17" x14ac:dyDescent="0.3">
      <c r="A633">
        <v>213534</v>
      </c>
      <c r="B633">
        <v>116</v>
      </c>
      <c r="C633" t="s">
        <v>568</v>
      </c>
      <c r="D633" t="s">
        <v>2271</v>
      </c>
      <c r="E633" t="s">
        <v>2945</v>
      </c>
      <c r="F633" s="452">
        <v>46079</v>
      </c>
      <c r="G633" s="452">
        <v>46079</v>
      </c>
      <c r="H633" s="452">
        <v>46100</v>
      </c>
      <c r="I633">
        <v>183.8</v>
      </c>
      <c r="J633">
        <v>183.8</v>
      </c>
      <c r="K633">
        <v>0</v>
      </c>
      <c r="L633">
        <v>183.8</v>
      </c>
      <c r="M633">
        <v>0</v>
      </c>
      <c r="N633">
        <v>0</v>
      </c>
      <c r="O633">
        <v>0</v>
      </c>
      <c r="P633">
        <v>0</v>
      </c>
      <c r="Q633" t="s">
        <v>462</v>
      </c>
    </row>
    <row r="634" spans="1:17" x14ac:dyDescent="0.3">
      <c r="A634">
        <v>213530</v>
      </c>
      <c r="B634">
        <v>116</v>
      </c>
      <c r="C634" t="s">
        <v>568</v>
      </c>
      <c r="D634" t="s">
        <v>2342</v>
      </c>
      <c r="E634" t="s">
        <v>2946</v>
      </c>
      <c r="F634" s="452">
        <v>46076</v>
      </c>
      <c r="G634" s="452">
        <v>46076</v>
      </c>
      <c r="H634" s="452">
        <v>46097</v>
      </c>
      <c r="I634">
        <v>275</v>
      </c>
      <c r="J634">
        <v>240</v>
      </c>
      <c r="K634">
        <v>275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462</v>
      </c>
    </row>
    <row r="635" spans="1:17" x14ac:dyDescent="0.3">
      <c r="A635">
        <v>213520</v>
      </c>
      <c r="B635">
        <v>116</v>
      </c>
      <c r="C635" t="s">
        <v>568</v>
      </c>
      <c r="D635" t="s">
        <v>2260</v>
      </c>
      <c r="E635" t="s">
        <v>2947</v>
      </c>
      <c r="F635" s="452">
        <v>46076</v>
      </c>
      <c r="G635" s="452">
        <v>46076</v>
      </c>
      <c r="H635" s="452">
        <v>46097</v>
      </c>
      <c r="I635">
        <v>1689.6</v>
      </c>
      <c r="J635">
        <v>1689.6</v>
      </c>
      <c r="K635">
        <v>1689.6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462</v>
      </c>
    </row>
    <row r="636" spans="1:17" x14ac:dyDescent="0.3">
      <c r="A636">
        <v>213517</v>
      </c>
      <c r="B636">
        <v>116</v>
      </c>
      <c r="C636" t="s">
        <v>568</v>
      </c>
      <c r="D636" t="s">
        <v>2267</v>
      </c>
      <c r="E636" t="s">
        <v>2948</v>
      </c>
      <c r="F636" s="452">
        <v>46079</v>
      </c>
      <c r="G636" s="452">
        <v>46079</v>
      </c>
      <c r="H636" s="452">
        <v>46099</v>
      </c>
      <c r="I636">
        <v>719.92</v>
      </c>
      <c r="J636">
        <v>719.92</v>
      </c>
      <c r="K636">
        <v>719.92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462</v>
      </c>
    </row>
    <row r="637" spans="1:17" x14ac:dyDescent="0.3">
      <c r="A637">
        <v>213512</v>
      </c>
      <c r="B637">
        <v>116</v>
      </c>
      <c r="C637" t="s">
        <v>568</v>
      </c>
      <c r="D637" t="s">
        <v>2361</v>
      </c>
      <c r="E637" t="s">
        <v>2949</v>
      </c>
      <c r="F637" s="452">
        <v>46078</v>
      </c>
      <c r="G637" s="452">
        <v>46078</v>
      </c>
      <c r="H637" s="452">
        <v>46092</v>
      </c>
      <c r="I637">
        <v>184.4</v>
      </c>
      <c r="J637">
        <v>159.4</v>
      </c>
      <c r="K637">
        <v>184.4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462</v>
      </c>
    </row>
    <row r="638" spans="1:17" x14ac:dyDescent="0.3">
      <c r="A638">
        <v>213508</v>
      </c>
      <c r="B638">
        <v>116</v>
      </c>
      <c r="C638" t="s">
        <v>568</v>
      </c>
      <c r="D638" t="s">
        <v>2320</v>
      </c>
      <c r="E638" t="s">
        <v>2950</v>
      </c>
      <c r="F638" s="452">
        <v>46077</v>
      </c>
      <c r="G638" s="452">
        <v>46077</v>
      </c>
      <c r="H638" s="452">
        <v>46091</v>
      </c>
      <c r="I638">
        <v>1206.1500000000001</v>
      </c>
      <c r="J638">
        <v>1206.1500000000001</v>
      </c>
      <c r="K638">
        <v>1206.1500000000001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462</v>
      </c>
    </row>
    <row r="639" spans="1:17" x14ac:dyDescent="0.3">
      <c r="A639">
        <v>213305</v>
      </c>
      <c r="B639">
        <v>116</v>
      </c>
      <c r="C639" t="s">
        <v>568</v>
      </c>
      <c r="D639" t="s">
        <v>2367</v>
      </c>
      <c r="E639" t="s">
        <v>2951</v>
      </c>
      <c r="F639" s="452">
        <v>46079</v>
      </c>
      <c r="G639" s="452">
        <v>46079</v>
      </c>
      <c r="H639" s="452">
        <v>46093</v>
      </c>
      <c r="I639">
        <v>330.56</v>
      </c>
      <c r="J639">
        <v>330.56</v>
      </c>
      <c r="K639">
        <v>330.56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462</v>
      </c>
    </row>
    <row r="640" spans="1:17" x14ac:dyDescent="0.3">
      <c r="A640">
        <v>213250</v>
      </c>
      <c r="B640">
        <v>116</v>
      </c>
      <c r="C640" t="s">
        <v>568</v>
      </c>
      <c r="D640" t="s">
        <v>2265</v>
      </c>
      <c r="E640" t="s">
        <v>2952</v>
      </c>
      <c r="F640" s="452">
        <v>46079</v>
      </c>
      <c r="H640" s="452">
        <v>46092</v>
      </c>
      <c r="I640">
        <v>236.55</v>
      </c>
      <c r="J640">
        <v>236.55</v>
      </c>
      <c r="K640">
        <v>0</v>
      </c>
      <c r="L640">
        <v>0</v>
      </c>
      <c r="M640">
        <v>236.55</v>
      </c>
      <c r="N640">
        <v>0</v>
      </c>
      <c r="O640">
        <v>0</v>
      </c>
      <c r="P640">
        <v>0</v>
      </c>
      <c r="Q640" t="s">
        <v>462</v>
      </c>
    </row>
    <row r="641" spans="1:17" x14ac:dyDescent="0.3">
      <c r="A641">
        <v>213248</v>
      </c>
      <c r="B641">
        <v>116</v>
      </c>
      <c r="C641" t="s">
        <v>568</v>
      </c>
      <c r="D641" t="s">
        <v>2953</v>
      </c>
      <c r="E641" t="s">
        <v>2954</v>
      </c>
      <c r="F641" s="452">
        <v>46079</v>
      </c>
      <c r="H641" s="452">
        <v>46100</v>
      </c>
      <c r="I641">
        <v>251.76</v>
      </c>
      <c r="J641">
        <v>251.76</v>
      </c>
      <c r="K641">
        <v>0</v>
      </c>
      <c r="L641">
        <v>0</v>
      </c>
      <c r="M641">
        <v>0</v>
      </c>
      <c r="N641">
        <v>0</v>
      </c>
      <c r="O641">
        <v>251.76</v>
      </c>
      <c r="P641">
        <v>0</v>
      </c>
      <c r="Q641" t="s">
        <v>462</v>
      </c>
    </row>
    <row r="642" spans="1:17" x14ac:dyDescent="0.3">
      <c r="A642">
        <v>212900</v>
      </c>
      <c r="B642">
        <v>116</v>
      </c>
      <c r="C642" t="s">
        <v>568</v>
      </c>
      <c r="D642" t="s">
        <v>2776</v>
      </c>
      <c r="E642" t="s">
        <v>2955</v>
      </c>
      <c r="F642" s="452">
        <v>46071</v>
      </c>
      <c r="G642" s="452">
        <v>46071</v>
      </c>
      <c r="H642" s="452">
        <v>46099</v>
      </c>
      <c r="I642">
        <v>183</v>
      </c>
      <c r="J642">
        <v>183</v>
      </c>
      <c r="K642">
        <v>0</v>
      </c>
      <c r="L642">
        <v>183</v>
      </c>
      <c r="M642">
        <v>0</v>
      </c>
      <c r="N642">
        <v>0</v>
      </c>
      <c r="O642">
        <v>0</v>
      </c>
      <c r="P642">
        <v>0</v>
      </c>
      <c r="Q642" t="s">
        <v>462</v>
      </c>
    </row>
    <row r="643" spans="1:17" x14ac:dyDescent="0.3">
      <c r="A643">
        <v>212899</v>
      </c>
      <c r="B643">
        <v>116</v>
      </c>
      <c r="C643" t="s">
        <v>568</v>
      </c>
      <c r="D643" t="s">
        <v>2338</v>
      </c>
      <c r="E643" t="s">
        <v>2956</v>
      </c>
      <c r="F643" s="452">
        <v>46072</v>
      </c>
      <c r="G643" s="452">
        <v>46072</v>
      </c>
      <c r="H643" s="452">
        <v>46100</v>
      </c>
      <c r="I643">
        <v>418.36</v>
      </c>
      <c r="J643">
        <v>418.36</v>
      </c>
      <c r="K643">
        <v>418.36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462</v>
      </c>
    </row>
    <row r="644" spans="1:17" x14ac:dyDescent="0.3">
      <c r="A644">
        <v>212898</v>
      </c>
      <c r="B644">
        <v>116</v>
      </c>
      <c r="C644" t="s">
        <v>568</v>
      </c>
      <c r="D644" t="s">
        <v>2308</v>
      </c>
      <c r="E644" t="s">
        <v>2957</v>
      </c>
      <c r="F644" s="452">
        <v>46072</v>
      </c>
      <c r="G644" s="452">
        <v>46072</v>
      </c>
      <c r="H644" s="452">
        <v>46100</v>
      </c>
      <c r="I644">
        <v>634.4</v>
      </c>
      <c r="J644">
        <v>634.4</v>
      </c>
      <c r="K644">
        <v>634.4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462</v>
      </c>
    </row>
    <row r="645" spans="1:17" x14ac:dyDescent="0.3">
      <c r="A645">
        <v>212896</v>
      </c>
      <c r="B645">
        <v>116</v>
      </c>
      <c r="C645" t="s">
        <v>568</v>
      </c>
      <c r="D645" t="s">
        <v>2308</v>
      </c>
      <c r="E645" t="s">
        <v>2958</v>
      </c>
      <c r="F645" s="452">
        <v>46072</v>
      </c>
      <c r="G645" s="452">
        <v>46072</v>
      </c>
      <c r="H645" s="452">
        <v>46100</v>
      </c>
      <c r="I645">
        <v>805.39</v>
      </c>
      <c r="J645">
        <v>805.39</v>
      </c>
      <c r="K645">
        <v>805.39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462</v>
      </c>
    </row>
    <row r="646" spans="1:17" x14ac:dyDescent="0.3">
      <c r="A646">
        <v>212895</v>
      </c>
      <c r="B646">
        <v>116</v>
      </c>
      <c r="C646" t="s">
        <v>568</v>
      </c>
      <c r="D646" t="s">
        <v>2277</v>
      </c>
      <c r="E646" t="s">
        <v>2959</v>
      </c>
      <c r="F646" s="452">
        <v>46073</v>
      </c>
      <c r="G646" s="452">
        <v>46073</v>
      </c>
      <c r="H646" s="452">
        <v>46101</v>
      </c>
      <c r="I646">
        <v>986.65</v>
      </c>
      <c r="J646">
        <v>1659.96</v>
      </c>
      <c r="K646">
        <v>986.65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462</v>
      </c>
    </row>
    <row r="647" spans="1:17" x14ac:dyDescent="0.3">
      <c r="A647">
        <v>212892</v>
      </c>
      <c r="B647">
        <v>116</v>
      </c>
      <c r="C647" t="s">
        <v>568</v>
      </c>
      <c r="D647" t="s">
        <v>2275</v>
      </c>
      <c r="E647" t="s">
        <v>2960</v>
      </c>
      <c r="F647" s="452">
        <v>46071</v>
      </c>
      <c r="G647" s="452">
        <v>46071</v>
      </c>
      <c r="H647" s="452">
        <v>46107</v>
      </c>
      <c r="I647">
        <v>634.5</v>
      </c>
      <c r="J647">
        <v>634.5</v>
      </c>
      <c r="K647">
        <v>0</v>
      </c>
      <c r="L647">
        <v>634.5</v>
      </c>
      <c r="M647">
        <v>0</v>
      </c>
      <c r="N647">
        <v>0</v>
      </c>
      <c r="O647">
        <v>0</v>
      </c>
      <c r="P647">
        <v>0</v>
      </c>
      <c r="Q647" t="s">
        <v>462</v>
      </c>
    </row>
    <row r="648" spans="1:17" x14ac:dyDescent="0.3">
      <c r="A648">
        <v>212891</v>
      </c>
      <c r="B648">
        <v>116</v>
      </c>
      <c r="C648" t="s">
        <v>568</v>
      </c>
      <c r="D648" t="s">
        <v>2273</v>
      </c>
      <c r="E648" t="s">
        <v>2961</v>
      </c>
      <c r="F648" s="452">
        <v>46070</v>
      </c>
      <c r="G648" s="452">
        <v>46070</v>
      </c>
      <c r="H648" s="452">
        <v>46098</v>
      </c>
      <c r="I648">
        <v>55.54</v>
      </c>
      <c r="J648">
        <v>55.54</v>
      </c>
      <c r="K648">
        <v>55.54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462</v>
      </c>
    </row>
    <row r="649" spans="1:17" x14ac:dyDescent="0.3">
      <c r="A649">
        <v>212890</v>
      </c>
      <c r="B649">
        <v>116</v>
      </c>
      <c r="C649" t="s">
        <v>568</v>
      </c>
      <c r="D649" t="s">
        <v>2273</v>
      </c>
      <c r="E649" t="s">
        <v>2962</v>
      </c>
      <c r="F649" s="452">
        <v>46072</v>
      </c>
      <c r="G649" s="452">
        <v>46072</v>
      </c>
      <c r="H649" s="452">
        <v>46100</v>
      </c>
      <c r="I649">
        <v>56.89</v>
      </c>
      <c r="J649">
        <v>56.89</v>
      </c>
      <c r="K649">
        <v>56.89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462</v>
      </c>
    </row>
    <row r="650" spans="1:17" x14ac:dyDescent="0.3">
      <c r="A650">
        <v>212889</v>
      </c>
      <c r="B650">
        <v>116</v>
      </c>
      <c r="C650" t="s">
        <v>568</v>
      </c>
      <c r="D650" t="s">
        <v>2284</v>
      </c>
      <c r="E650" t="s">
        <v>2963</v>
      </c>
      <c r="F650" s="452">
        <v>46072</v>
      </c>
      <c r="G650" s="452">
        <v>46072</v>
      </c>
      <c r="H650" s="452">
        <v>46101</v>
      </c>
      <c r="I650">
        <v>1102.7</v>
      </c>
      <c r="J650">
        <v>1012.53</v>
      </c>
      <c r="K650">
        <v>1102.7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462</v>
      </c>
    </row>
    <row r="651" spans="1:17" x14ac:dyDescent="0.3">
      <c r="A651">
        <v>212888</v>
      </c>
      <c r="B651">
        <v>116</v>
      </c>
      <c r="C651" t="s">
        <v>568</v>
      </c>
      <c r="D651" t="s">
        <v>2288</v>
      </c>
      <c r="E651" t="s">
        <v>2964</v>
      </c>
      <c r="F651" s="452">
        <v>46066</v>
      </c>
      <c r="G651" s="452">
        <v>46066</v>
      </c>
      <c r="H651" s="452">
        <v>46094</v>
      </c>
      <c r="I651">
        <v>1957.9</v>
      </c>
      <c r="J651">
        <v>1784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1957.9</v>
      </c>
      <c r="Q651" t="s">
        <v>462</v>
      </c>
    </row>
    <row r="652" spans="1:17" x14ac:dyDescent="0.3">
      <c r="A652">
        <v>212887</v>
      </c>
      <c r="B652">
        <v>116</v>
      </c>
      <c r="C652" t="s">
        <v>568</v>
      </c>
      <c r="D652" t="s">
        <v>2271</v>
      </c>
      <c r="E652" t="s">
        <v>2965</v>
      </c>
      <c r="F652" s="452">
        <v>46072</v>
      </c>
      <c r="G652" s="452">
        <v>46072</v>
      </c>
      <c r="H652" s="452">
        <v>46100</v>
      </c>
      <c r="I652">
        <v>314.7</v>
      </c>
      <c r="J652">
        <v>314.7</v>
      </c>
      <c r="K652">
        <v>0</v>
      </c>
      <c r="L652">
        <v>314.7</v>
      </c>
      <c r="M652">
        <v>0</v>
      </c>
      <c r="N652">
        <v>0</v>
      </c>
      <c r="O652">
        <v>0</v>
      </c>
      <c r="P652">
        <v>0</v>
      </c>
      <c r="Q652" t="s">
        <v>462</v>
      </c>
    </row>
    <row r="653" spans="1:17" x14ac:dyDescent="0.3">
      <c r="A653">
        <v>212886</v>
      </c>
      <c r="B653">
        <v>116</v>
      </c>
      <c r="C653" t="s">
        <v>568</v>
      </c>
      <c r="D653" t="s">
        <v>2922</v>
      </c>
      <c r="E653" t="s">
        <v>2966</v>
      </c>
      <c r="F653" s="452">
        <v>46069</v>
      </c>
      <c r="G653" s="452">
        <v>46069</v>
      </c>
      <c r="H653" s="452">
        <v>46097</v>
      </c>
      <c r="I653">
        <v>191.88</v>
      </c>
      <c r="J653">
        <v>191.88</v>
      </c>
      <c r="K653">
        <v>191.88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462</v>
      </c>
    </row>
    <row r="654" spans="1:17" x14ac:dyDescent="0.3">
      <c r="A654">
        <v>212885</v>
      </c>
      <c r="B654">
        <v>116</v>
      </c>
      <c r="C654" t="s">
        <v>568</v>
      </c>
      <c r="D654" t="s">
        <v>2922</v>
      </c>
      <c r="E654" t="s">
        <v>2967</v>
      </c>
      <c r="F654" s="452">
        <v>46072</v>
      </c>
      <c r="G654" s="452">
        <v>46072</v>
      </c>
      <c r="H654" s="452">
        <v>46100</v>
      </c>
      <c r="I654">
        <v>641.6</v>
      </c>
      <c r="J654">
        <v>641.6</v>
      </c>
      <c r="K654">
        <v>641.6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462</v>
      </c>
    </row>
    <row r="655" spans="1:17" x14ac:dyDescent="0.3">
      <c r="A655">
        <v>212884</v>
      </c>
      <c r="B655">
        <v>116</v>
      </c>
      <c r="C655" t="s">
        <v>568</v>
      </c>
      <c r="D655" t="s">
        <v>2260</v>
      </c>
      <c r="E655" t="s">
        <v>2968</v>
      </c>
      <c r="F655" s="452">
        <v>46072</v>
      </c>
      <c r="G655" s="452">
        <v>46072</v>
      </c>
      <c r="H655" s="452">
        <v>46093</v>
      </c>
      <c r="I655">
        <v>2708.45</v>
      </c>
      <c r="J655">
        <v>2698.45</v>
      </c>
      <c r="K655">
        <v>2708.45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462</v>
      </c>
    </row>
    <row r="656" spans="1:17" x14ac:dyDescent="0.3">
      <c r="A656">
        <v>212883</v>
      </c>
      <c r="B656">
        <v>116</v>
      </c>
      <c r="C656" t="s">
        <v>568</v>
      </c>
      <c r="D656" t="s">
        <v>2267</v>
      </c>
      <c r="E656" t="s">
        <v>2969</v>
      </c>
      <c r="F656" s="452">
        <v>46073</v>
      </c>
      <c r="G656" s="452">
        <v>46073</v>
      </c>
      <c r="H656" s="452">
        <v>46083</v>
      </c>
      <c r="I656">
        <v>0</v>
      </c>
      <c r="J656">
        <v>631.72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462</v>
      </c>
    </row>
    <row r="657" spans="1:17" x14ac:dyDescent="0.3">
      <c r="A657">
        <v>212882</v>
      </c>
      <c r="B657">
        <v>116</v>
      </c>
      <c r="C657" t="s">
        <v>568</v>
      </c>
      <c r="D657" t="s">
        <v>2709</v>
      </c>
      <c r="E657" t="s">
        <v>2970</v>
      </c>
      <c r="F657" s="452">
        <v>46071</v>
      </c>
      <c r="H657" s="452">
        <v>46104</v>
      </c>
      <c r="I657">
        <v>63.64</v>
      </c>
      <c r="J657">
        <v>63.64</v>
      </c>
      <c r="K657">
        <v>0</v>
      </c>
      <c r="L657">
        <v>0</v>
      </c>
      <c r="M657">
        <v>63.64</v>
      </c>
      <c r="N657">
        <v>0</v>
      </c>
      <c r="O657">
        <v>0</v>
      </c>
      <c r="P657">
        <v>0</v>
      </c>
      <c r="Q657" t="s">
        <v>462</v>
      </c>
    </row>
    <row r="658" spans="1:17" x14ac:dyDescent="0.3">
      <c r="A658">
        <v>212881</v>
      </c>
      <c r="B658">
        <v>116</v>
      </c>
      <c r="C658" t="s">
        <v>568</v>
      </c>
      <c r="D658" t="s">
        <v>2709</v>
      </c>
      <c r="E658" t="s">
        <v>2971</v>
      </c>
      <c r="F658" s="452">
        <v>46072</v>
      </c>
      <c r="G658" s="452">
        <v>46072</v>
      </c>
      <c r="H658" s="452">
        <v>46106</v>
      </c>
      <c r="I658">
        <v>575.11</v>
      </c>
      <c r="J658">
        <v>575.11</v>
      </c>
      <c r="K658">
        <v>575.11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462</v>
      </c>
    </row>
    <row r="659" spans="1:17" x14ac:dyDescent="0.3">
      <c r="A659">
        <v>212880</v>
      </c>
      <c r="B659">
        <v>116</v>
      </c>
      <c r="C659" t="s">
        <v>568</v>
      </c>
      <c r="D659" t="s">
        <v>2385</v>
      </c>
      <c r="E659" t="s">
        <v>2972</v>
      </c>
      <c r="F659" s="452">
        <v>46072</v>
      </c>
      <c r="G659" s="452">
        <v>46072</v>
      </c>
      <c r="H659" s="452">
        <v>46093</v>
      </c>
      <c r="I659">
        <v>717.1</v>
      </c>
      <c r="J659">
        <v>685.1</v>
      </c>
      <c r="K659">
        <v>717.1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462</v>
      </c>
    </row>
    <row r="660" spans="1:17" x14ac:dyDescent="0.3">
      <c r="A660">
        <v>212879</v>
      </c>
      <c r="B660">
        <v>116</v>
      </c>
      <c r="C660" t="s">
        <v>568</v>
      </c>
      <c r="D660" t="s">
        <v>2262</v>
      </c>
      <c r="E660" t="s">
        <v>2973</v>
      </c>
      <c r="F660" s="452">
        <v>46072</v>
      </c>
      <c r="G660" s="452">
        <v>46072</v>
      </c>
      <c r="H660" s="452">
        <v>46100</v>
      </c>
      <c r="I660">
        <v>3282.53</v>
      </c>
      <c r="J660">
        <v>3282.53</v>
      </c>
      <c r="K660">
        <v>3282.53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462</v>
      </c>
    </row>
    <row r="661" spans="1:17" x14ac:dyDescent="0.3">
      <c r="A661">
        <v>212878</v>
      </c>
      <c r="B661">
        <v>116</v>
      </c>
      <c r="C661" t="s">
        <v>568</v>
      </c>
      <c r="D661" t="s">
        <v>2314</v>
      </c>
      <c r="E661" t="s">
        <v>2974</v>
      </c>
      <c r="F661" s="452">
        <v>46070</v>
      </c>
      <c r="G661" s="452">
        <v>46070</v>
      </c>
      <c r="H661" s="452">
        <v>46101</v>
      </c>
      <c r="I661">
        <v>2981.52</v>
      </c>
      <c r="J661">
        <v>2981.46</v>
      </c>
      <c r="K661">
        <v>0</v>
      </c>
      <c r="L661">
        <v>2981.52</v>
      </c>
      <c r="M661">
        <v>0</v>
      </c>
      <c r="N661">
        <v>0</v>
      </c>
      <c r="O661">
        <v>0</v>
      </c>
      <c r="P661">
        <v>0</v>
      </c>
      <c r="Q661" t="s">
        <v>462</v>
      </c>
    </row>
    <row r="662" spans="1:17" x14ac:dyDescent="0.3">
      <c r="A662">
        <v>212877</v>
      </c>
      <c r="B662">
        <v>116</v>
      </c>
      <c r="C662" t="s">
        <v>568</v>
      </c>
      <c r="D662" t="s">
        <v>2314</v>
      </c>
      <c r="E662" t="s">
        <v>2975</v>
      </c>
      <c r="F662" s="452">
        <v>46071</v>
      </c>
      <c r="G662" s="452">
        <v>46071</v>
      </c>
      <c r="H662" s="452">
        <v>46104</v>
      </c>
      <c r="I662">
        <v>6099.6</v>
      </c>
      <c r="J662">
        <v>6099.6</v>
      </c>
      <c r="K662">
        <v>0</v>
      </c>
      <c r="L662">
        <v>6099.6</v>
      </c>
      <c r="M662">
        <v>0</v>
      </c>
      <c r="N662">
        <v>0</v>
      </c>
      <c r="O662">
        <v>0</v>
      </c>
      <c r="P662">
        <v>0</v>
      </c>
      <c r="Q662" t="s">
        <v>462</v>
      </c>
    </row>
    <row r="663" spans="1:17" x14ac:dyDescent="0.3">
      <c r="A663">
        <v>211733</v>
      </c>
      <c r="B663">
        <v>116</v>
      </c>
      <c r="C663" t="s">
        <v>568</v>
      </c>
      <c r="D663" t="s">
        <v>2499</v>
      </c>
      <c r="E663" t="s">
        <v>2976</v>
      </c>
      <c r="F663" s="452">
        <v>46071</v>
      </c>
      <c r="G663" s="452">
        <v>46071</v>
      </c>
      <c r="H663" s="452">
        <v>46088</v>
      </c>
      <c r="I663">
        <v>958.19</v>
      </c>
      <c r="J663">
        <v>958.19</v>
      </c>
      <c r="K663">
        <v>958.19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462</v>
      </c>
    </row>
    <row r="664" spans="1:17" x14ac:dyDescent="0.3">
      <c r="A664">
        <v>211412</v>
      </c>
      <c r="B664">
        <v>116</v>
      </c>
      <c r="C664" t="s">
        <v>568</v>
      </c>
      <c r="D664" t="s">
        <v>2258</v>
      </c>
      <c r="E664" t="s">
        <v>2977</v>
      </c>
      <c r="F664" s="452">
        <v>46076</v>
      </c>
      <c r="G664" s="452">
        <v>46076</v>
      </c>
      <c r="H664" s="452">
        <v>46084</v>
      </c>
      <c r="I664">
        <v>176.3</v>
      </c>
      <c r="J664">
        <v>170.3</v>
      </c>
      <c r="K664">
        <v>176.3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462</v>
      </c>
    </row>
    <row r="665" spans="1:17" x14ac:dyDescent="0.3">
      <c r="A665">
        <v>211411</v>
      </c>
      <c r="B665">
        <v>116</v>
      </c>
      <c r="C665" t="s">
        <v>568</v>
      </c>
      <c r="D665" t="s">
        <v>2286</v>
      </c>
      <c r="E665" t="s">
        <v>2978</v>
      </c>
      <c r="F665" s="452">
        <v>46072</v>
      </c>
      <c r="G665" s="452">
        <v>46072</v>
      </c>
      <c r="H665" s="452">
        <v>46086</v>
      </c>
      <c r="I665">
        <v>486.1</v>
      </c>
      <c r="J665">
        <v>486.1</v>
      </c>
      <c r="K665">
        <v>486.1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462</v>
      </c>
    </row>
    <row r="666" spans="1:17" x14ac:dyDescent="0.3">
      <c r="A666">
        <v>211410</v>
      </c>
      <c r="B666">
        <v>116</v>
      </c>
      <c r="C666" t="s">
        <v>568</v>
      </c>
      <c r="D666" t="s">
        <v>2286</v>
      </c>
      <c r="E666" t="s">
        <v>2979</v>
      </c>
      <c r="F666" s="452">
        <v>46070</v>
      </c>
      <c r="G666" s="452">
        <v>46070</v>
      </c>
      <c r="H666" s="452">
        <v>46084</v>
      </c>
      <c r="I666">
        <v>310</v>
      </c>
      <c r="J666">
        <v>310</v>
      </c>
      <c r="K666">
        <v>310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462</v>
      </c>
    </row>
    <row r="667" spans="1:17" x14ac:dyDescent="0.3">
      <c r="A667">
        <v>211409</v>
      </c>
      <c r="B667">
        <v>116</v>
      </c>
      <c r="C667" t="s">
        <v>568</v>
      </c>
      <c r="D667" t="s">
        <v>2282</v>
      </c>
      <c r="E667" t="s">
        <v>2980</v>
      </c>
      <c r="F667" s="452">
        <v>46071</v>
      </c>
      <c r="H667" s="452">
        <v>46085</v>
      </c>
      <c r="I667">
        <v>379.5</v>
      </c>
      <c r="J667">
        <v>379.5</v>
      </c>
      <c r="K667">
        <v>0</v>
      </c>
      <c r="L667">
        <v>0</v>
      </c>
      <c r="M667">
        <v>0</v>
      </c>
      <c r="N667">
        <v>379.5</v>
      </c>
      <c r="O667">
        <v>0</v>
      </c>
      <c r="P667">
        <v>0</v>
      </c>
      <c r="Q667" t="s">
        <v>462</v>
      </c>
    </row>
    <row r="668" spans="1:17" x14ac:dyDescent="0.3">
      <c r="A668">
        <v>211408</v>
      </c>
      <c r="B668">
        <v>116</v>
      </c>
      <c r="C668" t="s">
        <v>568</v>
      </c>
      <c r="D668" t="s">
        <v>2265</v>
      </c>
      <c r="E668" t="s">
        <v>2981</v>
      </c>
      <c r="F668" s="452">
        <v>46073</v>
      </c>
      <c r="H668" s="452">
        <v>46089</v>
      </c>
      <c r="I668">
        <v>841.87</v>
      </c>
      <c r="J668">
        <v>799.87</v>
      </c>
      <c r="K668">
        <v>0</v>
      </c>
      <c r="L668">
        <v>0</v>
      </c>
      <c r="M668">
        <v>815.56</v>
      </c>
      <c r="N668">
        <v>0</v>
      </c>
      <c r="O668">
        <v>26.31</v>
      </c>
      <c r="P668">
        <v>0</v>
      </c>
      <c r="Q668" t="s">
        <v>462</v>
      </c>
    </row>
    <row r="669" spans="1:17" x14ac:dyDescent="0.3">
      <c r="A669">
        <v>211407</v>
      </c>
      <c r="B669">
        <v>116</v>
      </c>
      <c r="C669" t="s">
        <v>568</v>
      </c>
      <c r="D669" t="s">
        <v>2318</v>
      </c>
      <c r="E669" t="s">
        <v>2982</v>
      </c>
      <c r="F669" s="452">
        <v>46061</v>
      </c>
      <c r="G669" s="452">
        <v>46061</v>
      </c>
      <c r="H669" s="452">
        <v>46085</v>
      </c>
      <c r="I669">
        <v>958.8</v>
      </c>
      <c r="J669">
        <v>958.8</v>
      </c>
      <c r="K669">
        <v>958.8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462</v>
      </c>
    </row>
    <row r="670" spans="1:17" x14ac:dyDescent="0.3">
      <c r="A670">
        <v>210699</v>
      </c>
      <c r="B670">
        <v>116</v>
      </c>
      <c r="C670" t="s">
        <v>568</v>
      </c>
      <c r="D670" t="s">
        <v>2267</v>
      </c>
      <c r="E670" t="s">
        <v>2983</v>
      </c>
      <c r="F670" s="452">
        <v>46064</v>
      </c>
      <c r="G670" s="452">
        <v>46064</v>
      </c>
      <c r="H670" s="452">
        <v>46090</v>
      </c>
      <c r="I670">
        <v>128.91999999999999</v>
      </c>
      <c r="J670">
        <v>128.91999999999999</v>
      </c>
      <c r="K670">
        <v>128.91999999999999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462</v>
      </c>
    </row>
    <row r="671" spans="1:17" x14ac:dyDescent="0.3">
      <c r="A671">
        <v>210698</v>
      </c>
      <c r="B671">
        <v>116</v>
      </c>
      <c r="C671" t="s">
        <v>568</v>
      </c>
      <c r="D671" t="s">
        <v>2267</v>
      </c>
      <c r="E671" t="s">
        <v>2984</v>
      </c>
      <c r="F671" s="452">
        <v>46066</v>
      </c>
      <c r="G671" s="452">
        <v>46066</v>
      </c>
      <c r="H671" s="452">
        <v>46091</v>
      </c>
      <c r="I671">
        <v>442.24</v>
      </c>
      <c r="J671">
        <v>442.24</v>
      </c>
      <c r="K671">
        <v>442.24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462</v>
      </c>
    </row>
    <row r="672" spans="1:17" x14ac:dyDescent="0.3">
      <c r="A672">
        <v>210697</v>
      </c>
      <c r="B672">
        <v>116</v>
      </c>
      <c r="C672" t="s">
        <v>568</v>
      </c>
      <c r="D672" t="s">
        <v>2709</v>
      </c>
      <c r="E672" t="s">
        <v>2985</v>
      </c>
      <c r="F672" s="452">
        <v>46062</v>
      </c>
      <c r="H672" s="452">
        <v>46097</v>
      </c>
      <c r="I672">
        <v>148.31</v>
      </c>
      <c r="J672">
        <v>74.900000000000006</v>
      </c>
      <c r="K672">
        <v>0</v>
      </c>
      <c r="L672">
        <v>0</v>
      </c>
      <c r="M672">
        <v>148.31</v>
      </c>
      <c r="N672">
        <v>0</v>
      </c>
      <c r="O672">
        <v>0</v>
      </c>
      <c r="P672">
        <v>0</v>
      </c>
      <c r="Q672" t="s">
        <v>462</v>
      </c>
    </row>
    <row r="673" spans="1:17" x14ac:dyDescent="0.3">
      <c r="A673">
        <v>210696</v>
      </c>
      <c r="B673">
        <v>116</v>
      </c>
      <c r="C673" t="s">
        <v>568</v>
      </c>
      <c r="D673" t="s">
        <v>2709</v>
      </c>
      <c r="E673" t="s">
        <v>2986</v>
      </c>
      <c r="F673" s="452">
        <v>46063</v>
      </c>
      <c r="G673" s="452">
        <v>46063</v>
      </c>
      <c r="H673" s="452">
        <v>46097</v>
      </c>
      <c r="I673">
        <v>1046.42</v>
      </c>
      <c r="J673">
        <v>1046.42</v>
      </c>
      <c r="K673">
        <v>1046.42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462</v>
      </c>
    </row>
    <row r="674" spans="1:17" x14ac:dyDescent="0.3">
      <c r="A674">
        <v>210695</v>
      </c>
      <c r="B674">
        <v>116</v>
      </c>
      <c r="C674" t="s">
        <v>568</v>
      </c>
      <c r="D674" t="s">
        <v>2385</v>
      </c>
      <c r="E674" t="s">
        <v>2987</v>
      </c>
      <c r="F674" s="452">
        <v>46064</v>
      </c>
      <c r="G674" s="452">
        <v>46064</v>
      </c>
      <c r="H674" s="452">
        <v>46082</v>
      </c>
      <c r="I674">
        <v>699.23</v>
      </c>
      <c r="J674">
        <v>667.23</v>
      </c>
      <c r="K674">
        <v>699.23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462</v>
      </c>
    </row>
    <row r="675" spans="1:17" x14ac:dyDescent="0.3">
      <c r="A675">
        <v>210694</v>
      </c>
      <c r="B675">
        <v>116</v>
      </c>
      <c r="C675" t="s">
        <v>568</v>
      </c>
      <c r="D675" t="s">
        <v>2262</v>
      </c>
      <c r="E675" t="s">
        <v>2988</v>
      </c>
      <c r="F675" s="452">
        <v>46063</v>
      </c>
      <c r="G675" s="452">
        <v>46063</v>
      </c>
      <c r="H675" s="452">
        <v>46091</v>
      </c>
      <c r="I675">
        <v>894.96</v>
      </c>
      <c r="J675">
        <v>894.96</v>
      </c>
      <c r="K675">
        <v>894.96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462</v>
      </c>
    </row>
    <row r="676" spans="1:17" x14ac:dyDescent="0.3">
      <c r="A676">
        <v>210693</v>
      </c>
      <c r="B676">
        <v>116</v>
      </c>
      <c r="C676" t="s">
        <v>568</v>
      </c>
      <c r="D676" t="s">
        <v>2262</v>
      </c>
      <c r="E676" t="s">
        <v>2989</v>
      </c>
      <c r="F676" s="452">
        <v>46064</v>
      </c>
      <c r="G676" s="452">
        <v>46064</v>
      </c>
      <c r="H676" s="452">
        <v>46092</v>
      </c>
      <c r="I676">
        <v>2565.4499999999998</v>
      </c>
      <c r="J676">
        <v>2565.4499999999998</v>
      </c>
      <c r="K676">
        <v>2565.4499999999998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462</v>
      </c>
    </row>
    <row r="677" spans="1:17" x14ac:dyDescent="0.3">
      <c r="A677">
        <v>210692</v>
      </c>
      <c r="B677">
        <v>116</v>
      </c>
      <c r="C677" t="s">
        <v>568</v>
      </c>
      <c r="D677" t="s">
        <v>2262</v>
      </c>
      <c r="E677" t="s">
        <v>2990</v>
      </c>
      <c r="F677" s="452">
        <v>46065</v>
      </c>
      <c r="G677" s="452">
        <v>46065</v>
      </c>
      <c r="H677" s="452">
        <v>46094</v>
      </c>
      <c r="I677">
        <v>527.9</v>
      </c>
      <c r="J677">
        <v>527.9</v>
      </c>
      <c r="K677">
        <v>527.9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462</v>
      </c>
    </row>
    <row r="678" spans="1:17" x14ac:dyDescent="0.3">
      <c r="A678">
        <v>210333</v>
      </c>
      <c r="B678">
        <v>116</v>
      </c>
      <c r="C678" t="s">
        <v>568</v>
      </c>
      <c r="D678" t="s">
        <v>2314</v>
      </c>
      <c r="E678" t="s">
        <v>2991</v>
      </c>
      <c r="F678" s="452">
        <v>46064</v>
      </c>
      <c r="G678" s="452">
        <v>46064</v>
      </c>
      <c r="H678" s="452">
        <v>46094</v>
      </c>
      <c r="I678">
        <v>314.12</v>
      </c>
      <c r="J678">
        <v>265.93</v>
      </c>
      <c r="K678">
        <v>0</v>
      </c>
      <c r="L678">
        <v>314.12</v>
      </c>
      <c r="M678">
        <v>0</v>
      </c>
      <c r="N678">
        <v>0</v>
      </c>
      <c r="O678">
        <v>0</v>
      </c>
      <c r="P678">
        <v>0</v>
      </c>
      <c r="Q678" t="s">
        <v>462</v>
      </c>
    </row>
    <row r="679" spans="1:17" x14ac:dyDescent="0.3">
      <c r="A679">
        <v>210330</v>
      </c>
      <c r="B679">
        <v>116</v>
      </c>
      <c r="C679" t="s">
        <v>568</v>
      </c>
      <c r="D679" t="s">
        <v>2314</v>
      </c>
      <c r="E679" t="s">
        <v>2992</v>
      </c>
      <c r="F679" s="452">
        <v>46064</v>
      </c>
      <c r="G679" s="452">
        <v>46064</v>
      </c>
      <c r="H679" s="452">
        <v>46097</v>
      </c>
      <c r="I679">
        <v>612</v>
      </c>
      <c r="J679">
        <v>612</v>
      </c>
      <c r="K679">
        <v>0</v>
      </c>
      <c r="L679">
        <v>612</v>
      </c>
      <c r="M679">
        <v>0</v>
      </c>
      <c r="N679">
        <v>0</v>
      </c>
      <c r="O679">
        <v>0</v>
      </c>
      <c r="P679">
        <v>0</v>
      </c>
      <c r="Q679" t="s">
        <v>462</v>
      </c>
    </row>
    <row r="680" spans="1:17" x14ac:dyDescent="0.3">
      <c r="A680">
        <v>210326</v>
      </c>
      <c r="B680">
        <v>116</v>
      </c>
      <c r="C680" t="s">
        <v>568</v>
      </c>
      <c r="D680" t="s">
        <v>2314</v>
      </c>
      <c r="E680" t="s">
        <v>2993</v>
      </c>
      <c r="F680" s="452">
        <v>46064</v>
      </c>
      <c r="G680" s="452">
        <v>46064</v>
      </c>
      <c r="H680" s="452">
        <v>46097</v>
      </c>
      <c r="I680">
        <v>3862.4</v>
      </c>
      <c r="J680">
        <v>3862.4</v>
      </c>
      <c r="K680">
        <v>0</v>
      </c>
      <c r="L680">
        <v>3862.4</v>
      </c>
      <c r="M680">
        <v>0</v>
      </c>
      <c r="N680">
        <v>0</v>
      </c>
      <c r="O680">
        <v>0</v>
      </c>
      <c r="P680">
        <v>0</v>
      </c>
      <c r="Q680" t="s">
        <v>462</v>
      </c>
    </row>
    <row r="681" spans="1:17" x14ac:dyDescent="0.3">
      <c r="A681">
        <v>210323</v>
      </c>
      <c r="B681">
        <v>116</v>
      </c>
      <c r="C681" t="s">
        <v>568</v>
      </c>
      <c r="D681" t="s">
        <v>2308</v>
      </c>
      <c r="E681" t="s">
        <v>2994</v>
      </c>
      <c r="F681" s="452">
        <v>46064</v>
      </c>
      <c r="G681" s="452">
        <v>46064</v>
      </c>
      <c r="H681" s="452">
        <v>46092</v>
      </c>
      <c r="I681">
        <v>933.3</v>
      </c>
      <c r="J681">
        <v>933.3</v>
      </c>
      <c r="K681">
        <v>933.3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462</v>
      </c>
    </row>
    <row r="682" spans="1:17" x14ac:dyDescent="0.3">
      <c r="A682">
        <v>210320</v>
      </c>
      <c r="B682">
        <v>116</v>
      </c>
      <c r="C682" t="s">
        <v>568</v>
      </c>
      <c r="D682" t="s">
        <v>2429</v>
      </c>
      <c r="E682" t="s">
        <v>2995</v>
      </c>
      <c r="F682" s="452">
        <v>46063</v>
      </c>
      <c r="G682" s="452">
        <v>46063</v>
      </c>
      <c r="H682" s="452">
        <v>46084</v>
      </c>
      <c r="I682">
        <v>300.2</v>
      </c>
      <c r="J682">
        <v>300.2</v>
      </c>
      <c r="K682">
        <v>300.2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462</v>
      </c>
    </row>
    <row r="683" spans="1:17" x14ac:dyDescent="0.3">
      <c r="A683">
        <v>210316</v>
      </c>
      <c r="B683">
        <v>116</v>
      </c>
      <c r="C683" t="s">
        <v>568</v>
      </c>
      <c r="D683" t="s">
        <v>2277</v>
      </c>
      <c r="E683" t="s">
        <v>2996</v>
      </c>
      <c r="F683" s="452">
        <v>46063</v>
      </c>
      <c r="G683" s="452">
        <v>46063</v>
      </c>
      <c r="H683" s="452">
        <v>46091</v>
      </c>
      <c r="I683">
        <v>1077.1500000000001</v>
      </c>
      <c r="J683">
        <v>1075.17</v>
      </c>
      <c r="K683">
        <v>1077.1500000000001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462</v>
      </c>
    </row>
    <row r="684" spans="1:17" x14ac:dyDescent="0.3">
      <c r="A684">
        <v>210312</v>
      </c>
      <c r="B684">
        <v>116</v>
      </c>
      <c r="C684" t="s">
        <v>568</v>
      </c>
      <c r="D684" t="s">
        <v>2275</v>
      </c>
      <c r="E684" t="s">
        <v>2997</v>
      </c>
      <c r="F684" s="452">
        <v>46065</v>
      </c>
      <c r="G684" s="452">
        <v>46065</v>
      </c>
      <c r="H684" s="452">
        <v>46101</v>
      </c>
      <c r="I684">
        <v>364</v>
      </c>
      <c r="J684">
        <v>364</v>
      </c>
      <c r="K684">
        <v>0</v>
      </c>
      <c r="L684">
        <v>364</v>
      </c>
      <c r="M684">
        <v>0</v>
      </c>
      <c r="N684">
        <v>0</v>
      </c>
      <c r="O684">
        <v>0</v>
      </c>
      <c r="P684">
        <v>0</v>
      </c>
      <c r="Q684" t="s">
        <v>462</v>
      </c>
    </row>
    <row r="685" spans="1:17" x14ac:dyDescent="0.3">
      <c r="A685">
        <v>210308</v>
      </c>
      <c r="B685">
        <v>116</v>
      </c>
      <c r="C685" t="s">
        <v>568</v>
      </c>
      <c r="D685" t="s">
        <v>2094</v>
      </c>
      <c r="E685" t="s">
        <v>2998</v>
      </c>
      <c r="F685" s="452">
        <v>46062</v>
      </c>
      <c r="G685" s="452">
        <v>46062</v>
      </c>
      <c r="H685" s="452">
        <v>46076</v>
      </c>
      <c r="I685">
        <v>638</v>
      </c>
      <c r="J685">
        <v>571</v>
      </c>
      <c r="K685">
        <v>0</v>
      </c>
      <c r="L685">
        <v>638</v>
      </c>
      <c r="M685">
        <v>0</v>
      </c>
      <c r="N685">
        <v>0</v>
      </c>
      <c r="O685">
        <v>0</v>
      </c>
      <c r="P685">
        <v>0</v>
      </c>
      <c r="Q685" t="s">
        <v>462</v>
      </c>
    </row>
    <row r="686" spans="1:17" x14ac:dyDescent="0.3">
      <c r="A686">
        <v>210307</v>
      </c>
      <c r="B686">
        <v>116</v>
      </c>
      <c r="C686" t="s">
        <v>568</v>
      </c>
      <c r="D686" t="s">
        <v>2273</v>
      </c>
      <c r="E686" t="s">
        <v>2999</v>
      </c>
      <c r="F686" s="452">
        <v>46062</v>
      </c>
      <c r="G686" s="452">
        <v>46062</v>
      </c>
      <c r="H686" s="452">
        <v>46090</v>
      </c>
      <c r="I686">
        <v>164.65</v>
      </c>
      <c r="J686">
        <v>164.64</v>
      </c>
      <c r="K686">
        <v>164.65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462</v>
      </c>
    </row>
    <row r="687" spans="1:17" x14ac:dyDescent="0.3">
      <c r="A687">
        <v>210304</v>
      </c>
      <c r="B687">
        <v>116</v>
      </c>
      <c r="C687" t="s">
        <v>568</v>
      </c>
      <c r="D687" t="s">
        <v>2273</v>
      </c>
      <c r="E687" t="s">
        <v>3000</v>
      </c>
      <c r="F687" s="452">
        <v>46065</v>
      </c>
      <c r="G687" s="452">
        <v>46065</v>
      </c>
      <c r="H687" s="452">
        <v>46093</v>
      </c>
      <c r="I687">
        <v>250.42</v>
      </c>
      <c r="J687">
        <v>250.41</v>
      </c>
      <c r="K687">
        <v>250.42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462</v>
      </c>
    </row>
    <row r="688" spans="1:17" x14ac:dyDescent="0.3">
      <c r="A688">
        <v>210302</v>
      </c>
      <c r="B688">
        <v>116</v>
      </c>
      <c r="C688" t="s">
        <v>568</v>
      </c>
      <c r="D688" t="s">
        <v>2284</v>
      </c>
      <c r="E688" t="s">
        <v>3001</v>
      </c>
      <c r="F688" s="452">
        <v>46062</v>
      </c>
      <c r="G688" s="452">
        <v>46062</v>
      </c>
      <c r="H688" s="452">
        <v>46091</v>
      </c>
      <c r="I688">
        <v>527.6</v>
      </c>
      <c r="J688">
        <v>151.80000000000001</v>
      </c>
      <c r="K688">
        <v>0</v>
      </c>
      <c r="L688">
        <v>527.6</v>
      </c>
      <c r="M688">
        <v>0</v>
      </c>
      <c r="N688">
        <v>0</v>
      </c>
      <c r="O688">
        <v>0</v>
      </c>
      <c r="P688">
        <v>0</v>
      </c>
      <c r="Q688" t="s">
        <v>462</v>
      </c>
    </row>
    <row r="689" spans="1:17" x14ac:dyDescent="0.3">
      <c r="A689">
        <v>210288</v>
      </c>
      <c r="B689">
        <v>116</v>
      </c>
      <c r="C689" t="s">
        <v>568</v>
      </c>
      <c r="D689" t="s">
        <v>2284</v>
      </c>
      <c r="E689" t="s">
        <v>3002</v>
      </c>
      <c r="F689" s="452">
        <v>46063</v>
      </c>
      <c r="G689" s="452">
        <v>46063</v>
      </c>
      <c r="H689" s="452">
        <v>46091</v>
      </c>
      <c r="I689">
        <v>896.11</v>
      </c>
      <c r="J689">
        <v>688.11</v>
      </c>
      <c r="K689">
        <v>896.11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462</v>
      </c>
    </row>
    <row r="690" spans="1:17" x14ac:dyDescent="0.3">
      <c r="A690">
        <v>210286</v>
      </c>
      <c r="B690">
        <v>116</v>
      </c>
      <c r="C690" t="s">
        <v>568</v>
      </c>
      <c r="D690" t="s">
        <v>2332</v>
      </c>
      <c r="E690" t="s">
        <v>3003</v>
      </c>
      <c r="F690" s="452">
        <v>46064</v>
      </c>
      <c r="G690" s="452">
        <v>46064</v>
      </c>
      <c r="H690" s="452">
        <v>46092</v>
      </c>
      <c r="I690">
        <v>141.5</v>
      </c>
      <c r="J690">
        <v>141.55000000000001</v>
      </c>
      <c r="K690">
        <v>0</v>
      </c>
      <c r="L690">
        <v>141.5</v>
      </c>
      <c r="M690">
        <v>0</v>
      </c>
      <c r="N690">
        <v>0</v>
      </c>
      <c r="O690">
        <v>0</v>
      </c>
      <c r="P690">
        <v>0</v>
      </c>
      <c r="Q690" t="s">
        <v>462</v>
      </c>
    </row>
    <row r="691" spans="1:17" x14ac:dyDescent="0.3">
      <c r="A691">
        <v>210285</v>
      </c>
      <c r="B691">
        <v>116</v>
      </c>
      <c r="C691" t="s">
        <v>568</v>
      </c>
      <c r="D691" t="s">
        <v>2271</v>
      </c>
      <c r="E691" t="s">
        <v>3004</v>
      </c>
      <c r="F691" s="452">
        <v>46063</v>
      </c>
      <c r="G691" s="452">
        <v>46063</v>
      </c>
      <c r="H691" s="452">
        <v>46091</v>
      </c>
      <c r="I691">
        <v>188.4</v>
      </c>
      <c r="J691">
        <v>188.4</v>
      </c>
      <c r="K691">
        <v>0</v>
      </c>
      <c r="L691">
        <v>188.4</v>
      </c>
      <c r="M691">
        <v>0</v>
      </c>
      <c r="N691">
        <v>0</v>
      </c>
      <c r="O691">
        <v>0</v>
      </c>
      <c r="P691">
        <v>0</v>
      </c>
      <c r="Q691" t="s">
        <v>462</v>
      </c>
    </row>
    <row r="692" spans="1:17" x14ac:dyDescent="0.3">
      <c r="A692">
        <v>210280</v>
      </c>
      <c r="B692">
        <v>116</v>
      </c>
      <c r="C692" t="s">
        <v>568</v>
      </c>
      <c r="D692" t="s">
        <v>2342</v>
      </c>
      <c r="E692" t="s">
        <v>3005</v>
      </c>
      <c r="F692" s="452">
        <v>46062</v>
      </c>
      <c r="G692" s="452">
        <v>46062</v>
      </c>
      <c r="H692" s="452">
        <v>46084</v>
      </c>
      <c r="I692">
        <v>275</v>
      </c>
      <c r="J692">
        <v>240</v>
      </c>
      <c r="K692">
        <v>275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462</v>
      </c>
    </row>
    <row r="693" spans="1:17" x14ac:dyDescent="0.3">
      <c r="A693">
        <v>210256</v>
      </c>
      <c r="B693">
        <v>116</v>
      </c>
      <c r="C693" t="s">
        <v>568</v>
      </c>
      <c r="D693" t="s">
        <v>2922</v>
      </c>
      <c r="E693" t="s">
        <v>3006</v>
      </c>
      <c r="F693" s="452">
        <v>46065</v>
      </c>
      <c r="G693" s="452">
        <v>46065</v>
      </c>
      <c r="H693" s="452">
        <v>46093</v>
      </c>
      <c r="I693">
        <v>132.22999999999999</v>
      </c>
      <c r="J693">
        <v>132.22</v>
      </c>
      <c r="K693">
        <v>132.22999999999999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462</v>
      </c>
    </row>
    <row r="694" spans="1:17" x14ac:dyDescent="0.3">
      <c r="A694">
        <v>210253</v>
      </c>
      <c r="B694">
        <v>116</v>
      </c>
      <c r="C694" t="s">
        <v>568</v>
      </c>
      <c r="D694" t="s">
        <v>2922</v>
      </c>
      <c r="E694" t="s">
        <v>3007</v>
      </c>
      <c r="F694" s="452">
        <v>46062</v>
      </c>
      <c r="G694" s="452">
        <v>46062</v>
      </c>
      <c r="H694" s="452">
        <v>46090</v>
      </c>
      <c r="I694">
        <v>298.54000000000002</v>
      </c>
      <c r="J694">
        <v>298.54000000000002</v>
      </c>
      <c r="K694">
        <v>298.54000000000002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462</v>
      </c>
    </row>
    <row r="695" spans="1:17" x14ac:dyDescent="0.3">
      <c r="A695">
        <v>209049</v>
      </c>
      <c r="B695">
        <v>116</v>
      </c>
      <c r="C695" t="s">
        <v>568</v>
      </c>
      <c r="D695" t="s">
        <v>2323</v>
      </c>
      <c r="E695" t="s">
        <v>3008</v>
      </c>
      <c r="F695" s="452">
        <v>46054</v>
      </c>
      <c r="G695" s="452">
        <v>46054</v>
      </c>
      <c r="H695" s="452">
        <v>46076</v>
      </c>
      <c r="I695">
        <v>638.75</v>
      </c>
      <c r="J695">
        <v>638.75</v>
      </c>
      <c r="K695">
        <v>638.75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462</v>
      </c>
    </row>
    <row r="696" spans="1:17" x14ac:dyDescent="0.3">
      <c r="A696">
        <v>209044</v>
      </c>
      <c r="B696">
        <v>116</v>
      </c>
      <c r="C696" t="s">
        <v>568</v>
      </c>
      <c r="D696" t="s">
        <v>2265</v>
      </c>
      <c r="E696" t="s">
        <v>3009</v>
      </c>
      <c r="F696" s="452">
        <v>46063</v>
      </c>
      <c r="H696" s="452">
        <v>46078</v>
      </c>
      <c r="I696">
        <v>663.88</v>
      </c>
      <c r="J696">
        <v>78</v>
      </c>
      <c r="K696">
        <v>0</v>
      </c>
      <c r="L696">
        <v>0</v>
      </c>
      <c r="M696">
        <v>0</v>
      </c>
      <c r="N696">
        <v>0</v>
      </c>
      <c r="O696">
        <v>663.88</v>
      </c>
      <c r="P696">
        <v>0</v>
      </c>
      <c r="Q696" t="s">
        <v>462</v>
      </c>
    </row>
    <row r="697" spans="1:17" x14ac:dyDescent="0.3">
      <c r="A697">
        <v>209041</v>
      </c>
      <c r="B697">
        <v>116</v>
      </c>
      <c r="C697" t="s">
        <v>568</v>
      </c>
      <c r="D697" t="s">
        <v>3010</v>
      </c>
      <c r="E697" t="s">
        <v>3011</v>
      </c>
      <c r="F697" s="452">
        <v>46063</v>
      </c>
      <c r="H697" s="452">
        <v>46076</v>
      </c>
      <c r="I697">
        <v>379.5</v>
      </c>
      <c r="J697">
        <v>379.5</v>
      </c>
      <c r="K697">
        <v>0</v>
      </c>
      <c r="L697">
        <v>0</v>
      </c>
      <c r="M697">
        <v>0</v>
      </c>
      <c r="N697">
        <v>379.5</v>
      </c>
      <c r="O697">
        <v>0</v>
      </c>
      <c r="P697">
        <v>0</v>
      </c>
      <c r="Q697" t="s">
        <v>462</v>
      </c>
    </row>
    <row r="698" spans="1:17" x14ac:dyDescent="0.3">
      <c r="A698">
        <v>209038</v>
      </c>
      <c r="B698">
        <v>116</v>
      </c>
      <c r="C698" t="s">
        <v>568</v>
      </c>
      <c r="D698" t="s">
        <v>2286</v>
      </c>
      <c r="E698" t="s">
        <v>3012</v>
      </c>
      <c r="F698" s="452">
        <v>46062</v>
      </c>
      <c r="G698" s="452">
        <v>46062</v>
      </c>
      <c r="H698" s="452">
        <v>46076</v>
      </c>
      <c r="I698">
        <v>230.4</v>
      </c>
      <c r="J698">
        <v>230.4</v>
      </c>
      <c r="K698">
        <v>230.4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462</v>
      </c>
    </row>
    <row r="699" spans="1:17" x14ac:dyDescent="0.3">
      <c r="A699">
        <v>209035</v>
      </c>
      <c r="B699">
        <v>116</v>
      </c>
      <c r="C699" t="s">
        <v>568</v>
      </c>
      <c r="D699" t="s">
        <v>2286</v>
      </c>
      <c r="E699" t="s">
        <v>3013</v>
      </c>
      <c r="F699" s="452">
        <v>46065</v>
      </c>
      <c r="G699" s="452">
        <v>46065</v>
      </c>
      <c r="H699" s="452">
        <v>46079</v>
      </c>
      <c r="I699">
        <v>427.8</v>
      </c>
      <c r="J699">
        <v>427.8</v>
      </c>
      <c r="K699">
        <v>427.8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462</v>
      </c>
    </row>
    <row r="700" spans="1:17" x14ac:dyDescent="0.3">
      <c r="A700">
        <v>209034</v>
      </c>
      <c r="B700">
        <v>116</v>
      </c>
      <c r="C700" t="s">
        <v>568</v>
      </c>
      <c r="D700" t="s">
        <v>2357</v>
      </c>
      <c r="E700" t="s">
        <v>3014</v>
      </c>
      <c r="F700" s="452">
        <v>46062</v>
      </c>
      <c r="G700" s="452">
        <v>46062</v>
      </c>
      <c r="H700" s="452">
        <v>46076</v>
      </c>
      <c r="I700">
        <v>332.7</v>
      </c>
      <c r="J700">
        <v>332.7</v>
      </c>
      <c r="K700">
        <v>332.7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462</v>
      </c>
    </row>
    <row r="701" spans="1:17" x14ac:dyDescent="0.3">
      <c r="A701">
        <v>209032</v>
      </c>
      <c r="B701">
        <v>116</v>
      </c>
      <c r="C701" t="s">
        <v>568</v>
      </c>
      <c r="D701" t="s">
        <v>2260</v>
      </c>
      <c r="E701" t="s">
        <v>3015</v>
      </c>
      <c r="F701" s="452">
        <v>46064</v>
      </c>
      <c r="G701" s="452">
        <v>46064</v>
      </c>
      <c r="H701" s="452">
        <v>46078</v>
      </c>
      <c r="I701">
        <v>2447.25</v>
      </c>
      <c r="J701">
        <v>2328.0500000000002</v>
      </c>
      <c r="K701">
        <v>2447.25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462</v>
      </c>
    </row>
    <row r="702" spans="1:17" x14ac:dyDescent="0.3">
      <c r="A702">
        <v>209030</v>
      </c>
      <c r="B702">
        <v>116</v>
      </c>
      <c r="C702" t="s">
        <v>568</v>
      </c>
      <c r="D702" t="s">
        <v>2260</v>
      </c>
      <c r="E702" t="s">
        <v>3016</v>
      </c>
      <c r="F702" s="452">
        <v>46064</v>
      </c>
      <c r="G702" s="452">
        <v>46064</v>
      </c>
      <c r="H702" s="452">
        <v>46078</v>
      </c>
      <c r="I702">
        <v>355.5</v>
      </c>
      <c r="J702">
        <v>355.5</v>
      </c>
      <c r="K702">
        <v>355.5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462</v>
      </c>
    </row>
    <row r="703" spans="1:17" x14ac:dyDescent="0.3">
      <c r="A703">
        <v>208981</v>
      </c>
      <c r="B703">
        <v>116</v>
      </c>
      <c r="C703" t="s">
        <v>568</v>
      </c>
      <c r="D703" t="s">
        <v>2323</v>
      </c>
      <c r="E703" t="s">
        <v>3017</v>
      </c>
      <c r="F703" s="452">
        <v>46065</v>
      </c>
      <c r="G703" s="452">
        <v>46065</v>
      </c>
      <c r="H703" s="452">
        <v>46079</v>
      </c>
      <c r="I703">
        <v>675.3</v>
      </c>
      <c r="J703">
        <v>675.3</v>
      </c>
      <c r="K703">
        <v>675.3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462</v>
      </c>
    </row>
    <row r="704" spans="1:17" x14ac:dyDescent="0.3">
      <c r="A704">
        <v>208386</v>
      </c>
      <c r="B704">
        <v>116</v>
      </c>
      <c r="C704" t="s">
        <v>568</v>
      </c>
      <c r="D704" t="s">
        <v>2293</v>
      </c>
      <c r="E704" t="s">
        <v>3018</v>
      </c>
      <c r="F704" s="452">
        <v>46058</v>
      </c>
      <c r="G704" s="452">
        <v>46058</v>
      </c>
      <c r="H704" s="452">
        <v>46088</v>
      </c>
      <c r="I704">
        <v>540</v>
      </c>
      <c r="J704">
        <v>540</v>
      </c>
      <c r="K704">
        <v>0</v>
      </c>
      <c r="L704">
        <v>540</v>
      </c>
      <c r="M704">
        <v>0</v>
      </c>
      <c r="N704">
        <v>0</v>
      </c>
      <c r="O704">
        <v>0</v>
      </c>
      <c r="P704">
        <v>0</v>
      </c>
      <c r="Q704" t="s">
        <v>462</v>
      </c>
    </row>
    <row r="705" spans="1:17" x14ac:dyDescent="0.3">
      <c r="A705">
        <v>207979</v>
      </c>
      <c r="B705">
        <v>116</v>
      </c>
      <c r="C705" t="s">
        <v>568</v>
      </c>
      <c r="D705" t="s">
        <v>2262</v>
      </c>
      <c r="E705" t="s">
        <v>3019</v>
      </c>
      <c r="F705" s="452">
        <v>46052</v>
      </c>
      <c r="G705" s="452">
        <v>46052</v>
      </c>
      <c r="H705" s="452">
        <v>46080</v>
      </c>
      <c r="I705">
        <v>1758.39</v>
      </c>
      <c r="J705">
        <v>1758.39</v>
      </c>
      <c r="K705">
        <v>1758.39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461</v>
      </c>
    </row>
    <row r="706" spans="1:17" x14ac:dyDescent="0.3">
      <c r="A706">
        <v>207978</v>
      </c>
      <c r="B706">
        <v>116</v>
      </c>
      <c r="C706" t="s">
        <v>568</v>
      </c>
      <c r="D706" t="s">
        <v>2262</v>
      </c>
      <c r="E706" t="s">
        <v>3020</v>
      </c>
      <c r="F706" s="452">
        <v>46057</v>
      </c>
      <c r="G706" s="452">
        <v>46057</v>
      </c>
      <c r="H706" s="452">
        <v>46085</v>
      </c>
      <c r="I706">
        <v>137.22</v>
      </c>
      <c r="J706">
        <v>137.22</v>
      </c>
      <c r="K706">
        <v>137.22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462</v>
      </c>
    </row>
    <row r="707" spans="1:17" x14ac:dyDescent="0.3">
      <c r="A707">
        <v>207977</v>
      </c>
      <c r="B707">
        <v>116</v>
      </c>
      <c r="C707" t="s">
        <v>568</v>
      </c>
      <c r="D707" t="s">
        <v>2262</v>
      </c>
      <c r="E707" t="s">
        <v>3021</v>
      </c>
      <c r="F707" s="452">
        <v>46058</v>
      </c>
      <c r="G707" s="452">
        <v>46058</v>
      </c>
      <c r="H707" s="452">
        <v>46086</v>
      </c>
      <c r="I707">
        <v>1728.72</v>
      </c>
      <c r="J707">
        <v>1728.72</v>
      </c>
      <c r="K707">
        <v>1728.72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462</v>
      </c>
    </row>
    <row r="708" spans="1:17" x14ac:dyDescent="0.3">
      <c r="A708">
        <v>207976</v>
      </c>
      <c r="B708">
        <v>116</v>
      </c>
      <c r="C708" t="s">
        <v>568</v>
      </c>
      <c r="D708" t="s">
        <v>2314</v>
      </c>
      <c r="E708" t="s">
        <v>3022</v>
      </c>
      <c r="F708" s="452">
        <v>46056</v>
      </c>
      <c r="G708" s="452">
        <v>46056</v>
      </c>
      <c r="H708" s="452">
        <v>46087</v>
      </c>
      <c r="I708">
        <v>4828</v>
      </c>
      <c r="J708">
        <v>4828.04</v>
      </c>
      <c r="K708">
        <v>0</v>
      </c>
      <c r="L708">
        <v>4828</v>
      </c>
      <c r="M708">
        <v>0</v>
      </c>
      <c r="N708">
        <v>0</v>
      </c>
      <c r="O708">
        <v>0</v>
      </c>
      <c r="P708">
        <v>0</v>
      </c>
      <c r="Q708" t="s">
        <v>462</v>
      </c>
    </row>
    <row r="709" spans="1:17" x14ac:dyDescent="0.3">
      <c r="A709">
        <v>207975</v>
      </c>
      <c r="B709">
        <v>116</v>
      </c>
      <c r="C709" t="s">
        <v>568</v>
      </c>
      <c r="D709" t="s">
        <v>2314</v>
      </c>
      <c r="E709" t="s">
        <v>3023</v>
      </c>
      <c r="F709" s="452">
        <v>46057</v>
      </c>
      <c r="G709" s="452">
        <v>46057</v>
      </c>
      <c r="H709" s="452">
        <v>46090</v>
      </c>
      <c r="I709">
        <v>4828</v>
      </c>
      <c r="J709">
        <v>4828</v>
      </c>
      <c r="K709">
        <v>0</v>
      </c>
      <c r="L709">
        <v>4828</v>
      </c>
      <c r="M709">
        <v>0</v>
      </c>
      <c r="N709">
        <v>0</v>
      </c>
      <c r="O709">
        <v>0</v>
      </c>
      <c r="P709">
        <v>0</v>
      </c>
      <c r="Q709" t="s">
        <v>462</v>
      </c>
    </row>
    <row r="710" spans="1:17" x14ac:dyDescent="0.3">
      <c r="A710">
        <v>207974</v>
      </c>
      <c r="B710">
        <v>116</v>
      </c>
      <c r="C710" t="s">
        <v>568</v>
      </c>
      <c r="D710" t="s">
        <v>2314</v>
      </c>
      <c r="E710" t="s">
        <v>3024</v>
      </c>
      <c r="F710" s="452">
        <v>46062</v>
      </c>
      <c r="G710" s="452">
        <v>46062</v>
      </c>
      <c r="H710" s="452">
        <v>46092</v>
      </c>
      <c r="I710">
        <v>3862.4</v>
      </c>
      <c r="J710">
        <v>3862.4</v>
      </c>
      <c r="K710">
        <v>0</v>
      </c>
      <c r="L710">
        <v>3862.4</v>
      </c>
      <c r="M710">
        <v>0</v>
      </c>
      <c r="N710">
        <v>0</v>
      </c>
      <c r="O710">
        <v>0</v>
      </c>
      <c r="P710">
        <v>0</v>
      </c>
      <c r="Q710" t="s">
        <v>462</v>
      </c>
    </row>
    <row r="711" spans="1:17" x14ac:dyDescent="0.3">
      <c r="A711">
        <v>207973</v>
      </c>
      <c r="B711">
        <v>116</v>
      </c>
      <c r="C711" t="s">
        <v>568</v>
      </c>
      <c r="D711" t="s">
        <v>2314</v>
      </c>
      <c r="E711" t="s">
        <v>3025</v>
      </c>
      <c r="F711" s="452">
        <v>46056</v>
      </c>
      <c r="G711" s="452">
        <v>46056</v>
      </c>
      <c r="H711" s="452">
        <v>46067</v>
      </c>
      <c r="I711">
        <v>0</v>
      </c>
      <c r="J711">
        <v>0</v>
      </c>
      <c r="Q711" t="s">
        <v>462</v>
      </c>
    </row>
    <row r="712" spans="1:17" x14ac:dyDescent="0.3">
      <c r="A712">
        <v>207972</v>
      </c>
      <c r="B712">
        <v>116</v>
      </c>
      <c r="C712" t="s">
        <v>568</v>
      </c>
      <c r="D712" t="s">
        <v>2314</v>
      </c>
      <c r="E712" t="s">
        <v>3026</v>
      </c>
      <c r="F712" s="452">
        <v>46057</v>
      </c>
      <c r="G712" s="452">
        <v>46057</v>
      </c>
      <c r="H712" s="452">
        <v>46090</v>
      </c>
      <c r="I712">
        <v>306</v>
      </c>
      <c r="J712">
        <v>306</v>
      </c>
      <c r="K712">
        <v>0</v>
      </c>
      <c r="L712">
        <v>306</v>
      </c>
      <c r="M712">
        <v>0</v>
      </c>
      <c r="N712">
        <v>0</v>
      </c>
      <c r="O712">
        <v>0</v>
      </c>
      <c r="P712">
        <v>0</v>
      </c>
      <c r="Q712" t="s">
        <v>462</v>
      </c>
    </row>
    <row r="713" spans="1:17" x14ac:dyDescent="0.3">
      <c r="A713">
        <v>207971</v>
      </c>
      <c r="B713">
        <v>116</v>
      </c>
      <c r="C713" t="s">
        <v>568</v>
      </c>
      <c r="D713" t="s">
        <v>2314</v>
      </c>
      <c r="E713" t="s">
        <v>3027</v>
      </c>
      <c r="F713" s="452">
        <v>46060</v>
      </c>
      <c r="G713" s="452">
        <v>46060</v>
      </c>
      <c r="H713" s="452">
        <v>46092</v>
      </c>
      <c r="I713">
        <v>362.63</v>
      </c>
      <c r="J713">
        <v>269.83</v>
      </c>
      <c r="K713">
        <v>0</v>
      </c>
      <c r="L713">
        <v>362.63</v>
      </c>
      <c r="M713">
        <v>0</v>
      </c>
      <c r="N713">
        <v>0</v>
      </c>
      <c r="O713">
        <v>0</v>
      </c>
      <c r="P713">
        <v>0</v>
      </c>
      <c r="Q713" t="s">
        <v>462</v>
      </c>
    </row>
    <row r="714" spans="1:17" x14ac:dyDescent="0.3">
      <c r="A714">
        <v>207970</v>
      </c>
      <c r="B714">
        <v>116</v>
      </c>
      <c r="C714" t="s">
        <v>568</v>
      </c>
      <c r="D714" t="s">
        <v>2338</v>
      </c>
      <c r="E714" t="s">
        <v>3028</v>
      </c>
      <c r="F714" s="452">
        <v>46057</v>
      </c>
      <c r="G714" s="452">
        <v>46057</v>
      </c>
      <c r="H714" s="452">
        <v>46085</v>
      </c>
      <c r="I714">
        <v>417.72</v>
      </c>
      <c r="J714">
        <v>417.72</v>
      </c>
      <c r="K714">
        <v>417.72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462</v>
      </c>
    </row>
    <row r="715" spans="1:17" x14ac:dyDescent="0.3">
      <c r="A715">
        <v>207969</v>
      </c>
      <c r="B715">
        <v>116</v>
      </c>
      <c r="C715" t="s">
        <v>568</v>
      </c>
      <c r="D715" t="s">
        <v>2410</v>
      </c>
      <c r="E715" t="s">
        <v>3029</v>
      </c>
      <c r="F715" s="452">
        <v>46062</v>
      </c>
      <c r="G715" s="452">
        <v>46062</v>
      </c>
      <c r="H715" s="452">
        <v>46090</v>
      </c>
      <c r="I715">
        <v>674.4</v>
      </c>
      <c r="J715">
        <v>674.4</v>
      </c>
      <c r="K715">
        <v>0</v>
      </c>
      <c r="L715">
        <v>674.4</v>
      </c>
      <c r="M715">
        <v>0</v>
      </c>
      <c r="N715">
        <v>0</v>
      </c>
      <c r="O715">
        <v>0</v>
      </c>
      <c r="P715">
        <v>0</v>
      </c>
      <c r="Q715" t="s">
        <v>462</v>
      </c>
    </row>
    <row r="716" spans="1:17" x14ac:dyDescent="0.3">
      <c r="A716">
        <v>207968</v>
      </c>
      <c r="B716">
        <v>116</v>
      </c>
      <c r="C716" t="s">
        <v>568</v>
      </c>
      <c r="D716" t="s">
        <v>2277</v>
      </c>
      <c r="E716" t="s">
        <v>3030</v>
      </c>
      <c r="F716" s="452">
        <v>46057</v>
      </c>
      <c r="G716" s="452">
        <v>46057</v>
      </c>
      <c r="H716" s="452">
        <v>46085</v>
      </c>
      <c r="I716">
        <v>490.88</v>
      </c>
      <c r="J716">
        <v>481.98</v>
      </c>
      <c r="K716">
        <v>490.88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462</v>
      </c>
    </row>
    <row r="717" spans="1:17" x14ac:dyDescent="0.3">
      <c r="A717">
        <v>207967</v>
      </c>
      <c r="B717">
        <v>116</v>
      </c>
      <c r="C717" t="s">
        <v>568</v>
      </c>
      <c r="D717" t="s">
        <v>2277</v>
      </c>
      <c r="E717" t="s">
        <v>3031</v>
      </c>
      <c r="F717" s="452">
        <v>46057</v>
      </c>
      <c r="G717" s="452">
        <v>46057</v>
      </c>
      <c r="H717" s="452">
        <v>46085</v>
      </c>
      <c r="I717">
        <v>235.7</v>
      </c>
      <c r="J717">
        <v>226.8</v>
      </c>
      <c r="K717">
        <v>235.7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462</v>
      </c>
    </row>
    <row r="718" spans="1:17" x14ac:dyDescent="0.3">
      <c r="A718">
        <v>207966</v>
      </c>
      <c r="B718">
        <v>116</v>
      </c>
      <c r="C718" t="s">
        <v>568</v>
      </c>
      <c r="D718" t="s">
        <v>2273</v>
      </c>
      <c r="E718" t="s">
        <v>3032</v>
      </c>
      <c r="F718" s="452">
        <v>46056</v>
      </c>
      <c r="G718" s="452">
        <v>46056</v>
      </c>
      <c r="H718" s="452">
        <v>46084</v>
      </c>
      <c r="I718">
        <v>55.1</v>
      </c>
      <c r="J718">
        <v>55.1</v>
      </c>
      <c r="K718">
        <v>55.1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462</v>
      </c>
    </row>
    <row r="719" spans="1:17" x14ac:dyDescent="0.3">
      <c r="A719">
        <v>207965</v>
      </c>
      <c r="B719">
        <v>116</v>
      </c>
      <c r="C719" t="s">
        <v>568</v>
      </c>
      <c r="D719" t="s">
        <v>2273</v>
      </c>
      <c r="E719" t="s">
        <v>3033</v>
      </c>
      <c r="F719" s="452">
        <v>46058</v>
      </c>
      <c r="G719" s="452">
        <v>46058</v>
      </c>
      <c r="H719" s="452">
        <v>46086</v>
      </c>
      <c r="I719">
        <v>48.43</v>
      </c>
      <c r="J719">
        <v>48.43</v>
      </c>
      <c r="K719">
        <v>48.43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462</v>
      </c>
    </row>
    <row r="720" spans="1:17" x14ac:dyDescent="0.3">
      <c r="A720">
        <v>207964</v>
      </c>
      <c r="B720">
        <v>116</v>
      </c>
      <c r="C720" t="s">
        <v>568</v>
      </c>
      <c r="D720" t="s">
        <v>2284</v>
      </c>
      <c r="E720" t="s">
        <v>3034</v>
      </c>
      <c r="F720" s="452">
        <v>46050</v>
      </c>
      <c r="G720" s="452">
        <v>46050</v>
      </c>
      <c r="H720" s="452">
        <v>46080</v>
      </c>
      <c r="I720">
        <v>511.39</v>
      </c>
      <c r="J720">
        <v>511.39</v>
      </c>
      <c r="K720">
        <v>511.39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461</v>
      </c>
    </row>
    <row r="721" spans="1:17" x14ac:dyDescent="0.3">
      <c r="A721">
        <v>207963</v>
      </c>
      <c r="B721">
        <v>116</v>
      </c>
      <c r="C721" t="s">
        <v>568</v>
      </c>
      <c r="D721" t="s">
        <v>2284</v>
      </c>
      <c r="E721" t="s">
        <v>3035</v>
      </c>
      <c r="F721" s="452">
        <v>46055</v>
      </c>
      <c r="G721" s="452">
        <v>46055</v>
      </c>
      <c r="H721" s="452">
        <v>46084</v>
      </c>
      <c r="I721">
        <v>231</v>
      </c>
      <c r="J721">
        <v>231</v>
      </c>
      <c r="K721">
        <v>231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462</v>
      </c>
    </row>
    <row r="722" spans="1:17" x14ac:dyDescent="0.3">
      <c r="A722">
        <v>207962</v>
      </c>
      <c r="B722">
        <v>116</v>
      </c>
      <c r="C722" t="s">
        <v>568</v>
      </c>
      <c r="D722" t="s">
        <v>2284</v>
      </c>
      <c r="E722" t="s">
        <v>3036</v>
      </c>
      <c r="F722" s="452">
        <v>46056</v>
      </c>
      <c r="G722" s="452">
        <v>46056</v>
      </c>
      <c r="H722" s="452">
        <v>46084</v>
      </c>
      <c r="I722">
        <v>1226.74</v>
      </c>
      <c r="J722">
        <v>1226.74</v>
      </c>
      <c r="K722">
        <v>1226.74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462</v>
      </c>
    </row>
    <row r="723" spans="1:17" x14ac:dyDescent="0.3">
      <c r="A723">
        <v>207961</v>
      </c>
      <c r="B723">
        <v>116</v>
      </c>
      <c r="C723" t="s">
        <v>568</v>
      </c>
      <c r="D723" t="s">
        <v>2284</v>
      </c>
      <c r="E723" t="s">
        <v>3037</v>
      </c>
      <c r="F723" s="452">
        <v>46056</v>
      </c>
      <c r="G723" s="452">
        <v>46056</v>
      </c>
      <c r="H723" s="452">
        <v>46084</v>
      </c>
      <c r="I723">
        <v>429.3</v>
      </c>
      <c r="J723">
        <v>429.3</v>
      </c>
      <c r="K723">
        <v>0</v>
      </c>
      <c r="L723">
        <v>429.3</v>
      </c>
      <c r="M723">
        <v>0</v>
      </c>
      <c r="N723">
        <v>0</v>
      </c>
      <c r="O723">
        <v>0</v>
      </c>
      <c r="P723">
        <v>0</v>
      </c>
      <c r="Q723" t="s">
        <v>462</v>
      </c>
    </row>
    <row r="724" spans="1:17" x14ac:dyDescent="0.3">
      <c r="A724">
        <v>207960</v>
      </c>
      <c r="B724">
        <v>116</v>
      </c>
      <c r="C724" t="s">
        <v>568</v>
      </c>
      <c r="D724" t="s">
        <v>2340</v>
      </c>
      <c r="E724" t="s">
        <v>3038</v>
      </c>
      <c r="F724" s="452">
        <v>46051</v>
      </c>
      <c r="G724" s="452">
        <v>46051</v>
      </c>
      <c r="H724" s="452">
        <v>46080</v>
      </c>
      <c r="I724">
        <v>348.67</v>
      </c>
      <c r="J724">
        <v>348.67</v>
      </c>
      <c r="K724">
        <v>348.67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461</v>
      </c>
    </row>
    <row r="725" spans="1:17" x14ac:dyDescent="0.3">
      <c r="A725">
        <v>207959</v>
      </c>
      <c r="B725">
        <v>116</v>
      </c>
      <c r="C725" t="s">
        <v>568</v>
      </c>
      <c r="D725" t="s">
        <v>2332</v>
      </c>
      <c r="E725" t="s">
        <v>3039</v>
      </c>
      <c r="F725" s="452">
        <v>46058</v>
      </c>
      <c r="G725" s="452">
        <v>46058</v>
      </c>
      <c r="H725" s="452">
        <v>46079</v>
      </c>
      <c r="I725">
        <v>385.06</v>
      </c>
      <c r="J725">
        <v>385.06</v>
      </c>
      <c r="K725">
        <v>0</v>
      </c>
      <c r="L725">
        <v>385.06</v>
      </c>
      <c r="M725">
        <v>0</v>
      </c>
      <c r="N725">
        <v>0</v>
      </c>
      <c r="O725">
        <v>0</v>
      </c>
      <c r="P725">
        <v>0</v>
      </c>
      <c r="Q725" t="s">
        <v>462</v>
      </c>
    </row>
    <row r="726" spans="1:17" x14ac:dyDescent="0.3">
      <c r="A726">
        <v>207958</v>
      </c>
      <c r="B726">
        <v>116</v>
      </c>
      <c r="C726" t="s">
        <v>568</v>
      </c>
      <c r="D726" t="s">
        <v>2340</v>
      </c>
      <c r="E726" t="s">
        <v>3040</v>
      </c>
      <c r="F726" s="452">
        <v>46084</v>
      </c>
      <c r="G726" s="452">
        <v>46084</v>
      </c>
      <c r="H726" s="452">
        <v>46085</v>
      </c>
      <c r="I726">
        <v>432.82</v>
      </c>
      <c r="J726">
        <v>432.82</v>
      </c>
      <c r="K726">
        <v>432.82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463</v>
      </c>
    </row>
    <row r="727" spans="1:17" x14ac:dyDescent="0.3">
      <c r="A727">
        <v>207957</v>
      </c>
      <c r="B727">
        <v>116</v>
      </c>
      <c r="C727" t="s">
        <v>568</v>
      </c>
      <c r="D727" t="s">
        <v>2922</v>
      </c>
      <c r="E727" t="s">
        <v>3041</v>
      </c>
      <c r="F727" s="452">
        <v>46055</v>
      </c>
      <c r="G727" s="452">
        <v>46055</v>
      </c>
      <c r="H727" s="452">
        <v>46083</v>
      </c>
      <c r="I727">
        <v>597.03</v>
      </c>
      <c r="J727">
        <v>597.02</v>
      </c>
      <c r="K727">
        <v>597.03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462</v>
      </c>
    </row>
    <row r="728" spans="1:17" x14ac:dyDescent="0.3">
      <c r="A728">
        <v>207956</v>
      </c>
      <c r="B728">
        <v>116</v>
      </c>
      <c r="C728" t="s">
        <v>568</v>
      </c>
      <c r="D728" t="s">
        <v>2922</v>
      </c>
      <c r="E728" t="s">
        <v>3042</v>
      </c>
      <c r="F728" s="452">
        <v>46056</v>
      </c>
      <c r="G728" s="452">
        <v>46056</v>
      </c>
      <c r="H728" s="452">
        <v>46084</v>
      </c>
      <c r="I728">
        <v>240</v>
      </c>
      <c r="J728">
        <v>240</v>
      </c>
      <c r="K728">
        <v>240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462</v>
      </c>
    </row>
    <row r="729" spans="1:17" x14ac:dyDescent="0.3">
      <c r="A729">
        <v>207955</v>
      </c>
      <c r="B729">
        <v>116</v>
      </c>
      <c r="C729" t="s">
        <v>568</v>
      </c>
      <c r="D729" t="s">
        <v>2922</v>
      </c>
      <c r="E729" t="s">
        <v>3043</v>
      </c>
      <c r="F729" s="452">
        <v>46058</v>
      </c>
      <c r="G729" s="452">
        <v>46058</v>
      </c>
      <c r="H729" s="452">
        <v>46086</v>
      </c>
      <c r="I729">
        <v>209.13</v>
      </c>
      <c r="J729">
        <v>209.13</v>
      </c>
      <c r="K729">
        <v>209.13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462</v>
      </c>
    </row>
    <row r="730" spans="1:17" x14ac:dyDescent="0.3">
      <c r="A730">
        <v>207954</v>
      </c>
      <c r="B730">
        <v>116</v>
      </c>
      <c r="C730" t="s">
        <v>568</v>
      </c>
      <c r="D730" t="s">
        <v>2260</v>
      </c>
      <c r="E730" t="s">
        <v>3044</v>
      </c>
      <c r="F730" s="452">
        <v>46058</v>
      </c>
      <c r="G730" s="452">
        <v>46058</v>
      </c>
      <c r="H730" s="452">
        <v>46079</v>
      </c>
      <c r="I730">
        <v>1770</v>
      </c>
      <c r="J730">
        <v>1760</v>
      </c>
      <c r="K730">
        <v>1770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462</v>
      </c>
    </row>
    <row r="731" spans="1:17" x14ac:dyDescent="0.3">
      <c r="A731">
        <v>207953</v>
      </c>
      <c r="B731">
        <v>116</v>
      </c>
      <c r="C731" t="s">
        <v>568</v>
      </c>
      <c r="D731" t="s">
        <v>2267</v>
      </c>
      <c r="E731" t="s">
        <v>3045</v>
      </c>
      <c r="F731" s="452">
        <v>46058</v>
      </c>
      <c r="G731" s="452">
        <v>46058</v>
      </c>
      <c r="H731" s="452">
        <v>46081</v>
      </c>
      <c r="I731">
        <v>141.91999999999999</v>
      </c>
      <c r="J731">
        <v>141.91999999999999</v>
      </c>
      <c r="K731">
        <v>141.91999999999999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462</v>
      </c>
    </row>
    <row r="732" spans="1:17" x14ac:dyDescent="0.3">
      <c r="A732">
        <v>207952</v>
      </c>
      <c r="B732">
        <v>116</v>
      </c>
      <c r="C732" t="s">
        <v>568</v>
      </c>
      <c r="D732" t="s">
        <v>2267</v>
      </c>
      <c r="E732" t="s">
        <v>3046</v>
      </c>
      <c r="F732" s="452">
        <v>46060</v>
      </c>
      <c r="G732" s="452">
        <v>46060</v>
      </c>
      <c r="H732" s="452">
        <v>46086</v>
      </c>
      <c r="I732">
        <v>201.53</v>
      </c>
      <c r="J732">
        <v>201.53</v>
      </c>
      <c r="K732">
        <v>201.53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462</v>
      </c>
    </row>
    <row r="733" spans="1:17" x14ac:dyDescent="0.3">
      <c r="A733">
        <v>207951</v>
      </c>
      <c r="B733">
        <v>116</v>
      </c>
      <c r="C733" t="s">
        <v>568</v>
      </c>
      <c r="D733" t="s">
        <v>2709</v>
      </c>
      <c r="E733" t="s">
        <v>3047</v>
      </c>
      <c r="F733" s="452">
        <v>46056</v>
      </c>
      <c r="H733" s="452">
        <v>46090</v>
      </c>
      <c r="I733">
        <v>45.38</v>
      </c>
      <c r="J733">
        <v>45.38</v>
      </c>
      <c r="K733">
        <v>0</v>
      </c>
      <c r="L733">
        <v>0</v>
      </c>
      <c r="M733">
        <v>45.38</v>
      </c>
      <c r="N733">
        <v>0</v>
      </c>
      <c r="O733">
        <v>0</v>
      </c>
      <c r="P733">
        <v>0</v>
      </c>
      <c r="Q733" t="s">
        <v>462</v>
      </c>
    </row>
    <row r="734" spans="1:17" x14ac:dyDescent="0.3">
      <c r="A734">
        <v>207950</v>
      </c>
      <c r="B734">
        <v>116</v>
      </c>
      <c r="C734" t="s">
        <v>568</v>
      </c>
      <c r="D734" t="s">
        <v>2709</v>
      </c>
      <c r="E734" t="s">
        <v>3048</v>
      </c>
      <c r="F734" s="452">
        <v>46056</v>
      </c>
      <c r="G734" s="452">
        <v>46056</v>
      </c>
      <c r="H734" s="452">
        <v>46090</v>
      </c>
      <c r="I734">
        <v>481.55</v>
      </c>
      <c r="J734">
        <v>481.55</v>
      </c>
      <c r="K734">
        <v>481.55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462</v>
      </c>
    </row>
    <row r="735" spans="1:17" x14ac:dyDescent="0.3">
      <c r="A735">
        <v>207949</v>
      </c>
      <c r="B735">
        <v>116</v>
      </c>
      <c r="C735" t="s">
        <v>568</v>
      </c>
      <c r="D735" t="s">
        <v>2293</v>
      </c>
      <c r="E735" t="s">
        <v>3049</v>
      </c>
      <c r="F735" s="452">
        <v>46058</v>
      </c>
      <c r="G735" s="452">
        <v>46058</v>
      </c>
      <c r="H735" s="452">
        <v>46088</v>
      </c>
      <c r="I735">
        <v>405</v>
      </c>
      <c r="J735">
        <v>405</v>
      </c>
      <c r="K735">
        <v>0</v>
      </c>
      <c r="L735">
        <v>405</v>
      </c>
      <c r="M735">
        <v>0</v>
      </c>
      <c r="N735">
        <v>0</v>
      </c>
      <c r="O735">
        <v>0</v>
      </c>
      <c r="P735">
        <v>0</v>
      </c>
      <c r="Q735" t="s">
        <v>462</v>
      </c>
    </row>
    <row r="736" spans="1:17" x14ac:dyDescent="0.3">
      <c r="A736">
        <v>207806</v>
      </c>
      <c r="B736">
        <v>116</v>
      </c>
      <c r="C736" t="s">
        <v>568</v>
      </c>
      <c r="D736" t="s">
        <v>2293</v>
      </c>
      <c r="E736" t="s">
        <v>3050</v>
      </c>
      <c r="F736" s="452">
        <v>46055</v>
      </c>
      <c r="G736" s="452">
        <v>46055</v>
      </c>
      <c r="H736" s="452">
        <v>46085</v>
      </c>
      <c r="I736">
        <v>540</v>
      </c>
      <c r="J736">
        <v>540</v>
      </c>
      <c r="K736">
        <v>0</v>
      </c>
      <c r="L736">
        <v>540</v>
      </c>
      <c r="M736">
        <v>0</v>
      </c>
      <c r="N736">
        <v>0</v>
      </c>
      <c r="O736">
        <v>0</v>
      </c>
      <c r="P736">
        <v>0</v>
      </c>
      <c r="Q736" t="s">
        <v>462</v>
      </c>
    </row>
    <row r="737" spans="1:17" x14ac:dyDescent="0.3">
      <c r="A737">
        <v>206383</v>
      </c>
      <c r="B737">
        <v>116</v>
      </c>
      <c r="C737" t="s">
        <v>568</v>
      </c>
      <c r="D737" t="s">
        <v>2286</v>
      </c>
      <c r="E737" t="s">
        <v>3051</v>
      </c>
      <c r="F737" s="452">
        <v>46055</v>
      </c>
      <c r="G737" s="452">
        <v>46055</v>
      </c>
      <c r="H737" s="452">
        <v>46069</v>
      </c>
      <c r="I737">
        <v>496.55</v>
      </c>
      <c r="J737">
        <v>496.55</v>
      </c>
      <c r="K737">
        <v>496.55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462</v>
      </c>
    </row>
    <row r="738" spans="1:17" x14ac:dyDescent="0.3">
      <c r="A738">
        <v>206380</v>
      </c>
      <c r="B738">
        <v>116</v>
      </c>
      <c r="C738" t="s">
        <v>568</v>
      </c>
      <c r="D738" t="s">
        <v>2314</v>
      </c>
      <c r="E738" t="s">
        <v>3025</v>
      </c>
      <c r="F738" s="452">
        <v>46056</v>
      </c>
      <c r="G738" s="452">
        <v>46056</v>
      </c>
      <c r="H738" s="452">
        <v>46064</v>
      </c>
      <c r="I738">
        <v>0</v>
      </c>
      <c r="J738">
        <v>0</v>
      </c>
      <c r="Q738" t="s">
        <v>462</v>
      </c>
    </row>
    <row r="739" spans="1:17" x14ac:dyDescent="0.3">
      <c r="A739">
        <v>206376</v>
      </c>
      <c r="B739">
        <v>116</v>
      </c>
      <c r="C739" t="s">
        <v>568</v>
      </c>
      <c r="D739" t="s">
        <v>2286</v>
      </c>
      <c r="E739" t="s">
        <v>3052</v>
      </c>
      <c r="F739" s="452">
        <v>46058</v>
      </c>
      <c r="G739" s="452">
        <v>46058</v>
      </c>
      <c r="H739" s="452">
        <v>46072</v>
      </c>
      <c r="I739">
        <v>651.1</v>
      </c>
      <c r="J739">
        <v>651.1</v>
      </c>
      <c r="K739">
        <v>651.1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462</v>
      </c>
    </row>
    <row r="740" spans="1:17" x14ac:dyDescent="0.3">
      <c r="A740">
        <v>206374</v>
      </c>
      <c r="B740">
        <v>116</v>
      </c>
      <c r="C740" t="s">
        <v>568</v>
      </c>
      <c r="D740" t="s">
        <v>3053</v>
      </c>
      <c r="E740" t="s">
        <v>3054</v>
      </c>
      <c r="F740" s="452">
        <v>46039</v>
      </c>
      <c r="G740" s="452">
        <v>46039</v>
      </c>
      <c r="H740" s="452">
        <v>46080</v>
      </c>
      <c r="I740">
        <v>183.71</v>
      </c>
      <c r="J740">
        <v>176.8</v>
      </c>
      <c r="K740">
        <v>183.71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461</v>
      </c>
    </row>
    <row r="741" spans="1:17" x14ac:dyDescent="0.3">
      <c r="A741">
        <v>206366</v>
      </c>
      <c r="B741">
        <v>116</v>
      </c>
      <c r="C741" t="s">
        <v>568</v>
      </c>
      <c r="D741" t="s">
        <v>3055</v>
      </c>
      <c r="E741" t="s">
        <v>3056</v>
      </c>
      <c r="F741" s="452">
        <v>46057</v>
      </c>
      <c r="G741" s="452">
        <v>46057</v>
      </c>
      <c r="H741" s="452">
        <v>46069</v>
      </c>
      <c r="I741">
        <v>1392.72</v>
      </c>
      <c r="J741">
        <v>1392.72</v>
      </c>
      <c r="K741">
        <v>1392.72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462</v>
      </c>
    </row>
    <row r="742" spans="1:17" x14ac:dyDescent="0.3">
      <c r="A742">
        <v>206362</v>
      </c>
      <c r="B742">
        <v>116</v>
      </c>
      <c r="C742" t="s">
        <v>568</v>
      </c>
      <c r="D742" t="s">
        <v>2260</v>
      </c>
      <c r="E742" t="s">
        <v>3057</v>
      </c>
      <c r="F742" s="452">
        <v>46056</v>
      </c>
      <c r="G742" s="452">
        <v>46056</v>
      </c>
      <c r="H742" s="452">
        <v>46070</v>
      </c>
      <c r="I742">
        <v>238.8</v>
      </c>
      <c r="J742">
        <v>228.8</v>
      </c>
      <c r="K742">
        <v>238.8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462</v>
      </c>
    </row>
    <row r="743" spans="1:17" x14ac:dyDescent="0.3">
      <c r="A743">
        <v>206358</v>
      </c>
      <c r="B743">
        <v>116</v>
      </c>
      <c r="C743" t="s">
        <v>568</v>
      </c>
      <c r="D743" t="s">
        <v>2320</v>
      </c>
      <c r="E743" t="s">
        <v>3058</v>
      </c>
      <c r="F743" s="452">
        <v>46057</v>
      </c>
      <c r="G743" s="452">
        <v>46057</v>
      </c>
      <c r="H743" s="452">
        <v>46071</v>
      </c>
      <c r="I743">
        <v>1202.78</v>
      </c>
      <c r="J743">
        <v>1202.78</v>
      </c>
      <c r="K743">
        <v>1202.78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462</v>
      </c>
    </row>
    <row r="744" spans="1:17" x14ac:dyDescent="0.3">
      <c r="A744">
        <v>206357</v>
      </c>
      <c r="B744">
        <v>116</v>
      </c>
      <c r="C744" t="s">
        <v>568</v>
      </c>
      <c r="D744" t="s">
        <v>2265</v>
      </c>
      <c r="E744" t="s">
        <v>3059</v>
      </c>
      <c r="F744" s="452">
        <v>46056</v>
      </c>
      <c r="H744" s="452">
        <v>46071</v>
      </c>
      <c r="I744">
        <v>845.57</v>
      </c>
      <c r="J744">
        <v>845.57</v>
      </c>
      <c r="K744">
        <v>0</v>
      </c>
      <c r="L744">
        <v>0</v>
      </c>
      <c r="M744">
        <v>845.57</v>
      </c>
      <c r="N744">
        <v>0</v>
      </c>
      <c r="O744">
        <v>0</v>
      </c>
      <c r="P744">
        <v>0</v>
      </c>
      <c r="Q744" t="s">
        <v>462</v>
      </c>
    </row>
    <row r="745" spans="1:17" x14ac:dyDescent="0.3">
      <c r="A745">
        <v>206356</v>
      </c>
      <c r="B745">
        <v>116</v>
      </c>
      <c r="C745" t="s">
        <v>568</v>
      </c>
      <c r="D745" t="s">
        <v>3060</v>
      </c>
      <c r="E745" t="s">
        <v>3061</v>
      </c>
      <c r="F745" s="452">
        <v>46056</v>
      </c>
      <c r="H745" s="452">
        <v>46064</v>
      </c>
      <c r="I745">
        <v>4</v>
      </c>
      <c r="J745">
        <v>4</v>
      </c>
      <c r="K745">
        <v>0</v>
      </c>
      <c r="L745">
        <v>0</v>
      </c>
      <c r="M745">
        <v>0</v>
      </c>
      <c r="N745">
        <v>0</v>
      </c>
      <c r="O745">
        <v>4</v>
      </c>
      <c r="P745">
        <v>0</v>
      </c>
      <c r="Q745" t="s">
        <v>462</v>
      </c>
    </row>
    <row r="746" spans="1:17" x14ac:dyDescent="0.3">
      <c r="A746">
        <v>206355</v>
      </c>
      <c r="B746">
        <v>116</v>
      </c>
      <c r="C746" t="s">
        <v>568</v>
      </c>
      <c r="D746" t="s">
        <v>3060</v>
      </c>
      <c r="E746" t="s">
        <v>3062</v>
      </c>
      <c r="F746" s="452">
        <v>46056</v>
      </c>
      <c r="H746" s="452">
        <v>46064</v>
      </c>
      <c r="I746">
        <v>1146.94</v>
      </c>
      <c r="J746">
        <v>1146.94</v>
      </c>
      <c r="K746">
        <v>0</v>
      </c>
      <c r="L746">
        <v>0</v>
      </c>
      <c r="M746">
        <v>0</v>
      </c>
      <c r="N746">
        <v>0</v>
      </c>
      <c r="O746">
        <v>1146.94</v>
      </c>
      <c r="P746">
        <v>0</v>
      </c>
      <c r="Q746" t="s">
        <v>462</v>
      </c>
    </row>
    <row r="747" spans="1:17" x14ac:dyDescent="0.3">
      <c r="A747">
        <v>206353</v>
      </c>
      <c r="B747">
        <v>116</v>
      </c>
      <c r="C747" t="s">
        <v>568</v>
      </c>
      <c r="D747" t="s">
        <v>2314</v>
      </c>
      <c r="E747" t="s">
        <v>3063</v>
      </c>
      <c r="F747" s="452">
        <v>46042</v>
      </c>
      <c r="G747" s="452">
        <v>46042</v>
      </c>
      <c r="H747" s="452">
        <v>46073</v>
      </c>
      <c r="I747">
        <v>4474.3999999999996</v>
      </c>
      <c r="J747">
        <v>5015.4799999999996</v>
      </c>
      <c r="K747">
        <v>0</v>
      </c>
      <c r="L747">
        <v>4474.3999999999996</v>
      </c>
      <c r="M747">
        <v>0</v>
      </c>
      <c r="N747">
        <v>0</v>
      </c>
      <c r="O747">
        <v>0</v>
      </c>
      <c r="P747">
        <v>0</v>
      </c>
      <c r="Q747" t="s">
        <v>461</v>
      </c>
    </row>
    <row r="748" spans="1:17" x14ac:dyDescent="0.3">
      <c r="A748">
        <v>206350</v>
      </c>
      <c r="B748">
        <v>116</v>
      </c>
      <c r="C748" t="s">
        <v>568</v>
      </c>
      <c r="D748" t="s">
        <v>2314</v>
      </c>
      <c r="E748" t="s">
        <v>3064</v>
      </c>
      <c r="F748" s="452">
        <v>46044</v>
      </c>
      <c r="G748" s="452">
        <v>46044</v>
      </c>
      <c r="H748" s="452">
        <v>46064</v>
      </c>
      <c r="I748">
        <v>0</v>
      </c>
      <c r="J748">
        <v>362.64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461</v>
      </c>
    </row>
    <row r="749" spans="1:17" x14ac:dyDescent="0.3">
      <c r="A749">
        <v>205900</v>
      </c>
      <c r="B749">
        <v>116</v>
      </c>
      <c r="C749" t="s">
        <v>568</v>
      </c>
      <c r="D749" t="s">
        <v>2284</v>
      </c>
      <c r="E749" t="s">
        <v>3065</v>
      </c>
      <c r="F749" s="452">
        <v>46050</v>
      </c>
      <c r="G749" s="452">
        <v>46050</v>
      </c>
      <c r="H749" s="452">
        <v>46080</v>
      </c>
      <c r="I749">
        <v>1153.1300000000001</v>
      </c>
      <c r="J749">
        <v>1664.52</v>
      </c>
      <c r="K749">
        <v>1153.1300000000001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461</v>
      </c>
    </row>
    <row r="750" spans="1:17" x14ac:dyDescent="0.3">
      <c r="A750">
        <v>205899</v>
      </c>
      <c r="B750">
        <v>116</v>
      </c>
      <c r="C750" t="s">
        <v>568</v>
      </c>
      <c r="D750" t="s">
        <v>2340</v>
      </c>
      <c r="E750" t="s">
        <v>3066</v>
      </c>
      <c r="F750" s="452">
        <v>46050</v>
      </c>
      <c r="G750" s="452">
        <v>46050</v>
      </c>
      <c r="H750" s="452">
        <v>46079</v>
      </c>
      <c r="I750">
        <v>635.92999999999995</v>
      </c>
      <c r="J750">
        <v>984.35</v>
      </c>
      <c r="K750">
        <v>635.92999999999995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461</v>
      </c>
    </row>
    <row r="751" spans="1:17" x14ac:dyDescent="0.3">
      <c r="A751">
        <v>205898</v>
      </c>
      <c r="B751">
        <v>116</v>
      </c>
      <c r="C751" t="s">
        <v>568</v>
      </c>
      <c r="D751" t="s">
        <v>2271</v>
      </c>
      <c r="E751" t="s">
        <v>3067</v>
      </c>
      <c r="F751" s="452">
        <v>46050</v>
      </c>
      <c r="G751" s="452">
        <v>46050</v>
      </c>
      <c r="H751" s="452">
        <v>46078</v>
      </c>
      <c r="I751">
        <v>219.8</v>
      </c>
      <c r="J751">
        <v>219.8</v>
      </c>
      <c r="K751">
        <v>0</v>
      </c>
      <c r="L751">
        <v>219.8</v>
      </c>
      <c r="M751">
        <v>0</v>
      </c>
      <c r="N751">
        <v>0</v>
      </c>
      <c r="O751">
        <v>0</v>
      </c>
      <c r="P751">
        <v>0</v>
      </c>
      <c r="Q751" t="s">
        <v>461</v>
      </c>
    </row>
    <row r="752" spans="1:17" x14ac:dyDescent="0.3">
      <c r="A752">
        <v>205896</v>
      </c>
      <c r="B752">
        <v>116</v>
      </c>
      <c r="C752" t="s">
        <v>568</v>
      </c>
      <c r="D752" t="s">
        <v>2922</v>
      </c>
      <c r="E752" t="s">
        <v>3068</v>
      </c>
      <c r="F752" s="452">
        <v>46048</v>
      </c>
      <c r="G752" s="452">
        <v>46048</v>
      </c>
      <c r="H752" s="452">
        <v>46076</v>
      </c>
      <c r="I752">
        <v>317</v>
      </c>
      <c r="J752">
        <v>317</v>
      </c>
      <c r="K752">
        <v>317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461</v>
      </c>
    </row>
    <row r="753" spans="1:17" x14ac:dyDescent="0.3">
      <c r="A753">
        <v>205895</v>
      </c>
      <c r="B753">
        <v>116</v>
      </c>
      <c r="C753" t="s">
        <v>568</v>
      </c>
      <c r="D753" t="s">
        <v>2922</v>
      </c>
      <c r="E753" t="s">
        <v>3069</v>
      </c>
      <c r="F753" s="452">
        <v>46051</v>
      </c>
      <c r="G753" s="452">
        <v>46051</v>
      </c>
      <c r="H753" s="452">
        <v>46079</v>
      </c>
      <c r="I753">
        <v>184.66</v>
      </c>
      <c r="J753">
        <v>184.66</v>
      </c>
      <c r="K753">
        <v>184.66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461</v>
      </c>
    </row>
    <row r="754" spans="1:17" x14ac:dyDescent="0.3">
      <c r="A754">
        <v>205893</v>
      </c>
      <c r="B754">
        <v>116</v>
      </c>
      <c r="C754" t="s">
        <v>568</v>
      </c>
      <c r="D754" t="s">
        <v>2267</v>
      </c>
      <c r="E754" t="s">
        <v>3070</v>
      </c>
      <c r="F754" s="452">
        <v>46051</v>
      </c>
      <c r="G754" s="452">
        <v>46051</v>
      </c>
      <c r="H754" s="452">
        <v>46078</v>
      </c>
      <c r="I754">
        <v>396.23</v>
      </c>
      <c r="J754">
        <v>396.23</v>
      </c>
      <c r="K754">
        <v>396.23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461</v>
      </c>
    </row>
    <row r="755" spans="1:17" x14ac:dyDescent="0.3">
      <c r="A755">
        <v>205890</v>
      </c>
      <c r="B755">
        <v>116</v>
      </c>
      <c r="C755" t="s">
        <v>568</v>
      </c>
      <c r="D755" t="s">
        <v>2262</v>
      </c>
      <c r="E755" t="s">
        <v>3071</v>
      </c>
      <c r="F755" s="452">
        <v>46049</v>
      </c>
      <c r="G755" s="452">
        <v>46049</v>
      </c>
      <c r="H755" s="452">
        <v>46077</v>
      </c>
      <c r="I755">
        <v>1506.5</v>
      </c>
      <c r="J755">
        <v>1506.5</v>
      </c>
      <c r="K755">
        <v>1506.5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461</v>
      </c>
    </row>
    <row r="756" spans="1:17" x14ac:dyDescent="0.3">
      <c r="A756">
        <v>205883</v>
      </c>
      <c r="B756">
        <v>116</v>
      </c>
      <c r="C756" t="s">
        <v>568</v>
      </c>
      <c r="D756" t="s">
        <v>2314</v>
      </c>
      <c r="E756" t="s">
        <v>3072</v>
      </c>
      <c r="F756" s="452">
        <v>46049</v>
      </c>
      <c r="G756" s="452">
        <v>46049</v>
      </c>
      <c r="H756" s="452">
        <v>46076</v>
      </c>
      <c r="I756">
        <v>3862.4</v>
      </c>
      <c r="J756">
        <v>3845.4</v>
      </c>
      <c r="K756">
        <v>0</v>
      </c>
      <c r="L756">
        <v>3862.4</v>
      </c>
      <c r="M756">
        <v>0</v>
      </c>
      <c r="N756">
        <v>0</v>
      </c>
      <c r="O756">
        <v>0</v>
      </c>
      <c r="P756">
        <v>0</v>
      </c>
      <c r="Q756" t="s">
        <v>461</v>
      </c>
    </row>
    <row r="757" spans="1:17" x14ac:dyDescent="0.3">
      <c r="A757">
        <v>205882</v>
      </c>
      <c r="B757">
        <v>116</v>
      </c>
      <c r="C757" t="s">
        <v>568</v>
      </c>
      <c r="D757" t="s">
        <v>2314</v>
      </c>
      <c r="E757" t="s">
        <v>3073</v>
      </c>
      <c r="F757" s="452">
        <v>46049</v>
      </c>
      <c r="G757" s="452">
        <v>46049</v>
      </c>
      <c r="H757" s="452">
        <v>46080</v>
      </c>
      <c r="I757">
        <v>3508.8</v>
      </c>
      <c r="J757">
        <v>4474.3999999999996</v>
      </c>
      <c r="K757">
        <v>0</v>
      </c>
      <c r="L757">
        <v>3508.8</v>
      </c>
      <c r="M757">
        <v>0</v>
      </c>
      <c r="N757">
        <v>0</v>
      </c>
      <c r="O757">
        <v>0</v>
      </c>
      <c r="P757">
        <v>0</v>
      </c>
      <c r="Q757" t="s">
        <v>461</v>
      </c>
    </row>
    <row r="758" spans="1:17" x14ac:dyDescent="0.3">
      <c r="A758">
        <v>205881</v>
      </c>
      <c r="B758">
        <v>116</v>
      </c>
      <c r="C758" t="s">
        <v>568</v>
      </c>
      <c r="D758" t="s">
        <v>2314</v>
      </c>
      <c r="E758" t="s">
        <v>3074</v>
      </c>
      <c r="F758" s="452">
        <v>46049</v>
      </c>
      <c r="G758" s="452">
        <v>46049</v>
      </c>
      <c r="H758" s="452">
        <v>46080</v>
      </c>
      <c r="I758">
        <v>306</v>
      </c>
      <c r="J758">
        <v>306</v>
      </c>
      <c r="K758">
        <v>0</v>
      </c>
      <c r="L758">
        <v>306</v>
      </c>
      <c r="M758">
        <v>0</v>
      </c>
      <c r="N758">
        <v>0</v>
      </c>
      <c r="O758">
        <v>0</v>
      </c>
      <c r="P758">
        <v>0</v>
      </c>
      <c r="Q758" t="s">
        <v>461</v>
      </c>
    </row>
    <row r="759" spans="1:17" x14ac:dyDescent="0.3">
      <c r="A759">
        <v>205880</v>
      </c>
      <c r="B759">
        <v>116</v>
      </c>
      <c r="C759" t="s">
        <v>568</v>
      </c>
      <c r="D759" t="s">
        <v>2314</v>
      </c>
      <c r="E759" t="s">
        <v>3075</v>
      </c>
      <c r="F759" s="452">
        <v>46051</v>
      </c>
      <c r="G759" s="452">
        <v>46051</v>
      </c>
      <c r="H759" s="452">
        <v>46083</v>
      </c>
      <c r="I759">
        <v>3013.2</v>
      </c>
      <c r="J759">
        <v>3013.2</v>
      </c>
      <c r="K759">
        <v>0</v>
      </c>
      <c r="L759">
        <v>3013.2</v>
      </c>
      <c r="M759">
        <v>0</v>
      </c>
      <c r="N759">
        <v>0</v>
      </c>
      <c r="O759">
        <v>0</v>
      </c>
      <c r="P759">
        <v>0</v>
      </c>
      <c r="Q759" t="s">
        <v>461</v>
      </c>
    </row>
    <row r="760" spans="1:17" x14ac:dyDescent="0.3">
      <c r="A760">
        <v>205879</v>
      </c>
      <c r="B760">
        <v>116</v>
      </c>
      <c r="C760" t="s">
        <v>568</v>
      </c>
      <c r="D760" t="s">
        <v>2314</v>
      </c>
      <c r="E760" t="s">
        <v>3076</v>
      </c>
      <c r="F760" s="452">
        <v>46052</v>
      </c>
      <c r="G760" s="452">
        <v>46052</v>
      </c>
      <c r="H760" s="452">
        <v>46083</v>
      </c>
      <c r="I760">
        <v>264.14999999999998</v>
      </c>
      <c r="J760">
        <v>264.14</v>
      </c>
      <c r="K760">
        <v>0</v>
      </c>
      <c r="L760">
        <v>264.14999999999998</v>
      </c>
      <c r="M760">
        <v>0</v>
      </c>
      <c r="N760">
        <v>0</v>
      </c>
      <c r="O760">
        <v>0</v>
      </c>
      <c r="P760">
        <v>0</v>
      </c>
      <c r="Q760" t="s">
        <v>461</v>
      </c>
    </row>
    <row r="761" spans="1:17" x14ac:dyDescent="0.3">
      <c r="A761">
        <v>205866</v>
      </c>
      <c r="B761">
        <v>116</v>
      </c>
      <c r="C761" t="s">
        <v>568</v>
      </c>
      <c r="D761" t="s">
        <v>2310</v>
      </c>
      <c r="E761" t="s">
        <v>3077</v>
      </c>
      <c r="F761" s="452">
        <v>46041</v>
      </c>
      <c r="H761" s="452">
        <v>46076</v>
      </c>
      <c r="I761">
        <v>192.05</v>
      </c>
      <c r="J761">
        <v>160.22999999999999</v>
      </c>
      <c r="K761">
        <v>0</v>
      </c>
      <c r="L761">
        <v>0</v>
      </c>
      <c r="M761">
        <v>192.05</v>
      </c>
      <c r="N761">
        <v>0</v>
      </c>
      <c r="O761">
        <v>0</v>
      </c>
      <c r="P761">
        <v>0</v>
      </c>
      <c r="Q761" t="s">
        <v>461</v>
      </c>
    </row>
    <row r="762" spans="1:17" x14ac:dyDescent="0.3">
      <c r="A762">
        <v>205864</v>
      </c>
      <c r="B762">
        <v>116</v>
      </c>
      <c r="C762" t="s">
        <v>568</v>
      </c>
      <c r="D762" t="s">
        <v>2310</v>
      </c>
      <c r="E762" t="s">
        <v>3078</v>
      </c>
      <c r="F762" s="452">
        <v>46041</v>
      </c>
      <c r="G762" s="452">
        <v>46041</v>
      </c>
      <c r="H762" s="452">
        <v>46076</v>
      </c>
      <c r="I762">
        <v>381.6</v>
      </c>
      <c r="J762">
        <v>381.6</v>
      </c>
      <c r="K762">
        <v>381.6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461</v>
      </c>
    </row>
    <row r="763" spans="1:17" x14ac:dyDescent="0.3">
      <c r="A763">
        <v>205863</v>
      </c>
      <c r="B763">
        <v>116</v>
      </c>
      <c r="C763" t="s">
        <v>568</v>
      </c>
      <c r="D763" t="s">
        <v>2310</v>
      </c>
      <c r="E763" t="s">
        <v>3079</v>
      </c>
      <c r="F763" s="452">
        <v>46048</v>
      </c>
      <c r="H763" s="452">
        <v>46083</v>
      </c>
      <c r="I763">
        <v>146.19999999999999</v>
      </c>
      <c r="J763">
        <v>82.56</v>
      </c>
      <c r="K763">
        <v>0</v>
      </c>
      <c r="L763">
        <v>0</v>
      </c>
      <c r="M763">
        <v>146.19999999999999</v>
      </c>
      <c r="N763">
        <v>0</v>
      </c>
      <c r="O763">
        <v>0</v>
      </c>
      <c r="P763">
        <v>0</v>
      </c>
      <c r="Q763" t="s">
        <v>461</v>
      </c>
    </row>
    <row r="764" spans="1:17" x14ac:dyDescent="0.3">
      <c r="A764">
        <v>205861</v>
      </c>
      <c r="B764">
        <v>116</v>
      </c>
      <c r="C764" t="s">
        <v>568</v>
      </c>
      <c r="D764" t="s">
        <v>2310</v>
      </c>
      <c r="E764" t="s">
        <v>3080</v>
      </c>
      <c r="F764" s="452">
        <v>46050</v>
      </c>
      <c r="G764" s="452">
        <v>46050</v>
      </c>
      <c r="H764" s="452">
        <v>46083</v>
      </c>
      <c r="I764">
        <v>201.1</v>
      </c>
      <c r="J764">
        <v>201.1</v>
      </c>
      <c r="K764">
        <v>201.1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461</v>
      </c>
    </row>
    <row r="765" spans="1:17" x14ac:dyDescent="0.3">
      <c r="A765">
        <v>205858</v>
      </c>
      <c r="B765">
        <v>116</v>
      </c>
      <c r="C765" t="s">
        <v>568</v>
      </c>
      <c r="D765" t="s">
        <v>2308</v>
      </c>
      <c r="E765" t="s">
        <v>3081</v>
      </c>
      <c r="F765" s="452">
        <v>46049</v>
      </c>
      <c r="G765" s="452">
        <v>46049</v>
      </c>
      <c r="H765" s="452">
        <v>46077</v>
      </c>
      <c r="I765">
        <v>769.3</v>
      </c>
      <c r="J765">
        <v>769.3</v>
      </c>
      <c r="K765">
        <v>769.3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461</v>
      </c>
    </row>
    <row r="766" spans="1:17" x14ac:dyDescent="0.3">
      <c r="A766">
        <v>205857</v>
      </c>
      <c r="B766">
        <v>116</v>
      </c>
      <c r="C766" t="s">
        <v>568</v>
      </c>
      <c r="D766" t="s">
        <v>2953</v>
      </c>
      <c r="E766" t="s">
        <v>1574</v>
      </c>
      <c r="F766" s="452">
        <v>46043</v>
      </c>
      <c r="H766" s="452">
        <v>46071</v>
      </c>
      <c r="I766">
        <v>668.7</v>
      </c>
      <c r="J766">
        <v>668.7</v>
      </c>
      <c r="K766">
        <v>0</v>
      </c>
      <c r="L766">
        <v>0</v>
      </c>
      <c r="M766">
        <v>0</v>
      </c>
      <c r="N766">
        <v>0</v>
      </c>
      <c r="O766">
        <v>668.7</v>
      </c>
      <c r="P766">
        <v>0</v>
      </c>
      <c r="Q766" t="s">
        <v>461</v>
      </c>
    </row>
    <row r="767" spans="1:17" x14ac:dyDescent="0.3">
      <c r="A767">
        <v>205855</v>
      </c>
      <c r="B767">
        <v>116</v>
      </c>
      <c r="C767" t="s">
        <v>568</v>
      </c>
      <c r="D767" t="s">
        <v>2277</v>
      </c>
      <c r="E767" t="s">
        <v>3082</v>
      </c>
      <c r="F767" s="452">
        <v>46050</v>
      </c>
      <c r="G767" s="452">
        <v>46050</v>
      </c>
      <c r="H767" s="452">
        <v>46078</v>
      </c>
      <c r="I767">
        <v>926.47</v>
      </c>
      <c r="J767">
        <v>924.47</v>
      </c>
      <c r="K767">
        <v>926.47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461</v>
      </c>
    </row>
    <row r="768" spans="1:17" x14ac:dyDescent="0.3">
      <c r="A768">
        <v>205854</v>
      </c>
      <c r="B768">
        <v>116</v>
      </c>
      <c r="C768" t="s">
        <v>568</v>
      </c>
      <c r="D768" t="s">
        <v>2277</v>
      </c>
      <c r="E768" t="s">
        <v>3083</v>
      </c>
      <c r="F768" s="452">
        <v>46052</v>
      </c>
      <c r="G768" s="452">
        <v>46052</v>
      </c>
      <c r="H768" s="452">
        <v>46080</v>
      </c>
      <c r="I768">
        <v>74.86</v>
      </c>
      <c r="J768">
        <v>65.959999999999994</v>
      </c>
      <c r="K768">
        <v>74.86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461</v>
      </c>
    </row>
    <row r="769" spans="1:17" x14ac:dyDescent="0.3">
      <c r="A769">
        <v>205853</v>
      </c>
      <c r="B769">
        <v>116</v>
      </c>
      <c r="C769" t="s">
        <v>568</v>
      </c>
      <c r="D769" t="s">
        <v>2275</v>
      </c>
      <c r="E769" t="s">
        <v>3084</v>
      </c>
      <c r="F769" s="452">
        <v>46048</v>
      </c>
      <c r="G769" s="452">
        <v>46048</v>
      </c>
      <c r="H769" s="452">
        <v>46084</v>
      </c>
      <c r="I769">
        <v>541</v>
      </c>
      <c r="J769">
        <v>541</v>
      </c>
      <c r="K769">
        <v>0</v>
      </c>
      <c r="L769">
        <v>541</v>
      </c>
      <c r="M769">
        <v>0</v>
      </c>
      <c r="N769">
        <v>0</v>
      </c>
      <c r="O769">
        <v>0</v>
      </c>
      <c r="P769">
        <v>0</v>
      </c>
      <c r="Q769" t="s">
        <v>461</v>
      </c>
    </row>
    <row r="770" spans="1:17" x14ac:dyDescent="0.3">
      <c r="A770">
        <v>205852</v>
      </c>
      <c r="B770">
        <v>116</v>
      </c>
      <c r="C770" t="s">
        <v>568</v>
      </c>
      <c r="D770" t="s">
        <v>2273</v>
      </c>
      <c r="E770" t="s">
        <v>3085</v>
      </c>
      <c r="F770" s="452">
        <v>46042</v>
      </c>
      <c r="G770" s="452">
        <v>46042</v>
      </c>
      <c r="H770" s="452">
        <v>46069</v>
      </c>
      <c r="I770">
        <v>236.36</v>
      </c>
      <c r="J770">
        <v>266.95999999999998</v>
      </c>
      <c r="K770">
        <v>236.36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461</v>
      </c>
    </row>
    <row r="771" spans="1:17" x14ac:dyDescent="0.3">
      <c r="A771">
        <v>205850</v>
      </c>
      <c r="B771">
        <v>116</v>
      </c>
      <c r="C771" t="s">
        <v>568</v>
      </c>
      <c r="D771" t="s">
        <v>2273</v>
      </c>
      <c r="E771" t="s">
        <v>3086</v>
      </c>
      <c r="F771" s="452">
        <v>46051</v>
      </c>
      <c r="G771" s="452">
        <v>46051</v>
      </c>
      <c r="H771" s="452">
        <v>46079</v>
      </c>
      <c r="I771">
        <v>299.48</v>
      </c>
      <c r="J771">
        <v>299.48</v>
      </c>
      <c r="K771">
        <v>299.48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461</v>
      </c>
    </row>
    <row r="772" spans="1:17" x14ac:dyDescent="0.3">
      <c r="A772">
        <v>204882</v>
      </c>
      <c r="B772">
        <v>116</v>
      </c>
      <c r="C772" t="s">
        <v>568</v>
      </c>
      <c r="D772" t="s">
        <v>2318</v>
      </c>
      <c r="E772" t="s">
        <v>3087</v>
      </c>
      <c r="F772" s="452">
        <v>46052</v>
      </c>
      <c r="G772" s="452">
        <v>46052</v>
      </c>
      <c r="H772" s="452">
        <v>46066</v>
      </c>
      <c r="I772">
        <v>958.8</v>
      </c>
      <c r="J772">
        <v>958.8</v>
      </c>
      <c r="K772">
        <v>958.8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461</v>
      </c>
    </row>
    <row r="773" spans="1:17" x14ac:dyDescent="0.3">
      <c r="A773">
        <v>204881</v>
      </c>
      <c r="B773">
        <v>116</v>
      </c>
      <c r="C773" t="s">
        <v>568</v>
      </c>
      <c r="D773" t="s">
        <v>2320</v>
      </c>
      <c r="E773" t="s">
        <v>3088</v>
      </c>
      <c r="F773" s="452">
        <v>46050</v>
      </c>
      <c r="G773" s="452">
        <v>46050</v>
      </c>
      <c r="H773" s="452">
        <v>46064</v>
      </c>
      <c r="I773">
        <v>1199.6300000000001</v>
      </c>
      <c r="J773">
        <v>1199.6300000000001</v>
      </c>
      <c r="K773">
        <v>1199.6300000000001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461</v>
      </c>
    </row>
    <row r="774" spans="1:17" x14ac:dyDescent="0.3">
      <c r="A774">
        <v>204879</v>
      </c>
      <c r="B774">
        <v>116</v>
      </c>
      <c r="C774" t="s">
        <v>568</v>
      </c>
      <c r="D774" t="s">
        <v>3053</v>
      </c>
      <c r="E774" t="s">
        <v>3089</v>
      </c>
      <c r="F774" s="452">
        <v>46052</v>
      </c>
      <c r="G774" s="452">
        <v>46052</v>
      </c>
      <c r="H774" s="452">
        <v>46062</v>
      </c>
      <c r="I774">
        <v>199.5</v>
      </c>
      <c r="J774">
        <v>184.6</v>
      </c>
      <c r="K774">
        <v>199.5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461</v>
      </c>
    </row>
    <row r="775" spans="1:17" x14ac:dyDescent="0.3">
      <c r="A775">
        <v>204878</v>
      </c>
      <c r="B775">
        <v>116</v>
      </c>
      <c r="C775" t="s">
        <v>568</v>
      </c>
      <c r="D775" t="s">
        <v>3053</v>
      </c>
      <c r="E775" t="s">
        <v>3090</v>
      </c>
      <c r="F775" s="452">
        <v>46052</v>
      </c>
      <c r="G775" s="452">
        <v>46052</v>
      </c>
      <c r="H775" s="452">
        <v>46062</v>
      </c>
      <c r="I775">
        <v>187</v>
      </c>
      <c r="J775">
        <v>171.34</v>
      </c>
      <c r="K775">
        <v>187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461</v>
      </c>
    </row>
    <row r="776" spans="1:17" x14ac:dyDescent="0.3">
      <c r="A776">
        <v>204877</v>
      </c>
      <c r="B776">
        <v>116</v>
      </c>
      <c r="C776" t="s">
        <v>568</v>
      </c>
      <c r="D776" t="s">
        <v>2286</v>
      </c>
      <c r="E776" t="s">
        <v>3091</v>
      </c>
      <c r="F776" s="452">
        <v>46051</v>
      </c>
      <c r="G776" s="452">
        <v>46051</v>
      </c>
      <c r="H776" s="452">
        <v>46065</v>
      </c>
      <c r="I776">
        <v>486.55</v>
      </c>
      <c r="J776">
        <v>486.55</v>
      </c>
      <c r="K776">
        <v>486.55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461</v>
      </c>
    </row>
    <row r="777" spans="1:17" x14ac:dyDescent="0.3">
      <c r="A777">
        <v>203224</v>
      </c>
      <c r="B777">
        <v>116</v>
      </c>
      <c r="C777" t="s">
        <v>568</v>
      </c>
      <c r="D777" t="s">
        <v>2284</v>
      </c>
      <c r="E777" t="s">
        <v>3092</v>
      </c>
      <c r="F777" s="452">
        <v>46041</v>
      </c>
      <c r="G777" s="452">
        <v>46041</v>
      </c>
      <c r="H777" s="452">
        <v>46070</v>
      </c>
      <c r="I777">
        <v>303.60000000000002</v>
      </c>
      <c r="J777">
        <v>303.60000000000002</v>
      </c>
      <c r="K777">
        <v>0</v>
      </c>
      <c r="L777">
        <v>303.60000000000002</v>
      </c>
      <c r="M777">
        <v>0</v>
      </c>
      <c r="N777">
        <v>0</v>
      </c>
      <c r="O777">
        <v>0</v>
      </c>
      <c r="P777">
        <v>0</v>
      </c>
      <c r="Q777" t="s">
        <v>461</v>
      </c>
    </row>
    <row r="778" spans="1:17" x14ac:dyDescent="0.3">
      <c r="A778">
        <v>203223</v>
      </c>
      <c r="B778">
        <v>116</v>
      </c>
      <c r="C778" t="s">
        <v>568</v>
      </c>
      <c r="D778" t="s">
        <v>2284</v>
      </c>
      <c r="E778" t="s">
        <v>3093</v>
      </c>
      <c r="F778" s="452">
        <v>46041</v>
      </c>
      <c r="G778" s="452">
        <v>46041</v>
      </c>
      <c r="H778" s="452">
        <v>46070</v>
      </c>
      <c r="I778">
        <v>1019.36</v>
      </c>
      <c r="J778">
        <v>1019.36</v>
      </c>
      <c r="K778">
        <v>1019.36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461</v>
      </c>
    </row>
    <row r="779" spans="1:17" x14ac:dyDescent="0.3">
      <c r="A779">
        <v>203221</v>
      </c>
      <c r="B779">
        <v>116</v>
      </c>
      <c r="C779" t="s">
        <v>568</v>
      </c>
      <c r="D779" t="s">
        <v>3010</v>
      </c>
      <c r="E779" t="s">
        <v>3094</v>
      </c>
      <c r="F779" s="452">
        <v>46048</v>
      </c>
      <c r="H779" s="452">
        <v>46062</v>
      </c>
      <c r="I779">
        <v>379.5</v>
      </c>
      <c r="J779">
        <v>379.5</v>
      </c>
      <c r="K779">
        <v>0</v>
      </c>
      <c r="L779">
        <v>0</v>
      </c>
      <c r="M779">
        <v>0</v>
      </c>
      <c r="N779">
        <v>379.5</v>
      </c>
      <c r="O779">
        <v>0</v>
      </c>
      <c r="P779">
        <v>0</v>
      </c>
      <c r="Q779" t="s">
        <v>461</v>
      </c>
    </row>
    <row r="780" spans="1:17" x14ac:dyDescent="0.3">
      <c r="A780">
        <v>203216</v>
      </c>
      <c r="B780">
        <v>116</v>
      </c>
      <c r="C780" t="s">
        <v>568</v>
      </c>
      <c r="D780" t="s">
        <v>2277</v>
      </c>
      <c r="E780" t="s">
        <v>3095</v>
      </c>
      <c r="F780" s="452">
        <v>46042</v>
      </c>
      <c r="G780" s="452">
        <v>46042</v>
      </c>
      <c r="H780" s="452">
        <v>46070</v>
      </c>
      <c r="I780">
        <v>324.67</v>
      </c>
      <c r="J780">
        <v>315.77</v>
      </c>
      <c r="K780">
        <v>324.67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461</v>
      </c>
    </row>
    <row r="781" spans="1:17" x14ac:dyDescent="0.3">
      <c r="A781">
        <v>203210</v>
      </c>
      <c r="B781">
        <v>116</v>
      </c>
      <c r="C781" t="s">
        <v>568</v>
      </c>
      <c r="D781" t="s">
        <v>3096</v>
      </c>
      <c r="E781" t="s">
        <v>3097</v>
      </c>
      <c r="F781" s="452">
        <v>46038</v>
      </c>
      <c r="H781" s="452">
        <v>46055</v>
      </c>
      <c r="I781">
        <v>596</v>
      </c>
      <c r="J781">
        <v>596</v>
      </c>
      <c r="K781">
        <v>0</v>
      </c>
      <c r="L781">
        <v>0</v>
      </c>
      <c r="M781">
        <v>0</v>
      </c>
      <c r="N781">
        <v>0</v>
      </c>
      <c r="O781">
        <v>596</v>
      </c>
      <c r="P781">
        <v>0</v>
      </c>
      <c r="Q781" t="s">
        <v>461</v>
      </c>
    </row>
    <row r="782" spans="1:17" x14ac:dyDescent="0.3">
      <c r="A782">
        <v>203207</v>
      </c>
      <c r="B782">
        <v>116</v>
      </c>
      <c r="C782" t="s">
        <v>568</v>
      </c>
      <c r="D782" t="s">
        <v>2429</v>
      </c>
      <c r="E782" t="s">
        <v>3098</v>
      </c>
      <c r="F782" s="452">
        <v>46050</v>
      </c>
      <c r="G782" s="452">
        <v>46050</v>
      </c>
      <c r="H782" s="452">
        <v>46071</v>
      </c>
      <c r="I782">
        <v>326.7</v>
      </c>
      <c r="J782">
        <v>326.7</v>
      </c>
      <c r="K782">
        <v>326.7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461</v>
      </c>
    </row>
    <row r="783" spans="1:17" x14ac:dyDescent="0.3">
      <c r="A783">
        <v>203204</v>
      </c>
      <c r="B783">
        <v>116</v>
      </c>
      <c r="C783" t="s">
        <v>568</v>
      </c>
      <c r="D783" t="s">
        <v>2308</v>
      </c>
      <c r="E783" t="s">
        <v>3099</v>
      </c>
      <c r="F783" s="452">
        <v>46041</v>
      </c>
      <c r="G783" s="452">
        <v>46041</v>
      </c>
      <c r="H783" s="452">
        <v>46069</v>
      </c>
      <c r="I783">
        <v>1600.27</v>
      </c>
      <c r="J783">
        <v>1600.27</v>
      </c>
      <c r="K783">
        <v>1600.27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461</v>
      </c>
    </row>
    <row r="784" spans="1:17" x14ac:dyDescent="0.3">
      <c r="A784">
        <v>203201</v>
      </c>
      <c r="B784">
        <v>116</v>
      </c>
      <c r="C784" t="s">
        <v>568</v>
      </c>
      <c r="D784" t="s">
        <v>2314</v>
      </c>
      <c r="E784" t="s">
        <v>3100</v>
      </c>
      <c r="F784" s="452">
        <v>46043</v>
      </c>
      <c r="G784" s="452">
        <v>46043</v>
      </c>
      <c r="H784" s="452">
        <v>46073</v>
      </c>
      <c r="I784">
        <v>127.65</v>
      </c>
      <c r="J784">
        <v>127.65</v>
      </c>
      <c r="K784">
        <v>0</v>
      </c>
      <c r="L784">
        <v>127.65</v>
      </c>
      <c r="M784">
        <v>0</v>
      </c>
      <c r="N784">
        <v>0</v>
      </c>
      <c r="O784">
        <v>0</v>
      </c>
      <c r="P784">
        <v>0</v>
      </c>
      <c r="Q784" t="s">
        <v>461</v>
      </c>
    </row>
    <row r="785" spans="1:17" x14ac:dyDescent="0.3">
      <c r="A785">
        <v>203200</v>
      </c>
      <c r="B785">
        <v>116</v>
      </c>
      <c r="C785" t="s">
        <v>568</v>
      </c>
      <c r="D785" t="s">
        <v>3101</v>
      </c>
      <c r="E785" t="s">
        <v>3102</v>
      </c>
      <c r="F785" s="452">
        <v>46036</v>
      </c>
      <c r="H785" s="452">
        <v>46064</v>
      </c>
      <c r="I785">
        <v>2900</v>
      </c>
      <c r="J785">
        <v>2900</v>
      </c>
      <c r="K785">
        <v>0</v>
      </c>
      <c r="L785">
        <v>0</v>
      </c>
      <c r="M785">
        <v>2900</v>
      </c>
      <c r="N785">
        <v>0</v>
      </c>
      <c r="O785">
        <v>0</v>
      </c>
      <c r="P785">
        <v>0</v>
      </c>
      <c r="Q785" t="s">
        <v>461</v>
      </c>
    </row>
    <row r="786" spans="1:17" x14ac:dyDescent="0.3">
      <c r="A786">
        <v>203199</v>
      </c>
      <c r="B786">
        <v>116</v>
      </c>
      <c r="C786" t="s">
        <v>568</v>
      </c>
      <c r="D786" t="s">
        <v>2528</v>
      </c>
      <c r="E786" t="s">
        <v>3103</v>
      </c>
      <c r="F786" s="452">
        <v>46036</v>
      </c>
      <c r="G786" s="452">
        <v>46036</v>
      </c>
      <c r="H786" s="452">
        <v>46064</v>
      </c>
      <c r="I786">
        <v>2216.85</v>
      </c>
      <c r="J786">
        <v>2178.6</v>
      </c>
      <c r="K786">
        <v>1981.79</v>
      </c>
      <c r="L786">
        <v>0</v>
      </c>
      <c r="M786">
        <v>0</v>
      </c>
      <c r="N786">
        <v>0</v>
      </c>
      <c r="O786">
        <v>235.06</v>
      </c>
      <c r="P786">
        <v>0</v>
      </c>
      <c r="Q786" t="s">
        <v>461</v>
      </c>
    </row>
    <row r="787" spans="1:17" x14ac:dyDescent="0.3">
      <c r="A787">
        <v>203196</v>
      </c>
      <c r="B787">
        <v>116</v>
      </c>
      <c r="C787" t="s">
        <v>568</v>
      </c>
      <c r="D787" t="s">
        <v>2262</v>
      </c>
      <c r="E787" t="s">
        <v>3104</v>
      </c>
      <c r="F787" s="452">
        <v>46042</v>
      </c>
      <c r="G787" s="452">
        <v>46042</v>
      </c>
      <c r="H787" s="452">
        <v>46070</v>
      </c>
      <c r="I787">
        <v>1886.74</v>
      </c>
      <c r="J787">
        <v>1886.74</v>
      </c>
      <c r="K787">
        <v>1886.74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461</v>
      </c>
    </row>
    <row r="788" spans="1:17" x14ac:dyDescent="0.3">
      <c r="A788">
        <v>203194</v>
      </c>
      <c r="B788">
        <v>116</v>
      </c>
      <c r="C788" t="s">
        <v>568</v>
      </c>
      <c r="D788" t="s">
        <v>2262</v>
      </c>
      <c r="E788" t="s">
        <v>3105</v>
      </c>
      <c r="F788" s="452">
        <v>46037</v>
      </c>
      <c r="G788" s="452">
        <v>46037</v>
      </c>
      <c r="H788" s="452">
        <v>46065</v>
      </c>
      <c r="I788">
        <v>134.16</v>
      </c>
      <c r="J788">
        <v>134.16</v>
      </c>
      <c r="K788">
        <v>134.16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461</v>
      </c>
    </row>
    <row r="789" spans="1:17" x14ac:dyDescent="0.3">
      <c r="A789">
        <v>203192</v>
      </c>
      <c r="B789">
        <v>116</v>
      </c>
      <c r="C789" t="s">
        <v>568</v>
      </c>
      <c r="D789" t="s">
        <v>2262</v>
      </c>
      <c r="E789" t="s">
        <v>3106</v>
      </c>
      <c r="F789" s="452">
        <v>46035</v>
      </c>
      <c r="G789" s="452">
        <v>46035</v>
      </c>
      <c r="H789" s="452">
        <v>46063</v>
      </c>
      <c r="I789">
        <v>2318.39</v>
      </c>
      <c r="J789">
        <v>2318.39</v>
      </c>
      <c r="K789">
        <v>2318.39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461</v>
      </c>
    </row>
    <row r="790" spans="1:17" x14ac:dyDescent="0.3">
      <c r="A790">
        <v>203190</v>
      </c>
      <c r="B790">
        <v>116</v>
      </c>
      <c r="C790" t="s">
        <v>568</v>
      </c>
      <c r="D790" t="s">
        <v>2286</v>
      </c>
      <c r="E790" t="s">
        <v>3107</v>
      </c>
      <c r="F790" s="452">
        <v>46048</v>
      </c>
      <c r="G790" s="452">
        <v>46048</v>
      </c>
      <c r="H790" s="452">
        <v>46062</v>
      </c>
      <c r="I790">
        <v>562.65</v>
      </c>
      <c r="J790">
        <v>562.65</v>
      </c>
      <c r="K790">
        <v>562.65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461</v>
      </c>
    </row>
    <row r="791" spans="1:17" x14ac:dyDescent="0.3">
      <c r="A791">
        <v>203188</v>
      </c>
      <c r="B791">
        <v>116</v>
      </c>
      <c r="C791" t="s">
        <v>568</v>
      </c>
      <c r="D791" t="s">
        <v>2332</v>
      </c>
      <c r="E791" t="s">
        <v>3108</v>
      </c>
      <c r="F791" s="452">
        <v>46050</v>
      </c>
      <c r="G791" s="452">
        <v>46050</v>
      </c>
      <c r="H791" s="452">
        <v>46071</v>
      </c>
      <c r="I791">
        <v>166.74</v>
      </c>
      <c r="J791">
        <v>166.74</v>
      </c>
      <c r="K791">
        <v>0</v>
      </c>
      <c r="L791">
        <v>166.74</v>
      </c>
      <c r="M791">
        <v>0</v>
      </c>
      <c r="N791">
        <v>0</v>
      </c>
      <c r="O791">
        <v>0</v>
      </c>
      <c r="P791">
        <v>0</v>
      </c>
      <c r="Q791" t="s">
        <v>461</v>
      </c>
    </row>
    <row r="792" spans="1:17" x14ac:dyDescent="0.3">
      <c r="A792">
        <v>203186</v>
      </c>
      <c r="B792">
        <v>116</v>
      </c>
      <c r="C792" t="s">
        <v>568</v>
      </c>
      <c r="D792" t="s">
        <v>2340</v>
      </c>
      <c r="E792" t="s">
        <v>3109</v>
      </c>
      <c r="F792" s="452">
        <v>46041</v>
      </c>
      <c r="G792" s="452">
        <v>46041</v>
      </c>
      <c r="H792" s="452">
        <v>46070</v>
      </c>
      <c r="I792">
        <v>105</v>
      </c>
      <c r="J792">
        <v>105</v>
      </c>
      <c r="K792">
        <v>105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461</v>
      </c>
    </row>
    <row r="793" spans="1:17" x14ac:dyDescent="0.3">
      <c r="A793">
        <v>203184</v>
      </c>
      <c r="B793">
        <v>116</v>
      </c>
      <c r="C793" t="s">
        <v>568</v>
      </c>
      <c r="D793" t="s">
        <v>2340</v>
      </c>
      <c r="E793" t="s">
        <v>3110</v>
      </c>
      <c r="F793" s="452">
        <v>46041</v>
      </c>
      <c r="G793" s="452">
        <v>46041</v>
      </c>
      <c r="H793" s="452">
        <v>46070</v>
      </c>
      <c r="I793">
        <v>1008.57</v>
      </c>
      <c r="J793">
        <v>1008.57</v>
      </c>
      <c r="K793">
        <v>1008.57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461</v>
      </c>
    </row>
    <row r="794" spans="1:17" x14ac:dyDescent="0.3">
      <c r="A794">
        <v>203182</v>
      </c>
      <c r="B794">
        <v>116</v>
      </c>
      <c r="C794" t="s">
        <v>568</v>
      </c>
      <c r="D794" t="s">
        <v>2342</v>
      </c>
      <c r="E794" t="s">
        <v>3111</v>
      </c>
      <c r="F794" s="452">
        <v>46049</v>
      </c>
      <c r="G794" s="452">
        <v>46049</v>
      </c>
      <c r="H794" s="452">
        <v>46072</v>
      </c>
      <c r="I794">
        <v>395</v>
      </c>
      <c r="J794">
        <v>360</v>
      </c>
      <c r="K794">
        <v>395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461</v>
      </c>
    </row>
    <row r="795" spans="1:17" x14ac:dyDescent="0.3">
      <c r="A795">
        <v>203178</v>
      </c>
      <c r="B795">
        <v>116</v>
      </c>
      <c r="C795" t="s">
        <v>568</v>
      </c>
      <c r="D795" t="s">
        <v>2922</v>
      </c>
      <c r="E795" t="s">
        <v>3112</v>
      </c>
      <c r="F795" s="452">
        <v>46041</v>
      </c>
      <c r="G795" s="452">
        <v>46041</v>
      </c>
      <c r="H795" s="452">
        <v>46069</v>
      </c>
      <c r="I795">
        <v>175.47</v>
      </c>
      <c r="J795">
        <v>175.47</v>
      </c>
      <c r="K795">
        <v>175.47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461</v>
      </c>
    </row>
    <row r="796" spans="1:17" x14ac:dyDescent="0.3">
      <c r="A796">
        <v>203174</v>
      </c>
      <c r="B796">
        <v>116</v>
      </c>
      <c r="C796" t="s">
        <v>568</v>
      </c>
      <c r="D796" t="s">
        <v>2922</v>
      </c>
      <c r="E796" t="s">
        <v>3113</v>
      </c>
      <c r="F796" s="452">
        <v>46037</v>
      </c>
      <c r="G796" s="452">
        <v>46037</v>
      </c>
      <c r="H796" s="452">
        <v>46065</v>
      </c>
      <c r="I796">
        <v>274.92</v>
      </c>
      <c r="J796">
        <v>274.92</v>
      </c>
      <c r="K796">
        <v>274.92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461</v>
      </c>
    </row>
    <row r="797" spans="1:17" x14ac:dyDescent="0.3">
      <c r="A797">
        <v>203172</v>
      </c>
      <c r="B797">
        <v>116</v>
      </c>
      <c r="C797" t="s">
        <v>568</v>
      </c>
      <c r="D797" t="s">
        <v>2922</v>
      </c>
      <c r="E797" t="s">
        <v>3114</v>
      </c>
      <c r="F797" s="452">
        <v>46044</v>
      </c>
      <c r="G797" s="452">
        <v>46044</v>
      </c>
      <c r="H797" s="452">
        <v>46072</v>
      </c>
      <c r="I797">
        <v>200.9</v>
      </c>
      <c r="J797">
        <v>200.9</v>
      </c>
      <c r="K797">
        <v>200.9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461</v>
      </c>
    </row>
    <row r="798" spans="1:17" x14ac:dyDescent="0.3">
      <c r="A798">
        <v>203169</v>
      </c>
      <c r="B798">
        <v>116</v>
      </c>
      <c r="C798" t="s">
        <v>568</v>
      </c>
      <c r="D798" t="s">
        <v>2260</v>
      </c>
      <c r="E798" t="s">
        <v>3115</v>
      </c>
      <c r="F798" s="452">
        <v>46050</v>
      </c>
      <c r="G798" s="452">
        <v>46050</v>
      </c>
      <c r="H798" s="452">
        <v>46071</v>
      </c>
      <c r="I798">
        <v>3045.97</v>
      </c>
      <c r="J798">
        <v>3035.06</v>
      </c>
      <c r="K798">
        <v>3045.97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461</v>
      </c>
    </row>
    <row r="799" spans="1:17" x14ac:dyDescent="0.3">
      <c r="A799">
        <v>203167</v>
      </c>
      <c r="B799">
        <v>116</v>
      </c>
      <c r="C799" t="s">
        <v>568</v>
      </c>
      <c r="D799" t="s">
        <v>2267</v>
      </c>
      <c r="E799" t="s">
        <v>3116</v>
      </c>
      <c r="F799" s="452">
        <v>46042</v>
      </c>
      <c r="G799" s="452">
        <v>46042</v>
      </c>
      <c r="H799" s="452">
        <v>46068</v>
      </c>
      <c r="I799">
        <v>854.62</v>
      </c>
      <c r="J799">
        <v>854.61</v>
      </c>
      <c r="K799">
        <v>854.62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461</v>
      </c>
    </row>
    <row r="800" spans="1:17" x14ac:dyDescent="0.3">
      <c r="A800">
        <v>203164</v>
      </c>
      <c r="B800">
        <v>116</v>
      </c>
      <c r="C800" t="s">
        <v>568</v>
      </c>
      <c r="D800" t="s">
        <v>2267</v>
      </c>
      <c r="E800" t="s">
        <v>3117</v>
      </c>
      <c r="F800" s="452">
        <v>46048</v>
      </c>
      <c r="G800" s="452">
        <v>46048</v>
      </c>
      <c r="H800" s="452">
        <v>46073</v>
      </c>
      <c r="I800">
        <v>419.85</v>
      </c>
      <c r="J800">
        <v>419.85</v>
      </c>
      <c r="K800">
        <v>419.85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461</v>
      </c>
    </row>
    <row r="801" spans="1:17" x14ac:dyDescent="0.3">
      <c r="A801">
        <v>203163</v>
      </c>
      <c r="B801">
        <v>116</v>
      </c>
      <c r="C801" t="s">
        <v>568</v>
      </c>
      <c r="D801" t="s">
        <v>2361</v>
      </c>
      <c r="E801" t="s">
        <v>3118</v>
      </c>
      <c r="F801" s="452">
        <v>46049</v>
      </c>
      <c r="G801" s="452">
        <v>46049</v>
      </c>
      <c r="H801" s="452">
        <v>46063</v>
      </c>
      <c r="I801">
        <v>183</v>
      </c>
      <c r="J801">
        <v>158</v>
      </c>
      <c r="K801">
        <v>183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461</v>
      </c>
    </row>
    <row r="802" spans="1:17" x14ac:dyDescent="0.3">
      <c r="A802">
        <v>203162</v>
      </c>
      <c r="B802">
        <v>116</v>
      </c>
      <c r="C802" t="s">
        <v>568</v>
      </c>
      <c r="D802" t="s">
        <v>2265</v>
      </c>
      <c r="E802" t="s">
        <v>3119</v>
      </c>
      <c r="F802" s="452">
        <v>46049</v>
      </c>
      <c r="H802" s="452">
        <v>46065</v>
      </c>
      <c r="I802">
        <v>263.49</v>
      </c>
      <c r="J802">
        <v>263.49</v>
      </c>
      <c r="K802">
        <v>0</v>
      </c>
      <c r="L802">
        <v>0</v>
      </c>
      <c r="M802">
        <v>263.49</v>
      </c>
      <c r="N802">
        <v>0</v>
      </c>
      <c r="O802">
        <v>0</v>
      </c>
      <c r="P802">
        <v>0</v>
      </c>
      <c r="Q802" t="s">
        <v>461</v>
      </c>
    </row>
    <row r="803" spans="1:17" x14ac:dyDescent="0.3">
      <c r="A803">
        <v>203161</v>
      </c>
      <c r="B803">
        <v>116</v>
      </c>
      <c r="C803" t="s">
        <v>568</v>
      </c>
      <c r="D803" t="s">
        <v>2265</v>
      </c>
      <c r="E803" t="s">
        <v>3120</v>
      </c>
      <c r="F803" s="452">
        <v>46050</v>
      </c>
      <c r="H803" s="452">
        <v>46065</v>
      </c>
      <c r="I803">
        <v>45</v>
      </c>
      <c r="J803">
        <v>45</v>
      </c>
      <c r="K803">
        <v>0</v>
      </c>
      <c r="L803">
        <v>0</v>
      </c>
      <c r="M803">
        <v>45</v>
      </c>
      <c r="N803">
        <v>0</v>
      </c>
      <c r="O803">
        <v>0</v>
      </c>
      <c r="P803">
        <v>0</v>
      </c>
      <c r="Q803" t="s">
        <v>461</v>
      </c>
    </row>
    <row r="804" spans="1:17" x14ac:dyDescent="0.3">
      <c r="A804">
        <v>203159</v>
      </c>
      <c r="B804">
        <v>116</v>
      </c>
      <c r="C804" t="s">
        <v>568</v>
      </c>
      <c r="D804" t="s">
        <v>2271</v>
      </c>
      <c r="E804" t="s">
        <v>3121</v>
      </c>
      <c r="F804" s="452">
        <v>46036</v>
      </c>
      <c r="G804" s="452">
        <v>46036</v>
      </c>
      <c r="H804" s="452">
        <v>46064</v>
      </c>
      <c r="I804">
        <v>311.8</v>
      </c>
      <c r="J804">
        <v>311.8</v>
      </c>
      <c r="K804">
        <v>0</v>
      </c>
      <c r="L804">
        <v>311.8</v>
      </c>
      <c r="M804">
        <v>0</v>
      </c>
      <c r="N804">
        <v>0</v>
      </c>
      <c r="O804">
        <v>0</v>
      </c>
      <c r="P804">
        <v>0</v>
      </c>
      <c r="Q804" t="s">
        <v>461</v>
      </c>
    </row>
    <row r="805" spans="1:17" x14ac:dyDescent="0.3">
      <c r="A805">
        <v>203156</v>
      </c>
      <c r="B805">
        <v>116</v>
      </c>
      <c r="C805" t="s">
        <v>568</v>
      </c>
      <c r="D805" t="s">
        <v>3122</v>
      </c>
      <c r="E805" t="s">
        <v>3123</v>
      </c>
      <c r="F805" s="452">
        <v>46049</v>
      </c>
      <c r="H805" s="452">
        <v>46063</v>
      </c>
      <c r="I805">
        <v>195.02</v>
      </c>
      <c r="J805">
        <v>195.02</v>
      </c>
      <c r="K805">
        <v>0</v>
      </c>
      <c r="L805">
        <v>0</v>
      </c>
      <c r="M805">
        <v>173.12</v>
      </c>
      <c r="N805">
        <v>0</v>
      </c>
      <c r="O805">
        <v>21.9</v>
      </c>
      <c r="P805">
        <v>0</v>
      </c>
      <c r="Q805" t="s">
        <v>461</v>
      </c>
    </row>
    <row r="806" spans="1:17" x14ac:dyDescent="0.3">
      <c r="A806">
        <v>198842</v>
      </c>
      <c r="B806">
        <v>116</v>
      </c>
      <c r="C806" t="s">
        <v>568</v>
      </c>
      <c r="D806" t="s">
        <v>2277</v>
      </c>
      <c r="E806" t="s">
        <v>3124</v>
      </c>
      <c r="F806" s="452">
        <v>46023</v>
      </c>
      <c r="G806" s="452">
        <v>46023</v>
      </c>
      <c r="H806" s="452">
        <v>46055</v>
      </c>
      <c r="I806">
        <v>572.12</v>
      </c>
      <c r="J806">
        <v>542.88</v>
      </c>
      <c r="K806">
        <v>572.12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461</v>
      </c>
    </row>
    <row r="807" spans="1:17" x14ac:dyDescent="0.3">
      <c r="A807">
        <v>198108</v>
      </c>
      <c r="B807">
        <v>116</v>
      </c>
      <c r="C807" t="s">
        <v>568</v>
      </c>
      <c r="D807" t="s">
        <v>2286</v>
      </c>
      <c r="E807" t="s">
        <v>3125</v>
      </c>
      <c r="F807" s="452">
        <v>46044</v>
      </c>
      <c r="G807" s="452">
        <v>46044</v>
      </c>
      <c r="H807" s="452">
        <v>46058</v>
      </c>
      <c r="I807">
        <v>452.7</v>
      </c>
      <c r="J807">
        <v>452.7</v>
      </c>
      <c r="K807">
        <v>452.7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461</v>
      </c>
    </row>
    <row r="808" spans="1:17" x14ac:dyDescent="0.3">
      <c r="A808">
        <v>197035</v>
      </c>
      <c r="B808">
        <v>116</v>
      </c>
      <c r="C808" t="s">
        <v>568</v>
      </c>
      <c r="D808" t="s">
        <v>2260</v>
      </c>
      <c r="E808" t="s">
        <v>3126</v>
      </c>
      <c r="F808" s="452">
        <v>46041</v>
      </c>
      <c r="G808" s="452">
        <v>46041</v>
      </c>
      <c r="H808" s="452">
        <v>46062</v>
      </c>
      <c r="I808">
        <v>2163.59</v>
      </c>
      <c r="J808">
        <v>1210.78</v>
      </c>
      <c r="K808">
        <v>2163.59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461</v>
      </c>
    </row>
    <row r="809" spans="1:17" x14ac:dyDescent="0.3">
      <c r="A809">
        <v>197033</v>
      </c>
      <c r="B809">
        <v>116</v>
      </c>
      <c r="C809" t="s">
        <v>568</v>
      </c>
      <c r="D809" t="s">
        <v>2922</v>
      </c>
      <c r="E809" t="s">
        <v>3127</v>
      </c>
      <c r="F809" s="452">
        <v>46034</v>
      </c>
      <c r="G809" s="452">
        <v>46034</v>
      </c>
      <c r="H809" s="452">
        <v>46062</v>
      </c>
      <c r="I809">
        <v>259.27999999999997</v>
      </c>
      <c r="J809">
        <v>259.27999999999997</v>
      </c>
      <c r="K809">
        <v>259.27999999999997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461</v>
      </c>
    </row>
    <row r="810" spans="1:17" x14ac:dyDescent="0.3">
      <c r="A810">
        <v>197032</v>
      </c>
      <c r="B810">
        <v>116</v>
      </c>
      <c r="C810" t="s">
        <v>568</v>
      </c>
      <c r="D810" t="s">
        <v>2922</v>
      </c>
      <c r="E810" t="s">
        <v>3128</v>
      </c>
      <c r="F810" s="452">
        <v>46030</v>
      </c>
      <c r="G810" s="452">
        <v>46030</v>
      </c>
      <c r="H810" s="452">
        <v>46058</v>
      </c>
      <c r="I810">
        <v>232.33</v>
      </c>
      <c r="J810">
        <v>232.58</v>
      </c>
      <c r="K810">
        <v>232.33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461</v>
      </c>
    </row>
    <row r="811" spans="1:17" x14ac:dyDescent="0.3">
      <c r="A811">
        <v>197030</v>
      </c>
      <c r="B811">
        <v>116</v>
      </c>
      <c r="C811" t="s">
        <v>568</v>
      </c>
      <c r="D811" t="s">
        <v>2357</v>
      </c>
      <c r="E811" t="s">
        <v>3129</v>
      </c>
      <c r="F811" s="452">
        <v>46041</v>
      </c>
      <c r="G811" s="452">
        <v>46041</v>
      </c>
      <c r="H811" s="452">
        <v>46056</v>
      </c>
      <c r="I811">
        <v>333.14</v>
      </c>
      <c r="J811">
        <v>332.7</v>
      </c>
      <c r="K811">
        <v>333.14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461</v>
      </c>
    </row>
    <row r="812" spans="1:17" x14ac:dyDescent="0.3">
      <c r="A812">
        <v>197027</v>
      </c>
      <c r="B812">
        <v>116</v>
      </c>
      <c r="C812" t="s">
        <v>568</v>
      </c>
      <c r="D812" t="s">
        <v>2342</v>
      </c>
      <c r="E812" t="s">
        <v>3130</v>
      </c>
      <c r="F812" s="452">
        <v>46035</v>
      </c>
      <c r="G812" s="452">
        <v>46035</v>
      </c>
      <c r="H812" s="452">
        <v>46057</v>
      </c>
      <c r="I812">
        <v>395</v>
      </c>
      <c r="J812">
        <v>360</v>
      </c>
      <c r="K812">
        <v>395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461</v>
      </c>
    </row>
    <row r="813" spans="1:17" x14ac:dyDescent="0.3">
      <c r="A813">
        <v>197026</v>
      </c>
      <c r="B813">
        <v>116</v>
      </c>
      <c r="C813" t="s">
        <v>568</v>
      </c>
      <c r="D813" t="s">
        <v>2260</v>
      </c>
      <c r="E813" t="s">
        <v>3131</v>
      </c>
      <c r="F813" s="452">
        <v>46041</v>
      </c>
      <c r="G813" s="452">
        <v>46041</v>
      </c>
      <c r="H813" s="452">
        <v>46055</v>
      </c>
      <c r="I813">
        <v>326</v>
      </c>
      <c r="J813">
        <v>316</v>
      </c>
      <c r="K813">
        <v>326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461</v>
      </c>
    </row>
    <row r="814" spans="1:17" x14ac:dyDescent="0.3">
      <c r="A814">
        <v>197025</v>
      </c>
      <c r="B814">
        <v>116</v>
      </c>
      <c r="C814" t="s">
        <v>568</v>
      </c>
      <c r="D814" t="s">
        <v>2260</v>
      </c>
      <c r="E814" t="s">
        <v>3132</v>
      </c>
      <c r="F814" s="452">
        <v>46041</v>
      </c>
      <c r="G814" s="452">
        <v>46041</v>
      </c>
      <c r="H814" s="452">
        <v>46055</v>
      </c>
      <c r="I814">
        <v>237.6</v>
      </c>
      <c r="J814">
        <v>237.6</v>
      </c>
      <c r="K814">
        <v>237.6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461</v>
      </c>
    </row>
    <row r="815" spans="1:17" x14ac:dyDescent="0.3">
      <c r="A815">
        <v>197024</v>
      </c>
      <c r="B815">
        <v>116</v>
      </c>
      <c r="C815" t="s">
        <v>568</v>
      </c>
      <c r="D815" t="s">
        <v>2267</v>
      </c>
      <c r="E815" t="s">
        <v>3133</v>
      </c>
      <c r="F815" s="452">
        <v>46036</v>
      </c>
      <c r="G815" s="452">
        <v>46036</v>
      </c>
      <c r="H815" s="452">
        <v>46060</v>
      </c>
      <c r="I815">
        <v>688.33</v>
      </c>
      <c r="J815">
        <v>688.33</v>
      </c>
      <c r="K815">
        <v>688.33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461</v>
      </c>
    </row>
    <row r="816" spans="1:17" x14ac:dyDescent="0.3">
      <c r="A816">
        <v>197022</v>
      </c>
      <c r="B816">
        <v>116</v>
      </c>
      <c r="C816" t="s">
        <v>568</v>
      </c>
      <c r="D816" t="s">
        <v>2265</v>
      </c>
      <c r="E816" t="s">
        <v>3134</v>
      </c>
      <c r="F816" s="452">
        <v>46041</v>
      </c>
      <c r="H816" s="452">
        <v>46056</v>
      </c>
      <c r="I816">
        <v>732.84</v>
      </c>
      <c r="J816">
        <v>732.84</v>
      </c>
      <c r="K816">
        <v>0</v>
      </c>
      <c r="L816">
        <v>0</v>
      </c>
      <c r="M816">
        <v>534.84</v>
      </c>
      <c r="N816">
        <v>0</v>
      </c>
      <c r="O816">
        <v>198</v>
      </c>
      <c r="P816">
        <v>0</v>
      </c>
      <c r="Q816" t="s">
        <v>461</v>
      </c>
    </row>
    <row r="817" spans="1:17" x14ac:dyDescent="0.3">
      <c r="A817">
        <v>197021</v>
      </c>
      <c r="B817">
        <v>116</v>
      </c>
      <c r="C817" t="s">
        <v>568</v>
      </c>
      <c r="D817" t="s">
        <v>2286</v>
      </c>
      <c r="E817" t="s">
        <v>3135</v>
      </c>
      <c r="F817" s="452">
        <v>46042</v>
      </c>
      <c r="G817" s="452">
        <v>46042</v>
      </c>
      <c r="H817" s="452">
        <v>46055</v>
      </c>
      <c r="I817">
        <v>459.7</v>
      </c>
      <c r="J817">
        <v>459.7</v>
      </c>
      <c r="K817">
        <v>459.7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461</v>
      </c>
    </row>
    <row r="818" spans="1:17" x14ac:dyDescent="0.3">
      <c r="A818">
        <v>197013</v>
      </c>
      <c r="B818">
        <v>116</v>
      </c>
      <c r="C818" t="s">
        <v>568</v>
      </c>
      <c r="D818" t="s">
        <v>2262</v>
      </c>
      <c r="E818" t="s">
        <v>3136</v>
      </c>
      <c r="F818" s="452">
        <v>46031</v>
      </c>
      <c r="G818" s="452">
        <v>46031</v>
      </c>
      <c r="H818" s="452">
        <v>46059</v>
      </c>
      <c r="I818">
        <v>353.4</v>
      </c>
      <c r="J818">
        <v>353.4</v>
      </c>
      <c r="K818">
        <v>353.4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461</v>
      </c>
    </row>
    <row r="819" spans="1:17" x14ac:dyDescent="0.3">
      <c r="A819">
        <v>197012</v>
      </c>
      <c r="B819">
        <v>116</v>
      </c>
      <c r="C819" t="s">
        <v>568</v>
      </c>
      <c r="D819" t="s">
        <v>2314</v>
      </c>
      <c r="E819" t="s">
        <v>3137</v>
      </c>
      <c r="F819" s="452">
        <v>46031</v>
      </c>
      <c r="G819" s="452">
        <v>46031</v>
      </c>
      <c r="H819" s="452">
        <v>46062</v>
      </c>
      <c r="I819">
        <v>545.67999999999995</v>
      </c>
      <c r="J819">
        <v>545.66999999999996</v>
      </c>
      <c r="K819">
        <v>0</v>
      </c>
      <c r="L819">
        <v>545.67999999999995</v>
      </c>
      <c r="M819">
        <v>0</v>
      </c>
      <c r="N819">
        <v>0</v>
      </c>
      <c r="O819">
        <v>0</v>
      </c>
      <c r="P819">
        <v>0</v>
      </c>
      <c r="Q819" t="s">
        <v>461</v>
      </c>
    </row>
    <row r="820" spans="1:17" x14ac:dyDescent="0.3">
      <c r="A820">
        <v>196540</v>
      </c>
      <c r="B820">
        <v>116</v>
      </c>
      <c r="C820" t="s">
        <v>568</v>
      </c>
      <c r="D820" t="s">
        <v>2357</v>
      </c>
      <c r="E820" t="s">
        <v>3138</v>
      </c>
      <c r="F820" s="452">
        <v>46027</v>
      </c>
      <c r="G820" s="452">
        <v>46027</v>
      </c>
      <c r="H820" s="452">
        <v>46048</v>
      </c>
      <c r="I820">
        <v>335.78</v>
      </c>
      <c r="J820">
        <v>332.7</v>
      </c>
      <c r="K820">
        <v>335.78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461</v>
      </c>
    </row>
    <row r="821" spans="1:17" x14ac:dyDescent="0.3">
      <c r="A821">
        <v>195573</v>
      </c>
      <c r="B821">
        <v>116</v>
      </c>
      <c r="C821" t="s">
        <v>568</v>
      </c>
      <c r="D821" t="s">
        <v>2260</v>
      </c>
      <c r="E821" t="s">
        <v>3139</v>
      </c>
      <c r="F821" s="452">
        <v>46035</v>
      </c>
      <c r="G821" s="452">
        <v>46035</v>
      </c>
      <c r="H821" s="452">
        <v>46056</v>
      </c>
      <c r="I821">
        <v>2542.8000000000002</v>
      </c>
      <c r="J821">
        <v>2153.59</v>
      </c>
      <c r="K821">
        <v>2542.8000000000002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461</v>
      </c>
    </row>
    <row r="822" spans="1:17" x14ac:dyDescent="0.3">
      <c r="A822">
        <v>195561</v>
      </c>
      <c r="B822">
        <v>116</v>
      </c>
      <c r="C822" t="s">
        <v>568</v>
      </c>
      <c r="D822" t="s">
        <v>2314</v>
      </c>
      <c r="E822" t="s">
        <v>3140</v>
      </c>
      <c r="F822" s="452">
        <v>46031</v>
      </c>
      <c r="G822" s="452">
        <v>46031</v>
      </c>
      <c r="H822" s="452">
        <v>46062</v>
      </c>
      <c r="I822">
        <v>9655.99</v>
      </c>
      <c r="J822">
        <v>9776.8700000000008</v>
      </c>
      <c r="K822">
        <v>0</v>
      </c>
      <c r="L822">
        <v>9655.99</v>
      </c>
      <c r="M822">
        <v>0</v>
      </c>
      <c r="N822">
        <v>0</v>
      </c>
      <c r="O822">
        <v>0</v>
      </c>
      <c r="P822">
        <v>0</v>
      </c>
      <c r="Q822" t="s">
        <v>461</v>
      </c>
    </row>
    <row r="823" spans="1:17" x14ac:dyDescent="0.3">
      <c r="A823">
        <v>195557</v>
      </c>
      <c r="B823">
        <v>116</v>
      </c>
      <c r="C823" t="s">
        <v>568</v>
      </c>
      <c r="D823" t="s">
        <v>2314</v>
      </c>
      <c r="E823" t="s">
        <v>3141</v>
      </c>
      <c r="F823" s="452">
        <v>46035</v>
      </c>
      <c r="G823" s="452">
        <v>46035</v>
      </c>
      <c r="H823" s="452">
        <v>46066</v>
      </c>
      <c r="I823">
        <v>453.13</v>
      </c>
      <c r="J823">
        <v>96.72</v>
      </c>
      <c r="K823">
        <v>0</v>
      </c>
      <c r="L823">
        <v>453.13</v>
      </c>
      <c r="M823">
        <v>0</v>
      </c>
      <c r="N823">
        <v>0</v>
      </c>
      <c r="O823">
        <v>0</v>
      </c>
      <c r="P823">
        <v>0</v>
      </c>
      <c r="Q823" t="s">
        <v>461</v>
      </c>
    </row>
    <row r="824" spans="1:17" x14ac:dyDescent="0.3">
      <c r="A824">
        <v>195554</v>
      </c>
      <c r="B824">
        <v>116</v>
      </c>
      <c r="C824" t="s">
        <v>568</v>
      </c>
      <c r="D824" t="s">
        <v>2314</v>
      </c>
      <c r="E824" t="s">
        <v>3142</v>
      </c>
      <c r="F824" s="452">
        <v>46035</v>
      </c>
      <c r="G824" s="452">
        <v>46035</v>
      </c>
      <c r="H824" s="452">
        <v>46066</v>
      </c>
      <c r="I824">
        <v>2896.8</v>
      </c>
      <c r="J824">
        <v>2896.8</v>
      </c>
      <c r="K824">
        <v>0</v>
      </c>
      <c r="L824">
        <v>2896.8</v>
      </c>
      <c r="M824">
        <v>0</v>
      </c>
      <c r="N824">
        <v>0</v>
      </c>
      <c r="O824">
        <v>0</v>
      </c>
      <c r="P824">
        <v>0</v>
      </c>
      <c r="Q824" t="s">
        <v>461</v>
      </c>
    </row>
    <row r="825" spans="1:17" x14ac:dyDescent="0.3">
      <c r="A825">
        <v>195551</v>
      </c>
      <c r="B825">
        <v>116</v>
      </c>
      <c r="C825" t="s">
        <v>568</v>
      </c>
      <c r="D825" t="s">
        <v>2314</v>
      </c>
      <c r="E825" t="s">
        <v>3143</v>
      </c>
      <c r="F825" s="452">
        <v>46037</v>
      </c>
      <c r="G825" s="452">
        <v>46037</v>
      </c>
      <c r="H825" s="452">
        <v>46071</v>
      </c>
      <c r="I825">
        <v>482.81</v>
      </c>
      <c r="J825">
        <v>482.8</v>
      </c>
      <c r="K825">
        <v>0</v>
      </c>
      <c r="L825">
        <v>482.81</v>
      </c>
      <c r="M825">
        <v>0</v>
      </c>
      <c r="N825">
        <v>0</v>
      </c>
      <c r="O825">
        <v>0</v>
      </c>
      <c r="P825">
        <v>0</v>
      </c>
      <c r="Q825" t="s">
        <v>461</v>
      </c>
    </row>
    <row r="826" spans="1:17" x14ac:dyDescent="0.3">
      <c r="A826">
        <v>195549</v>
      </c>
      <c r="B826">
        <v>116</v>
      </c>
      <c r="C826" t="s">
        <v>568</v>
      </c>
      <c r="D826" t="s">
        <v>2314</v>
      </c>
      <c r="E826" t="s">
        <v>3144</v>
      </c>
      <c r="F826" s="452">
        <v>46037</v>
      </c>
      <c r="G826" s="452">
        <v>46037</v>
      </c>
      <c r="H826" s="452">
        <v>46071</v>
      </c>
      <c r="I826">
        <v>918.01</v>
      </c>
      <c r="J826">
        <v>918</v>
      </c>
      <c r="K826">
        <v>0</v>
      </c>
      <c r="L826">
        <v>918.01</v>
      </c>
      <c r="M826">
        <v>0</v>
      </c>
      <c r="N826">
        <v>0</v>
      </c>
      <c r="O826">
        <v>0</v>
      </c>
      <c r="P826">
        <v>0</v>
      </c>
      <c r="Q826" t="s">
        <v>461</v>
      </c>
    </row>
    <row r="827" spans="1:17" x14ac:dyDescent="0.3">
      <c r="A827">
        <v>195543</v>
      </c>
      <c r="B827">
        <v>116</v>
      </c>
      <c r="C827" t="s">
        <v>568</v>
      </c>
      <c r="D827" t="s">
        <v>2310</v>
      </c>
      <c r="E827" t="s">
        <v>3145</v>
      </c>
      <c r="F827" s="452">
        <v>46035</v>
      </c>
      <c r="H827" s="452">
        <v>46069</v>
      </c>
      <c r="I827">
        <v>109</v>
      </c>
      <c r="J827">
        <v>63.64</v>
      </c>
      <c r="K827">
        <v>0</v>
      </c>
      <c r="L827">
        <v>0</v>
      </c>
      <c r="M827">
        <v>109</v>
      </c>
      <c r="N827">
        <v>0</v>
      </c>
      <c r="O827">
        <v>0</v>
      </c>
      <c r="P827">
        <v>0</v>
      </c>
      <c r="Q827" t="s">
        <v>461</v>
      </c>
    </row>
    <row r="828" spans="1:17" x14ac:dyDescent="0.3">
      <c r="A828">
        <v>195540</v>
      </c>
      <c r="B828">
        <v>116</v>
      </c>
      <c r="C828" t="s">
        <v>568</v>
      </c>
      <c r="D828" t="s">
        <v>2310</v>
      </c>
      <c r="E828" t="s">
        <v>3146</v>
      </c>
      <c r="F828" s="452">
        <v>46036</v>
      </c>
      <c r="G828" s="452">
        <v>46036</v>
      </c>
      <c r="H828" s="452">
        <v>46069</v>
      </c>
      <c r="I828">
        <v>218.28</v>
      </c>
      <c r="J828">
        <v>218.28</v>
      </c>
      <c r="K828">
        <v>218.28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461</v>
      </c>
    </row>
    <row r="829" spans="1:17" x14ac:dyDescent="0.3">
      <c r="A829">
        <v>195537</v>
      </c>
      <c r="B829">
        <v>116</v>
      </c>
      <c r="C829" t="s">
        <v>568</v>
      </c>
      <c r="D829" t="s">
        <v>2776</v>
      </c>
      <c r="E829" t="s">
        <v>3147</v>
      </c>
      <c r="F829" s="452">
        <v>46035</v>
      </c>
      <c r="G829" s="452">
        <v>46035</v>
      </c>
      <c r="H829" s="452">
        <v>46063</v>
      </c>
      <c r="I829">
        <v>346</v>
      </c>
      <c r="J829">
        <v>346</v>
      </c>
      <c r="K829">
        <v>0</v>
      </c>
      <c r="L829">
        <v>346</v>
      </c>
      <c r="M829">
        <v>0</v>
      </c>
      <c r="N829">
        <v>0</v>
      </c>
      <c r="O829">
        <v>0</v>
      </c>
      <c r="P829">
        <v>0</v>
      </c>
      <c r="Q829" t="s">
        <v>461</v>
      </c>
    </row>
    <row r="830" spans="1:17" x14ac:dyDescent="0.3">
      <c r="A830">
        <v>195536</v>
      </c>
      <c r="B830">
        <v>116</v>
      </c>
      <c r="C830" t="s">
        <v>568</v>
      </c>
      <c r="D830" t="s">
        <v>2308</v>
      </c>
      <c r="E830" t="s">
        <v>3148</v>
      </c>
      <c r="F830" s="452">
        <v>46029</v>
      </c>
      <c r="G830" s="452">
        <v>46029</v>
      </c>
      <c r="H830" s="452">
        <v>46057</v>
      </c>
      <c r="I830">
        <v>1593.44</v>
      </c>
      <c r="J830">
        <v>1593.44</v>
      </c>
      <c r="K830">
        <v>1593.44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461</v>
      </c>
    </row>
    <row r="831" spans="1:17" x14ac:dyDescent="0.3">
      <c r="A831">
        <v>195533</v>
      </c>
      <c r="B831">
        <v>116</v>
      </c>
      <c r="C831" t="s">
        <v>568</v>
      </c>
      <c r="D831" t="s">
        <v>2308</v>
      </c>
      <c r="E831" t="s">
        <v>3149</v>
      </c>
      <c r="F831" s="452">
        <v>46029</v>
      </c>
      <c r="G831" s="452">
        <v>46029</v>
      </c>
      <c r="H831" s="452">
        <v>46057</v>
      </c>
      <c r="I831">
        <v>1307.8800000000001</v>
      </c>
      <c r="J831">
        <v>1307.8800000000001</v>
      </c>
      <c r="K831">
        <v>1307.8800000000001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461</v>
      </c>
    </row>
    <row r="832" spans="1:17" x14ac:dyDescent="0.3">
      <c r="A832">
        <v>195532</v>
      </c>
      <c r="B832">
        <v>116</v>
      </c>
      <c r="C832" t="s">
        <v>568</v>
      </c>
      <c r="D832" t="s">
        <v>2308</v>
      </c>
      <c r="E832" t="s">
        <v>3150</v>
      </c>
      <c r="F832" s="452">
        <v>46036</v>
      </c>
      <c r="G832" s="452">
        <v>46036</v>
      </c>
      <c r="H832" s="452">
        <v>46064</v>
      </c>
      <c r="I832">
        <v>997.5</v>
      </c>
      <c r="J832">
        <v>997.5</v>
      </c>
      <c r="K832">
        <v>997.5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461</v>
      </c>
    </row>
    <row r="833" spans="1:17" x14ac:dyDescent="0.3">
      <c r="A833">
        <v>195502</v>
      </c>
      <c r="B833">
        <v>116</v>
      </c>
      <c r="C833" t="s">
        <v>568</v>
      </c>
      <c r="D833" t="s">
        <v>2537</v>
      </c>
      <c r="E833" t="s">
        <v>3151</v>
      </c>
      <c r="F833" s="452">
        <v>46029</v>
      </c>
      <c r="H833" s="452">
        <v>46057</v>
      </c>
      <c r="I833">
        <v>1188</v>
      </c>
      <c r="J833">
        <v>1188</v>
      </c>
      <c r="K833">
        <v>0</v>
      </c>
      <c r="L833">
        <v>0</v>
      </c>
      <c r="M833">
        <v>1188</v>
      </c>
      <c r="N833">
        <v>0</v>
      </c>
      <c r="O833">
        <v>0</v>
      </c>
      <c r="P833">
        <v>0</v>
      </c>
      <c r="Q833" t="s">
        <v>461</v>
      </c>
    </row>
    <row r="834" spans="1:17" x14ac:dyDescent="0.3">
      <c r="A834">
        <v>195486</v>
      </c>
      <c r="B834">
        <v>116</v>
      </c>
      <c r="C834" t="s">
        <v>568</v>
      </c>
      <c r="D834" t="s">
        <v>2429</v>
      </c>
      <c r="E834" t="s">
        <v>3152</v>
      </c>
      <c r="F834" s="452">
        <v>46035</v>
      </c>
      <c r="G834" s="452">
        <v>46035</v>
      </c>
      <c r="H834" s="452">
        <v>46056</v>
      </c>
      <c r="I834">
        <v>182</v>
      </c>
      <c r="J834">
        <v>182</v>
      </c>
      <c r="K834">
        <v>182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461</v>
      </c>
    </row>
    <row r="835" spans="1:17" x14ac:dyDescent="0.3">
      <c r="A835">
        <v>195483</v>
      </c>
      <c r="B835">
        <v>116</v>
      </c>
      <c r="C835" t="s">
        <v>568</v>
      </c>
      <c r="D835" t="s">
        <v>2429</v>
      </c>
      <c r="E835" t="s">
        <v>3153</v>
      </c>
      <c r="F835" s="452">
        <v>46038</v>
      </c>
      <c r="G835" s="452">
        <v>46038</v>
      </c>
      <c r="H835" s="452">
        <v>46059</v>
      </c>
      <c r="I835">
        <v>318.95999999999998</v>
      </c>
      <c r="J835">
        <v>318.95999999999998</v>
      </c>
      <c r="K835">
        <v>318.95999999999998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461</v>
      </c>
    </row>
    <row r="836" spans="1:17" x14ac:dyDescent="0.3">
      <c r="A836">
        <v>195481</v>
      </c>
      <c r="B836">
        <v>116</v>
      </c>
      <c r="C836" t="s">
        <v>568</v>
      </c>
      <c r="D836" t="s">
        <v>2277</v>
      </c>
      <c r="E836" t="s">
        <v>3154</v>
      </c>
      <c r="F836" s="452">
        <v>46035</v>
      </c>
      <c r="G836" s="452">
        <v>46035</v>
      </c>
      <c r="H836" s="452">
        <v>46063</v>
      </c>
      <c r="I836">
        <v>215.9</v>
      </c>
      <c r="J836">
        <v>207</v>
      </c>
      <c r="K836">
        <v>215.9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461</v>
      </c>
    </row>
    <row r="837" spans="1:17" x14ac:dyDescent="0.3">
      <c r="A837">
        <v>195480</v>
      </c>
      <c r="B837">
        <v>116</v>
      </c>
      <c r="C837" t="s">
        <v>568</v>
      </c>
      <c r="D837" t="s">
        <v>2277</v>
      </c>
      <c r="E837" t="s">
        <v>3155</v>
      </c>
      <c r="F837" s="452">
        <v>46037</v>
      </c>
      <c r="G837" s="452">
        <v>46037</v>
      </c>
      <c r="H837" s="452">
        <v>46065</v>
      </c>
      <c r="I837">
        <v>2621.57</v>
      </c>
      <c r="J837">
        <v>2619.5100000000002</v>
      </c>
      <c r="K837">
        <v>2597.75</v>
      </c>
      <c r="L837">
        <v>23.82</v>
      </c>
      <c r="M837">
        <v>0</v>
      </c>
      <c r="N837">
        <v>0</v>
      </c>
      <c r="O837">
        <v>0</v>
      </c>
      <c r="P837">
        <v>0</v>
      </c>
      <c r="Q837" t="s">
        <v>461</v>
      </c>
    </row>
    <row r="838" spans="1:17" x14ac:dyDescent="0.3">
      <c r="A838">
        <v>195469</v>
      </c>
      <c r="B838">
        <v>116</v>
      </c>
      <c r="C838" t="s">
        <v>568</v>
      </c>
      <c r="D838" t="s">
        <v>2275</v>
      </c>
      <c r="E838" t="s">
        <v>3156</v>
      </c>
      <c r="F838" s="452">
        <v>46035</v>
      </c>
      <c r="G838" s="452">
        <v>46035</v>
      </c>
      <c r="H838" s="452">
        <v>46072</v>
      </c>
      <c r="I838">
        <v>634.5</v>
      </c>
      <c r="J838">
        <v>634.5</v>
      </c>
      <c r="K838">
        <v>0</v>
      </c>
      <c r="L838">
        <v>634.5</v>
      </c>
      <c r="M838">
        <v>0</v>
      </c>
      <c r="N838">
        <v>0</v>
      </c>
      <c r="O838">
        <v>0</v>
      </c>
      <c r="P838">
        <v>0</v>
      </c>
      <c r="Q838" t="s">
        <v>461</v>
      </c>
    </row>
    <row r="839" spans="1:17" x14ac:dyDescent="0.3">
      <c r="A839">
        <v>195466</v>
      </c>
      <c r="B839">
        <v>116</v>
      </c>
      <c r="C839" t="s">
        <v>568</v>
      </c>
      <c r="D839" t="s">
        <v>2273</v>
      </c>
      <c r="E839" t="s">
        <v>3157</v>
      </c>
      <c r="F839" s="452">
        <v>46030</v>
      </c>
      <c r="G839" s="452">
        <v>46030</v>
      </c>
      <c r="H839" s="452">
        <v>46058</v>
      </c>
      <c r="I839">
        <v>261.73</v>
      </c>
      <c r="J839">
        <v>261.73</v>
      </c>
      <c r="K839">
        <v>261.73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461</v>
      </c>
    </row>
    <row r="840" spans="1:17" x14ac:dyDescent="0.3">
      <c r="A840">
        <v>195464</v>
      </c>
      <c r="B840">
        <v>116</v>
      </c>
      <c r="C840" t="s">
        <v>568</v>
      </c>
      <c r="D840" t="s">
        <v>2273</v>
      </c>
      <c r="E840" t="s">
        <v>3158</v>
      </c>
      <c r="F840" s="452">
        <v>46034</v>
      </c>
      <c r="G840" s="452">
        <v>46034</v>
      </c>
      <c r="H840" s="452">
        <v>46062</v>
      </c>
      <c r="I840">
        <v>58.69</v>
      </c>
      <c r="J840">
        <v>58.69</v>
      </c>
      <c r="K840">
        <v>58.69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461</v>
      </c>
    </row>
    <row r="841" spans="1:17" x14ac:dyDescent="0.3">
      <c r="A841">
        <v>195456</v>
      </c>
      <c r="B841">
        <v>116</v>
      </c>
      <c r="C841" t="s">
        <v>568</v>
      </c>
      <c r="D841" t="s">
        <v>2284</v>
      </c>
      <c r="E841" t="s">
        <v>3159</v>
      </c>
      <c r="F841" s="452">
        <v>46036</v>
      </c>
      <c r="G841" s="452">
        <v>46036</v>
      </c>
      <c r="H841" s="452">
        <v>46066</v>
      </c>
      <c r="I841">
        <v>1640.26</v>
      </c>
      <c r="J841">
        <v>1640.26</v>
      </c>
      <c r="K841">
        <v>1640.26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461</v>
      </c>
    </row>
    <row r="842" spans="1:17" x14ac:dyDescent="0.3">
      <c r="A842">
        <v>195450</v>
      </c>
      <c r="B842">
        <v>116</v>
      </c>
      <c r="C842" t="s">
        <v>568</v>
      </c>
      <c r="D842" t="s">
        <v>2284</v>
      </c>
      <c r="E842" t="s">
        <v>3160</v>
      </c>
      <c r="F842" s="452">
        <v>46035</v>
      </c>
      <c r="G842" s="452">
        <v>46035</v>
      </c>
      <c r="H842" s="452">
        <v>46063</v>
      </c>
      <c r="I842">
        <v>471.8</v>
      </c>
      <c r="J842">
        <v>314.7</v>
      </c>
      <c r="K842">
        <v>0</v>
      </c>
      <c r="L842">
        <v>471.8</v>
      </c>
      <c r="M842">
        <v>0</v>
      </c>
      <c r="N842">
        <v>0</v>
      </c>
      <c r="O842">
        <v>0</v>
      </c>
      <c r="P842">
        <v>0</v>
      </c>
      <c r="Q842" t="s">
        <v>461</v>
      </c>
    </row>
    <row r="843" spans="1:17" x14ac:dyDescent="0.3">
      <c r="A843">
        <v>195449</v>
      </c>
      <c r="B843">
        <v>116</v>
      </c>
      <c r="C843" t="s">
        <v>568</v>
      </c>
      <c r="D843" t="s">
        <v>2271</v>
      </c>
      <c r="E843" t="s">
        <v>3161</v>
      </c>
      <c r="F843" s="452">
        <v>46029</v>
      </c>
      <c r="G843" s="452">
        <v>46029</v>
      </c>
      <c r="H843" s="452">
        <v>46057</v>
      </c>
      <c r="I843">
        <v>246.8</v>
      </c>
      <c r="J843">
        <v>246.8</v>
      </c>
      <c r="K843">
        <v>0</v>
      </c>
      <c r="L843">
        <v>246.8</v>
      </c>
      <c r="M843">
        <v>0</v>
      </c>
      <c r="N843">
        <v>0</v>
      </c>
      <c r="O843">
        <v>0</v>
      </c>
      <c r="P843">
        <v>0</v>
      </c>
      <c r="Q843" t="s">
        <v>461</v>
      </c>
    </row>
    <row r="844" spans="1:17" x14ac:dyDescent="0.3">
      <c r="A844">
        <v>195448</v>
      </c>
      <c r="B844">
        <v>116</v>
      </c>
      <c r="C844" t="s">
        <v>568</v>
      </c>
      <c r="D844" t="s">
        <v>2260</v>
      </c>
      <c r="E844" t="s">
        <v>3162</v>
      </c>
      <c r="F844" s="452">
        <v>46037</v>
      </c>
      <c r="G844" s="452">
        <v>46037</v>
      </c>
      <c r="H844" s="452">
        <v>46051</v>
      </c>
      <c r="I844">
        <v>1001</v>
      </c>
      <c r="J844">
        <v>1001</v>
      </c>
      <c r="K844">
        <v>1001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461</v>
      </c>
    </row>
    <row r="845" spans="1:17" x14ac:dyDescent="0.3">
      <c r="A845">
        <v>195445</v>
      </c>
      <c r="B845">
        <v>116</v>
      </c>
      <c r="C845" t="s">
        <v>568</v>
      </c>
      <c r="D845" t="s">
        <v>2314</v>
      </c>
      <c r="E845" t="s">
        <v>3163</v>
      </c>
      <c r="F845" s="452">
        <v>46016</v>
      </c>
      <c r="G845" s="452">
        <v>46016</v>
      </c>
      <c r="H845" s="452">
        <v>46048</v>
      </c>
      <c r="I845">
        <v>405.21</v>
      </c>
      <c r="J845">
        <v>384.12</v>
      </c>
      <c r="K845">
        <v>0</v>
      </c>
      <c r="L845">
        <v>405.21</v>
      </c>
      <c r="M845">
        <v>0</v>
      </c>
      <c r="N845">
        <v>0</v>
      </c>
      <c r="O845">
        <v>0</v>
      </c>
      <c r="P845">
        <v>0</v>
      </c>
      <c r="Q845" t="s">
        <v>460</v>
      </c>
    </row>
    <row r="846" spans="1:17" x14ac:dyDescent="0.3">
      <c r="A846">
        <v>195438</v>
      </c>
      <c r="B846">
        <v>116</v>
      </c>
      <c r="C846" t="s">
        <v>568</v>
      </c>
      <c r="D846" t="s">
        <v>2260</v>
      </c>
      <c r="E846" t="s">
        <v>3164</v>
      </c>
      <c r="F846" s="452">
        <v>46037</v>
      </c>
      <c r="G846" s="452">
        <v>46037</v>
      </c>
      <c r="H846" s="452">
        <v>46051</v>
      </c>
      <c r="I846">
        <v>318</v>
      </c>
      <c r="J846">
        <v>318</v>
      </c>
      <c r="K846">
        <v>318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461</v>
      </c>
    </row>
    <row r="847" spans="1:17" x14ac:dyDescent="0.3">
      <c r="A847">
        <v>195405</v>
      </c>
      <c r="B847">
        <v>116</v>
      </c>
      <c r="C847" t="s">
        <v>568</v>
      </c>
      <c r="D847" t="s">
        <v>3053</v>
      </c>
      <c r="E847" t="s">
        <v>3165</v>
      </c>
      <c r="F847" s="452">
        <v>46039</v>
      </c>
      <c r="G847" s="452">
        <v>46039</v>
      </c>
      <c r="H847" s="452">
        <v>46049</v>
      </c>
      <c r="I847">
        <v>191.75</v>
      </c>
      <c r="J847">
        <v>180.05</v>
      </c>
      <c r="K847">
        <v>191.75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461</v>
      </c>
    </row>
    <row r="848" spans="1:17" x14ac:dyDescent="0.3">
      <c r="A848">
        <v>195380</v>
      </c>
      <c r="B848">
        <v>116</v>
      </c>
      <c r="C848" t="s">
        <v>568</v>
      </c>
      <c r="D848" t="s">
        <v>2286</v>
      </c>
      <c r="E848" t="s">
        <v>3166</v>
      </c>
      <c r="F848" s="452">
        <v>46037</v>
      </c>
      <c r="G848" s="452">
        <v>46037</v>
      </c>
      <c r="H848" s="452">
        <v>46051</v>
      </c>
      <c r="I848">
        <v>684.15</v>
      </c>
      <c r="J848">
        <v>684.15</v>
      </c>
      <c r="K848">
        <v>684.15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461</v>
      </c>
    </row>
    <row r="849" spans="1:17" x14ac:dyDescent="0.3">
      <c r="A849">
        <v>193821</v>
      </c>
      <c r="B849">
        <v>116</v>
      </c>
      <c r="C849" t="s">
        <v>568</v>
      </c>
      <c r="D849" t="s">
        <v>2320</v>
      </c>
      <c r="E849" t="s">
        <v>3167</v>
      </c>
      <c r="F849" s="452">
        <v>46035</v>
      </c>
      <c r="G849" s="452">
        <v>46035</v>
      </c>
      <c r="H849" s="452">
        <v>46049</v>
      </c>
      <c r="I849">
        <v>1200.33</v>
      </c>
      <c r="J849">
        <v>1200.33</v>
      </c>
      <c r="K849">
        <v>1200.33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461</v>
      </c>
    </row>
    <row r="850" spans="1:17" x14ac:dyDescent="0.3">
      <c r="A850">
        <v>193818</v>
      </c>
      <c r="B850">
        <v>116</v>
      </c>
      <c r="C850" t="s">
        <v>568</v>
      </c>
      <c r="D850" t="s">
        <v>2323</v>
      </c>
      <c r="E850" t="s">
        <v>3168</v>
      </c>
      <c r="F850" s="452">
        <v>46034</v>
      </c>
      <c r="G850" s="452">
        <v>46034</v>
      </c>
      <c r="H850" s="452">
        <v>46048</v>
      </c>
      <c r="I850">
        <v>686.2</v>
      </c>
      <c r="J850">
        <v>686.2</v>
      </c>
      <c r="K850">
        <v>686.2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461</v>
      </c>
    </row>
    <row r="851" spans="1:17" x14ac:dyDescent="0.3">
      <c r="A851">
        <v>193815</v>
      </c>
      <c r="B851">
        <v>116</v>
      </c>
      <c r="C851" t="s">
        <v>568</v>
      </c>
      <c r="D851" t="s">
        <v>2265</v>
      </c>
      <c r="E851" t="s">
        <v>3169</v>
      </c>
      <c r="F851" s="452">
        <v>46035</v>
      </c>
      <c r="H851" s="452">
        <v>46050</v>
      </c>
      <c r="I851">
        <v>501.36</v>
      </c>
      <c r="J851">
        <v>501.39</v>
      </c>
      <c r="K851">
        <v>0</v>
      </c>
      <c r="L851">
        <v>0</v>
      </c>
      <c r="M851">
        <v>501.36</v>
      </c>
      <c r="N851">
        <v>0</v>
      </c>
      <c r="O851">
        <v>0</v>
      </c>
      <c r="P851">
        <v>0</v>
      </c>
      <c r="Q851" t="s">
        <v>461</v>
      </c>
    </row>
    <row r="852" spans="1:17" x14ac:dyDescent="0.3">
      <c r="A852">
        <v>193810</v>
      </c>
      <c r="B852">
        <v>116</v>
      </c>
      <c r="C852" t="s">
        <v>568</v>
      </c>
      <c r="D852" t="s">
        <v>2429</v>
      </c>
      <c r="E852" t="s">
        <v>3170</v>
      </c>
      <c r="F852" s="452">
        <v>46034</v>
      </c>
      <c r="G852" s="452">
        <v>46034</v>
      </c>
      <c r="H852" s="452">
        <v>46055</v>
      </c>
      <c r="I852">
        <v>334</v>
      </c>
      <c r="J852">
        <v>334</v>
      </c>
      <c r="K852">
        <v>334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461</v>
      </c>
    </row>
    <row r="853" spans="1:17" x14ac:dyDescent="0.3">
      <c r="A853">
        <v>193805</v>
      </c>
      <c r="B853">
        <v>116</v>
      </c>
      <c r="C853" t="s">
        <v>568</v>
      </c>
      <c r="D853" t="s">
        <v>3010</v>
      </c>
      <c r="E853" t="s">
        <v>3171</v>
      </c>
      <c r="F853" s="452">
        <v>46034</v>
      </c>
      <c r="H853" s="452">
        <v>46048</v>
      </c>
      <c r="I853">
        <v>379.5</v>
      </c>
      <c r="J853">
        <v>379.5</v>
      </c>
      <c r="K853">
        <v>0</v>
      </c>
      <c r="L853">
        <v>0</v>
      </c>
      <c r="M853">
        <v>0</v>
      </c>
      <c r="N853">
        <v>379.5</v>
      </c>
      <c r="O853">
        <v>0</v>
      </c>
      <c r="P853">
        <v>0</v>
      </c>
      <c r="Q853" t="s">
        <v>461</v>
      </c>
    </row>
    <row r="854" spans="1:17" x14ac:dyDescent="0.3">
      <c r="A854">
        <v>193801</v>
      </c>
      <c r="B854">
        <v>116</v>
      </c>
      <c r="C854" t="s">
        <v>568</v>
      </c>
      <c r="D854" t="s">
        <v>2286</v>
      </c>
      <c r="E854" t="s">
        <v>3172</v>
      </c>
      <c r="F854" s="452">
        <v>46034</v>
      </c>
      <c r="G854" s="452">
        <v>46034</v>
      </c>
      <c r="H854" s="452">
        <v>46048</v>
      </c>
      <c r="I854">
        <v>338</v>
      </c>
      <c r="J854">
        <v>338</v>
      </c>
      <c r="K854">
        <v>338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461</v>
      </c>
    </row>
    <row r="855" spans="1:17" x14ac:dyDescent="0.3">
      <c r="A855">
        <v>193614</v>
      </c>
      <c r="B855">
        <v>116</v>
      </c>
      <c r="C855" t="s">
        <v>568</v>
      </c>
      <c r="D855" t="s">
        <v>2888</v>
      </c>
      <c r="E855" t="s">
        <v>3173</v>
      </c>
      <c r="F855" s="452">
        <v>46023</v>
      </c>
      <c r="H855" s="452">
        <v>46042</v>
      </c>
      <c r="I855">
        <v>255.36</v>
      </c>
      <c r="J855">
        <v>255.36</v>
      </c>
      <c r="K855">
        <v>0</v>
      </c>
      <c r="L855">
        <v>0</v>
      </c>
      <c r="M855">
        <v>0</v>
      </c>
      <c r="N855">
        <v>0</v>
      </c>
      <c r="O855">
        <v>255.36</v>
      </c>
      <c r="P855">
        <v>0</v>
      </c>
      <c r="Q855" t="s">
        <v>461</v>
      </c>
    </row>
    <row r="856" spans="1:17" x14ac:dyDescent="0.3">
      <c r="A856">
        <v>191770</v>
      </c>
      <c r="B856">
        <v>116</v>
      </c>
      <c r="C856" t="s">
        <v>568</v>
      </c>
      <c r="D856" t="s">
        <v>2267</v>
      </c>
      <c r="E856" t="s">
        <v>1760</v>
      </c>
      <c r="F856" s="452">
        <v>46031</v>
      </c>
      <c r="G856" s="452">
        <v>46031</v>
      </c>
      <c r="H856" s="452">
        <v>46090</v>
      </c>
      <c r="I856">
        <v>244.2</v>
      </c>
      <c r="J856">
        <v>243.88</v>
      </c>
      <c r="K856">
        <v>244.2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461</v>
      </c>
    </row>
    <row r="857" spans="1:17" x14ac:dyDescent="0.3">
      <c r="A857">
        <v>191769</v>
      </c>
      <c r="B857">
        <v>116</v>
      </c>
      <c r="C857" t="s">
        <v>568</v>
      </c>
      <c r="D857" t="s">
        <v>2320</v>
      </c>
      <c r="E857" t="s">
        <v>3174</v>
      </c>
      <c r="F857" s="452">
        <v>46032</v>
      </c>
      <c r="G857" s="452">
        <v>46032</v>
      </c>
      <c r="H857" s="452">
        <v>46046</v>
      </c>
      <c r="I857">
        <v>1250.6500000000001</v>
      </c>
      <c r="J857">
        <v>1214.33</v>
      </c>
      <c r="K857">
        <v>1250.6500000000001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461</v>
      </c>
    </row>
    <row r="858" spans="1:17" x14ac:dyDescent="0.3">
      <c r="A858">
        <v>191768</v>
      </c>
      <c r="B858">
        <v>116</v>
      </c>
      <c r="C858" t="s">
        <v>568</v>
      </c>
      <c r="D858" t="s">
        <v>2359</v>
      </c>
      <c r="E858" t="s">
        <v>3175</v>
      </c>
      <c r="F858" s="452">
        <v>46029</v>
      </c>
      <c r="G858" s="452">
        <v>46029</v>
      </c>
      <c r="H858" s="452">
        <v>46041</v>
      </c>
      <c r="I858">
        <v>181</v>
      </c>
      <c r="J858">
        <v>181</v>
      </c>
      <c r="K858">
        <v>0</v>
      </c>
      <c r="L858">
        <v>181</v>
      </c>
      <c r="M858">
        <v>0</v>
      </c>
      <c r="N858">
        <v>0</v>
      </c>
      <c r="O858">
        <v>0</v>
      </c>
      <c r="P858">
        <v>0</v>
      </c>
      <c r="Q858" t="s">
        <v>461</v>
      </c>
    </row>
    <row r="859" spans="1:17" x14ac:dyDescent="0.3">
      <c r="A859">
        <v>191767</v>
      </c>
      <c r="B859">
        <v>116</v>
      </c>
      <c r="C859" t="s">
        <v>568</v>
      </c>
      <c r="D859" t="s">
        <v>2286</v>
      </c>
      <c r="E859" t="s">
        <v>3176</v>
      </c>
      <c r="F859" s="452">
        <v>46030</v>
      </c>
      <c r="G859" s="452">
        <v>46030</v>
      </c>
      <c r="H859" s="452">
        <v>46044</v>
      </c>
      <c r="I859">
        <v>630.15</v>
      </c>
      <c r="J859">
        <v>630.15</v>
      </c>
      <c r="K859">
        <v>630.15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461</v>
      </c>
    </row>
    <row r="860" spans="1:17" x14ac:dyDescent="0.3">
      <c r="A860">
        <v>191766</v>
      </c>
      <c r="B860">
        <v>116</v>
      </c>
      <c r="C860" t="s">
        <v>568</v>
      </c>
      <c r="D860" t="s">
        <v>3177</v>
      </c>
      <c r="E860" t="s">
        <v>3178</v>
      </c>
      <c r="F860" s="452">
        <v>46031</v>
      </c>
      <c r="G860" s="452">
        <v>46031</v>
      </c>
      <c r="H860" s="452">
        <v>46041</v>
      </c>
      <c r="I860">
        <v>106.24</v>
      </c>
      <c r="J860">
        <v>106.24</v>
      </c>
      <c r="K860">
        <v>106.24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461</v>
      </c>
    </row>
    <row r="861" spans="1:17" x14ac:dyDescent="0.3">
      <c r="A861">
        <v>191123</v>
      </c>
      <c r="B861">
        <v>116</v>
      </c>
      <c r="C861" t="s">
        <v>568</v>
      </c>
      <c r="D861" t="s">
        <v>3179</v>
      </c>
      <c r="E861" t="s">
        <v>3180</v>
      </c>
      <c r="F861" s="452">
        <v>46027</v>
      </c>
      <c r="G861" s="452">
        <v>46027</v>
      </c>
      <c r="H861" s="452">
        <v>46055</v>
      </c>
      <c r="I861">
        <v>105.85</v>
      </c>
      <c r="J861">
        <v>105.85</v>
      </c>
      <c r="K861">
        <v>105.85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461</v>
      </c>
    </row>
    <row r="862" spans="1:17" x14ac:dyDescent="0.3">
      <c r="A862">
        <v>191121</v>
      </c>
      <c r="B862">
        <v>116</v>
      </c>
      <c r="C862" t="s">
        <v>568</v>
      </c>
      <c r="D862" t="s">
        <v>3179</v>
      </c>
      <c r="E862" t="s">
        <v>3181</v>
      </c>
      <c r="F862" s="452">
        <v>46024</v>
      </c>
      <c r="G862" s="452">
        <v>46024</v>
      </c>
      <c r="H862" s="452">
        <v>46052</v>
      </c>
      <c r="I862">
        <v>198.87</v>
      </c>
      <c r="J862">
        <v>198.87</v>
      </c>
      <c r="K862">
        <v>198.87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461</v>
      </c>
    </row>
    <row r="863" spans="1:17" x14ac:dyDescent="0.3">
      <c r="A863">
        <v>191118</v>
      </c>
      <c r="B863">
        <v>116</v>
      </c>
      <c r="C863" t="s">
        <v>568</v>
      </c>
      <c r="D863" t="s">
        <v>3053</v>
      </c>
      <c r="E863" t="s">
        <v>3182</v>
      </c>
      <c r="F863" s="452">
        <v>46030</v>
      </c>
      <c r="G863" s="452">
        <v>46030</v>
      </c>
      <c r="H863" s="452">
        <v>46041</v>
      </c>
      <c r="I863">
        <v>179.14</v>
      </c>
      <c r="J863">
        <v>179.14</v>
      </c>
      <c r="K863">
        <v>179.14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461</v>
      </c>
    </row>
    <row r="864" spans="1:17" x14ac:dyDescent="0.3">
      <c r="A864">
        <v>191116</v>
      </c>
      <c r="B864">
        <v>116</v>
      </c>
      <c r="C864" t="s">
        <v>568</v>
      </c>
      <c r="D864" t="s">
        <v>2286</v>
      </c>
      <c r="E864" t="s">
        <v>3183</v>
      </c>
      <c r="F864" s="452">
        <v>46027</v>
      </c>
      <c r="G864" s="452">
        <v>46027</v>
      </c>
      <c r="H864" s="452">
        <v>46041</v>
      </c>
      <c r="I864">
        <v>288.3</v>
      </c>
      <c r="J864">
        <v>288.3</v>
      </c>
      <c r="K864">
        <v>288.3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461</v>
      </c>
    </row>
    <row r="865" spans="1:17" x14ac:dyDescent="0.3">
      <c r="A865">
        <v>191112</v>
      </c>
      <c r="B865">
        <v>116</v>
      </c>
      <c r="C865" t="s">
        <v>568</v>
      </c>
      <c r="D865" t="s">
        <v>2284</v>
      </c>
      <c r="E865" t="s">
        <v>3184</v>
      </c>
      <c r="F865" s="452">
        <v>46028</v>
      </c>
      <c r="G865" s="452">
        <v>46028</v>
      </c>
      <c r="H865" s="452">
        <v>46056</v>
      </c>
      <c r="I865">
        <v>423.24</v>
      </c>
      <c r="J865">
        <v>423.24</v>
      </c>
      <c r="K865">
        <v>423.24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461</v>
      </c>
    </row>
    <row r="866" spans="1:17" x14ac:dyDescent="0.3">
      <c r="A866">
        <v>191109</v>
      </c>
      <c r="B866">
        <v>116</v>
      </c>
      <c r="C866" t="s">
        <v>568</v>
      </c>
      <c r="D866" t="s">
        <v>2284</v>
      </c>
      <c r="E866" t="s">
        <v>3185</v>
      </c>
      <c r="F866" s="452">
        <v>46028</v>
      </c>
      <c r="G866" s="452">
        <v>46028</v>
      </c>
      <c r="H866" s="452">
        <v>46056</v>
      </c>
      <c r="I866">
        <v>209.8</v>
      </c>
      <c r="J866">
        <v>209.8</v>
      </c>
      <c r="K866">
        <v>0</v>
      </c>
      <c r="L866">
        <v>209.8</v>
      </c>
      <c r="M866">
        <v>0</v>
      </c>
      <c r="N866">
        <v>0</v>
      </c>
      <c r="O866">
        <v>0</v>
      </c>
      <c r="P866">
        <v>0</v>
      </c>
      <c r="Q866" t="s">
        <v>461</v>
      </c>
    </row>
    <row r="867" spans="1:17" x14ac:dyDescent="0.3">
      <c r="A867">
        <v>191105</v>
      </c>
      <c r="B867">
        <v>116</v>
      </c>
      <c r="C867" t="s">
        <v>568</v>
      </c>
      <c r="D867" t="s">
        <v>2284</v>
      </c>
      <c r="E867" t="s">
        <v>3186</v>
      </c>
      <c r="F867" s="452">
        <v>46027</v>
      </c>
      <c r="G867" s="452">
        <v>46027</v>
      </c>
      <c r="H867" s="452">
        <v>46071</v>
      </c>
      <c r="I867">
        <v>532.26</v>
      </c>
      <c r="J867">
        <v>2186.98</v>
      </c>
      <c r="K867">
        <v>532.26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461</v>
      </c>
    </row>
    <row r="868" spans="1:17" x14ac:dyDescent="0.3">
      <c r="A868">
        <v>191102</v>
      </c>
      <c r="B868">
        <v>116</v>
      </c>
      <c r="C868" t="s">
        <v>568</v>
      </c>
      <c r="D868" t="s">
        <v>2284</v>
      </c>
      <c r="E868" t="s">
        <v>3187</v>
      </c>
      <c r="F868" s="452">
        <v>46021</v>
      </c>
      <c r="G868" s="452">
        <v>46021</v>
      </c>
      <c r="H868" s="452">
        <v>46056</v>
      </c>
      <c r="I868">
        <v>1654.72</v>
      </c>
      <c r="J868">
        <v>2186.98</v>
      </c>
      <c r="K868">
        <v>1654.72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460</v>
      </c>
    </row>
    <row r="869" spans="1:17" x14ac:dyDescent="0.3">
      <c r="A869">
        <v>191101</v>
      </c>
      <c r="B869">
        <v>116</v>
      </c>
      <c r="C869" t="s">
        <v>568</v>
      </c>
      <c r="D869" t="s">
        <v>2273</v>
      </c>
      <c r="E869" t="s">
        <v>3188</v>
      </c>
      <c r="F869" s="452">
        <v>46027</v>
      </c>
      <c r="G869" s="452">
        <v>46027</v>
      </c>
      <c r="H869" s="452">
        <v>46055</v>
      </c>
      <c r="I869">
        <v>373.81</v>
      </c>
      <c r="J869">
        <v>373.79</v>
      </c>
      <c r="K869">
        <v>373.81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461</v>
      </c>
    </row>
    <row r="870" spans="1:17" x14ac:dyDescent="0.3">
      <c r="A870">
        <v>191085</v>
      </c>
      <c r="B870">
        <v>116</v>
      </c>
      <c r="C870" t="s">
        <v>568</v>
      </c>
      <c r="D870" t="s">
        <v>2277</v>
      </c>
      <c r="E870" t="s">
        <v>3189</v>
      </c>
      <c r="F870" s="452">
        <v>46029</v>
      </c>
      <c r="G870" s="452">
        <v>46029</v>
      </c>
      <c r="H870" s="452">
        <v>46057</v>
      </c>
      <c r="I870">
        <v>268.89999999999998</v>
      </c>
      <c r="J870">
        <v>260</v>
      </c>
      <c r="K870">
        <v>268.89999999999998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461</v>
      </c>
    </row>
    <row r="871" spans="1:17" x14ac:dyDescent="0.3">
      <c r="A871">
        <v>191084</v>
      </c>
      <c r="B871">
        <v>116</v>
      </c>
      <c r="C871" t="s">
        <v>568</v>
      </c>
      <c r="D871" t="s">
        <v>2277</v>
      </c>
      <c r="E871" t="s">
        <v>3190</v>
      </c>
      <c r="F871" s="452">
        <v>46029</v>
      </c>
      <c r="G871" s="452">
        <v>46029</v>
      </c>
      <c r="H871" s="452">
        <v>46057</v>
      </c>
      <c r="I871">
        <v>2252.7800000000002</v>
      </c>
      <c r="J871">
        <v>2250.7800000000002</v>
      </c>
      <c r="K871">
        <v>2252.7800000000002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461</v>
      </c>
    </row>
    <row r="872" spans="1:17" x14ac:dyDescent="0.3">
      <c r="A872">
        <v>191082</v>
      </c>
      <c r="B872">
        <v>116</v>
      </c>
      <c r="C872" t="s">
        <v>568</v>
      </c>
      <c r="D872" t="s">
        <v>3010</v>
      </c>
      <c r="E872" t="s">
        <v>3191</v>
      </c>
      <c r="F872" s="452">
        <v>46028</v>
      </c>
      <c r="H872" s="452">
        <v>46041</v>
      </c>
      <c r="I872">
        <v>269.10000000000002</v>
      </c>
      <c r="J872">
        <v>269.10000000000002</v>
      </c>
      <c r="K872">
        <v>0</v>
      </c>
      <c r="L872">
        <v>0</v>
      </c>
      <c r="M872">
        <v>0</v>
      </c>
      <c r="N872">
        <v>269.10000000000002</v>
      </c>
      <c r="O872">
        <v>0</v>
      </c>
      <c r="P872">
        <v>0</v>
      </c>
      <c r="Q872" t="s">
        <v>461</v>
      </c>
    </row>
    <row r="873" spans="1:17" x14ac:dyDescent="0.3">
      <c r="A873">
        <v>191080</v>
      </c>
      <c r="B873">
        <v>116</v>
      </c>
      <c r="C873" t="s">
        <v>568</v>
      </c>
      <c r="D873" t="s">
        <v>2429</v>
      </c>
      <c r="E873" t="s">
        <v>3192</v>
      </c>
      <c r="F873" s="452">
        <v>46028</v>
      </c>
      <c r="G873" s="452">
        <v>46028</v>
      </c>
      <c r="H873" s="452">
        <v>46049</v>
      </c>
      <c r="I873">
        <v>334</v>
      </c>
      <c r="J873">
        <v>334</v>
      </c>
      <c r="K873">
        <v>334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461</v>
      </c>
    </row>
    <row r="874" spans="1:17" x14ac:dyDescent="0.3">
      <c r="A874">
        <v>191079</v>
      </c>
      <c r="B874">
        <v>116</v>
      </c>
      <c r="C874" t="s">
        <v>568</v>
      </c>
      <c r="D874" t="s">
        <v>2310</v>
      </c>
      <c r="E874" t="s">
        <v>3193</v>
      </c>
      <c r="F874" s="452">
        <v>46028</v>
      </c>
      <c r="G874" s="452">
        <v>46028</v>
      </c>
      <c r="H874" s="452">
        <v>46062</v>
      </c>
      <c r="I874">
        <v>196.4</v>
      </c>
      <c r="J874">
        <v>196.4</v>
      </c>
      <c r="K874">
        <v>196.4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461</v>
      </c>
    </row>
    <row r="875" spans="1:17" x14ac:dyDescent="0.3">
      <c r="A875">
        <v>191078</v>
      </c>
      <c r="B875">
        <v>116</v>
      </c>
      <c r="C875" t="s">
        <v>568</v>
      </c>
      <c r="D875" t="s">
        <v>2310</v>
      </c>
      <c r="E875" t="s">
        <v>3194</v>
      </c>
      <c r="F875" s="452">
        <v>46027</v>
      </c>
      <c r="H875" s="452">
        <v>46062</v>
      </c>
      <c r="I875">
        <v>31.82</v>
      </c>
      <c r="J875">
        <v>31.82</v>
      </c>
      <c r="K875">
        <v>0</v>
      </c>
      <c r="L875">
        <v>0</v>
      </c>
      <c r="M875">
        <v>31.82</v>
      </c>
      <c r="N875">
        <v>0</v>
      </c>
      <c r="O875">
        <v>0</v>
      </c>
      <c r="P875">
        <v>0</v>
      </c>
      <c r="Q875" t="s">
        <v>461</v>
      </c>
    </row>
    <row r="876" spans="1:17" x14ac:dyDescent="0.3">
      <c r="A876">
        <v>191074</v>
      </c>
      <c r="B876">
        <v>116</v>
      </c>
      <c r="C876" t="s">
        <v>568</v>
      </c>
      <c r="D876" t="s">
        <v>2262</v>
      </c>
      <c r="E876" t="s">
        <v>3195</v>
      </c>
      <c r="F876" s="452">
        <v>46029</v>
      </c>
      <c r="G876" s="452">
        <v>46029</v>
      </c>
      <c r="H876" s="452">
        <v>46057</v>
      </c>
      <c r="I876">
        <v>2669.65</v>
      </c>
      <c r="J876">
        <v>2489.65</v>
      </c>
      <c r="K876">
        <v>2669.65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461</v>
      </c>
    </row>
    <row r="877" spans="1:17" x14ac:dyDescent="0.3">
      <c r="A877">
        <v>191072</v>
      </c>
      <c r="B877">
        <v>116</v>
      </c>
      <c r="C877" t="s">
        <v>568</v>
      </c>
      <c r="D877" t="s">
        <v>3122</v>
      </c>
      <c r="E877" t="s">
        <v>3196</v>
      </c>
      <c r="F877" s="452">
        <v>46028</v>
      </c>
      <c r="H877" s="452">
        <v>46056</v>
      </c>
      <c r="I877">
        <v>205.3</v>
      </c>
      <c r="J877">
        <v>205.3</v>
      </c>
      <c r="K877">
        <v>0</v>
      </c>
      <c r="L877">
        <v>0</v>
      </c>
      <c r="M877">
        <v>205.3</v>
      </c>
      <c r="N877">
        <v>0</v>
      </c>
      <c r="O877">
        <v>0</v>
      </c>
      <c r="P877">
        <v>0</v>
      </c>
      <c r="Q877" t="s">
        <v>461</v>
      </c>
    </row>
    <row r="878" spans="1:17" x14ac:dyDescent="0.3">
      <c r="A878">
        <v>191071</v>
      </c>
      <c r="B878">
        <v>116</v>
      </c>
      <c r="C878" t="s">
        <v>568</v>
      </c>
      <c r="D878" t="s">
        <v>2265</v>
      </c>
      <c r="E878" t="s">
        <v>3197</v>
      </c>
      <c r="F878" s="452">
        <v>46029</v>
      </c>
      <c r="H878" s="452">
        <v>46043</v>
      </c>
      <c r="I878">
        <v>408.56</v>
      </c>
      <c r="J878">
        <v>408.56</v>
      </c>
      <c r="K878">
        <v>0</v>
      </c>
      <c r="L878">
        <v>0</v>
      </c>
      <c r="M878">
        <v>408.56</v>
      </c>
      <c r="N878">
        <v>0</v>
      </c>
      <c r="O878">
        <v>0</v>
      </c>
      <c r="P878">
        <v>0</v>
      </c>
      <c r="Q878" t="s">
        <v>461</v>
      </c>
    </row>
    <row r="879" spans="1:17" x14ac:dyDescent="0.3">
      <c r="A879">
        <v>191070</v>
      </c>
      <c r="B879">
        <v>116</v>
      </c>
      <c r="C879" t="s">
        <v>568</v>
      </c>
      <c r="D879" t="s">
        <v>2265</v>
      </c>
      <c r="E879" t="s">
        <v>3198</v>
      </c>
      <c r="F879" s="452">
        <v>46027</v>
      </c>
      <c r="H879" s="452">
        <v>46043</v>
      </c>
      <c r="I879">
        <v>143.76</v>
      </c>
      <c r="J879">
        <v>143.76</v>
      </c>
      <c r="K879">
        <v>0</v>
      </c>
      <c r="L879">
        <v>0</v>
      </c>
      <c r="M879">
        <v>143.76</v>
      </c>
      <c r="N879">
        <v>0</v>
      </c>
      <c r="O879">
        <v>0</v>
      </c>
      <c r="P879">
        <v>0</v>
      </c>
      <c r="Q879" t="s">
        <v>461</v>
      </c>
    </row>
    <row r="880" spans="1:17" x14ac:dyDescent="0.3">
      <c r="A880">
        <v>191067</v>
      </c>
      <c r="B880">
        <v>116</v>
      </c>
      <c r="C880" t="s">
        <v>568</v>
      </c>
      <c r="D880" t="s">
        <v>2318</v>
      </c>
      <c r="E880" t="s">
        <v>3199</v>
      </c>
      <c r="F880" s="452">
        <v>46027</v>
      </c>
      <c r="G880" s="452">
        <v>46027</v>
      </c>
      <c r="H880" s="452">
        <v>46042</v>
      </c>
      <c r="I880">
        <v>961.68</v>
      </c>
      <c r="J880">
        <v>958.8</v>
      </c>
      <c r="K880">
        <v>961.68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461</v>
      </c>
    </row>
    <row r="881" spans="1:17" x14ac:dyDescent="0.3">
      <c r="A881">
        <v>191059</v>
      </c>
      <c r="B881">
        <v>116</v>
      </c>
      <c r="C881" t="s">
        <v>568</v>
      </c>
      <c r="D881" t="s">
        <v>2267</v>
      </c>
      <c r="E881" t="s">
        <v>3200</v>
      </c>
      <c r="F881" s="452">
        <v>46028</v>
      </c>
      <c r="G881" s="452">
        <v>46028</v>
      </c>
      <c r="H881" s="452">
        <v>46052</v>
      </c>
      <c r="I881">
        <v>621.76</v>
      </c>
      <c r="J881">
        <v>621.76</v>
      </c>
      <c r="K881">
        <v>621.76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461</v>
      </c>
    </row>
    <row r="882" spans="1:17" x14ac:dyDescent="0.3">
      <c r="A882">
        <v>191056</v>
      </c>
      <c r="B882">
        <v>116</v>
      </c>
      <c r="C882" t="s">
        <v>568</v>
      </c>
      <c r="D882" t="s">
        <v>2267</v>
      </c>
      <c r="E882" t="s">
        <v>3201</v>
      </c>
      <c r="F882" s="452">
        <v>46024</v>
      </c>
      <c r="G882" s="452">
        <v>46024</v>
      </c>
      <c r="H882" s="452">
        <v>46049</v>
      </c>
      <c r="I882">
        <v>275.88</v>
      </c>
      <c r="J882">
        <v>275.88</v>
      </c>
      <c r="K882">
        <v>275.88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461</v>
      </c>
    </row>
    <row r="883" spans="1:17" x14ac:dyDescent="0.3">
      <c r="A883">
        <v>191055</v>
      </c>
      <c r="B883">
        <v>116</v>
      </c>
      <c r="C883" t="s">
        <v>568</v>
      </c>
      <c r="D883" t="s">
        <v>2260</v>
      </c>
      <c r="E883" t="s">
        <v>3202</v>
      </c>
      <c r="F883" s="452">
        <v>46028</v>
      </c>
      <c r="G883" s="452">
        <v>46028</v>
      </c>
      <c r="H883" s="452">
        <v>46049</v>
      </c>
      <c r="I883">
        <v>1682</v>
      </c>
      <c r="J883">
        <v>1672</v>
      </c>
      <c r="K883">
        <v>1682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461</v>
      </c>
    </row>
    <row r="884" spans="1:17" x14ac:dyDescent="0.3">
      <c r="A884">
        <v>191052</v>
      </c>
      <c r="B884">
        <v>116</v>
      </c>
      <c r="C884" t="s">
        <v>568</v>
      </c>
      <c r="D884" t="s">
        <v>2260</v>
      </c>
      <c r="E884" t="s">
        <v>3203</v>
      </c>
      <c r="F884" s="452">
        <v>46028</v>
      </c>
      <c r="G884" s="452">
        <v>46028</v>
      </c>
      <c r="H884" s="452">
        <v>46049</v>
      </c>
      <c r="I884">
        <v>843.63</v>
      </c>
      <c r="J884">
        <v>833.63</v>
      </c>
      <c r="K884">
        <v>843.63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461</v>
      </c>
    </row>
    <row r="885" spans="1:17" x14ac:dyDescent="0.3">
      <c r="A885">
        <v>190294</v>
      </c>
      <c r="B885">
        <v>116</v>
      </c>
      <c r="C885" t="s">
        <v>568</v>
      </c>
      <c r="D885" t="s">
        <v>2277</v>
      </c>
      <c r="E885" t="s">
        <v>3204</v>
      </c>
      <c r="F885" s="452">
        <v>46020</v>
      </c>
      <c r="G885" s="452">
        <v>46020</v>
      </c>
      <c r="H885" s="452">
        <v>46048</v>
      </c>
      <c r="I885">
        <v>1379.91</v>
      </c>
      <c r="J885">
        <v>832.53</v>
      </c>
      <c r="K885">
        <v>1379.91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460</v>
      </c>
    </row>
    <row r="886" spans="1:17" x14ac:dyDescent="0.3">
      <c r="A886">
        <v>190292</v>
      </c>
      <c r="B886">
        <v>116</v>
      </c>
      <c r="C886" t="s">
        <v>568</v>
      </c>
      <c r="D886" t="s">
        <v>2308</v>
      </c>
      <c r="E886" t="s">
        <v>3205</v>
      </c>
      <c r="F886" s="452">
        <v>46013</v>
      </c>
      <c r="G886" s="452">
        <v>46013</v>
      </c>
      <c r="H886" s="452">
        <v>46041</v>
      </c>
      <c r="I886">
        <v>1643.08</v>
      </c>
      <c r="J886">
        <v>1643.08</v>
      </c>
      <c r="K886">
        <v>1643.08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460</v>
      </c>
    </row>
    <row r="887" spans="1:17" x14ac:dyDescent="0.3">
      <c r="A887">
        <v>190291</v>
      </c>
      <c r="B887">
        <v>116</v>
      </c>
      <c r="C887" t="s">
        <v>568</v>
      </c>
      <c r="D887" t="s">
        <v>2308</v>
      </c>
      <c r="E887" t="s">
        <v>3206</v>
      </c>
      <c r="F887" s="452">
        <v>46021</v>
      </c>
      <c r="G887" s="452">
        <v>46021</v>
      </c>
      <c r="H887" s="452">
        <v>46049</v>
      </c>
      <c r="I887">
        <v>733.95</v>
      </c>
      <c r="J887">
        <v>733.95</v>
      </c>
      <c r="K887">
        <v>733.95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460</v>
      </c>
    </row>
    <row r="888" spans="1:17" x14ac:dyDescent="0.3">
      <c r="A888">
        <v>190289</v>
      </c>
      <c r="B888">
        <v>116</v>
      </c>
      <c r="C888" t="s">
        <v>568</v>
      </c>
      <c r="D888" t="s">
        <v>2277</v>
      </c>
      <c r="E888" t="s">
        <v>3207</v>
      </c>
      <c r="F888" s="452">
        <v>46015</v>
      </c>
      <c r="G888" s="452">
        <v>46015</v>
      </c>
      <c r="H888" s="452">
        <v>46043</v>
      </c>
      <c r="I888">
        <v>834.53</v>
      </c>
      <c r="J888">
        <v>1377.87</v>
      </c>
      <c r="K888">
        <v>834.53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460</v>
      </c>
    </row>
    <row r="889" spans="1:17" x14ac:dyDescent="0.3">
      <c r="A889">
        <v>190288</v>
      </c>
      <c r="B889">
        <v>116</v>
      </c>
      <c r="C889" t="s">
        <v>568</v>
      </c>
      <c r="D889" t="s">
        <v>2275</v>
      </c>
      <c r="E889" t="s">
        <v>3208</v>
      </c>
      <c r="F889" s="452">
        <v>46021</v>
      </c>
      <c r="G889" s="452">
        <v>46021</v>
      </c>
      <c r="H889" s="452">
        <v>46056</v>
      </c>
      <c r="I889">
        <v>409.5</v>
      </c>
      <c r="J889">
        <v>409.5</v>
      </c>
      <c r="K889">
        <v>0</v>
      </c>
      <c r="L889">
        <v>409.5</v>
      </c>
      <c r="M889">
        <v>0</v>
      </c>
      <c r="N889">
        <v>0</v>
      </c>
      <c r="O889">
        <v>0</v>
      </c>
      <c r="P889">
        <v>0</v>
      </c>
      <c r="Q889" t="s">
        <v>460</v>
      </c>
    </row>
    <row r="890" spans="1:17" x14ac:dyDescent="0.3">
      <c r="A890">
        <v>190287</v>
      </c>
      <c r="B890">
        <v>116</v>
      </c>
      <c r="C890" t="s">
        <v>568</v>
      </c>
      <c r="D890" t="s">
        <v>2273</v>
      </c>
      <c r="E890" t="s">
        <v>3209</v>
      </c>
      <c r="F890" s="452">
        <v>46013</v>
      </c>
      <c r="G890" s="452">
        <v>46013</v>
      </c>
      <c r="H890" s="452">
        <v>46041</v>
      </c>
      <c r="I890">
        <v>184.42</v>
      </c>
      <c r="J890">
        <v>184.42</v>
      </c>
      <c r="K890">
        <v>184.42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460</v>
      </c>
    </row>
    <row r="891" spans="1:17" x14ac:dyDescent="0.3">
      <c r="A891">
        <v>190286</v>
      </c>
      <c r="B891">
        <v>116</v>
      </c>
      <c r="C891" t="s">
        <v>568</v>
      </c>
      <c r="D891" t="s">
        <v>2273</v>
      </c>
      <c r="E891" t="s">
        <v>3210</v>
      </c>
      <c r="F891" s="452">
        <v>46014</v>
      </c>
      <c r="G891" s="452">
        <v>46014</v>
      </c>
      <c r="H891" s="452">
        <v>46042</v>
      </c>
      <c r="I891">
        <v>149.85</v>
      </c>
      <c r="J891">
        <v>149.84</v>
      </c>
      <c r="K891">
        <v>149.85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460</v>
      </c>
    </row>
    <row r="892" spans="1:17" x14ac:dyDescent="0.3">
      <c r="A892">
        <v>190285</v>
      </c>
      <c r="B892">
        <v>116</v>
      </c>
      <c r="C892" t="s">
        <v>568</v>
      </c>
      <c r="D892" t="s">
        <v>2273</v>
      </c>
      <c r="E892" t="s">
        <v>3211</v>
      </c>
      <c r="F892" s="452">
        <v>46014</v>
      </c>
      <c r="G892" s="452">
        <v>46014</v>
      </c>
      <c r="H892" s="452">
        <v>46045</v>
      </c>
      <c r="I892">
        <v>172.7</v>
      </c>
      <c r="J892">
        <v>172.7</v>
      </c>
      <c r="K892">
        <v>172.7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460</v>
      </c>
    </row>
    <row r="893" spans="1:17" x14ac:dyDescent="0.3">
      <c r="A893">
        <v>190283</v>
      </c>
      <c r="B893">
        <v>116</v>
      </c>
      <c r="C893" t="s">
        <v>568</v>
      </c>
      <c r="D893" t="s">
        <v>2284</v>
      </c>
      <c r="E893" t="s">
        <v>3212</v>
      </c>
      <c r="F893" s="452">
        <v>46020</v>
      </c>
      <c r="G893" s="452">
        <v>46020</v>
      </c>
      <c r="H893" s="452">
        <v>46049</v>
      </c>
      <c r="I893">
        <v>1649.69</v>
      </c>
      <c r="J893">
        <v>1649.69</v>
      </c>
      <c r="K893">
        <v>1649.69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460</v>
      </c>
    </row>
    <row r="894" spans="1:17" x14ac:dyDescent="0.3">
      <c r="A894">
        <v>190281</v>
      </c>
      <c r="B894">
        <v>116</v>
      </c>
      <c r="C894" t="s">
        <v>568</v>
      </c>
      <c r="D894" t="s">
        <v>2271</v>
      </c>
      <c r="E894" t="s">
        <v>3213</v>
      </c>
      <c r="F894" s="452">
        <v>46013</v>
      </c>
      <c r="G894" s="452">
        <v>46013</v>
      </c>
      <c r="H894" s="452">
        <v>46041</v>
      </c>
      <c r="I894">
        <v>428.48</v>
      </c>
      <c r="J894">
        <v>428.48</v>
      </c>
      <c r="K894">
        <v>0</v>
      </c>
      <c r="L894">
        <v>428.48</v>
      </c>
      <c r="M894">
        <v>0</v>
      </c>
      <c r="N894">
        <v>0</v>
      </c>
      <c r="O894">
        <v>0</v>
      </c>
      <c r="P894">
        <v>0</v>
      </c>
      <c r="Q894" t="s">
        <v>460</v>
      </c>
    </row>
    <row r="895" spans="1:17" x14ac:dyDescent="0.3">
      <c r="A895">
        <v>190275</v>
      </c>
      <c r="B895">
        <v>116</v>
      </c>
      <c r="C895" t="s">
        <v>568</v>
      </c>
      <c r="D895" t="s">
        <v>3179</v>
      </c>
      <c r="E895" t="s">
        <v>3214</v>
      </c>
      <c r="F895" s="452">
        <v>46013</v>
      </c>
      <c r="G895" s="452">
        <v>46013</v>
      </c>
      <c r="H895" s="452">
        <v>46041</v>
      </c>
      <c r="I895">
        <v>125.16</v>
      </c>
      <c r="J895">
        <v>125.16</v>
      </c>
      <c r="K895">
        <v>125.16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460</v>
      </c>
    </row>
    <row r="896" spans="1:17" x14ac:dyDescent="0.3">
      <c r="A896">
        <v>190274</v>
      </c>
      <c r="B896">
        <v>116</v>
      </c>
      <c r="C896" t="s">
        <v>568</v>
      </c>
      <c r="D896" t="s">
        <v>3179</v>
      </c>
      <c r="E896" t="s">
        <v>3215</v>
      </c>
      <c r="F896" s="452">
        <v>46014</v>
      </c>
      <c r="G896" s="452">
        <v>46014</v>
      </c>
      <c r="H896" s="452">
        <v>46042</v>
      </c>
      <c r="I896">
        <v>164.7</v>
      </c>
      <c r="J896">
        <v>164.7</v>
      </c>
      <c r="K896">
        <v>164.7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460</v>
      </c>
    </row>
    <row r="897" spans="1:17" x14ac:dyDescent="0.3">
      <c r="A897">
        <v>190270</v>
      </c>
      <c r="B897">
        <v>116</v>
      </c>
      <c r="C897" t="s">
        <v>568</v>
      </c>
      <c r="D897" t="s">
        <v>3179</v>
      </c>
      <c r="E897" t="s">
        <v>3216</v>
      </c>
      <c r="F897" s="452">
        <v>46020</v>
      </c>
      <c r="G897" s="452">
        <v>46020</v>
      </c>
      <c r="H897" s="452">
        <v>46048</v>
      </c>
      <c r="I897">
        <v>118.2</v>
      </c>
      <c r="J897">
        <v>118.2</v>
      </c>
      <c r="K897">
        <v>118.2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460</v>
      </c>
    </row>
    <row r="898" spans="1:17" x14ac:dyDescent="0.3">
      <c r="A898">
        <v>190269</v>
      </c>
      <c r="B898">
        <v>116</v>
      </c>
      <c r="C898" t="s">
        <v>568</v>
      </c>
      <c r="D898" t="s">
        <v>2267</v>
      </c>
      <c r="E898" t="s">
        <v>1253</v>
      </c>
      <c r="F898" s="452">
        <v>46014</v>
      </c>
      <c r="G898" s="452">
        <v>46014</v>
      </c>
      <c r="H898" s="452">
        <v>46041</v>
      </c>
      <c r="I898">
        <v>682.71</v>
      </c>
      <c r="J898">
        <v>682.71</v>
      </c>
      <c r="K898">
        <v>682.71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460</v>
      </c>
    </row>
    <row r="899" spans="1:17" x14ac:dyDescent="0.3">
      <c r="A899">
        <v>190267</v>
      </c>
      <c r="B899">
        <v>116</v>
      </c>
      <c r="C899" t="s">
        <v>568</v>
      </c>
      <c r="D899" t="s">
        <v>2262</v>
      </c>
      <c r="E899" t="s">
        <v>3217</v>
      </c>
      <c r="F899" s="452">
        <v>46014</v>
      </c>
      <c r="G899" s="452">
        <v>46014</v>
      </c>
      <c r="H899" s="452">
        <v>46042</v>
      </c>
      <c r="I899">
        <v>2631.19</v>
      </c>
      <c r="J899">
        <v>2451.19</v>
      </c>
      <c r="K899">
        <v>2631.19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460</v>
      </c>
    </row>
    <row r="900" spans="1:17" x14ac:dyDescent="0.3">
      <c r="A900">
        <v>190265</v>
      </c>
      <c r="B900">
        <v>116</v>
      </c>
      <c r="C900" t="s">
        <v>568</v>
      </c>
      <c r="D900" t="s">
        <v>2262</v>
      </c>
      <c r="E900" t="s">
        <v>3218</v>
      </c>
      <c r="F900" s="452">
        <v>46022</v>
      </c>
      <c r="G900" s="452">
        <v>46022</v>
      </c>
      <c r="H900" s="452">
        <v>46050</v>
      </c>
      <c r="I900">
        <v>805.53</v>
      </c>
      <c r="J900">
        <v>607.66</v>
      </c>
      <c r="K900">
        <v>805.53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460</v>
      </c>
    </row>
    <row r="901" spans="1:17" x14ac:dyDescent="0.3">
      <c r="A901">
        <v>190225</v>
      </c>
      <c r="B901">
        <v>116</v>
      </c>
      <c r="C901" t="s">
        <v>568</v>
      </c>
      <c r="D901" t="s">
        <v>2314</v>
      </c>
      <c r="E901" t="s">
        <v>3219</v>
      </c>
      <c r="F901" s="452">
        <v>46010</v>
      </c>
      <c r="G901" s="452">
        <v>46010</v>
      </c>
      <c r="H901" s="452">
        <v>46041</v>
      </c>
      <c r="I901">
        <v>5134</v>
      </c>
      <c r="J901">
        <v>5134</v>
      </c>
      <c r="K901">
        <v>0</v>
      </c>
      <c r="L901">
        <v>5134</v>
      </c>
      <c r="M901">
        <v>0</v>
      </c>
      <c r="N901">
        <v>0</v>
      </c>
      <c r="O901">
        <v>0</v>
      </c>
      <c r="P901">
        <v>0</v>
      </c>
      <c r="Q901" t="s">
        <v>460</v>
      </c>
    </row>
    <row r="902" spans="1:17" x14ac:dyDescent="0.3">
      <c r="A902">
        <v>190211</v>
      </c>
      <c r="B902">
        <v>116</v>
      </c>
      <c r="C902" t="s">
        <v>568</v>
      </c>
      <c r="D902" t="s">
        <v>2314</v>
      </c>
      <c r="E902" t="s">
        <v>3220</v>
      </c>
      <c r="F902" s="452">
        <v>46014</v>
      </c>
      <c r="G902" s="452">
        <v>46014</v>
      </c>
      <c r="H902" s="452">
        <v>46048</v>
      </c>
      <c r="I902">
        <v>7242</v>
      </c>
      <c r="J902">
        <v>7408.98</v>
      </c>
      <c r="K902">
        <v>0</v>
      </c>
      <c r="L902">
        <v>7242</v>
      </c>
      <c r="M902">
        <v>0</v>
      </c>
      <c r="N902">
        <v>0</v>
      </c>
      <c r="O902">
        <v>0</v>
      </c>
      <c r="P902">
        <v>0</v>
      </c>
      <c r="Q902" t="s">
        <v>460</v>
      </c>
    </row>
    <row r="903" spans="1:17" x14ac:dyDescent="0.3">
      <c r="A903">
        <v>190206</v>
      </c>
      <c r="B903">
        <v>116</v>
      </c>
      <c r="C903" t="s">
        <v>568</v>
      </c>
      <c r="D903" t="s">
        <v>2314</v>
      </c>
      <c r="E903" t="s">
        <v>3221</v>
      </c>
      <c r="F903" s="452">
        <v>46018</v>
      </c>
      <c r="G903" s="452">
        <v>46018</v>
      </c>
      <c r="H903" s="452">
        <v>46050</v>
      </c>
      <c r="I903">
        <v>4828</v>
      </c>
      <c r="J903">
        <v>4828</v>
      </c>
      <c r="K903">
        <v>0</v>
      </c>
      <c r="L903">
        <v>4828</v>
      </c>
      <c r="M903">
        <v>0</v>
      </c>
      <c r="N903">
        <v>0</v>
      </c>
      <c r="O903">
        <v>0</v>
      </c>
      <c r="P903">
        <v>0</v>
      </c>
      <c r="Q903" t="s">
        <v>460</v>
      </c>
    </row>
    <row r="904" spans="1:17" x14ac:dyDescent="0.3">
      <c r="A904">
        <v>190191</v>
      </c>
      <c r="B904">
        <v>116</v>
      </c>
      <c r="C904" t="s">
        <v>568</v>
      </c>
      <c r="D904" t="s">
        <v>2314</v>
      </c>
      <c r="E904" t="s">
        <v>3222</v>
      </c>
      <c r="F904" s="452">
        <v>46021</v>
      </c>
      <c r="G904" s="452">
        <v>46021</v>
      </c>
      <c r="H904" s="452">
        <v>46055</v>
      </c>
      <c r="I904">
        <v>7242</v>
      </c>
      <c r="J904">
        <v>7242</v>
      </c>
      <c r="K904">
        <v>0</v>
      </c>
      <c r="L904">
        <v>7242</v>
      </c>
      <c r="M904">
        <v>0</v>
      </c>
      <c r="N904">
        <v>0</v>
      </c>
      <c r="O904">
        <v>0</v>
      </c>
      <c r="P904">
        <v>0</v>
      </c>
      <c r="Q904" t="s">
        <v>460</v>
      </c>
    </row>
    <row r="905" spans="1:17" x14ac:dyDescent="0.3">
      <c r="A905">
        <v>189746</v>
      </c>
      <c r="B905">
        <v>116</v>
      </c>
      <c r="C905" t="s">
        <v>568</v>
      </c>
      <c r="D905" t="s">
        <v>2361</v>
      </c>
      <c r="E905" t="s">
        <v>3223</v>
      </c>
      <c r="F905" s="452">
        <v>46014</v>
      </c>
      <c r="G905" s="452">
        <v>46014</v>
      </c>
      <c r="H905" s="452">
        <v>46052</v>
      </c>
      <c r="I905">
        <v>287</v>
      </c>
      <c r="J905">
        <v>36</v>
      </c>
      <c r="K905">
        <v>287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460</v>
      </c>
    </row>
    <row r="906" spans="1:17" x14ac:dyDescent="0.3">
      <c r="A906">
        <v>189727</v>
      </c>
      <c r="B906">
        <v>116</v>
      </c>
      <c r="C906" t="s">
        <v>568</v>
      </c>
      <c r="D906" t="s">
        <v>2265</v>
      </c>
      <c r="E906" t="s">
        <v>3224</v>
      </c>
      <c r="F906" s="452">
        <v>46014</v>
      </c>
      <c r="H906" s="452">
        <v>46034</v>
      </c>
      <c r="I906">
        <v>759.16</v>
      </c>
      <c r="J906">
        <v>759.16</v>
      </c>
      <c r="K906">
        <v>0</v>
      </c>
      <c r="L906">
        <v>0</v>
      </c>
      <c r="M906">
        <v>759.16</v>
      </c>
      <c r="N906">
        <v>0</v>
      </c>
      <c r="O906">
        <v>0</v>
      </c>
      <c r="P906">
        <v>0</v>
      </c>
      <c r="Q906" t="s">
        <v>460</v>
      </c>
    </row>
    <row r="907" spans="1:17" x14ac:dyDescent="0.3">
      <c r="A907">
        <v>189726</v>
      </c>
      <c r="B907">
        <v>116</v>
      </c>
      <c r="C907" t="s">
        <v>568</v>
      </c>
      <c r="D907" t="s">
        <v>3122</v>
      </c>
      <c r="E907" t="s">
        <v>3225</v>
      </c>
      <c r="F907" s="452">
        <v>46013</v>
      </c>
      <c r="H907" s="452">
        <v>46034</v>
      </c>
      <c r="I907">
        <v>155.15</v>
      </c>
      <c r="J907">
        <v>155.15</v>
      </c>
      <c r="K907">
        <v>0</v>
      </c>
      <c r="L907">
        <v>0</v>
      </c>
      <c r="M907">
        <v>133.25</v>
      </c>
      <c r="N907">
        <v>0</v>
      </c>
      <c r="O907">
        <v>21.9</v>
      </c>
      <c r="P907">
        <v>0</v>
      </c>
      <c r="Q907" t="s">
        <v>460</v>
      </c>
    </row>
    <row r="908" spans="1:17" x14ac:dyDescent="0.3">
      <c r="A908">
        <v>189682</v>
      </c>
      <c r="B908">
        <v>116</v>
      </c>
      <c r="C908" t="s">
        <v>568</v>
      </c>
      <c r="D908" t="s">
        <v>2499</v>
      </c>
      <c r="E908" t="s">
        <v>3226</v>
      </c>
      <c r="F908" s="452">
        <v>46021</v>
      </c>
      <c r="G908" s="452">
        <v>46021</v>
      </c>
      <c r="H908" s="452">
        <v>46038</v>
      </c>
      <c r="I908">
        <v>1017.89</v>
      </c>
      <c r="J908">
        <v>1017.88</v>
      </c>
      <c r="K908">
        <v>1017.89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460</v>
      </c>
    </row>
    <row r="909" spans="1:17" x14ac:dyDescent="0.3">
      <c r="A909">
        <v>189679</v>
      </c>
      <c r="B909">
        <v>116</v>
      </c>
      <c r="C909" t="s">
        <v>568</v>
      </c>
      <c r="D909" t="s">
        <v>2286</v>
      </c>
      <c r="E909" t="s">
        <v>3227</v>
      </c>
      <c r="F909" s="452">
        <v>46024</v>
      </c>
      <c r="G909" s="452">
        <v>46024</v>
      </c>
      <c r="H909" s="452">
        <v>46038</v>
      </c>
      <c r="I909">
        <v>350.4</v>
      </c>
      <c r="J909">
        <v>350.4</v>
      </c>
      <c r="K909">
        <v>350.4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461</v>
      </c>
    </row>
    <row r="910" spans="1:17" x14ac:dyDescent="0.3">
      <c r="A910">
        <v>189677</v>
      </c>
      <c r="B910">
        <v>116</v>
      </c>
      <c r="C910" t="s">
        <v>568</v>
      </c>
      <c r="D910" t="s">
        <v>2429</v>
      </c>
      <c r="E910" t="s">
        <v>3228</v>
      </c>
      <c r="F910" s="452">
        <v>46008</v>
      </c>
      <c r="G910" s="452">
        <v>46008</v>
      </c>
      <c r="H910" s="452">
        <v>46034</v>
      </c>
      <c r="I910">
        <v>109.2</v>
      </c>
      <c r="J910">
        <v>109.2</v>
      </c>
      <c r="K910">
        <v>109.2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460</v>
      </c>
    </row>
    <row r="911" spans="1:17" x14ac:dyDescent="0.3">
      <c r="A911">
        <v>189676</v>
      </c>
      <c r="B911">
        <v>116</v>
      </c>
      <c r="C911" t="s">
        <v>568</v>
      </c>
      <c r="D911" t="s">
        <v>2463</v>
      </c>
      <c r="E911" t="s">
        <v>3229</v>
      </c>
      <c r="F911" s="452">
        <v>46028</v>
      </c>
      <c r="G911" s="452">
        <v>46028</v>
      </c>
      <c r="H911" s="452">
        <v>46037</v>
      </c>
      <c r="I911">
        <v>1465.91</v>
      </c>
      <c r="J911">
        <v>1465.9</v>
      </c>
      <c r="K911">
        <v>1465.91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461</v>
      </c>
    </row>
    <row r="912" spans="1:17" x14ac:dyDescent="0.3">
      <c r="A912">
        <v>189655</v>
      </c>
      <c r="B912">
        <v>116</v>
      </c>
      <c r="C912" t="s">
        <v>568</v>
      </c>
      <c r="D912" t="s">
        <v>2314</v>
      </c>
      <c r="E912" t="s">
        <v>3230</v>
      </c>
      <c r="F912" s="452">
        <v>45996</v>
      </c>
      <c r="G912" s="452">
        <v>45996</v>
      </c>
      <c r="H912" s="452">
        <v>46029</v>
      </c>
      <c r="I912">
        <v>4264.12</v>
      </c>
      <c r="J912">
        <v>4168.3999999999996</v>
      </c>
      <c r="K912">
        <v>0</v>
      </c>
      <c r="L912">
        <v>4264.12</v>
      </c>
      <c r="M912">
        <v>0</v>
      </c>
      <c r="N912">
        <v>0</v>
      </c>
      <c r="O912">
        <v>0</v>
      </c>
      <c r="P912">
        <v>0</v>
      </c>
      <c r="Q912" t="s">
        <v>460</v>
      </c>
    </row>
    <row r="913" spans="1:17" x14ac:dyDescent="0.3">
      <c r="A913">
        <v>189414</v>
      </c>
      <c r="B913">
        <v>116</v>
      </c>
      <c r="C913" t="s">
        <v>568</v>
      </c>
      <c r="D913" t="s">
        <v>2267</v>
      </c>
      <c r="E913" t="s">
        <v>3231</v>
      </c>
      <c r="F913" s="452">
        <v>46013</v>
      </c>
      <c r="G913" s="452">
        <v>46013</v>
      </c>
      <c r="H913" s="452">
        <v>46008</v>
      </c>
      <c r="I913">
        <v>721.31</v>
      </c>
      <c r="J913">
        <v>721.31</v>
      </c>
      <c r="K913">
        <v>721.31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460</v>
      </c>
    </row>
    <row r="914" spans="1:17" x14ac:dyDescent="0.3">
      <c r="A914">
        <v>189413</v>
      </c>
      <c r="B914">
        <v>116</v>
      </c>
      <c r="C914" t="s">
        <v>568</v>
      </c>
      <c r="D914" t="s">
        <v>2267</v>
      </c>
      <c r="E914" t="s">
        <v>3232</v>
      </c>
      <c r="F914" s="452">
        <v>46008</v>
      </c>
      <c r="G914" s="452">
        <v>46008</v>
      </c>
      <c r="H914" s="452">
        <v>46032</v>
      </c>
      <c r="I914">
        <v>375.3</v>
      </c>
      <c r="J914">
        <v>375.3</v>
      </c>
      <c r="K914">
        <v>375.3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460</v>
      </c>
    </row>
    <row r="915" spans="1:17" x14ac:dyDescent="0.3">
      <c r="A915">
        <v>189411</v>
      </c>
      <c r="B915">
        <v>116</v>
      </c>
      <c r="C915" t="s">
        <v>568</v>
      </c>
      <c r="D915" t="s">
        <v>2320</v>
      </c>
      <c r="E915" t="s">
        <v>3233</v>
      </c>
      <c r="F915" s="452">
        <v>46011</v>
      </c>
      <c r="G915" s="452">
        <v>46011</v>
      </c>
      <c r="H915" s="452">
        <v>46034</v>
      </c>
      <c r="I915">
        <v>1387.49</v>
      </c>
      <c r="J915">
        <v>1321.81</v>
      </c>
      <c r="K915">
        <v>1387.49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460</v>
      </c>
    </row>
    <row r="916" spans="1:17" x14ac:dyDescent="0.3">
      <c r="A916">
        <v>189410</v>
      </c>
      <c r="B916">
        <v>116</v>
      </c>
      <c r="C916" t="s">
        <v>568</v>
      </c>
      <c r="D916" t="s">
        <v>2320</v>
      </c>
      <c r="E916" t="s">
        <v>3234</v>
      </c>
      <c r="F916" s="452">
        <v>46014</v>
      </c>
      <c r="G916" s="452">
        <v>46014</v>
      </c>
      <c r="H916" s="452">
        <v>46034</v>
      </c>
      <c r="I916">
        <v>1266.49</v>
      </c>
      <c r="J916">
        <v>1218.01</v>
      </c>
      <c r="K916">
        <v>1266.49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460</v>
      </c>
    </row>
    <row r="917" spans="1:17" x14ac:dyDescent="0.3">
      <c r="A917">
        <v>189409</v>
      </c>
      <c r="B917">
        <v>116</v>
      </c>
      <c r="C917" t="s">
        <v>568</v>
      </c>
      <c r="D917" t="s">
        <v>2318</v>
      </c>
      <c r="E917" t="s">
        <v>3235</v>
      </c>
      <c r="F917" s="452">
        <v>46009</v>
      </c>
      <c r="G917" s="452">
        <v>46009</v>
      </c>
      <c r="H917" s="452">
        <v>46034</v>
      </c>
      <c r="I917">
        <v>959.88</v>
      </c>
      <c r="J917">
        <v>959.88</v>
      </c>
      <c r="K917">
        <v>959.88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460</v>
      </c>
    </row>
    <row r="918" spans="1:17" x14ac:dyDescent="0.3">
      <c r="A918">
        <v>189408</v>
      </c>
      <c r="B918">
        <v>116</v>
      </c>
      <c r="C918" t="s">
        <v>568</v>
      </c>
      <c r="D918" t="s">
        <v>2323</v>
      </c>
      <c r="E918" t="s">
        <v>3236</v>
      </c>
      <c r="F918" s="452">
        <v>46013</v>
      </c>
      <c r="G918" s="452">
        <v>46013</v>
      </c>
      <c r="H918" s="452">
        <v>46034</v>
      </c>
      <c r="I918">
        <v>292.52999999999997</v>
      </c>
      <c r="J918">
        <v>275.60000000000002</v>
      </c>
      <c r="K918">
        <v>292.52999999999997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460</v>
      </c>
    </row>
    <row r="919" spans="1:17" x14ac:dyDescent="0.3">
      <c r="A919">
        <v>189407</v>
      </c>
      <c r="B919">
        <v>116</v>
      </c>
      <c r="C919" t="s">
        <v>568</v>
      </c>
      <c r="D919" t="s">
        <v>2323</v>
      </c>
      <c r="E919" t="s">
        <v>3237</v>
      </c>
      <c r="F919" s="452">
        <v>46019</v>
      </c>
      <c r="G919" s="452">
        <v>46019</v>
      </c>
      <c r="H919" s="452">
        <v>46034</v>
      </c>
      <c r="I919">
        <v>1741.08</v>
      </c>
      <c r="J919">
        <v>1741.08</v>
      </c>
      <c r="K919">
        <v>1741.08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460</v>
      </c>
    </row>
    <row r="920" spans="1:17" x14ac:dyDescent="0.3">
      <c r="A920">
        <v>189406</v>
      </c>
      <c r="B920">
        <v>116</v>
      </c>
      <c r="C920" t="s">
        <v>568</v>
      </c>
      <c r="D920" t="s">
        <v>2265</v>
      </c>
      <c r="E920" t="s">
        <v>3238</v>
      </c>
      <c r="F920" s="452">
        <v>46020</v>
      </c>
      <c r="H920" s="452">
        <v>46036</v>
      </c>
      <c r="I920">
        <v>581.55999999999995</v>
      </c>
      <c r="J920">
        <v>581.55999999999995</v>
      </c>
      <c r="K920">
        <v>0</v>
      </c>
      <c r="L920">
        <v>0</v>
      </c>
      <c r="M920">
        <v>581.55999999999995</v>
      </c>
      <c r="N920">
        <v>0</v>
      </c>
      <c r="O920">
        <v>0</v>
      </c>
      <c r="P920">
        <v>0</v>
      </c>
      <c r="Q920" t="s">
        <v>460</v>
      </c>
    </row>
    <row r="921" spans="1:17" x14ac:dyDescent="0.3">
      <c r="A921">
        <v>189405</v>
      </c>
      <c r="B921">
        <v>116</v>
      </c>
      <c r="C921" t="s">
        <v>568</v>
      </c>
      <c r="D921" t="s">
        <v>2918</v>
      </c>
      <c r="E921" t="s">
        <v>3239</v>
      </c>
      <c r="F921" s="452">
        <v>46008</v>
      </c>
      <c r="H921" s="452">
        <v>46008</v>
      </c>
      <c r="I921">
        <v>3087.14</v>
      </c>
      <c r="J921">
        <v>3057.14</v>
      </c>
      <c r="K921">
        <v>0</v>
      </c>
      <c r="L921">
        <v>0</v>
      </c>
      <c r="M921">
        <v>0</v>
      </c>
      <c r="N921">
        <v>0</v>
      </c>
      <c r="O921">
        <v>3087.14</v>
      </c>
      <c r="P921">
        <v>0</v>
      </c>
      <c r="Q921" t="s">
        <v>460</v>
      </c>
    </row>
    <row r="922" spans="1:17" x14ac:dyDescent="0.3">
      <c r="A922">
        <v>189404</v>
      </c>
      <c r="B922">
        <v>116</v>
      </c>
      <c r="C922" t="s">
        <v>568</v>
      </c>
      <c r="D922" t="s">
        <v>2310</v>
      </c>
      <c r="E922" t="s">
        <v>3240</v>
      </c>
      <c r="F922" s="452">
        <v>46007</v>
      </c>
      <c r="H922" s="452">
        <v>46042</v>
      </c>
      <c r="I922">
        <v>63.64</v>
      </c>
      <c r="J922">
        <v>63.64</v>
      </c>
      <c r="K922">
        <v>0</v>
      </c>
      <c r="L922">
        <v>0</v>
      </c>
      <c r="M922">
        <v>63.64</v>
      </c>
      <c r="N922">
        <v>0</v>
      </c>
      <c r="O922">
        <v>0</v>
      </c>
      <c r="P922">
        <v>0</v>
      </c>
      <c r="Q922" t="s">
        <v>460</v>
      </c>
    </row>
    <row r="923" spans="1:17" x14ac:dyDescent="0.3">
      <c r="A923">
        <v>189403</v>
      </c>
      <c r="B923">
        <v>116</v>
      </c>
      <c r="C923" t="s">
        <v>568</v>
      </c>
      <c r="D923" t="s">
        <v>2310</v>
      </c>
      <c r="E923" t="s">
        <v>3241</v>
      </c>
      <c r="F923" s="452">
        <v>46007</v>
      </c>
      <c r="G923" s="452">
        <v>46007</v>
      </c>
      <c r="H923" s="452">
        <v>46042</v>
      </c>
      <c r="I923">
        <v>305.10000000000002</v>
      </c>
      <c r="J923">
        <v>305.10000000000002</v>
      </c>
      <c r="K923">
        <v>305.10000000000002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460</v>
      </c>
    </row>
    <row r="924" spans="1:17" x14ac:dyDescent="0.3">
      <c r="A924">
        <v>189402</v>
      </c>
      <c r="B924">
        <v>116</v>
      </c>
      <c r="C924" t="s">
        <v>568</v>
      </c>
      <c r="D924" t="s">
        <v>2310</v>
      </c>
      <c r="E924" t="s">
        <v>3242</v>
      </c>
      <c r="F924" s="452">
        <v>46013</v>
      </c>
      <c r="H924" s="452">
        <v>46048</v>
      </c>
      <c r="I924">
        <v>109.04</v>
      </c>
      <c r="J924">
        <v>45.4</v>
      </c>
      <c r="K924">
        <v>0</v>
      </c>
      <c r="L924">
        <v>0</v>
      </c>
      <c r="M924">
        <v>109.04</v>
      </c>
      <c r="N924">
        <v>0</v>
      </c>
      <c r="O924">
        <v>0</v>
      </c>
      <c r="P924">
        <v>0</v>
      </c>
      <c r="Q924" t="s">
        <v>460</v>
      </c>
    </row>
    <row r="925" spans="1:17" x14ac:dyDescent="0.3">
      <c r="A925">
        <v>189399</v>
      </c>
      <c r="B925">
        <v>116</v>
      </c>
      <c r="C925" t="s">
        <v>568</v>
      </c>
      <c r="D925" t="s">
        <v>2408</v>
      </c>
      <c r="E925" t="s">
        <v>3243</v>
      </c>
      <c r="F925" s="452">
        <v>46006</v>
      </c>
      <c r="H925" s="452">
        <v>46034</v>
      </c>
      <c r="I925">
        <v>1774</v>
      </c>
      <c r="J925">
        <v>1616.4</v>
      </c>
      <c r="K925">
        <v>0</v>
      </c>
      <c r="L925">
        <v>0</v>
      </c>
      <c r="M925">
        <v>0</v>
      </c>
      <c r="N925">
        <v>0</v>
      </c>
      <c r="O925">
        <v>1774</v>
      </c>
      <c r="P925">
        <v>0</v>
      </c>
      <c r="Q925" t="s">
        <v>460</v>
      </c>
    </row>
    <row r="926" spans="1:17" x14ac:dyDescent="0.3">
      <c r="A926">
        <v>189397</v>
      </c>
      <c r="B926">
        <v>116</v>
      </c>
      <c r="C926" t="s">
        <v>568</v>
      </c>
      <c r="D926" t="s">
        <v>2308</v>
      </c>
      <c r="E926" t="s">
        <v>3244</v>
      </c>
      <c r="F926" s="452">
        <v>46008</v>
      </c>
      <c r="G926" s="452">
        <v>46008</v>
      </c>
      <c r="H926" s="452">
        <v>46036</v>
      </c>
      <c r="I926">
        <v>2921.32</v>
      </c>
      <c r="J926">
        <v>2921.32</v>
      </c>
      <c r="K926">
        <v>2921.32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460</v>
      </c>
    </row>
    <row r="927" spans="1:17" x14ac:dyDescent="0.3">
      <c r="A927">
        <v>189388</v>
      </c>
      <c r="B927">
        <v>116</v>
      </c>
      <c r="C927" t="s">
        <v>568</v>
      </c>
      <c r="D927" t="s">
        <v>2410</v>
      </c>
      <c r="E927" t="s">
        <v>3245</v>
      </c>
      <c r="F927" s="452">
        <v>46013</v>
      </c>
      <c r="G927" s="452">
        <v>46013</v>
      </c>
      <c r="H927" s="452">
        <v>46041</v>
      </c>
      <c r="I927">
        <v>789.6</v>
      </c>
      <c r="J927">
        <v>789.6</v>
      </c>
      <c r="K927">
        <v>0</v>
      </c>
      <c r="L927">
        <v>789.6</v>
      </c>
      <c r="M927">
        <v>0</v>
      </c>
      <c r="N927">
        <v>0</v>
      </c>
      <c r="O927">
        <v>0</v>
      </c>
      <c r="P927">
        <v>0</v>
      </c>
      <c r="Q927" t="s">
        <v>460</v>
      </c>
    </row>
    <row r="928" spans="1:17" x14ac:dyDescent="0.3">
      <c r="A928">
        <v>189387</v>
      </c>
      <c r="B928">
        <v>116</v>
      </c>
      <c r="C928" t="s">
        <v>568</v>
      </c>
      <c r="D928" t="s">
        <v>2683</v>
      </c>
      <c r="E928" t="s">
        <v>3246</v>
      </c>
      <c r="F928" s="452">
        <v>46021</v>
      </c>
      <c r="G928" s="452">
        <v>46021</v>
      </c>
      <c r="H928" s="452">
        <v>46036</v>
      </c>
      <c r="I928">
        <v>644.52</v>
      </c>
      <c r="J928">
        <v>644.52</v>
      </c>
      <c r="K928">
        <v>644.52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460</v>
      </c>
    </row>
    <row r="929" spans="1:17" x14ac:dyDescent="0.3">
      <c r="A929">
        <v>189385</v>
      </c>
      <c r="B929">
        <v>116</v>
      </c>
      <c r="C929" t="s">
        <v>568</v>
      </c>
      <c r="D929" t="s">
        <v>2429</v>
      </c>
      <c r="E929" t="s">
        <v>3247</v>
      </c>
      <c r="F929" s="452">
        <v>46017</v>
      </c>
      <c r="G929" s="452">
        <v>46017</v>
      </c>
      <c r="H929" s="452">
        <v>46038</v>
      </c>
      <c r="I929">
        <v>321.8</v>
      </c>
      <c r="J929">
        <v>321.8</v>
      </c>
      <c r="K929">
        <v>321.8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460</v>
      </c>
    </row>
    <row r="930" spans="1:17" x14ac:dyDescent="0.3">
      <c r="A930">
        <v>189384</v>
      </c>
      <c r="B930">
        <v>116</v>
      </c>
      <c r="C930" t="s">
        <v>568</v>
      </c>
      <c r="D930" t="s">
        <v>3010</v>
      </c>
      <c r="E930" t="s">
        <v>3248</v>
      </c>
      <c r="F930" s="452">
        <v>46014</v>
      </c>
      <c r="H930" s="452">
        <v>46034</v>
      </c>
      <c r="I930">
        <v>269.10000000000002</v>
      </c>
      <c r="J930">
        <v>269.10000000000002</v>
      </c>
      <c r="K930">
        <v>0</v>
      </c>
      <c r="L930">
        <v>0</v>
      </c>
      <c r="M930">
        <v>0</v>
      </c>
      <c r="N930">
        <v>269.10000000000002</v>
      </c>
      <c r="O930">
        <v>0</v>
      </c>
      <c r="P930">
        <v>0</v>
      </c>
      <c r="Q930" t="s">
        <v>460</v>
      </c>
    </row>
    <row r="931" spans="1:17" x14ac:dyDescent="0.3">
      <c r="A931">
        <v>189383</v>
      </c>
      <c r="B931">
        <v>116</v>
      </c>
      <c r="C931" t="s">
        <v>568</v>
      </c>
      <c r="D931" t="s">
        <v>3010</v>
      </c>
      <c r="E931" t="s">
        <v>3249</v>
      </c>
      <c r="F931" s="452">
        <v>46017</v>
      </c>
      <c r="H931" s="452">
        <v>46034</v>
      </c>
      <c r="I931">
        <v>269.10000000000002</v>
      </c>
      <c r="J931">
        <v>269.10000000000002</v>
      </c>
      <c r="K931">
        <v>0</v>
      </c>
      <c r="L931">
        <v>0</v>
      </c>
      <c r="M931">
        <v>0</v>
      </c>
      <c r="N931">
        <v>269.10000000000002</v>
      </c>
      <c r="O931">
        <v>0</v>
      </c>
      <c r="P931">
        <v>0</v>
      </c>
      <c r="Q931" t="s">
        <v>460</v>
      </c>
    </row>
    <row r="932" spans="1:17" x14ac:dyDescent="0.3">
      <c r="A932">
        <v>189382</v>
      </c>
      <c r="B932">
        <v>116</v>
      </c>
      <c r="C932" t="s">
        <v>568</v>
      </c>
      <c r="D932" t="s">
        <v>3010</v>
      </c>
      <c r="E932" t="s">
        <v>3250</v>
      </c>
      <c r="F932" s="452">
        <v>46021</v>
      </c>
      <c r="H932" s="452">
        <v>46034</v>
      </c>
      <c r="I932">
        <v>269.10000000000002</v>
      </c>
      <c r="J932">
        <v>269.10000000000002</v>
      </c>
      <c r="K932">
        <v>0</v>
      </c>
      <c r="L932">
        <v>0</v>
      </c>
      <c r="M932">
        <v>0</v>
      </c>
      <c r="N932">
        <v>269.10000000000002</v>
      </c>
      <c r="O932">
        <v>0</v>
      </c>
      <c r="P932">
        <v>0</v>
      </c>
      <c r="Q932" t="s">
        <v>460</v>
      </c>
    </row>
    <row r="933" spans="1:17" x14ac:dyDescent="0.3">
      <c r="A933">
        <v>189381</v>
      </c>
      <c r="B933">
        <v>116</v>
      </c>
      <c r="C933" t="s">
        <v>568</v>
      </c>
      <c r="D933" t="s">
        <v>2273</v>
      </c>
      <c r="E933" t="s">
        <v>3251</v>
      </c>
      <c r="F933" s="452">
        <v>46006</v>
      </c>
      <c r="G933" s="452">
        <v>46006</v>
      </c>
      <c r="H933" s="452">
        <v>46034</v>
      </c>
      <c r="I933">
        <v>182.25</v>
      </c>
      <c r="J933">
        <v>155.32</v>
      </c>
      <c r="K933">
        <v>182.25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460</v>
      </c>
    </row>
    <row r="934" spans="1:17" x14ac:dyDescent="0.3">
      <c r="A934">
        <v>189380</v>
      </c>
      <c r="B934">
        <v>116</v>
      </c>
      <c r="C934" t="s">
        <v>568</v>
      </c>
      <c r="D934" t="s">
        <v>2273</v>
      </c>
      <c r="E934" t="s">
        <v>3252</v>
      </c>
      <c r="F934" s="452">
        <v>46009</v>
      </c>
      <c r="G934" s="452">
        <v>46009</v>
      </c>
      <c r="H934" s="452">
        <v>46037</v>
      </c>
      <c r="I934">
        <v>57.76</v>
      </c>
      <c r="J934">
        <v>57.76</v>
      </c>
      <c r="K934">
        <v>57.76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460</v>
      </c>
    </row>
    <row r="935" spans="1:17" x14ac:dyDescent="0.3">
      <c r="A935">
        <v>189379</v>
      </c>
      <c r="B935">
        <v>116</v>
      </c>
      <c r="C935" t="s">
        <v>568</v>
      </c>
      <c r="D935" t="s">
        <v>2286</v>
      </c>
      <c r="E935" t="s">
        <v>3253</v>
      </c>
      <c r="F935" s="452">
        <v>46009</v>
      </c>
      <c r="G935" s="452">
        <v>46009</v>
      </c>
      <c r="H935" s="452">
        <v>46034</v>
      </c>
      <c r="I935">
        <v>571.20000000000005</v>
      </c>
      <c r="J935">
        <v>571.20000000000005</v>
      </c>
      <c r="K935">
        <v>571.20000000000005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460</v>
      </c>
    </row>
    <row r="936" spans="1:17" x14ac:dyDescent="0.3">
      <c r="A936">
        <v>189378</v>
      </c>
      <c r="B936">
        <v>116</v>
      </c>
      <c r="C936" t="s">
        <v>568</v>
      </c>
      <c r="D936" t="s">
        <v>2260</v>
      </c>
      <c r="E936" t="s">
        <v>3254</v>
      </c>
      <c r="F936" s="452">
        <v>46021</v>
      </c>
      <c r="G936" s="452">
        <v>46021</v>
      </c>
      <c r="H936" s="452">
        <v>46035</v>
      </c>
      <c r="I936">
        <v>316</v>
      </c>
      <c r="J936">
        <v>402.9</v>
      </c>
      <c r="K936">
        <v>316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460</v>
      </c>
    </row>
    <row r="937" spans="1:17" x14ac:dyDescent="0.3">
      <c r="A937">
        <v>189377</v>
      </c>
      <c r="B937">
        <v>116</v>
      </c>
      <c r="C937" t="s">
        <v>568</v>
      </c>
      <c r="D937" t="s">
        <v>2260</v>
      </c>
      <c r="E937" t="s">
        <v>3255</v>
      </c>
      <c r="F937" s="452">
        <v>46011</v>
      </c>
      <c r="G937" s="452">
        <v>46011</v>
      </c>
      <c r="H937" s="452">
        <v>46042</v>
      </c>
      <c r="I937">
        <v>1547.11</v>
      </c>
      <c r="J937">
        <v>1462.6</v>
      </c>
      <c r="K937">
        <v>1547.11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460</v>
      </c>
    </row>
    <row r="938" spans="1:17" x14ac:dyDescent="0.3">
      <c r="A938">
        <v>189376</v>
      </c>
      <c r="B938">
        <v>116</v>
      </c>
      <c r="C938" t="s">
        <v>568</v>
      </c>
      <c r="D938" t="s">
        <v>2260</v>
      </c>
      <c r="E938" t="s">
        <v>3256</v>
      </c>
      <c r="F938" s="452">
        <v>46021</v>
      </c>
      <c r="G938" s="452">
        <v>46021</v>
      </c>
      <c r="H938" s="452">
        <v>46035</v>
      </c>
      <c r="I938">
        <v>699</v>
      </c>
      <c r="J938">
        <v>689</v>
      </c>
      <c r="K938">
        <v>699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460</v>
      </c>
    </row>
    <row r="939" spans="1:17" x14ac:dyDescent="0.3">
      <c r="A939">
        <v>189374</v>
      </c>
      <c r="B939">
        <v>116</v>
      </c>
      <c r="C939" t="s">
        <v>568</v>
      </c>
      <c r="D939" t="s">
        <v>2260</v>
      </c>
      <c r="E939" t="s">
        <v>3257</v>
      </c>
      <c r="F939" s="452">
        <v>46017</v>
      </c>
      <c r="G939" s="452">
        <v>46017</v>
      </c>
      <c r="H939" s="452">
        <v>46034</v>
      </c>
      <c r="I939">
        <v>696</v>
      </c>
      <c r="J939">
        <v>686</v>
      </c>
      <c r="K939">
        <v>696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460</v>
      </c>
    </row>
    <row r="940" spans="1:17" x14ac:dyDescent="0.3">
      <c r="A940">
        <v>189373</v>
      </c>
      <c r="B940">
        <v>116</v>
      </c>
      <c r="C940" t="s">
        <v>568</v>
      </c>
      <c r="D940" t="s">
        <v>2260</v>
      </c>
      <c r="E940" t="s">
        <v>3258</v>
      </c>
      <c r="F940" s="452">
        <v>46014</v>
      </c>
      <c r="G940" s="452">
        <v>46014</v>
      </c>
      <c r="H940" s="452">
        <v>46035</v>
      </c>
      <c r="I940">
        <v>2508.9499999999998</v>
      </c>
      <c r="J940">
        <v>2498.9499999999998</v>
      </c>
      <c r="K940">
        <v>2508.9499999999998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460</v>
      </c>
    </row>
    <row r="941" spans="1:17" x14ac:dyDescent="0.3">
      <c r="A941">
        <v>189372</v>
      </c>
      <c r="B941">
        <v>116</v>
      </c>
      <c r="C941" t="s">
        <v>568</v>
      </c>
      <c r="D941" t="s">
        <v>2260</v>
      </c>
      <c r="E941" t="s">
        <v>3259</v>
      </c>
      <c r="F941" s="452">
        <v>46013</v>
      </c>
      <c r="G941" s="452">
        <v>46013</v>
      </c>
      <c r="H941" s="452">
        <v>46034</v>
      </c>
      <c r="I941">
        <v>686</v>
      </c>
      <c r="J941">
        <v>676</v>
      </c>
      <c r="K941">
        <v>686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460</v>
      </c>
    </row>
    <row r="942" spans="1:17" x14ac:dyDescent="0.3">
      <c r="A942">
        <v>189371</v>
      </c>
      <c r="B942">
        <v>116</v>
      </c>
      <c r="C942" t="s">
        <v>568</v>
      </c>
      <c r="D942" t="s">
        <v>2260</v>
      </c>
      <c r="E942" t="s">
        <v>3260</v>
      </c>
      <c r="F942" s="452">
        <v>46011</v>
      </c>
      <c r="G942" s="452">
        <v>46011</v>
      </c>
      <c r="H942" s="452">
        <v>46034</v>
      </c>
      <c r="I942">
        <v>396.5</v>
      </c>
      <c r="J942">
        <v>396.5</v>
      </c>
      <c r="K942">
        <v>396.5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460</v>
      </c>
    </row>
    <row r="943" spans="1:17" x14ac:dyDescent="0.3">
      <c r="A943">
        <v>189370</v>
      </c>
      <c r="B943">
        <v>116</v>
      </c>
      <c r="C943" t="s">
        <v>568</v>
      </c>
      <c r="D943" t="s">
        <v>2359</v>
      </c>
      <c r="E943" t="s">
        <v>3261</v>
      </c>
      <c r="F943" s="452">
        <v>46014</v>
      </c>
      <c r="G943" s="452">
        <v>46014</v>
      </c>
      <c r="H943" s="452">
        <v>46034</v>
      </c>
      <c r="I943">
        <v>172.52</v>
      </c>
      <c r="J943">
        <v>172.52</v>
      </c>
      <c r="K943">
        <v>0</v>
      </c>
      <c r="L943">
        <v>172.52</v>
      </c>
      <c r="M943">
        <v>0</v>
      </c>
      <c r="N943">
        <v>0</v>
      </c>
      <c r="O943">
        <v>0</v>
      </c>
      <c r="P943">
        <v>0</v>
      </c>
      <c r="Q943" t="s">
        <v>460</v>
      </c>
    </row>
    <row r="944" spans="1:17" x14ac:dyDescent="0.3">
      <c r="A944">
        <v>189369</v>
      </c>
      <c r="B944">
        <v>116</v>
      </c>
      <c r="C944" t="s">
        <v>568</v>
      </c>
      <c r="D944" t="s">
        <v>2359</v>
      </c>
      <c r="E944" t="s">
        <v>3262</v>
      </c>
      <c r="F944" s="452">
        <v>46010</v>
      </c>
      <c r="G944" s="452">
        <v>46010</v>
      </c>
      <c r="H944" s="452">
        <v>46034</v>
      </c>
      <c r="I944">
        <v>85.31</v>
      </c>
      <c r="J944">
        <v>929.04</v>
      </c>
      <c r="K944">
        <v>0</v>
      </c>
      <c r="L944">
        <v>85.31</v>
      </c>
      <c r="M944">
        <v>0</v>
      </c>
      <c r="N944">
        <v>0</v>
      </c>
      <c r="O944">
        <v>0</v>
      </c>
      <c r="P944">
        <v>0</v>
      </c>
      <c r="Q944" t="s">
        <v>460</v>
      </c>
    </row>
    <row r="945" spans="1:17" x14ac:dyDescent="0.3">
      <c r="A945">
        <v>189366</v>
      </c>
      <c r="B945">
        <v>116</v>
      </c>
      <c r="C945" t="s">
        <v>568</v>
      </c>
      <c r="D945" t="s">
        <v>2357</v>
      </c>
      <c r="E945" t="s">
        <v>3263</v>
      </c>
      <c r="F945" s="452">
        <v>46013</v>
      </c>
      <c r="G945" s="452">
        <v>46013</v>
      </c>
      <c r="H945" s="452">
        <v>46034</v>
      </c>
      <c r="I945">
        <v>335.78</v>
      </c>
      <c r="J945">
        <v>332.7</v>
      </c>
      <c r="K945">
        <v>335.78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460</v>
      </c>
    </row>
    <row r="946" spans="1:17" x14ac:dyDescent="0.3">
      <c r="A946">
        <v>189365</v>
      </c>
      <c r="B946">
        <v>116</v>
      </c>
      <c r="C946" t="s">
        <v>568</v>
      </c>
      <c r="D946" t="s">
        <v>3179</v>
      </c>
      <c r="E946" t="s">
        <v>3264</v>
      </c>
      <c r="F946" s="452">
        <v>46009</v>
      </c>
      <c r="G946" s="452">
        <v>46009</v>
      </c>
      <c r="H946" s="452">
        <v>46037</v>
      </c>
      <c r="I946">
        <v>274.88</v>
      </c>
      <c r="J946">
        <v>274.88</v>
      </c>
      <c r="K946">
        <v>274.88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460</v>
      </c>
    </row>
    <row r="947" spans="1:17" x14ac:dyDescent="0.3">
      <c r="A947">
        <v>189364</v>
      </c>
      <c r="B947">
        <v>116</v>
      </c>
      <c r="C947" t="s">
        <v>568</v>
      </c>
      <c r="D947" t="s">
        <v>2342</v>
      </c>
      <c r="E947" t="s">
        <v>3265</v>
      </c>
      <c r="F947" s="452">
        <v>46013</v>
      </c>
      <c r="G947" s="452">
        <v>46013</v>
      </c>
      <c r="H947" s="452">
        <v>46035</v>
      </c>
      <c r="I947">
        <v>395</v>
      </c>
      <c r="J947">
        <v>360</v>
      </c>
      <c r="K947">
        <v>395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460</v>
      </c>
    </row>
    <row r="948" spans="1:17" x14ac:dyDescent="0.3">
      <c r="A948">
        <v>189363</v>
      </c>
      <c r="B948">
        <v>116</v>
      </c>
      <c r="C948" t="s">
        <v>568</v>
      </c>
      <c r="D948" t="s">
        <v>2286</v>
      </c>
      <c r="E948" t="s">
        <v>3266</v>
      </c>
      <c r="F948" s="452">
        <v>46020</v>
      </c>
      <c r="G948" s="452">
        <v>46020</v>
      </c>
      <c r="H948" s="452">
        <v>46034</v>
      </c>
      <c r="I948">
        <v>189.9</v>
      </c>
      <c r="J948">
        <v>189.9</v>
      </c>
      <c r="K948">
        <v>189.9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460</v>
      </c>
    </row>
    <row r="949" spans="1:17" x14ac:dyDescent="0.3">
      <c r="A949">
        <v>189362</v>
      </c>
      <c r="B949">
        <v>116</v>
      </c>
      <c r="C949" t="s">
        <v>568</v>
      </c>
      <c r="D949" t="s">
        <v>2286</v>
      </c>
      <c r="E949" t="s">
        <v>3267</v>
      </c>
      <c r="F949" s="452">
        <v>46014</v>
      </c>
      <c r="G949" s="452">
        <v>46014</v>
      </c>
      <c r="H949" s="452">
        <v>46034</v>
      </c>
      <c r="I949">
        <v>302.39999999999998</v>
      </c>
      <c r="J949">
        <v>302.39999999999998</v>
      </c>
      <c r="K949">
        <v>302.39999999999998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460</v>
      </c>
    </row>
    <row r="950" spans="1:17" x14ac:dyDescent="0.3">
      <c r="A950">
        <v>189361</v>
      </c>
      <c r="B950">
        <v>116</v>
      </c>
      <c r="C950" t="s">
        <v>568</v>
      </c>
      <c r="D950" t="s">
        <v>2286</v>
      </c>
      <c r="E950" t="s">
        <v>3268</v>
      </c>
      <c r="F950" s="452">
        <v>46013</v>
      </c>
      <c r="G950" s="452">
        <v>46013</v>
      </c>
      <c r="H950" s="452">
        <v>46034</v>
      </c>
      <c r="I950">
        <v>189.15</v>
      </c>
      <c r="J950">
        <v>189.15</v>
      </c>
      <c r="K950">
        <v>189.15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460</v>
      </c>
    </row>
    <row r="951" spans="1:17" x14ac:dyDescent="0.3">
      <c r="A951">
        <v>189359</v>
      </c>
      <c r="B951">
        <v>116</v>
      </c>
      <c r="C951" t="s">
        <v>568</v>
      </c>
      <c r="D951" t="s">
        <v>2286</v>
      </c>
      <c r="E951" t="s">
        <v>3269</v>
      </c>
      <c r="F951" s="452">
        <v>46017</v>
      </c>
      <c r="G951" s="452">
        <v>46017</v>
      </c>
      <c r="H951" s="452">
        <v>46034</v>
      </c>
      <c r="I951">
        <v>170.5</v>
      </c>
      <c r="J951">
        <v>170.5</v>
      </c>
      <c r="K951">
        <v>170.5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460</v>
      </c>
    </row>
    <row r="952" spans="1:17" x14ac:dyDescent="0.3">
      <c r="A952">
        <v>186701</v>
      </c>
      <c r="B952">
        <v>116</v>
      </c>
      <c r="C952" t="s">
        <v>568</v>
      </c>
      <c r="D952" t="s">
        <v>2275</v>
      </c>
      <c r="E952" t="s">
        <v>3270</v>
      </c>
      <c r="F952" s="452">
        <v>45992</v>
      </c>
      <c r="G952" s="452">
        <v>45992</v>
      </c>
      <c r="H952" s="452">
        <v>46027</v>
      </c>
      <c r="I952">
        <v>339.46</v>
      </c>
      <c r="J952">
        <v>397.5</v>
      </c>
      <c r="K952">
        <v>0</v>
      </c>
      <c r="L952">
        <v>339.46</v>
      </c>
      <c r="M952">
        <v>0</v>
      </c>
      <c r="N952">
        <v>0</v>
      </c>
      <c r="O952">
        <v>0</v>
      </c>
      <c r="P952">
        <v>0</v>
      </c>
      <c r="Q952" t="s">
        <v>460</v>
      </c>
    </row>
    <row r="953" spans="1:17" x14ac:dyDescent="0.3">
      <c r="A953">
        <v>186353</v>
      </c>
      <c r="B953">
        <v>116</v>
      </c>
      <c r="C953" t="s">
        <v>568</v>
      </c>
      <c r="D953" t="s">
        <v>2262</v>
      </c>
      <c r="E953" t="s">
        <v>3271</v>
      </c>
      <c r="F953" s="452">
        <v>46008</v>
      </c>
      <c r="G953" s="452">
        <v>46008</v>
      </c>
      <c r="H953" s="452">
        <v>46036</v>
      </c>
      <c r="I953">
        <v>248.94</v>
      </c>
      <c r="J953">
        <v>2246.1</v>
      </c>
      <c r="K953">
        <v>248.94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460</v>
      </c>
    </row>
    <row r="954" spans="1:17" x14ac:dyDescent="0.3">
      <c r="A954">
        <v>186352</v>
      </c>
      <c r="B954">
        <v>116</v>
      </c>
      <c r="C954" t="s">
        <v>568</v>
      </c>
      <c r="D954" t="s">
        <v>2262</v>
      </c>
      <c r="E954" t="s">
        <v>3272</v>
      </c>
      <c r="F954" s="452">
        <v>46007</v>
      </c>
      <c r="G954" s="452">
        <v>46007</v>
      </c>
      <c r="H954" s="452">
        <v>46035</v>
      </c>
      <c r="I954">
        <v>2106.66</v>
      </c>
      <c r="J954">
        <v>2246.1</v>
      </c>
      <c r="K954">
        <v>2106.66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460</v>
      </c>
    </row>
    <row r="955" spans="1:17" x14ac:dyDescent="0.3">
      <c r="A955">
        <v>186351</v>
      </c>
      <c r="B955">
        <v>116</v>
      </c>
      <c r="C955" t="s">
        <v>568</v>
      </c>
      <c r="D955" t="s">
        <v>2379</v>
      </c>
      <c r="E955" t="s">
        <v>3273</v>
      </c>
      <c r="F955" s="452">
        <v>46000</v>
      </c>
      <c r="G955" s="452">
        <v>46000</v>
      </c>
      <c r="H955" s="452">
        <v>46035</v>
      </c>
      <c r="I955">
        <v>2279.75</v>
      </c>
      <c r="J955">
        <v>2280</v>
      </c>
      <c r="K955">
        <v>0</v>
      </c>
      <c r="L955">
        <v>2279.75</v>
      </c>
      <c r="M955">
        <v>0</v>
      </c>
      <c r="N955">
        <v>0</v>
      </c>
      <c r="O955">
        <v>0</v>
      </c>
      <c r="P955">
        <v>0</v>
      </c>
      <c r="Q955" t="s">
        <v>460</v>
      </c>
    </row>
    <row r="956" spans="1:17" x14ac:dyDescent="0.3">
      <c r="A956">
        <v>186350</v>
      </c>
      <c r="B956">
        <v>116</v>
      </c>
      <c r="C956" t="s">
        <v>568</v>
      </c>
      <c r="D956" t="s">
        <v>2284</v>
      </c>
      <c r="E956" t="s">
        <v>3274</v>
      </c>
      <c r="F956" s="452">
        <v>46008</v>
      </c>
      <c r="G956" s="452">
        <v>46008</v>
      </c>
      <c r="H956" s="452">
        <v>46038</v>
      </c>
      <c r="I956">
        <v>1896.94</v>
      </c>
      <c r="J956">
        <v>1856.82</v>
      </c>
      <c r="K956">
        <v>1896.94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460</v>
      </c>
    </row>
    <row r="957" spans="1:17" x14ac:dyDescent="0.3">
      <c r="A957">
        <v>186349</v>
      </c>
      <c r="B957">
        <v>116</v>
      </c>
      <c r="C957" t="s">
        <v>568</v>
      </c>
      <c r="D957" t="s">
        <v>2275</v>
      </c>
      <c r="E957" t="s">
        <v>3275</v>
      </c>
      <c r="F957" s="452">
        <v>46006</v>
      </c>
      <c r="G957" s="452">
        <v>46006</v>
      </c>
      <c r="H957" s="452">
        <v>46042</v>
      </c>
      <c r="I957">
        <v>330</v>
      </c>
      <c r="J957">
        <v>330</v>
      </c>
      <c r="K957">
        <v>0</v>
      </c>
      <c r="L957">
        <v>330</v>
      </c>
      <c r="M957">
        <v>0</v>
      </c>
      <c r="N957">
        <v>0</v>
      </c>
      <c r="O957">
        <v>0</v>
      </c>
      <c r="P957">
        <v>0</v>
      </c>
      <c r="Q957" t="s">
        <v>460</v>
      </c>
    </row>
    <row r="958" spans="1:17" x14ac:dyDescent="0.3">
      <c r="A958">
        <v>186348</v>
      </c>
      <c r="B958">
        <v>116</v>
      </c>
      <c r="C958" t="s">
        <v>568</v>
      </c>
      <c r="D958" t="s">
        <v>2277</v>
      </c>
      <c r="E958" t="s">
        <v>3276</v>
      </c>
      <c r="F958" s="452">
        <v>46008</v>
      </c>
      <c r="G958" s="452">
        <v>46008</v>
      </c>
      <c r="H958" s="452">
        <v>46036</v>
      </c>
      <c r="I958">
        <v>1098.6600000000001</v>
      </c>
      <c r="J958">
        <v>1096.6600000000001</v>
      </c>
      <c r="K958">
        <v>1098.6600000000001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460</v>
      </c>
    </row>
    <row r="959" spans="1:17" x14ac:dyDescent="0.3">
      <c r="A959">
        <v>186347</v>
      </c>
      <c r="B959">
        <v>116</v>
      </c>
      <c r="C959" t="s">
        <v>568</v>
      </c>
      <c r="D959" t="s">
        <v>2314</v>
      </c>
      <c r="E959" t="s">
        <v>3277</v>
      </c>
      <c r="F959" s="452">
        <v>46008</v>
      </c>
      <c r="G959" s="452">
        <v>46008</v>
      </c>
      <c r="H959" s="452">
        <v>46041</v>
      </c>
      <c r="I959">
        <v>7548</v>
      </c>
      <c r="J959">
        <v>7927.96</v>
      </c>
      <c r="K959">
        <v>0</v>
      </c>
      <c r="L959">
        <v>7548</v>
      </c>
      <c r="M959">
        <v>0</v>
      </c>
      <c r="N959">
        <v>0</v>
      </c>
      <c r="O959">
        <v>0</v>
      </c>
      <c r="P959">
        <v>0</v>
      </c>
      <c r="Q959" t="s">
        <v>460</v>
      </c>
    </row>
    <row r="960" spans="1:17" x14ac:dyDescent="0.3">
      <c r="A960">
        <v>186346</v>
      </c>
      <c r="B960">
        <v>116</v>
      </c>
      <c r="C960" t="s">
        <v>568</v>
      </c>
      <c r="D960" t="s">
        <v>2314</v>
      </c>
      <c r="E960" t="s">
        <v>3278</v>
      </c>
      <c r="F960" s="452">
        <v>46007</v>
      </c>
      <c r="G960" s="452">
        <v>46007</v>
      </c>
      <c r="H960" s="452">
        <v>46038</v>
      </c>
      <c r="I960">
        <v>379.59</v>
      </c>
      <c r="J960">
        <v>7927.96</v>
      </c>
      <c r="K960">
        <v>0</v>
      </c>
      <c r="L960">
        <v>379.59</v>
      </c>
      <c r="M960">
        <v>0</v>
      </c>
      <c r="N960">
        <v>0</v>
      </c>
      <c r="O960">
        <v>0</v>
      </c>
      <c r="P960">
        <v>0</v>
      </c>
      <c r="Q960" t="s">
        <v>460</v>
      </c>
    </row>
    <row r="961" spans="1:17" x14ac:dyDescent="0.3">
      <c r="A961">
        <v>186345</v>
      </c>
      <c r="B961">
        <v>116</v>
      </c>
      <c r="C961" t="s">
        <v>568</v>
      </c>
      <c r="D961" t="s">
        <v>2314</v>
      </c>
      <c r="E961" t="s">
        <v>3279</v>
      </c>
      <c r="F961" s="452">
        <v>46007</v>
      </c>
      <c r="G961" s="452">
        <v>46007</v>
      </c>
      <c r="H961" s="452">
        <v>46038</v>
      </c>
      <c r="I961">
        <v>2896.77</v>
      </c>
      <c r="J961">
        <v>2896.8</v>
      </c>
      <c r="K961">
        <v>0</v>
      </c>
      <c r="L961">
        <v>2896.77</v>
      </c>
      <c r="M961">
        <v>0</v>
      </c>
      <c r="N961">
        <v>0</v>
      </c>
      <c r="O961">
        <v>0</v>
      </c>
      <c r="P961">
        <v>0</v>
      </c>
      <c r="Q961" t="s">
        <v>460</v>
      </c>
    </row>
    <row r="962" spans="1:17" x14ac:dyDescent="0.3">
      <c r="A962">
        <v>186344</v>
      </c>
      <c r="B962">
        <v>116</v>
      </c>
      <c r="C962" t="s">
        <v>568</v>
      </c>
      <c r="D962" t="s">
        <v>3179</v>
      </c>
      <c r="E962" t="s">
        <v>3280</v>
      </c>
      <c r="F962" s="452">
        <v>46006</v>
      </c>
      <c r="G962" s="452">
        <v>46006</v>
      </c>
      <c r="H962" s="452">
        <v>46034</v>
      </c>
      <c r="I962">
        <v>134.88999999999999</v>
      </c>
      <c r="J962">
        <v>134.88999999999999</v>
      </c>
      <c r="K962">
        <v>134.88999999999999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460</v>
      </c>
    </row>
    <row r="963" spans="1:17" x14ac:dyDescent="0.3">
      <c r="A963">
        <v>186343</v>
      </c>
      <c r="B963">
        <v>116</v>
      </c>
      <c r="C963" t="s">
        <v>568</v>
      </c>
      <c r="D963" t="s">
        <v>2310</v>
      </c>
      <c r="E963" t="s">
        <v>3281</v>
      </c>
      <c r="F963" s="452">
        <v>46000</v>
      </c>
      <c r="G963" s="452">
        <v>46000</v>
      </c>
      <c r="H963" s="452">
        <v>46034</v>
      </c>
      <c r="I963">
        <v>163.4</v>
      </c>
      <c r="J963">
        <v>163.4</v>
      </c>
      <c r="K963">
        <v>163.4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460</v>
      </c>
    </row>
    <row r="964" spans="1:17" x14ac:dyDescent="0.3">
      <c r="A964">
        <v>186342</v>
      </c>
      <c r="B964">
        <v>116</v>
      </c>
      <c r="C964" t="s">
        <v>568</v>
      </c>
      <c r="D964" t="s">
        <v>2310</v>
      </c>
      <c r="E964" t="s">
        <v>3282</v>
      </c>
      <c r="F964" s="452">
        <v>46000</v>
      </c>
      <c r="H964" s="452">
        <v>46034</v>
      </c>
      <c r="I964">
        <v>77.819999999999993</v>
      </c>
      <c r="J964">
        <v>77.819999999999993</v>
      </c>
      <c r="K964">
        <v>0</v>
      </c>
      <c r="L964">
        <v>0</v>
      </c>
      <c r="M964">
        <v>77.819999999999993</v>
      </c>
      <c r="N964">
        <v>0</v>
      </c>
      <c r="O964">
        <v>0</v>
      </c>
      <c r="P964">
        <v>0</v>
      </c>
      <c r="Q964" t="s">
        <v>460</v>
      </c>
    </row>
    <row r="965" spans="1:17" x14ac:dyDescent="0.3">
      <c r="A965">
        <v>186341</v>
      </c>
      <c r="B965">
        <v>116</v>
      </c>
      <c r="C965" t="s">
        <v>568</v>
      </c>
      <c r="D965" t="s">
        <v>2314</v>
      </c>
      <c r="E965" t="s">
        <v>3283</v>
      </c>
      <c r="F965" s="452">
        <v>46002</v>
      </c>
      <c r="G965" s="452">
        <v>46002</v>
      </c>
      <c r="H965" s="452">
        <v>46034</v>
      </c>
      <c r="I965">
        <v>132.07</v>
      </c>
      <c r="J965">
        <v>3994.47</v>
      </c>
      <c r="K965">
        <v>0</v>
      </c>
      <c r="L965">
        <v>132.07</v>
      </c>
      <c r="M965">
        <v>0</v>
      </c>
      <c r="N965">
        <v>0</v>
      </c>
      <c r="O965">
        <v>0</v>
      </c>
      <c r="P965">
        <v>0</v>
      </c>
      <c r="Q965" t="s">
        <v>460</v>
      </c>
    </row>
    <row r="966" spans="1:17" x14ac:dyDescent="0.3">
      <c r="A966">
        <v>186340</v>
      </c>
      <c r="B966">
        <v>116</v>
      </c>
      <c r="C966" t="s">
        <v>568</v>
      </c>
      <c r="D966" t="s">
        <v>2314</v>
      </c>
      <c r="E966" t="s">
        <v>3284</v>
      </c>
      <c r="F966" s="452">
        <v>46002</v>
      </c>
      <c r="G966" s="452">
        <v>46002</v>
      </c>
      <c r="H966" s="452">
        <v>46034</v>
      </c>
      <c r="I966">
        <v>3862.36</v>
      </c>
      <c r="J966">
        <v>3994.47</v>
      </c>
      <c r="K966">
        <v>0</v>
      </c>
      <c r="L966">
        <v>3862.36</v>
      </c>
      <c r="M966">
        <v>0</v>
      </c>
      <c r="N966">
        <v>0</v>
      </c>
      <c r="O966">
        <v>0</v>
      </c>
      <c r="P966">
        <v>0</v>
      </c>
      <c r="Q966" t="s">
        <v>460</v>
      </c>
    </row>
    <row r="967" spans="1:17" x14ac:dyDescent="0.3">
      <c r="A967">
        <v>186339</v>
      </c>
      <c r="B967">
        <v>116</v>
      </c>
      <c r="C967" t="s">
        <v>568</v>
      </c>
      <c r="D967" t="s">
        <v>3285</v>
      </c>
      <c r="E967" t="s">
        <v>3286</v>
      </c>
      <c r="F967" s="452">
        <v>45996</v>
      </c>
      <c r="H967" s="452">
        <v>45996</v>
      </c>
      <c r="I967">
        <v>1395</v>
      </c>
      <c r="J967">
        <v>1365</v>
      </c>
      <c r="K967">
        <v>0</v>
      </c>
      <c r="L967">
        <v>0</v>
      </c>
      <c r="M967">
        <v>0</v>
      </c>
      <c r="N967">
        <v>0</v>
      </c>
      <c r="O967">
        <v>1395</v>
      </c>
      <c r="P967">
        <v>0</v>
      </c>
      <c r="Q967" t="s">
        <v>460</v>
      </c>
    </row>
    <row r="968" spans="1:17" x14ac:dyDescent="0.3">
      <c r="A968">
        <v>186338</v>
      </c>
      <c r="B968">
        <v>116</v>
      </c>
      <c r="C968" t="s">
        <v>568</v>
      </c>
      <c r="D968" t="s">
        <v>2262</v>
      </c>
      <c r="E968" t="s">
        <v>3287</v>
      </c>
      <c r="F968" s="452">
        <v>46000</v>
      </c>
      <c r="G968" s="452">
        <v>46000</v>
      </c>
      <c r="H968" s="452">
        <v>46028</v>
      </c>
      <c r="I968">
        <v>3858.61</v>
      </c>
      <c r="J968">
        <v>3858.61</v>
      </c>
      <c r="K968">
        <v>3858.61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460</v>
      </c>
    </row>
    <row r="969" spans="1:17" x14ac:dyDescent="0.3">
      <c r="A969">
        <v>186337</v>
      </c>
      <c r="B969">
        <v>116</v>
      </c>
      <c r="C969" t="s">
        <v>568</v>
      </c>
      <c r="D969" t="s">
        <v>2265</v>
      </c>
      <c r="E969" t="s">
        <v>3288</v>
      </c>
      <c r="F969" s="452">
        <v>46008</v>
      </c>
      <c r="H969" s="452">
        <v>46027</v>
      </c>
      <c r="I969">
        <v>882.26</v>
      </c>
      <c r="J969">
        <v>882.26</v>
      </c>
      <c r="K969">
        <v>0</v>
      </c>
      <c r="L969">
        <v>0</v>
      </c>
      <c r="M969">
        <v>857.26</v>
      </c>
      <c r="N969">
        <v>0</v>
      </c>
      <c r="O969">
        <v>25</v>
      </c>
      <c r="P969">
        <v>0</v>
      </c>
      <c r="Q969" t="s">
        <v>460</v>
      </c>
    </row>
    <row r="970" spans="1:17" x14ac:dyDescent="0.3">
      <c r="A970">
        <v>186336</v>
      </c>
      <c r="B970">
        <v>116</v>
      </c>
      <c r="C970" t="s">
        <v>568</v>
      </c>
      <c r="D970" t="s">
        <v>2267</v>
      </c>
      <c r="E970" t="s">
        <v>3289</v>
      </c>
      <c r="F970" s="452">
        <v>46008</v>
      </c>
      <c r="G970" s="452">
        <v>46008</v>
      </c>
      <c r="H970" s="452">
        <v>46031</v>
      </c>
      <c r="I970">
        <v>948</v>
      </c>
      <c r="J970">
        <v>948.02</v>
      </c>
      <c r="K970">
        <v>948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460</v>
      </c>
    </row>
    <row r="971" spans="1:17" x14ac:dyDescent="0.3">
      <c r="A971">
        <v>186335</v>
      </c>
      <c r="B971">
        <v>116</v>
      </c>
      <c r="C971" t="s">
        <v>568</v>
      </c>
      <c r="D971" t="s">
        <v>2260</v>
      </c>
      <c r="E971" t="s">
        <v>3290</v>
      </c>
      <c r="F971" s="452">
        <v>46007</v>
      </c>
      <c r="G971" s="452">
        <v>46007</v>
      </c>
      <c r="H971" s="452">
        <v>46028</v>
      </c>
      <c r="I971">
        <v>3328.37</v>
      </c>
      <c r="J971">
        <v>3318.37</v>
      </c>
      <c r="K971">
        <v>3328.37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460</v>
      </c>
    </row>
    <row r="972" spans="1:17" x14ac:dyDescent="0.3">
      <c r="A972">
        <v>186334</v>
      </c>
      <c r="B972">
        <v>116</v>
      </c>
      <c r="C972" t="s">
        <v>568</v>
      </c>
      <c r="D972" t="s">
        <v>3179</v>
      </c>
      <c r="E972" t="s">
        <v>3291</v>
      </c>
      <c r="F972" s="452">
        <v>46002</v>
      </c>
      <c r="G972" s="452">
        <v>46002</v>
      </c>
      <c r="H972" s="452">
        <v>46030</v>
      </c>
      <c r="I972">
        <v>203.85</v>
      </c>
      <c r="J972">
        <v>203.85</v>
      </c>
      <c r="K972">
        <v>203.85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460</v>
      </c>
    </row>
    <row r="973" spans="1:17" x14ac:dyDescent="0.3">
      <c r="A973">
        <v>186333</v>
      </c>
      <c r="B973">
        <v>116</v>
      </c>
      <c r="C973" t="s">
        <v>568</v>
      </c>
      <c r="D973" t="s">
        <v>3179</v>
      </c>
      <c r="E973" t="s">
        <v>3292</v>
      </c>
      <c r="F973" s="452">
        <v>45999</v>
      </c>
      <c r="G973" s="452">
        <v>45999</v>
      </c>
      <c r="H973" s="452">
        <v>46027</v>
      </c>
      <c r="I973">
        <v>193.57</v>
      </c>
      <c r="J973">
        <v>193.57</v>
      </c>
      <c r="K973">
        <v>193.57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460</v>
      </c>
    </row>
    <row r="974" spans="1:17" x14ac:dyDescent="0.3">
      <c r="A974">
        <v>186332</v>
      </c>
      <c r="B974">
        <v>116</v>
      </c>
      <c r="C974" t="s">
        <v>568</v>
      </c>
      <c r="D974" t="s">
        <v>2342</v>
      </c>
      <c r="E974" t="s">
        <v>3293</v>
      </c>
      <c r="F974" s="452">
        <v>46007</v>
      </c>
      <c r="G974" s="452">
        <v>46007</v>
      </c>
      <c r="H974" s="452">
        <v>46028</v>
      </c>
      <c r="I974">
        <v>275</v>
      </c>
      <c r="J974">
        <v>240</v>
      </c>
      <c r="K974">
        <v>275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460</v>
      </c>
    </row>
    <row r="975" spans="1:17" x14ac:dyDescent="0.3">
      <c r="A975">
        <v>186331</v>
      </c>
      <c r="B975">
        <v>116</v>
      </c>
      <c r="C975" t="s">
        <v>568</v>
      </c>
      <c r="D975" t="s">
        <v>2271</v>
      </c>
      <c r="E975" t="s">
        <v>3294</v>
      </c>
      <c r="F975" s="452">
        <v>46000</v>
      </c>
      <c r="G975" s="452">
        <v>46000</v>
      </c>
      <c r="H975" s="452">
        <v>46028</v>
      </c>
      <c r="I975">
        <v>386</v>
      </c>
      <c r="J975">
        <v>386</v>
      </c>
      <c r="K975">
        <v>0</v>
      </c>
      <c r="L975">
        <v>386</v>
      </c>
      <c r="M975">
        <v>0</v>
      </c>
      <c r="N975">
        <v>0</v>
      </c>
      <c r="O975">
        <v>0</v>
      </c>
      <c r="P975">
        <v>0</v>
      </c>
      <c r="Q975" t="s">
        <v>460</v>
      </c>
    </row>
    <row r="976" spans="1:17" x14ac:dyDescent="0.3">
      <c r="A976">
        <v>186330</v>
      </c>
      <c r="B976">
        <v>116</v>
      </c>
      <c r="C976" t="s">
        <v>568</v>
      </c>
      <c r="D976" t="s">
        <v>2332</v>
      </c>
      <c r="E976" t="s">
        <v>3295</v>
      </c>
      <c r="F976" s="452">
        <v>46007</v>
      </c>
      <c r="G976" s="452">
        <v>46007</v>
      </c>
      <c r="H976" s="452">
        <v>46029</v>
      </c>
      <c r="I976">
        <v>74</v>
      </c>
      <c r="J976">
        <v>74</v>
      </c>
      <c r="K976">
        <v>0</v>
      </c>
      <c r="L976">
        <v>74</v>
      </c>
      <c r="M976">
        <v>0</v>
      </c>
      <c r="N976">
        <v>0</v>
      </c>
      <c r="O976">
        <v>0</v>
      </c>
      <c r="P976">
        <v>0</v>
      </c>
      <c r="Q976" t="s">
        <v>460</v>
      </c>
    </row>
    <row r="977" spans="1:17" x14ac:dyDescent="0.3">
      <c r="A977">
        <v>186329</v>
      </c>
      <c r="B977">
        <v>116</v>
      </c>
      <c r="C977" t="s">
        <v>568</v>
      </c>
      <c r="D977" t="s">
        <v>2284</v>
      </c>
      <c r="E977" t="s">
        <v>3296</v>
      </c>
      <c r="F977" s="452">
        <v>46001</v>
      </c>
      <c r="G977" s="452">
        <v>46001</v>
      </c>
      <c r="H977" s="452">
        <v>46031</v>
      </c>
      <c r="I977">
        <v>1439.62</v>
      </c>
      <c r="J977">
        <v>1439.62</v>
      </c>
      <c r="K977">
        <v>1439.62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460</v>
      </c>
    </row>
    <row r="978" spans="1:17" x14ac:dyDescent="0.3">
      <c r="A978">
        <v>186328</v>
      </c>
      <c r="B978">
        <v>116</v>
      </c>
      <c r="C978" t="s">
        <v>568</v>
      </c>
      <c r="D978" t="s">
        <v>2273</v>
      </c>
      <c r="E978" t="s">
        <v>3297</v>
      </c>
      <c r="F978" s="452">
        <v>46003</v>
      </c>
      <c r="G978" s="452">
        <v>46003</v>
      </c>
      <c r="H978" s="452">
        <v>46030</v>
      </c>
      <c r="I978">
        <v>198.4</v>
      </c>
      <c r="J978">
        <v>198.39</v>
      </c>
      <c r="K978">
        <v>198.4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460</v>
      </c>
    </row>
    <row r="979" spans="1:17" x14ac:dyDescent="0.3">
      <c r="A979">
        <v>186327</v>
      </c>
      <c r="B979">
        <v>116</v>
      </c>
      <c r="C979" t="s">
        <v>568</v>
      </c>
      <c r="D979" t="s">
        <v>2273</v>
      </c>
      <c r="E979" t="s">
        <v>3298</v>
      </c>
      <c r="F979" s="452">
        <v>45999</v>
      </c>
      <c r="G979" s="452">
        <v>45999</v>
      </c>
      <c r="H979" s="452">
        <v>46027</v>
      </c>
      <c r="I979">
        <v>137.80000000000001</v>
      </c>
      <c r="J979">
        <v>137.80000000000001</v>
      </c>
      <c r="K979">
        <v>137.80000000000001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460</v>
      </c>
    </row>
    <row r="980" spans="1:17" x14ac:dyDescent="0.3">
      <c r="A980">
        <v>186326</v>
      </c>
      <c r="B980">
        <v>116</v>
      </c>
      <c r="C980" t="s">
        <v>568</v>
      </c>
      <c r="D980" t="s">
        <v>2275</v>
      </c>
      <c r="E980" t="s">
        <v>3299</v>
      </c>
      <c r="F980" s="452">
        <v>45995</v>
      </c>
      <c r="G980" s="452">
        <v>45995</v>
      </c>
      <c r="H980" s="452">
        <v>46031</v>
      </c>
      <c r="I980">
        <v>403.5</v>
      </c>
      <c r="J980">
        <v>403.5</v>
      </c>
      <c r="K980">
        <v>0</v>
      </c>
      <c r="L980">
        <v>403.5</v>
      </c>
      <c r="M980">
        <v>0</v>
      </c>
      <c r="N980">
        <v>0</v>
      </c>
      <c r="O980">
        <v>0</v>
      </c>
      <c r="P980">
        <v>0</v>
      </c>
      <c r="Q980" t="s">
        <v>460</v>
      </c>
    </row>
    <row r="981" spans="1:17" x14ac:dyDescent="0.3">
      <c r="A981">
        <v>186325</v>
      </c>
      <c r="B981">
        <v>116</v>
      </c>
      <c r="C981" t="s">
        <v>568</v>
      </c>
      <c r="D981" t="s">
        <v>2277</v>
      </c>
      <c r="E981" t="s">
        <v>3300</v>
      </c>
      <c r="F981" s="452">
        <v>46001</v>
      </c>
      <c r="G981" s="452">
        <v>46001</v>
      </c>
      <c r="H981" s="452">
        <v>46029</v>
      </c>
      <c r="I981">
        <v>1621.63</v>
      </c>
      <c r="J981">
        <v>1619.6</v>
      </c>
      <c r="K981">
        <v>1621.63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460</v>
      </c>
    </row>
    <row r="982" spans="1:17" x14ac:dyDescent="0.3">
      <c r="A982">
        <v>186324</v>
      </c>
      <c r="B982">
        <v>116</v>
      </c>
      <c r="C982" t="s">
        <v>568</v>
      </c>
      <c r="D982" t="s">
        <v>2429</v>
      </c>
      <c r="E982" t="s">
        <v>3301</v>
      </c>
      <c r="F982" s="452">
        <v>46008</v>
      </c>
      <c r="G982" s="452">
        <v>46008</v>
      </c>
      <c r="H982" s="452">
        <v>46029</v>
      </c>
      <c r="I982">
        <v>232.3</v>
      </c>
      <c r="J982">
        <v>341.5</v>
      </c>
      <c r="K982">
        <v>232.3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460</v>
      </c>
    </row>
    <row r="983" spans="1:17" x14ac:dyDescent="0.3">
      <c r="A983">
        <v>186323</v>
      </c>
      <c r="B983">
        <v>116</v>
      </c>
      <c r="C983" t="s">
        <v>568</v>
      </c>
      <c r="D983" t="s">
        <v>2410</v>
      </c>
      <c r="E983" t="s">
        <v>3302</v>
      </c>
      <c r="F983" s="452">
        <v>46000</v>
      </c>
      <c r="G983" s="452">
        <v>46000</v>
      </c>
      <c r="H983" s="452">
        <v>46028</v>
      </c>
      <c r="I983">
        <v>674.4</v>
      </c>
      <c r="J983">
        <v>674.4</v>
      </c>
      <c r="K983">
        <v>0</v>
      </c>
      <c r="L983">
        <v>674.4</v>
      </c>
      <c r="M983">
        <v>0</v>
      </c>
      <c r="N983">
        <v>0</v>
      </c>
      <c r="O983">
        <v>0</v>
      </c>
      <c r="P983">
        <v>0</v>
      </c>
      <c r="Q983" t="s">
        <v>460</v>
      </c>
    </row>
    <row r="984" spans="1:17" x14ac:dyDescent="0.3">
      <c r="A984">
        <v>186322</v>
      </c>
      <c r="B984">
        <v>116</v>
      </c>
      <c r="C984" t="s">
        <v>568</v>
      </c>
      <c r="D984" t="s">
        <v>2308</v>
      </c>
      <c r="E984" t="s">
        <v>3303</v>
      </c>
      <c r="F984" s="452">
        <v>46001</v>
      </c>
      <c r="G984" s="452">
        <v>46001</v>
      </c>
      <c r="H984" s="452">
        <v>46029</v>
      </c>
      <c r="I984">
        <v>965.96</v>
      </c>
      <c r="J984">
        <v>965.96</v>
      </c>
      <c r="K984">
        <v>965.96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460</v>
      </c>
    </row>
    <row r="985" spans="1:17" x14ac:dyDescent="0.3">
      <c r="A985">
        <v>186321</v>
      </c>
      <c r="B985">
        <v>116</v>
      </c>
      <c r="C985" t="s">
        <v>568</v>
      </c>
      <c r="D985" t="s">
        <v>2314</v>
      </c>
      <c r="E985" t="s">
        <v>3304</v>
      </c>
      <c r="F985" s="452">
        <v>46000</v>
      </c>
      <c r="G985" s="452">
        <v>46000</v>
      </c>
      <c r="H985" s="452">
        <v>46031</v>
      </c>
      <c r="I985">
        <v>4323.84</v>
      </c>
      <c r="J985">
        <v>4323.87</v>
      </c>
      <c r="K985">
        <v>0</v>
      </c>
      <c r="L985">
        <v>4323.84</v>
      </c>
      <c r="M985">
        <v>0</v>
      </c>
      <c r="N985">
        <v>0</v>
      </c>
      <c r="O985">
        <v>0</v>
      </c>
      <c r="P985">
        <v>0</v>
      </c>
      <c r="Q985" t="s">
        <v>460</v>
      </c>
    </row>
    <row r="986" spans="1:17" x14ac:dyDescent="0.3">
      <c r="A986">
        <v>186320</v>
      </c>
      <c r="B986">
        <v>116</v>
      </c>
      <c r="C986" t="s">
        <v>568</v>
      </c>
      <c r="D986" t="s">
        <v>2314</v>
      </c>
      <c r="E986" t="s">
        <v>3305</v>
      </c>
      <c r="F986" s="452">
        <v>45999</v>
      </c>
      <c r="G986" s="452">
        <v>45999</v>
      </c>
      <c r="H986" s="452">
        <v>46030</v>
      </c>
      <c r="I986">
        <v>4976.74</v>
      </c>
      <c r="J986">
        <v>4976.78</v>
      </c>
      <c r="K986">
        <v>0</v>
      </c>
      <c r="L986">
        <v>4976.74</v>
      </c>
      <c r="M986">
        <v>0</v>
      </c>
      <c r="N986">
        <v>0</v>
      </c>
      <c r="O986">
        <v>0</v>
      </c>
      <c r="P986">
        <v>0</v>
      </c>
      <c r="Q986" t="s">
        <v>460</v>
      </c>
    </row>
    <row r="987" spans="1:17" x14ac:dyDescent="0.3">
      <c r="A987">
        <v>186071</v>
      </c>
      <c r="B987">
        <v>116</v>
      </c>
      <c r="C987" t="s">
        <v>568</v>
      </c>
      <c r="D987" t="s">
        <v>2262</v>
      </c>
      <c r="E987" t="s">
        <v>3306</v>
      </c>
      <c r="F987" s="452">
        <v>45992</v>
      </c>
      <c r="G987" s="452">
        <v>45992</v>
      </c>
      <c r="H987" s="452">
        <v>46027</v>
      </c>
      <c r="I987">
        <v>2158.98</v>
      </c>
      <c r="J987">
        <v>2158.98</v>
      </c>
      <c r="K987">
        <v>2158.98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460</v>
      </c>
    </row>
    <row r="988" spans="1:17" x14ac:dyDescent="0.3">
      <c r="A988">
        <v>185929</v>
      </c>
      <c r="B988">
        <v>116</v>
      </c>
      <c r="C988" t="s">
        <v>568</v>
      </c>
      <c r="D988" t="s">
        <v>2286</v>
      </c>
      <c r="E988" t="s">
        <v>3307</v>
      </c>
      <c r="F988" s="452">
        <v>46007</v>
      </c>
      <c r="G988" s="452">
        <v>46007</v>
      </c>
      <c r="H988" s="452">
        <v>46021</v>
      </c>
      <c r="I988">
        <v>37.5</v>
      </c>
      <c r="J988">
        <v>37.5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460</v>
      </c>
    </row>
    <row r="989" spans="1:17" x14ac:dyDescent="0.3">
      <c r="A989">
        <v>185927</v>
      </c>
      <c r="B989">
        <v>116</v>
      </c>
      <c r="C989" t="s">
        <v>568</v>
      </c>
      <c r="D989" t="s">
        <v>2323</v>
      </c>
      <c r="E989" t="s">
        <v>3308</v>
      </c>
      <c r="F989" s="452">
        <v>46007</v>
      </c>
      <c r="G989" s="452">
        <v>46007</v>
      </c>
      <c r="H989" s="452">
        <v>46020</v>
      </c>
      <c r="I989">
        <v>541.71</v>
      </c>
      <c r="J989">
        <v>541.71</v>
      </c>
      <c r="K989">
        <v>541.71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460</v>
      </c>
    </row>
    <row r="990" spans="1:17" x14ac:dyDescent="0.3">
      <c r="A990">
        <v>185926</v>
      </c>
      <c r="B990">
        <v>116</v>
      </c>
      <c r="C990" t="s">
        <v>568</v>
      </c>
      <c r="D990" t="s">
        <v>2260</v>
      </c>
      <c r="E990" t="s">
        <v>3309</v>
      </c>
      <c r="F990" s="452">
        <v>46009</v>
      </c>
      <c r="G990" s="452">
        <v>46009</v>
      </c>
      <c r="H990" s="452">
        <v>46023</v>
      </c>
      <c r="I990">
        <v>1236.0999999999999</v>
      </c>
      <c r="J990">
        <v>823.2</v>
      </c>
      <c r="K990">
        <v>1236.0999999999999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460</v>
      </c>
    </row>
    <row r="991" spans="1:17" x14ac:dyDescent="0.3">
      <c r="A991">
        <v>185925</v>
      </c>
      <c r="B991">
        <v>116</v>
      </c>
      <c r="C991" t="s">
        <v>568</v>
      </c>
      <c r="D991" t="s">
        <v>3053</v>
      </c>
      <c r="E991" t="s">
        <v>3310</v>
      </c>
      <c r="F991" s="452">
        <v>46009</v>
      </c>
      <c r="G991" s="452">
        <v>46009</v>
      </c>
      <c r="H991" s="452">
        <v>46019</v>
      </c>
      <c r="I991">
        <v>167.7</v>
      </c>
      <c r="J991">
        <v>167.7</v>
      </c>
      <c r="K991">
        <v>167.7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460</v>
      </c>
    </row>
    <row r="992" spans="1:17" x14ac:dyDescent="0.3">
      <c r="A992">
        <v>185924</v>
      </c>
      <c r="B992">
        <v>116</v>
      </c>
      <c r="C992" t="s">
        <v>568</v>
      </c>
      <c r="D992" t="s">
        <v>2286</v>
      </c>
      <c r="E992" t="s">
        <v>3311</v>
      </c>
      <c r="F992" s="452">
        <v>46006</v>
      </c>
      <c r="G992" s="452">
        <v>46006</v>
      </c>
      <c r="H992" s="452">
        <v>46020</v>
      </c>
      <c r="I992">
        <v>385.9</v>
      </c>
      <c r="J992">
        <v>604.54</v>
      </c>
      <c r="K992">
        <v>385.9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460</v>
      </c>
    </row>
    <row r="993" spans="1:17" x14ac:dyDescent="0.3">
      <c r="A993">
        <v>184567</v>
      </c>
      <c r="B993">
        <v>116</v>
      </c>
      <c r="C993" t="s">
        <v>568</v>
      </c>
      <c r="D993" t="s">
        <v>2286</v>
      </c>
      <c r="E993" t="s">
        <v>3312</v>
      </c>
      <c r="F993" s="452">
        <v>45992</v>
      </c>
      <c r="G993" s="452">
        <v>45992</v>
      </c>
      <c r="H993" s="452">
        <v>46014</v>
      </c>
      <c r="I993">
        <v>323.14</v>
      </c>
      <c r="J993">
        <v>385.9</v>
      </c>
      <c r="K993">
        <v>323.14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460</v>
      </c>
    </row>
    <row r="994" spans="1:17" x14ac:dyDescent="0.3">
      <c r="A994">
        <v>184498</v>
      </c>
      <c r="B994">
        <v>116</v>
      </c>
      <c r="C994" t="s">
        <v>568</v>
      </c>
      <c r="D994" t="s">
        <v>2265</v>
      </c>
      <c r="E994" t="s">
        <v>3313</v>
      </c>
      <c r="F994" s="452">
        <v>46001</v>
      </c>
      <c r="H994" s="452">
        <v>46015</v>
      </c>
      <c r="I994">
        <v>680.78</v>
      </c>
      <c r="J994">
        <v>680.78</v>
      </c>
      <c r="K994">
        <v>0</v>
      </c>
      <c r="L994">
        <v>0</v>
      </c>
      <c r="M994">
        <v>680.78</v>
      </c>
      <c r="N994">
        <v>0</v>
      </c>
      <c r="O994">
        <v>0</v>
      </c>
      <c r="P994">
        <v>0</v>
      </c>
      <c r="Q994" t="s">
        <v>460</v>
      </c>
    </row>
    <row r="995" spans="1:17" x14ac:dyDescent="0.3">
      <c r="A995">
        <v>184493</v>
      </c>
      <c r="B995">
        <v>116</v>
      </c>
      <c r="C995" t="s">
        <v>568</v>
      </c>
      <c r="D995" t="s">
        <v>2267</v>
      </c>
      <c r="E995" t="s">
        <v>3314</v>
      </c>
      <c r="F995" s="452">
        <v>46000</v>
      </c>
      <c r="G995" s="452">
        <v>46000</v>
      </c>
      <c r="H995" s="452">
        <v>46025</v>
      </c>
      <c r="I995">
        <v>773.67</v>
      </c>
      <c r="J995">
        <v>773.67</v>
      </c>
      <c r="K995">
        <v>773.67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460</v>
      </c>
    </row>
    <row r="996" spans="1:17" x14ac:dyDescent="0.3">
      <c r="A996">
        <v>184492</v>
      </c>
      <c r="B996">
        <v>116</v>
      </c>
      <c r="C996" t="s">
        <v>568</v>
      </c>
      <c r="D996" t="s">
        <v>2260</v>
      </c>
      <c r="E996" t="s">
        <v>3315</v>
      </c>
      <c r="F996" s="452">
        <v>46000</v>
      </c>
      <c r="G996" s="452">
        <v>46000</v>
      </c>
      <c r="H996" s="452">
        <v>46021</v>
      </c>
      <c r="I996">
        <v>2654.2</v>
      </c>
      <c r="J996">
        <v>2644.2</v>
      </c>
      <c r="K996">
        <v>2654.2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460</v>
      </c>
    </row>
    <row r="997" spans="1:17" x14ac:dyDescent="0.3">
      <c r="A997">
        <v>184489</v>
      </c>
      <c r="B997">
        <v>116</v>
      </c>
      <c r="C997" t="s">
        <v>568</v>
      </c>
      <c r="D997" t="s">
        <v>2357</v>
      </c>
      <c r="E997" t="s">
        <v>3316</v>
      </c>
      <c r="F997" s="452">
        <v>46000</v>
      </c>
      <c r="G997" s="452">
        <v>46000</v>
      </c>
      <c r="H997" s="452">
        <v>46014</v>
      </c>
      <c r="I997">
        <v>332.7</v>
      </c>
      <c r="J997">
        <v>332.7</v>
      </c>
      <c r="K997">
        <v>332.7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460</v>
      </c>
    </row>
    <row r="998" spans="1:17" x14ac:dyDescent="0.3">
      <c r="A998">
        <v>184486</v>
      </c>
      <c r="B998">
        <v>116</v>
      </c>
      <c r="C998" t="s">
        <v>568</v>
      </c>
      <c r="D998" t="s">
        <v>2463</v>
      </c>
      <c r="E998" t="s">
        <v>3317</v>
      </c>
      <c r="F998" s="452">
        <v>45993</v>
      </c>
      <c r="G998" s="452">
        <v>45993</v>
      </c>
      <c r="H998" s="452">
        <v>46013</v>
      </c>
      <c r="I998">
        <v>1336.94</v>
      </c>
      <c r="J998">
        <v>1330.41</v>
      </c>
      <c r="K998">
        <v>1336.94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460</v>
      </c>
    </row>
    <row r="999" spans="1:17" x14ac:dyDescent="0.3">
      <c r="A999">
        <v>184485</v>
      </c>
      <c r="B999">
        <v>116</v>
      </c>
      <c r="C999" t="s">
        <v>568</v>
      </c>
      <c r="D999" t="s">
        <v>2332</v>
      </c>
      <c r="E999" t="s">
        <v>3318</v>
      </c>
      <c r="F999" s="452">
        <v>46000</v>
      </c>
      <c r="G999" s="452">
        <v>46000</v>
      </c>
      <c r="H999" s="452">
        <v>46022</v>
      </c>
      <c r="I999">
        <v>150.16</v>
      </c>
      <c r="J999">
        <v>150.16</v>
      </c>
      <c r="K999">
        <v>0</v>
      </c>
      <c r="L999">
        <v>150.16</v>
      </c>
      <c r="M999">
        <v>0</v>
      </c>
      <c r="N999">
        <v>0</v>
      </c>
      <c r="O999">
        <v>0</v>
      </c>
      <c r="P999">
        <v>0</v>
      </c>
      <c r="Q999" t="s">
        <v>460</v>
      </c>
    </row>
    <row r="1000" spans="1:17" x14ac:dyDescent="0.3">
      <c r="A1000">
        <v>184484</v>
      </c>
      <c r="B1000">
        <v>116</v>
      </c>
      <c r="C1000" t="s">
        <v>568</v>
      </c>
      <c r="D1000" t="s">
        <v>2332</v>
      </c>
      <c r="E1000" t="s">
        <v>3319</v>
      </c>
      <c r="F1000" s="452">
        <v>45994</v>
      </c>
      <c r="G1000" s="452">
        <v>45994</v>
      </c>
      <c r="H1000" s="452">
        <v>46015</v>
      </c>
      <c r="I1000">
        <v>251.41</v>
      </c>
      <c r="J1000">
        <v>251.41</v>
      </c>
      <c r="K1000">
        <v>0</v>
      </c>
      <c r="L1000">
        <v>251.41</v>
      </c>
      <c r="M1000">
        <v>0</v>
      </c>
      <c r="N1000">
        <v>0</v>
      </c>
      <c r="O1000">
        <v>0</v>
      </c>
      <c r="P1000">
        <v>0</v>
      </c>
      <c r="Q1000" t="s">
        <v>460</v>
      </c>
    </row>
    <row r="1001" spans="1:17" x14ac:dyDescent="0.3">
      <c r="A1001">
        <v>184482</v>
      </c>
      <c r="B1001">
        <v>116</v>
      </c>
      <c r="C1001" t="s">
        <v>568</v>
      </c>
      <c r="D1001" t="s">
        <v>2286</v>
      </c>
      <c r="E1001" t="s">
        <v>3320</v>
      </c>
      <c r="F1001" s="452">
        <v>46002</v>
      </c>
      <c r="G1001" s="452">
        <v>46002</v>
      </c>
      <c r="H1001" s="452">
        <v>46016</v>
      </c>
      <c r="I1001">
        <v>501.2</v>
      </c>
      <c r="J1001">
        <v>501.2</v>
      </c>
      <c r="K1001">
        <v>501.2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460</v>
      </c>
    </row>
    <row r="1002" spans="1:17" x14ac:dyDescent="0.3">
      <c r="A1002">
        <v>184479</v>
      </c>
      <c r="B1002">
        <v>116</v>
      </c>
      <c r="C1002" t="s">
        <v>568</v>
      </c>
      <c r="D1002" t="s">
        <v>2286</v>
      </c>
      <c r="E1002" t="s">
        <v>3321</v>
      </c>
      <c r="F1002" s="452">
        <v>45999</v>
      </c>
      <c r="G1002" s="452">
        <v>45999</v>
      </c>
      <c r="H1002" s="452">
        <v>46013</v>
      </c>
      <c r="I1002">
        <v>310</v>
      </c>
      <c r="J1002">
        <v>310</v>
      </c>
      <c r="K1002">
        <v>310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460</v>
      </c>
    </row>
    <row r="1003" spans="1:17" x14ac:dyDescent="0.3">
      <c r="A1003">
        <v>184476</v>
      </c>
      <c r="B1003">
        <v>116</v>
      </c>
      <c r="C1003" t="s">
        <v>568</v>
      </c>
      <c r="D1003" t="s">
        <v>3010</v>
      </c>
      <c r="E1003" t="s">
        <v>3322</v>
      </c>
      <c r="F1003" s="452">
        <v>45999</v>
      </c>
      <c r="H1003" s="452">
        <v>46013</v>
      </c>
      <c r="I1003">
        <v>403.95</v>
      </c>
      <c r="J1003">
        <v>403.95</v>
      </c>
      <c r="K1003">
        <v>0</v>
      </c>
      <c r="L1003">
        <v>0</v>
      </c>
      <c r="M1003">
        <v>0</v>
      </c>
      <c r="N1003">
        <v>403.95</v>
      </c>
      <c r="O1003">
        <v>0</v>
      </c>
      <c r="P1003">
        <v>0</v>
      </c>
      <c r="Q1003" t="s">
        <v>460</v>
      </c>
    </row>
    <row r="1004" spans="1:17" x14ac:dyDescent="0.3">
      <c r="A1004">
        <v>184472</v>
      </c>
      <c r="B1004">
        <v>116</v>
      </c>
      <c r="C1004" t="s">
        <v>568</v>
      </c>
      <c r="D1004" t="s">
        <v>2429</v>
      </c>
      <c r="E1004" t="s">
        <v>3323</v>
      </c>
      <c r="F1004" s="452">
        <v>46001</v>
      </c>
      <c r="G1004" s="452">
        <v>46001</v>
      </c>
      <c r="H1004" s="452">
        <v>46022</v>
      </c>
      <c r="I1004">
        <v>341.19</v>
      </c>
      <c r="J1004">
        <v>341.19</v>
      </c>
      <c r="K1004">
        <v>341.19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460</v>
      </c>
    </row>
    <row r="1005" spans="1:17" x14ac:dyDescent="0.3">
      <c r="A1005">
        <v>184471</v>
      </c>
      <c r="B1005">
        <v>116</v>
      </c>
      <c r="C1005" t="s">
        <v>568</v>
      </c>
      <c r="D1005" t="s">
        <v>2320</v>
      </c>
      <c r="E1005" t="s">
        <v>3324</v>
      </c>
      <c r="F1005" s="452">
        <v>46001</v>
      </c>
      <c r="G1005" s="452">
        <v>46001</v>
      </c>
      <c r="H1005" s="452">
        <v>46015</v>
      </c>
      <c r="I1005">
        <v>1929.87</v>
      </c>
      <c r="J1005">
        <v>1929.87</v>
      </c>
      <c r="K1005">
        <v>1929.87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460</v>
      </c>
    </row>
    <row r="1006" spans="1:17" x14ac:dyDescent="0.3">
      <c r="A1006">
        <v>184469</v>
      </c>
      <c r="B1006">
        <v>116</v>
      </c>
      <c r="C1006" t="s">
        <v>568</v>
      </c>
      <c r="D1006" t="s">
        <v>2262</v>
      </c>
      <c r="E1006" t="s">
        <v>3325</v>
      </c>
      <c r="F1006" s="452">
        <v>45995</v>
      </c>
      <c r="G1006" s="452">
        <v>45995</v>
      </c>
      <c r="H1006" s="452">
        <v>46013</v>
      </c>
      <c r="I1006">
        <v>154.80000000000001</v>
      </c>
      <c r="J1006">
        <v>154.80000000000001</v>
      </c>
      <c r="K1006">
        <v>154.80000000000001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460</v>
      </c>
    </row>
    <row r="1007" spans="1:17" x14ac:dyDescent="0.3">
      <c r="A1007">
        <v>183773</v>
      </c>
      <c r="B1007">
        <v>116</v>
      </c>
      <c r="C1007" t="s">
        <v>568</v>
      </c>
      <c r="D1007" t="s">
        <v>3122</v>
      </c>
      <c r="E1007" t="s">
        <v>3326</v>
      </c>
      <c r="F1007" s="452">
        <v>45995</v>
      </c>
      <c r="G1007" s="452">
        <v>45995</v>
      </c>
      <c r="H1007" s="452">
        <v>46007</v>
      </c>
      <c r="I1007">
        <v>98.71</v>
      </c>
      <c r="J1007">
        <v>95.2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98.71</v>
      </c>
      <c r="Q1007" t="s">
        <v>460</v>
      </c>
    </row>
    <row r="1008" spans="1:17" x14ac:dyDescent="0.3">
      <c r="A1008">
        <v>183509</v>
      </c>
      <c r="B1008">
        <v>116</v>
      </c>
      <c r="C1008" t="s">
        <v>568</v>
      </c>
      <c r="D1008" t="s">
        <v>2262</v>
      </c>
      <c r="E1008" t="s">
        <v>3327</v>
      </c>
      <c r="F1008" s="452">
        <v>45994</v>
      </c>
      <c r="G1008" s="452">
        <v>45994</v>
      </c>
      <c r="H1008" s="452">
        <v>46022</v>
      </c>
      <c r="I1008">
        <v>3071.48</v>
      </c>
      <c r="J1008">
        <v>3071.48</v>
      </c>
      <c r="K1008">
        <v>3071.48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460</v>
      </c>
    </row>
    <row r="1009" spans="1:17" x14ac:dyDescent="0.3">
      <c r="A1009">
        <v>183508</v>
      </c>
      <c r="B1009">
        <v>116</v>
      </c>
      <c r="C1009" t="s">
        <v>568</v>
      </c>
      <c r="D1009" t="s">
        <v>2267</v>
      </c>
      <c r="E1009" t="s">
        <v>3328</v>
      </c>
      <c r="F1009" s="452">
        <v>45992</v>
      </c>
      <c r="G1009" s="452">
        <v>45992</v>
      </c>
      <c r="H1009" s="452">
        <v>46022</v>
      </c>
      <c r="I1009">
        <v>389.06</v>
      </c>
      <c r="J1009">
        <v>389.06</v>
      </c>
      <c r="K1009">
        <v>389.06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460</v>
      </c>
    </row>
    <row r="1010" spans="1:17" x14ac:dyDescent="0.3">
      <c r="A1010">
        <v>183472</v>
      </c>
      <c r="B1010">
        <v>116</v>
      </c>
      <c r="C1010" t="s">
        <v>568</v>
      </c>
      <c r="D1010" t="s">
        <v>2267</v>
      </c>
      <c r="E1010" t="s">
        <v>3329</v>
      </c>
      <c r="F1010" s="452">
        <v>45992</v>
      </c>
      <c r="G1010" s="452">
        <v>45992</v>
      </c>
      <c r="H1010" s="452">
        <v>46022</v>
      </c>
      <c r="I1010">
        <v>368.74</v>
      </c>
      <c r="J1010">
        <v>368.74</v>
      </c>
      <c r="K1010">
        <v>368.74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460</v>
      </c>
    </row>
    <row r="1011" spans="1:17" x14ac:dyDescent="0.3">
      <c r="A1011">
        <v>183470</v>
      </c>
      <c r="B1011">
        <v>116</v>
      </c>
      <c r="C1011" t="s">
        <v>568</v>
      </c>
      <c r="D1011" t="s">
        <v>2260</v>
      </c>
      <c r="E1011" t="s">
        <v>3330</v>
      </c>
      <c r="F1011" s="452">
        <v>45993</v>
      </c>
      <c r="G1011" s="452">
        <v>45993</v>
      </c>
      <c r="H1011" s="452">
        <v>46014</v>
      </c>
      <c r="I1011">
        <v>375.97</v>
      </c>
      <c r="J1011">
        <v>257.39999999999998</v>
      </c>
      <c r="K1011">
        <v>375.97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460</v>
      </c>
    </row>
    <row r="1012" spans="1:17" x14ac:dyDescent="0.3">
      <c r="A1012">
        <v>183469</v>
      </c>
      <c r="B1012">
        <v>116</v>
      </c>
      <c r="C1012" t="s">
        <v>568</v>
      </c>
      <c r="D1012" t="s">
        <v>2260</v>
      </c>
      <c r="E1012" t="s">
        <v>3331</v>
      </c>
      <c r="F1012" s="452">
        <v>45993</v>
      </c>
      <c r="G1012" s="452">
        <v>45993</v>
      </c>
      <c r="H1012" s="452">
        <v>46014</v>
      </c>
      <c r="I1012">
        <v>2656.88</v>
      </c>
      <c r="J1012">
        <v>2186.98</v>
      </c>
      <c r="K1012">
        <v>2656.88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460</v>
      </c>
    </row>
    <row r="1013" spans="1:17" x14ac:dyDescent="0.3">
      <c r="A1013">
        <v>183465</v>
      </c>
      <c r="B1013">
        <v>116</v>
      </c>
      <c r="C1013" t="s">
        <v>568</v>
      </c>
      <c r="D1013" t="s">
        <v>3179</v>
      </c>
      <c r="E1013" t="s">
        <v>3332</v>
      </c>
      <c r="F1013" s="452">
        <v>45995</v>
      </c>
      <c r="G1013" s="452">
        <v>45995</v>
      </c>
      <c r="H1013" s="452">
        <v>46023</v>
      </c>
      <c r="I1013">
        <v>288.68</v>
      </c>
      <c r="J1013">
        <v>288.68</v>
      </c>
      <c r="K1013">
        <v>288.68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460</v>
      </c>
    </row>
    <row r="1014" spans="1:17" x14ac:dyDescent="0.3">
      <c r="A1014">
        <v>183462</v>
      </c>
      <c r="B1014">
        <v>116</v>
      </c>
      <c r="C1014" t="s">
        <v>568</v>
      </c>
      <c r="D1014" t="s">
        <v>3179</v>
      </c>
      <c r="E1014" t="s">
        <v>3333</v>
      </c>
      <c r="F1014" s="452">
        <v>45992</v>
      </c>
      <c r="G1014" s="452">
        <v>45992</v>
      </c>
      <c r="H1014" s="452">
        <v>46020</v>
      </c>
      <c r="I1014">
        <v>117.11</v>
      </c>
      <c r="J1014">
        <v>117.11</v>
      </c>
      <c r="K1014">
        <v>117.11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460</v>
      </c>
    </row>
    <row r="1015" spans="1:17" x14ac:dyDescent="0.3">
      <c r="A1015">
        <v>183461</v>
      </c>
      <c r="B1015">
        <v>116</v>
      </c>
      <c r="C1015" t="s">
        <v>568</v>
      </c>
      <c r="D1015" t="s">
        <v>2342</v>
      </c>
      <c r="E1015" t="s">
        <v>3334</v>
      </c>
      <c r="F1015" s="452">
        <v>45993</v>
      </c>
      <c r="G1015" s="452">
        <v>45993</v>
      </c>
      <c r="H1015" s="452">
        <v>46014</v>
      </c>
      <c r="I1015">
        <v>240</v>
      </c>
      <c r="J1015">
        <v>240</v>
      </c>
      <c r="K1015">
        <v>240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460</v>
      </c>
    </row>
    <row r="1016" spans="1:17" x14ac:dyDescent="0.3">
      <c r="A1016">
        <v>183460</v>
      </c>
      <c r="B1016">
        <v>116</v>
      </c>
      <c r="C1016" t="s">
        <v>568</v>
      </c>
      <c r="D1016" t="s">
        <v>2271</v>
      </c>
      <c r="E1016" t="s">
        <v>3335</v>
      </c>
      <c r="F1016" s="452">
        <v>45993</v>
      </c>
      <c r="G1016" s="452">
        <v>45993</v>
      </c>
      <c r="H1016" s="452">
        <v>46021</v>
      </c>
      <c r="I1016">
        <v>351.77</v>
      </c>
      <c r="J1016">
        <v>351.77</v>
      </c>
      <c r="K1016">
        <v>0</v>
      </c>
      <c r="L1016">
        <v>351.77</v>
      </c>
      <c r="M1016">
        <v>0</v>
      </c>
      <c r="N1016">
        <v>0</v>
      </c>
      <c r="O1016">
        <v>0</v>
      </c>
      <c r="P1016">
        <v>0</v>
      </c>
      <c r="Q1016" t="s">
        <v>460</v>
      </c>
    </row>
    <row r="1017" spans="1:17" x14ac:dyDescent="0.3">
      <c r="A1017">
        <v>183459</v>
      </c>
      <c r="B1017">
        <v>116</v>
      </c>
      <c r="C1017" t="s">
        <v>568</v>
      </c>
      <c r="D1017" t="s">
        <v>2284</v>
      </c>
      <c r="E1017" t="s">
        <v>3336</v>
      </c>
      <c r="F1017" s="452">
        <v>45993</v>
      </c>
      <c r="G1017" s="452">
        <v>45993</v>
      </c>
      <c r="H1017" s="452">
        <v>46021</v>
      </c>
      <c r="I1017">
        <v>1386.05</v>
      </c>
      <c r="J1017">
        <v>1386.05</v>
      </c>
      <c r="K1017">
        <v>1386.05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460</v>
      </c>
    </row>
    <row r="1018" spans="1:17" x14ac:dyDescent="0.3">
      <c r="A1018">
        <v>183458</v>
      </c>
      <c r="B1018">
        <v>116</v>
      </c>
      <c r="C1018" t="s">
        <v>568</v>
      </c>
      <c r="D1018" t="s">
        <v>2273</v>
      </c>
      <c r="E1018" t="s">
        <v>3337</v>
      </c>
      <c r="F1018" s="452">
        <v>45995</v>
      </c>
      <c r="G1018" s="452">
        <v>45995</v>
      </c>
      <c r="H1018" s="452">
        <v>46023</v>
      </c>
      <c r="I1018">
        <v>190.03</v>
      </c>
      <c r="J1018">
        <v>190.03</v>
      </c>
      <c r="K1018">
        <v>190.03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460</v>
      </c>
    </row>
    <row r="1019" spans="1:17" x14ac:dyDescent="0.3">
      <c r="A1019">
        <v>183457</v>
      </c>
      <c r="B1019">
        <v>116</v>
      </c>
      <c r="C1019" t="s">
        <v>568</v>
      </c>
      <c r="D1019" t="s">
        <v>2275</v>
      </c>
      <c r="E1019" t="s">
        <v>3338</v>
      </c>
      <c r="F1019" s="452">
        <v>45992</v>
      </c>
      <c r="G1019" s="452">
        <v>45992</v>
      </c>
      <c r="H1019" s="452">
        <v>46028</v>
      </c>
      <c r="I1019">
        <v>330</v>
      </c>
      <c r="J1019">
        <v>330</v>
      </c>
      <c r="K1019">
        <v>0</v>
      </c>
      <c r="L1019">
        <v>330</v>
      </c>
      <c r="M1019">
        <v>0</v>
      </c>
      <c r="N1019">
        <v>0</v>
      </c>
      <c r="O1019">
        <v>0</v>
      </c>
      <c r="P1019">
        <v>0</v>
      </c>
      <c r="Q1019" t="s">
        <v>460</v>
      </c>
    </row>
    <row r="1020" spans="1:17" x14ac:dyDescent="0.3">
      <c r="A1020">
        <v>183456</v>
      </c>
      <c r="B1020">
        <v>116</v>
      </c>
      <c r="C1020" t="s">
        <v>568</v>
      </c>
      <c r="D1020" t="s">
        <v>2277</v>
      </c>
      <c r="E1020" t="s">
        <v>3339</v>
      </c>
      <c r="F1020" s="452">
        <v>45994</v>
      </c>
      <c r="G1020" s="452">
        <v>45994</v>
      </c>
      <c r="H1020" s="452">
        <v>46022</v>
      </c>
      <c r="I1020">
        <v>1623.43</v>
      </c>
      <c r="J1020">
        <v>1621.46</v>
      </c>
      <c r="K1020">
        <v>1623.43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460</v>
      </c>
    </row>
    <row r="1021" spans="1:17" x14ac:dyDescent="0.3">
      <c r="A1021">
        <v>183455</v>
      </c>
      <c r="B1021">
        <v>116</v>
      </c>
      <c r="C1021" t="s">
        <v>568</v>
      </c>
      <c r="D1021" t="s">
        <v>2312</v>
      </c>
      <c r="E1021" t="s">
        <v>3340</v>
      </c>
      <c r="F1021" s="452">
        <v>45993</v>
      </c>
      <c r="H1021" s="452">
        <v>46027</v>
      </c>
      <c r="I1021">
        <v>194.5</v>
      </c>
      <c r="J1021">
        <v>194.5</v>
      </c>
      <c r="K1021">
        <v>0</v>
      </c>
      <c r="L1021">
        <v>0</v>
      </c>
      <c r="M1021">
        <v>194.5</v>
      </c>
      <c r="N1021">
        <v>0</v>
      </c>
      <c r="O1021">
        <v>0</v>
      </c>
      <c r="P1021">
        <v>0</v>
      </c>
      <c r="Q1021" t="s">
        <v>460</v>
      </c>
    </row>
    <row r="1022" spans="1:17" x14ac:dyDescent="0.3">
      <c r="A1022">
        <v>183454</v>
      </c>
      <c r="B1022">
        <v>116</v>
      </c>
      <c r="C1022" t="s">
        <v>568</v>
      </c>
      <c r="D1022" t="s">
        <v>2709</v>
      </c>
      <c r="E1022" t="s">
        <v>3341</v>
      </c>
      <c r="F1022" s="452">
        <v>45993</v>
      </c>
      <c r="G1022" s="452">
        <v>45993</v>
      </c>
      <c r="H1022" s="452">
        <v>46027</v>
      </c>
      <c r="I1022">
        <v>83.2</v>
      </c>
      <c r="J1022">
        <v>83.2</v>
      </c>
      <c r="K1022">
        <v>83.2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460</v>
      </c>
    </row>
    <row r="1023" spans="1:17" x14ac:dyDescent="0.3">
      <c r="A1023">
        <v>183453</v>
      </c>
      <c r="B1023">
        <v>116</v>
      </c>
      <c r="C1023" t="s">
        <v>568</v>
      </c>
      <c r="D1023" t="s">
        <v>2429</v>
      </c>
      <c r="E1023" t="s">
        <v>3342</v>
      </c>
      <c r="F1023" s="452">
        <v>45995</v>
      </c>
      <c r="G1023" s="452">
        <v>45995</v>
      </c>
      <c r="H1023" s="452">
        <v>46016</v>
      </c>
      <c r="I1023">
        <v>301.39</v>
      </c>
      <c r="J1023">
        <v>301.08999999999997</v>
      </c>
      <c r="K1023">
        <v>301.39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460</v>
      </c>
    </row>
    <row r="1024" spans="1:17" x14ac:dyDescent="0.3">
      <c r="A1024">
        <v>183452</v>
      </c>
      <c r="B1024">
        <v>116</v>
      </c>
      <c r="C1024" t="s">
        <v>568</v>
      </c>
      <c r="D1024" t="s">
        <v>2429</v>
      </c>
      <c r="E1024" t="s">
        <v>3343</v>
      </c>
      <c r="F1024" s="452">
        <v>45993</v>
      </c>
      <c r="G1024" s="452">
        <v>45993</v>
      </c>
      <c r="H1024" s="452">
        <v>46014</v>
      </c>
      <c r="I1024">
        <v>282.60000000000002</v>
      </c>
      <c r="J1024">
        <v>282.60000000000002</v>
      </c>
      <c r="K1024">
        <v>282.60000000000002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460</v>
      </c>
    </row>
    <row r="1025" spans="1:17" x14ac:dyDescent="0.3">
      <c r="A1025">
        <v>183451</v>
      </c>
      <c r="B1025">
        <v>116</v>
      </c>
      <c r="C1025" t="s">
        <v>568</v>
      </c>
      <c r="D1025" t="s">
        <v>2869</v>
      </c>
      <c r="E1025" t="s">
        <v>3344</v>
      </c>
      <c r="F1025" s="452">
        <v>45995</v>
      </c>
      <c r="H1025" s="452">
        <v>46023</v>
      </c>
      <c r="I1025">
        <v>648</v>
      </c>
      <c r="J1025">
        <v>648</v>
      </c>
      <c r="K1025">
        <v>0</v>
      </c>
      <c r="L1025">
        <v>0</v>
      </c>
      <c r="M1025">
        <v>0</v>
      </c>
      <c r="N1025">
        <v>0</v>
      </c>
      <c r="O1025">
        <v>648</v>
      </c>
      <c r="P1025">
        <v>0</v>
      </c>
      <c r="Q1025" t="s">
        <v>460</v>
      </c>
    </row>
    <row r="1026" spans="1:17" x14ac:dyDescent="0.3">
      <c r="A1026">
        <v>183450</v>
      </c>
      <c r="B1026">
        <v>116</v>
      </c>
      <c r="C1026" t="s">
        <v>568</v>
      </c>
      <c r="D1026" t="s">
        <v>2308</v>
      </c>
      <c r="E1026" t="s">
        <v>3345</v>
      </c>
      <c r="F1026" s="452">
        <v>45993</v>
      </c>
      <c r="G1026" s="452">
        <v>45993</v>
      </c>
      <c r="H1026" s="452">
        <v>46021</v>
      </c>
      <c r="I1026">
        <v>996.95</v>
      </c>
      <c r="J1026">
        <v>996.95</v>
      </c>
      <c r="K1026">
        <v>996.95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460</v>
      </c>
    </row>
    <row r="1027" spans="1:17" x14ac:dyDescent="0.3">
      <c r="A1027">
        <v>183449</v>
      </c>
      <c r="B1027">
        <v>116</v>
      </c>
      <c r="C1027" t="s">
        <v>568</v>
      </c>
      <c r="D1027" t="s">
        <v>2308</v>
      </c>
      <c r="E1027" t="s">
        <v>3346</v>
      </c>
      <c r="F1027" s="452">
        <v>45993</v>
      </c>
      <c r="G1027" s="452">
        <v>45993</v>
      </c>
      <c r="H1027" s="452">
        <v>46024</v>
      </c>
      <c r="I1027">
        <v>1014.9</v>
      </c>
      <c r="J1027">
        <v>999.9</v>
      </c>
      <c r="K1027">
        <v>1014.9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460</v>
      </c>
    </row>
    <row r="1028" spans="1:17" x14ac:dyDescent="0.3">
      <c r="A1028">
        <v>183448</v>
      </c>
      <c r="B1028">
        <v>116</v>
      </c>
      <c r="C1028" t="s">
        <v>568</v>
      </c>
      <c r="D1028" t="s">
        <v>2314</v>
      </c>
      <c r="E1028" t="s">
        <v>3347</v>
      </c>
      <c r="F1028" s="452">
        <v>45993</v>
      </c>
      <c r="G1028" s="452">
        <v>45993</v>
      </c>
      <c r="H1028" s="452">
        <v>46024</v>
      </c>
      <c r="I1028">
        <v>5345.63</v>
      </c>
      <c r="J1028">
        <v>5345.68</v>
      </c>
      <c r="K1028">
        <v>0</v>
      </c>
      <c r="L1028">
        <v>5345.63</v>
      </c>
      <c r="M1028">
        <v>0</v>
      </c>
      <c r="N1028">
        <v>0</v>
      </c>
      <c r="O1028">
        <v>0</v>
      </c>
      <c r="P1028">
        <v>0</v>
      </c>
      <c r="Q1028" t="s">
        <v>460</v>
      </c>
    </row>
    <row r="1029" spans="1:17" x14ac:dyDescent="0.3">
      <c r="A1029">
        <v>182377</v>
      </c>
      <c r="B1029">
        <v>116</v>
      </c>
      <c r="C1029" t="s">
        <v>568</v>
      </c>
      <c r="D1029" t="s">
        <v>3122</v>
      </c>
      <c r="E1029" t="s">
        <v>3348</v>
      </c>
      <c r="F1029" s="452">
        <v>45993</v>
      </c>
      <c r="H1029" s="452">
        <v>46007</v>
      </c>
      <c r="I1029">
        <v>131.38999999999999</v>
      </c>
      <c r="J1029">
        <v>131.38999999999999</v>
      </c>
      <c r="K1029">
        <v>0</v>
      </c>
      <c r="L1029">
        <v>0</v>
      </c>
      <c r="M1029">
        <v>110.99</v>
      </c>
      <c r="N1029">
        <v>0</v>
      </c>
      <c r="O1029">
        <v>20.399999999999999</v>
      </c>
      <c r="P1029">
        <v>0</v>
      </c>
      <c r="Q1029" t="s">
        <v>460</v>
      </c>
    </row>
    <row r="1030" spans="1:17" x14ac:dyDescent="0.3">
      <c r="A1030">
        <v>182371</v>
      </c>
      <c r="B1030">
        <v>116</v>
      </c>
      <c r="C1030" t="s">
        <v>568</v>
      </c>
      <c r="D1030" t="s">
        <v>2323</v>
      </c>
      <c r="E1030" t="s">
        <v>3349</v>
      </c>
      <c r="F1030" s="452">
        <v>45993</v>
      </c>
      <c r="G1030" s="452">
        <v>45993</v>
      </c>
      <c r="H1030" s="452">
        <v>46007</v>
      </c>
      <c r="I1030">
        <v>284.2</v>
      </c>
      <c r="J1030">
        <v>284.2</v>
      </c>
      <c r="K1030">
        <v>284.2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460</v>
      </c>
    </row>
    <row r="1031" spans="1:17" x14ac:dyDescent="0.3">
      <c r="A1031">
        <v>182358</v>
      </c>
      <c r="B1031">
        <v>116</v>
      </c>
      <c r="C1031" t="s">
        <v>568</v>
      </c>
      <c r="D1031" t="s">
        <v>2265</v>
      </c>
      <c r="E1031" t="s">
        <v>3350</v>
      </c>
      <c r="F1031" s="452">
        <v>45993</v>
      </c>
      <c r="H1031" s="452">
        <v>46008</v>
      </c>
      <c r="I1031">
        <v>746.9</v>
      </c>
      <c r="J1031">
        <v>746.9</v>
      </c>
      <c r="K1031">
        <v>0</v>
      </c>
      <c r="L1031">
        <v>0</v>
      </c>
      <c r="M1031">
        <v>746.9</v>
      </c>
      <c r="N1031">
        <v>0</v>
      </c>
      <c r="O1031">
        <v>0</v>
      </c>
      <c r="P1031">
        <v>0</v>
      </c>
      <c r="Q1031" t="s">
        <v>460</v>
      </c>
    </row>
    <row r="1032" spans="1:17" x14ac:dyDescent="0.3">
      <c r="A1032">
        <v>182349</v>
      </c>
      <c r="B1032">
        <v>116</v>
      </c>
      <c r="C1032" t="s">
        <v>568</v>
      </c>
      <c r="D1032" t="s">
        <v>2361</v>
      </c>
      <c r="E1032" t="s">
        <v>3351</v>
      </c>
      <c r="F1032" s="452">
        <v>45994</v>
      </c>
      <c r="G1032" s="452">
        <v>45994</v>
      </c>
      <c r="H1032" s="452">
        <v>46008</v>
      </c>
      <c r="I1032">
        <v>226.98</v>
      </c>
      <c r="J1032">
        <v>189.98</v>
      </c>
      <c r="K1032">
        <v>226.98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460</v>
      </c>
    </row>
    <row r="1033" spans="1:17" x14ac:dyDescent="0.3">
      <c r="A1033">
        <v>182345</v>
      </c>
      <c r="B1033">
        <v>116</v>
      </c>
      <c r="C1033" t="s">
        <v>568</v>
      </c>
      <c r="D1033" t="s">
        <v>2286</v>
      </c>
      <c r="E1033" t="s">
        <v>3352</v>
      </c>
      <c r="F1033" s="452">
        <v>45995</v>
      </c>
      <c r="G1033" s="452">
        <v>45995</v>
      </c>
      <c r="H1033" s="452">
        <v>46009</v>
      </c>
      <c r="I1033">
        <v>482.2</v>
      </c>
      <c r="J1033">
        <v>482.2</v>
      </c>
      <c r="K1033">
        <v>482.2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460</v>
      </c>
    </row>
    <row r="1034" spans="1:17" x14ac:dyDescent="0.3">
      <c r="A1034">
        <v>182342</v>
      </c>
      <c r="B1034">
        <v>116</v>
      </c>
      <c r="C1034" t="s">
        <v>568</v>
      </c>
      <c r="D1034" t="s">
        <v>2286</v>
      </c>
      <c r="E1034" t="s">
        <v>3353</v>
      </c>
      <c r="F1034" s="452">
        <v>45992</v>
      </c>
      <c r="G1034" s="452">
        <v>45992</v>
      </c>
      <c r="H1034" s="452">
        <v>46006</v>
      </c>
      <c r="I1034">
        <v>212.65</v>
      </c>
      <c r="J1034">
        <v>212.65</v>
      </c>
      <c r="K1034">
        <v>212.65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460</v>
      </c>
    </row>
    <row r="1035" spans="1:17" x14ac:dyDescent="0.3">
      <c r="A1035">
        <v>179820</v>
      </c>
      <c r="B1035">
        <v>116</v>
      </c>
      <c r="C1035" t="s">
        <v>568</v>
      </c>
      <c r="D1035" t="s">
        <v>2314</v>
      </c>
      <c r="E1035" t="s">
        <v>3354</v>
      </c>
      <c r="F1035" s="452">
        <v>46020</v>
      </c>
      <c r="G1035" s="452">
        <v>46020</v>
      </c>
      <c r="H1035" s="452">
        <v>46020</v>
      </c>
      <c r="I1035">
        <v>3202.77</v>
      </c>
      <c r="J1035">
        <v>3202.8</v>
      </c>
      <c r="K1035">
        <v>0</v>
      </c>
      <c r="L1035">
        <v>3202.77</v>
      </c>
      <c r="M1035">
        <v>0</v>
      </c>
      <c r="N1035">
        <v>0</v>
      </c>
      <c r="O1035">
        <v>0</v>
      </c>
      <c r="P1035">
        <v>0</v>
      </c>
      <c r="Q1035" t="s">
        <v>460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07"/>
  <sheetViews>
    <sheetView workbookViewId="0"/>
  </sheetViews>
  <sheetFormatPr defaultRowHeight="14.4" x14ac:dyDescent="0.3"/>
  <sheetData>
    <row r="1" spans="1:8" x14ac:dyDescent="0.3">
      <c r="A1" t="s">
        <v>2248</v>
      </c>
      <c r="B1" t="s">
        <v>2249</v>
      </c>
      <c r="C1" t="s">
        <v>3355</v>
      </c>
      <c r="D1" t="s">
        <v>566</v>
      </c>
      <c r="E1" t="s">
        <v>3356</v>
      </c>
      <c r="F1" t="s">
        <v>3357</v>
      </c>
      <c r="G1" t="s">
        <v>3358</v>
      </c>
      <c r="H1" t="s">
        <v>3359</v>
      </c>
    </row>
    <row r="2" spans="1:8" x14ac:dyDescent="0.3">
      <c r="A2">
        <v>116</v>
      </c>
      <c r="B2" t="s">
        <v>568</v>
      </c>
      <c r="C2" s="452">
        <v>46209</v>
      </c>
      <c r="D2" t="s">
        <v>3360</v>
      </c>
      <c r="E2" t="s">
        <v>3361</v>
      </c>
      <c r="F2">
        <v>2933.5</v>
      </c>
      <c r="G2">
        <v>74.37</v>
      </c>
      <c r="H2">
        <v>2859.13</v>
      </c>
    </row>
    <row r="3" spans="1:8" x14ac:dyDescent="0.3">
      <c r="A3">
        <v>116</v>
      </c>
      <c r="B3" t="s">
        <v>568</v>
      </c>
      <c r="C3" s="452">
        <v>46209</v>
      </c>
      <c r="D3" t="s">
        <v>3360</v>
      </c>
      <c r="E3" t="s">
        <v>3362</v>
      </c>
      <c r="F3">
        <v>2730.5</v>
      </c>
      <c r="G3">
        <v>63</v>
      </c>
      <c r="H3">
        <v>2667.5</v>
      </c>
    </row>
    <row r="4" spans="1:8" x14ac:dyDescent="0.3">
      <c r="A4">
        <v>116</v>
      </c>
      <c r="B4" t="s">
        <v>568</v>
      </c>
      <c r="C4" s="452">
        <v>46209</v>
      </c>
      <c r="D4" t="s">
        <v>3360</v>
      </c>
      <c r="E4" t="s">
        <v>22</v>
      </c>
      <c r="F4">
        <v>707.67</v>
      </c>
      <c r="G4">
        <v>0</v>
      </c>
      <c r="H4">
        <v>707.67</v>
      </c>
    </row>
    <row r="5" spans="1:8" x14ac:dyDescent="0.3">
      <c r="A5">
        <v>116</v>
      </c>
      <c r="B5" t="s">
        <v>568</v>
      </c>
      <c r="C5" s="452">
        <v>46207</v>
      </c>
      <c r="D5" t="s">
        <v>3360</v>
      </c>
      <c r="E5" t="s">
        <v>3361</v>
      </c>
      <c r="F5">
        <v>9316.2000000000007</v>
      </c>
      <c r="G5">
        <v>61.5</v>
      </c>
      <c r="H5">
        <v>9254.7000000000007</v>
      </c>
    </row>
    <row r="6" spans="1:8" x14ac:dyDescent="0.3">
      <c r="A6">
        <v>116</v>
      </c>
      <c r="B6" t="s">
        <v>568</v>
      </c>
      <c r="C6" s="452">
        <v>46207</v>
      </c>
      <c r="D6" t="s">
        <v>3360</v>
      </c>
      <c r="E6" t="s">
        <v>3362</v>
      </c>
      <c r="F6">
        <v>9898.5</v>
      </c>
      <c r="G6">
        <v>106.8</v>
      </c>
      <c r="H6">
        <v>9791.7000000000007</v>
      </c>
    </row>
    <row r="7" spans="1:8" x14ac:dyDescent="0.3">
      <c r="A7">
        <v>116</v>
      </c>
      <c r="B7" t="s">
        <v>568</v>
      </c>
      <c r="C7" s="452">
        <v>46207</v>
      </c>
      <c r="D7" t="s">
        <v>3360</v>
      </c>
      <c r="E7" t="s">
        <v>22</v>
      </c>
      <c r="F7">
        <v>2530.46</v>
      </c>
      <c r="G7">
        <v>0</v>
      </c>
      <c r="H7">
        <v>2530.46</v>
      </c>
    </row>
    <row r="8" spans="1:8" x14ac:dyDescent="0.3">
      <c r="A8">
        <v>116</v>
      </c>
      <c r="B8" t="s">
        <v>568</v>
      </c>
      <c r="C8" s="452">
        <v>46207</v>
      </c>
      <c r="D8" t="s">
        <v>3360</v>
      </c>
      <c r="E8" t="s">
        <v>3363</v>
      </c>
      <c r="F8">
        <v>480</v>
      </c>
      <c r="G8">
        <v>0</v>
      </c>
      <c r="H8">
        <v>480</v>
      </c>
    </row>
    <row r="9" spans="1:8" x14ac:dyDescent="0.3">
      <c r="A9">
        <v>116</v>
      </c>
      <c r="B9" t="s">
        <v>568</v>
      </c>
      <c r="C9" s="452">
        <v>46206</v>
      </c>
      <c r="D9" t="s">
        <v>3360</v>
      </c>
      <c r="E9" t="s">
        <v>3361</v>
      </c>
      <c r="F9">
        <v>10938.7</v>
      </c>
      <c r="G9">
        <v>131.57</v>
      </c>
      <c r="H9">
        <v>10807.13</v>
      </c>
    </row>
    <row r="10" spans="1:8" x14ac:dyDescent="0.3">
      <c r="A10">
        <v>116</v>
      </c>
      <c r="B10" t="s">
        <v>568</v>
      </c>
      <c r="C10" s="452">
        <v>46206</v>
      </c>
      <c r="D10" t="s">
        <v>3360</v>
      </c>
      <c r="E10" t="s">
        <v>3362</v>
      </c>
      <c r="F10">
        <v>8987.5</v>
      </c>
      <c r="G10">
        <v>374.16</v>
      </c>
      <c r="H10">
        <v>8613.34</v>
      </c>
    </row>
    <row r="11" spans="1:8" x14ac:dyDescent="0.3">
      <c r="A11">
        <v>116</v>
      </c>
      <c r="B11" t="s">
        <v>568</v>
      </c>
      <c r="C11" s="452">
        <v>46206</v>
      </c>
      <c r="D11" t="s">
        <v>3360</v>
      </c>
      <c r="E11" t="s">
        <v>22</v>
      </c>
      <c r="F11">
        <v>2514.2199999999998</v>
      </c>
      <c r="G11">
        <v>0</v>
      </c>
      <c r="H11">
        <v>2514.2199999999998</v>
      </c>
    </row>
    <row r="12" spans="1:8" x14ac:dyDescent="0.3">
      <c r="A12">
        <v>116</v>
      </c>
      <c r="B12" t="s">
        <v>568</v>
      </c>
      <c r="C12" s="452">
        <v>46206</v>
      </c>
      <c r="D12" t="s">
        <v>3360</v>
      </c>
      <c r="E12" t="s">
        <v>20</v>
      </c>
      <c r="F12">
        <v>32</v>
      </c>
      <c r="G12">
        <v>0</v>
      </c>
      <c r="H12">
        <v>32</v>
      </c>
    </row>
    <row r="13" spans="1:8" x14ac:dyDescent="0.3">
      <c r="A13">
        <v>116</v>
      </c>
      <c r="B13" t="s">
        <v>568</v>
      </c>
      <c r="C13" s="452">
        <v>46205</v>
      </c>
      <c r="D13" t="s">
        <v>3360</v>
      </c>
      <c r="E13" t="s">
        <v>3361</v>
      </c>
      <c r="F13">
        <v>7809.3</v>
      </c>
      <c r="G13">
        <v>183.63</v>
      </c>
      <c r="H13">
        <v>7625.67</v>
      </c>
    </row>
    <row r="14" spans="1:8" x14ac:dyDescent="0.3">
      <c r="A14">
        <v>116</v>
      </c>
      <c r="B14" t="s">
        <v>568</v>
      </c>
      <c r="C14" s="452">
        <v>46205</v>
      </c>
      <c r="D14" t="s">
        <v>3360</v>
      </c>
      <c r="E14" t="s">
        <v>3362</v>
      </c>
      <c r="F14">
        <v>4522</v>
      </c>
      <c r="G14">
        <v>100.5</v>
      </c>
      <c r="H14">
        <v>4421.5</v>
      </c>
    </row>
    <row r="15" spans="1:8" x14ac:dyDescent="0.3">
      <c r="A15">
        <v>116</v>
      </c>
      <c r="B15" t="s">
        <v>568</v>
      </c>
      <c r="C15" s="452">
        <v>46205</v>
      </c>
      <c r="D15" t="s">
        <v>3360</v>
      </c>
      <c r="E15" t="s">
        <v>22</v>
      </c>
      <c r="F15">
        <v>1581</v>
      </c>
      <c r="G15">
        <v>0</v>
      </c>
      <c r="H15">
        <v>1581</v>
      </c>
    </row>
    <row r="16" spans="1:8" x14ac:dyDescent="0.3">
      <c r="A16">
        <v>116</v>
      </c>
      <c r="B16" t="s">
        <v>568</v>
      </c>
      <c r="C16" s="452">
        <v>46204</v>
      </c>
      <c r="D16" t="s">
        <v>3360</v>
      </c>
      <c r="E16" t="s">
        <v>3362</v>
      </c>
      <c r="F16">
        <v>5949</v>
      </c>
      <c r="G16">
        <v>479.8</v>
      </c>
      <c r="H16">
        <v>5469.2</v>
      </c>
    </row>
    <row r="17" spans="1:8" x14ac:dyDescent="0.3">
      <c r="A17">
        <v>116</v>
      </c>
      <c r="B17" t="s">
        <v>568</v>
      </c>
      <c r="C17" s="452">
        <v>46204</v>
      </c>
      <c r="D17" t="s">
        <v>3360</v>
      </c>
      <c r="E17" t="s">
        <v>3361</v>
      </c>
      <c r="F17">
        <v>5789.7</v>
      </c>
      <c r="G17">
        <v>489.98</v>
      </c>
      <c r="H17">
        <v>5299.72</v>
      </c>
    </row>
    <row r="18" spans="1:8" x14ac:dyDescent="0.3">
      <c r="A18">
        <v>116</v>
      </c>
      <c r="B18" t="s">
        <v>568</v>
      </c>
      <c r="C18" s="452">
        <v>46204</v>
      </c>
      <c r="D18" t="s">
        <v>3360</v>
      </c>
      <c r="E18" t="s">
        <v>20</v>
      </c>
      <c r="F18">
        <v>16</v>
      </c>
      <c r="G18">
        <v>0</v>
      </c>
      <c r="H18">
        <v>16</v>
      </c>
    </row>
    <row r="19" spans="1:8" x14ac:dyDescent="0.3">
      <c r="A19">
        <v>116</v>
      </c>
      <c r="B19" t="s">
        <v>568</v>
      </c>
      <c r="C19" s="452">
        <v>46204</v>
      </c>
      <c r="D19" t="s">
        <v>3360</v>
      </c>
      <c r="E19" t="s">
        <v>22</v>
      </c>
      <c r="F19">
        <v>1376.2</v>
      </c>
      <c r="G19">
        <v>0</v>
      </c>
      <c r="H19">
        <v>1376.2</v>
      </c>
    </row>
    <row r="20" spans="1:8" x14ac:dyDescent="0.3">
      <c r="A20">
        <v>116</v>
      </c>
      <c r="B20" t="s">
        <v>568</v>
      </c>
      <c r="C20" s="452">
        <v>46203</v>
      </c>
      <c r="D20" t="s">
        <v>3364</v>
      </c>
      <c r="E20" t="s">
        <v>3361</v>
      </c>
      <c r="F20">
        <v>4119.3999999999996</v>
      </c>
      <c r="G20">
        <v>96.56</v>
      </c>
      <c r="H20">
        <v>4022.84</v>
      </c>
    </row>
    <row r="21" spans="1:8" x14ac:dyDescent="0.3">
      <c r="A21">
        <v>116</v>
      </c>
      <c r="B21" t="s">
        <v>568</v>
      </c>
      <c r="C21" s="452">
        <v>46203</v>
      </c>
      <c r="D21" t="s">
        <v>3364</v>
      </c>
      <c r="E21" t="s">
        <v>3362</v>
      </c>
      <c r="F21">
        <v>5606</v>
      </c>
      <c r="G21">
        <v>592.13</v>
      </c>
      <c r="H21">
        <v>5013.87</v>
      </c>
    </row>
    <row r="22" spans="1:8" x14ac:dyDescent="0.3">
      <c r="A22">
        <v>116</v>
      </c>
      <c r="B22" t="s">
        <v>568</v>
      </c>
      <c r="C22" s="452">
        <v>46203</v>
      </c>
      <c r="D22" t="s">
        <v>3364</v>
      </c>
      <c r="E22" t="s">
        <v>22</v>
      </c>
      <c r="F22">
        <v>1179.49</v>
      </c>
      <c r="G22">
        <v>0</v>
      </c>
      <c r="H22">
        <v>1179.49</v>
      </c>
    </row>
    <row r="23" spans="1:8" x14ac:dyDescent="0.3">
      <c r="A23">
        <v>116</v>
      </c>
      <c r="B23" t="s">
        <v>568</v>
      </c>
      <c r="C23" s="452">
        <v>46202</v>
      </c>
      <c r="D23" t="s">
        <v>3364</v>
      </c>
      <c r="E23" t="s">
        <v>3361</v>
      </c>
      <c r="F23">
        <v>5488.3</v>
      </c>
      <c r="G23">
        <v>234.98</v>
      </c>
      <c r="H23">
        <v>5253.32</v>
      </c>
    </row>
    <row r="24" spans="1:8" x14ac:dyDescent="0.3">
      <c r="A24">
        <v>116</v>
      </c>
      <c r="B24" t="s">
        <v>568</v>
      </c>
      <c r="C24" s="452">
        <v>46202</v>
      </c>
      <c r="D24" t="s">
        <v>3364</v>
      </c>
      <c r="E24" t="s">
        <v>3362</v>
      </c>
      <c r="F24">
        <v>4346.8999999999996</v>
      </c>
      <c r="G24">
        <v>295.82</v>
      </c>
      <c r="H24">
        <v>4051.08</v>
      </c>
    </row>
    <row r="25" spans="1:8" x14ac:dyDescent="0.3">
      <c r="A25">
        <v>116</v>
      </c>
      <c r="B25" t="s">
        <v>568</v>
      </c>
      <c r="C25" s="452">
        <v>46202</v>
      </c>
      <c r="D25" t="s">
        <v>3364</v>
      </c>
      <c r="E25" t="s">
        <v>22</v>
      </c>
      <c r="F25">
        <v>1191.1400000000001</v>
      </c>
      <c r="G25">
        <v>0</v>
      </c>
      <c r="H25">
        <v>1191.1400000000001</v>
      </c>
    </row>
    <row r="26" spans="1:8" x14ac:dyDescent="0.3">
      <c r="A26">
        <v>116</v>
      </c>
      <c r="B26" t="s">
        <v>568</v>
      </c>
      <c r="C26" s="452">
        <v>46200</v>
      </c>
      <c r="D26" t="s">
        <v>3364</v>
      </c>
      <c r="E26" t="s">
        <v>3361</v>
      </c>
      <c r="F26">
        <v>9225.6</v>
      </c>
      <c r="G26">
        <v>6.9</v>
      </c>
      <c r="H26">
        <v>9218.7000000000007</v>
      </c>
    </row>
    <row r="27" spans="1:8" x14ac:dyDescent="0.3">
      <c r="A27">
        <v>116</v>
      </c>
      <c r="B27" t="s">
        <v>568</v>
      </c>
      <c r="C27" s="452">
        <v>46200</v>
      </c>
      <c r="D27" t="s">
        <v>3364</v>
      </c>
      <c r="E27" t="s">
        <v>3362</v>
      </c>
      <c r="F27">
        <v>7457</v>
      </c>
      <c r="G27">
        <v>71.400000000000006</v>
      </c>
      <c r="H27">
        <v>7385.6</v>
      </c>
    </row>
    <row r="28" spans="1:8" x14ac:dyDescent="0.3">
      <c r="A28">
        <v>116</v>
      </c>
      <c r="B28" t="s">
        <v>568</v>
      </c>
      <c r="C28" s="452">
        <v>46200</v>
      </c>
      <c r="D28" t="s">
        <v>3364</v>
      </c>
      <c r="E28" t="s">
        <v>22</v>
      </c>
      <c r="F28">
        <v>2192.41</v>
      </c>
      <c r="G28">
        <v>0</v>
      </c>
      <c r="H28">
        <v>2192.41</v>
      </c>
    </row>
    <row r="29" spans="1:8" x14ac:dyDescent="0.3">
      <c r="A29">
        <v>116</v>
      </c>
      <c r="B29" t="s">
        <v>568</v>
      </c>
      <c r="C29" s="452">
        <v>46200</v>
      </c>
      <c r="D29" t="s">
        <v>3364</v>
      </c>
      <c r="E29" t="s">
        <v>20</v>
      </c>
      <c r="F29">
        <v>16</v>
      </c>
      <c r="G29">
        <v>0</v>
      </c>
      <c r="H29">
        <v>16</v>
      </c>
    </row>
    <row r="30" spans="1:8" x14ac:dyDescent="0.3">
      <c r="A30">
        <v>116</v>
      </c>
      <c r="B30" t="s">
        <v>568</v>
      </c>
      <c r="C30" s="452">
        <v>46200</v>
      </c>
      <c r="D30" t="s">
        <v>3364</v>
      </c>
      <c r="E30" t="s">
        <v>3363</v>
      </c>
      <c r="F30">
        <v>465</v>
      </c>
      <c r="G30">
        <v>0</v>
      </c>
      <c r="H30">
        <v>465</v>
      </c>
    </row>
    <row r="31" spans="1:8" x14ac:dyDescent="0.3">
      <c r="A31">
        <v>116</v>
      </c>
      <c r="B31" t="s">
        <v>568</v>
      </c>
      <c r="C31" s="452">
        <v>46199</v>
      </c>
      <c r="D31" t="s">
        <v>3364</v>
      </c>
      <c r="E31" t="s">
        <v>3361</v>
      </c>
      <c r="F31">
        <v>6591.5</v>
      </c>
      <c r="G31">
        <v>23.94</v>
      </c>
      <c r="H31">
        <v>6567.56</v>
      </c>
    </row>
    <row r="32" spans="1:8" x14ac:dyDescent="0.3">
      <c r="A32">
        <v>116</v>
      </c>
      <c r="B32" t="s">
        <v>568</v>
      </c>
      <c r="C32" s="452">
        <v>46199</v>
      </c>
      <c r="D32" t="s">
        <v>3364</v>
      </c>
      <c r="E32" t="s">
        <v>3362</v>
      </c>
      <c r="F32">
        <v>5837</v>
      </c>
      <c r="G32">
        <v>50.9</v>
      </c>
      <c r="H32">
        <v>5786.1</v>
      </c>
    </row>
    <row r="33" spans="1:8" x14ac:dyDescent="0.3">
      <c r="A33">
        <v>116</v>
      </c>
      <c r="B33" t="s">
        <v>568</v>
      </c>
      <c r="C33" s="452">
        <v>46199</v>
      </c>
      <c r="D33" t="s">
        <v>3364</v>
      </c>
      <c r="E33" t="s">
        <v>22</v>
      </c>
      <c r="F33">
        <v>1584.64</v>
      </c>
      <c r="G33">
        <v>0</v>
      </c>
      <c r="H33">
        <v>1584.64</v>
      </c>
    </row>
    <row r="34" spans="1:8" x14ac:dyDescent="0.3">
      <c r="A34">
        <v>116</v>
      </c>
      <c r="B34" t="s">
        <v>568</v>
      </c>
      <c r="C34" s="452">
        <v>46199</v>
      </c>
      <c r="D34" t="s">
        <v>3364</v>
      </c>
      <c r="E34" t="s">
        <v>20</v>
      </c>
      <c r="F34">
        <v>99</v>
      </c>
      <c r="G34">
        <v>0</v>
      </c>
      <c r="H34">
        <v>99</v>
      </c>
    </row>
    <row r="35" spans="1:8" x14ac:dyDescent="0.3">
      <c r="A35">
        <v>116</v>
      </c>
      <c r="B35" t="s">
        <v>568</v>
      </c>
      <c r="C35" s="452">
        <v>46198</v>
      </c>
      <c r="D35" t="s">
        <v>3364</v>
      </c>
      <c r="E35" t="s">
        <v>3361</v>
      </c>
      <c r="F35">
        <v>4422.7</v>
      </c>
      <c r="G35">
        <v>165.59</v>
      </c>
      <c r="H35">
        <v>4257.1099999999997</v>
      </c>
    </row>
    <row r="36" spans="1:8" x14ac:dyDescent="0.3">
      <c r="A36">
        <v>116</v>
      </c>
      <c r="B36" t="s">
        <v>568</v>
      </c>
      <c r="C36" s="452">
        <v>46198</v>
      </c>
      <c r="D36" t="s">
        <v>3364</v>
      </c>
      <c r="E36" t="s">
        <v>3362</v>
      </c>
      <c r="F36">
        <v>4393</v>
      </c>
      <c r="G36">
        <v>314.97000000000003</v>
      </c>
      <c r="H36">
        <v>4078.03</v>
      </c>
    </row>
    <row r="37" spans="1:8" x14ac:dyDescent="0.3">
      <c r="A37">
        <v>116</v>
      </c>
      <c r="B37" t="s">
        <v>568</v>
      </c>
      <c r="C37" s="452">
        <v>46198</v>
      </c>
      <c r="D37" t="s">
        <v>3364</v>
      </c>
      <c r="E37" t="s">
        <v>22</v>
      </c>
      <c r="F37">
        <v>1093.8599999999999</v>
      </c>
      <c r="G37">
        <v>0</v>
      </c>
      <c r="H37">
        <v>1093.8599999999999</v>
      </c>
    </row>
    <row r="38" spans="1:8" x14ac:dyDescent="0.3">
      <c r="A38">
        <v>116</v>
      </c>
      <c r="B38" t="s">
        <v>568</v>
      </c>
      <c r="C38" s="452">
        <v>46198</v>
      </c>
      <c r="D38" t="s">
        <v>3364</v>
      </c>
      <c r="E38" t="s">
        <v>20</v>
      </c>
      <c r="F38">
        <v>16</v>
      </c>
      <c r="G38">
        <v>0</v>
      </c>
      <c r="H38">
        <v>16</v>
      </c>
    </row>
    <row r="39" spans="1:8" x14ac:dyDescent="0.3">
      <c r="A39">
        <v>116</v>
      </c>
      <c r="B39" t="s">
        <v>568</v>
      </c>
      <c r="C39" s="452">
        <v>46197</v>
      </c>
      <c r="D39" t="s">
        <v>3364</v>
      </c>
      <c r="E39" t="s">
        <v>3361</v>
      </c>
      <c r="F39">
        <v>5859.6</v>
      </c>
      <c r="G39">
        <v>105.56</v>
      </c>
      <c r="H39">
        <v>5754.04</v>
      </c>
    </row>
    <row r="40" spans="1:8" x14ac:dyDescent="0.3">
      <c r="A40">
        <v>116</v>
      </c>
      <c r="B40" t="s">
        <v>568</v>
      </c>
      <c r="C40" s="452">
        <v>46197</v>
      </c>
      <c r="D40" t="s">
        <v>3364</v>
      </c>
      <c r="E40" t="s">
        <v>3362</v>
      </c>
      <c r="F40">
        <v>5387.5</v>
      </c>
      <c r="G40">
        <v>137.13</v>
      </c>
      <c r="H40">
        <v>5250.37</v>
      </c>
    </row>
    <row r="41" spans="1:8" x14ac:dyDescent="0.3">
      <c r="A41">
        <v>116</v>
      </c>
      <c r="B41" t="s">
        <v>568</v>
      </c>
      <c r="C41" s="452">
        <v>46197</v>
      </c>
      <c r="D41" t="s">
        <v>3364</v>
      </c>
      <c r="E41" t="s">
        <v>22</v>
      </c>
      <c r="F41">
        <v>1454.17</v>
      </c>
      <c r="G41">
        <v>0</v>
      </c>
      <c r="H41">
        <v>1454.17</v>
      </c>
    </row>
    <row r="42" spans="1:8" x14ac:dyDescent="0.3">
      <c r="A42">
        <v>116</v>
      </c>
      <c r="B42" t="s">
        <v>568</v>
      </c>
      <c r="C42" s="452">
        <v>46197</v>
      </c>
      <c r="D42" t="s">
        <v>3364</v>
      </c>
      <c r="E42" t="s">
        <v>20</v>
      </c>
      <c r="F42">
        <v>64</v>
      </c>
      <c r="G42">
        <v>0</v>
      </c>
      <c r="H42">
        <v>64</v>
      </c>
    </row>
    <row r="43" spans="1:8" x14ac:dyDescent="0.3">
      <c r="A43">
        <v>116</v>
      </c>
      <c r="B43" t="s">
        <v>568</v>
      </c>
      <c r="C43" s="452">
        <v>46196</v>
      </c>
      <c r="D43" t="s">
        <v>3364</v>
      </c>
      <c r="E43" t="s">
        <v>3361</v>
      </c>
      <c r="F43">
        <v>2248.6</v>
      </c>
      <c r="G43">
        <v>18</v>
      </c>
      <c r="H43">
        <v>2230.6</v>
      </c>
    </row>
    <row r="44" spans="1:8" x14ac:dyDescent="0.3">
      <c r="A44">
        <v>116</v>
      </c>
      <c r="B44" t="s">
        <v>568</v>
      </c>
      <c r="C44" s="452">
        <v>46196</v>
      </c>
      <c r="D44" t="s">
        <v>3364</v>
      </c>
      <c r="E44" t="s">
        <v>3362</v>
      </c>
      <c r="F44">
        <v>3920.5</v>
      </c>
      <c r="G44">
        <v>268.8</v>
      </c>
      <c r="H44">
        <v>3651.7</v>
      </c>
    </row>
    <row r="45" spans="1:8" x14ac:dyDescent="0.3">
      <c r="A45">
        <v>116</v>
      </c>
      <c r="B45" t="s">
        <v>568</v>
      </c>
      <c r="C45" s="452">
        <v>46196</v>
      </c>
      <c r="D45" t="s">
        <v>3364</v>
      </c>
      <c r="E45" t="s">
        <v>22</v>
      </c>
      <c r="F45">
        <v>733.64</v>
      </c>
      <c r="G45">
        <v>0</v>
      </c>
      <c r="H45">
        <v>733.64</v>
      </c>
    </row>
    <row r="46" spans="1:8" x14ac:dyDescent="0.3">
      <c r="A46">
        <v>116</v>
      </c>
      <c r="B46" t="s">
        <v>568</v>
      </c>
      <c r="C46" s="452">
        <v>46195</v>
      </c>
      <c r="D46" t="s">
        <v>3364</v>
      </c>
      <c r="E46" t="s">
        <v>3362</v>
      </c>
      <c r="F46">
        <v>3843</v>
      </c>
      <c r="G46">
        <v>129.30000000000001</v>
      </c>
      <c r="H46">
        <v>3713.7</v>
      </c>
    </row>
    <row r="47" spans="1:8" x14ac:dyDescent="0.3">
      <c r="A47">
        <v>116</v>
      </c>
      <c r="B47" t="s">
        <v>568</v>
      </c>
      <c r="C47" s="452">
        <v>46195</v>
      </c>
      <c r="D47" t="s">
        <v>3364</v>
      </c>
      <c r="E47" t="s">
        <v>3361</v>
      </c>
      <c r="F47">
        <v>3509</v>
      </c>
      <c r="G47">
        <v>18</v>
      </c>
      <c r="H47">
        <v>3491</v>
      </c>
    </row>
    <row r="48" spans="1:8" x14ac:dyDescent="0.3">
      <c r="A48">
        <v>116</v>
      </c>
      <c r="B48" t="s">
        <v>568</v>
      </c>
      <c r="C48" s="452">
        <v>46195</v>
      </c>
      <c r="D48" t="s">
        <v>3364</v>
      </c>
      <c r="E48" t="s">
        <v>20</v>
      </c>
      <c r="F48">
        <v>99</v>
      </c>
      <c r="G48">
        <v>0</v>
      </c>
      <c r="H48">
        <v>99</v>
      </c>
    </row>
    <row r="49" spans="1:8" x14ac:dyDescent="0.3">
      <c r="A49">
        <v>116</v>
      </c>
      <c r="B49" t="s">
        <v>568</v>
      </c>
      <c r="C49" s="452">
        <v>46195</v>
      </c>
      <c r="D49" t="s">
        <v>3364</v>
      </c>
      <c r="E49" t="s">
        <v>22</v>
      </c>
      <c r="F49">
        <v>926.53</v>
      </c>
      <c r="G49">
        <v>0</v>
      </c>
      <c r="H49">
        <v>926.53</v>
      </c>
    </row>
    <row r="50" spans="1:8" x14ac:dyDescent="0.3">
      <c r="A50">
        <v>116</v>
      </c>
      <c r="B50" t="s">
        <v>568</v>
      </c>
      <c r="C50" s="452">
        <v>46193</v>
      </c>
      <c r="D50" t="s">
        <v>3364</v>
      </c>
      <c r="E50" t="s">
        <v>3361</v>
      </c>
      <c r="F50">
        <v>6216.1</v>
      </c>
      <c r="G50">
        <v>29.8</v>
      </c>
      <c r="H50">
        <v>6186.3</v>
      </c>
    </row>
    <row r="51" spans="1:8" x14ac:dyDescent="0.3">
      <c r="A51">
        <v>116</v>
      </c>
      <c r="B51" t="s">
        <v>568</v>
      </c>
      <c r="C51" s="452">
        <v>46193</v>
      </c>
      <c r="D51" t="s">
        <v>3364</v>
      </c>
      <c r="E51" t="s">
        <v>3362</v>
      </c>
      <c r="F51">
        <v>7100.5</v>
      </c>
      <c r="G51">
        <v>105.92</v>
      </c>
      <c r="H51">
        <v>6994.58</v>
      </c>
    </row>
    <row r="52" spans="1:8" x14ac:dyDescent="0.3">
      <c r="A52">
        <v>116</v>
      </c>
      <c r="B52" t="s">
        <v>568</v>
      </c>
      <c r="C52" s="452">
        <v>46193</v>
      </c>
      <c r="D52" t="s">
        <v>3364</v>
      </c>
      <c r="E52" t="s">
        <v>22</v>
      </c>
      <c r="F52">
        <v>1769.64</v>
      </c>
      <c r="G52">
        <v>0</v>
      </c>
      <c r="H52">
        <v>1769.64</v>
      </c>
    </row>
    <row r="53" spans="1:8" x14ac:dyDescent="0.3">
      <c r="A53">
        <v>116</v>
      </c>
      <c r="B53" t="s">
        <v>568</v>
      </c>
      <c r="C53" s="452">
        <v>46193</v>
      </c>
      <c r="D53" t="s">
        <v>3364</v>
      </c>
      <c r="E53" t="s">
        <v>20</v>
      </c>
      <c r="F53">
        <v>35</v>
      </c>
      <c r="G53">
        <v>0</v>
      </c>
      <c r="H53">
        <v>35</v>
      </c>
    </row>
    <row r="54" spans="1:8" x14ac:dyDescent="0.3">
      <c r="A54">
        <v>116</v>
      </c>
      <c r="B54" t="s">
        <v>568</v>
      </c>
      <c r="C54" s="452">
        <v>46193</v>
      </c>
      <c r="D54" t="s">
        <v>3364</v>
      </c>
      <c r="E54" t="s">
        <v>3363</v>
      </c>
      <c r="F54">
        <v>270</v>
      </c>
      <c r="G54">
        <v>0</v>
      </c>
      <c r="H54">
        <v>270</v>
      </c>
    </row>
    <row r="55" spans="1:8" x14ac:dyDescent="0.3">
      <c r="A55">
        <v>116</v>
      </c>
      <c r="B55" t="s">
        <v>568</v>
      </c>
      <c r="C55" s="452">
        <v>46192</v>
      </c>
      <c r="D55" t="s">
        <v>3364</v>
      </c>
      <c r="E55" t="s">
        <v>3361</v>
      </c>
      <c r="F55">
        <v>12402.2</v>
      </c>
      <c r="G55">
        <v>228.9</v>
      </c>
      <c r="H55">
        <v>12173.3</v>
      </c>
    </row>
    <row r="56" spans="1:8" x14ac:dyDescent="0.3">
      <c r="A56">
        <v>116</v>
      </c>
      <c r="B56" t="s">
        <v>568</v>
      </c>
      <c r="C56" s="452">
        <v>46192</v>
      </c>
      <c r="D56" t="s">
        <v>3364</v>
      </c>
      <c r="E56" t="s">
        <v>3362</v>
      </c>
      <c r="F56">
        <v>6499.5</v>
      </c>
      <c r="G56">
        <v>136.5</v>
      </c>
      <c r="H56">
        <v>6363</v>
      </c>
    </row>
    <row r="57" spans="1:8" x14ac:dyDescent="0.3">
      <c r="A57">
        <v>116</v>
      </c>
      <c r="B57" t="s">
        <v>568</v>
      </c>
      <c r="C57" s="452">
        <v>46192</v>
      </c>
      <c r="D57" t="s">
        <v>3364</v>
      </c>
      <c r="E57" t="s">
        <v>22</v>
      </c>
      <c r="F57">
        <v>2385.81</v>
      </c>
      <c r="G57">
        <v>0</v>
      </c>
      <c r="H57">
        <v>2385.81</v>
      </c>
    </row>
    <row r="58" spans="1:8" x14ac:dyDescent="0.3">
      <c r="A58">
        <v>116</v>
      </c>
      <c r="B58" t="s">
        <v>568</v>
      </c>
      <c r="C58" s="452">
        <v>46191</v>
      </c>
      <c r="D58" t="s">
        <v>3364</v>
      </c>
      <c r="E58" t="s">
        <v>3361</v>
      </c>
      <c r="F58">
        <v>4288.8999999999996</v>
      </c>
      <c r="G58">
        <v>18.82</v>
      </c>
      <c r="H58">
        <v>4270.08</v>
      </c>
    </row>
    <row r="59" spans="1:8" x14ac:dyDescent="0.3">
      <c r="A59">
        <v>116</v>
      </c>
      <c r="B59" t="s">
        <v>568</v>
      </c>
      <c r="C59" s="452">
        <v>46191</v>
      </c>
      <c r="D59" t="s">
        <v>3364</v>
      </c>
      <c r="E59" t="s">
        <v>3362</v>
      </c>
      <c r="F59">
        <v>4031.5</v>
      </c>
      <c r="G59">
        <v>167.48</v>
      </c>
      <c r="H59">
        <v>3864.02</v>
      </c>
    </row>
    <row r="60" spans="1:8" x14ac:dyDescent="0.3">
      <c r="A60">
        <v>116</v>
      </c>
      <c r="B60" t="s">
        <v>568</v>
      </c>
      <c r="C60" s="452">
        <v>46191</v>
      </c>
      <c r="D60" t="s">
        <v>3364</v>
      </c>
      <c r="E60" t="s">
        <v>22</v>
      </c>
      <c r="F60">
        <v>1058.1500000000001</v>
      </c>
      <c r="G60">
        <v>0</v>
      </c>
      <c r="H60">
        <v>1058.1500000000001</v>
      </c>
    </row>
    <row r="61" spans="1:8" x14ac:dyDescent="0.3">
      <c r="A61">
        <v>116</v>
      </c>
      <c r="B61" t="s">
        <v>568</v>
      </c>
      <c r="C61" s="452">
        <v>46190</v>
      </c>
      <c r="D61" t="s">
        <v>3364</v>
      </c>
      <c r="E61" t="s">
        <v>3361</v>
      </c>
      <c r="F61">
        <v>6500.7</v>
      </c>
      <c r="G61">
        <v>73.099999999999994</v>
      </c>
      <c r="H61">
        <v>6427.6</v>
      </c>
    </row>
    <row r="62" spans="1:8" x14ac:dyDescent="0.3">
      <c r="A62">
        <v>116</v>
      </c>
      <c r="B62" t="s">
        <v>568</v>
      </c>
      <c r="C62" s="452">
        <v>46190</v>
      </c>
      <c r="D62" t="s">
        <v>3364</v>
      </c>
      <c r="E62" t="s">
        <v>3362</v>
      </c>
      <c r="F62">
        <v>7704</v>
      </c>
      <c r="G62">
        <v>203.17</v>
      </c>
      <c r="H62">
        <v>7500.83</v>
      </c>
    </row>
    <row r="63" spans="1:8" x14ac:dyDescent="0.3">
      <c r="A63">
        <v>116</v>
      </c>
      <c r="B63" t="s">
        <v>568</v>
      </c>
      <c r="C63" s="452">
        <v>46190</v>
      </c>
      <c r="D63" t="s">
        <v>3364</v>
      </c>
      <c r="E63" t="s">
        <v>22</v>
      </c>
      <c r="F63">
        <v>1818.25</v>
      </c>
      <c r="G63">
        <v>0</v>
      </c>
      <c r="H63">
        <v>1818.25</v>
      </c>
    </row>
    <row r="64" spans="1:8" x14ac:dyDescent="0.3">
      <c r="A64">
        <v>116</v>
      </c>
      <c r="B64" t="s">
        <v>568</v>
      </c>
      <c r="C64" s="452">
        <v>46189</v>
      </c>
      <c r="D64" t="s">
        <v>3364</v>
      </c>
      <c r="E64" t="s">
        <v>3361</v>
      </c>
      <c r="F64">
        <v>4316.3</v>
      </c>
      <c r="G64">
        <v>151.58000000000001</v>
      </c>
      <c r="H64">
        <v>4164.72</v>
      </c>
    </row>
    <row r="65" spans="1:8" x14ac:dyDescent="0.3">
      <c r="A65">
        <v>116</v>
      </c>
      <c r="B65" t="s">
        <v>568</v>
      </c>
      <c r="C65" s="452">
        <v>46189</v>
      </c>
      <c r="D65" t="s">
        <v>3364</v>
      </c>
      <c r="E65" t="s">
        <v>3362</v>
      </c>
      <c r="F65">
        <v>4111</v>
      </c>
      <c r="G65">
        <v>553.66</v>
      </c>
      <c r="H65">
        <v>3557.34</v>
      </c>
    </row>
    <row r="66" spans="1:8" x14ac:dyDescent="0.3">
      <c r="A66">
        <v>116</v>
      </c>
      <c r="B66" t="s">
        <v>568</v>
      </c>
      <c r="C66" s="452">
        <v>46189</v>
      </c>
      <c r="D66" t="s">
        <v>3364</v>
      </c>
      <c r="E66" t="s">
        <v>22</v>
      </c>
      <c r="F66">
        <v>1009.05</v>
      </c>
      <c r="G66">
        <v>0</v>
      </c>
      <c r="H66">
        <v>1009.05</v>
      </c>
    </row>
    <row r="67" spans="1:8" x14ac:dyDescent="0.3">
      <c r="A67">
        <v>116</v>
      </c>
      <c r="B67" t="s">
        <v>568</v>
      </c>
      <c r="C67" s="452">
        <v>46188</v>
      </c>
      <c r="D67" t="s">
        <v>3364</v>
      </c>
      <c r="E67" t="s">
        <v>3362</v>
      </c>
      <c r="F67">
        <v>2127</v>
      </c>
      <c r="G67">
        <v>337.1</v>
      </c>
      <c r="H67">
        <v>1789.9</v>
      </c>
    </row>
    <row r="68" spans="1:8" x14ac:dyDescent="0.3">
      <c r="A68">
        <v>116</v>
      </c>
      <c r="B68" t="s">
        <v>568</v>
      </c>
      <c r="C68" s="452">
        <v>46188</v>
      </c>
      <c r="D68" t="s">
        <v>3364</v>
      </c>
      <c r="E68" t="s">
        <v>3361</v>
      </c>
      <c r="F68">
        <v>1313.9</v>
      </c>
      <c r="G68">
        <v>59.3</v>
      </c>
      <c r="H68">
        <v>1254.5999999999999</v>
      </c>
    </row>
    <row r="69" spans="1:8" x14ac:dyDescent="0.3">
      <c r="A69">
        <v>116</v>
      </c>
      <c r="B69" t="s">
        <v>568</v>
      </c>
      <c r="C69" s="452">
        <v>46188</v>
      </c>
      <c r="D69" t="s">
        <v>3364</v>
      </c>
      <c r="E69" t="s">
        <v>20</v>
      </c>
      <c r="F69">
        <v>16</v>
      </c>
      <c r="G69">
        <v>0</v>
      </c>
      <c r="H69">
        <v>16</v>
      </c>
    </row>
    <row r="70" spans="1:8" x14ac:dyDescent="0.3">
      <c r="A70">
        <v>116</v>
      </c>
      <c r="B70" t="s">
        <v>568</v>
      </c>
      <c r="C70" s="452">
        <v>46188</v>
      </c>
      <c r="D70" t="s">
        <v>3364</v>
      </c>
      <c r="E70" t="s">
        <v>22</v>
      </c>
      <c r="F70">
        <v>413.56</v>
      </c>
      <c r="G70">
        <v>0</v>
      </c>
      <c r="H70">
        <v>413.56</v>
      </c>
    </row>
    <row r="71" spans="1:8" x14ac:dyDescent="0.3">
      <c r="A71">
        <v>116</v>
      </c>
      <c r="B71" t="s">
        <v>568</v>
      </c>
      <c r="C71" s="452">
        <v>46186</v>
      </c>
      <c r="D71" t="s">
        <v>3364</v>
      </c>
      <c r="E71" t="s">
        <v>3361</v>
      </c>
      <c r="F71">
        <v>11199.7</v>
      </c>
      <c r="G71">
        <v>290.54000000000002</v>
      </c>
      <c r="H71">
        <v>10909.16</v>
      </c>
    </row>
    <row r="72" spans="1:8" x14ac:dyDescent="0.3">
      <c r="A72">
        <v>116</v>
      </c>
      <c r="B72" t="s">
        <v>568</v>
      </c>
      <c r="C72" s="452">
        <v>46186</v>
      </c>
      <c r="D72" t="s">
        <v>3364</v>
      </c>
      <c r="E72" t="s">
        <v>3362</v>
      </c>
      <c r="F72">
        <v>8578</v>
      </c>
      <c r="G72">
        <v>153.6</v>
      </c>
      <c r="H72">
        <v>8424.4</v>
      </c>
    </row>
    <row r="73" spans="1:8" x14ac:dyDescent="0.3">
      <c r="A73">
        <v>116</v>
      </c>
      <c r="B73" t="s">
        <v>568</v>
      </c>
      <c r="C73" s="452">
        <v>46186</v>
      </c>
      <c r="D73" t="s">
        <v>3364</v>
      </c>
      <c r="E73" t="s">
        <v>22</v>
      </c>
      <c r="F73">
        <v>2563.79</v>
      </c>
      <c r="G73">
        <v>0</v>
      </c>
      <c r="H73">
        <v>2563.79</v>
      </c>
    </row>
    <row r="74" spans="1:8" x14ac:dyDescent="0.3">
      <c r="A74">
        <v>116</v>
      </c>
      <c r="B74" t="s">
        <v>568</v>
      </c>
      <c r="C74" s="452">
        <v>46186</v>
      </c>
      <c r="D74" t="s">
        <v>3364</v>
      </c>
      <c r="E74" t="s">
        <v>3363</v>
      </c>
      <c r="F74">
        <v>390</v>
      </c>
      <c r="G74">
        <v>0</v>
      </c>
      <c r="H74">
        <v>390</v>
      </c>
    </row>
    <row r="75" spans="1:8" x14ac:dyDescent="0.3">
      <c r="A75">
        <v>116</v>
      </c>
      <c r="B75" t="s">
        <v>568</v>
      </c>
      <c r="C75" s="452">
        <v>46185</v>
      </c>
      <c r="D75" t="s">
        <v>3364</v>
      </c>
      <c r="E75" t="s">
        <v>3361</v>
      </c>
      <c r="F75">
        <v>7242.3</v>
      </c>
      <c r="G75">
        <v>71.02</v>
      </c>
      <c r="H75">
        <v>7171.28</v>
      </c>
    </row>
    <row r="76" spans="1:8" x14ac:dyDescent="0.3">
      <c r="A76">
        <v>116</v>
      </c>
      <c r="B76" t="s">
        <v>568</v>
      </c>
      <c r="C76" s="452">
        <v>46185</v>
      </c>
      <c r="D76" t="s">
        <v>3364</v>
      </c>
      <c r="E76" t="s">
        <v>3362</v>
      </c>
      <c r="F76">
        <v>5989</v>
      </c>
      <c r="G76">
        <v>266.58999999999997</v>
      </c>
      <c r="H76">
        <v>5722.41</v>
      </c>
    </row>
    <row r="77" spans="1:8" x14ac:dyDescent="0.3">
      <c r="A77">
        <v>116</v>
      </c>
      <c r="B77" t="s">
        <v>568</v>
      </c>
      <c r="C77" s="452">
        <v>46185</v>
      </c>
      <c r="D77" t="s">
        <v>3364</v>
      </c>
      <c r="E77" t="s">
        <v>22</v>
      </c>
      <c r="F77">
        <v>1673.37</v>
      </c>
      <c r="G77">
        <v>0</v>
      </c>
      <c r="H77">
        <v>1673.37</v>
      </c>
    </row>
    <row r="78" spans="1:8" x14ac:dyDescent="0.3">
      <c r="A78">
        <v>116</v>
      </c>
      <c r="B78" t="s">
        <v>568</v>
      </c>
      <c r="C78" s="452">
        <v>46185</v>
      </c>
      <c r="D78" t="s">
        <v>3364</v>
      </c>
      <c r="E78" t="s">
        <v>20</v>
      </c>
      <c r="F78">
        <v>256</v>
      </c>
      <c r="G78">
        <v>0</v>
      </c>
      <c r="H78">
        <v>256</v>
      </c>
    </row>
    <row r="79" spans="1:8" x14ac:dyDescent="0.3">
      <c r="A79">
        <v>116</v>
      </c>
      <c r="B79" t="s">
        <v>568</v>
      </c>
      <c r="C79" s="452">
        <v>46184</v>
      </c>
      <c r="D79" t="s">
        <v>3364</v>
      </c>
      <c r="E79" t="s">
        <v>3361</v>
      </c>
      <c r="F79">
        <v>4506.7</v>
      </c>
      <c r="G79">
        <v>47.82</v>
      </c>
      <c r="H79">
        <v>4458.88</v>
      </c>
    </row>
    <row r="80" spans="1:8" x14ac:dyDescent="0.3">
      <c r="A80">
        <v>116</v>
      </c>
      <c r="B80" t="s">
        <v>568</v>
      </c>
      <c r="C80" s="452">
        <v>46184</v>
      </c>
      <c r="D80" t="s">
        <v>3364</v>
      </c>
      <c r="E80" t="s">
        <v>3362</v>
      </c>
      <c r="F80">
        <v>4212</v>
      </c>
      <c r="G80">
        <v>351.92</v>
      </c>
      <c r="H80">
        <v>3860.08</v>
      </c>
    </row>
    <row r="81" spans="1:8" x14ac:dyDescent="0.3">
      <c r="A81">
        <v>116</v>
      </c>
      <c r="B81" t="s">
        <v>568</v>
      </c>
      <c r="C81" s="452">
        <v>46184</v>
      </c>
      <c r="D81" t="s">
        <v>3364</v>
      </c>
      <c r="E81" t="s">
        <v>20</v>
      </c>
      <c r="F81">
        <v>48</v>
      </c>
      <c r="G81">
        <v>0</v>
      </c>
      <c r="H81">
        <v>48</v>
      </c>
    </row>
    <row r="82" spans="1:8" x14ac:dyDescent="0.3">
      <c r="A82">
        <v>116</v>
      </c>
      <c r="B82" t="s">
        <v>568</v>
      </c>
      <c r="C82" s="452">
        <v>46184</v>
      </c>
      <c r="D82" t="s">
        <v>3364</v>
      </c>
      <c r="E82" t="s">
        <v>22</v>
      </c>
      <c r="F82">
        <v>1074.98</v>
      </c>
      <c r="G82">
        <v>0</v>
      </c>
      <c r="H82">
        <v>1074.98</v>
      </c>
    </row>
    <row r="83" spans="1:8" x14ac:dyDescent="0.3">
      <c r="A83">
        <v>116</v>
      </c>
      <c r="B83" t="s">
        <v>568</v>
      </c>
      <c r="C83" s="452">
        <v>46183</v>
      </c>
      <c r="D83" t="s">
        <v>3364</v>
      </c>
      <c r="E83" t="s">
        <v>3361</v>
      </c>
      <c r="F83">
        <v>6847.4</v>
      </c>
      <c r="G83">
        <v>149.97</v>
      </c>
      <c r="H83">
        <v>6697.43</v>
      </c>
    </row>
    <row r="84" spans="1:8" x14ac:dyDescent="0.3">
      <c r="A84">
        <v>116</v>
      </c>
      <c r="B84" t="s">
        <v>568</v>
      </c>
      <c r="C84" s="452">
        <v>46183</v>
      </c>
      <c r="D84" t="s">
        <v>3364</v>
      </c>
      <c r="E84" t="s">
        <v>3362</v>
      </c>
      <c r="F84">
        <v>5882</v>
      </c>
      <c r="G84">
        <v>83.1</v>
      </c>
      <c r="H84">
        <v>5798.9</v>
      </c>
    </row>
    <row r="85" spans="1:8" x14ac:dyDescent="0.3">
      <c r="A85">
        <v>116</v>
      </c>
      <c r="B85" t="s">
        <v>568</v>
      </c>
      <c r="C85" s="452">
        <v>46183</v>
      </c>
      <c r="D85" t="s">
        <v>3364</v>
      </c>
      <c r="E85" t="s">
        <v>22</v>
      </c>
      <c r="F85">
        <v>1563.74</v>
      </c>
      <c r="G85">
        <v>0</v>
      </c>
      <c r="H85">
        <v>1563.74</v>
      </c>
    </row>
    <row r="86" spans="1:8" x14ac:dyDescent="0.3">
      <c r="A86">
        <v>116</v>
      </c>
      <c r="B86" t="s">
        <v>568</v>
      </c>
      <c r="C86" s="452">
        <v>46183</v>
      </c>
      <c r="D86" t="s">
        <v>3364</v>
      </c>
      <c r="E86" t="s">
        <v>20</v>
      </c>
      <c r="F86">
        <v>16</v>
      </c>
      <c r="G86">
        <v>0</v>
      </c>
      <c r="H86">
        <v>16</v>
      </c>
    </row>
    <row r="87" spans="1:8" x14ac:dyDescent="0.3">
      <c r="A87">
        <v>116</v>
      </c>
      <c r="B87" t="s">
        <v>568</v>
      </c>
      <c r="C87" s="452">
        <v>46182</v>
      </c>
      <c r="D87" t="s">
        <v>3364</v>
      </c>
      <c r="E87" t="s">
        <v>3361</v>
      </c>
      <c r="F87">
        <v>4793</v>
      </c>
      <c r="G87">
        <v>90.56</v>
      </c>
      <c r="H87">
        <v>4702.4399999999996</v>
      </c>
    </row>
    <row r="88" spans="1:8" x14ac:dyDescent="0.3">
      <c r="A88">
        <v>116</v>
      </c>
      <c r="B88" t="s">
        <v>568</v>
      </c>
      <c r="C88" s="452">
        <v>46182</v>
      </c>
      <c r="D88" t="s">
        <v>3364</v>
      </c>
      <c r="E88" t="s">
        <v>3362</v>
      </c>
      <c r="F88">
        <v>4183.5</v>
      </c>
      <c r="G88">
        <v>110.8</v>
      </c>
      <c r="H88">
        <v>4072.7</v>
      </c>
    </row>
    <row r="89" spans="1:8" x14ac:dyDescent="0.3">
      <c r="A89">
        <v>116</v>
      </c>
      <c r="B89" t="s">
        <v>568</v>
      </c>
      <c r="C89" s="452">
        <v>46182</v>
      </c>
      <c r="D89" t="s">
        <v>3364</v>
      </c>
      <c r="E89" t="s">
        <v>22</v>
      </c>
      <c r="F89">
        <v>1159.21</v>
      </c>
      <c r="G89">
        <v>0</v>
      </c>
      <c r="H89">
        <v>1159.21</v>
      </c>
    </row>
    <row r="90" spans="1:8" x14ac:dyDescent="0.3">
      <c r="A90">
        <v>116</v>
      </c>
      <c r="B90" t="s">
        <v>568</v>
      </c>
      <c r="C90" s="452">
        <v>46182</v>
      </c>
      <c r="D90" t="s">
        <v>3364</v>
      </c>
      <c r="E90" t="s">
        <v>20</v>
      </c>
      <c r="F90">
        <v>64</v>
      </c>
      <c r="G90">
        <v>0</v>
      </c>
      <c r="H90">
        <v>64</v>
      </c>
    </row>
    <row r="91" spans="1:8" x14ac:dyDescent="0.3">
      <c r="A91">
        <v>116</v>
      </c>
      <c r="B91" t="s">
        <v>568</v>
      </c>
      <c r="C91" s="452">
        <v>46181</v>
      </c>
      <c r="D91" t="s">
        <v>3364</v>
      </c>
      <c r="E91" t="s">
        <v>3361</v>
      </c>
      <c r="F91">
        <v>2391.1</v>
      </c>
      <c r="G91">
        <v>11.7</v>
      </c>
      <c r="H91">
        <v>2379.4</v>
      </c>
    </row>
    <row r="92" spans="1:8" x14ac:dyDescent="0.3">
      <c r="A92">
        <v>116</v>
      </c>
      <c r="B92" t="s">
        <v>568</v>
      </c>
      <c r="C92" s="452">
        <v>46181</v>
      </c>
      <c r="D92" t="s">
        <v>3364</v>
      </c>
      <c r="E92" t="s">
        <v>3362</v>
      </c>
      <c r="F92">
        <v>2068.9</v>
      </c>
      <c r="G92">
        <v>88.72</v>
      </c>
      <c r="H92">
        <v>1980.18</v>
      </c>
    </row>
    <row r="93" spans="1:8" x14ac:dyDescent="0.3">
      <c r="A93">
        <v>116</v>
      </c>
      <c r="B93" t="s">
        <v>568</v>
      </c>
      <c r="C93" s="452">
        <v>46181</v>
      </c>
      <c r="D93" t="s">
        <v>3364</v>
      </c>
      <c r="E93" t="s">
        <v>22</v>
      </c>
      <c r="F93">
        <v>547.54999999999995</v>
      </c>
      <c r="G93">
        <v>0</v>
      </c>
      <c r="H93">
        <v>547.54999999999995</v>
      </c>
    </row>
    <row r="94" spans="1:8" x14ac:dyDescent="0.3">
      <c r="A94">
        <v>116</v>
      </c>
      <c r="B94" t="s">
        <v>568</v>
      </c>
      <c r="C94" s="452">
        <v>46179</v>
      </c>
      <c r="D94" t="s">
        <v>3364</v>
      </c>
      <c r="E94" t="s">
        <v>3361</v>
      </c>
      <c r="F94">
        <v>16993.5</v>
      </c>
      <c r="G94">
        <v>208.13</v>
      </c>
      <c r="H94">
        <v>16785.37</v>
      </c>
    </row>
    <row r="95" spans="1:8" x14ac:dyDescent="0.3">
      <c r="A95">
        <v>116</v>
      </c>
      <c r="B95" t="s">
        <v>568</v>
      </c>
      <c r="C95" s="452">
        <v>46179</v>
      </c>
      <c r="D95" t="s">
        <v>3364</v>
      </c>
      <c r="E95" t="s">
        <v>3362</v>
      </c>
      <c r="F95">
        <v>11474</v>
      </c>
      <c r="G95">
        <v>252.47</v>
      </c>
      <c r="H95">
        <v>11221.53</v>
      </c>
    </row>
    <row r="96" spans="1:8" x14ac:dyDescent="0.3">
      <c r="A96">
        <v>116</v>
      </c>
      <c r="B96" t="s">
        <v>568</v>
      </c>
      <c r="C96" s="452">
        <v>46179</v>
      </c>
      <c r="D96" t="s">
        <v>3364</v>
      </c>
      <c r="E96" t="s">
        <v>22</v>
      </c>
      <c r="F96">
        <v>3682.67</v>
      </c>
      <c r="G96">
        <v>0</v>
      </c>
      <c r="H96">
        <v>3682.67</v>
      </c>
    </row>
    <row r="97" spans="1:8" x14ac:dyDescent="0.3">
      <c r="A97">
        <v>116</v>
      </c>
      <c r="B97" t="s">
        <v>568</v>
      </c>
      <c r="C97" s="452">
        <v>46179</v>
      </c>
      <c r="D97" t="s">
        <v>3364</v>
      </c>
      <c r="E97" t="s">
        <v>20</v>
      </c>
      <c r="F97">
        <v>112</v>
      </c>
      <c r="G97">
        <v>0</v>
      </c>
      <c r="H97">
        <v>112</v>
      </c>
    </row>
    <row r="98" spans="1:8" x14ac:dyDescent="0.3">
      <c r="A98">
        <v>116</v>
      </c>
      <c r="B98" t="s">
        <v>568</v>
      </c>
      <c r="C98" s="452">
        <v>46179</v>
      </c>
      <c r="D98" t="s">
        <v>3364</v>
      </c>
      <c r="E98" t="s">
        <v>3363</v>
      </c>
      <c r="F98">
        <v>315</v>
      </c>
      <c r="G98">
        <v>0</v>
      </c>
      <c r="H98">
        <v>315</v>
      </c>
    </row>
    <row r="99" spans="1:8" x14ac:dyDescent="0.3">
      <c r="A99">
        <v>116</v>
      </c>
      <c r="B99" t="s">
        <v>568</v>
      </c>
      <c r="C99" s="452">
        <v>46178</v>
      </c>
      <c r="D99" t="s">
        <v>3364</v>
      </c>
      <c r="E99" t="s">
        <v>3361</v>
      </c>
      <c r="F99">
        <v>13821.7</v>
      </c>
      <c r="G99">
        <v>101.89</v>
      </c>
      <c r="H99">
        <v>13719.81</v>
      </c>
    </row>
    <row r="100" spans="1:8" x14ac:dyDescent="0.3">
      <c r="A100">
        <v>116</v>
      </c>
      <c r="B100" t="s">
        <v>568</v>
      </c>
      <c r="C100" s="452">
        <v>46178</v>
      </c>
      <c r="D100" t="s">
        <v>3364</v>
      </c>
      <c r="E100" t="s">
        <v>3362</v>
      </c>
      <c r="F100">
        <v>11891.5</v>
      </c>
      <c r="G100">
        <v>382.8</v>
      </c>
      <c r="H100">
        <v>11508.7</v>
      </c>
    </row>
    <row r="101" spans="1:8" x14ac:dyDescent="0.3">
      <c r="A101">
        <v>116</v>
      </c>
      <c r="B101" t="s">
        <v>568</v>
      </c>
      <c r="C101" s="452">
        <v>46178</v>
      </c>
      <c r="D101" t="s">
        <v>3364</v>
      </c>
      <c r="E101" t="s">
        <v>22</v>
      </c>
      <c r="F101">
        <v>3335.4</v>
      </c>
      <c r="G101">
        <v>0</v>
      </c>
      <c r="H101">
        <v>3335.4</v>
      </c>
    </row>
    <row r="102" spans="1:8" x14ac:dyDescent="0.3">
      <c r="A102">
        <v>116</v>
      </c>
      <c r="B102" t="s">
        <v>568</v>
      </c>
      <c r="C102" s="452">
        <v>46178</v>
      </c>
      <c r="D102" t="s">
        <v>3364</v>
      </c>
      <c r="E102" t="s">
        <v>20</v>
      </c>
      <c r="F102">
        <v>32</v>
      </c>
      <c r="G102">
        <v>0</v>
      </c>
      <c r="H102">
        <v>32</v>
      </c>
    </row>
    <row r="103" spans="1:8" x14ac:dyDescent="0.3">
      <c r="A103">
        <v>116</v>
      </c>
      <c r="B103" t="s">
        <v>568</v>
      </c>
      <c r="C103" s="452">
        <v>46177</v>
      </c>
      <c r="D103" t="s">
        <v>3364</v>
      </c>
      <c r="E103" t="s">
        <v>3362</v>
      </c>
      <c r="F103">
        <v>5700</v>
      </c>
      <c r="G103">
        <v>423.68</v>
      </c>
      <c r="H103">
        <v>5276.32</v>
      </c>
    </row>
    <row r="104" spans="1:8" x14ac:dyDescent="0.3">
      <c r="A104">
        <v>116</v>
      </c>
      <c r="B104" t="s">
        <v>568</v>
      </c>
      <c r="C104" s="452">
        <v>46177</v>
      </c>
      <c r="D104" t="s">
        <v>3364</v>
      </c>
      <c r="E104" t="s">
        <v>3361</v>
      </c>
      <c r="F104">
        <v>6309.3</v>
      </c>
      <c r="G104">
        <v>89.23</v>
      </c>
      <c r="H104">
        <v>6220.07</v>
      </c>
    </row>
    <row r="105" spans="1:8" x14ac:dyDescent="0.3">
      <c r="A105">
        <v>116</v>
      </c>
      <c r="B105" t="s">
        <v>568</v>
      </c>
      <c r="C105" s="452">
        <v>46177</v>
      </c>
      <c r="D105" t="s">
        <v>3364</v>
      </c>
      <c r="E105" t="s">
        <v>22</v>
      </c>
      <c r="F105">
        <v>1524.49</v>
      </c>
      <c r="G105">
        <v>0</v>
      </c>
      <c r="H105">
        <v>1524.49</v>
      </c>
    </row>
    <row r="106" spans="1:8" x14ac:dyDescent="0.3">
      <c r="A106">
        <v>116</v>
      </c>
      <c r="B106" t="s">
        <v>568</v>
      </c>
      <c r="C106" s="452">
        <v>46176</v>
      </c>
      <c r="D106" t="s">
        <v>3364</v>
      </c>
      <c r="E106" t="s">
        <v>3361</v>
      </c>
      <c r="F106">
        <v>7686.7</v>
      </c>
      <c r="G106">
        <v>7.54</v>
      </c>
      <c r="H106">
        <v>7679.16</v>
      </c>
    </row>
    <row r="107" spans="1:8" x14ac:dyDescent="0.3">
      <c r="A107">
        <v>116</v>
      </c>
      <c r="B107" t="s">
        <v>568</v>
      </c>
      <c r="C107" s="452">
        <v>46176</v>
      </c>
      <c r="D107" t="s">
        <v>3364</v>
      </c>
      <c r="E107" t="s">
        <v>3362</v>
      </c>
      <c r="F107">
        <v>6483.5</v>
      </c>
      <c r="G107">
        <v>57.31</v>
      </c>
      <c r="H107">
        <v>6426.19</v>
      </c>
    </row>
    <row r="108" spans="1:8" x14ac:dyDescent="0.3">
      <c r="A108">
        <v>116</v>
      </c>
      <c r="B108" t="s">
        <v>568</v>
      </c>
      <c r="C108" s="452">
        <v>46176</v>
      </c>
      <c r="D108" t="s">
        <v>3364</v>
      </c>
      <c r="E108" t="s">
        <v>22</v>
      </c>
      <c r="F108">
        <v>1788.38</v>
      </c>
      <c r="G108">
        <v>0</v>
      </c>
      <c r="H108">
        <v>1788.38</v>
      </c>
    </row>
    <row r="109" spans="1:8" x14ac:dyDescent="0.3">
      <c r="A109">
        <v>116</v>
      </c>
      <c r="B109" t="s">
        <v>568</v>
      </c>
      <c r="C109" s="452">
        <v>46176</v>
      </c>
      <c r="D109" t="s">
        <v>3364</v>
      </c>
      <c r="E109" t="s">
        <v>20</v>
      </c>
      <c r="F109">
        <v>32</v>
      </c>
      <c r="G109">
        <v>0</v>
      </c>
      <c r="H109">
        <v>32</v>
      </c>
    </row>
    <row r="110" spans="1:8" x14ac:dyDescent="0.3">
      <c r="A110">
        <v>116</v>
      </c>
      <c r="B110" t="s">
        <v>568</v>
      </c>
      <c r="C110" s="452">
        <v>46175</v>
      </c>
      <c r="D110" t="s">
        <v>3364</v>
      </c>
      <c r="E110" t="s">
        <v>3361</v>
      </c>
      <c r="F110">
        <v>5451.5</v>
      </c>
      <c r="G110">
        <v>140.37</v>
      </c>
      <c r="H110">
        <v>5311.13</v>
      </c>
    </row>
    <row r="111" spans="1:8" x14ac:dyDescent="0.3">
      <c r="A111">
        <v>116</v>
      </c>
      <c r="B111" t="s">
        <v>568</v>
      </c>
      <c r="C111" s="452">
        <v>46175</v>
      </c>
      <c r="D111" t="s">
        <v>3364</v>
      </c>
      <c r="E111" t="s">
        <v>3362</v>
      </c>
      <c r="F111">
        <v>8042.5</v>
      </c>
      <c r="G111">
        <v>614.25</v>
      </c>
      <c r="H111">
        <v>7428.25</v>
      </c>
    </row>
    <row r="112" spans="1:8" x14ac:dyDescent="0.3">
      <c r="A112">
        <v>116</v>
      </c>
      <c r="B112" t="s">
        <v>568</v>
      </c>
      <c r="C112" s="452">
        <v>46175</v>
      </c>
      <c r="D112" t="s">
        <v>3364</v>
      </c>
      <c r="E112" t="s">
        <v>22</v>
      </c>
      <c r="F112">
        <v>1652.47</v>
      </c>
      <c r="G112">
        <v>0</v>
      </c>
      <c r="H112">
        <v>1652.47</v>
      </c>
    </row>
    <row r="113" spans="1:8" x14ac:dyDescent="0.3">
      <c r="A113">
        <v>116</v>
      </c>
      <c r="B113" t="s">
        <v>568</v>
      </c>
      <c r="C113" s="452">
        <v>46175</v>
      </c>
      <c r="D113" t="s">
        <v>3364</v>
      </c>
      <c r="E113" t="s">
        <v>20</v>
      </c>
      <c r="F113">
        <v>32</v>
      </c>
      <c r="G113">
        <v>0</v>
      </c>
      <c r="H113">
        <v>32</v>
      </c>
    </row>
    <row r="114" spans="1:8" x14ac:dyDescent="0.3">
      <c r="A114">
        <v>116</v>
      </c>
      <c r="B114" t="s">
        <v>568</v>
      </c>
      <c r="C114" s="452">
        <v>46174</v>
      </c>
      <c r="D114" t="s">
        <v>3364</v>
      </c>
      <c r="E114" t="s">
        <v>3362</v>
      </c>
      <c r="F114">
        <v>2746</v>
      </c>
      <c r="G114">
        <v>7.7</v>
      </c>
      <c r="H114">
        <v>2738.3</v>
      </c>
    </row>
    <row r="115" spans="1:8" x14ac:dyDescent="0.3">
      <c r="A115">
        <v>116</v>
      </c>
      <c r="B115" t="s">
        <v>568</v>
      </c>
      <c r="C115" s="452">
        <v>46174</v>
      </c>
      <c r="D115" t="s">
        <v>3364</v>
      </c>
      <c r="E115" t="s">
        <v>3361</v>
      </c>
      <c r="F115">
        <v>2681</v>
      </c>
      <c r="G115">
        <v>0</v>
      </c>
      <c r="H115">
        <v>2681</v>
      </c>
    </row>
    <row r="116" spans="1:8" x14ac:dyDescent="0.3">
      <c r="A116">
        <v>116</v>
      </c>
      <c r="B116" t="s">
        <v>568</v>
      </c>
      <c r="C116" s="452">
        <v>46174</v>
      </c>
      <c r="D116" t="s">
        <v>3364</v>
      </c>
      <c r="E116" t="s">
        <v>22</v>
      </c>
      <c r="F116">
        <v>692.38</v>
      </c>
      <c r="G116">
        <v>0</v>
      </c>
      <c r="H116">
        <v>692.38</v>
      </c>
    </row>
    <row r="117" spans="1:8" x14ac:dyDescent="0.3">
      <c r="A117">
        <v>116</v>
      </c>
      <c r="B117" t="s">
        <v>568</v>
      </c>
      <c r="C117" s="452">
        <v>46172</v>
      </c>
      <c r="D117" t="s">
        <v>3365</v>
      </c>
      <c r="E117" t="s">
        <v>3361</v>
      </c>
      <c r="F117">
        <v>10157.4</v>
      </c>
      <c r="G117">
        <v>196.15</v>
      </c>
      <c r="H117">
        <v>9961.25</v>
      </c>
    </row>
    <row r="118" spans="1:8" x14ac:dyDescent="0.3">
      <c r="A118">
        <v>116</v>
      </c>
      <c r="B118" t="s">
        <v>568</v>
      </c>
      <c r="C118" s="452">
        <v>46172</v>
      </c>
      <c r="D118" t="s">
        <v>3365</v>
      </c>
      <c r="E118" t="s">
        <v>3362</v>
      </c>
      <c r="F118">
        <v>9050</v>
      </c>
      <c r="G118">
        <v>92.1</v>
      </c>
      <c r="H118">
        <v>8957.9</v>
      </c>
    </row>
    <row r="119" spans="1:8" x14ac:dyDescent="0.3">
      <c r="A119">
        <v>116</v>
      </c>
      <c r="B119" t="s">
        <v>568</v>
      </c>
      <c r="C119" s="452">
        <v>46172</v>
      </c>
      <c r="D119" t="s">
        <v>3365</v>
      </c>
      <c r="E119" t="s">
        <v>22</v>
      </c>
      <c r="F119">
        <v>2489.61</v>
      </c>
      <c r="G119">
        <v>0</v>
      </c>
      <c r="H119">
        <v>2489.61</v>
      </c>
    </row>
    <row r="120" spans="1:8" x14ac:dyDescent="0.3">
      <c r="A120">
        <v>116</v>
      </c>
      <c r="B120" t="s">
        <v>568</v>
      </c>
      <c r="C120" s="452">
        <v>46172</v>
      </c>
      <c r="D120" t="s">
        <v>3365</v>
      </c>
      <c r="E120" t="s">
        <v>20</v>
      </c>
      <c r="F120">
        <v>16</v>
      </c>
      <c r="G120">
        <v>0</v>
      </c>
      <c r="H120">
        <v>16</v>
      </c>
    </row>
    <row r="121" spans="1:8" x14ac:dyDescent="0.3">
      <c r="A121">
        <v>116</v>
      </c>
      <c r="B121" t="s">
        <v>568</v>
      </c>
      <c r="C121" s="452">
        <v>46172</v>
      </c>
      <c r="D121" t="s">
        <v>3365</v>
      </c>
      <c r="E121" t="s">
        <v>3363</v>
      </c>
      <c r="F121">
        <v>525</v>
      </c>
      <c r="G121">
        <v>0</v>
      </c>
      <c r="H121">
        <v>525</v>
      </c>
    </row>
    <row r="122" spans="1:8" x14ac:dyDescent="0.3">
      <c r="A122">
        <v>116</v>
      </c>
      <c r="B122" t="s">
        <v>568</v>
      </c>
      <c r="C122" s="452">
        <v>46171</v>
      </c>
      <c r="D122" t="s">
        <v>3365</v>
      </c>
      <c r="E122" t="s">
        <v>3361</v>
      </c>
      <c r="F122">
        <v>11166.8</v>
      </c>
      <c r="G122">
        <v>76.42</v>
      </c>
      <c r="H122">
        <v>11090.38</v>
      </c>
    </row>
    <row r="123" spans="1:8" x14ac:dyDescent="0.3">
      <c r="A123">
        <v>116</v>
      </c>
      <c r="B123" t="s">
        <v>568</v>
      </c>
      <c r="C123" s="452">
        <v>46171</v>
      </c>
      <c r="D123" t="s">
        <v>3365</v>
      </c>
      <c r="E123" t="s">
        <v>3362</v>
      </c>
      <c r="F123">
        <v>8112</v>
      </c>
      <c r="G123">
        <v>141.80000000000001</v>
      </c>
      <c r="H123">
        <v>7970.2</v>
      </c>
    </row>
    <row r="124" spans="1:8" x14ac:dyDescent="0.3">
      <c r="A124">
        <v>116</v>
      </c>
      <c r="B124" t="s">
        <v>568</v>
      </c>
      <c r="C124" s="452">
        <v>46171</v>
      </c>
      <c r="D124" t="s">
        <v>3365</v>
      </c>
      <c r="E124" t="s">
        <v>22</v>
      </c>
      <c r="F124">
        <v>2402.23</v>
      </c>
      <c r="G124">
        <v>0</v>
      </c>
      <c r="H124">
        <v>2402.23</v>
      </c>
    </row>
    <row r="125" spans="1:8" x14ac:dyDescent="0.3">
      <c r="A125">
        <v>116</v>
      </c>
      <c r="B125" t="s">
        <v>568</v>
      </c>
      <c r="C125" s="452">
        <v>46170</v>
      </c>
      <c r="D125" t="s">
        <v>3365</v>
      </c>
      <c r="E125" t="s">
        <v>3361</v>
      </c>
      <c r="F125">
        <v>5476.3</v>
      </c>
      <c r="G125">
        <v>12.6</v>
      </c>
      <c r="H125">
        <v>5463.7</v>
      </c>
    </row>
    <row r="126" spans="1:8" x14ac:dyDescent="0.3">
      <c r="A126">
        <v>116</v>
      </c>
      <c r="B126" t="s">
        <v>568</v>
      </c>
      <c r="C126" s="452">
        <v>46170</v>
      </c>
      <c r="D126" t="s">
        <v>3365</v>
      </c>
      <c r="E126" t="s">
        <v>3362</v>
      </c>
      <c r="F126">
        <v>7338.5</v>
      </c>
      <c r="G126">
        <v>92.3</v>
      </c>
      <c r="H126">
        <v>7246.2</v>
      </c>
    </row>
    <row r="127" spans="1:8" x14ac:dyDescent="0.3">
      <c r="A127">
        <v>116</v>
      </c>
      <c r="B127" t="s">
        <v>568</v>
      </c>
      <c r="C127" s="452">
        <v>46170</v>
      </c>
      <c r="D127" t="s">
        <v>3365</v>
      </c>
      <c r="E127" t="s">
        <v>22</v>
      </c>
      <c r="F127">
        <v>1599.07</v>
      </c>
      <c r="G127">
        <v>0</v>
      </c>
      <c r="H127">
        <v>1599.07</v>
      </c>
    </row>
    <row r="128" spans="1:8" x14ac:dyDescent="0.3">
      <c r="A128">
        <v>116</v>
      </c>
      <c r="B128" t="s">
        <v>568</v>
      </c>
      <c r="C128" s="452">
        <v>46169</v>
      </c>
      <c r="D128" t="s">
        <v>3365</v>
      </c>
      <c r="E128" t="s">
        <v>3361</v>
      </c>
      <c r="F128">
        <v>5829.1</v>
      </c>
      <c r="G128">
        <v>61.18</v>
      </c>
      <c r="H128">
        <v>5767.92</v>
      </c>
    </row>
    <row r="129" spans="1:8" x14ac:dyDescent="0.3">
      <c r="A129">
        <v>116</v>
      </c>
      <c r="B129" t="s">
        <v>568</v>
      </c>
      <c r="C129" s="452">
        <v>46169</v>
      </c>
      <c r="D129" t="s">
        <v>3365</v>
      </c>
      <c r="E129" t="s">
        <v>3362</v>
      </c>
      <c r="F129">
        <v>5094</v>
      </c>
      <c r="G129">
        <v>247.73</v>
      </c>
      <c r="H129">
        <v>4846.2700000000004</v>
      </c>
    </row>
    <row r="130" spans="1:8" x14ac:dyDescent="0.3">
      <c r="A130">
        <v>116</v>
      </c>
      <c r="B130" t="s">
        <v>568</v>
      </c>
      <c r="C130" s="452">
        <v>46169</v>
      </c>
      <c r="D130" t="s">
        <v>3365</v>
      </c>
      <c r="E130" t="s">
        <v>22</v>
      </c>
      <c r="F130">
        <v>1372.36</v>
      </c>
      <c r="G130">
        <v>0</v>
      </c>
      <c r="H130">
        <v>1372.36</v>
      </c>
    </row>
    <row r="131" spans="1:8" x14ac:dyDescent="0.3">
      <c r="A131">
        <v>116</v>
      </c>
      <c r="B131" t="s">
        <v>568</v>
      </c>
      <c r="C131" s="452">
        <v>46169</v>
      </c>
      <c r="D131" t="s">
        <v>3365</v>
      </c>
      <c r="E131" t="s">
        <v>20</v>
      </c>
      <c r="F131">
        <v>40</v>
      </c>
      <c r="G131">
        <v>0</v>
      </c>
      <c r="H131">
        <v>40</v>
      </c>
    </row>
    <row r="132" spans="1:8" x14ac:dyDescent="0.3">
      <c r="A132">
        <v>116</v>
      </c>
      <c r="B132" t="s">
        <v>568</v>
      </c>
      <c r="C132" s="452">
        <v>46168</v>
      </c>
      <c r="D132" t="s">
        <v>3365</v>
      </c>
      <c r="E132" t="s">
        <v>3361</v>
      </c>
      <c r="F132">
        <v>7779.9</v>
      </c>
      <c r="G132">
        <v>155.88</v>
      </c>
      <c r="H132">
        <v>7624.02</v>
      </c>
    </row>
    <row r="133" spans="1:8" x14ac:dyDescent="0.3">
      <c r="A133">
        <v>116</v>
      </c>
      <c r="B133" t="s">
        <v>568</v>
      </c>
      <c r="C133" s="452">
        <v>46168</v>
      </c>
      <c r="D133" t="s">
        <v>3365</v>
      </c>
      <c r="E133" t="s">
        <v>3362</v>
      </c>
      <c r="F133">
        <v>5549</v>
      </c>
      <c r="G133">
        <v>216.3</v>
      </c>
      <c r="H133">
        <v>5332.7</v>
      </c>
    </row>
    <row r="134" spans="1:8" x14ac:dyDescent="0.3">
      <c r="A134">
        <v>116</v>
      </c>
      <c r="B134" t="s">
        <v>568</v>
      </c>
      <c r="C134" s="452">
        <v>46168</v>
      </c>
      <c r="D134" t="s">
        <v>3365</v>
      </c>
      <c r="E134" t="s">
        <v>22</v>
      </c>
      <c r="F134">
        <v>1673.52</v>
      </c>
      <c r="G134">
        <v>0</v>
      </c>
      <c r="H134">
        <v>1673.52</v>
      </c>
    </row>
    <row r="135" spans="1:8" x14ac:dyDescent="0.3">
      <c r="A135">
        <v>116</v>
      </c>
      <c r="B135" t="s">
        <v>568</v>
      </c>
      <c r="C135" s="452">
        <v>46167</v>
      </c>
      <c r="D135" t="s">
        <v>3365</v>
      </c>
      <c r="E135" t="s">
        <v>3361</v>
      </c>
      <c r="F135">
        <v>2820.5</v>
      </c>
      <c r="G135">
        <v>16.649999999999999</v>
      </c>
      <c r="H135">
        <v>2803.85</v>
      </c>
    </row>
    <row r="136" spans="1:8" x14ac:dyDescent="0.3">
      <c r="A136">
        <v>116</v>
      </c>
      <c r="B136" t="s">
        <v>568</v>
      </c>
      <c r="C136" s="452">
        <v>46167</v>
      </c>
      <c r="D136" t="s">
        <v>3365</v>
      </c>
      <c r="E136" t="s">
        <v>3362</v>
      </c>
      <c r="F136">
        <v>2929</v>
      </c>
      <c r="G136">
        <v>184.65</v>
      </c>
      <c r="H136">
        <v>2744.35</v>
      </c>
    </row>
    <row r="137" spans="1:8" x14ac:dyDescent="0.3">
      <c r="A137">
        <v>116</v>
      </c>
      <c r="B137" t="s">
        <v>568</v>
      </c>
      <c r="C137" s="452">
        <v>46167</v>
      </c>
      <c r="D137" t="s">
        <v>3365</v>
      </c>
      <c r="E137" t="s">
        <v>22</v>
      </c>
      <c r="F137">
        <v>749.6</v>
      </c>
      <c r="G137">
        <v>0</v>
      </c>
      <c r="H137">
        <v>749.6</v>
      </c>
    </row>
    <row r="138" spans="1:8" x14ac:dyDescent="0.3">
      <c r="A138">
        <v>116</v>
      </c>
      <c r="B138" t="s">
        <v>568</v>
      </c>
      <c r="C138" s="452">
        <v>46167</v>
      </c>
      <c r="D138" t="s">
        <v>3365</v>
      </c>
      <c r="E138" t="s">
        <v>20</v>
      </c>
      <c r="F138">
        <v>64</v>
      </c>
      <c r="G138">
        <v>0</v>
      </c>
      <c r="H138">
        <v>64</v>
      </c>
    </row>
    <row r="139" spans="1:8" x14ac:dyDescent="0.3">
      <c r="A139">
        <v>116</v>
      </c>
      <c r="B139" t="s">
        <v>568</v>
      </c>
      <c r="C139" s="452">
        <v>46165</v>
      </c>
      <c r="D139" t="s">
        <v>3365</v>
      </c>
      <c r="E139" t="s">
        <v>3361</v>
      </c>
      <c r="F139">
        <v>9957.5</v>
      </c>
      <c r="G139">
        <v>0</v>
      </c>
      <c r="H139">
        <v>9957.5</v>
      </c>
    </row>
    <row r="140" spans="1:8" x14ac:dyDescent="0.3">
      <c r="A140">
        <v>116</v>
      </c>
      <c r="B140" t="s">
        <v>568</v>
      </c>
      <c r="C140" s="452">
        <v>46165</v>
      </c>
      <c r="D140" t="s">
        <v>3365</v>
      </c>
      <c r="E140" t="s">
        <v>3362</v>
      </c>
      <c r="F140">
        <v>7334.5</v>
      </c>
      <c r="G140">
        <v>0</v>
      </c>
      <c r="H140">
        <v>7334.5</v>
      </c>
    </row>
    <row r="141" spans="1:8" x14ac:dyDescent="0.3">
      <c r="A141">
        <v>116</v>
      </c>
      <c r="B141" t="s">
        <v>568</v>
      </c>
      <c r="C141" s="452">
        <v>46165</v>
      </c>
      <c r="D141" t="s">
        <v>3365</v>
      </c>
      <c r="E141" t="s">
        <v>20</v>
      </c>
      <c r="F141">
        <v>423</v>
      </c>
      <c r="G141">
        <v>0</v>
      </c>
      <c r="H141">
        <v>423</v>
      </c>
    </row>
    <row r="142" spans="1:8" x14ac:dyDescent="0.3">
      <c r="A142">
        <v>116</v>
      </c>
      <c r="B142" t="s">
        <v>568</v>
      </c>
      <c r="C142" s="452">
        <v>46165</v>
      </c>
      <c r="D142" t="s">
        <v>3365</v>
      </c>
      <c r="E142" t="s">
        <v>22</v>
      </c>
      <c r="F142">
        <v>2358.75</v>
      </c>
      <c r="G142">
        <v>0</v>
      </c>
      <c r="H142">
        <v>2358.75</v>
      </c>
    </row>
    <row r="143" spans="1:8" x14ac:dyDescent="0.3">
      <c r="A143">
        <v>116</v>
      </c>
      <c r="B143" t="s">
        <v>568</v>
      </c>
      <c r="C143" s="452">
        <v>46165</v>
      </c>
      <c r="D143" t="s">
        <v>3365</v>
      </c>
      <c r="E143" t="s">
        <v>3363</v>
      </c>
      <c r="F143">
        <v>660</v>
      </c>
      <c r="G143">
        <v>0</v>
      </c>
      <c r="H143">
        <v>660</v>
      </c>
    </row>
    <row r="144" spans="1:8" x14ac:dyDescent="0.3">
      <c r="A144">
        <v>116</v>
      </c>
      <c r="B144" t="s">
        <v>568</v>
      </c>
      <c r="C144" s="452">
        <v>46164</v>
      </c>
      <c r="D144" t="s">
        <v>3365</v>
      </c>
      <c r="E144" t="s">
        <v>3361</v>
      </c>
      <c r="F144">
        <v>6990.8</v>
      </c>
      <c r="G144">
        <v>111.88</v>
      </c>
      <c r="H144">
        <v>6878.92</v>
      </c>
    </row>
    <row r="145" spans="1:8" x14ac:dyDescent="0.3">
      <c r="A145">
        <v>116</v>
      </c>
      <c r="B145" t="s">
        <v>568</v>
      </c>
      <c r="C145" s="452">
        <v>46164</v>
      </c>
      <c r="D145" t="s">
        <v>3365</v>
      </c>
      <c r="E145" t="s">
        <v>3362</v>
      </c>
      <c r="F145">
        <v>6672</v>
      </c>
      <c r="G145">
        <v>267.97000000000003</v>
      </c>
      <c r="H145">
        <v>6404.03</v>
      </c>
    </row>
    <row r="146" spans="1:8" x14ac:dyDescent="0.3">
      <c r="A146">
        <v>116</v>
      </c>
      <c r="B146" t="s">
        <v>568</v>
      </c>
      <c r="C146" s="452">
        <v>46164</v>
      </c>
      <c r="D146" t="s">
        <v>3365</v>
      </c>
      <c r="E146" t="s">
        <v>22</v>
      </c>
      <c r="F146">
        <v>1744.64</v>
      </c>
      <c r="G146">
        <v>0</v>
      </c>
      <c r="H146">
        <v>1744.64</v>
      </c>
    </row>
    <row r="147" spans="1:8" x14ac:dyDescent="0.3">
      <c r="A147">
        <v>116</v>
      </c>
      <c r="B147" t="s">
        <v>568</v>
      </c>
      <c r="C147" s="452">
        <v>46164</v>
      </c>
      <c r="D147" t="s">
        <v>3365</v>
      </c>
      <c r="E147" t="s">
        <v>20</v>
      </c>
      <c r="F147">
        <v>128</v>
      </c>
      <c r="G147">
        <v>0</v>
      </c>
      <c r="H147">
        <v>128</v>
      </c>
    </row>
    <row r="148" spans="1:8" x14ac:dyDescent="0.3">
      <c r="A148">
        <v>116</v>
      </c>
      <c r="B148" t="s">
        <v>568</v>
      </c>
      <c r="C148" s="452">
        <v>46163</v>
      </c>
      <c r="D148" t="s">
        <v>3365</v>
      </c>
      <c r="E148" t="s">
        <v>3361</v>
      </c>
      <c r="F148">
        <v>5230</v>
      </c>
      <c r="G148">
        <v>140.69999999999999</v>
      </c>
      <c r="H148">
        <v>5089.3</v>
      </c>
    </row>
    <row r="149" spans="1:8" x14ac:dyDescent="0.3">
      <c r="A149">
        <v>116</v>
      </c>
      <c r="B149" t="s">
        <v>568</v>
      </c>
      <c r="C149" s="452">
        <v>46163</v>
      </c>
      <c r="D149" t="s">
        <v>3365</v>
      </c>
      <c r="E149" t="s">
        <v>3362</v>
      </c>
      <c r="F149">
        <v>7012</v>
      </c>
      <c r="G149">
        <v>551.83000000000004</v>
      </c>
      <c r="H149">
        <v>6460.17</v>
      </c>
    </row>
    <row r="150" spans="1:8" x14ac:dyDescent="0.3">
      <c r="A150">
        <v>116</v>
      </c>
      <c r="B150" t="s">
        <v>568</v>
      </c>
      <c r="C150" s="452">
        <v>46163</v>
      </c>
      <c r="D150" t="s">
        <v>3365</v>
      </c>
      <c r="E150" t="s">
        <v>20</v>
      </c>
      <c r="F150">
        <v>80</v>
      </c>
      <c r="G150">
        <v>0</v>
      </c>
      <c r="H150">
        <v>80</v>
      </c>
    </row>
    <row r="151" spans="1:8" x14ac:dyDescent="0.3">
      <c r="A151">
        <v>116</v>
      </c>
      <c r="B151" t="s">
        <v>568</v>
      </c>
      <c r="C151" s="452">
        <v>46163</v>
      </c>
      <c r="D151" t="s">
        <v>3365</v>
      </c>
      <c r="E151" t="s">
        <v>22</v>
      </c>
      <c r="F151">
        <v>1497.58</v>
      </c>
      <c r="G151">
        <v>0</v>
      </c>
      <c r="H151">
        <v>1497.58</v>
      </c>
    </row>
    <row r="152" spans="1:8" x14ac:dyDescent="0.3">
      <c r="A152">
        <v>116</v>
      </c>
      <c r="B152" t="s">
        <v>568</v>
      </c>
      <c r="C152" s="452">
        <v>46162</v>
      </c>
      <c r="D152" t="s">
        <v>3365</v>
      </c>
      <c r="E152" t="s">
        <v>3361</v>
      </c>
      <c r="F152">
        <v>3733.8</v>
      </c>
      <c r="G152">
        <v>69.53</v>
      </c>
      <c r="H152">
        <v>3664.27</v>
      </c>
    </row>
    <row r="153" spans="1:8" x14ac:dyDescent="0.3">
      <c r="A153">
        <v>116</v>
      </c>
      <c r="B153" t="s">
        <v>568</v>
      </c>
      <c r="C153" s="452">
        <v>46162</v>
      </c>
      <c r="D153" t="s">
        <v>3365</v>
      </c>
      <c r="E153" t="s">
        <v>3362</v>
      </c>
      <c r="F153">
        <v>4612</v>
      </c>
      <c r="G153">
        <v>315.83999999999997</v>
      </c>
      <c r="H153">
        <v>4296.16</v>
      </c>
    </row>
    <row r="154" spans="1:8" x14ac:dyDescent="0.3">
      <c r="A154">
        <v>116</v>
      </c>
      <c r="B154" t="s">
        <v>568</v>
      </c>
      <c r="C154" s="452">
        <v>46162</v>
      </c>
      <c r="D154" t="s">
        <v>3365</v>
      </c>
      <c r="E154" t="s">
        <v>22</v>
      </c>
      <c r="F154">
        <v>1046.06</v>
      </c>
      <c r="G154">
        <v>0</v>
      </c>
      <c r="H154">
        <v>1046.06</v>
      </c>
    </row>
    <row r="155" spans="1:8" x14ac:dyDescent="0.3">
      <c r="A155">
        <v>116</v>
      </c>
      <c r="B155" t="s">
        <v>568</v>
      </c>
      <c r="C155" s="452">
        <v>46162</v>
      </c>
      <c r="D155" t="s">
        <v>3365</v>
      </c>
      <c r="E155" t="s">
        <v>20</v>
      </c>
      <c r="F155">
        <v>16</v>
      </c>
      <c r="G155">
        <v>0</v>
      </c>
      <c r="H155">
        <v>16</v>
      </c>
    </row>
    <row r="156" spans="1:8" x14ac:dyDescent="0.3">
      <c r="A156">
        <v>116</v>
      </c>
      <c r="B156" t="s">
        <v>568</v>
      </c>
      <c r="C156" s="452">
        <v>46161</v>
      </c>
      <c r="D156" t="s">
        <v>3365</v>
      </c>
      <c r="E156" t="s">
        <v>3361</v>
      </c>
      <c r="F156">
        <v>3821.5</v>
      </c>
      <c r="G156">
        <v>132.24</v>
      </c>
      <c r="H156">
        <v>3689.26</v>
      </c>
    </row>
    <row r="157" spans="1:8" x14ac:dyDescent="0.3">
      <c r="A157">
        <v>116</v>
      </c>
      <c r="B157" t="s">
        <v>568</v>
      </c>
      <c r="C157" s="452">
        <v>46161</v>
      </c>
      <c r="D157" t="s">
        <v>3365</v>
      </c>
      <c r="E157" t="s">
        <v>3362</v>
      </c>
      <c r="F157">
        <v>4579.5</v>
      </c>
      <c r="G157">
        <v>245.11</v>
      </c>
      <c r="H157">
        <v>4334.3900000000003</v>
      </c>
    </row>
    <row r="158" spans="1:8" x14ac:dyDescent="0.3">
      <c r="A158">
        <v>116</v>
      </c>
      <c r="B158" t="s">
        <v>568</v>
      </c>
      <c r="C158" s="452">
        <v>46161</v>
      </c>
      <c r="D158" t="s">
        <v>3365</v>
      </c>
      <c r="E158" t="s">
        <v>22</v>
      </c>
      <c r="F158">
        <v>1050.73</v>
      </c>
      <c r="G158">
        <v>0</v>
      </c>
      <c r="H158">
        <v>1050.73</v>
      </c>
    </row>
    <row r="159" spans="1:8" x14ac:dyDescent="0.3">
      <c r="A159">
        <v>116</v>
      </c>
      <c r="B159" t="s">
        <v>568</v>
      </c>
      <c r="C159" s="452">
        <v>46160</v>
      </c>
      <c r="D159" t="s">
        <v>3365</v>
      </c>
      <c r="E159" t="s">
        <v>3361</v>
      </c>
      <c r="F159">
        <v>2324.1</v>
      </c>
      <c r="G159">
        <v>72.2</v>
      </c>
      <c r="H159">
        <v>2251.9</v>
      </c>
    </row>
    <row r="160" spans="1:8" x14ac:dyDescent="0.3">
      <c r="A160">
        <v>116</v>
      </c>
      <c r="B160" t="s">
        <v>568</v>
      </c>
      <c r="C160" s="452">
        <v>46160</v>
      </c>
      <c r="D160" t="s">
        <v>3365</v>
      </c>
      <c r="E160" t="s">
        <v>3362</v>
      </c>
      <c r="F160">
        <v>3228</v>
      </c>
      <c r="G160">
        <v>118.7</v>
      </c>
      <c r="H160">
        <v>3109.3</v>
      </c>
    </row>
    <row r="161" spans="1:8" x14ac:dyDescent="0.3">
      <c r="A161">
        <v>116</v>
      </c>
      <c r="B161" t="s">
        <v>568</v>
      </c>
      <c r="C161" s="452">
        <v>46160</v>
      </c>
      <c r="D161" t="s">
        <v>3365</v>
      </c>
      <c r="E161" t="s">
        <v>22</v>
      </c>
      <c r="F161">
        <v>694.45</v>
      </c>
      <c r="G161">
        <v>0</v>
      </c>
      <c r="H161">
        <v>694.45</v>
      </c>
    </row>
    <row r="162" spans="1:8" x14ac:dyDescent="0.3">
      <c r="A162">
        <v>116</v>
      </c>
      <c r="B162" t="s">
        <v>568</v>
      </c>
      <c r="C162" s="452">
        <v>46158</v>
      </c>
      <c r="D162" t="s">
        <v>3365</v>
      </c>
      <c r="E162" t="s">
        <v>3361</v>
      </c>
      <c r="F162">
        <v>11861.2</v>
      </c>
      <c r="G162">
        <v>107.28</v>
      </c>
      <c r="H162">
        <v>11753.92</v>
      </c>
    </row>
    <row r="163" spans="1:8" x14ac:dyDescent="0.3">
      <c r="A163">
        <v>116</v>
      </c>
      <c r="B163" t="s">
        <v>568</v>
      </c>
      <c r="C163" s="452">
        <v>46158</v>
      </c>
      <c r="D163" t="s">
        <v>3365</v>
      </c>
      <c r="E163" t="s">
        <v>3362</v>
      </c>
      <c r="F163">
        <v>9803.5</v>
      </c>
      <c r="G163">
        <v>156.6</v>
      </c>
      <c r="H163">
        <v>9646.9</v>
      </c>
    </row>
    <row r="164" spans="1:8" x14ac:dyDescent="0.3">
      <c r="A164">
        <v>116</v>
      </c>
      <c r="B164" t="s">
        <v>568</v>
      </c>
      <c r="C164" s="452">
        <v>46158</v>
      </c>
      <c r="D164" t="s">
        <v>3365</v>
      </c>
      <c r="E164" t="s">
        <v>20</v>
      </c>
      <c r="F164">
        <v>144</v>
      </c>
      <c r="G164">
        <v>0</v>
      </c>
      <c r="H164">
        <v>144</v>
      </c>
    </row>
    <row r="165" spans="1:8" x14ac:dyDescent="0.3">
      <c r="A165">
        <v>116</v>
      </c>
      <c r="B165" t="s">
        <v>568</v>
      </c>
      <c r="C165" s="452">
        <v>46158</v>
      </c>
      <c r="D165" t="s">
        <v>3365</v>
      </c>
      <c r="E165" t="s">
        <v>22</v>
      </c>
      <c r="F165">
        <v>2819.35</v>
      </c>
      <c r="G165">
        <v>0</v>
      </c>
      <c r="H165">
        <v>2819.35</v>
      </c>
    </row>
    <row r="166" spans="1:8" x14ac:dyDescent="0.3">
      <c r="A166">
        <v>116</v>
      </c>
      <c r="B166" t="s">
        <v>568</v>
      </c>
      <c r="C166" s="452">
        <v>46158</v>
      </c>
      <c r="D166" t="s">
        <v>3365</v>
      </c>
      <c r="E166" t="s">
        <v>3363</v>
      </c>
      <c r="F166">
        <v>405</v>
      </c>
      <c r="G166">
        <v>0</v>
      </c>
      <c r="H166">
        <v>405</v>
      </c>
    </row>
    <row r="167" spans="1:8" x14ac:dyDescent="0.3">
      <c r="A167">
        <v>116</v>
      </c>
      <c r="B167" t="s">
        <v>568</v>
      </c>
      <c r="C167" s="452">
        <v>46157</v>
      </c>
      <c r="D167" t="s">
        <v>3365</v>
      </c>
      <c r="E167" t="s">
        <v>3361</v>
      </c>
      <c r="F167">
        <v>4959.6000000000004</v>
      </c>
      <c r="G167">
        <v>39.14</v>
      </c>
      <c r="H167">
        <v>4920.46</v>
      </c>
    </row>
    <row r="168" spans="1:8" x14ac:dyDescent="0.3">
      <c r="A168">
        <v>116</v>
      </c>
      <c r="B168" t="s">
        <v>568</v>
      </c>
      <c r="C168" s="452">
        <v>46157</v>
      </c>
      <c r="D168" t="s">
        <v>3365</v>
      </c>
      <c r="E168" t="s">
        <v>3362</v>
      </c>
      <c r="F168">
        <v>5387</v>
      </c>
      <c r="G168">
        <v>156.91999999999999</v>
      </c>
      <c r="H168">
        <v>5230.08</v>
      </c>
    </row>
    <row r="169" spans="1:8" x14ac:dyDescent="0.3">
      <c r="A169">
        <v>116</v>
      </c>
      <c r="B169" t="s">
        <v>568</v>
      </c>
      <c r="C169" s="452">
        <v>46157</v>
      </c>
      <c r="D169" t="s">
        <v>3365</v>
      </c>
      <c r="E169" t="s">
        <v>22</v>
      </c>
      <c r="F169">
        <v>1325.08</v>
      </c>
      <c r="G169">
        <v>0</v>
      </c>
      <c r="H169">
        <v>1325.08</v>
      </c>
    </row>
    <row r="170" spans="1:8" x14ac:dyDescent="0.3">
      <c r="A170">
        <v>116</v>
      </c>
      <c r="B170" t="s">
        <v>568</v>
      </c>
      <c r="C170" s="452">
        <v>46157</v>
      </c>
      <c r="D170" t="s">
        <v>3365</v>
      </c>
      <c r="E170" t="s">
        <v>20</v>
      </c>
      <c r="F170">
        <v>16</v>
      </c>
      <c r="G170">
        <v>0</v>
      </c>
      <c r="H170">
        <v>16</v>
      </c>
    </row>
    <row r="171" spans="1:8" x14ac:dyDescent="0.3">
      <c r="A171">
        <v>116</v>
      </c>
      <c r="B171" t="s">
        <v>568</v>
      </c>
      <c r="C171" s="452">
        <v>46156</v>
      </c>
      <c r="D171" t="s">
        <v>3365</v>
      </c>
      <c r="E171" t="s">
        <v>3361</v>
      </c>
      <c r="F171">
        <v>5743.5</v>
      </c>
      <c r="G171">
        <v>104.68</v>
      </c>
      <c r="H171">
        <v>5638.82</v>
      </c>
    </row>
    <row r="172" spans="1:8" x14ac:dyDescent="0.3">
      <c r="A172">
        <v>116</v>
      </c>
      <c r="B172" t="s">
        <v>568</v>
      </c>
      <c r="C172" s="452">
        <v>46156</v>
      </c>
      <c r="D172" t="s">
        <v>3365</v>
      </c>
      <c r="E172" t="s">
        <v>3362</v>
      </c>
      <c r="F172">
        <v>5221</v>
      </c>
      <c r="G172">
        <v>470.63</v>
      </c>
      <c r="H172">
        <v>4750.37</v>
      </c>
    </row>
    <row r="173" spans="1:8" x14ac:dyDescent="0.3">
      <c r="A173">
        <v>116</v>
      </c>
      <c r="B173" t="s">
        <v>568</v>
      </c>
      <c r="C173" s="452">
        <v>46156</v>
      </c>
      <c r="D173" t="s">
        <v>3365</v>
      </c>
      <c r="E173" t="s">
        <v>20</v>
      </c>
      <c r="F173">
        <v>48</v>
      </c>
      <c r="G173">
        <v>0</v>
      </c>
      <c r="H173">
        <v>48</v>
      </c>
    </row>
    <row r="174" spans="1:8" x14ac:dyDescent="0.3">
      <c r="A174">
        <v>116</v>
      </c>
      <c r="B174" t="s">
        <v>568</v>
      </c>
      <c r="C174" s="452">
        <v>46156</v>
      </c>
      <c r="D174" t="s">
        <v>3365</v>
      </c>
      <c r="E174" t="s">
        <v>22</v>
      </c>
      <c r="F174">
        <v>1341.58</v>
      </c>
      <c r="G174">
        <v>0</v>
      </c>
      <c r="H174">
        <v>1341.58</v>
      </c>
    </row>
    <row r="175" spans="1:8" x14ac:dyDescent="0.3">
      <c r="A175">
        <v>116</v>
      </c>
      <c r="B175" t="s">
        <v>568</v>
      </c>
      <c r="C175" s="452">
        <v>46155</v>
      </c>
      <c r="D175" t="s">
        <v>3365</v>
      </c>
      <c r="E175" t="s">
        <v>3361</v>
      </c>
      <c r="F175">
        <v>6382.6</v>
      </c>
      <c r="G175">
        <v>46.65</v>
      </c>
      <c r="H175">
        <v>6335.95</v>
      </c>
    </row>
    <row r="176" spans="1:8" x14ac:dyDescent="0.3">
      <c r="A176">
        <v>116</v>
      </c>
      <c r="B176" t="s">
        <v>568</v>
      </c>
      <c r="C176" s="452">
        <v>46155</v>
      </c>
      <c r="D176" t="s">
        <v>3365</v>
      </c>
      <c r="E176" t="s">
        <v>3362</v>
      </c>
      <c r="F176">
        <v>5825</v>
      </c>
      <c r="G176">
        <v>249.3</v>
      </c>
      <c r="H176">
        <v>5575.7</v>
      </c>
    </row>
    <row r="177" spans="1:8" x14ac:dyDescent="0.3">
      <c r="A177">
        <v>116</v>
      </c>
      <c r="B177" t="s">
        <v>568</v>
      </c>
      <c r="C177" s="452">
        <v>46155</v>
      </c>
      <c r="D177" t="s">
        <v>3365</v>
      </c>
      <c r="E177" t="s">
        <v>22</v>
      </c>
      <c r="F177">
        <v>1571.59</v>
      </c>
      <c r="G177">
        <v>0</v>
      </c>
      <c r="H177">
        <v>1571.59</v>
      </c>
    </row>
    <row r="178" spans="1:8" x14ac:dyDescent="0.3">
      <c r="A178">
        <v>116</v>
      </c>
      <c r="B178" t="s">
        <v>568</v>
      </c>
      <c r="C178" s="452">
        <v>46155</v>
      </c>
      <c r="D178" t="s">
        <v>3365</v>
      </c>
      <c r="E178" t="s">
        <v>20</v>
      </c>
      <c r="F178">
        <v>20</v>
      </c>
      <c r="G178">
        <v>0</v>
      </c>
      <c r="H178">
        <v>20</v>
      </c>
    </row>
    <row r="179" spans="1:8" x14ac:dyDescent="0.3">
      <c r="A179">
        <v>116</v>
      </c>
      <c r="B179" t="s">
        <v>568</v>
      </c>
      <c r="C179" s="452">
        <v>46154</v>
      </c>
      <c r="D179" t="s">
        <v>3365</v>
      </c>
      <c r="E179" t="s">
        <v>3361</v>
      </c>
      <c r="F179">
        <v>5017.3999999999996</v>
      </c>
      <c r="G179">
        <v>58.33</v>
      </c>
      <c r="H179">
        <v>4959.07</v>
      </c>
    </row>
    <row r="180" spans="1:8" x14ac:dyDescent="0.3">
      <c r="A180">
        <v>116</v>
      </c>
      <c r="B180" t="s">
        <v>568</v>
      </c>
      <c r="C180" s="452">
        <v>46154</v>
      </c>
      <c r="D180" t="s">
        <v>3365</v>
      </c>
      <c r="E180" t="s">
        <v>3362</v>
      </c>
      <c r="F180">
        <v>4418</v>
      </c>
      <c r="G180">
        <v>223.84</v>
      </c>
      <c r="H180">
        <v>4194.16</v>
      </c>
    </row>
    <row r="181" spans="1:8" x14ac:dyDescent="0.3">
      <c r="A181">
        <v>116</v>
      </c>
      <c r="B181" t="s">
        <v>568</v>
      </c>
      <c r="C181" s="452">
        <v>46154</v>
      </c>
      <c r="D181" t="s">
        <v>3365</v>
      </c>
      <c r="E181" t="s">
        <v>22</v>
      </c>
      <c r="F181">
        <v>1169.06</v>
      </c>
      <c r="G181">
        <v>0</v>
      </c>
      <c r="H181">
        <v>1169.06</v>
      </c>
    </row>
    <row r="182" spans="1:8" x14ac:dyDescent="0.3">
      <c r="A182">
        <v>116</v>
      </c>
      <c r="B182" t="s">
        <v>568</v>
      </c>
      <c r="C182" s="452">
        <v>46153</v>
      </c>
      <c r="D182" t="s">
        <v>3365</v>
      </c>
      <c r="E182" t="s">
        <v>3361</v>
      </c>
      <c r="F182">
        <v>2193.6999999999998</v>
      </c>
      <c r="G182">
        <v>46.63</v>
      </c>
      <c r="H182">
        <v>2147.0700000000002</v>
      </c>
    </row>
    <row r="183" spans="1:8" x14ac:dyDescent="0.3">
      <c r="A183">
        <v>116</v>
      </c>
      <c r="B183" t="s">
        <v>568</v>
      </c>
      <c r="C183" s="452">
        <v>46153</v>
      </c>
      <c r="D183" t="s">
        <v>3365</v>
      </c>
      <c r="E183" t="s">
        <v>3362</v>
      </c>
      <c r="F183">
        <v>2737.5</v>
      </c>
      <c r="G183">
        <v>190.5</v>
      </c>
      <c r="H183">
        <v>2547</v>
      </c>
    </row>
    <row r="184" spans="1:8" x14ac:dyDescent="0.3">
      <c r="A184">
        <v>116</v>
      </c>
      <c r="B184" t="s">
        <v>568</v>
      </c>
      <c r="C184" s="452">
        <v>46153</v>
      </c>
      <c r="D184" t="s">
        <v>3365</v>
      </c>
      <c r="E184" t="s">
        <v>22</v>
      </c>
      <c r="F184">
        <v>609.92999999999995</v>
      </c>
      <c r="G184">
        <v>0</v>
      </c>
      <c r="H184">
        <v>609.92999999999995</v>
      </c>
    </row>
    <row r="185" spans="1:8" x14ac:dyDescent="0.3">
      <c r="A185">
        <v>116</v>
      </c>
      <c r="B185" t="s">
        <v>568</v>
      </c>
      <c r="C185" s="452">
        <v>46151</v>
      </c>
      <c r="D185" t="s">
        <v>3365</v>
      </c>
      <c r="E185" t="s">
        <v>3361</v>
      </c>
      <c r="F185">
        <v>10740.6</v>
      </c>
      <c r="G185">
        <v>117.48</v>
      </c>
      <c r="H185">
        <v>10623.12</v>
      </c>
    </row>
    <row r="186" spans="1:8" x14ac:dyDescent="0.3">
      <c r="A186">
        <v>116</v>
      </c>
      <c r="B186" t="s">
        <v>568</v>
      </c>
      <c r="C186" s="452">
        <v>46151</v>
      </c>
      <c r="D186" t="s">
        <v>3365</v>
      </c>
      <c r="E186" t="s">
        <v>3362</v>
      </c>
      <c r="F186">
        <v>8408</v>
      </c>
      <c r="G186">
        <v>101.78</v>
      </c>
      <c r="H186">
        <v>8306.2199999999993</v>
      </c>
    </row>
    <row r="187" spans="1:8" x14ac:dyDescent="0.3">
      <c r="A187">
        <v>116</v>
      </c>
      <c r="B187" t="s">
        <v>568</v>
      </c>
      <c r="C187" s="452">
        <v>46151</v>
      </c>
      <c r="D187" t="s">
        <v>3365</v>
      </c>
      <c r="E187" t="s">
        <v>20</v>
      </c>
      <c r="F187">
        <v>144</v>
      </c>
      <c r="G187">
        <v>0</v>
      </c>
      <c r="H187">
        <v>144</v>
      </c>
    </row>
    <row r="188" spans="1:8" x14ac:dyDescent="0.3">
      <c r="A188">
        <v>116</v>
      </c>
      <c r="B188" t="s">
        <v>568</v>
      </c>
      <c r="C188" s="452">
        <v>46151</v>
      </c>
      <c r="D188" t="s">
        <v>3365</v>
      </c>
      <c r="E188" t="s">
        <v>22</v>
      </c>
      <c r="F188">
        <v>2498.21</v>
      </c>
      <c r="G188">
        <v>0</v>
      </c>
      <c r="H188">
        <v>2498.21</v>
      </c>
    </row>
    <row r="189" spans="1:8" x14ac:dyDescent="0.3">
      <c r="A189">
        <v>116</v>
      </c>
      <c r="B189" t="s">
        <v>568</v>
      </c>
      <c r="C189" s="452">
        <v>46151</v>
      </c>
      <c r="D189" t="s">
        <v>3365</v>
      </c>
      <c r="E189" t="s">
        <v>3363</v>
      </c>
      <c r="F189">
        <v>345</v>
      </c>
      <c r="G189">
        <v>0</v>
      </c>
      <c r="H189">
        <v>345</v>
      </c>
    </row>
    <row r="190" spans="1:8" x14ac:dyDescent="0.3">
      <c r="A190">
        <v>116</v>
      </c>
      <c r="B190" t="s">
        <v>568</v>
      </c>
      <c r="C190" s="452">
        <v>46150</v>
      </c>
      <c r="D190" t="s">
        <v>3365</v>
      </c>
      <c r="E190" t="s">
        <v>3361</v>
      </c>
      <c r="F190">
        <v>8551.2999999999993</v>
      </c>
      <c r="G190">
        <v>10.24</v>
      </c>
      <c r="H190">
        <v>8541.06</v>
      </c>
    </row>
    <row r="191" spans="1:8" x14ac:dyDescent="0.3">
      <c r="A191">
        <v>116</v>
      </c>
      <c r="B191" t="s">
        <v>568</v>
      </c>
      <c r="C191" s="452">
        <v>46150</v>
      </c>
      <c r="D191" t="s">
        <v>3365</v>
      </c>
      <c r="E191" t="s">
        <v>3362</v>
      </c>
      <c r="F191">
        <v>6500.5</v>
      </c>
      <c r="G191">
        <v>327.60000000000002</v>
      </c>
      <c r="H191">
        <v>6172.9</v>
      </c>
    </row>
    <row r="192" spans="1:8" x14ac:dyDescent="0.3">
      <c r="A192">
        <v>116</v>
      </c>
      <c r="B192" t="s">
        <v>568</v>
      </c>
      <c r="C192" s="452">
        <v>46150</v>
      </c>
      <c r="D192" t="s">
        <v>3365</v>
      </c>
      <c r="E192" t="s">
        <v>22</v>
      </c>
      <c r="F192">
        <v>1925.51</v>
      </c>
      <c r="G192">
        <v>0</v>
      </c>
      <c r="H192">
        <v>1925.51</v>
      </c>
    </row>
    <row r="193" spans="1:8" x14ac:dyDescent="0.3">
      <c r="A193">
        <v>116</v>
      </c>
      <c r="B193" t="s">
        <v>568</v>
      </c>
      <c r="C193" s="452">
        <v>46149</v>
      </c>
      <c r="D193" t="s">
        <v>3365</v>
      </c>
      <c r="E193" t="s">
        <v>3361</v>
      </c>
      <c r="F193">
        <v>5863.3</v>
      </c>
      <c r="G193">
        <v>61.2</v>
      </c>
      <c r="H193">
        <v>5802.1</v>
      </c>
    </row>
    <row r="194" spans="1:8" x14ac:dyDescent="0.3">
      <c r="A194">
        <v>116</v>
      </c>
      <c r="B194" t="s">
        <v>568</v>
      </c>
      <c r="C194" s="452">
        <v>46149</v>
      </c>
      <c r="D194" t="s">
        <v>3365</v>
      </c>
      <c r="E194" t="s">
        <v>3362</v>
      </c>
      <c r="F194">
        <v>4454</v>
      </c>
      <c r="G194">
        <v>129.5</v>
      </c>
      <c r="H194">
        <v>4324.5</v>
      </c>
    </row>
    <row r="195" spans="1:8" x14ac:dyDescent="0.3">
      <c r="A195">
        <v>116</v>
      </c>
      <c r="B195" t="s">
        <v>568</v>
      </c>
      <c r="C195" s="452">
        <v>46149</v>
      </c>
      <c r="D195" t="s">
        <v>3365</v>
      </c>
      <c r="E195" t="s">
        <v>22</v>
      </c>
      <c r="F195">
        <v>1326.99</v>
      </c>
      <c r="G195">
        <v>0</v>
      </c>
      <c r="H195">
        <v>1326.99</v>
      </c>
    </row>
    <row r="196" spans="1:8" x14ac:dyDescent="0.3">
      <c r="A196">
        <v>116</v>
      </c>
      <c r="B196" t="s">
        <v>568</v>
      </c>
      <c r="C196" s="452">
        <v>46149</v>
      </c>
      <c r="D196" t="s">
        <v>3365</v>
      </c>
      <c r="E196" t="s">
        <v>20</v>
      </c>
      <c r="F196">
        <v>32</v>
      </c>
      <c r="G196">
        <v>0</v>
      </c>
      <c r="H196">
        <v>32</v>
      </c>
    </row>
    <row r="197" spans="1:8" x14ac:dyDescent="0.3">
      <c r="A197">
        <v>116</v>
      </c>
      <c r="B197" t="s">
        <v>568</v>
      </c>
      <c r="C197" s="452">
        <v>46148</v>
      </c>
      <c r="D197" t="s">
        <v>3365</v>
      </c>
      <c r="E197" t="s">
        <v>3361</v>
      </c>
      <c r="F197">
        <v>5124.3999999999996</v>
      </c>
      <c r="G197">
        <v>75.05</v>
      </c>
      <c r="H197">
        <v>5049.3500000000004</v>
      </c>
    </row>
    <row r="198" spans="1:8" x14ac:dyDescent="0.3">
      <c r="A198">
        <v>116</v>
      </c>
      <c r="B198" t="s">
        <v>568</v>
      </c>
      <c r="C198" s="452">
        <v>46148</v>
      </c>
      <c r="D198" t="s">
        <v>3365</v>
      </c>
      <c r="E198" t="s">
        <v>3362</v>
      </c>
      <c r="F198">
        <v>5682.5</v>
      </c>
      <c r="G198">
        <v>423.99</v>
      </c>
      <c r="H198">
        <v>5258.51</v>
      </c>
    </row>
    <row r="199" spans="1:8" x14ac:dyDescent="0.3">
      <c r="A199">
        <v>116</v>
      </c>
      <c r="B199" t="s">
        <v>568</v>
      </c>
      <c r="C199" s="452">
        <v>46148</v>
      </c>
      <c r="D199" t="s">
        <v>3365</v>
      </c>
      <c r="E199" t="s">
        <v>22</v>
      </c>
      <c r="F199">
        <v>1360.18</v>
      </c>
      <c r="G199">
        <v>0</v>
      </c>
      <c r="H199">
        <v>1360.18</v>
      </c>
    </row>
    <row r="200" spans="1:8" x14ac:dyDescent="0.3">
      <c r="A200">
        <v>116</v>
      </c>
      <c r="B200" t="s">
        <v>568</v>
      </c>
      <c r="C200" s="452">
        <v>46148</v>
      </c>
      <c r="D200" t="s">
        <v>3365</v>
      </c>
      <c r="E200" t="s">
        <v>20</v>
      </c>
      <c r="F200">
        <v>20</v>
      </c>
      <c r="G200">
        <v>6</v>
      </c>
      <c r="H200">
        <v>14</v>
      </c>
    </row>
    <row r="201" spans="1:8" x14ac:dyDescent="0.3">
      <c r="A201">
        <v>116</v>
      </c>
      <c r="B201" t="s">
        <v>568</v>
      </c>
      <c r="C201" s="452">
        <v>46147</v>
      </c>
      <c r="D201" t="s">
        <v>3365</v>
      </c>
      <c r="E201" t="s">
        <v>3361</v>
      </c>
      <c r="F201">
        <v>5948.9</v>
      </c>
      <c r="G201">
        <v>74.14</v>
      </c>
      <c r="H201">
        <v>5874.76</v>
      </c>
    </row>
    <row r="202" spans="1:8" x14ac:dyDescent="0.3">
      <c r="A202">
        <v>116</v>
      </c>
      <c r="B202" t="s">
        <v>568</v>
      </c>
      <c r="C202" s="452">
        <v>46147</v>
      </c>
      <c r="D202" t="s">
        <v>3365</v>
      </c>
      <c r="E202" t="s">
        <v>3362</v>
      </c>
      <c r="F202">
        <v>6100</v>
      </c>
      <c r="G202">
        <v>348.36</v>
      </c>
      <c r="H202">
        <v>5751.64</v>
      </c>
    </row>
    <row r="203" spans="1:8" x14ac:dyDescent="0.3">
      <c r="A203">
        <v>116</v>
      </c>
      <c r="B203" t="s">
        <v>568</v>
      </c>
      <c r="C203" s="452">
        <v>46147</v>
      </c>
      <c r="D203" t="s">
        <v>3365</v>
      </c>
      <c r="E203" t="s">
        <v>22</v>
      </c>
      <c r="F203">
        <v>1509.41</v>
      </c>
      <c r="G203">
        <v>0</v>
      </c>
      <c r="H203">
        <v>1509.41</v>
      </c>
    </row>
    <row r="204" spans="1:8" x14ac:dyDescent="0.3">
      <c r="A204">
        <v>116</v>
      </c>
      <c r="B204" t="s">
        <v>568</v>
      </c>
      <c r="C204" s="452">
        <v>46146</v>
      </c>
      <c r="D204" t="s">
        <v>3365</v>
      </c>
      <c r="E204" t="s">
        <v>3361</v>
      </c>
      <c r="F204">
        <v>2518.4</v>
      </c>
      <c r="G204">
        <v>0</v>
      </c>
      <c r="H204">
        <v>2518.4</v>
      </c>
    </row>
    <row r="205" spans="1:8" x14ac:dyDescent="0.3">
      <c r="A205">
        <v>116</v>
      </c>
      <c r="B205" t="s">
        <v>568</v>
      </c>
      <c r="C205" s="452">
        <v>46146</v>
      </c>
      <c r="D205" t="s">
        <v>3365</v>
      </c>
      <c r="E205" t="s">
        <v>3362</v>
      </c>
      <c r="F205">
        <v>2114</v>
      </c>
      <c r="G205">
        <v>0</v>
      </c>
      <c r="H205">
        <v>2114</v>
      </c>
    </row>
    <row r="206" spans="1:8" x14ac:dyDescent="0.3">
      <c r="A206">
        <v>116</v>
      </c>
      <c r="B206" t="s">
        <v>568</v>
      </c>
      <c r="C206" s="452">
        <v>46146</v>
      </c>
      <c r="D206" t="s">
        <v>3365</v>
      </c>
      <c r="E206" t="s">
        <v>22</v>
      </c>
      <c r="F206">
        <v>601.84</v>
      </c>
      <c r="G206">
        <v>0</v>
      </c>
      <c r="H206">
        <v>601.84</v>
      </c>
    </row>
    <row r="207" spans="1:8" x14ac:dyDescent="0.3">
      <c r="A207">
        <v>116</v>
      </c>
      <c r="B207" t="s">
        <v>568</v>
      </c>
      <c r="C207" s="452">
        <v>46144</v>
      </c>
      <c r="D207" t="s">
        <v>3365</v>
      </c>
      <c r="E207" t="s">
        <v>3361</v>
      </c>
      <c r="F207">
        <v>12705.3</v>
      </c>
      <c r="G207">
        <v>54.91</v>
      </c>
      <c r="H207">
        <v>12650.39</v>
      </c>
    </row>
    <row r="208" spans="1:8" x14ac:dyDescent="0.3">
      <c r="A208">
        <v>116</v>
      </c>
      <c r="B208" t="s">
        <v>568</v>
      </c>
      <c r="C208" s="452">
        <v>46144</v>
      </c>
      <c r="D208" t="s">
        <v>3365</v>
      </c>
      <c r="E208" t="s">
        <v>3362</v>
      </c>
      <c r="F208">
        <v>10535</v>
      </c>
      <c r="G208">
        <v>62.8</v>
      </c>
      <c r="H208">
        <v>10472.200000000001</v>
      </c>
    </row>
    <row r="209" spans="1:8" x14ac:dyDescent="0.3">
      <c r="A209">
        <v>116</v>
      </c>
      <c r="B209" t="s">
        <v>568</v>
      </c>
      <c r="C209" s="452">
        <v>46144</v>
      </c>
      <c r="D209" t="s">
        <v>3365</v>
      </c>
      <c r="E209" t="s">
        <v>22</v>
      </c>
      <c r="F209">
        <v>3092.99</v>
      </c>
      <c r="G209">
        <v>0</v>
      </c>
      <c r="H209">
        <v>3092.99</v>
      </c>
    </row>
    <row r="210" spans="1:8" x14ac:dyDescent="0.3">
      <c r="A210">
        <v>116</v>
      </c>
      <c r="B210" t="s">
        <v>568</v>
      </c>
      <c r="C210" s="452">
        <v>46144</v>
      </c>
      <c r="D210" t="s">
        <v>3365</v>
      </c>
      <c r="E210" t="s">
        <v>20</v>
      </c>
      <c r="F210">
        <v>99</v>
      </c>
      <c r="G210">
        <v>0</v>
      </c>
      <c r="H210">
        <v>99</v>
      </c>
    </row>
    <row r="211" spans="1:8" x14ac:dyDescent="0.3">
      <c r="A211">
        <v>116</v>
      </c>
      <c r="B211" t="s">
        <v>568</v>
      </c>
      <c r="C211" s="452">
        <v>46144</v>
      </c>
      <c r="D211" t="s">
        <v>3365</v>
      </c>
      <c r="E211" t="s">
        <v>3363</v>
      </c>
      <c r="F211">
        <v>690</v>
      </c>
      <c r="G211">
        <v>0</v>
      </c>
      <c r="H211">
        <v>690</v>
      </c>
    </row>
    <row r="212" spans="1:8" x14ac:dyDescent="0.3">
      <c r="A212">
        <v>116</v>
      </c>
      <c r="B212" t="s">
        <v>568</v>
      </c>
      <c r="C212" s="452">
        <v>46143</v>
      </c>
      <c r="D212" t="s">
        <v>3365</v>
      </c>
      <c r="E212" t="s">
        <v>3361</v>
      </c>
      <c r="F212">
        <v>7873.2</v>
      </c>
      <c r="G212">
        <v>65.58</v>
      </c>
      <c r="H212">
        <v>7807.62</v>
      </c>
    </row>
    <row r="213" spans="1:8" x14ac:dyDescent="0.3">
      <c r="A213">
        <v>116</v>
      </c>
      <c r="B213" t="s">
        <v>568</v>
      </c>
      <c r="C213" s="452">
        <v>46143</v>
      </c>
      <c r="D213" t="s">
        <v>3365</v>
      </c>
      <c r="E213" t="s">
        <v>3362</v>
      </c>
      <c r="F213">
        <v>6209</v>
      </c>
      <c r="G213">
        <v>81.599999999999994</v>
      </c>
      <c r="H213">
        <v>6127.4</v>
      </c>
    </row>
    <row r="214" spans="1:8" x14ac:dyDescent="0.3">
      <c r="A214">
        <v>116</v>
      </c>
      <c r="B214" t="s">
        <v>568</v>
      </c>
      <c r="C214" s="452">
        <v>46143</v>
      </c>
      <c r="D214" t="s">
        <v>3365</v>
      </c>
      <c r="E214" t="s">
        <v>22</v>
      </c>
      <c r="F214">
        <v>1782.45</v>
      </c>
      <c r="G214">
        <v>0</v>
      </c>
      <c r="H214">
        <v>1782.45</v>
      </c>
    </row>
    <row r="215" spans="1:8" x14ac:dyDescent="0.3">
      <c r="A215">
        <v>116</v>
      </c>
      <c r="B215" t="s">
        <v>568</v>
      </c>
      <c r="C215" s="452">
        <v>46143</v>
      </c>
      <c r="D215" t="s">
        <v>3365</v>
      </c>
      <c r="E215" t="s">
        <v>20</v>
      </c>
      <c r="F215">
        <v>60</v>
      </c>
      <c r="G215">
        <v>0</v>
      </c>
      <c r="H215">
        <v>60</v>
      </c>
    </row>
    <row r="216" spans="1:8" x14ac:dyDescent="0.3">
      <c r="A216">
        <v>116</v>
      </c>
      <c r="B216" t="s">
        <v>568</v>
      </c>
      <c r="C216" s="452">
        <v>46143</v>
      </c>
      <c r="D216" t="s">
        <v>3365</v>
      </c>
      <c r="E216" t="s">
        <v>3363</v>
      </c>
      <c r="F216">
        <v>30</v>
      </c>
      <c r="G216">
        <v>0</v>
      </c>
      <c r="H216">
        <v>30</v>
      </c>
    </row>
    <row r="217" spans="1:8" x14ac:dyDescent="0.3">
      <c r="A217">
        <v>116</v>
      </c>
      <c r="B217" t="s">
        <v>568</v>
      </c>
      <c r="C217" s="452">
        <v>46142</v>
      </c>
      <c r="D217" t="s">
        <v>3366</v>
      </c>
      <c r="E217" t="s">
        <v>3361</v>
      </c>
      <c r="F217">
        <v>7263.5</v>
      </c>
      <c r="G217">
        <v>104.15</v>
      </c>
      <c r="H217">
        <v>7159.35</v>
      </c>
    </row>
    <row r="218" spans="1:8" x14ac:dyDescent="0.3">
      <c r="A218">
        <v>116</v>
      </c>
      <c r="B218" t="s">
        <v>568</v>
      </c>
      <c r="C218" s="452">
        <v>46142</v>
      </c>
      <c r="D218" t="s">
        <v>3366</v>
      </c>
      <c r="E218" t="s">
        <v>3362</v>
      </c>
      <c r="F218">
        <v>5664</v>
      </c>
      <c r="G218">
        <v>345.9</v>
      </c>
      <c r="H218">
        <v>5318.1</v>
      </c>
    </row>
    <row r="219" spans="1:8" x14ac:dyDescent="0.3">
      <c r="A219">
        <v>116</v>
      </c>
      <c r="B219" t="s">
        <v>568</v>
      </c>
      <c r="C219" s="452">
        <v>46142</v>
      </c>
      <c r="D219" t="s">
        <v>3366</v>
      </c>
      <c r="E219" t="s">
        <v>20</v>
      </c>
      <c r="F219">
        <v>35</v>
      </c>
      <c r="G219">
        <v>0</v>
      </c>
      <c r="H219">
        <v>35</v>
      </c>
    </row>
    <row r="220" spans="1:8" x14ac:dyDescent="0.3">
      <c r="A220">
        <v>116</v>
      </c>
      <c r="B220" t="s">
        <v>568</v>
      </c>
      <c r="C220" s="452">
        <v>46142</v>
      </c>
      <c r="D220" t="s">
        <v>3366</v>
      </c>
      <c r="E220" t="s">
        <v>22</v>
      </c>
      <c r="F220">
        <v>1616.48</v>
      </c>
      <c r="G220">
        <v>0</v>
      </c>
      <c r="H220">
        <v>1616.48</v>
      </c>
    </row>
    <row r="221" spans="1:8" x14ac:dyDescent="0.3">
      <c r="A221">
        <v>116</v>
      </c>
      <c r="B221" t="s">
        <v>568</v>
      </c>
      <c r="C221" s="452">
        <v>46141</v>
      </c>
      <c r="D221" t="s">
        <v>3366</v>
      </c>
      <c r="E221" t="s">
        <v>3361</v>
      </c>
      <c r="F221">
        <v>5088.7</v>
      </c>
      <c r="G221">
        <v>0</v>
      </c>
      <c r="H221">
        <v>5088.7</v>
      </c>
    </row>
    <row r="222" spans="1:8" x14ac:dyDescent="0.3">
      <c r="A222">
        <v>116</v>
      </c>
      <c r="B222" t="s">
        <v>568</v>
      </c>
      <c r="C222" s="452">
        <v>46141</v>
      </c>
      <c r="D222" t="s">
        <v>3366</v>
      </c>
      <c r="E222" t="s">
        <v>3362</v>
      </c>
      <c r="F222">
        <v>4165</v>
      </c>
      <c r="G222">
        <v>0</v>
      </c>
      <c r="H222">
        <v>4165</v>
      </c>
    </row>
    <row r="223" spans="1:8" x14ac:dyDescent="0.3">
      <c r="A223">
        <v>116</v>
      </c>
      <c r="B223" t="s">
        <v>568</v>
      </c>
      <c r="C223" s="452">
        <v>46141</v>
      </c>
      <c r="D223" t="s">
        <v>3366</v>
      </c>
      <c r="E223" t="s">
        <v>20</v>
      </c>
      <c r="F223">
        <v>112</v>
      </c>
      <c r="G223">
        <v>0</v>
      </c>
      <c r="H223">
        <v>112</v>
      </c>
    </row>
    <row r="224" spans="1:8" x14ac:dyDescent="0.3">
      <c r="A224">
        <v>116</v>
      </c>
      <c r="B224" t="s">
        <v>568</v>
      </c>
      <c r="C224" s="452">
        <v>46141</v>
      </c>
      <c r="D224" t="s">
        <v>3366</v>
      </c>
      <c r="E224" t="s">
        <v>22</v>
      </c>
      <c r="F224">
        <v>1216.5</v>
      </c>
      <c r="G224">
        <v>0</v>
      </c>
      <c r="H224">
        <v>1216.5</v>
      </c>
    </row>
    <row r="225" spans="1:8" x14ac:dyDescent="0.3">
      <c r="A225">
        <v>116</v>
      </c>
      <c r="B225" t="s">
        <v>568</v>
      </c>
      <c r="C225" s="452">
        <v>46140</v>
      </c>
      <c r="D225" t="s">
        <v>3366</v>
      </c>
      <c r="E225" t="s">
        <v>3361</v>
      </c>
      <c r="F225">
        <v>6654.5</v>
      </c>
      <c r="G225">
        <v>154.53</v>
      </c>
      <c r="H225">
        <v>6499.97</v>
      </c>
    </row>
    <row r="226" spans="1:8" x14ac:dyDescent="0.3">
      <c r="A226">
        <v>116</v>
      </c>
      <c r="B226" t="s">
        <v>568</v>
      </c>
      <c r="C226" s="452">
        <v>46140</v>
      </c>
      <c r="D226" t="s">
        <v>3366</v>
      </c>
      <c r="E226" t="s">
        <v>3362</v>
      </c>
      <c r="F226">
        <v>5064</v>
      </c>
      <c r="G226">
        <v>534.1</v>
      </c>
      <c r="H226">
        <v>4529.8999999999996</v>
      </c>
    </row>
    <row r="227" spans="1:8" x14ac:dyDescent="0.3">
      <c r="A227">
        <v>116</v>
      </c>
      <c r="B227" t="s">
        <v>568</v>
      </c>
      <c r="C227" s="452">
        <v>46140</v>
      </c>
      <c r="D227" t="s">
        <v>3366</v>
      </c>
      <c r="E227" t="s">
        <v>22</v>
      </c>
      <c r="F227">
        <v>1414.56</v>
      </c>
      <c r="G227">
        <v>0</v>
      </c>
      <c r="H227">
        <v>1414.56</v>
      </c>
    </row>
    <row r="228" spans="1:8" x14ac:dyDescent="0.3">
      <c r="A228">
        <v>116</v>
      </c>
      <c r="B228" t="s">
        <v>568</v>
      </c>
      <c r="C228" s="452">
        <v>46139</v>
      </c>
      <c r="D228" t="s">
        <v>3366</v>
      </c>
      <c r="E228" t="s">
        <v>3361</v>
      </c>
      <c r="F228">
        <v>4532.7</v>
      </c>
      <c r="G228">
        <v>4.0999999999999996</v>
      </c>
      <c r="H228">
        <v>4528.6000000000004</v>
      </c>
    </row>
    <row r="229" spans="1:8" x14ac:dyDescent="0.3">
      <c r="A229">
        <v>116</v>
      </c>
      <c r="B229" t="s">
        <v>568</v>
      </c>
      <c r="C229" s="452">
        <v>46139</v>
      </c>
      <c r="D229" t="s">
        <v>3366</v>
      </c>
      <c r="E229" t="s">
        <v>3362</v>
      </c>
      <c r="F229">
        <v>3668</v>
      </c>
      <c r="G229">
        <v>108.5</v>
      </c>
      <c r="H229">
        <v>3559.5</v>
      </c>
    </row>
    <row r="230" spans="1:8" x14ac:dyDescent="0.3">
      <c r="A230">
        <v>116</v>
      </c>
      <c r="B230" t="s">
        <v>568</v>
      </c>
      <c r="C230" s="452">
        <v>46139</v>
      </c>
      <c r="D230" t="s">
        <v>3366</v>
      </c>
      <c r="E230" t="s">
        <v>22</v>
      </c>
      <c r="F230">
        <v>874.01</v>
      </c>
      <c r="G230">
        <v>0</v>
      </c>
      <c r="H230">
        <v>874.01</v>
      </c>
    </row>
    <row r="231" spans="1:8" x14ac:dyDescent="0.3">
      <c r="A231">
        <v>116</v>
      </c>
      <c r="B231" t="s">
        <v>568</v>
      </c>
      <c r="C231" s="452">
        <v>46137</v>
      </c>
      <c r="D231" t="s">
        <v>3366</v>
      </c>
      <c r="E231" t="s">
        <v>3361</v>
      </c>
      <c r="F231">
        <v>9810.9</v>
      </c>
      <c r="G231">
        <v>29.8</v>
      </c>
      <c r="H231">
        <v>9781.1</v>
      </c>
    </row>
    <row r="232" spans="1:8" x14ac:dyDescent="0.3">
      <c r="A232">
        <v>116</v>
      </c>
      <c r="B232" t="s">
        <v>568</v>
      </c>
      <c r="C232" s="452">
        <v>46137</v>
      </c>
      <c r="D232" t="s">
        <v>3366</v>
      </c>
      <c r="E232" t="s">
        <v>3362</v>
      </c>
      <c r="F232">
        <v>8790</v>
      </c>
      <c r="G232">
        <v>37.1</v>
      </c>
      <c r="H232">
        <v>8752.9</v>
      </c>
    </row>
    <row r="233" spans="1:8" x14ac:dyDescent="0.3">
      <c r="A233">
        <v>116</v>
      </c>
      <c r="B233" t="s">
        <v>568</v>
      </c>
      <c r="C233" s="452">
        <v>46137</v>
      </c>
      <c r="D233" t="s">
        <v>3366</v>
      </c>
      <c r="E233" t="s">
        <v>20</v>
      </c>
      <c r="F233">
        <v>86</v>
      </c>
      <c r="G233">
        <v>0</v>
      </c>
      <c r="H233">
        <v>86</v>
      </c>
    </row>
    <row r="234" spans="1:8" x14ac:dyDescent="0.3">
      <c r="A234">
        <v>116</v>
      </c>
      <c r="B234" t="s">
        <v>568</v>
      </c>
      <c r="C234" s="452">
        <v>46137</v>
      </c>
      <c r="D234" t="s">
        <v>3366</v>
      </c>
      <c r="E234" t="s">
        <v>22</v>
      </c>
      <c r="F234">
        <v>2423.4899999999998</v>
      </c>
      <c r="G234">
        <v>0</v>
      </c>
      <c r="H234">
        <v>2423.4899999999998</v>
      </c>
    </row>
    <row r="235" spans="1:8" x14ac:dyDescent="0.3">
      <c r="A235">
        <v>116</v>
      </c>
      <c r="B235" t="s">
        <v>568</v>
      </c>
      <c r="C235" s="452">
        <v>46137</v>
      </c>
      <c r="D235" t="s">
        <v>3366</v>
      </c>
      <c r="E235" t="s">
        <v>3363</v>
      </c>
      <c r="F235">
        <v>30</v>
      </c>
      <c r="G235">
        <v>0</v>
      </c>
      <c r="H235">
        <v>30</v>
      </c>
    </row>
    <row r="236" spans="1:8" x14ac:dyDescent="0.3">
      <c r="A236">
        <v>116</v>
      </c>
      <c r="B236" t="s">
        <v>568</v>
      </c>
      <c r="C236" s="452">
        <v>46136</v>
      </c>
      <c r="D236" t="s">
        <v>3366</v>
      </c>
      <c r="E236" t="s">
        <v>3361</v>
      </c>
      <c r="F236">
        <v>10889.7</v>
      </c>
      <c r="G236">
        <v>247.53</v>
      </c>
      <c r="H236">
        <v>10642.17</v>
      </c>
    </row>
    <row r="237" spans="1:8" x14ac:dyDescent="0.3">
      <c r="A237">
        <v>116</v>
      </c>
      <c r="B237" t="s">
        <v>568</v>
      </c>
      <c r="C237" s="452">
        <v>46136</v>
      </c>
      <c r="D237" t="s">
        <v>3366</v>
      </c>
      <c r="E237" t="s">
        <v>3362</v>
      </c>
      <c r="F237">
        <v>8611</v>
      </c>
      <c r="G237">
        <v>281.10000000000002</v>
      </c>
      <c r="H237">
        <v>8329.9</v>
      </c>
    </row>
    <row r="238" spans="1:8" x14ac:dyDescent="0.3">
      <c r="A238">
        <v>116</v>
      </c>
      <c r="B238" t="s">
        <v>568</v>
      </c>
      <c r="C238" s="452">
        <v>46136</v>
      </c>
      <c r="D238" t="s">
        <v>3366</v>
      </c>
      <c r="E238" t="s">
        <v>20</v>
      </c>
      <c r="F238">
        <v>48</v>
      </c>
      <c r="G238">
        <v>0</v>
      </c>
      <c r="H238">
        <v>48</v>
      </c>
    </row>
    <row r="239" spans="1:8" x14ac:dyDescent="0.3">
      <c r="A239">
        <v>116</v>
      </c>
      <c r="B239" t="s">
        <v>568</v>
      </c>
      <c r="C239" s="452">
        <v>46136</v>
      </c>
      <c r="D239" t="s">
        <v>3366</v>
      </c>
      <c r="E239" t="s">
        <v>22</v>
      </c>
      <c r="F239">
        <v>2468.7800000000002</v>
      </c>
      <c r="G239">
        <v>0</v>
      </c>
      <c r="H239">
        <v>2468.7800000000002</v>
      </c>
    </row>
    <row r="240" spans="1:8" x14ac:dyDescent="0.3">
      <c r="A240">
        <v>116</v>
      </c>
      <c r="B240" t="s">
        <v>568</v>
      </c>
      <c r="C240" s="452">
        <v>46135</v>
      </c>
      <c r="D240" t="s">
        <v>3366</v>
      </c>
      <c r="E240" t="s">
        <v>3361</v>
      </c>
      <c r="F240">
        <v>3477.1</v>
      </c>
      <c r="G240">
        <v>39.5</v>
      </c>
      <c r="H240">
        <v>3437.6</v>
      </c>
    </row>
    <row r="241" spans="1:8" x14ac:dyDescent="0.3">
      <c r="A241">
        <v>116</v>
      </c>
      <c r="B241" t="s">
        <v>568</v>
      </c>
      <c r="C241" s="452">
        <v>46135</v>
      </c>
      <c r="D241" t="s">
        <v>3366</v>
      </c>
      <c r="E241" t="s">
        <v>3362</v>
      </c>
      <c r="F241">
        <v>4220</v>
      </c>
      <c r="G241">
        <v>259.3</v>
      </c>
      <c r="H241">
        <v>3960.7</v>
      </c>
    </row>
    <row r="242" spans="1:8" x14ac:dyDescent="0.3">
      <c r="A242">
        <v>116</v>
      </c>
      <c r="B242" t="s">
        <v>568</v>
      </c>
      <c r="C242" s="452">
        <v>46135</v>
      </c>
      <c r="D242" t="s">
        <v>3366</v>
      </c>
      <c r="E242" t="s">
        <v>20</v>
      </c>
      <c r="F242">
        <v>16</v>
      </c>
      <c r="G242">
        <v>0</v>
      </c>
      <c r="H242">
        <v>16</v>
      </c>
    </row>
    <row r="243" spans="1:8" x14ac:dyDescent="0.3">
      <c r="A243">
        <v>116</v>
      </c>
      <c r="B243" t="s">
        <v>568</v>
      </c>
      <c r="C243" s="452">
        <v>46135</v>
      </c>
      <c r="D243" t="s">
        <v>3366</v>
      </c>
      <c r="E243" t="s">
        <v>22</v>
      </c>
      <c r="F243">
        <v>966.41</v>
      </c>
      <c r="G243">
        <v>0</v>
      </c>
      <c r="H243">
        <v>966.41</v>
      </c>
    </row>
    <row r="244" spans="1:8" x14ac:dyDescent="0.3">
      <c r="A244">
        <v>116</v>
      </c>
      <c r="B244" t="s">
        <v>568</v>
      </c>
      <c r="C244" s="452">
        <v>46134</v>
      </c>
      <c r="D244" t="s">
        <v>3366</v>
      </c>
      <c r="E244" t="s">
        <v>3361</v>
      </c>
      <c r="F244">
        <v>2749.4</v>
      </c>
      <c r="G244">
        <v>62.02</v>
      </c>
      <c r="H244">
        <v>2687.38</v>
      </c>
    </row>
    <row r="245" spans="1:8" x14ac:dyDescent="0.3">
      <c r="A245">
        <v>116</v>
      </c>
      <c r="B245" t="s">
        <v>568</v>
      </c>
      <c r="C245" s="452">
        <v>46134</v>
      </c>
      <c r="D245" t="s">
        <v>3366</v>
      </c>
      <c r="E245" t="s">
        <v>3362</v>
      </c>
      <c r="F245">
        <v>2177</v>
      </c>
      <c r="G245">
        <v>78.3</v>
      </c>
      <c r="H245">
        <v>2098.6999999999998</v>
      </c>
    </row>
    <row r="246" spans="1:8" x14ac:dyDescent="0.3">
      <c r="A246">
        <v>116</v>
      </c>
      <c r="B246" t="s">
        <v>568</v>
      </c>
      <c r="C246" s="452">
        <v>46134</v>
      </c>
      <c r="D246" t="s">
        <v>3366</v>
      </c>
      <c r="E246" t="s">
        <v>20</v>
      </c>
      <c r="F246">
        <v>64</v>
      </c>
      <c r="G246">
        <v>0</v>
      </c>
      <c r="H246">
        <v>64</v>
      </c>
    </row>
    <row r="247" spans="1:8" x14ac:dyDescent="0.3">
      <c r="A247">
        <v>116</v>
      </c>
      <c r="B247" t="s">
        <v>568</v>
      </c>
      <c r="C247" s="452">
        <v>46134</v>
      </c>
      <c r="D247" t="s">
        <v>3366</v>
      </c>
      <c r="E247" t="s">
        <v>22</v>
      </c>
      <c r="F247">
        <v>547.42999999999995</v>
      </c>
      <c r="G247">
        <v>0</v>
      </c>
      <c r="H247">
        <v>547.42999999999995</v>
      </c>
    </row>
    <row r="248" spans="1:8" x14ac:dyDescent="0.3">
      <c r="A248">
        <v>116</v>
      </c>
      <c r="B248" t="s">
        <v>568</v>
      </c>
      <c r="C248" s="452">
        <v>46133</v>
      </c>
      <c r="D248" t="s">
        <v>3366</v>
      </c>
      <c r="E248" t="s">
        <v>3361</v>
      </c>
      <c r="F248">
        <v>5004.7</v>
      </c>
      <c r="G248">
        <v>129.63999999999999</v>
      </c>
      <c r="H248">
        <v>4875.0600000000004</v>
      </c>
    </row>
    <row r="249" spans="1:8" x14ac:dyDescent="0.3">
      <c r="A249">
        <v>116</v>
      </c>
      <c r="B249" t="s">
        <v>568</v>
      </c>
      <c r="C249" s="452">
        <v>46133</v>
      </c>
      <c r="D249" t="s">
        <v>3366</v>
      </c>
      <c r="E249" t="s">
        <v>3362</v>
      </c>
      <c r="F249">
        <v>3659</v>
      </c>
      <c r="G249">
        <v>161.38999999999999</v>
      </c>
      <c r="H249">
        <v>3497.61</v>
      </c>
    </row>
    <row r="250" spans="1:8" x14ac:dyDescent="0.3">
      <c r="A250">
        <v>116</v>
      </c>
      <c r="B250" t="s">
        <v>568</v>
      </c>
      <c r="C250" s="452">
        <v>46133</v>
      </c>
      <c r="D250" t="s">
        <v>3366</v>
      </c>
      <c r="E250" t="s">
        <v>20</v>
      </c>
      <c r="F250">
        <v>48</v>
      </c>
      <c r="G250">
        <v>0</v>
      </c>
      <c r="H250">
        <v>48</v>
      </c>
    </row>
    <row r="251" spans="1:8" x14ac:dyDescent="0.3">
      <c r="A251">
        <v>116</v>
      </c>
      <c r="B251" t="s">
        <v>568</v>
      </c>
      <c r="C251" s="452">
        <v>46133</v>
      </c>
      <c r="D251" t="s">
        <v>3366</v>
      </c>
      <c r="E251" t="s">
        <v>22</v>
      </c>
      <c r="F251">
        <v>1102.6600000000001</v>
      </c>
      <c r="G251">
        <v>0</v>
      </c>
      <c r="H251">
        <v>1102.6600000000001</v>
      </c>
    </row>
    <row r="252" spans="1:8" x14ac:dyDescent="0.3">
      <c r="A252">
        <v>116</v>
      </c>
      <c r="B252" t="s">
        <v>568</v>
      </c>
      <c r="C252" s="452">
        <v>46132</v>
      </c>
      <c r="D252" t="s">
        <v>3366</v>
      </c>
      <c r="E252" t="s">
        <v>3361</v>
      </c>
      <c r="F252">
        <v>11544</v>
      </c>
      <c r="G252">
        <v>295.94</v>
      </c>
      <c r="H252">
        <v>11248.06</v>
      </c>
    </row>
    <row r="253" spans="1:8" x14ac:dyDescent="0.3">
      <c r="A253">
        <v>116</v>
      </c>
      <c r="B253" t="s">
        <v>568</v>
      </c>
      <c r="C253" s="452">
        <v>46132</v>
      </c>
      <c r="D253" t="s">
        <v>3366</v>
      </c>
      <c r="E253" t="s">
        <v>3362</v>
      </c>
      <c r="F253">
        <v>7328.5</v>
      </c>
      <c r="G253">
        <v>143.69999999999999</v>
      </c>
      <c r="H253">
        <v>7184.8</v>
      </c>
    </row>
    <row r="254" spans="1:8" x14ac:dyDescent="0.3">
      <c r="A254">
        <v>116</v>
      </c>
      <c r="B254" t="s">
        <v>568</v>
      </c>
      <c r="C254" s="452">
        <v>46132</v>
      </c>
      <c r="D254" t="s">
        <v>3366</v>
      </c>
      <c r="E254" t="s">
        <v>20</v>
      </c>
      <c r="F254">
        <v>152</v>
      </c>
      <c r="G254">
        <v>0</v>
      </c>
      <c r="H254">
        <v>152</v>
      </c>
    </row>
    <row r="255" spans="1:8" x14ac:dyDescent="0.3">
      <c r="A255">
        <v>116</v>
      </c>
      <c r="B255" t="s">
        <v>568</v>
      </c>
      <c r="C255" s="452">
        <v>46132</v>
      </c>
      <c r="D255" t="s">
        <v>3366</v>
      </c>
      <c r="E255" t="s">
        <v>22</v>
      </c>
      <c r="F255">
        <v>2349.25</v>
      </c>
      <c r="G255">
        <v>0</v>
      </c>
      <c r="H255">
        <v>2349.25</v>
      </c>
    </row>
    <row r="256" spans="1:8" x14ac:dyDescent="0.3">
      <c r="A256">
        <v>116</v>
      </c>
      <c r="B256" t="s">
        <v>568</v>
      </c>
      <c r="C256" s="452">
        <v>46130</v>
      </c>
      <c r="D256" t="s">
        <v>3366</v>
      </c>
      <c r="E256" t="s">
        <v>3361</v>
      </c>
      <c r="F256">
        <v>10564.8</v>
      </c>
      <c r="G256">
        <v>132.87</v>
      </c>
      <c r="H256">
        <v>10431.93</v>
      </c>
    </row>
    <row r="257" spans="1:8" x14ac:dyDescent="0.3">
      <c r="A257">
        <v>116</v>
      </c>
      <c r="B257" t="s">
        <v>568</v>
      </c>
      <c r="C257" s="452">
        <v>46130</v>
      </c>
      <c r="D257" t="s">
        <v>3366</v>
      </c>
      <c r="E257" t="s">
        <v>3362</v>
      </c>
      <c r="F257">
        <v>9162.5</v>
      </c>
      <c r="G257">
        <v>0.5</v>
      </c>
      <c r="H257">
        <v>9162</v>
      </c>
    </row>
    <row r="258" spans="1:8" x14ac:dyDescent="0.3">
      <c r="A258">
        <v>116</v>
      </c>
      <c r="B258" t="s">
        <v>568</v>
      </c>
      <c r="C258" s="452">
        <v>46130</v>
      </c>
      <c r="D258" t="s">
        <v>3366</v>
      </c>
      <c r="E258" t="s">
        <v>20</v>
      </c>
      <c r="F258">
        <v>195</v>
      </c>
      <c r="G258">
        <v>0</v>
      </c>
      <c r="H258">
        <v>195</v>
      </c>
    </row>
    <row r="259" spans="1:8" x14ac:dyDescent="0.3">
      <c r="A259">
        <v>116</v>
      </c>
      <c r="B259" t="s">
        <v>568</v>
      </c>
      <c r="C259" s="452">
        <v>46130</v>
      </c>
      <c r="D259" t="s">
        <v>3366</v>
      </c>
      <c r="E259" t="s">
        <v>22</v>
      </c>
      <c r="F259">
        <v>2581.2399999999998</v>
      </c>
      <c r="G259">
        <v>0</v>
      </c>
      <c r="H259">
        <v>2581.2399999999998</v>
      </c>
    </row>
    <row r="260" spans="1:8" x14ac:dyDescent="0.3">
      <c r="A260">
        <v>116</v>
      </c>
      <c r="B260" t="s">
        <v>568</v>
      </c>
      <c r="C260" s="452">
        <v>46130</v>
      </c>
      <c r="D260" t="s">
        <v>3366</v>
      </c>
      <c r="E260" t="s">
        <v>3363</v>
      </c>
      <c r="F260">
        <v>450</v>
      </c>
      <c r="G260">
        <v>0</v>
      </c>
      <c r="H260">
        <v>450</v>
      </c>
    </row>
    <row r="261" spans="1:8" x14ac:dyDescent="0.3">
      <c r="A261">
        <v>116</v>
      </c>
      <c r="B261" t="s">
        <v>568</v>
      </c>
      <c r="C261" s="452">
        <v>46129</v>
      </c>
      <c r="D261" t="s">
        <v>3366</v>
      </c>
      <c r="E261" t="s">
        <v>3361</v>
      </c>
      <c r="F261">
        <v>10106.200000000001</v>
      </c>
      <c r="G261">
        <v>44.13</v>
      </c>
      <c r="H261">
        <v>10062.07</v>
      </c>
    </row>
    <row r="262" spans="1:8" x14ac:dyDescent="0.3">
      <c r="A262">
        <v>116</v>
      </c>
      <c r="B262" t="s">
        <v>568</v>
      </c>
      <c r="C262" s="452">
        <v>46129</v>
      </c>
      <c r="D262" t="s">
        <v>3366</v>
      </c>
      <c r="E262" t="s">
        <v>3362</v>
      </c>
      <c r="F262">
        <v>6503.5</v>
      </c>
      <c r="G262">
        <v>131.81</v>
      </c>
      <c r="H262">
        <v>6371.69</v>
      </c>
    </row>
    <row r="263" spans="1:8" x14ac:dyDescent="0.3">
      <c r="A263">
        <v>116</v>
      </c>
      <c r="B263" t="s">
        <v>568</v>
      </c>
      <c r="C263" s="452">
        <v>46129</v>
      </c>
      <c r="D263" t="s">
        <v>3366</v>
      </c>
      <c r="E263" t="s">
        <v>22</v>
      </c>
      <c r="F263">
        <v>2143.16</v>
      </c>
      <c r="G263">
        <v>0</v>
      </c>
      <c r="H263">
        <v>2143.16</v>
      </c>
    </row>
    <row r="264" spans="1:8" x14ac:dyDescent="0.3">
      <c r="A264">
        <v>116</v>
      </c>
      <c r="B264" t="s">
        <v>568</v>
      </c>
      <c r="C264" s="452">
        <v>46128</v>
      </c>
      <c r="D264" t="s">
        <v>3366</v>
      </c>
      <c r="E264" t="s">
        <v>3361</v>
      </c>
      <c r="F264">
        <v>8840.7000000000007</v>
      </c>
      <c r="G264">
        <v>86.31</v>
      </c>
      <c r="H264">
        <v>8754.39</v>
      </c>
    </row>
    <row r="265" spans="1:8" x14ac:dyDescent="0.3">
      <c r="A265">
        <v>116</v>
      </c>
      <c r="B265" t="s">
        <v>568</v>
      </c>
      <c r="C265" s="452">
        <v>46128</v>
      </c>
      <c r="D265" t="s">
        <v>3366</v>
      </c>
      <c r="E265" t="s">
        <v>3362</v>
      </c>
      <c r="F265">
        <v>8582</v>
      </c>
      <c r="G265">
        <v>475.65</v>
      </c>
      <c r="H265">
        <v>8106.35</v>
      </c>
    </row>
    <row r="266" spans="1:8" x14ac:dyDescent="0.3">
      <c r="A266">
        <v>116</v>
      </c>
      <c r="B266" t="s">
        <v>568</v>
      </c>
      <c r="C266" s="452">
        <v>46128</v>
      </c>
      <c r="D266" t="s">
        <v>3366</v>
      </c>
      <c r="E266" t="s">
        <v>22</v>
      </c>
      <c r="F266">
        <v>2180.4</v>
      </c>
      <c r="G266">
        <v>0</v>
      </c>
      <c r="H266">
        <v>2180.4</v>
      </c>
    </row>
    <row r="267" spans="1:8" x14ac:dyDescent="0.3">
      <c r="A267">
        <v>116</v>
      </c>
      <c r="B267" t="s">
        <v>568</v>
      </c>
      <c r="C267" s="452">
        <v>46127</v>
      </c>
      <c r="D267" t="s">
        <v>3366</v>
      </c>
      <c r="E267" t="s">
        <v>3361</v>
      </c>
      <c r="F267">
        <v>5890.5</v>
      </c>
      <c r="G267">
        <v>18.399999999999999</v>
      </c>
      <c r="H267">
        <v>5872.1</v>
      </c>
    </row>
    <row r="268" spans="1:8" x14ac:dyDescent="0.3">
      <c r="A268">
        <v>116</v>
      </c>
      <c r="B268" t="s">
        <v>568</v>
      </c>
      <c r="C268" s="452">
        <v>46127</v>
      </c>
      <c r="D268" t="s">
        <v>3366</v>
      </c>
      <c r="E268" t="s">
        <v>3362</v>
      </c>
      <c r="F268">
        <v>7478</v>
      </c>
      <c r="G268">
        <v>255.28</v>
      </c>
      <c r="H268">
        <v>7222.72</v>
      </c>
    </row>
    <row r="269" spans="1:8" x14ac:dyDescent="0.3">
      <c r="A269">
        <v>116</v>
      </c>
      <c r="B269" t="s">
        <v>568</v>
      </c>
      <c r="C269" s="452">
        <v>46127</v>
      </c>
      <c r="D269" t="s">
        <v>3366</v>
      </c>
      <c r="E269" t="s">
        <v>20</v>
      </c>
      <c r="F269">
        <v>55</v>
      </c>
      <c r="G269">
        <v>0</v>
      </c>
      <c r="H269">
        <v>55</v>
      </c>
    </row>
    <row r="270" spans="1:8" x14ac:dyDescent="0.3">
      <c r="A270">
        <v>116</v>
      </c>
      <c r="B270" t="s">
        <v>568</v>
      </c>
      <c r="C270" s="452">
        <v>46127</v>
      </c>
      <c r="D270" t="s">
        <v>3366</v>
      </c>
      <c r="E270" t="s">
        <v>22</v>
      </c>
      <c r="F270">
        <v>1724.97</v>
      </c>
      <c r="G270">
        <v>0</v>
      </c>
      <c r="H270">
        <v>1724.97</v>
      </c>
    </row>
    <row r="271" spans="1:8" x14ac:dyDescent="0.3">
      <c r="A271">
        <v>116</v>
      </c>
      <c r="B271" t="s">
        <v>568</v>
      </c>
      <c r="C271" s="452">
        <v>46126</v>
      </c>
      <c r="D271" t="s">
        <v>3366</v>
      </c>
      <c r="E271" t="s">
        <v>3361</v>
      </c>
      <c r="F271">
        <v>5792.5</v>
      </c>
      <c r="G271">
        <v>102.92</v>
      </c>
      <c r="H271">
        <v>5689.58</v>
      </c>
    </row>
    <row r="272" spans="1:8" x14ac:dyDescent="0.3">
      <c r="A272">
        <v>116</v>
      </c>
      <c r="B272" t="s">
        <v>568</v>
      </c>
      <c r="C272" s="452">
        <v>46126</v>
      </c>
      <c r="D272" t="s">
        <v>3366</v>
      </c>
      <c r="E272" t="s">
        <v>3362</v>
      </c>
      <c r="F272">
        <v>4887</v>
      </c>
      <c r="G272">
        <v>194.43</v>
      </c>
      <c r="H272">
        <v>4692.57</v>
      </c>
    </row>
    <row r="273" spans="1:8" x14ac:dyDescent="0.3">
      <c r="A273">
        <v>116</v>
      </c>
      <c r="B273" t="s">
        <v>568</v>
      </c>
      <c r="C273" s="452">
        <v>46126</v>
      </c>
      <c r="D273" t="s">
        <v>3366</v>
      </c>
      <c r="E273" t="s">
        <v>20</v>
      </c>
      <c r="F273">
        <v>403</v>
      </c>
      <c r="G273">
        <v>0</v>
      </c>
      <c r="H273">
        <v>403</v>
      </c>
    </row>
    <row r="274" spans="1:8" x14ac:dyDescent="0.3">
      <c r="A274">
        <v>116</v>
      </c>
      <c r="B274" t="s">
        <v>568</v>
      </c>
      <c r="C274" s="452">
        <v>46126</v>
      </c>
      <c r="D274" t="s">
        <v>3366</v>
      </c>
      <c r="E274" t="s">
        <v>22</v>
      </c>
      <c r="F274">
        <v>1371.8</v>
      </c>
      <c r="G274">
        <v>0</v>
      </c>
      <c r="H274">
        <v>1371.8</v>
      </c>
    </row>
    <row r="275" spans="1:8" x14ac:dyDescent="0.3">
      <c r="A275">
        <v>116</v>
      </c>
      <c r="B275" t="s">
        <v>568</v>
      </c>
      <c r="C275" s="452">
        <v>46125</v>
      </c>
      <c r="D275" t="s">
        <v>3366</v>
      </c>
      <c r="E275" t="s">
        <v>3361</v>
      </c>
      <c r="F275">
        <v>2657</v>
      </c>
      <c r="G275">
        <v>0</v>
      </c>
      <c r="H275">
        <v>2657</v>
      </c>
    </row>
    <row r="276" spans="1:8" x14ac:dyDescent="0.3">
      <c r="A276">
        <v>116</v>
      </c>
      <c r="B276" t="s">
        <v>568</v>
      </c>
      <c r="C276" s="452">
        <v>46125</v>
      </c>
      <c r="D276" t="s">
        <v>3366</v>
      </c>
      <c r="E276" t="s">
        <v>3362</v>
      </c>
      <c r="F276">
        <v>3429.4</v>
      </c>
      <c r="G276">
        <v>14.4</v>
      </c>
      <c r="H276">
        <v>3415</v>
      </c>
    </row>
    <row r="277" spans="1:8" x14ac:dyDescent="0.3">
      <c r="A277">
        <v>116</v>
      </c>
      <c r="B277" t="s">
        <v>568</v>
      </c>
      <c r="C277" s="452">
        <v>46125</v>
      </c>
      <c r="D277" t="s">
        <v>3366</v>
      </c>
      <c r="E277" t="s">
        <v>20</v>
      </c>
      <c r="F277">
        <v>16</v>
      </c>
      <c r="G277">
        <v>0</v>
      </c>
      <c r="H277">
        <v>16</v>
      </c>
    </row>
    <row r="278" spans="1:8" x14ac:dyDescent="0.3">
      <c r="A278">
        <v>116</v>
      </c>
      <c r="B278" t="s">
        <v>568</v>
      </c>
      <c r="C278" s="452">
        <v>46125</v>
      </c>
      <c r="D278" t="s">
        <v>3366</v>
      </c>
      <c r="E278" t="s">
        <v>22</v>
      </c>
      <c r="F278">
        <v>716.2</v>
      </c>
      <c r="G278">
        <v>0</v>
      </c>
      <c r="H278">
        <v>716.2</v>
      </c>
    </row>
    <row r="279" spans="1:8" x14ac:dyDescent="0.3">
      <c r="A279">
        <v>116</v>
      </c>
      <c r="B279" t="s">
        <v>568</v>
      </c>
      <c r="C279" s="452">
        <v>46122</v>
      </c>
      <c r="D279" t="s">
        <v>3366</v>
      </c>
      <c r="E279" t="s">
        <v>3361</v>
      </c>
      <c r="F279">
        <v>20813.2</v>
      </c>
      <c r="G279">
        <v>42.9</v>
      </c>
      <c r="H279">
        <v>20770.3</v>
      </c>
    </row>
    <row r="280" spans="1:8" x14ac:dyDescent="0.3">
      <c r="A280">
        <v>116</v>
      </c>
      <c r="B280" t="s">
        <v>568</v>
      </c>
      <c r="C280" s="452">
        <v>46122</v>
      </c>
      <c r="D280" t="s">
        <v>3366</v>
      </c>
      <c r="E280" t="s">
        <v>3362</v>
      </c>
      <c r="F280">
        <v>16929</v>
      </c>
      <c r="G280">
        <v>220.4</v>
      </c>
      <c r="H280">
        <v>16708.599999999999</v>
      </c>
    </row>
    <row r="281" spans="1:8" x14ac:dyDescent="0.3">
      <c r="A281">
        <v>116</v>
      </c>
      <c r="B281" t="s">
        <v>568</v>
      </c>
      <c r="C281" s="452">
        <v>46122</v>
      </c>
      <c r="D281" t="s">
        <v>3366</v>
      </c>
      <c r="E281" t="s">
        <v>20</v>
      </c>
      <c r="F281">
        <v>251</v>
      </c>
      <c r="G281">
        <v>0</v>
      </c>
      <c r="H281">
        <v>251</v>
      </c>
    </row>
    <row r="282" spans="1:8" x14ac:dyDescent="0.3">
      <c r="A282">
        <v>116</v>
      </c>
      <c r="B282" t="s">
        <v>568</v>
      </c>
      <c r="C282" s="452">
        <v>46122</v>
      </c>
      <c r="D282" t="s">
        <v>3366</v>
      </c>
      <c r="E282" t="s">
        <v>22</v>
      </c>
      <c r="F282">
        <v>4917.93</v>
      </c>
      <c r="G282">
        <v>0</v>
      </c>
      <c r="H282">
        <v>4917.93</v>
      </c>
    </row>
    <row r="283" spans="1:8" x14ac:dyDescent="0.3">
      <c r="A283">
        <v>116</v>
      </c>
      <c r="B283" t="s">
        <v>568</v>
      </c>
      <c r="C283" s="452">
        <v>46122</v>
      </c>
      <c r="D283" t="s">
        <v>3366</v>
      </c>
      <c r="E283" t="s">
        <v>3363</v>
      </c>
      <c r="F283">
        <v>555</v>
      </c>
      <c r="G283">
        <v>0</v>
      </c>
      <c r="H283">
        <v>555</v>
      </c>
    </row>
    <row r="284" spans="1:8" x14ac:dyDescent="0.3">
      <c r="A284">
        <v>116</v>
      </c>
      <c r="B284" t="s">
        <v>568</v>
      </c>
      <c r="C284" s="452">
        <v>46121</v>
      </c>
      <c r="D284" t="s">
        <v>3366</v>
      </c>
      <c r="E284" t="s">
        <v>3361</v>
      </c>
      <c r="F284">
        <v>4599.5</v>
      </c>
      <c r="G284">
        <v>114.26</v>
      </c>
      <c r="H284">
        <v>4485.24</v>
      </c>
    </row>
    <row r="285" spans="1:8" x14ac:dyDescent="0.3">
      <c r="A285">
        <v>116</v>
      </c>
      <c r="B285" t="s">
        <v>568</v>
      </c>
      <c r="C285" s="452">
        <v>46121</v>
      </c>
      <c r="D285" t="s">
        <v>3366</v>
      </c>
      <c r="E285" t="s">
        <v>3362</v>
      </c>
      <c r="F285">
        <v>4138</v>
      </c>
      <c r="G285">
        <v>142.68</v>
      </c>
      <c r="H285">
        <v>3995.32</v>
      </c>
    </row>
    <row r="286" spans="1:8" x14ac:dyDescent="0.3">
      <c r="A286">
        <v>116</v>
      </c>
      <c r="B286" t="s">
        <v>568</v>
      </c>
      <c r="C286" s="452">
        <v>46121</v>
      </c>
      <c r="D286" t="s">
        <v>3366</v>
      </c>
      <c r="E286" t="s">
        <v>22</v>
      </c>
      <c r="F286">
        <v>1109.6400000000001</v>
      </c>
      <c r="G286">
        <v>0</v>
      </c>
      <c r="H286">
        <v>1109.6400000000001</v>
      </c>
    </row>
    <row r="287" spans="1:8" x14ac:dyDescent="0.3">
      <c r="A287">
        <v>116</v>
      </c>
      <c r="B287" t="s">
        <v>568</v>
      </c>
      <c r="C287" s="452">
        <v>46120</v>
      </c>
      <c r="D287" t="s">
        <v>3366</v>
      </c>
      <c r="E287" t="s">
        <v>3361</v>
      </c>
      <c r="F287">
        <v>4984.5</v>
      </c>
      <c r="G287">
        <v>28.74</v>
      </c>
      <c r="H287">
        <v>4955.76</v>
      </c>
    </row>
    <row r="288" spans="1:8" x14ac:dyDescent="0.3">
      <c r="A288">
        <v>116</v>
      </c>
      <c r="B288" t="s">
        <v>568</v>
      </c>
      <c r="C288" s="452">
        <v>46120</v>
      </c>
      <c r="D288" t="s">
        <v>3366</v>
      </c>
      <c r="E288" t="s">
        <v>3362</v>
      </c>
      <c r="F288">
        <v>5469.5</v>
      </c>
      <c r="G288">
        <v>98.96</v>
      </c>
      <c r="H288">
        <v>5370.54</v>
      </c>
    </row>
    <row r="289" spans="1:8" x14ac:dyDescent="0.3">
      <c r="A289">
        <v>116</v>
      </c>
      <c r="B289" t="s">
        <v>568</v>
      </c>
      <c r="C289" s="452">
        <v>46120</v>
      </c>
      <c r="D289" t="s">
        <v>3366</v>
      </c>
      <c r="E289" t="s">
        <v>20</v>
      </c>
      <c r="F289">
        <v>64</v>
      </c>
      <c r="G289">
        <v>0</v>
      </c>
      <c r="H289">
        <v>64</v>
      </c>
    </row>
    <row r="290" spans="1:8" x14ac:dyDescent="0.3">
      <c r="A290">
        <v>116</v>
      </c>
      <c r="B290" t="s">
        <v>568</v>
      </c>
      <c r="C290" s="452">
        <v>46120</v>
      </c>
      <c r="D290" t="s">
        <v>3366</v>
      </c>
      <c r="E290" t="s">
        <v>22</v>
      </c>
      <c r="F290">
        <v>1362.68</v>
      </c>
      <c r="G290">
        <v>0</v>
      </c>
      <c r="H290">
        <v>1362.68</v>
      </c>
    </row>
    <row r="291" spans="1:8" x14ac:dyDescent="0.3">
      <c r="A291">
        <v>116</v>
      </c>
      <c r="B291" t="s">
        <v>568</v>
      </c>
      <c r="C291" s="452">
        <v>46119</v>
      </c>
      <c r="D291" t="s">
        <v>3366</v>
      </c>
      <c r="E291" t="s">
        <v>3361</v>
      </c>
      <c r="F291">
        <v>7549.2</v>
      </c>
      <c r="G291">
        <v>131.07</v>
      </c>
      <c r="H291">
        <v>7418.13</v>
      </c>
    </row>
    <row r="292" spans="1:8" x14ac:dyDescent="0.3">
      <c r="A292">
        <v>116</v>
      </c>
      <c r="B292" t="s">
        <v>568</v>
      </c>
      <c r="C292" s="452">
        <v>46119</v>
      </c>
      <c r="D292" t="s">
        <v>3366</v>
      </c>
      <c r="E292" t="s">
        <v>3362</v>
      </c>
      <c r="F292">
        <v>5285</v>
      </c>
      <c r="G292">
        <v>222.6</v>
      </c>
      <c r="H292">
        <v>5062.3999999999996</v>
      </c>
    </row>
    <row r="293" spans="1:8" x14ac:dyDescent="0.3">
      <c r="A293">
        <v>116</v>
      </c>
      <c r="B293" t="s">
        <v>568</v>
      </c>
      <c r="C293" s="452">
        <v>46119</v>
      </c>
      <c r="D293" t="s">
        <v>3366</v>
      </c>
      <c r="E293" t="s">
        <v>20</v>
      </c>
      <c r="F293">
        <v>112</v>
      </c>
      <c r="G293">
        <v>26</v>
      </c>
      <c r="H293">
        <v>86</v>
      </c>
    </row>
    <row r="294" spans="1:8" x14ac:dyDescent="0.3">
      <c r="A294">
        <v>116</v>
      </c>
      <c r="B294" t="s">
        <v>568</v>
      </c>
      <c r="C294" s="452">
        <v>46119</v>
      </c>
      <c r="D294" t="s">
        <v>3366</v>
      </c>
      <c r="E294" t="s">
        <v>22</v>
      </c>
      <c r="F294">
        <v>1402.85</v>
      </c>
      <c r="G294">
        <v>0</v>
      </c>
      <c r="H294">
        <v>1402.85</v>
      </c>
    </row>
    <row r="295" spans="1:8" x14ac:dyDescent="0.3">
      <c r="A295">
        <v>116</v>
      </c>
      <c r="B295" t="s">
        <v>568</v>
      </c>
      <c r="C295" s="452">
        <v>46118</v>
      </c>
      <c r="D295" t="s">
        <v>3366</v>
      </c>
      <c r="E295" t="s">
        <v>3361</v>
      </c>
      <c r="F295">
        <v>2135.6</v>
      </c>
      <c r="G295">
        <v>6.5</v>
      </c>
      <c r="H295">
        <v>2129.1</v>
      </c>
    </row>
    <row r="296" spans="1:8" x14ac:dyDescent="0.3">
      <c r="A296">
        <v>116</v>
      </c>
      <c r="B296" t="s">
        <v>568</v>
      </c>
      <c r="C296" s="452">
        <v>46118</v>
      </c>
      <c r="D296" t="s">
        <v>3366</v>
      </c>
      <c r="E296" t="s">
        <v>3362</v>
      </c>
      <c r="F296">
        <v>3191</v>
      </c>
      <c r="G296">
        <v>71.8</v>
      </c>
      <c r="H296">
        <v>3119.2</v>
      </c>
    </row>
    <row r="297" spans="1:8" x14ac:dyDescent="0.3">
      <c r="A297">
        <v>116</v>
      </c>
      <c r="B297" t="s">
        <v>568</v>
      </c>
      <c r="C297" s="452">
        <v>46118</v>
      </c>
      <c r="D297" t="s">
        <v>3366</v>
      </c>
      <c r="E297" t="s">
        <v>22</v>
      </c>
      <c r="F297">
        <v>688.25</v>
      </c>
      <c r="G297">
        <v>0</v>
      </c>
      <c r="H297">
        <v>688.25</v>
      </c>
    </row>
    <row r="298" spans="1:8" x14ac:dyDescent="0.3">
      <c r="A298">
        <v>116</v>
      </c>
      <c r="B298" t="s">
        <v>568</v>
      </c>
      <c r="C298" s="452">
        <v>46116</v>
      </c>
      <c r="D298" t="s">
        <v>3366</v>
      </c>
      <c r="E298" t="s">
        <v>3361</v>
      </c>
      <c r="F298">
        <v>10229.1</v>
      </c>
      <c r="G298">
        <v>123.56</v>
      </c>
      <c r="H298">
        <v>10105.540000000001</v>
      </c>
    </row>
    <row r="299" spans="1:8" x14ac:dyDescent="0.3">
      <c r="A299">
        <v>116</v>
      </c>
      <c r="B299" t="s">
        <v>568</v>
      </c>
      <c r="C299" s="452">
        <v>46116</v>
      </c>
      <c r="D299" t="s">
        <v>3366</v>
      </c>
      <c r="E299" t="s">
        <v>3362</v>
      </c>
      <c r="F299">
        <v>7684</v>
      </c>
      <c r="G299">
        <v>173.74</v>
      </c>
      <c r="H299">
        <v>7510.26</v>
      </c>
    </row>
    <row r="300" spans="1:8" x14ac:dyDescent="0.3">
      <c r="A300">
        <v>116</v>
      </c>
      <c r="B300" t="s">
        <v>568</v>
      </c>
      <c r="C300" s="452">
        <v>46116</v>
      </c>
      <c r="D300" t="s">
        <v>3366</v>
      </c>
      <c r="E300" t="s">
        <v>20</v>
      </c>
      <c r="F300">
        <v>64</v>
      </c>
      <c r="G300">
        <v>0</v>
      </c>
      <c r="H300">
        <v>64</v>
      </c>
    </row>
    <row r="301" spans="1:8" x14ac:dyDescent="0.3">
      <c r="A301">
        <v>116</v>
      </c>
      <c r="B301" t="s">
        <v>568</v>
      </c>
      <c r="C301" s="452">
        <v>46116</v>
      </c>
      <c r="D301" t="s">
        <v>3366</v>
      </c>
      <c r="E301" t="s">
        <v>22</v>
      </c>
      <c r="F301">
        <v>2269.02</v>
      </c>
      <c r="G301">
        <v>0</v>
      </c>
      <c r="H301">
        <v>2269.02</v>
      </c>
    </row>
    <row r="302" spans="1:8" x14ac:dyDescent="0.3">
      <c r="A302">
        <v>116</v>
      </c>
      <c r="B302" t="s">
        <v>568</v>
      </c>
      <c r="C302" s="452">
        <v>46116</v>
      </c>
      <c r="D302" t="s">
        <v>3366</v>
      </c>
      <c r="E302" t="s">
        <v>3363</v>
      </c>
      <c r="F302">
        <v>255</v>
      </c>
      <c r="G302">
        <v>0</v>
      </c>
      <c r="H302">
        <v>255</v>
      </c>
    </row>
    <row r="303" spans="1:8" x14ac:dyDescent="0.3">
      <c r="A303">
        <v>116</v>
      </c>
      <c r="B303" t="s">
        <v>568</v>
      </c>
      <c r="C303" s="452">
        <v>46114</v>
      </c>
      <c r="D303" t="s">
        <v>3366</v>
      </c>
      <c r="E303" t="s">
        <v>3361</v>
      </c>
      <c r="F303">
        <v>7792</v>
      </c>
      <c r="G303">
        <v>121.14</v>
      </c>
      <c r="H303">
        <v>7670.86</v>
      </c>
    </row>
    <row r="304" spans="1:8" x14ac:dyDescent="0.3">
      <c r="A304">
        <v>116</v>
      </c>
      <c r="B304" t="s">
        <v>568</v>
      </c>
      <c r="C304" s="452">
        <v>46114</v>
      </c>
      <c r="D304" t="s">
        <v>3366</v>
      </c>
      <c r="E304" t="s">
        <v>3362</v>
      </c>
      <c r="F304">
        <v>4900.5</v>
      </c>
      <c r="G304">
        <v>141.6</v>
      </c>
      <c r="H304">
        <v>4758.8999999999996</v>
      </c>
    </row>
    <row r="305" spans="1:8" x14ac:dyDescent="0.3">
      <c r="A305">
        <v>116</v>
      </c>
      <c r="B305" t="s">
        <v>568</v>
      </c>
      <c r="C305" s="452">
        <v>46114</v>
      </c>
      <c r="D305" t="s">
        <v>3366</v>
      </c>
      <c r="E305" t="s">
        <v>22</v>
      </c>
      <c r="F305">
        <v>1608.05</v>
      </c>
      <c r="G305">
        <v>0</v>
      </c>
      <c r="H305">
        <v>1608.05</v>
      </c>
    </row>
    <row r="306" spans="1:8" x14ac:dyDescent="0.3">
      <c r="A306">
        <v>116</v>
      </c>
      <c r="B306" t="s">
        <v>568</v>
      </c>
      <c r="C306" s="452">
        <v>46113</v>
      </c>
      <c r="D306" t="s">
        <v>3366</v>
      </c>
      <c r="E306" t="s">
        <v>3361</v>
      </c>
      <c r="F306">
        <v>6396.7</v>
      </c>
      <c r="G306">
        <v>211.68</v>
      </c>
      <c r="H306">
        <v>6185.02</v>
      </c>
    </row>
    <row r="307" spans="1:8" x14ac:dyDescent="0.3">
      <c r="A307">
        <v>116</v>
      </c>
      <c r="B307" t="s">
        <v>568</v>
      </c>
      <c r="C307" s="452">
        <v>46113</v>
      </c>
      <c r="D307" t="s">
        <v>3366</v>
      </c>
      <c r="E307" t="s">
        <v>3362</v>
      </c>
      <c r="F307">
        <v>6462</v>
      </c>
      <c r="G307">
        <v>597.36</v>
      </c>
      <c r="H307">
        <v>5864.64</v>
      </c>
    </row>
    <row r="308" spans="1:8" x14ac:dyDescent="0.3">
      <c r="A308">
        <v>116</v>
      </c>
      <c r="B308" t="s">
        <v>568</v>
      </c>
      <c r="C308" s="452">
        <v>46113</v>
      </c>
      <c r="D308" t="s">
        <v>3366</v>
      </c>
      <c r="E308" t="s">
        <v>22</v>
      </c>
      <c r="F308">
        <v>1581.39</v>
      </c>
      <c r="G308">
        <v>0</v>
      </c>
      <c r="H308">
        <v>1581.39</v>
      </c>
    </row>
    <row r="309" spans="1:8" x14ac:dyDescent="0.3">
      <c r="A309">
        <v>116</v>
      </c>
      <c r="B309" t="s">
        <v>568</v>
      </c>
      <c r="C309" s="452">
        <v>46112</v>
      </c>
      <c r="D309" t="s">
        <v>3367</v>
      </c>
      <c r="E309" t="s">
        <v>3361</v>
      </c>
      <c r="F309">
        <v>5433.2</v>
      </c>
      <c r="G309">
        <v>70.52</v>
      </c>
      <c r="H309">
        <v>5362.68</v>
      </c>
    </row>
    <row r="310" spans="1:8" x14ac:dyDescent="0.3">
      <c r="A310">
        <v>116</v>
      </c>
      <c r="B310" t="s">
        <v>568</v>
      </c>
      <c r="C310" s="452">
        <v>46112</v>
      </c>
      <c r="D310" t="s">
        <v>3367</v>
      </c>
      <c r="E310" t="s">
        <v>3362</v>
      </c>
      <c r="F310">
        <v>6068.5</v>
      </c>
      <c r="G310">
        <v>650.66999999999996</v>
      </c>
      <c r="H310">
        <v>5417.83</v>
      </c>
    </row>
    <row r="311" spans="1:8" x14ac:dyDescent="0.3">
      <c r="A311">
        <v>116</v>
      </c>
      <c r="B311" t="s">
        <v>568</v>
      </c>
      <c r="C311" s="452">
        <v>46112</v>
      </c>
      <c r="D311" t="s">
        <v>3367</v>
      </c>
      <c r="E311" t="s">
        <v>22</v>
      </c>
      <c r="F311">
        <v>1314.64</v>
      </c>
      <c r="G311">
        <v>0</v>
      </c>
      <c r="H311">
        <v>1314.64</v>
      </c>
    </row>
    <row r="312" spans="1:8" x14ac:dyDescent="0.3">
      <c r="A312">
        <v>116</v>
      </c>
      <c r="B312" t="s">
        <v>568</v>
      </c>
      <c r="C312" s="452">
        <v>46111</v>
      </c>
      <c r="D312" t="s">
        <v>3367</v>
      </c>
      <c r="E312" t="s">
        <v>3361</v>
      </c>
      <c r="F312">
        <v>4230</v>
      </c>
      <c r="G312">
        <v>27.38</v>
      </c>
      <c r="H312">
        <v>4202.62</v>
      </c>
    </row>
    <row r="313" spans="1:8" x14ac:dyDescent="0.3">
      <c r="A313">
        <v>116</v>
      </c>
      <c r="B313" t="s">
        <v>568</v>
      </c>
      <c r="C313" s="452">
        <v>46111</v>
      </c>
      <c r="D313" t="s">
        <v>3367</v>
      </c>
      <c r="E313" t="s">
        <v>3362</v>
      </c>
      <c r="F313">
        <v>3557</v>
      </c>
      <c r="G313">
        <v>75.349999999999994</v>
      </c>
      <c r="H313">
        <v>3481.65</v>
      </c>
    </row>
    <row r="314" spans="1:8" x14ac:dyDescent="0.3">
      <c r="A314">
        <v>116</v>
      </c>
      <c r="B314" t="s">
        <v>568</v>
      </c>
      <c r="C314" s="452">
        <v>46111</v>
      </c>
      <c r="D314" t="s">
        <v>3367</v>
      </c>
      <c r="E314" t="s">
        <v>22</v>
      </c>
      <c r="F314">
        <v>1011.72</v>
      </c>
      <c r="G314">
        <v>0</v>
      </c>
      <c r="H314">
        <v>1011.72</v>
      </c>
    </row>
    <row r="315" spans="1:8" x14ac:dyDescent="0.3">
      <c r="A315">
        <v>116</v>
      </c>
      <c r="B315" t="s">
        <v>568</v>
      </c>
      <c r="C315" s="452">
        <v>46109</v>
      </c>
      <c r="D315" t="s">
        <v>3367</v>
      </c>
      <c r="E315" t="s">
        <v>3361</v>
      </c>
      <c r="F315">
        <v>7265.6</v>
      </c>
      <c r="G315">
        <v>29.9</v>
      </c>
      <c r="H315">
        <v>7235.7</v>
      </c>
    </row>
    <row r="316" spans="1:8" x14ac:dyDescent="0.3">
      <c r="A316">
        <v>116</v>
      </c>
      <c r="B316" t="s">
        <v>568</v>
      </c>
      <c r="C316" s="452">
        <v>46109</v>
      </c>
      <c r="D316" t="s">
        <v>3367</v>
      </c>
      <c r="E316" t="s">
        <v>3362</v>
      </c>
      <c r="F316">
        <v>6484.5</v>
      </c>
      <c r="G316">
        <v>557.1</v>
      </c>
      <c r="H316">
        <v>5927.4</v>
      </c>
    </row>
    <row r="317" spans="1:8" x14ac:dyDescent="0.3">
      <c r="A317">
        <v>116</v>
      </c>
      <c r="B317" t="s">
        <v>568</v>
      </c>
      <c r="C317" s="452">
        <v>46109</v>
      </c>
      <c r="D317" t="s">
        <v>3367</v>
      </c>
      <c r="E317" t="s">
        <v>22</v>
      </c>
      <c r="F317">
        <v>1673.02</v>
      </c>
      <c r="G317">
        <v>0</v>
      </c>
      <c r="H317">
        <v>1673.02</v>
      </c>
    </row>
    <row r="318" spans="1:8" x14ac:dyDescent="0.3">
      <c r="A318">
        <v>116</v>
      </c>
      <c r="B318" t="s">
        <v>568</v>
      </c>
      <c r="C318" s="452">
        <v>46109</v>
      </c>
      <c r="D318" t="s">
        <v>3367</v>
      </c>
      <c r="E318" t="s">
        <v>3363</v>
      </c>
      <c r="F318">
        <v>300</v>
      </c>
      <c r="G318">
        <v>0</v>
      </c>
      <c r="H318">
        <v>300</v>
      </c>
    </row>
    <row r="319" spans="1:8" x14ac:dyDescent="0.3">
      <c r="A319">
        <v>116</v>
      </c>
      <c r="B319" t="s">
        <v>568</v>
      </c>
      <c r="C319" s="452">
        <v>46108</v>
      </c>
      <c r="D319" t="s">
        <v>3367</v>
      </c>
      <c r="E319" t="s">
        <v>3361</v>
      </c>
      <c r="F319">
        <v>8812</v>
      </c>
      <c r="G319">
        <v>10.5</v>
      </c>
      <c r="H319">
        <v>8801.5</v>
      </c>
    </row>
    <row r="320" spans="1:8" x14ac:dyDescent="0.3">
      <c r="A320">
        <v>116</v>
      </c>
      <c r="B320" t="s">
        <v>568</v>
      </c>
      <c r="C320" s="452">
        <v>46108</v>
      </c>
      <c r="D320" t="s">
        <v>3367</v>
      </c>
      <c r="E320" t="s">
        <v>3362</v>
      </c>
      <c r="F320">
        <v>6595</v>
      </c>
      <c r="G320">
        <v>72.900000000000006</v>
      </c>
      <c r="H320">
        <v>6522.1</v>
      </c>
    </row>
    <row r="321" spans="1:8" x14ac:dyDescent="0.3">
      <c r="A321">
        <v>116</v>
      </c>
      <c r="B321" t="s">
        <v>568</v>
      </c>
      <c r="C321" s="452">
        <v>46108</v>
      </c>
      <c r="D321" t="s">
        <v>3367</v>
      </c>
      <c r="E321" t="s">
        <v>20</v>
      </c>
      <c r="F321">
        <v>32</v>
      </c>
      <c r="G321">
        <v>0</v>
      </c>
      <c r="H321">
        <v>32</v>
      </c>
    </row>
    <row r="322" spans="1:8" x14ac:dyDescent="0.3">
      <c r="A322">
        <v>116</v>
      </c>
      <c r="B322" t="s">
        <v>568</v>
      </c>
      <c r="C322" s="452">
        <v>46108</v>
      </c>
      <c r="D322" t="s">
        <v>3367</v>
      </c>
      <c r="E322" t="s">
        <v>22</v>
      </c>
      <c r="F322">
        <v>1995.22</v>
      </c>
      <c r="G322">
        <v>0</v>
      </c>
      <c r="H322">
        <v>1995.22</v>
      </c>
    </row>
    <row r="323" spans="1:8" x14ac:dyDescent="0.3">
      <c r="A323">
        <v>116</v>
      </c>
      <c r="B323" t="s">
        <v>568</v>
      </c>
      <c r="C323" s="452">
        <v>46107</v>
      </c>
      <c r="D323" t="s">
        <v>3367</v>
      </c>
      <c r="E323" t="s">
        <v>3361</v>
      </c>
      <c r="F323">
        <v>5285.7</v>
      </c>
      <c r="G323">
        <v>14.1</v>
      </c>
      <c r="H323">
        <v>5271.6</v>
      </c>
    </row>
    <row r="324" spans="1:8" x14ac:dyDescent="0.3">
      <c r="A324">
        <v>116</v>
      </c>
      <c r="B324" t="s">
        <v>568</v>
      </c>
      <c r="C324" s="452">
        <v>46107</v>
      </c>
      <c r="D324" t="s">
        <v>3367</v>
      </c>
      <c r="E324" t="s">
        <v>3362</v>
      </c>
      <c r="F324">
        <v>3298</v>
      </c>
      <c r="G324">
        <v>103.8</v>
      </c>
      <c r="H324">
        <v>3194.2</v>
      </c>
    </row>
    <row r="325" spans="1:8" x14ac:dyDescent="0.3">
      <c r="A325">
        <v>116</v>
      </c>
      <c r="B325" t="s">
        <v>568</v>
      </c>
      <c r="C325" s="452">
        <v>46107</v>
      </c>
      <c r="D325" t="s">
        <v>3367</v>
      </c>
      <c r="E325" t="s">
        <v>22</v>
      </c>
      <c r="F325">
        <v>1099.49</v>
      </c>
      <c r="G325">
        <v>0</v>
      </c>
      <c r="H325">
        <v>1099.49</v>
      </c>
    </row>
    <row r="326" spans="1:8" x14ac:dyDescent="0.3">
      <c r="A326">
        <v>116</v>
      </c>
      <c r="B326" t="s">
        <v>568</v>
      </c>
      <c r="C326" s="452">
        <v>46106</v>
      </c>
      <c r="D326" t="s">
        <v>3367</v>
      </c>
      <c r="E326" t="s">
        <v>3361</v>
      </c>
      <c r="F326">
        <v>6662.6</v>
      </c>
      <c r="G326">
        <v>19.41</v>
      </c>
      <c r="H326">
        <v>6643.19</v>
      </c>
    </row>
    <row r="327" spans="1:8" x14ac:dyDescent="0.3">
      <c r="A327">
        <v>116</v>
      </c>
      <c r="B327" t="s">
        <v>568</v>
      </c>
      <c r="C327" s="452">
        <v>46106</v>
      </c>
      <c r="D327" t="s">
        <v>3367</v>
      </c>
      <c r="E327" t="s">
        <v>3362</v>
      </c>
      <c r="F327">
        <v>6129</v>
      </c>
      <c r="G327">
        <v>167.39</v>
      </c>
      <c r="H327">
        <v>5961.61</v>
      </c>
    </row>
    <row r="328" spans="1:8" x14ac:dyDescent="0.3">
      <c r="A328">
        <v>116</v>
      </c>
      <c r="B328" t="s">
        <v>568</v>
      </c>
      <c r="C328" s="452">
        <v>46106</v>
      </c>
      <c r="D328" t="s">
        <v>3367</v>
      </c>
      <c r="E328" t="s">
        <v>22</v>
      </c>
      <c r="F328">
        <v>1649.93</v>
      </c>
      <c r="G328">
        <v>0</v>
      </c>
      <c r="H328">
        <v>1649.93</v>
      </c>
    </row>
    <row r="329" spans="1:8" x14ac:dyDescent="0.3">
      <c r="A329">
        <v>116</v>
      </c>
      <c r="B329" t="s">
        <v>568</v>
      </c>
      <c r="C329" s="452">
        <v>46105</v>
      </c>
      <c r="D329" t="s">
        <v>3367</v>
      </c>
      <c r="E329" t="s">
        <v>3361</v>
      </c>
      <c r="F329">
        <v>7736.1</v>
      </c>
      <c r="G329">
        <v>65.709999999999994</v>
      </c>
      <c r="H329">
        <v>7670.39</v>
      </c>
    </row>
    <row r="330" spans="1:8" x14ac:dyDescent="0.3">
      <c r="A330">
        <v>116</v>
      </c>
      <c r="B330" t="s">
        <v>568</v>
      </c>
      <c r="C330" s="452">
        <v>46105</v>
      </c>
      <c r="D330" t="s">
        <v>3367</v>
      </c>
      <c r="E330" t="s">
        <v>3362</v>
      </c>
      <c r="F330">
        <v>5539</v>
      </c>
      <c r="G330">
        <v>222.64</v>
      </c>
      <c r="H330">
        <v>5316.36</v>
      </c>
    </row>
    <row r="331" spans="1:8" x14ac:dyDescent="0.3">
      <c r="A331">
        <v>116</v>
      </c>
      <c r="B331" t="s">
        <v>568</v>
      </c>
      <c r="C331" s="452">
        <v>46105</v>
      </c>
      <c r="D331" t="s">
        <v>3367</v>
      </c>
      <c r="E331" t="s">
        <v>20</v>
      </c>
      <c r="F331">
        <v>336</v>
      </c>
      <c r="G331">
        <v>0</v>
      </c>
      <c r="H331">
        <v>336</v>
      </c>
    </row>
    <row r="332" spans="1:8" x14ac:dyDescent="0.3">
      <c r="A332">
        <v>116</v>
      </c>
      <c r="B332" t="s">
        <v>568</v>
      </c>
      <c r="C332" s="452">
        <v>46105</v>
      </c>
      <c r="D332" t="s">
        <v>3367</v>
      </c>
      <c r="E332" t="s">
        <v>22</v>
      </c>
      <c r="F332">
        <v>1656.19</v>
      </c>
      <c r="G332">
        <v>0</v>
      </c>
      <c r="H332">
        <v>1656.19</v>
      </c>
    </row>
    <row r="333" spans="1:8" x14ac:dyDescent="0.3">
      <c r="A333">
        <v>116</v>
      </c>
      <c r="B333" t="s">
        <v>568</v>
      </c>
      <c r="C333" s="452">
        <v>46104</v>
      </c>
      <c r="D333" t="s">
        <v>3367</v>
      </c>
      <c r="E333" t="s">
        <v>3361</v>
      </c>
      <c r="F333">
        <v>3960.5</v>
      </c>
      <c r="G333">
        <v>47.64</v>
      </c>
      <c r="H333">
        <v>3912.86</v>
      </c>
    </row>
    <row r="334" spans="1:8" x14ac:dyDescent="0.3">
      <c r="A334">
        <v>116</v>
      </c>
      <c r="B334" t="s">
        <v>568</v>
      </c>
      <c r="C334" s="452">
        <v>46104</v>
      </c>
      <c r="D334" t="s">
        <v>3367</v>
      </c>
      <c r="E334" t="s">
        <v>3362</v>
      </c>
      <c r="F334">
        <v>3960.5</v>
      </c>
      <c r="G334">
        <v>170.4</v>
      </c>
      <c r="H334">
        <v>3790.1</v>
      </c>
    </row>
    <row r="335" spans="1:8" x14ac:dyDescent="0.3">
      <c r="A335">
        <v>116</v>
      </c>
      <c r="B335" t="s">
        <v>568</v>
      </c>
      <c r="C335" s="452">
        <v>46104</v>
      </c>
      <c r="D335" t="s">
        <v>3367</v>
      </c>
      <c r="E335" t="s">
        <v>20</v>
      </c>
      <c r="F335">
        <v>205</v>
      </c>
      <c r="G335">
        <v>0</v>
      </c>
      <c r="H335">
        <v>205</v>
      </c>
    </row>
    <row r="336" spans="1:8" x14ac:dyDescent="0.3">
      <c r="A336">
        <v>116</v>
      </c>
      <c r="B336" t="s">
        <v>568</v>
      </c>
      <c r="C336" s="452">
        <v>46104</v>
      </c>
      <c r="D336" t="s">
        <v>3367</v>
      </c>
      <c r="E336" t="s">
        <v>22</v>
      </c>
      <c r="F336">
        <v>1028.6500000000001</v>
      </c>
      <c r="G336">
        <v>0</v>
      </c>
      <c r="H336">
        <v>1028.6500000000001</v>
      </c>
    </row>
    <row r="337" spans="1:8" x14ac:dyDescent="0.3">
      <c r="A337">
        <v>116</v>
      </c>
      <c r="B337" t="s">
        <v>568</v>
      </c>
      <c r="C337" s="452">
        <v>46102</v>
      </c>
      <c r="D337" t="s">
        <v>3367</v>
      </c>
      <c r="E337" t="s">
        <v>3361</v>
      </c>
      <c r="F337">
        <v>10374.700000000001</v>
      </c>
      <c r="G337">
        <v>102.13</v>
      </c>
      <c r="H337">
        <v>10272.57</v>
      </c>
    </row>
    <row r="338" spans="1:8" x14ac:dyDescent="0.3">
      <c r="A338">
        <v>116</v>
      </c>
      <c r="B338" t="s">
        <v>568</v>
      </c>
      <c r="C338" s="452">
        <v>46102</v>
      </c>
      <c r="D338" t="s">
        <v>3367</v>
      </c>
      <c r="E338" t="s">
        <v>3362</v>
      </c>
      <c r="F338">
        <v>6816.5</v>
      </c>
      <c r="G338">
        <v>171.35</v>
      </c>
      <c r="H338">
        <v>6645.15</v>
      </c>
    </row>
    <row r="339" spans="1:8" x14ac:dyDescent="0.3">
      <c r="A339">
        <v>116</v>
      </c>
      <c r="B339" t="s">
        <v>568</v>
      </c>
      <c r="C339" s="452">
        <v>46102</v>
      </c>
      <c r="D339" t="s">
        <v>3367</v>
      </c>
      <c r="E339" t="s">
        <v>20</v>
      </c>
      <c r="F339">
        <v>155</v>
      </c>
      <c r="G339">
        <v>0</v>
      </c>
      <c r="H339">
        <v>155</v>
      </c>
    </row>
    <row r="340" spans="1:8" x14ac:dyDescent="0.3">
      <c r="A340">
        <v>116</v>
      </c>
      <c r="B340" t="s">
        <v>568</v>
      </c>
      <c r="C340" s="452">
        <v>46102</v>
      </c>
      <c r="D340" t="s">
        <v>3367</v>
      </c>
      <c r="E340" t="s">
        <v>22</v>
      </c>
      <c r="F340">
        <v>2280.08</v>
      </c>
      <c r="G340">
        <v>0</v>
      </c>
      <c r="H340">
        <v>2280.08</v>
      </c>
    </row>
    <row r="341" spans="1:8" x14ac:dyDescent="0.3">
      <c r="A341">
        <v>116</v>
      </c>
      <c r="B341" t="s">
        <v>568</v>
      </c>
      <c r="C341" s="452">
        <v>46102</v>
      </c>
      <c r="D341" t="s">
        <v>3367</v>
      </c>
      <c r="E341" t="s">
        <v>3363</v>
      </c>
      <c r="F341">
        <v>525</v>
      </c>
      <c r="G341">
        <v>0</v>
      </c>
      <c r="H341">
        <v>525</v>
      </c>
    </row>
    <row r="342" spans="1:8" x14ac:dyDescent="0.3">
      <c r="A342">
        <v>116</v>
      </c>
      <c r="B342" t="s">
        <v>568</v>
      </c>
      <c r="C342" s="452">
        <v>46101</v>
      </c>
      <c r="D342" t="s">
        <v>3367</v>
      </c>
      <c r="E342" t="s">
        <v>3361</v>
      </c>
      <c r="F342">
        <v>7960.1</v>
      </c>
      <c r="G342">
        <v>16.68</v>
      </c>
      <c r="H342">
        <v>7943.42</v>
      </c>
    </row>
    <row r="343" spans="1:8" x14ac:dyDescent="0.3">
      <c r="A343">
        <v>116</v>
      </c>
      <c r="B343" t="s">
        <v>568</v>
      </c>
      <c r="C343" s="452">
        <v>46101</v>
      </c>
      <c r="D343" t="s">
        <v>3367</v>
      </c>
      <c r="E343" t="s">
        <v>3362</v>
      </c>
      <c r="F343">
        <v>7332</v>
      </c>
      <c r="G343">
        <v>271.8</v>
      </c>
      <c r="H343">
        <v>7060.2</v>
      </c>
    </row>
    <row r="344" spans="1:8" x14ac:dyDescent="0.3">
      <c r="A344">
        <v>116</v>
      </c>
      <c r="B344" t="s">
        <v>568</v>
      </c>
      <c r="C344" s="452">
        <v>46101</v>
      </c>
      <c r="D344" t="s">
        <v>3367</v>
      </c>
      <c r="E344" t="s">
        <v>20</v>
      </c>
      <c r="F344">
        <v>205</v>
      </c>
      <c r="G344">
        <v>0</v>
      </c>
      <c r="H344">
        <v>205</v>
      </c>
    </row>
    <row r="345" spans="1:8" x14ac:dyDescent="0.3">
      <c r="A345">
        <v>116</v>
      </c>
      <c r="B345" t="s">
        <v>568</v>
      </c>
      <c r="C345" s="452">
        <v>46101</v>
      </c>
      <c r="D345" t="s">
        <v>3367</v>
      </c>
      <c r="E345" t="s">
        <v>22</v>
      </c>
      <c r="F345">
        <v>1989.58</v>
      </c>
      <c r="G345">
        <v>0</v>
      </c>
      <c r="H345">
        <v>1989.58</v>
      </c>
    </row>
    <row r="346" spans="1:8" x14ac:dyDescent="0.3">
      <c r="A346">
        <v>116</v>
      </c>
      <c r="B346" t="s">
        <v>568</v>
      </c>
      <c r="C346" s="452">
        <v>46100</v>
      </c>
      <c r="D346" t="s">
        <v>3367</v>
      </c>
      <c r="E346" t="s">
        <v>3361</v>
      </c>
      <c r="F346">
        <v>4047</v>
      </c>
      <c r="G346">
        <v>37.04</v>
      </c>
      <c r="H346">
        <v>4009.96</v>
      </c>
    </row>
    <row r="347" spans="1:8" x14ac:dyDescent="0.3">
      <c r="A347">
        <v>116</v>
      </c>
      <c r="B347" t="s">
        <v>568</v>
      </c>
      <c r="C347" s="452">
        <v>46100</v>
      </c>
      <c r="D347" t="s">
        <v>3367</v>
      </c>
      <c r="E347" t="s">
        <v>3362</v>
      </c>
      <c r="F347">
        <v>5004</v>
      </c>
      <c r="G347">
        <v>388.56</v>
      </c>
      <c r="H347">
        <v>4615.4399999999996</v>
      </c>
    </row>
    <row r="348" spans="1:8" x14ac:dyDescent="0.3">
      <c r="A348">
        <v>116</v>
      </c>
      <c r="B348" t="s">
        <v>568</v>
      </c>
      <c r="C348" s="452">
        <v>46100</v>
      </c>
      <c r="D348" t="s">
        <v>3367</v>
      </c>
      <c r="E348" t="s">
        <v>20</v>
      </c>
      <c r="F348">
        <v>176</v>
      </c>
      <c r="G348">
        <v>0</v>
      </c>
      <c r="H348">
        <v>176</v>
      </c>
    </row>
    <row r="349" spans="1:8" x14ac:dyDescent="0.3">
      <c r="A349">
        <v>116</v>
      </c>
      <c r="B349" t="s">
        <v>568</v>
      </c>
      <c r="C349" s="452">
        <v>46100</v>
      </c>
      <c r="D349" t="s">
        <v>3367</v>
      </c>
      <c r="E349" t="s">
        <v>22</v>
      </c>
      <c r="F349">
        <v>1180.58</v>
      </c>
      <c r="G349">
        <v>0</v>
      </c>
      <c r="H349">
        <v>1180.58</v>
      </c>
    </row>
    <row r="350" spans="1:8" x14ac:dyDescent="0.3">
      <c r="A350">
        <v>116</v>
      </c>
      <c r="B350" t="s">
        <v>568</v>
      </c>
      <c r="C350" s="452">
        <v>46099</v>
      </c>
      <c r="D350" t="s">
        <v>3367</v>
      </c>
      <c r="E350" t="s">
        <v>3361</v>
      </c>
      <c r="F350">
        <v>3677.2</v>
      </c>
      <c r="G350">
        <v>25.77</v>
      </c>
      <c r="H350">
        <v>3651.43</v>
      </c>
    </row>
    <row r="351" spans="1:8" x14ac:dyDescent="0.3">
      <c r="A351">
        <v>116</v>
      </c>
      <c r="B351" t="s">
        <v>568</v>
      </c>
      <c r="C351" s="452">
        <v>46099</v>
      </c>
      <c r="D351" t="s">
        <v>3367</v>
      </c>
      <c r="E351" t="s">
        <v>3362</v>
      </c>
      <c r="F351">
        <v>4340</v>
      </c>
      <c r="G351">
        <v>172.89</v>
      </c>
      <c r="H351">
        <v>4167.1099999999997</v>
      </c>
    </row>
    <row r="352" spans="1:8" x14ac:dyDescent="0.3">
      <c r="A352">
        <v>116</v>
      </c>
      <c r="B352" t="s">
        <v>568</v>
      </c>
      <c r="C352" s="452">
        <v>46099</v>
      </c>
      <c r="D352" t="s">
        <v>3367</v>
      </c>
      <c r="E352" t="s">
        <v>22</v>
      </c>
      <c r="F352">
        <v>1019.35</v>
      </c>
      <c r="G352">
        <v>0</v>
      </c>
      <c r="H352">
        <v>1019.35</v>
      </c>
    </row>
    <row r="353" spans="1:8" x14ac:dyDescent="0.3">
      <c r="A353">
        <v>116</v>
      </c>
      <c r="B353" t="s">
        <v>568</v>
      </c>
      <c r="C353" s="452">
        <v>46098</v>
      </c>
      <c r="D353" t="s">
        <v>3367</v>
      </c>
      <c r="E353" t="s">
        <v>3361</v>
      </c>
      <c r="F353">
        <v>7603.5</v>
      </c>
      <c r="G353">
        <v>161.13</v>
      </c>
      <c r="H353">
        <v>7442.37</v>
      </c>
    </row>
    <row r="354" spans="1:8" x14ac:dyDescent="0.3">
      <c r="A354">
        <v>116</v>
      </c>
      <c r="B354" t="s">
        <v>568</v>
      </c>
      <c r="C354" s="452">
        <v>46098</v>
      </c>
      <c r="D354" t="s">
        <v>3367</v>
      </c>
      <c r="E354" t="s">
        <v>3362</v>
      </c>
      <c r="F354">
        <v>6719</v>
      </c>
      <c r="G354">
        <v>545.48</v>
      </c>
      <c r="H354">
        <v>6173.52</v>
      </c>
    </row>
    <row r="355" spans="1:8" x14ac:dyDescent="0.3">
      <c r="A355">
        <v>116</v>
      </c>
      <c r="B355" t="s">
        <v>568</v>
      </c>
      <c r="C355" s="452">
        <v>46098</v>
      </c>
      <c r="D355" t="s">
        <v>3367</v>
      </c>
      <c r="E355" t="s">
        <v>20</v>
      </c>
      <c r="F355">
        <v>48</v>
      </c>
      <c r="G355">
        <v>0</v>
      </c>
      <c r="H355">
        <v>48</v>
      </c>
    </row>
    <row r="356" spans="1:8" x14ac:dyDescent="0.3">
      <c r="A356">
        <v>116</v>
      </c>
      <c r="B356" t="s">
        <v>568</v>
      </c>
      <c r="C356" s="452">
        <v>46098</v>
      </c>
      <c r="D356" t="s">
        <v>3367</v>
      </c>
      <c r="E356" t="s">
        <v>22</v>
      </c>
      <c r="F356">
        <v>1749.41</v>
      </c>
      <c r="G356">
        <v>0</v>
      </c>
      <c r="H356">
        <v>1749.41</v>
      </c>
    </row>
    <row r="357" spans="1:8" x14ac:dyDescent="0.3">
      <c r="A357">
        <v>116</v>
      </c>
      <c r="B357" t="s">
        <v>568</v>
      </c>
      <c r="C357" s="452">
        <v>46097</v>
      </c>
      <c r="D357" t="s">
        <v>3367</v>
      </c>
      <c r="E357" t="s">
        <v>3361</v>
      </c>
      <c r="F357">
        <v>2815.1</v>
      </c>
      <c r="G357">
        <v>7.5</v>
      </c>
      <c r="H357">
        <v>2807.6</v>
      </c>
    </row>
    <row r="358" spans="1:8" x14ac:dyDescent="0.3">
      <c r="A358">
        <v>116</v>
      </c>
      <c r="B358" t="s">
        <v>568</v>
      </c>
      <c r="C358" s="452">
        <v>46097</v>
      </c>
      <c r="D358" t="s">
        <v>3367</v>
      </c>
      <c r="E358" t="s">
        <v>3362</v>
      </c>
      <c r="F358">
        <v>1986</v>
      </c>
      <c r="G358">
        <v>29.4</v>
      </c>
      <c r="H358">
        <v>1956.6</v>
      </c>
    </row>
    <row r="359" spans="1:8" x14ac:dyDescent="0.3">
      <c r="A359">
        <v>116</v>
      </c>
      <c r="B359" t="s">
        <v>568</v>
      </c>
      <c r="C359" s="452">
        <v>46097</v>
      </c>
      <c r="D359" t="s">
        <v>3367</v>
      </c>
      <c r="E359" t="s">
        <v>22</v>
      </c>
      <c r="F359">
        <v>618.94000000000005</v>
      </c>
      <c r="G359">
        <v>0</v>
      </c>
      <c r="H359">
        <v>618.94000000000005</v>
      </c>
    </row>
    <row r="360" spans="1:8" x14ac:dyDescent="0.3">
      <c r="A360">
        <v>116</v>
      </c>
      <c r="B360" t="s">
        <v>568</v>
      </c>
      <c r="C360" s="452">
        <v>46095</v>
      </c>
      <c r="D360" t="s">
        <v>3367</v>
      </c>
      <c r="E360" t="s">
        <v>3361</v>
      </c>
      <c r="F360">
        <v>10377.4</v>
      </c>
      <c r="G360">
        <v>182.89</v>
      </c>
      <c r="H360">
        <v>10194.51</v>
      </c>
    </row>
    <row r="361" spans="1:8" x14ac:dyDescent="0.3">
      <c r="A361">
        <v>116</v>
      </c>
      <c r="B361" t="s">
        <v>568</v>
      </c>
      <c r="C361" s="452">
        <v>46095</v>
      </c>
      <c r="D361" t="s">
        <v>3367</v>
      </c>
      <c r="E361" t="s">
        <v>3362</v>
      </c>
      <c r="F361">
        <v>8365</v>
      </c>
      <c r="G361">
        <v>188.03</v>
      </c>
      <c r="H361">
        <v>8176.97</v>
      </c>
    </row>
    <row r="362" spans="1:8" x14ac:dyDescent="0.3">
      <c r="A362">
        <v>116</v>
      </c>
      <c r="B362" t="s">
        <v>568</v>
      </c>
      <c r="C362" s="452">
        <v>46095</v>
      </c>
      <c r="D362" t="s">
        <v>3367</v>
      </c>
      <c r="E362" t="s">
        <v>20</v>
      </c>
      <c r="F362">
        <v>262</v>
      </c>
      <c r="G362">
        <v>0</v>
      </c>
      <c r="H362">
        <v>262</v>
      </c>
    </row>
    <row r="363" spans="1:8" x14ac:dyDescent="0.3">
      <c r="A363">
        <v>116</v>
      </c>
      <c r="B363" t="s">
        <v>568</v>
      </c>
      <c r="C363" s="452">
        <v>46095</v>
      </c>
      <c r="D363" t="s">
        <v>3367</v>
      </c>
      <c r="E363" t="s">
        <v>22</v>
      </c>
      <c r="F363">
        <v>2458.4499999999998</v>
      </c>
      <c r="G363">
        <v>0</v>
      </c>
      <c r="H363">
        <v>2458.4499999999998</v>
      </c>
    </row>
    <row r="364" spans="1:8" x14ac:dyDescent="0.3">
      <c r="A364">
        <v>116</v>
      </c>
      <c r="B364" t="s">
        <v>568</v>
      </c>
      <c r="C364" s="452">
        <v>46095</v>
      </c>
      <c r="D364" t="s">
        <v>3367</v>
      </c>
      <c r="E364" t="s">
        <v>3363</v>
      </c>
      <c r="F364">
        <v>420</v>
      </c>
      <c r="G364">
        <v>0</v>
      </c>
      <c r="H364">
        <v>420</v>
      </c>
    </row>
    <row r="365" spans="1:8" x14ac:dyDescent="0.3">
      <c r="A365">
        <v>116</v>
      </c>
      <c r="B365" t="s">
        <v>568</v>
      </c>
      <c r="C365" s="452">
        <v>46094</v>
      </c>
      <c r="D365" t="s">
        <v>3367</v>
      </c>
      <c r="E365" t="s">
        <v>3361</v>
      </c>
      <c r="F365">
        <v>8308.4</v>
      </c>
      <c r="G365">
        <v>40.25</v>
      </c>
      <c r="H365">
        <v>8268.15</v>
      </c>
    </row>
    <row r="366" spans="1:8" x14ac:dyDescent="0.3">
      <c r="A366">
        <v>116</v>
      </c>
      <c r="B366" t="s">
        <v>568</v>
      </c>
      <c r="C366" s="452">
        <v>46094</v>
      </c>
      <c r="D366" t="s">
        <v>3367</v>
      </c>
      <c r="E366" t="s">
        <v>3362</v>
      </c>
      <c r="F366">
        <v>8073</v>
      </c>
      <c r="G366">
        <v>296.2</v>
      </c>
      <c r="H366">
        <v>7776.8</v>
      </c>
    </row>
    <row r="367" spans="1:8" x14ac:dyDescent="0.3">
      <c r="A367">
        <v>116</v>
      </c>
      <c r="B367" t="s">
        <v>568</v>
      </c>
      <c r="C367" s="452">
        <v>46094</v>
      </c>
      <c r="D367" t="s">
        <v>3367</v>
      </c>
      <c r="E367" t="s">
        <v>20</v>
      </c>
      <c r="F367">
        <v>515</v>
      </c>
      <c r="G367">
        <v>0</v>
      </c>
      <c r="H367">
        <v>515</v>
      </c>
    </row>
    <row r="368" spans="1:8" x14ac:dyDescent="0.3">
      <c r="A368">
        <v>116</v>
      </c>
      <c r="B368" t="s">
        <v>568</v>
      </c>
      <c r="C368" s="452">
        <v>46094</v>
      </c>
      <c r="D368" t="s">
        <v>3367</v>
      </c>
      <c r="E368" t="s">
        <v>22</v>
      </c>
      <c r="F368">
        <v>2142.36</v>
      </c>
      <c r="G368">
        <v>0</v>
      </c>
      <c r="H368">
        <v>2142.36</v>
      </c>
    </row>
    <row r="369" spans="1:8" x14ac:dyDescent="0.3">
      <c r="A369">
        <v>116</v>
      </c>
      <c r="B369" t="s">
        <v>568</v>
      </c>
      <c r="C369" s="452">
        <v>46093</v>
      </c>
      <c r="D369" t="s">
        <v>3367</v>
      </c>
      <c r="E369" t="s">
        <v>3361</v>
      </c>
      <c r="F369">
        <v>5411.4</v>
      </c>
      <c r="G369">
        <v>45.44</v>
      </c>
      <c r="H369">
        <v>5365.96</v>
      </c>
    </row>
    <row r="370" spans="1:8" x14ac:dyDescent="0.3">
      <c r="A370">
        <v>116</v>
      </c>
      <c r="B370" t="s">
        <v>568</v>
      </c>
      <c r="C370" s="452">
        <v>46093</v>
      </c>
      <c r="D370" t="s">
        <v>3367</v>
      </c>
      <c r="E370" t="s">
        <v>3362</v>
      </c>
      <c r="F370">
        <v>3621.5</v>
      </c>
      <c r="G370">
        <v>73.790000000000006</v>
      </c>
      <c r="H370">
        <v>3547.71</v>
      </c>
    </row>
    <row r="371" spans="1:8" x14ac:dyDescent="0.3">
      <c r="A371">
        <v>116</v>
      </c>
      <c r="B371" t="s">
        <v>568</v>
      </c>
      <c r="C371" s="452">
        <v>46093</v>
      </c>
      <c r="D371" t="s">
        <v>3367</v>
      </c>
      <c r="E371" t="s">
        <v>20</v>
      </c>
      <c r="F371">
        <v>219</v>
      </c>
      <c r="G371">
        <v>0</v>
      </c>
      <c r="H371">
        <v>219</v>
      </c>
    </row>
    <row r="372" spans="1:8" x14ac:dyDescent="0.3">
      <c r="A372">
        <v>116</v>
      </c>
      <c r="B372" t="s">
        <v>568</v>
      </c>
      <c r="C372" s="452">
        <v>46093</v>
      </c>
      <c r="D372" t="s">
        <v>3367</v>
      </c>
      <c r="E372" t="s">
        <v>22</v>
      </c>
      <c r="F372">
        <v>1163.54</v>
      </c>
      <c r="G372">
        <v>0</v>
      </c>
      <c r="H372">
        <v>1163.54</v>
      </c>
    </row>
    <row r="373" spans="1:8" x14ac:dyDescent="0.3">
      <c r="A373">
        <v>116</v>
      </c>
      <c r="B373" t="s">
        <v>568</v>
      </c>
      <c r="C373" s="452">
        <v>46092</v>
      </c>
      <c r="D373" t="s">
        <v>3367</v>
      </c>
      <c r="E373" t="s">
        <v>3361</v>
      </c>
      <c r="F373">
        <v>3011</v>
      </c>
      <c r="G373">
        <v>158.51</v>
      </c>
      <c r="H373">
        <v>2852.49</v>
      </c>
    </row>
    <row r="374" spans="1:8" x14ac:dyDescent="0.3">
      <c r="A374">
        <v>116</v>
      </c>
      <c r="B374" t="s">
        <v>568</v>
      </c>
      <c r="C374" s="452">
        <v>46092</v>
      </c>
      <c r="D374" t="s">
        <v>3367</v>
      </c>
      <c r="E374" t="s">
        <v>3362</v>
      </c>
      <c r="F374">
        <v>4239.5</v>
      </c>
      <c r="G374">
        <v>223.36</v>
      </c>
      <c r="H374">
        <v>4016.14</v>
      </c>
    </row>
    <row r="375" spans="1:8" x14ac:dyDescent="0.3">
      <c r="A375">
        <v>116</v>
      </c>
      <c r="B375" t="s">
        <v>568</v>
      </c>
      <c r="C375" s="452">
        <v>46092</v>
      </c>
      <c r="D375" t="s">
        <v>3367</v>
      </c>
      <c r="E375" t="s">
        <v>20</v>
      </c>
      <c r="F375">
        <v>87</v>
      </c>
      <c r="G375">
        <v>0</v>
      </c>
      <c r="H375">
        <v>87</v>
      </c>
    </row>
    <row r="376" spans="1:8" x14ac:dyDescent="0.3">
      <c r="A376">
        <v>116</v>
      </c>
      <c r="B376" t="s">
        <v>568</v>
      </c>
      <c r="C376" s="452">
        <v>46092</v>
      </c>
      <c r="D376" t="s">
        <v>3367</v>
      </c>
      <c r="E376" t="s">
        <v>22</v>
      </c>
      <c r="F376">
        <v>924.38</v>
      </c>
      <c r="G376">
        <v>0</v>
      </c>
      <c r="H376">
        <v>924.38</v>
      </c>
    </row>
    <row r="377" spans="1:8" x14ac:dyDescent="0.3">
      <c r="A377">
        <v>116</v>
      </c>
      <c r="B377" t="s">
        <v>568</v>
      </c>
      <c r="C377" s="452">
        <v>46091</v>
      </c>
      <c r="D377" t="s">
        <v>3367</v>
      </c>
      <c r="E377" t="s">
        <v>3361</v>
      </c>
      <c r="F377">
        <v>3982.7</v>
      </c>
      <c r="G377">
        <v>24</v>
      </c>
      <c r="H377">
        <v>3958.7</v>
      </c>
    </row>
    <row r="378" spans="1:8" x14ac:dyDescent="0.3">
      <c r="A378">
        <v>116</v>
      </c>
      <c r="B378" t="s">
        <v>568</v>
      </c>
      <c r="C378" s="452">
        <v>46091</v>
      </c>
      <c r="D378" t="s">
        <v>3367</v>
      </c>
      <c r="E378" t="s">
        <v>3362</v>
      </c>
      <c r="F378">
        <v>1796</v>
      </c>
      <c r="G378">
        <v>7.3</v>
      </c>
      <c r="H378">
        <v>1788.7</v>
      </c>
    </row>
    <row r="379" spans="1:8" x14ac:dyDescent="0.3">
      <c r="A379">
        <v>116</v>
      </c>
      <c r="B379" t="s">
        <v>568</v>
      </c>
      <c r="C379" s="452">
        <v>46091</v>
      </c>
      <c r="D379" t="s">
        <v>3367</v>
      </c>
      <c r="E379" t="s">
        <v>20</v>
      </c>
      <c r="F379">
        <v>145</v>
      </c>
      <c r="G379">
        <v>0</v>
      </c>
      <c r="H379">
        <v>145</v>
      </c>
    </row>
    <row r="380" spans="1:8" x14ac:dyDescent="0.3">
      <c r="A380">
        <v>116</v>
      </c>
      <c r="B380" t="s">
        <v>568</v>
      </c>
      <c r="C380" s="452">
        <v>46091</v>
      </c>
      <c r="D380" t="s">
        <v>3367</v>
      </c>
      <c r="E380" t="s">
        <v>22</v>
      </c>
      <c r="F380">
        <v>627.20000000000005</v>
      </c>
      <c r="G380">
        <v>0</v>
      </c>
      <c r="H380">
        <v>627.20000000000005</v>
      </c>
    </row>
    <row r="381" spans="1:8" x14ac:dyDescent="0.3">
      <c r="A381">
        <v>116</v>
      </c>
      <c r="B381" t="s">
        <v>568</v>
      </c>
      <c r="C381" s="452">
        <v>46090</v>
      </c>
      <c r="D381" t="s">
        <v>3367</v>
      </c>
      <c r="E381" t="s">
        <v>3362</v>
      </c>
      <c r="F381">
        <v>1573</v>
      </c>
      <c r="G381">
        <v>14.5</v>
      </c>
      <c r="H381">
        <v>1558.5</v>
      </c>
    </row>
    <row r="382" spans="1:8" x14ac:dyDescent="0.3">
      <c r="A382">
        <v>116</v>
      </c>
      <c r="B382" t="s">
        <v>568</v>
      </c>
      <c r="C382" s="452">
        <v>46090</v>
      </c>
      <c r="D382" t="s">
        <v>3367</v>
      </c>
      <c r="E382" t="s">
        <v>3361</v>
      </c>
      <c r="F382">
        <v>1698</v>
      </c>
      <c r="G382">
        <v>0</v>
      </c>
      <c r="H382">
        <v>1698</v>
      </c>
    </row>
    <row r="383" spans="1:8" x14ac:dyDescent="0.3">
      <c r="A383">
        <v>116</v>
      </c>
      <c r="B383" t="s">
        <v>568</v>
      </c>
      <c r="C383" s="452">
        <v>46090</v>
      </c>
      <c r="D383" t="s">
        <v>3367</v>
      </c>
      <c r="E383" t="s">
        <v>20</v>
      </c>
      <c r="F383">
        <v>64</v>
      </c>
      <c r="G383">
        <v>0</v>
      </c>
      <c r="H383">
        <v>64</v>
      </c>
    </row>
    <row r="384" spans="1:8" x14ac:dyDescent="0.3">
      <c r="A384">
        <v>116</v>
      </c>
      <c r="B384" t="s">
        <v>568</v>
      </c>
      <c r="C384" s="452">
        <v>46090</v>
      </c>
      <c r="D384" t="s">
        <v>3367</v>
      </c>
      <c r="E384" t="s">
        <v>22</v>
      </c>
      <c r="F384">
        <v>419.04</v>
      </c>
      <c r="G384">
        <v>0</v>
      </c>
      <c r="H384">
        <v>419.04</v>
      </c>
    </row>
    <row r="385" spans="1:8" x14ac:dyDescent="0.3">
      <c r="A385">
        <v>116</v>
      </c>
      <c r="B385" t="s">
        <v>568</v>
      </c>
      <c r="C385" s="452">
        <v>46088</v>
      </c>
      <c r="D385" t="s">
        <v>3367</v>
      </c>
      <c r="E385" t="s">
        <v>3361</v>
      </c>
      <c r="F385">
        <v>10475.4</v>
      </c>
      <c r="G385">
        <v>25.8</v>
      </c>
      <c r="H385">
        <v>10449.6</v>
      </c>
    </row>
    <row r="386" spans="1:8" x14ac:dyDescent="0.3">
      <c r="A386">
        <v>116</v>
      </c>
      <c r="B386" t="s">
        <v>568</v>
      </c>
      <c r="C386" s="452">
        <v>46088</v>
      </c>
      <c r="D386" t="s">
        <v>3367</v>
      </c>
      <c r="E386" t="s">
        <v>3362</v>
      </c>
      <c r="F386">
        <v>9144.5</v>
      </c>
      <c r="G386">
        <v>102</v>
      </c>
      <c r="H386">
        <v>9042.5</v>
      </c>
    </row>
    <row r="387" spans="1:8" x14ac:dyDescent="0.3">
      <c r="A387">
        <v>116</v>
      </c>
      <c r="B387" t="s">
        <v>568</v>
      </c>
      <c r="C387" s="452">
        <v>46088</v>
      </c>
      <c r="D387" t="s">
        <v>3367</v>
      </c>
      <c r="E387" t="s">
        <v>20</v>
      </c>
      <c r="F387">
        <v>568</v>
      </c>
      <c r="G387">
        <v>0</v>
      </c>
      <c r="H387">
        <v>568</v>
      </c>
    </row>
    <row r="388" spans="1:8" x14ac:dyDescent="0.3">
      <c r="A388">
        <v>116</v>
      </c>
      <c r="B388" t="s">
        <v>568</v>
      </c>
      <c r="C388" s="452">
        <v>46088</v>
      </c>
      <c r="D388" t="s">
        <v>3367</v>
      </c>
      <c r="E388" t="s">
        <v>22</v>
      </c>
      <c r="F388">
        <v>2680.92</v>
      </c>
      <c r="G388">
        <v>0</v>
      </c>
      <c r="H388">
        <v>2680.92</v>
      </c>
    </row>
    <row r="389" spans="1:8" x14ac:dyDescent="0.3">
      <c r="A389">
        <v>116</v>
      </c>
      <c r="B389" t="s">
        <v>568</v>
      </c>
      <c r="C389" s="452">
        <v>46088</v>
      </c>
      <c r="D389" t="s">
        <v>3367</v>
      </c>
      <c r="E389" t="s">
        <v>3363</v>
      </c>
      <c r="F389">
        <v>750</v>
      </c>
      <c r="G389">
        <v>0</v>
      </c>
      <c r="H389">
        <v>750</v>
      </c>
    </row>
    <row r="390" spans="1:8" x14ac:dyDescent="0.3">
      <c r="A390">
        <v>116</v>
      </c>
      <c r="B390" t="s">
        <v>568</v>
      </c>
      <c r="C390" s="452">
        <v>46087</v>
      </c>
      <c r="D390" t="s">
        <v>3367</v>
      </c>
      <c r="E390" t="s">
        <v>3361</v>
      </c>
      <c r="F390">
        <v>6534.1</v>
      </c>
      <c r="G390">
        <v>50.2</v>
      </c>
      <c r="H390">
        <v>6483.9</v>
      </c>
    </row>
    <row r="391" spans="1:8" x14ac:dyDescent="0.3">
      <c r="A391">
        <v>116</v>
      </c>
      <c r="B391" t="s">
        <v>568</v>
      </c>
      <c r="C391" s="452">
        <v>46087</v>
      </c>
      <c r="D391" t="s">
        <v>3367</v>
      </c>
      <c r="E391" t="s">
        <v>3362</v>
      </c>
      <c r="F391">
        <v>6271.5</v>
      </c>
      <c r="G391">
        <v>143</v>
      </c>
      <c r="H391">
        <v>6128.5</v>
      </c>
    </row>
    <row r="392" spans="1:8" x14ac:dyDescent="0.3">
      <c r="A392">
        <v>116</v>
      </c>
      <c r="B392" t="s">
        <v>568</v>
      </c>
      <c r="C392" s="452">
        <v>46087</v>
      </c>
      <c r="D392" t="s">
        <v>3367</v>
      </c>
      <c r="E392" t="s">
        <v>20</v>
      </c>
      <c r="F392">
        <v>112</v>
      </c>
      <c r="G392">
        <v>0</v>
      </c>
      <c r="H392">
        <v>112</v>
      </c>
    </row>
    <row r="393" spans="1:8" x14ac:dyDescent="0.3">
      <c r="A393">
        <v>116</v>
      </c>
      <c r="B393" t="s">
        <v>568</v>
      </c>
      <c r="C393" s="452">
        <v>46087</v>
      </c>
      <c r="D393" t="s">
        <v>3367</v>
      </c>
      <c r="E393" t="s">
        <v>22</v>
      </c>
      <c r="F393">
        <v>1623.13</v>
      </c>
      <c r="G393">
        <v>0</v>
      </c>
      <c r="H393">
        <v>1623.13</v>
      </c>
    </row>
    <row r="394" spans="1:8" x14ac:dyDescent="0.3">
      <c r="A394">
        <v>116</v>
      </c>
      <c r="B394" t="s">
        <v>568</v>
      </c>
      <c r="C394" s="452">
        <v>46086</v>
      </c>
      <c r="D394" t="s">
        <v>3367</v>
      </c>
      <c r="E394" t="s">
        <v>3361</v>
      </c>
      <c r="F394">
        <v>6867.8</v>
      </c>
      <c r="G394">
        <v>33.47</v>
      </c>
      <c r="H394">
        <v>6834.33</v>
      </c>
    </row>
    <row r="395" spans="1:8" x14ac:dyDescent="0.3">
      <c r="A395">
        <v>116</v>
      </c>
      <c r="B395" t="s">
        <v>568</v>
      </c>
      <c r="C395" s="452">
        <v>46086</v>
      </c>
      <c r="D395" t="s">
        <v>3367</v>
      </c>
      <c r="E395" t="s">
        <v>3362</v>
      </c>
      <c r="F395">
        <v>5910</v>
      </c>
      <c r="G395">
        <v>203.1</v>
      </c>
      <c r="H395">
        <v>5706.9</v>
      </c>
    </row>
    <row r="396" spans="1:8" x14ac:dyDescent="0.3">
      <c r="A396">
        <v>116</v>
      </c>
      <c r="B396" t="s">
        <v>568</v>
      </c>
      <c r="C396" s="452">
        <v>46086</v>
      </c>
      <c r="D396" t="s">
        <v>3367</v>
      </c>
      <c r="E396" t="s">
        <v>20</v>
      </c>
      <c r="F396">
        <v>203</v>
      </c>
      <c r="G396">
        <v>0</v>
      </c>
      <c r="H396">
        <v>203</v>
      </c>
    </row>
    <row r="397" spans="1:8" x14ac:dyDescent="0.3">
      <c r="A397">
        <v>116</v>
      </c>
      <c r="B397" t="s">
        <v>568</v>
      </c>
      <c r="C397" s="452">
        <v>46086</v>
      </c>
      <c r="D397" t="s">
        <v>3367</v>
      </c>
      <c r="E397" t="s">
        <v>22</v>
      </c>
      <c r="F397">
        <v>1661.1</v>
      </c>
      <c r="G397">
        <v>0</v>
      </c>
      <c r="H397">
        <v>1661.1</v>
      </c>
    </row>
    <row r="398" spans="1:8" x14ac:dyDescent="0.3">
      <c r="A398">
        <v>116</v>
      </c>
      <c r="B398" t="s">
        <v>568</v>
      </c>
      <c r="C398" s="452">
        <v>46085</v>
      </c>
      <c r="D398" t="s">
        <v>3367</v>
      </c>
      <c r="E398" t="s">
        <v>3361</v>
      </c>
      <c r="F398">
        <v>4473</v>
      </c>
      <c r="G398">
        <v>29.8</v>
      </c>
      <c r="H398">
        <v>4443.2</v>
      </c>
    </row>
    <row r="399" spans="1:8" x14ac:dyDescent="0.3">
      <c r="A399">
        <v>116</v>
      </c>
      <c r="B399" t="s">
        <v>568</v>
      </c>
      <c r="C399" s="452">
        <v>46085</v>
      </c>
      <c r="D399" t="s">
        <v>3367</v>
      </c>
      <c r="E399" t="s">
        <v>3362</v>
      </c>
      <c r="F399">
        <v>3952</v>
      </c>
      <c r="G399">
        <v>176.3</v>
      </c>
      <c r="H399">
        <v>3775.7</v>
      </c>
    </row>
    <row r="400" spans="1:8" x14ac:dyDescent="0.3">
      <c r="A400">
        <v>116</v>
      </c>
      <c r="B400" t="s">
        <v>568</v>
      </c>
      <c r="C400" s="452">
        <v>46085</v>
      </c>
      <c r="D400" t="s">
        <v>3367</v>
      </c>
      <c r="E400" t="s">
        <v>22</v>
      </c>
      <c r="F400">
        <v>1094.27</v>
      </c>
      <c r="G400">
        <v>0</v>
      </c>
      <c r="H400">
        <v>1094.27</v>
      </c>
    </row>
    <row r="401" spans="1:8" x14ac:dyDescent="0.3">
      <c r="A401">
        <v>116</v>
      </c>
      <c r="B401" t="s">
        <v>568</v>
      </c>
      <c r="C401" s="452">
        <v>46084</v>
      </c>
      <c r="D401" t="s">
        <v>3367</v>
      </c>
      <c r="E401" t="s">
        <v>3361</v>
      </c>
      <c r="F401">
        <v>3811.4</v>
      </c>
      <c r="G401">
        <v>22.5</v>
      </c>
      <c r="H401">
        <v>3788.9</v>
      </c>
    </row>
    <row r="402" spans="1:8" x14ac:dyDescent="0.3">
      <c r="A402">
        <v>116</v>
      </c>
      <c r="B402" t="s">
        <v>568</v>
      </c>
      <c r="C402" s="452">
        <v>46084</v>
      </c>
      <c r="D402" t="s">
        <v>3367</v>
      </c>
      <c r="E402" t="s">
        <v>3362</v>
      </c>
      <c r="F402">
        <v>4035.5</v>
      </c>
      <c r="G402">
        <v>67.8</v>
      </c>
      <c r="H402">
        <v>3967.7</v>
      </c>
    </row>
    <row r="403" spans="1:8" x14ac:dyDescent="0.3">
      <c r="A403">
        <v>116</v>
      </c>
      <c r="B403" t="s">
        <v>568</v>
      </c>
      <c r="C403" s="452">
        <v>46084</v>
      </c>
      <c r="D403" t="s">
        <v>3367</v>
      </c>
      <c r="E403" t="s">
        <v>20</v>
      </c>
      <c r="F403">
        <v>112</v>
      </c>
      <c r="G403">
        <v>0</v>
      </c>
      <c r="H403">
        <v>112</v>
      </c>
    </row>
    <row r="404" spans="1:8" x14ac:dyDescent="0.3">
      <c r="A404">
        <v>116</v>
      </c>
      <c r="B404" t="s">
        <v>568</v>
      </c>
      <c r="C404" s="452">
        <v>46084</v>
      </c>
      <c r="D404" t="s">
        <v>3367</v>
      </c>
      <c r="E404" t="s">
        <v>22</v>
      </c>
      <c r="F404">
        <v>1029.17</v>
      </c>
      <c r="G404">
        <v>0</v>
      </c>
      <c r="H404">
        <v>1029.17</v>
      </c>
    </row>
    <row r="405" spans="1:8" x14ac:dyDescent="0.3">
      <c r="A405">
        <v>116</v>
      </c>
      <c r="B405" t="s">
        <v>568</v>
      </c>
      <c r="C405" s="452">
        <v>46083</v>
      </c>
      <c r="D405" t="s">
        <v>3367</v>
      </c>
      <c r="E405" t="s">
        <v>3361</v>
      </c>
      <c r="F405">
        <v>4962.3</v>
      </c>
      <c r="G405">
        <v>30.6</v>
      </c>
      <c r="H405">
        <v>4931.7</v>
      </c>
    </row>
    <row r="406" spans="1:8" x14ac:dyDescent="0.3">
      <c r="A406">
        <v>116</v>
      </c>
      <c r="B406" t="s">
        <v>568</v>
      </c>
      <c r="C406" s="452">
        <v>46083</v>
      </c>
      <c r="D406" t="s">
        <v>3367</v>
      </c>
      <c r="E406" t="s">
        <v>3362</v>
      </c>
      <c r="F406">
        <v>3749</v>
      </c>
      <c r="G406">
        <v>132.9</v>
      </c>
      <c r="H406">
        <v>3616.1</v>
      </c>
    </row>
    <row r="407" spans="1:8" x14ac:dyDescent="0.3">
      <c r="A407">
        <v>116</v>
      </c>
      <c r="B407" t="s">
        <v>568</v>
      </c>
      <c r="C407" s="452">
        <v>46083</v>
      </c>
      <c r="D407" t="s">
        <v>3367</v>
      </c>
      <c r="E407" t="s">
        <v>20</v>
      </c>
      <c r="F407">
        <v>107</v>
      </c>
      <c r="G407">
        <v>0</v>
      </c>
      <c r="H407">
        <v>107</v>
      </c>
    </row>
    <row r="408" spans="1:8" x14ac:dyDescent="0.3">
      <c r="A408">
        <v>116</v>
      </c>
      <c r="B408" t="s">
        <v>568</v>
      </c>
      <c r="C408" s="452">
        <v>46083</v>
      </c>
      <c r="D408" t="s">
        <v>3367</v>
      </c>
      <c r="E408" t="s">
        <v>22</v>
      </c>
      <c r="F408">
        <v>1033.33</v>
      </c>
      <c r="G408">
        <v>0</v>
      </c>
      <c r="H408">
        <v>1033.33</v>
      </c>
    </row>
    <row r="409" spans="1:8" x14ac:dyDescent="0.3">
      <c r="A409">
        <v>116</v>
      </c>
      <c r="B409" t="s">
        <v>568</v>
      </c>
      <c r="C409" s="452">
        <v>46081</v>
      </c>
      <c r="D409" t="s">
        <v>3368</v>
      </c>
      <c r="E409" t="s">
        <v>3361</v>
      </c>
      <c r="F409">
        <v>12922.2</v>
      </c>
      <c r="G409">
        <v>307.02999999999997</v>
      </c>
      <c r="H409">
        <v>12615.17</v>
      </c>
    </row>
    <row r="410" spans="1:8" x14ac:dyDescent="0.3">
      <c r="A410">
        <v>116</v>
      </c>
      <c r="B410" t="s">
        <v>568</v>
      </c>
      <c r="C410" s="452">
        <v>46081</v>
      </c>
      <c r="D410" t="s">
        <v>3368</v>
      </c>
      <c r="E410" t="s">
        <v>3362</v>
      </c>
      <c r="F410">
        <v>10196</v>
      </c>
      <c r="G410">
        <v>192.87</v>
      </c>
      <c r="H410">
        <v>10003.129999999999</v>
      </c>
    </row>
    <row r="411" spans="1:8" x14ac:dyDescent="0.3">
      <c r="A411">
        <v>116</v>
      </c>
      <c r="B411" t="s">
        <v>568</v>
      </c>
      <c r="C411" s="452">
        <v>46081</v>
      </c>
      <c r="D411" t="s">
        <v>3368</v>
      </c>
      <c r="E411" t="s">
        <v>20</v>
      </c>
      <c r="F411">
        <v>227</v>
      </c>
      <c r="G411">
        <v>0</v>
      </c>
      <c r="H411">
        <v>227</v>
      </c>
    </row>
    <row r="412" spans="1:8" x14ac:dyDescent="0.3">
      <c r="A412">
        <v>116</v>
      </c>
      <c r="B412" t="s">
        <v>568</v>
      </c>
      <c r="C412" s="452">
        <v>46081</v>
      </c>
      <c r="D412" t="s">
        <v>3368</v>
      </c>
      <c r="E412" t="s">
        <v>22</v>
      </c>
      <c r="F412">
        <v>3031.5</v>
      </c>
      <c r="G412">
        <v>0</v>
      </c>
      <c r="H412">
        <v>3031.5</v>
      </c>
    </row>
    <row r="413" spans="1:8" x14ac:dyDescent="0.3">
      <c r="A413">
        <v>116</v>
      </c>
      <c r="B413" t="s">
        <v>568</v>
      </c>
      <c r="C413" s="452">
        <v>46081</v>
      </c>
      <c r="D413" t="s">
        <v>3368</v>
      </c>
      <c r="E413" t="s">
        <v>3363</v>
      </c>
      <c r="F413">
        <v>525</v>
      </c>
      <c r="G413">
        <v>84.53</v>
      </c>
      <c r="H413">
        <v>440.47</v>
      </c>
    </row>
    <row r="414" spans="1:8" x14ac:dyDescent="0.3">
      <c r="A414">
        <v>116</v>
      </c>
      <c r="B414" t="s">
        <v>568</v>
      </c>
      <c r="C414" s="452">
        <v>46080</v>
      </c>
      <c r="D414" t="s">
        <v>3368</v>
      </c>
      <c r="E414" t="s">
        <v>3361</v>
      </c>
      <c r="F414">
        <v>7454.7</v>
      </c>
      <c r="G414">
        <v>17.739999999999998</v>
      </c>
      <c r="H414">
        <v>7436.96</v>
      </c>
    </row>
    <row r="415" spans="1:8" x14ac:dyDescent="0.3">
      <c r="A415">
        <v>116</v>
      </c>
      <c r="B415" t="s">
        <v>568</v>
      </c>
      <c r="C415" s="452">
        <v>46080</v>
      </c>
      <c r="D415" t="s">
        <v>3368</v>
      </c>
      <c r="E415" t="s">
        <v>3362</v>
      </c>
      <c r="F415">
        <v>6591</v>
      </c>
      <c r="G415">
        <v>18.11</v>
      </c>
      <c r="H415">
        <v>6572.89</v>
      </c>
    </row>
    <row r="416" spans="1:8" x14ac:dyDescent="0.3">
      <c r="A416">
        <v>116</v>
      </c>
      <c r="B416" t="s">
        <v>568</v>
      </c>
      <c r="C416" s="452">
        <v>46080</v>
      </c>
      <c r="D416" t="s">
        <v>3368</v>
      </c>
      <c r="E416" t="s">
        <v>20</v>
      </c>
      <c r="F416">
        <v>80</v>
      </c>
      <c r="G416">
        <v>0</v>
      </c>
      <c r="H416">
        <v>80</v>
      </c>
    </row>
    <row r="417" spans="1:8" x14ac:dyDescent="0.3">
      <c r="A417">
        <v>116</v>
      </c>
      <c r="B417" t="s">
        <v>568</v>
      </c>
      <c r="C417" s="452">
        <v>46080</v>
      </c>
      <c r="D417" t="s">
        <v>3368</v>
      </c>
      <c r="E417" t="s">
        <v>22</v>
      </c>
      <c r="F417">
        <v>1810.17</v>
      </c>
      <c r="G417">
        <v>0</v>
      </c>
      <c r="H417">
        <v>1810.17</v>
      </c>
    </row>
    <row r="418" spans="1:8" x14ac:dyDescent="0.3">
      <c r="A418">
        <v>116</v>
      </c>
      <c r="B418" t="s">
        <v>568</v>
      </c>
      <c r="C418" s="452">
        <v>46079</v>
      </c>
      <c r="D418" t="s">
        <v>3368</v>
      </c>
      <c r="E418" t="s">
        <v>3361</v>
      </c>
      <c r="F418">
        <v>5187.6000000000004</v>
      </c>
      <c r="G418">
        <v>28.17</v>
      </c>
      <c r="H418">
        <v>5159.43</v>
      </c>
    </row>
    <row r="419" spans="1:8" x14ac:dyDescent="0.3">
      <c r="A419">
        <v>116</v>
      </c>
      <c r="B419" t="s">
        <v>568</v>
      </c>
      <c r="C419" s="452">
        <v>46079</v>
      </c>
      <c r="D419" t="s">
        <v>3368</v>
      </c>
      <c r="E419" t="s">
        <v>3362</v>
      </c>
      <c r="F419">
        <v>4852.5</v>
      </c>
      <c r="G419">
        <v>89</v>
      </c>
      <c r="H419">
        <v>4763.5</v>
      </c>
    </row>
    <row r="420" spans="1:8" x14ac:dyDescent="0.3">
      <c r="A420">
        <v>116</v>
      </c>
      <c r="B420" t="s">
        <v>568</v>
      </c>
      <c r="C420" s="452">
        <v>46079</v>
      </c>
      <c r="D420" t="s">
        <v>3368</v>
      </c>
      <c r="E420" t="s">
        <v>20</v>
      </c>
      <c r="F420">
        <v>187</v>
      </c>
      <c r="G420">
        <v>0</v>
      </c>
      <c r="H420">
        <v>187</v>
      </c>
    </row>
    <row r="421" spans="1:8" x14ac:dyDescent="0.3">
      <c r="A421">
        <v>116</v>
      </c>
      <c r="B421" t="s">
        <v>568</v>
      </c>
      <c r="C421" s="452">
        <v>46079</v>
      </c>
      <c r="D421" t="s">
        <v>3368</v>
      </c>
      <c r="E421" t="s">
        <v>22</v>
      </c>
      <c r="F421">
        <v>1314.18</v>
      </c>
      <c r="G421">
        <v>0</v>
      </c>
      <c r="H421">
        <v>1314.18</v>
      </c>
    </row>
    <row r="422" spans="1:8" x14ac:dyDescent="0.3">
      <c r="A422">
        <v>116</v>
      </c>
      <c r="B422" t="s">
        <v>568</v>
      </c>
      <c r="C422" s="452">
        <v>46078</v>
      </c>
      <c r="D422" t="s">
        <v>3368</v>
      </c>
      <c r="E422" t="s">
        <v>3361</v>
      </c>
      <c r="F422">
        <v>4908.2</v>
      </c>
      <c r="G422">
        <v>54.89</v>
      </c>
      <c r="H422">
        <v>4853.3100000000004</v>
      </c>
    </row>
    <row r="423" spans="1:8" x14ac:dyDescent="0.3">
      <c r="A423">
        <v>116</v>
      </c>
      <c r="B423" t="s">
        <v>568</v>
      </c>
      <c r="C423" s="452">
        <v>46078</v>
      </c>
      <c r="D423" t="s">
        <v>3368</v>
      </c>
      <c r="E423" t="s">
        <v>3362</v>
      </c>
      <c r="F423">
        <v>5478</v>
      </c>
      <c r="G423">
        <v>79.569999999999993</v>
      </c>
      <c r="H423">
        <v>5398.43</v>
      </c>
    </row>
    <row r="424" spans="1:8" x14ac:dyDescent="0.3">
      <c r="A424">
        <v>116</v>
      </c>
      <c r="B424" t="s">
        <v>568</v>
      </c>
      <c r="C424" s="452">
        <v>46078</v>
      </c>
      <c r="D424" t="s">
        <v>3368</v>
      </c>
      <c r="E424" t="s">
        <v>22</v>
      </c>
      <c r="F424">
        <v>1331.51</v>
      </c>
      <c r="G424">
        <v>0</v>
      </c>
      <c r="H424">
        <v>1331.51</v>
      </c>
    </row>
    <row r="425" spans="1:8" x14ac:dyDescent="0.3">
      <c r="A425">
        <v>116</v>
      </c>
      <c r="B425" t="s">
        <v>568</v>
      </c>
      <c r="C425" s="452">
        <v>46077</v>
      </c>
      <c r="D425" t="s">
        <v>3368</v>
      </c>
      <c r="E425" t="s">
        <v>3361</v>
      </c>
      <c r="F425">
        <v>4193.2</v>
      </c>
      <c r="G425">
        <v>33.950000000000003</v>
      </c>
      <c r="H425">
        <v>4159.25</v>
      </c>
    </row>
    <row r="426" spans="1:8" x14ac:dyDescent="0.3">
      <c r="A426">
        <v>116</v>
      </c>
      <c r="B426" t="s">
        <v>568</v>
      </c>
      <c r="C426" s="452">
        <v>46077</v>
      </c>
      <c r="D426" t="s">
        <v>3368</v>
      </c>
      <c r="E426" t="s">
        <v>3362</v>
      </c>
      <c r="F426">
        <v>3651</v>
      </c>
      <c r="G426">
        <v>118.94</v>
      </c>
      <c r="H426">
        <v>3532.06</v>
      </c>
    </row>
    <row r="427" spans="1:8" x14ac:dyDescent="0.3">
      <c r="A427">
        <v>116</v>
      </c>
      <c r="B427" t="s">
        <v>568</v>
      </c>
      <c r="C427" s="452">
        <v>46077</v>
      </c>
      <c r="D427" t="s">
        <v>3368</v>
      </c>
      <c r="E427" t="s">
        <v>22</v>
      </c>
      <c r="F427">
        <v>1016.68</v>
      </c>
      <c r="G427">
        <v>0</v>
      </c>
      <c r="H427">
        <v>1016.68</v>
      </c>
    </row>
    <row r="428" spans="1:8" x14ac:dyDescent="0.3">
      <c r="A428">
        <v>116</v>
      </c>
      <c r="B428" t="s">
        <v>568</v>
      </c>
      <c r="C428" s="452">
        <v>46077</v>
      </c>
      <c r="D428" t="s">
        <v>3368</v>
      </c>
      <c r="E428" t="s">
        <v>20</v>
      </c>
      <c r="F428">
        <v>150</v>
      </c>
      <c r="G428">
        <v>0</v>
      </c>
      <c r="H428">
        <v>150</v>
      </c>
    </row>
    <row r="429" spans="1:8" x14ac:dyDescent="0.3">
      <c r="A429">
        <v>116</v>
      </c>
      <c r="B429" t="s">
        <v>568</v>
      </c>
      <c r="C429" s="452">
        <v>46076</v>
      </c>
      <c r="D429" t="s">
        <v>3368</v>
      </c>
      <c r="E429" t="s">
        <v>3361</v>
      </c>
      <c r="F429">
        <v>5949.5</v>
      </c>
      <c r="G429">
        <v>123</v>
      </c>
      <c r="H429">
        <v>5826.5</v>
      </c>
    </row>
    <row r="430" spans="1:8" x14ac:dyDescent="0.3">
      <c r="A430">
        <v>116</v>
      </c>
      <c r="B430" t="s">
        <v>568</v>
      </c>
      <c r="C430" s="452">
        <v>46076</v>
      </c>
      <c r="D430" t="s">
        <v>3368</v>
      </c>
      <c r="E430" t="s">
        <v>3362</v>
      </c>
      <c r="F430">
        <v>3570</v>
      </c>
      <c r="G430">
        <v>184.69</v>
      </c>
      <c r="H430">
        <v>3385.31</v>
      </c>
    </row>
    <row r="431" spans="1:8" x14ac:dyDescent="0.3">
      <c r="A431">
        <v>116</v>
      </c>
      <c r="B431" t="s">
        <v>568</v>
      </c>
      <c r="C431" s="452">
        <v>46076</v>
      </c>
      <c r="D431" t="s">
        <v>3368</v>
      </c>
      <c r="E431" t="s">
        <v>22</v>
      </c>
      <c r="F431">
        <v>1244.9100000000001</v>
      </c>
      <c r="G431">
        <v>0</v>
      </c>
      <c r="H431">
        <v>1244.9100000000001</v>
      </c>
    </row>
    <row r="432" spans="1:8" x14ac:dyDescent="0.3">
      <c r="A432">
        <v>116</v>
      </c>
      <c r="B432" t="s">
        <v>568</v>
      </c>
      <c r="C432" s="452">
        <v>46076</v>
      </c>
      <c r="D432" t="s">
        <v>3368</v>
      </c>
      <c r="E432" t="s">
        <v>20</v>
      </c>
      <c r="F432">
        <v>150</v>
      </c>
      <c r="G432">
        <v>0</v>
      </c>
      <c r="H432">
        <v>150</v>
      </c>
    </row>
    <row r="433" spans="1:8" x14ac:dyDescent="0.3">
      <c r="A433">
        <v>116</v>
      </c>
      <c r="B433" t="s">
        <v>568</v>
      </c>
      <c r="C433" s="452">
        <v>46074</v>
      </c>
      <c r="D433" t="s">
        <v>3368</v>
      </c>
      <c r="E433" t="s">
        <v>3361</v>
      </c>
      <c r="F433">
        <v>8249.7000000000007</v>
      </c>
      <c r="G433">
        <v>65.180000000000007</v>
      </c>
      <c r="H433">
        <v>8184.52</v>
      </c>
    </row>
    <row r="434" spans="1:8" x14ac:dyDescent="0.3">
      <c r="A434">
        <v>116</v>
      </c>
      <c r="B434" t="s">
        <v>568</v>
      </c>
      <c r="C434" s="452">
        <v>46074</v>
      </c>
      <c r="D434" t="s">
        <v>3368</v>
      </c>
      <c r="E434" t="s">
        <v>3362</v>
      </c>
      <c r="F434">
        <v>6790.5</v>
      </c>
      <c r="G434">
        <v>118.7</v>
      </c>
      <c r="H434">
        <v>6671.8</v>
      </c>
    </row>
    <row r="435" spans="1:8" x14ac:dyDescent="0.3">
      <c r="A435">
        <v>116</v>
      </c>
      <c r="B435" t="s">
        <v>568</v>
      </c>
      <c r="C435" s="452">
        <v>46074</v>
      </c>
      <c r="D435" t="s">
        <v>3368</v>
      </c>
      <c r="E435" t="s">
        <v>20</v>
      </c>
      <c r="F435">
        <v>308</v>
      </c>
      <c r="G435">
        <v>0</v>
      </c>
      <c r="H435">
        <v>308</v>
      </c>
    </row>
    <row r="436" spans="1:8" x14ac:dyDescent="0.3">
      <c r="A436">
        <v>116</v>
      </c>
      <c r="B436" t="s">
        <v>568</v>
      </c>
      <c r="C436" s="452">
        <v>46074</v>
      </c>
      <c r="D436" t="s">
        <v>3368</v>
      </c>
      <c r="E436" t="s">
        <v>22</v>
      </c>
      <c r="F436">
        <v>2029.29</v>
      </c>
      <c r="G436">
        <v>0</v>
      </c>
      <c r="H436">
        <v>2029.29</v>
      </c>
    </row>
    <row r="437" spans="1:8" x14ac:dyDescent="0.3">
      <c r="A437">
        <v>116</v>
      </c>
      <c r="B437" t="s">
        <v>568</v>
      </c>
      <c r="C437" s="452">
        <v>46074</v>
      </c>
      <c r="D437" t="s">
        <v>3368</v>
      </c>
      <c r="E437" t="s">
        <v>3363</v>
      </c>
      <c r="F437">
        <v>270</v>
      </c>
      <c r="G437">
        <v>0</v>
      </c>
      <c r="H437">
        <v>270</v>
      </c>
    </row>
    <row r="438" spans="1:8" x14ac:dyDescent="0.3">
      <c r="A438">
        <v>116</v>
      </c>
      <c r="B438" t="s">
        <v>568</v>
      </c>
      <c r="C438" s="452">
        <v>46073</v>
      </c>
      <c r="D438" t="s">
        <v>3368</v>
      </c>
      <c r="E438" t="s">
        <v>3361</v>
      </c>
      <c r="F438">
        <v>8685</v>
      </c>
      <c r="G438">
        <v>24.61</v>
      </c>
      <c r="H438">
        <v>8660.39</v>
      </c>
    </row>
    <row r="439" spans="1:8" x14ac:dyDescent="0.3">
      <c r="A439">
        <v>116</v>
      </c>
      <c r="B439" t="s">
        <v>568</v>
      </c>
      <c r="C439" s="452">
        <v>46073</v>
      </c>
      <c r="D439" t="s">
        <v>3368</v>
      </c>
      <c r="E439" t="s">
        <v>3362</v>
      </c>
      <c r="F439">
        <v>7510</v>
      </c>
      <c r="G439">
        <v>146.11000000000001</v>
      </c>
      <c r="H439">
        <v>7363.89</v>
      </c>
    </row>
    <row r="440" spans="1:8" x14ac:dyDescent="0.3">
      <c r="A440">
        <v>116</v>
      </c>
      <c r="B440" t="s">
        <v>568</v>
      </c>
      <c r="C440" s="452">
        <v>46073</v>
      </c>
      <c r="D440" t="s">
        <v>3368</v>
      </c>
      <c r="E440" t="s">
        <v>20</v>
      </c>
      <c r="F440">
        <v>36</v>
      </c>
      <c r="G440">
        <v>0</v>
      </c>
      <c r="H440">
        <v>36</v>
      </c>
    </row>
    <row r="441" spans="1:8" x14ac:dyDescent="0.3">
      <c r="A441">
        <v>116</v>
      </c>
      <c r="B441" t="s">
        <v>568</v>
      </c>
      <c r="C441" s="452">
        <v>46073</v>
      </c>
      <c r="D441" t="s">
        <v>3368</v>
      </c>
      <c r="E441" t="s">
        <v>22</v>
      </c>
      <c r="F441">
        <v>2089.69</v>
      </c>
      <c r="G441">
        <v>0</v>
      </c>
      <c r="H441">
        <v>2089.69</v>
      </c>
    </row>
    <row r="442" spans="1:8" x14ac:dyDescent="0.3">
      <c r="A442">
        <v>116</v>
      </c>
      <c r="B442" t="s">
        <v>568</v>
      </c>
      <c r="C442" s="452">
        <v>46072</v>
      </c>
      <c r="D442" t="s">
        <v>3368</v>
      </c>
      <c r="E442" t="s">
        <v>3361</v>
      </c>
      <c r="F442">
        <v>2630.7</v>
      </c>
      <c r="G442">
        <v>57.66</v>
      </c>
      <c r="H442">
        <v>2573.04</v>
      </c>
    </row>
    <row r="443" spans="1:8" x14ac:dyDescent="0.3">
      <c r="A443">
        <v>116</v>
      </c>
      <c r="B443" t="s">
        <v>568</v>
      </c>
      <c r="C443" s="452">
        <v>46072</v>
      </c>
      <c r="D443" t="s">
        <v>3368</v>
      </c>
      <c r="E443" t="s">
        <v>3362</v>
      </c>
      <c r="F443">
        <v>2089.5</v>
      </c>
      <c r="G443">
        <v>95.2</v>
      </c>
      <c r="H443">
        <v>1994.3</v>
      </c>
    </row>
    <row r="444" spans="1:8" x14ac:dyDescent="0.3">
      <c r="A444">
        <v>116</v>
      </c>
      <c r="B444" t="s">
        <v>568</v>
      </c>
      <c r="C444" s="452">
        <v>46072</v>
      </c>
      <c r="D444" t="s">
        <v>3368</v>
      </c>
      <c r="E444" t="s">
        <v>22</v>
      </c>
      <c r="F444">
        <v>613.05999999999995</v>
      </c>
      <c r="G444">
        <v>0</v>
      </c>
      <c r="H444">
        <v>613.05999999999995</v>
      </c>
    </row>
    <row r="445" spans="1:8" x14ac:dyDescent="0.3">
      <c r="A445">
        <v>116</v>
      </c>
      <c r="B445" t="s">
        <v>568</v>
      </c>
      <c r="C445" s="452">
        <v>46071</v>
      </c>
      <c r="D445" t="s">
        <v>3368</v>
      </c>
      <c r="E445" t="s">
        <v>3361</v>
      </c>
      <c r="F445">
        <v>6162.1</v>
      </c>
      <c r="G445">
        <v>41.68</v>
      </c>
      <c r="H445">
        <v>6120.42</v>
      </c>
    </row>
    <row r="446" spans="1:8" x14ac:dyDescent="0.3">
      <c r="A446">
        <v>116</v>
      </c>
      <c r="B446" t="s">
        <v>568</v>
      </c>
      <c r="C446" s="452">
        <v>46071</v>
      </c>
      <c r="D446" t="s">
        <v>3368</v>
      </c>
      <c r="E446" t="s">
        <v>3362</v>
      </c>
      <c r="F446">
        <v>3933</v>
      </c>
      <c r="G446">
        <v>134.80000000000001</v>
      </c>
      <c r="H446">
        <v>3798.2</v>
      </c>
    </row>
    <row r="447" spans="1:8" x14ac:dyDescent="0.3">
      <c r="A447">
        <v>116</v>
      </c>
      <c r="B447" t="s">
        <v>568</v>
      </c>
      <c r="C447" s="452">
        <v>46071</v>
      </c>
      <c r="D447" t="s">
        <v>3368</v>
      </c>
      <c r="E447" t="s">
        <v>20</v>
      </c>
      <c r="F447">
        <v>16</v>
      </c>
      <c r="G447">
        <v>0</v>
      </c>
      <c r="H447">
        <v>16</v>
      </c>
    </row>
    <row r="448" spans="1:8" x14ac:dyDescent="0.3">
      <c r="A448">
        <v>116</v>
      </c>
      <c r="B448" t="s">
        <v>568</v>
      </c>
      <c r="C448" s="452">
        <v>46071</v>
      </c>
      <c r="D448" t="s">
        <v>3368</v>
      </c>
      <c r="E448" t="s">
        <v>22</v>
      </c>
      <c r="F448">
        <v>1095.77</v>
      </c>
      <c r="G448">
        <v>0</v>
      </c>
      <c r="H448">
        <v>1095.77</v>
      </c>
    </row>
    <row r="449" spans="1:8" x14ac:dyDescent="0.3">
      <c r="A449">
        <v>116</v>
      </c>
      <c r="B449" t="s">
        <v>568</v>
      </c>
      <c r="C449" s="452">
        <v>46070</v>
      </c>
      <c r="D449" t="s">
        <v>3368</v>
      </c>
      <c r="E449" t="s">
        <v>3362</v>
      </c>
      <c r="F449">
        <v>1489</v>
      </c>
      <c r="G449">
        <v>0</v>
      </c>
      <c r="H449">
        <v>1489</v>
      </c>
    </row>
    <row r="450" spans="1:8" x14ac:dyDescent="0.3">
      <c r="A450">
        <v>116</v>
      </c>
      <c r="B450" t="s">
        <v>568</v>
      </c>
      <c r="C450" s="452">
        <v>46070</v>
      </c>
      <c r="D450" t="s">
        <v>3368</v>
      </c>
      <c r="E450" t="s">
        <v>3361</v>
      </c>
      <c r="F450">
        <v>2367.6999999999998</v>
      </c>
      <c r="G450">
        <v>0</v>
      </c>
      <c r="H450">
        <v>2367.6999999999998</v>
      </c>
    </row>
    <row r="451" spans="1:8" x14ac:dyDescent="0.3">
      <c r="A451">
        <v>116</v>
      </c>
      <c r="B451" t="s">
        <v>568</v>
      </c>
      <c r="C451" s="452">
        <v>46070</v>
      </c>
      <c r="D451" t="s">
        <v>3368</v>
      </c>
      <c r="E451" t="s">
        <v>20</v>
      </c>
      <c r="F451">
        <v>16</v>
      </c>
      <c r="G451">
        <v>0</v>
      </c>
      <c r="H451">
        <v>16</v>
      </c>
    </row>
    <row r="452" spans="1:8" x14ac:dyDescent="0.3">
      <c r="A452">
        <v>116</v>
      </c>
      <c r="B452" t="s">
        <v>568</v>
      </c>
      <c r="C452" s="452">
        <v>46070</v>
      </c>
      <c r="D452" t="s">
        <v>3368</v>
      </c>
      <c r="E452" t="s">
        <v>22</v>
      </c>
      <c r="F452">
        <v>490.71</v>
      </c>
      <c r="G452">
        <v>0</v>
      </c>
      <c r="H452">
        <v>490.71</v>
      </c>
    </row>
    <row r="453" spans="1:8" x14ac:dyDescent="0.3">
      <c r="A453">
        <v>116</v>
      </c>
      <c r="B453" t="s">
        <v>568</v>
      </c>
      <c r="C453" s="452">
        <v>46069</v>
      </c>
      <c r="D453" t="s">
        <v>3368</v>
      </c>
      <c r="E453" t="s">
        <v>3361</v>
      </c>
      <c r="F453">
        <v>5325.4</v>
      </c>
      <c r="G453">
        <v>46.68</v>
      </c>
      <c r="H453">
        <v>5278.72</v>
      </c>
    </row>
    <row r="454" spans="1:8" x14ac:dyDescent="0.3">
      <c r="A454">
        <v>116</v>
      </c>
      <c r="B454" t="s">
        <v>568</v>
      </c>
      <c r="C454" s="452">
        <v>46069</v>
      </c>
      <c r="D454" t="s">
        <v>3368</v>
      </c>
      <c r="E454" t="s">
        <v>3362</v>
      </c>
      <c r="F454">
        <v>4368.7</v>
      </c>
      <c r="G454">
        <v>63.6</v>
      </c>
      <c r="H454">
        <v>4305.1000000000004</v>
      </c>
    </row>
    <row r="455" spans="1:8" x14ac:dyDescent="0.3">
      <c r="A455">
        <v>116</v>
      </c>
      <c r="B455" t="s">
        <v>568</v>
      </c>
      <c r="C455" s="452">
        <v>46069</v>
      </c>
      <c r="D455" t="s">
        <v>3368</v>
      </c>
      <c r="E455" t="s">
        <v>20</v>
      </c>
      <c r="F455">
        <v>35</v>
      </c>
      <c r="G455">
        <v>0</v>
      </c>
      <c r="H455">
        <v>35</v>
      </c>
    </row>
    <row r="456" spans="1:8" x14ac:dyDescent="0.3">
      <c r="A456">
        <v>116</v>
      </c>
      <c r="B456" t="s">
        <v>568</v>
      </c>
      <c r="C456" s="452">
        <v>46069</v>
      </c>
      <c r="D456" t="s">
        <v>3368</v>
      </c>
      <c r="E456" t="s">
        <v>22</v>
      </c>
      <c r="F456">
        <v>1148.27</v>
      </c>
      <c r="G456">
        <v>0</v>
      </c>
      <c r="H456">
        <v>1148.27</v>
      </c>
    </row>
    <row r="457" spans="1:8" x14ac:dyDescent="0.3">
      <c r="A457">
        <v>116</v>
      </c>
      <c r="B457" t="s">
        <v>568</v>
      </c>
      <c r="C457" s="452">
        <v>46067</v>
      </c>
      <c r="D457" t="s">
        <v>3368</v>
      </c>
      <c r="E457" t="s">
        <v>3361</v>
      </c>
      <c r="F457">
        <v>9587</v>
      </c>
      <c r="G457">
        <v>24.05</v>
      </c>
      <c r="H457">
        <v>9562.9500000000007</v>
      </c>
    </row>
    <row r="458" spans="1:8" x14ac:dyDescent="0.3">
      <c r="A458">
        <v>116</v>
      </c>
      <c r="B458" t="s">
        <v>568</v>
      </c>
      <c r="C458" s="452">
        <v>46067</v>
      </c>
      <c r="D458" t="s">
        <v>3368</v>
      </c>
      <c r="E458" t="s">
        <v>3362</v>
      </c>
      <c r="F458">
        <v>5854</v>
      </c>
      <c r="G458">
        <v>41.95</v>
      </c>
      <c r="H458">
        <v>5812.05</v>
      </c>
    </row>
    <row r="459" spans="1:8" x14ac:dyDescent="0.3">
      <c r="A459">
        <v>116</v>
      </c>
      <c r="B459" t="s">
        <v>568</v>
      </c>
      <c r="C459" s="452">
        <v>46067</v>
      </c>
      <c r="D459" t="s">
        <v>3368</v>
      </c>
      <c r="E459" t="s">
        <v>20</v>
      </c>
      <c r="F459">
        <v>230</v>
      </c>
      <c r="G459">
        <v>0</v>
      </c>
      <c r="H459">
        <v>230</v>
      </c>
    </row>
    <row r="460" spans="1:8" x14ac:dyDescent="0.3">
      <c r="A460">
        <v>116</v>
      </c>
      <c r="B460" t="s">
        <v>568</v>
      </c>
      <c r="C460" s="452">
        <v>46067</v>
      </c>
      <c r="D460" t="s">
        <v>3368</v>
      </c>
      <c r="E460" t="s">
        <v>22</v>
      </c>
      <c r="F460">
        <v>2057.42</v>
      </c>
      <c r="G460">
        <v>0</v>
      </c>
      <c r="H460">
        <v>2057.42</v>
      </c>
    </row>
    <row r="461" spans="1:8" x14ac:dyDescent="0.3">
      <c r="A461">
        <v>116</v>
      </c>
      <c r="B461" t="s">
        <v>568</v>
      </c>
      <c r="C461" s="452">
        <v>46067</v>
      </c>
      <c r="D461" t="s">
        <v>3368</v>
      </c>
      <c r="E461" t="s">
        <v>3363</v>
      </c>
      <c r="F461">
        <v>255</v>
      </c>
      <c r="G461">
        <v>0</v>
      </c>
      <c r="H461">
        <v>255</v>
      </c>
    </row>
    <row r="462" spans="1:8" x14ac:dyDescent="0.3">
      <c r="A462">
        <v>116</v>
      </c>
      <c r="B462" t="s">
        <v>568</v>
      </c>
      <c r="C462" s="452">
        <v>46066</v>
      </c>
      <c r="D462" t="s">
        <v>3368</v>
      </c>
      <c r="E462" t="s">
        <v>3361</v>
      </c>
      <c r="F462">
        <v>10528.2</v>
      </c>
      <c r="G462">
        <v>29.28</v>
      </c>
      <c r="H462">
        <v>10498.92</v>
      </c>
    </row>
    <row r="463" spans="1:8" x14ac:dyDescent="0.3">
      <c r="A463">
        <v>116</v>
      </c>
      <c r="B463" t="s">
        <v>568</v>
      </c>
      <c r="C463" s="452">
        <v>46066</v>
      </c>
      <c r="D463" t="s">
        <v>3368</v>
      </c>
      <c r="E463" t="s">
        <v>3362</v>
      </c>
      <c r="F463">
        <v>7968</v>
      </c>
      <c r="G463">
        <v>101.2</v>
      </c>
      <c r="H463">
        <v>7866.8</v>
      </c>
    </row>
    <row r="464" spans="1:8" x14ac:dyDescent="0.3">
      <c r="A464">
        <v>116</v>
      </c>
      <c r="B464" t="s">
        <v>568</v>
      </c>
      <c r="C464" s="452">
        <v>46066</v>
      </c>
      <c r="D464" t="s">
        <v>3368</v>
      </c>
      <c r="E464" t="s">
        <v>22</v>
      </c>
      <c r="F464">
        <v>2380.59</v>
      </c>
      <c r="G464">
        <v>0</v>
      </c>
      <c r="H464">
        <v>2380.59</v>
      </c>
    </row>
    <row r="465" spans="1:8" x14ac:dyDescent="0.3">
      <c r="A465">
        <v>116</v>
      </c>
      <c r="B465" t="s">
        <v>568</v>
      </c>
      <c r="C465" s="452">
        <v>46066</v>
      </c>
      <c r="D465" t="s">
        <v>3368</v>
      </c>
      <c r="E465" t="s">
        <v>20</v>
      </c>
      <c r="F465">
        <v>20</v>
      </c>
      <c r="G465">
        <v>0</v>
      </c>
      <c r="H465">
        <v>20</v>
      </c>
    </row>
    <row r="466" spans="1:8" x14ac:dyDescent="0.3">
      <c r="A466">
        <v>116</v>
      </c>
      <c r="B466" t="s">
        <v>568</v>
      </c>
      <c r="C466" s="452">
        <v>46065</v>
      </c>
      <c r="D466" t="s">
        <v>3368</v>
      </c>
      <c r="E466" t="s">
        <v>3361</v>
      </c>
      <c r="F466">
        <v>7138.5</v>
      </c>
      <c r="G466">
        <v>104.31</v>
      </c>
      <c r="H466">
        <v>7034.19</v>
      </c>
    </row>
    <row r="467" spans="1:8" x14ac:dyDescent="0.3">
      <c r="A467">
        <v>116</v>
      </c>
      <c r="B467" t="s">
        <v>568</v>
      </c>
      <c r="C467" s="452">
        <v>46065</v>
      </c>
      <c r="D467" t="s">
        <v>3368</v>
      </c>
      <c r="E467" t="s">
        <v>3362</v>
      </c>
      <c r="F467">
        <v>5544</v>
      </c>
      <c r="G467">
        <v>463.39</v>
      </c>
      <c r="H467">
        <v>5080.6099999999997</v>
      </c>
    </row>
    <row r="468" spans="1:8" x14ac:dyDescent="0.3">
      <c r="A468">
        <v>116</v>
      </c>
      <c r="B468" t="s">
        <v>568</v>
      </c>
      <c r="C468" s="452">
        <v>46065</v>
      </c>
      <c r="D468" t="s">
        <v>3368</v>
      </c>
      <c r="E468" t="s">
        <v>20</v>
      </c>
      <c r="F468">
        <v>16</v>
      </c>
      <c r="G468">
        <v>0</v>
      </c>
      <c r="H468">
        <v>16</v>
      </c>
    </row>
    <row r="469" spans="1:8" x14ac:dyDescent="0.3">
      <c r="A469">
        <v>116</v>
      </c>
      <c r="B469" t="s">
        <v>568</v>
      </c>
      <c r="C469" s="452">
        <v>46065</v>
      </c>
      <c r="D469" t="s">
        <v>3368</v>
      </c>
      <c r="E469" t="s">
        <v>22</v>
      </c>
      <c r="F469">
        <v>1597.18</v>
      </c>
      <c r="G469">
        <v>0</v>
      </c>
      <c r="H469">
        <v>1597.18</v>
      </c>
    </row>
    <row r="470" spans="1:8" x14ac:dyDescent="0.3">
      <c r="A470">
        <v>116</v>
      </c>
      <c r="B470" t="s">
        <v>568</v>
      </c>
      <c r="C470" s="452">
        <v>46064</v>
      </c>
      <c r="D470" t="s">
        <v>3368</v>
      </c>
      <c r="E470" t="s">
        <v>3361</v>
      </c>
      <c r="F470">
        <v>4562.5</v>
      </c>
      <c r="G470">
        <v>70.58</v>
      </c>
      <c r="H470">
        <v>4491.92</v>
      </c>
    </row>
    <row r="471" spans="1:8" x14ac:dyDescent="0.3">
      <c r="A471">
        <v>116</v>
      </c>
      <c r="B471" t="s">
        <v>568</v>
      </c>
      <c r="C471" s="452">
        <v>46064</v>
      </c>
      <c r="D471" t="s">
        <v>3368</v>
      </c>
      <c r="E471" t="s">
        <v>3362</v>
      </c>
      <c r="F471">
        <v>4285</v>
      </c>
      <c r="G471">
        <v>191.55</v>
      </c>
      <c r="H471">
        <v>4093.45</v>
      </c>
    </row>
    <row r="472" spans="1:8" x14ac:dyDescent="0.3">
      <c r="A472">
        <v>116</v>
      </c>
      <c r="B472" t="s">
        <v>568</v>
      </c>
      <c r="C472" s="452">
        <v>46064</v>
      </c>
      <c r="D472" t="s">
        <v>3368</v>
      </c>
      <c r="E472" t="s">
        <v>22</v>
      </c>
      <c r="F472">
        <v>1149.32</v>
      </c>
      <c r="G472">
        <v>0</v>
      </c>
      <c r="H472">
        <v>1149.32</v>
      </c>
    </row>
    <row r="473" spans="1:8" x14ac:dyDescent="0.3">
      <c r="A473">
        <v>116</v>
      </c>
      <c r="B473" t="s">
        <v>568</v>
      </c>
      <c r="C473" s="452">
        <v>46063</v>
      </c>
      <c r="D473" t="s">
        <v>3368</v>
      </c>
      <c r="E473" t="s">
        <v>3361</v>
      </c>
      <c r="F473">
        <v>3873.6</v>
      </c>
      <c r="G473">
        <v>55.76</v>
      </c>
      <c r="H473">
        <v>3817.84</v>
      </c>
    </row>
    <row r="474" spans="1:8" x14ac:dyDescent="0.3">
      <c r="A474">
        <v>116</v>
      </c>
      <c r="B474" t="s">
        <v>568</v>
      </c>
      <c r="C474" s="452">
        <v>46063</v>
      </c>
      <c r="D474" t="s">
        <v>3368</v>
      </c>
      <c r="E474" t="s">
        <v>3362</v>
      </c>
      <c r="F474">
        <v>3729.5</v>
      </c>
      <c r="G474">
        <v>286.14</v>
      </c>
      <c r="H474">
        <v>3443.36</v>
      </c>
    </row>
    <row r="475" spans="1:8" x14ac:dyDescent="0.3">
      <c r="A475">
        <v>116</v>
      </c>
      <c r="B475" t="s">
        <v>568</v>
      </c>
      <c r="C475" s="452">
        <v>46063</v>
      </c>
      <c r="D475" t="s">
        <v>3368</v>
      </c>
      <c r="E475" t="s">
        <v>20</v>
      </c>
      <c r="F475">
        <v>35</v>
      </c>
      <c r="G475">
        <v>0</v>
      </c>
      <c r="H475">
        <v>35</v>
      </c>
    </row>
    <row r="476" spans="1:8" x14ac:dyDescent="0.3">
      <c r="A476">
        <v>116</v>
      </c>
      <c r="B476" t="s">
        <v>568</v>
      </c>
      <c r="C476" s="452">
        <v>46063</v>
      </c>
      <c r="D476" t="s">
        <v>3368</v>
      </c>
      <c r="E476" t="s">
        <v>22</v>
      </c>
      <c r="F476">
        <v>992.35</v>
      </c>
      <c r="G476">
        <v>0</v>
      </c>
      <c r="H476">
        <v>992.35</v>
      </c>
    </row>
    <row r="477" spans="1:8" x14ac:dyDescent="0.3">
      <c r="A477">
        <v>116</v>
      </c>
      <c r="B477" t="s">
        <v>568</v>
      </c>
      <c r="C477" s="452">
        <v>46062</v>
      </c>
      <c r="D477" t="s">
        <v>3368</v>
      </c>
      <c r="E477" t="s">
        <v>3361</v>
      </c>
      <c r="F477">
        <v>1365.2</v>
      </c>
      <c r="G477">
        <v>13.41</v>
      </c>
      <c r="H477">
        <v>1351.79</v>
      </c>
    </row>
    <row r="478" spans="1:8" x14ac:dyDescent="0.3">
      <c r="A478">
        <v>116</v>
      </c>
      <c r="B478" t="s">
        <v>568</v>
      </c>
      <c r="C478" s="452">
        <v>46062</v>
      </c>
      <c r="D478" t="s">
        <v>3368</v>
      </c>
      <c r="E478" t="s">
        <v>3362</v>
      </c>
      <c r="F478">
        <v>2108</v>
      </c>
      <c r="G478">
        <v>40.1</v>
      </c>
      <c r="H478">
        <v>2067.9</v>
      </c>
    </row>
    <row r="479" spans="1:8" x14ac:dyDescent="0.3">
      <c r="A479">
        <v>116</v>
      </c>
      <c r="B479" t="s">
        <v>568</v>
      </c>
      <c r="C479" s="452">
        <v>46062</v>
      </c>
      <c r="D479" t="s">
        <v>3368</v>
      </c>
      <c r="E479" t="s">
        <v>22</v>
      </c>
      <c r="F479">
        <v>430.96</v>
      </c>
      <c r="G479">
        <v>0</v>
      </c>
      <c r="H479">
        <v>430.96</v>
      </c>
    </row>
    <row r="480" spans="1:8" x14ac:dyDescent="0.3">
      <c r="A480">
        <v>116</v>
      </c>
      <c r="B480" t="s">
        <v>568</v>
      </c>
      <c r="C480" s="452">
        <v>46060</v>
      </c>
      <c r="D480" t="s">
        <v>3368</v>
      </c>
      <c r="E480" t="s">
        <v>3361</v>
      </c>
      <c r="F480">
        <v>10173.799999999999</v>
      </c>
      <c r="G480">
        <v>42</v>
      </c>
      <c r="H480">
        <v>10131.799999999999</v>
      </c>
    </row>
    <row r="481" spans="1:8" x14ac:dyDescent="0.3">
      <c r="A481">
        <v>116</v>
      </c>
      <c r="B481" t="s">
        <v>568</v>
      </c>
      <c r="C481" s="452">
        <v>46060</v>
      </c>
      <c r="D481" t="s">
        <v>3368</v>
      </c>
      <c r="E481" t="s">
        <v>3362</v>
      </c>
      <c r="F481">
        <v>7795</v>
      </c>
      <c r="G481">
        <v>46.2</v>
      </c>
      <c r="H481">
        <v>7748.8</v>
      </c>
    </row>
    <row r="482" spans="1:8" x14ac:dyDescent="0.3">
      <c r="A482">
        <v>116</v>
      </c>
      <c r="B482" t="s">
        <v>568</v>
      </c>
      <c r="C482" s="452">
        <v>46060</v>
      </c>
      <c r="D482" t="s">
        <v>3368</v>
      </c>
      <c r="E482" t="s">
        <v>20</v>
      </c>
      <c r="F482">
        <v>321</v>
      </c>
      <c r="G482">
        <v>0</v>
      </c>
      <c r="H482">
        <v>321</v>
      </c>
    </row>
    <row r="483" spans="1:8" x14ac:dyDescent="0.3">
      <c r="A483">
        <v>116</v>
      </c>
      <c r="B483" t="s">
        <v>568</v>
      </c>
      <c r="C483" s="452">
        <v>46060</v>
      </c>
      <c r="D483" t="s">
        <v>3368</v>
      </c>
      <c r="E483" t="s">
        <v>22</v>
      </c>
      <c r="F483">
        <v>2372.1799999999998</v>
      </c>
      <c r="G483">
        <v>0</v>
      </c>
      <c r="H483">
        <v>2372.1799999999998</v>
      </c>
    </row>
    <row r="484" spans="1:8" x14ac:dyDescent="0.3">
      <c r="A484">
        <v>116</v>
      </c>
      <c r="B484" t="s">
        <v>568</v>
      </c>
      <c r="C484" s="452">
        <v>46060</v>
      </c>
      <c r="D484" t="s">
        <v>3368</v>
      </c>
      <c r="E484" t="s">
        <v>3363</v>
      </c>
      <c r="F484">
        <v>315</v>
      </c>
      <c r="G484">
        <v>0</v>
      </c>
      <c r="H484">
        <v>315</v>
      </c>
    </row>
    <row r="485" spans="1:8" x14ac:dyDescent="0.3">
      <c r="A485">
        <v>116</v>
      </c>
      <c r="B485" t="s">
        <v>568</v>
      </c>
      <c r="C485" s="452">
        <v>46059</v>
      </c>
      <c r="D485" t="s">
        <v>3368</v>
      </c>
      <c r="E485" t="s">
        <v>3361</v>
      </c>
      <c r="F485">
        <v>10930.3</v>
      </c>
      <c r="G485">
        <v>22.54</v>
      </c>
      <c r="H485">
        <v>10907.76</v>
      </c>
    </row>
    <row r="486" spans="1:8" x14ac:dyDescent="0.3">
      <c r="A486">
        <v>116</v>
      </c>
      <c r="B486" t="s">
        <v>568</v>
      </c>
      <c r="C486" s="452">
        <v>46059</v>
      </c>
      <c r="D486" t="s">
        <v>3368</v>
      </c>
      <c r="E486" t="s">
        <v>3362</v>
      </c>
      <c r="F486">
        <v>8801</v>
      </c>
      <c r="G486">
        <v>12.8</v>
      </c>
      <c r="H486">
        <v>8788.2000000000007</v>
      </c>
    </row>
    <row r="487" spans="1:8" x14ac:dyDescent="0.3">
      <c r="A487">
        <v>116</v>
      </c>
      <c r="B487" t="s">
        <v>568</v>
      </c>
      <c r="C487" s="452">
        <v>46059</v>
      </c>
      <c r="D487" t="s">
        <v>3368</v>
      </c>
      <c r="E487" t="s">
        <v>20</v>
      </c>
      <c r="F487">
        <v>16</v>
      </c>
      <c r="G487">
        <v>0</v>
      </c>
      <c r="H487">
        <v>16</v>
      </c>
    </row>
    <row r="488" spans="1:8" x14ac:dyDescent="0.3">
      <c r="A488">
        <v>116</v>
      </c>
      <c r="B488" t="s">
        <v>568</v>
      </c>
      <c r="C488" s="452">
        <v>46059</v>
      </c>
      <c r="D488" t="s">
        <v>3368</v>
      </c>
      <c r="E488" t="s">
        <v>22</v>
      </c>
      <c r="F488">
        <v>2519.4699999999998</v>
      </c>
      <c r="G488">
        <v>0</v>
      </c>
      <c r="H488">
        <v>2519.4699999999998</v>
      </c>
    </row>
    <row r="489" spans="1:8" x14ac:dyDescent="0.3">
      <c r="A489">
        <v>116</v>
      </c>
      <c r="B489" t="s">
        <v>568</v>
      </c>
      <c r="C489" s="452">
        <v>46058</v>
      </c>
      <c r="D489" t="s">
        <v>3368</v>
      </c>
      <c r="E489" t="s">
        <v>3362</v>
      </c>
      <c r="F489">
        <v>6016.5</v>
      </c>
      <c r="G489">
        <v>97.92</v>
      </c>
      <c r="H489">
        <v>5918.58</v>
      </c>
    </row>
    <row r="490" spans="1:8" x14ac:dyDescent="0.3">
      <c r="A490">
        <v>116</v>
      </c>
      <c r="B490" t="s">
        <v>568</v>
      </c>
      <c r="C490" s="452">
        <v>46058</v>
      </c>
      <c r="D490" t="s">
        <v>3368</v>
      </c>
      <c r="E490" t="s">
        <v>3361</v>
      </c>
      <c r="F490">
        <v>6081.3</v>
      </c>
      <c r="G490">
        <v>18.27</v>
      </c>
      <c r="H490">
        <v>6063.03</v>
      </c>
    </row>
    <row r="491" spans="1:8" x14ac:dyDescent="0.3">
      <c r="A491">
        <v>116</v>
      </c>
      <c r="B491" t="s">
        <v>568</v>
      </c>
      <c r="C491" s="452">
        <v>46058</v>
      </c>
      <c r="D491" t="s">
        <v>3368</v>
      </c>
      <c r="E491" t="s">
        <v>20</v>
      </c>
      <c r="F491">
        <v>32</v>
      </c>
      <c r="G491">
        <v>0</v>
      </c>
      <c r="H491">
        <v>32</v>
      </c>
    </row>
    <row r="492" spans="1:8" x14ac:dyDescent="0.3">
      <c r="A492">
        <v>116</v>
      </c>
      <c r="B492" t="s">
        <v>568</v>
      </c>
      <c r="C492" s="452">
        <v>46058</v>
      </c>
      <c r="D492" t="s">
        <v>3368</v>
      </c>
      <c r="E492" t="s">
        <v>22</v>
      </c>
      <c r="F492">
        <v>1463.03</v>
      </c>
      <c r="G492">
        <v>0</v>
      </c>
      <c r="H492">
        <v>1463.03</v>
      </c>
    </row>
    <row r="493" spans="1:8" x14ac:dyDescent="0.3">
      <c r="A493">
        <v>116</v>
      </c>
      <c r="B493" t="s">
        <v>568</v>
      </c>
      <c r="C493" s="452">
        <v>46057</v>
      </c>
      <c r="D493" t="s">
        <v>3368</v>
      </c>
      <c r="E493" t="s">
        <v>3361</v>
      </c>
      <c r="F493">
        <v>4275</v>
      </c>
      <c r="G493">
        <v>98.89</v>
      </c>
      <c r="H493">
        <v>4176.1099999999997</v>
      </c>
    </row>
    <row r="494" spans="1:8" x14ac:dyDescent="0.3">
      <c r="A494">
        <v>116</v>
      </c>
      <c r="B494" t="s">
        <v>568</v>
      </c>
      <c r="C494" s="452">
        <v>46057</v>
      </c>
      <c r="D494" t="s">
        <v>3368</v>
      </c>
      <c r="E494" t="s">
        <v>3362</v>
      </c>
      <c r="F494">
        <v>4231</v>
      </c>
      <c r="G494">
        <v>221.03</v>
      </c>
      <c r="H494">
        <v>4009.97</v>
      </c>
    </row>
    <row r="495" spans="1:8" x14ac:dyDescent="0.3">
      <c r="A495">
        <v>116</v>
      </c>
      <c r="B495" t="s">
        <v>568</v>
      </c>
      <c r="C495" s="452">
        <v>46057</v>
      </c>
      <c r="D495" t="s">
        <v>3368</v>
      </c>
      <c r="E495" t="s">
        <v>22</v>
      </c>
      <c r="F495">
        <v>1086.48</v>
      </c>
      <c r="G495">
        <v>0</v>
      </c>
      <c r="H495">
        <v>1086.48</v>
      </c>
    </row>
    <row r="496" spans="1:8" x14ac:dyDescent="0.3">
      <c r="A496">
        <v>116</v>
      </c>
      <c r="B496" t="s">
        <v>568</v>
      </c>
      <c r="C496" s="452">
        <v>46056</v>
      </c>
      <c r="D496" t="s">
        <v>3368</v>
      </c>
      <c r="E496" t="s">
        <v>3362</v>
      </c>
      <c r="F496">
        <v>4605.5</v>
      </c>
      <c r="G496">
        <v>86.97</v>
      </c>
      <c r="H496">
        <v>4518.53</v>
      </c>
    </row>
    <row r="497" spans="1:8" x14ac:dyDescent="0.3">
      <c r="A497">
        <v>116</v>
      </c>
      <c r="B497" t="s">
        <v>568</v>
      </c>
      <c r="C497" s="452">
        <v>46056</v>
      </c>
      <c r="D497" t="s">
        <v>3368</v>
      </c>
      <c r="E497" t="s">
        <v>3361</v>
      </c>
      <c r="F497">
        <v>5290.7</v>
      </c>
      <c r="G497">
        <v>5.93</v>
      </c>
      <c r="H497">
        <v>5284.77</v>
      </c>
    </row>
    <row r="498" spans="1:8" x14ac:dyDescent="0.3">
      <c r="A498">
        <v>116</v>
      </c>
      <c r="B498" t="s">
        <v>568</v>
      </c>
      <c r="C498" s="452">
        <v>46056</v>
      </c>
      <c r="D498" t="s">
        <v>3368</v>
      </c>
      <c r="E498" t="s">
        <v>20</v>
      </c>
      <c r="F498">
        <v>262</v>
      </c>
      <c r="G498">
        <v>0</v>
      </c>
      <c r="H498">
        <v>262</v>
      </c>
    </row>
    <row r="499" spans="1:8" x14ac:dyDescent="0.3">
      <c r="A499">
        <v>116</v>
      </c>
      <c r="B499" t="s">
        <v>568</v>
      </c>
      <c r="C499" s="452">
        <v>46056</v>
      </c>
      <c r="D499" t="s">
        <v>3368</v>
      </c>
      <c r="E499" t="s">
        <v>22</v>
      </c>
      <c r="F499">
        <v>1284.2</v>
      </c>
      <c r="G499">
        <v>0</v>
      </c>
      <c r="H499">
        <v>1284.2</v>
      </c>
    </row>
    <row r="500" spans="1:8" x14ac:dyDescent="0.3">
      <c r="A500">
        <v>116</v>
      </c>
      <c r="B500" t="s">
        <v>568</v>
      </c>
      <c r="C500" s="452">
        <v>46055</v>
      </c>
      <c r="D500" t="s">
        <v>3368</v>
      </c>
      <c r="E500" t="s">
        <v>3361</v>
      </c>
      <c r="F500">
        <v>2624.2</v>
      </c>
      <c r="G500">
        <v>171.32</v>
      </c>
      <c r="H500">
        <v>2452.88</v>
      </c>
    </row>
    <row r="501" spans="1:8" x14ac:dyDescent="0.3">
      <c r="A501">
        <v>116</v>
      </c>
      <c r="B501" t="s">
        <v>568</v>
      </c>
      <c r="C501" s="452">
        <v>46055</v>
      </c>
      <c r="D501" t="s">
        <v>3368</v>
      </c>
      <c r="E501" t="s">
        <v>3362</v>
      </c>
      <c r="F501">
        <v>3947.7</v>
      </c>
      <c r="G501">
        <v>596.23</v>
      </c>
      <c r="H501">
        <v>3351.47</v>
      </c>
    </row>
    <row r="502" spans="1:8" x14ac:dyDescent="0.3">
      <c r="A502">
        <v>116</v>
      </c>
      <c r="B502" t="s">
        <v>568</v>
      </c>
      <c r="C502" s="452">
        <v>46055</v>
      </c>
      <c r="D502" t="s">
        <v>3368</v>
      </c>
      <c r="E502" t="s">
        <v>22</v>
      </c>
      <c r="F502">
        <v>850.46</v>
      </c>
      <c r="G502">
        <v>0</v>
      </c>
      <c r="H502">
        <v>850.46</v>
      </c>
    </row>
    <row r="503" spans="1:8" x14ac:dyDescent="0.3">
      <c r="A503">
        <v>116</v>
      </c>
      <c r="B503" t="s">
        <v>568</v>
      </c>
      <c r="C503" s="452">
        <v>46055</v>
      </c>
      <c r="D503" t="s">
        <v>3368</v>
      </c>
      <c r="E503" t="s">
        <v>20</v>
      </c>
      <c r="F503">
        <v>75</v>
      </c>
      <c r="G503">
        <v>0</v>
      </c>
      <c r="H503">
        <v>75</v>
      </c>
    </row>
    <row r="504" spans="1:8" x14ac:dyDescent="0.3">
      <c r="A504">
        <v>116</v>
      </c>
      <c r="B504" t="s">
        <v>568</v>
      </c>
      <c r="C504" s="452">
        <v>46053</v>
      </c>
      <c r="D504" t="s">
        <v>3369</v>
      </c>
      <c r="E504" t="s">
        <v>3361</v>
      </c>
      <c r="F504">
        <v>10519.5</v>
      </c>
      <c r="G504">
        <v>0</v>
      </c>
      <c r="H504">
        <v>10519.5</v>
      </c>
    </row>
    <row r="505" spans="1:8" x14ac:dyDescent="0.3">
      <c r="A505">
        <v>116</v>
      </c>
      <c r="B505" t="s">
        <v>568</v>
      </c>
      <c r="C505" s="452">
        <v>46053</v>
      </c>
      <c r="D505" t="s">
        <v>3369</v>
      </c>
      <c r="E505" t="s">
        <v>3362</v>
      </c>
      <c r="F505">
        <v>8279</v>
      </c>
      <c r="G505">
        <v>0</v>
      </c>
      <c r="H505">
        <v>8279</v>
      </c>
    </row>
    <row r="506" spans="1:8" x14ac:dyDescent="0.3">
      <c r="A506">
        <v>116</v>
      </c>
      <c r="B506" t="s">
        <v>568</v>
      </c>
      <c r="C506" s="452">
        <v>46053</v>
      </c>
      <c r="D506" t="s">
        <v>3369</v>
      </c>
      <c r="E506" t="s">
        <v>20</v>
      </c>
      <c r="F506">
        <v>485</v>
      </c>
      <c r="G506">
        <v>0</v>
      </c>
      <c r="H506">
        <v>485</v>
      </c>
    </row>
    <row r="507" spans="1:8" x14ac:dyDescent="0.3">
      <c r="A507">
        <v>116</v>
      </c>
      <c r="B507" t="s">
        <v>568</v>
      </c>
      <c r="C507" s="452">
        <v>46053</v>
      </c>
      <c r="D507" t="s">
        <v>3369</v>
      </c>
      <c r="E507" t="s">
        <v>22</v>
      </c>
      <c r="F507">
        <v>2486.88</v>
      </c>
      <c r="G507">
        <v>0</v>
      </c>
      <c r="H507">
        <v>2486.88</v>
      </c>
    </row>
    <row r="508" spans="1:8" x14ac:dyDescent="0.3">
      <c r="A508">
        <v>116</v>
      </c>
      <c r="B508" t="s">
        <v>568</v>
      </c>
      <c r="C508" s="452">
        <v>46053</v>
      </c>
      <c r="D508" t="s">
        <v>3369</v>
      </c>
      <c r="E508" t="s">
        <v>3363</v>
      </c>
      <c r="F508">
        <v>420</v>
      </c>
      <c r="G508">
        <v>0</v>
      </c>
      <c r="H508">
        <v>420</v>
      </c>
    </row>
    <row r="509" spans="1:8" x14ac:dyDescent="0.3">
      <c r="A509">
        <v>116</v>
      </c>
      <c r="B509" t="s">
        <v>568</v>
      </c>
      <c r="C509" s="452">
        <v>46052</v>
      </c>
      <c r="D509" t="s">
        <v>3369</v>
      </c>
      <c r="E509" t="s">
        <v>3361</v>
      </c>
      <c r="F509">
        <v>9124.1</v>
      </c>
      <c r="G509">
        <v>61.27</v>
      </c>
      <c r="H509">
        <v>9062.83</v>
      </c>
    </row>
    <row r="510" spans="1:8" x14ac:dyDescent="0.3">
      <c r="A510">
        <v>116</v>
      </c>
      <c r="B510" t="s">
        <v>568</v>
      </c>
      <c r="C510" s="452">
        <v>46052</v>
      </c>
      <c r="D510" t="s">
        <v>3369</v>
      </c>
      <c r="E510" t="s">
        <v>3362</v>
      </c>
      <c r="F510">
        <v>5604.5</v>
      </c>
      <c r="G510">
        <v>121.62</v>
      </c>
      <c r="H510">
        <v>5482.88</v>
      </c>
    </row>
    <row r="511" spans="1:8" x14ac:dyDescent="0.3">
      <c r="A511">
        <v>116</v>
      </c>
      <c r="B511" t="s">
        <v>568</v>
      </c>
      <c r="C511" s="452">
        <v>46052</v>
      </c>
      <c r="D511" t="s">
        <v>3369</v>
      </c>
      <c r="E511" t="s">
        <v>20</v>
      </c>
      <c r="F511">
        <v>196</v>
      </c>
      <c r="G511">
        <v>0</v>
      </c>
      <c r="H511">
        <v>196</v>
      </c>
    </row>
    <row r="512" spans="1:8" x14ac:dyDescent="0.3">
      <c r="A512">
        <v>116</v>
      </c>
      <c r="B512" t="s">
        <v>568</v>
      </c>
      <c r="C512" s="452">
        <v>46052</v>
      </c>
      <c r="D512" t="s">
        <v>3369</v>
      </c>
      <c r="E512" t="s">
        <v>22</v>
      </c>
      <c r="F512">
        <v>1887.27</v>
      </c>
      <c r="G512">
        <v>0</v>
      </c>
      <c r="H512">
        <v>1887.27</v>
      </c>
    </row>
    <row r="513" spans="1:8" x14ac:dyDescent="0.3">
      <c r="A513">
        <v>116</v>
      </c>
      <c r="B513" t="s">
        <v>568</v>
      </c>
      <c r="C513" s="452">
        <v>46051</v>
      </c>
      <c r="D513" t="s">
        <v>3369</v>
      </c>
      <c r="E513" t="s">
        <v>3361</v>
      </c>
      <c r="F513">
        <v>7210.2</v>
      </c>
      <c r="G513">
        <v>65.55</v>
      </c>
      <c r="H513">
        <v>7144.65</v>
      </c>
    </row>
    <row r="514" spans="1:8" x14ac:dyDescent="0.3">
      <c r="A514">
        <v>116</v>
      </c>
      <c r="B514" t="s">
        <v>568</v>
      </c>
      <c r="C514" s="452">
        <v>46051</v>
      </c>
      <c r="D514" t="s">
        <v>3369</v>
      </c>
      <c r="E514" t="s">
        <v>3362</v>
      </c>
      <c r="F514">
        <v>4606</v>
      </c>
      <c r="G514">
        <v>256.04000000000002</v>
      </c>
      <c r="H514">
        <v>4349.96</v>
      </c>
    </row>
    <row r="515" spans="1:8" x14ac:dyDescent="0.3">
      <c r="A515">
        <v>116</v>
      </c>
      <c r="B515" t="s">
        <v>568</v>
      </c>
      <c r="C515" s="452">
        <v>46051</v>
      </c>
      <c r="D515" t="s">
        <v>3369</v>
      </c>
      <c r="E515" t="s">
        <v>20</v>
      </c>
      <c r="F515">
        <v>32</v>
      </c>
      <c r="G515">
        <v>0</v>
      </c>
      <c r="H515">
        <v>32</v>
      </c>
    </row>
    <row r="516" spans="1:8" x14ac:dyDescent="0.3">
      <c r="A516">
        <v>116</v>
      </c>
      <c r="B516" t="s">
        <v>568</v>
      </c>
      <c r="C516" s="452">
        <v>46051</v>
      </c>
      <c r="D516" t="s">
        <v>3369</v>
      </c>
      <c r="E516" t="s">
        <v>22</v>
      </c>
      <c r="F516">
        <v>1505.25</v>
      </c>
      <c r="G516">
        <v>0</v>
      </c>
      <c r="H516">
        <v>1505.25</v>
      </c>
    </row>
    <row r="517" spans="1:8" x14ac:dyDescent="0.3">
      <c r="A517">
        <v>116</v>
      </c>
      <c r="B517" t="s">
        <v>568</v>
      </c>
      <c r="C517" s="452">
        <v>46050</v>
      </c>
      <c r="D517" t="s">
        <v>3369</v>
      </c>
      <c r="E517" t="s">
        <v>3361</v>
      </c>
      <c r="F517">
        <v>6422.2</v>
      </c>
      <c r="G517">
        <v>2.4</v>
      </c>
      <c r="H517">
        <v>6419.8</v>
      </c>
    </row>
    <row r="518" spans="1:8" x14ac:dyDescent="0.3">
      <c r="A518">
        <v>116</v>
      </c>
      <c r="B518" t="s">
        <v>568</v>
      </c>
      <c r="C518" s="452">
        <v>46050</v>
      </c>
      <c r="D518" t="s">
        <v>3369</v>
      </c>
      <c r="E518" t="s">
        <v>3362</v>
      </c>
      <c r="F518">
        <v>3679</v>
      </c>
      <c r="G518">
        <v>122.2</v>
      </c>
      <c r="H518">
        <v>3556.8</v>
      </c>
    </row>
    <row r="519" spans="1:8" x14ac:dyDescent="0.3">
      <c r="A519">
        <v>116</v>
      </c>
      <c r="B519" t="s">
        <v>568</v>
      </c>
      <c r="C519" s="452">
        <v>46050</v>
      </c>
      <c r="D519" t="s">
        <v>3369</v>
      </c>
      <c r="E519" t="s">
        <v>22</v>
      </c>
      <c r="F519">
        <v>1302.3900000000001</v>
      </c>
      <c r="G519">
        <v>0</v>
      </c>
      <c r="H519">
        <v>1302.3900000000001</v>
      </c>
    </row>
    <row r="520" spans="1:8" x14ac:dyDescent="0.3">
      <c r="A520">
        <v>116</v>
      </c>
      <c r="B520" t="s">
        <v>568</v>
      </c>
      <c r="C520" s="452">
        <v>46049</v>
      </c>
      <c r="D520" t="s">
        <v>3369</v>
      </c>
      <c r="E520" t="s">
        <v>3361</v>
      </c>
      <c r="F520">
        <v>5526.5</v>
      </c>
      <c r="G520">
        <v>53.7</v>
      </c>
      <c r="H520">
        <v>5472.8</v>
      </c>
    </row>
    <row r="521" spans="1:8" x14ac:dyDescent="0.3">
      <c r="A521">
        <v>116</v>
      </c>
      <c r="B521" t="s">
        <v>568</v>
      </c>
      <c r="C521" s="452">
        <v>46049</v>
      </c>
      <c r="D521" t="s">
        <v>3369</v>
      </c>
      <c r="E521" t="s">
        <v>3362</v>
      </c>
      <c r="F521">
        <v>5271</v>
      </c>
      <c r="G521">
        <v>313.92</v>
      </c>
      <c r="H521">
        <v>4957.08</v>
      </c>
    </row>
    <row r="522" spans="1:8" x14ac:dyDescent="0.3">
      <c r="A522">
        <v>116</v>
      </c>
      <c r="B522" t="s">
        <v>568</v>
      </c>
      <c r="C522" s="452">
        <v>46049</v>
      </c>
      <c r="D522" t="s">
        <v>3369</v>
      </c>
      <c r="E522" t="s">
        <v>22</v>
      </c>
      <c r="F522">
        <v>1399.71</v>
      </c>
      <c r="G522">
        <v>0</v>
      </c>
      <c r="H522">
        <v>1399.71</v>
      </c>
    </row>
    <row r="523" spans="1:8" x14ac:dyDescent="0.3">
      <c r="A523">
        <v>116</v>
      </c>
      <c r="B523" t="s">
        <v>568</v>
      </c>
      <c r="C523" s="452">
        <v>46049</v>
      </c>
      <c r="D523" t="s">
        <v>3369</v>
      </c>
      <c r="E523" t="s">
        <v>20</v>
      </c>
      <c r="F523">
        <v>75</v>
      </c>
      <c r="G523">
        <v>0</v>
      </c>
      <c r="H523">
        <v>75</v>
      </c>
    </row>
    <row r="524" spans="1:8" x14ac:dyDescent="0.3">
      <c r="A524">
        <v>116</v>
      </c>
      <c r="B524" t="s">
        <v>568</v>
      </c>
      <c r="C524" s="452">
        <v>46048</v>
      </c>
      <c r="D524" t="s">
        <v>3369</v>
      </c>
      <c r="E524" t="s">
        <v>3361</v>
      </c>
      <c r="F524">
        <v>3204.4</v>
      </c>
      <c r="G524">
        <v>41.77</v>
      </c>
      <c r="H524">
        <v>3162.63</v>
      </c>
    </row>
    <row r="525" spans="1:8" x14ac:dyDescent="0.3">
      <c r="A525">
        <v>116</v>
      </c>
      <c r="B525" t="s">
        <v>568</v>
      </c>
      <c r="C525" s="452">
        <v>46048</v>
      </c>
      <c r="D525" t="s">
        <v>3369</v>
      </c>
      <c r="E525" t="s">
        <v>3362</v>
      </c>
      <c r="F525">
        <v>2995.5</v>
      </c>
      <c r="G525">
        <v>118.45</v>
      </c>
      <c r="H525">
        <v>2877.05</v>
      </c>
    </row>
    <row r="526" spans="1:8" x14ac:dyDescent="0.3">
      <c r="A526">
        <v>116</v>
      </c>
      <c r="B526" t="s">
        <v>568</v>
      </c>
      <c r="C526" s="452">
        <v>46048</v>
      </c>
      <c r="D526" t="s">
        <v>3369</v>
      </c>
      <c r="E526" t="s">
        <v>22</v>
      </c>
      <c r="F526">
        <v>779.96</v>
      </c>
      <c r="G526">
        <v>0</v>
      </c>
      <c r="H526">
        <v>779.96</v>
      </c>
    </row>
    <row r="527" spans="1:8" x14ac:dyDescent="0.3">
      <c r="A527">
        <v>116</v>
      </c>
      <c r="B527" t="s">
        <v>568</v>
      </c>
      <c r="C527" s="452">
        <v>46046</v>
      </c>
      <c r="D527" t="s">
        <v>3369</v>
      </c>
      <c r="E527" t="s">
        <v>3361</v>
      </c>
      <c r="F527">
        <v>9822</v>
      </c>
      <c r="G527">
        <v>138.43</v>
      </c>
      <c r="H527">
        <v>9683.57</v>
      </c>
    </row>
    <row r="528" spans="1:8" x14ac:dyDescent="0.3">
      <c r="A528">
        <v>116</v>
      </c>
      <c r="B528" t="s">
        <v>568</v>
      </c>
      <c r="C528" s="452">
        <v>46046</v>
      </c>
      <c r="D528" t="s">
        <v>3369</v>
      </c>
      <c r="E528" t="s">
        <v>3362</v>
      </c>
      <c r="F528">
        <v>8839.5</v>
      </c>
      <c r="G528">
        <v>109.6</v>
      </c>
      <c r="H528">
        <v>8729.9</v>
      </c>
    </row>
    <row r="529" spans="1:8" x14ac:dyDescent="0.3">
      <c r="A529">
        <v>116</v>
      </c>
      <c r="B529" t="s">
        <v>568</v>
      </c>
      <c r="C529" s="452">
        <v>46046</v>
      </c>
      <c r="D529" t="s">
        <v>3369</v>
      </c>
      <c r="E529" t="s">
        <v>20</v>
      </c>
      <c r="F529">
        <v>439</v>
      </c>
      <c r="G529">
        <v>0</v>
      </c>
      <c r="H529">
        <v>439</v>
      </c>
    </row>
    <row r="530" spans="1:8" x14ac:dyDescent="0.3">
      <c r="A530">
        <v>116</v>
      </c>
      <c r="B530" t="s">
        <v>568</v>
      </c>
      <c r="C530" s="452">
        <v>46046</v>
      </c>
      <c r="D530" t="s">
        <v>3369</v>
      </c>
      <c r="E530" t="s">
        <v>22</v>
      </c>
      <c r="F530">
        <v>2500.5100000000002</v>
      </c>
      <c r="G530">
        <v>0</v>
      </c>
      <c r="H530">
        <v>2500.5100000000002</v>
      </c>
    </row>
    <row r="531" spans="1:8" x14ac:dyDescent="0.3">
      <c r="A531">
        <v>116</v>
      </c>
      <c r="B531" t="s">
        <v>568</v>
      </c>
      <c r="C531" s="452">
        <v>46046</v>
      </c>
      <c r="D531" t="s">
        <v>3369</v>
      </c>
      <c r="E531" t="s">
        <v>3363</v>
      </c>
      <c r="F531">
        <v>540</v>
      </c>
      <c r="G531">
        <v>0</v>
      </c>
      <c r="H531">
        <v>540</v>
      </c>
    </row>
    <row r="532" spans="1:8" x14ac:dyDescent="0.3">
      <c r="A532">
        <v>116</v>
      </c>
      <c r="B532" t="s">
        <v>568</v>
      </c>
      <c r="C532" s="452">
        <v>46045</v>
      </c>
      <c r="D532" t="s">
        <v>3369</v>
      </c>
      <c r="E532" t="s">
        <v>3361</v>
      </c>
      <c r="F532">
        <v>11239.1</v>
      </c>
      <c r="G532">
        <v>108.48</v>
      </c>
      <c r="H532">
        <v>11130.62</v>
      </c>
    </row>
    <row r="533" spans="1:8" x14ac:dyDescent="0.3">
      <c r="A533">
        <v>116</v>
      </c>
      <c r="B533" t="s">
        <v>568</v>
      </c>
      <c r="C533" s="452">
        <v>46045</v>
      </c>
      <c r="D533" t="s">
        <v>3369</v>
      </c>
      <c r="E533" t="s">
        <v>3362</v>
      </c>
      <c r="F533">
        <v>8443.5</v>
      </c>
      <c r="G533">
        <v>75.05</v>
      </c>
      <c r="H533">
        <v>8368.4500000000007</v>
      </c>
    </row>
    <row r="534" spans="1:8" x14ac:dyDescent="0.3">
      <c r="A534">
        <v>116</v>
      </c>
      <c r="B534" t="s">
        <v>568</v>
      </c>
      <c r="C534" s="452">
        <v>46045</v>
      </c>
      <c r="D534" t="s">
        <v>3369</v>
      </c>
      <c r="E534" t="s">
        <v>20</v>
      </c>
      <c r="F534">
        <v>147</v>
      </c>
      <c r="G534">
        <v>0</v>
      </c>
      <c r="H534">
        <v>147</v>
      </c>
    </row>
    <row r="535" spans="1:8" x14ac:dyDescent="0.3">
      <c r="A535">
        <v>116</v>
      </c>
      <c r="B535" t="s">
        <v>568</v>
      </c>
      <c r="C535" s="452">
        <v>46045</v>
      </c>
      <c r="D535" t="s">
        <v>3369</v>
      </c>
      <c r="E535" t="s">
        <v>22</v>
      </c>
      <c r="F535">
        <v>2560.08</v>
      </c>
      <c r="G535">
        <v>0</v>
      </c>
      <c r="H535">
        <v>2560.08</v>
      </c>
    </row>
    <row r="536" spans="1:8" x14ac:dyDescent="0.3">
      <c r="A536">
        <v>116</v>
      </c>
      <c r="B536" t="s">
        <v>568</v>
      </c>
      <c r="C536" s="452">
        <v>46044</v>
      </c>
      <c r="D536" t="s">
        <v>3369</v>
      </c>
      <c r="E536" t="s">
        <v>3361</v>
      </c>
      <c r="F536">
        <v>3252.1</v>
      </c>
      <c r="G536">
        <v>118.96</v>
      </c>
      <c r="H536">
        <v>3133.14</v>
      </c>
    </row>
    <row r="537" spans="1:8" x14ac:dyDescent="0.3">
      <c r="A537">
        <v>116</v>
      </c>
      <c r="B537" t="s">
        <v>568</v>
      </c>
      <c r="C537" s="452">
        <v>46044</v>
      </c>
      <c r="D537" t="s">
        <v>3369</v>
      </c>
      <c r="E537" t="s">
        <v>3362</v>
      </c>
      <c r="F537">
        <v>3920</v>
      </c>
      <c r="G537">
        <v>294.83</v>
      </c>
      <c r="H537">
        <v>3625.17</v>
      </c>
    </row>
    <row r="538" spans="1:8" x14ac:dyDescent="0.3">
      <c r="A538">
        <v>116</v>
      </c>
      <c r="B538" t="s">
        <v>568</v>
      </c>
      <c r="C538" s="452">
        <v>46044</v>
      </c>
      <c r="D538" t="s">
        <v>3369</v>
      </c>
      <c r="E538" t="s">
        <v>22</v>
      </c>
      <c r="F538">
        <v>926.29</v>
      </c>
      <c r="G538">
        <v>0</v>
      </c>
      <c r="H538">
        <v>926.29</v>
      </c>
    </row>
    <row r="539" spans="1:8" x14ac:dyDescent="0.3">
      <c r="A539">
        <v>116</v>
      </c>
      <c r="B539" t="s">
        <v>568</v>
      </c>
      <c r="C539" s="452">
        <v>46043</v>
      </c>
      <c r="D539" t="s">
        <v>3369</v>
      </c>
      <c r="E539" t="s">
        <v>3361</v>
      </c>
      <c r="F539">
        <v>5435.1</v>
      </c>
      <c r="G539">
        <v>28.77</v>
      </c>
      <c r="H539">
        <v>5406.33</v>
      </c>
    </row>
    <row r="540" spans="1:8" x14ac:dyDescent="0.3">
      <c r="A540">
        <v>116</v>
      </c>
      <c r="B540" t="s">
        <v>568</v>
      </c>
      <c r="C540" s="452">
        <v>46043</v>
      </c>
      <c r="D540" t="s">
        <v>3369</v>
      </c>
      <c r="E540" t="s">
        <v>3362</v>
      </c>
      <c r="F540">
        <v>5884</v>
      </c>
      <c r="G540">
        <v>187.3</v>
      </c>
      <c r="H540">
        <v>5696.7</v>
      </c>
    </row>
    <row r="541" spans="1:8" x14ac:dyDescent="0.3">
      <c r="A541">
        <v>116</v>
      </c>
      <c r="B541" t="s">
        <v>568</v>
      </c>
      <c r="C541" s="452">
        <v>46043</v>
      </c>
      <c r="D541" t="s">
        <v>3369</v>
      </c>
      <c r="E541" t="s">
        <v>22</v>
      </c>
      <c r="F541">
        <v>1424.74</v>
      </c>
      <c r="G541">
        <v>0</v>
      </c>
      <c r="H541">
        <v>1424.74</v>
      </c>
    </row>
    <row r="542" spans="1:8" x14ac:dyDescent="0.3">
      <c r="A542">
        <v>116</v>
      </c>
      <c r="B542" t="s">
        <v>568</v>
      </c>
      <c r="C542" s="452">
        <v>46042</v>
      </c>
      <c r="D542" t="s">
        <v>3369</v>
      </c>
      <c r="E542" t="s">
        <v>3362</v>
      </c>
      <c r="F542">
        <v>3269</v>
      </c>
      <c r="G542">
        <v>791.6</v>
      </c>
      <c r="H542">
        <v>2477.4</v>
      </c>
    </row>
    <row r="543" spans="1:8" x14ac:dyDescent="0.3">
      <c r="A543">
        <v>116</v>
      </c>
      <c r="B543" t="s">
        <v>568</v>
      </c>
      <c r="C543" s="452">
        <v>46042</v>
      </c>
      <c r="D543" t="s">
        <v>3369</v>
      </c>
      <c r="E543" t="s">
        <v>3361</v>
      </c>
      <c r="F543">
        <v>4190.7</v>
      </c>
      <c r="G543">
        <v>98.9</v>
      </c>
      <c r="H543">
        <v>4091.8</v>
      </c>
    </row>
    <row r="544" spans="1:8" x14ac:dyDescent="0.3">
      <c r="A544">
        <v>116</v>
      </c>
      <c r="B544" t="s">
        <v>568</v>
      </c>
      <c r="C544" s="452">
        <v>46042</v>
      </c>
      <c r="D544" t="s">
        <v>3369</v>
      </c>
      <c r="E544" t="s">
        <v>22</v>
      </c>
      <c r="F544">
        <v>863.96</v>
      </c>
      <c r="G544">
        <v>0</v>
      </c>
      <c r="H544">
        <v>863.96</v>
      </c>
    </row>
    <row r="545" spans="1:8" x14ac:dyDescent="0.3">
      <c r="A545">
        <v>116</v>
      </c>
      <c r="B545" t="s">
        <v>568</v>
      </c>
      <c r="C545" s="452">
        <v>46039</v>
      </c>
      <c r="D545" t="s">
        <v>3369</v>
      </c>
      <c r="E545" t="s">
        <v>3361</v>
      </c>
      <c r="F545">
        <v>15642.8</v>
      </c>
      <c r="G545">
        <v>29.2</v>
      </c>
      <c r="H545">
        <v>15613.6</v>
      </c>
    </row>
    <row r="546" spans="1:8" x14ac:dyDescent="0.3">
      <c r="A546">
        <v>116</v>
      </c>
      <c r="B546" t="s">
        <v>568</v>
      </c>
      <c r="C546" s="452">
        <v>46039</v>
      </c>
      <c r="D546" t="s">
        <v>3369</v>
      </c>
      <c r="E546" t="s">
        <v>3362</v>
      </c>
      <c r="F546">
        <v>10842.5</v>
      </c>
      <c r="G546">
        <v>198.34</v>
      </c>
      <c r="H546">
        <v>10644.16</v>
      </c>
    </row>
    <row r="547" spans="1:8" x14ac:dyDescent="0.3">
      <c r="A547">
        <v>116</v>
      </c>
      <c r="B547" t="s">
        <v>568</v>
      </c>
      <c r="C547" s="452">
        <v>46039</v>
      </c>
      <c r="D547" t="s">
        <v>3369</v>
      </c>
      <c r="E547" t="s">
        <v>20</v>
      </c>
      <c r="F547">
        <v>784</v>
      </c>
      <c r="G547">
        <v>0</v>
      </c>
      <c r="H547">
        <v>784</v>
      </c>
    </row>
    <row r="548" spans="1:8" x14ac:dyDescent="0.3">
      <c r="A548">
        <v>116</v>
      </c>
      <c r="B548" t="s">
        <v>568</v>
      </c>
      <c r="C548" s="452">
        <v>46039</v>
      </c>
      <c r="D548" t="s">
        <v>3369</v>
      </c>
      <c r="E548" t="s">
        <v>22</v>
      </c>
      <c r="F548">
        <v>3580.74</v>
      </c>
      <c r="G548">
        <v>0</v>
      </c>
      <c r="H548">
        <v>3580.74</v>
      </c>
    </row>
    <row r="549" spans="1:8" x14ac:dyDescent="0.3">
      <c r="A549">
        <v>116</v>
      </c>
      <c r="B549" t="s">
        <v>568</v>
      </c>
      <c r="C549" s="452">
        <v>46039</v>
      </c>
      <c r="D549" t="s">
        <v>3369</v>
      </c>
      <c r="E549" t="s">
        <v>3363</v>
      </c>
      <c r="F549">
        <v>855</v>
      </c>
      <c r="G549">
        <v>0</v>
      </c>
      <c r="H549">
        <v>855</v>
      </c>
    </row>
    <row r="550" spans="1:8" x14ac:dyDescent="0.3">
      <c r="A550">
        <v>116</v>
      </c>
      <c r="B550" t="s">
        <v>568</v>
      </c>
      <c r="C550" s="452">
        <v>46038</v>
      </c>
      <c r="D550" t="s">
        <v>3369</v>
      </c>
      <c r="E550" t="s">
        <v>3361</v>
      </c>
      <c r="F550">
        <v>8299.9</v>
      </c>
      <c r="G550">
        <v>97.38</v>
      </c>
      <c r="H550">
        <v>8202.52</v>
      </c>
    </row>
    <row r="551" spans="1:8" x14ac:dyDescent="0.3">
      <c r="A551">
        <v>116</v>
      </c>
      <c r="B551" t="s">
        <v>568</v>
      </c>
      <c r="C551" s="452">
        <v>46038</v>
      </c>
      <c r="D551" t="s">
        <v>3369</v>
      </c>
      <c r="E551" t="s">
        <v>3362</v>
      </c>
      <c r="F551">
        <v>8045</v>
      </c>
      <c r="G551">
        <v>247.2</v>
      </c>
      <c r="H551">
        <v>7797.8</v>
      </c>
    </row>
    <row r="552" spans="1:8" x14ac:dyDescent="0.3">
      <c r="A552">
        <v>116</v>
      </c>
      <c r="B552" t="s">
        <v>568</v>
      </c>
      <c r="C552" s="452">
        <v>46038</v>
      </c>
      <c r="D552" t="s">
        <v>3369</v>
      </c>
      <c r="E552" t="s">
        <v>20</v>
      </c>
      <c r="F552">
        <v>442</v>
      </c>
      <c r="G552">
        <v>0</v>
      </c>
      <c r="H552">
        <v>442</v>
      </c>
    </row>
    <row r="553" spans="1:8" x14ac:dyDescent="0.3">
      <c r="A553">
        <v>116</v>
      </c>
      <c r="B553" t="s">
        <v>568</v>
      </c>
      <c r="C553" s="452">
        <v>46038</v>
      </c>
      <c r="D553" t="s">
        <v>3369</v>
      </c>
      <c r="E553" t="s">
        <v>22</v>
      </c>
      <c r="F553">
        <v>2102.19</v>
      </c>
      <c r="G553">
        <v>0</v>
      </c>
      <c r="H553">
        <v>2102.19</v>
      </c>
    </row>
    <row r="554" spans="1:8" x14ac:dyDescent="0.3">
      <c r="A554">
        <v>116</v>
      </c>
      <c r="B554" t="s">
        <v>568</v>
      </c>
      <c r="C554" s="452">
        <v>46037</v>
      </c>
      <c r="D554" t="s">
        <v>3369</v>
      </c>
      <c r="E554" t="s">
        <v>3361</v>
      </c>
      <c r="F554">
        <v>5073.1000000000004</v>
      </c>
      <c r="G554">
        <v>23.04</v>
      </c>
      <c r="H554">
        <v>5050.0600000000004</v>
      </c>
    </row>
    <row r="555" spans="1:8" x14ac:dyDescent="0.3">
      <c r="A555">
        <v>116</v>
      </c>
      <c r="B555" t="s">
        <v>568</v>
      </c>
      <c r="C555" s="452">
        <v>46037</v>
      </c>
      <c r="D555" t="s">
        <v>3369</v>
      </c>
      <c r="E555" t="s">
        <v>3362</v>
      </c>
      <c r="F555">
        <v>4080</v>
      </c>
      <c r="G555">
        <v>188.48</v>
      </c>
      <c r="H555">
        <v>3891.52</v>
      </c>
    </row>
    <row r="556" spans="1:8" x14ac:dyDescent="0.3">
      <c r="A556">
        <v>116</v>
      </c>
      <c r="B556" t="s">
        <v>568</v>
      </c>
      <c r="C556" s="452">
        <v>46037</v>
      </c>
      <c r="D556" t="s">
        <v>3369</v>
      </c>
      <c r="E556" t="s">
        <v>22</v>
      </c>
      <c r="F556">
        <v>1177.8399999999999</v>
      </c>
      <c r="G556">
        <v>0</v>
      </c>
      <c r="H556">
        <v>1177.8399999999999</v>
      </c>
    </row>
    <row r="557" spans="1:8" x14ac:dyDescent="0.3">
      <c r="A557">
        <v>116</v>
      </c>
      <c r="B557" t="s">
        <v>568</v>
      </c>
      <c r="C557" s="452">
        <v>46037</v>
      </c>
      <c r="D557" t="s">
        <v>3369</v>
      </c>
      <c r="E557" t="s">
        <v>20</v>
      </c>
      <c r="F557">
        <v>300</v>
      </c>
      <c r="G557">
        <v>0</v>
      </c>
      <c r="H557">
        <v>300</v>
      </c>
    </row>
    <row r="558" spans="1:8" x14ac:dyDescent="0.3">
      <c r="A558">
        <v>116</v>
      </c>
      <c r="B558" t="s">
        <v>568</v>
      </c>
      <c r="C558" s="452">
        <v>46036</v>
      </c>
      <c r="D558" t="s">
        <v>3369</v>
      </c>
      <c r="E558" t="s">
        <v>3361</v>
      </c>
      <c r="F558">
        <v>5497.8</v>
      </c>
      <c r="G558">
        <v>37.58</v>
      </c>
      <c r="H558">
        <v>5460.22</v>
      </c>
    </row>
    <row r="559" spans="1:8" x14ac:dyDescent="0.3">
      <c r="A559">
        <v>116</v>
      </c>
      <c r="B559" t="s">
        <v>568</v>
      </c>
      <c r="C559" s="452">
        <v>46036</v>
      </c>
      <c r="D559" t="s">
        <v>3369</v>
      </c>
      <c r="E559" t="s">
        <v>3362</v>
      </c>
      <c r="F559">
        <v>5352</v>
      </c>
      <c r="G559">
        <v>137.59</v>
      </c>
      <c r="H559">
        <v>5214.41</v>
      </c>
    </row>
    <row r="560" spans="1:8" x14ac:dyDescent="0.3">
      <c r="A560">
        <v>116</v>
      </c>
      <c r="B560" t="s">
        <v>568</v>
      </c>
      <c r="C560" s="452">
        <v>46036</v>
      </c>
      <c r="D560" t="s">
        <v>3369</v>
      </c>
      <c r="E560" t="s">
        <v>20</v>
      </c>
      <c r="F560">
        <v>180</v>
      </c>
      <c r="G560">
        <v>0</v>
      </c>
      <c r="H560">
        <v>180</v>
      </c>
    </row>
    <row r="561" spans="1:8" x14ac:dyDescent="0.3">
      <c r="A561">
        <v>116</v>
      </c>
      <c r="B561" t="s">
        <v>568</v>
      </c>
      <c r="C561" s="452">
        <v>46036</v>
      </c>
      <c r="D561" t="s">
        <v>3369</v>
      </c>
      <c r="E561" t="s">
        <v>22</v>
      </c>
      <c r="F561">
        <v>1367.28</v>
      </c>
      <c r="G561">
        <v>0</v>
      </c>
      <c r="H561">
        <v>1367.28</v>
      </c>
    </row>
    <row r="562" spans="1:8" x14ac:dyDescent="0.3">
      <c r="A562">
        <v>116</v>
      </c>
      <c r="B562" t="s">
        <v>568</v>
      </c>
      <c r="C562" s="452">
        <v>46035</v>
      </c>
      <c r="D562" t="s">
        <v>3369</v>
      </c>
      <c r="E562" t="s">
        <v>3361</v>
      </c>
      <c r="F562">
        <v>4726.8</v>
      </c>
      <c r="G562">
        <v>152.02000000000001</v>
      </c>
      <c r="H562">
        <v>4574.78</v>
      </c>
    </row>
    <row r="563" spans="1:8" x14ac:dyDescent="0.3">
      <c r="A563">
        <v>116</v>
      </c>
      <c r="B563" t="s">
        <v>568</v>
      </c>
      <c r="C563" s="452">
        <v>46035</v>
      </c>
      <c r="D563" t="s">
        <v>3369</v>
      </c>
      <c r="E563" t="s">
        <v>3362</v>
      </c>
      <c r="F563">
        <v>3482</v>
      </c>
      <c r="G563">
        <v>126.3</v>
      </c>
      <c r="H563">
        <v>3355.7</v>
      </c>
    </row>
    <row r="564" spans="1:8" x14ac:dyDescent="0.3">
      <c r="A564">
        <v>116</v>
      </c>
      <c r="B564" t="s">
        <v>568</v>
      </c>
      <c r="C564" s="452">
        <v>46035</v>
      </c>
      <c r="D564" t="s">
        <v>3369</v>
      </c>
      <c r="E564" t="s">
        <v>22</v>
      </c>
      <c r="F564">
        <v>1050.1199999999999</v>
      </c>
      <c r="G564">
        <v>0</v>
      </c>
      <c r="H564">
        <v>1050.1199999999999</v>
      </c>
    </row>
    <row r="565" spans="1:8" x14ac:dyDescent="0.3">
      <c r="A565">
        <v>116</v>
      </c>
      <c r="B565" t="s">
        <v>568</v>
      </c>
      <c r="C565" s="452">
        <v>46035</v>
      </c>
      <c r="D565" t="s">
        <v>3369</v>
      </c>
      <c r="E565" t="s">
        <v>20</v>
      </c>
      <c r="F565">
        <v>115</v>
      </c>
      <c r="G565">
        <v>0</v>
      </c>
      <c r="H565">
        <v>115</v>
      </c>
    </row>
    <row r="566" spans="1:8" x14ac:dyDescent="0.3">
      <c r="A566">
        <v>116</v>
      </c>
      <c r="B566" t="s">
        <v>568</v>
      </c>
      <c r="C566" s="452">
        <v>46034</v>
      </c>
      <c r="D566" t="s">
        <v>3369</v>
      </c>
      <c r="E566" t="s">
        <v>3361</v>
      </c>
      <c r="F566">
        <v>2424.3000000000002</v>
      </c>
      <c r="G566">
        <v>80.989999999999995</v>
      </c>
      <c r="H566">
        <v>2343.31</v>
      </c>
    </row>
    <row r="567" spans="1:8" x14ac:dyDescent="0.3">
      <c r="A567">
        <v>116</v>
      </c>
      <c r="B567" t="s">
        <v>568</v>
      </c>
      <c r="C567" s="452">
        <v>46034</v>
      </c>
      <c r="D567" t="s">
        <v>3369</v>
      </c>
      <c r="E567" t="s">
        <v>3362</v>
      </c>
      <c r="F567">
        <v>2618</v>
      </c>
      <c r="G567">
        <v>231.56</v>
      </c>
      <c r="H567">
        <v>2386.44</v>
      </c>
    </row>
    <row r="568" spans="1:8" x14ac:dyDescent="0.3">
      <c r="A568">
        <v>116</v>
      </c>
      <c r="B568" t="s">
        <v>568</v>
      </c>
      <c r="C568" s="452">
        <v>46034</v>
      </c>
      <c r="D568" t="s">
        <v>3369</v>
      </c>
      <c r="E568" t="s">
        <v>20</v>
      </c>
      <c r="F568">
        <v>16</v>
      </c>
      <c r="G568">
        <v>0</v>
      </c>
      <c r="H568">
        <v>16</v>
      </c>
    </row>
    <row r="569" spans="1:8" x14ac:dyDescent="0.3">
      <c r="A569">
        <v>116</v>
      </c>
      <c r="B569" t="s">
        <v>568</v>
      </c>
      <c r="C569" s="452">
        <v>46034</v>
      </c>
      <c r="D569" t="s">
        <v>3369</v>
      </c>
      <c r="E569" t="s">
        <v>22</v>
      </c>
      <c r="F569">
        <v>657.14</v>
      </c>
      <c r="G569">
        <v>0</v>
      </c>
      <c r="H569">
        <v>657.14</v>
      </c>
    </row>
    <row r="570" spans="1:8" x14ac:dyDescent="0.3">
      <c r="A570">
        <v>116</v>
      </c>
      <c r="B570" t="s">
        <v>568</v>
      </c>
      <c r="C570" s="452">
        <v>46032</v>
      </c>
      <c r="D570" t="s">
        <v>3369</v>
      </c>
      <c r="E570" t="s">
        <v>3361</v>
      </c>
      <c r="F570">
        <v>12523.3</v>
      </c>
      <c r="G570">
        <v>24.29</v>
      </c>
      <c r="H570">
        <v>12499.01</v>
      </c>
    </row>
    <row r="571" spans="1:8" x14ac:dyDescent="0.3">
      <c r="A571">
        <v>116</v>
      </c>
      <c r="B571" t="s">
        <v>568</v>
      </c>
      <c r="C571" s="452">
        <v>46032</v>
      </c>
      <c r="D571" t="s">
        <v>3369</v>
      </c>
      <c r="E571" t="s">
        <v>3362</v>
      </c>
      <c r="F571">
        <v>8507</v>
      </c>
      <c r="G571">
        <v>56.36</v>
      </c>
      <c r="H571">
        <v>8450.64</v>
      </c>
    </row>
    <row r="572" spans="1:8" x14ac:dyDescent="0.3">
      <c r="A572">
        <v>116</v>
      </c>
      <c r="B572" t="s">
        <v>568</v>
      </c>
      <c r="C572" s="452">
        <v>46032</v>
      </c>
      <c r="D572" t="s">
        <v>3369</v>
      </c>
      <c r="E572" t="s">
        <v>20</v>
      </c>
      <c r="F572">
        <v>233</v>
      </c>
      <c r="G572">
        <v>0</v>
      </c>
      <c r="H572">
        <v>233</v>
      </c>
    </row>
    <row r="573" spans="1:8" x14ac:dyDescent="0.3">
      <c r="A573">
        <v>116</v>
      </c>
      <c r="B573" t="s">
        <v>568</v>
      </c>
      <c r="C573" s="452">
        <v>46032</v>
      </c>
      <c r="D573" t="s">
        <v>3369</v>
      </c>
      <c r="E573" t="s">
        <v>22</v>
      </c>
      <c r="F573">
        <v>2830.19</v>
      </c>
      <c r="G573">
        <v>0</v>
      </c>
      <c r="H573">
        <v>2830.19</v>
      </c>
    </row>
    <row r="574" spans="1:8" x14ac:dyDescent="0.3">
      <c r="A574">
        <v>116</v>
      </c>
      <c r="B574" t="s">
        <v>568</v>
      </c>
      <c r="C574" s="452">
        <v>46032</v>
      </c>
      <c r="D574" t="s">
        <v>3369</v>
      </c>
      <c r="E574" t="s">
        <v>3363</v>
      </c>
      <c r="F574">
        <v>600</v>
      </c>
      <c r="G574">
        <v>0</v>
      </c>
      <c r="H574">
        <v>600</v>
      </c>
    </row>
    <row r="575" spans="1:8" x14ac:dyDescent="0.3">
      <c r="A575">
        <v>116</v>
      </c>
      <c r="B575" t="s">
        <v>568</v>
      </c>
      <c r="C575" s="452">
        <v>46031</v>
      </c>
      <c r="D575" t="s">
        <v>3369</v>
      </c>
      <c r="E575" t="s">
        <v>3361</v>
      </c>
      <c r="F575">
        <v>10814.8</v>
      </c>
      <c r="G575">
        <v>12.96</v>
      </c>
      <c r="H575">
        <v>10801.84</v>
      </c>
    </row>
    <row r="576" spans="1:8" x14ac:dyDescent="0.3">
      <c r="A576">
        <v>116</v>
      </c>
      <c r="B576" t="s">
        <v>568</v>
      </c>
      <c r="C576" s="452">
        <v>46031</v>
      </c>
      <c r="D576" t="s">
        <v>3369</v>
      </c>
      <c r="E576" t="s">
        <v>3362</v>
      </c>
      <c r="F576">
        <v>8477</v>
      </c>
      <c r="G576">
        <v>208.09</v>
      </c>
      <c r="H576">
        <v>8268.91</v>
      </c>
    </row>
    <row r="577" spans="1:8" x14ac:dyDescent="0.3">
      <c r="A577">
        <v>116</v>
      </c>
      <c r="B577" t="s">
        <v>568</v>
      </c>
      <c r="C577" s="452">
        <v>46031</v>
      </c>
      <c r="D577" t="s">
        <v>3369</v>
      </c>
      <c r="E577" t="s">
        <v>20</v>
      </c>
      <c r="F577">
        <v>32</v>
      </c>
      <c r="G577">
        <v>0</v>
      </c>
      <c r="H577">
        <v>32</v>
      </c>
    </row>
    <row r="578" spans="1:8" x14ac:dyDescent="0.3">
      <c r="A578">
        <v>116</v>
      </c>
      <c r="B578" t="s">
        <v>568</v>
      </c>
      <c r="C578" s="452">
        <v>46031</v>
      </c>
      <c r="D578" t="s">
        <v>3369</v>
      </c>
      <c r="E578" t="s">
        <v>22</v>
      </c>
      <c r="F578">
        <v>2498.96</v>
      </c>
      <c r="G578">
        <v>0</v>
      </c>
      <c r="H578">
        <v>2498.96</v>
      </c>
    </row>
    <row r="579" spans="1:8" x14ac:dyDescent="0.3">
      <c r="A579">
        <v>116</v>
      </c>
      <c r="B579" t="s">
        <v>568</v>
      </c>
      <c r="C579" s="452">
        <v>46030</v>
      </c>
      <c r="D579" t="s">
        <v>3369</v>
      </c>
      <c r="E579" t="s">
        <v>3361</v>
      </c>
      <c r="F579">
        <v>7214.5</v>
      </c>
      <c r="G579">
        <v>66.87</v>
      </c>
      <c r="H579">
        <v>7147.63</v>
      </c>
    </row>
    <row r="580" spans="1:8" x14ac:dyDescent="0.3">
      <c r="A580">
        <v>116</v>
      </c>
      <c r="B580" t="s">
        <v>568</v>
      </c>
      <c r="C580" s="452">
        <v>46030</v>
      </c>
      <c r="D580" t="s">
        <v>3369</v>
      </c>
      <c r="E580" t="s">
        <v>3362</v>
      </c>
      <c r="F580">
        <v>5692</v>
      </c>
      <c r="G580">
        <v>176.89</v>
      </c>
      <c r="H580">
        <v>5515.11</v>
      </c>
    </row>
    <row r="581" spans="1:8" x14ac:dyDescent="0.3">
      <c r="A581">
        <v>116</v>
      </c>
      <c r="B581" t="s">
        <v>568</v>
      </c>
      <c r="C581" s="452">
        <v>46030</v>
      </c>
      <c r="D581" t="s">
        <v>3369</v>
      </c>
      <c r="E581" t="s">
        <v>22</v>
      </c>
      <c r="F581">
        <v>1676.55</v>
      </c>
      <c r="G581">
        <v>0</v>
      </c>
      <c r="H581">
        <v>1676.55</v>
      </c>
    </row>
    <row r="582" spans="1:8" x14ac:dyDescent="0.3">
      <c r="A582">
        <v>116</v>
      </c>
      <c r="B582" t="s">
        <v>568</v>
      </c>
      <c r="C582" s="452">
        <v>46029</v>
      </c>
      <c r="D582" t="s">
        <v>3369</v>
      </c>
      <c r="E582" t="s">
        <v>3361</v>
      </c>
      <c r="F582">
        <v>5504.9</v>
      </c>
      <c r="G582">
        <v>138.9</v>
      </c>
      <c r="H582">
        <v>5366</v>
      </c>
    </row>
    <row r="583" spans="1:8" x14ac:dyDescent="0.3">
      <c r="A583">
        <v>116</v>
      </c>
      <c r="B583" t="s">
        <v>568</v>
      </c>
      <c r="C583" s="452">
        <v>46029</v>
      </c>
      <c r="D583" t="s">
        <v>3369</v>
      </c>
      <c r="E583" t="s">
        <v>3362</v>
      </c>
      <c r="F583">
        <v>5084</v>
      </c>
      <c r="G583">
        <v>169.32</v>
      </c>
      <c r="H583">
        <v>4914.68</v>
      </c>
    </row>
    <row r="584" spans="1:8" x14ac:dyDescent="0.3">
      <c r="A584">
        <v>116</v>
      </c>
      <c r="B584" t="s">
        <v>568</v>
      </c>
      <c r="C584" s="452">
        <v>46029</v>
      </c>
      <c r="D584" t="s">
        <v>3369</v>
      </c>
      <c r="E584" t="s">
        <v>20</v>
      </c>
      <c r="F584">
        <v>112</v>
      </c>
      <c r="G584">
        <v>0</v>
      </c>
      <c r="H584">
        <v>112</v>
      </c>
    </row>
    <row r="585" spans="1:8" x14ac:dyDescent="0.3">
      <c r="A585">
        <v>116</v>
      </c>
      <c r="B585" t="s">
        <v>568</v>
      </c>
      <c r="C585" s="452">
        <v>46029</v>
      </c>
      <c r="D585" t="s">
        <v>3369</v>
      </c>
      <c r="E585" t="s">
        <v>22</v>
      </c>
      <c r="F585">
        <v>1348.23</v>
      </c>
      <c r="G585">
        <v>0</v>
      </c>
      <c r="H585">
        <v>1348.23</v>
      </c>
    </row>
    <row r="586" spans="1:8" x14ac:dyDescent="0.3">
      <c r="A586">
        <v>116</v>
      </c>
      <c r="B586" t="s">
        <v>568</v>
      </c>
      <c r="C586" s="452">
        <v>46028</v>
      </c>
      <c r="D586" t="s">
        <v>3369</v>
      </c>
      <c r="E586" t="s">
        <v>3361</v>
      </c>
      <c r="F586">
        <v>5815.9</v>
      </c>
      <c r="G586">
        <v>81.39</v>
      </c>
      <c r="H586">
        <v>5734.51</v>
      </c>
    </row>
    <row r="587" spans="1:8" x14ac:dyDescent="0.3">
      <c r="A587">
        <v>116</v>
      </c>
      <c r="B587" t="s">
        <v>568</v>
      </c>
      <c r="C587" s="452">
        <v>46028</v>
      </c>
      <c r="D587" t="s">
        <v>3369</v>
      </c>
      <c r="E587" t="s">
        <v>3362</v>
      </c>
      <c r="F587">
        <v>5832</v>
      </c>
      <c r="G587">
        <v>388.2</v>
      </c>
      <c r="H587">
        <v>5443.8</v>
      </c>
    </row>
    <row r="588" spans="1:8" x14ac:dyDescent="0.3">
      <c r="A588">
        <v>116</v>
      </c>
      <c r="B588" t="s">
        <v>568</v>
      </c>
      <c r="C588" s="452">
        <v>46028</v>
      </c>
      <c r="D588" t="s">
        <v>3369</v>
      </c>
      <c r="E588" t="s">
        <v>20</v>
      </c>
      <c r="F588">
        <v>32</v>
      </c>
      <c r="G588">
        <v>0</v>
      </c>
      <c r="H588">
        <v>32</v>
      </c>
    </row>
    <row r="589" spans="1:8" x14ac:dyDescent="0.3">
      <c r="A589">
        <v>116</v>
      </c>
      <c r="B589" t="s">
        <v>568</v>
      </c>
      <c r="C589" s="452">
        <v>46028</v>
      </c>
      <c r="D589" t="s">
        <v>3369</v>
      </c>
      <c r="E589" t="s">
        <v>22</v>
      </c>
      <c r="F589">
        <v>1510.46</v>
      </c>
      <c r="G589">
        <v>0</v>
      </c>
      <c r="H589">
        <v>1510.46</v>
      </c>
    </row>
    <row r="590" spans="1:8" x14ac:dyDescent="0.3">
      <c r="A590">
        <v>116</v>
      </c>
      <c r="B590" t="s">
        <v>568</v>
      </c>
      <c r="C590" s="452">
        <v>46027</v>
      </c>
      <c r="D590" t="s">
        <v>3369</v>
      </c>
      <c r="E590" t="s">
        <v>3361</v>
      </c>
      <c r="F590">
        <v>3716.2</v>
      </c>
      <c r="G590">
        <v>127.35</v>
      </c>
      <c r="H590">
        <v>3588.85</v>
      </c>
    </row>
    <row r="591" spans="1:8" x14ac:dyDescent="0.3">
      <c r="A591">
        <v>116</v>
      </c>
      <c r="B591" t="s">
        <v>568</v>
      </c>
      <c r="C591" s="452">
        <v>46027</v>
      </c>
      <c r="D591" t="s">
        <v>3369</v>
      </c>
      <c r="E591" t="s">
        <v>3362</v>
      </c>
      <c r="F591">
        <v>5343</v>
      </c>
      <c r="G591">
        <v>321.89</v>
      </c>
      <c r="H591">
        <v>5021.1099999999997</v>
      </c>
    </row>
    <row r="592" spans="1:8" x14ac:dyDescent="0.3">
      <c r="A592">
        <v>116</v>
      </c>
      <c r="B592" t="s">
        <v>568</v>
      </c>
      <c r="C592" s="452">
        <v>46027</v>
      </c>
      <c r="D592" t="s">
        <v>3369</v>
      </c>
      <c r="E592" t="s">
        <v>22</v>
      </c>
      <c r="F592">
        <v>1169</v>
      </c>
      <c r="G592">
        <v>0</v>
      </c>
      <c r="H592">
        <v>1169</v>
      </c>
    </row>
    <row r="593" spans="1:8" x14ac:dyDescent="0.3">
      <c r="A593">
        <v>116</v>
      </c>
      <c r="B593" t="s">
        <v>568</v>
      </c>
      <c r="C593" s="452">
        <v>46025</v>
      </c>
      <c r="D593" t="s">
        <v>3369</v>
      </c>
      <c r="E593" t="s">
        <v>3361</v>
      </c>
      <c r="F593">
        <v>10681.4</v>
      </c>
      <c r="G593">
        <v>156.21</v>
      </c>
      <c r="H593">
        <v>10525.19</v>
      </c>
    </row>
    <row r="594" spans="1:8" x14ac:dyDescent="0.3">
      <c r="A594">
        <v>116</v>
      </c>
      <c r="B594" t="s">
        <v>568</v>
      </c>
      <c r="C594" s="452">
        <v>46025</v>
      </c>
      <c r="D594" t="s">
        <v>3369</v>
      </c>
      <c r="E594" t="s">
        <v>3362</v>
      </c>
      <c r="F594">
        <v>8597.5</v>
      </c>
      <c r="G594">
        <v>256.5</v>
      </c>
      <c r="H594">
        <v>8341</v>
      </c>
    </row>
    <row r="595" spans="1:8" x14ac:dyDescent="0.3">
      <c r="A595">
        <v>116</v>
      </c>
      <c r="B595" t="s">
        <v>568</v>
      </c>
      <c r="C595" s="452">
        <v>46025</v>
      </c>
      <c r="D595" t="s">
        <v>3369</v>
      </c>
      <c r="E595" t="s">
        <v>20</v>
      </c>
      <c r="F595">
        <v>299</v>
      </c>
      <c r="G595">
        <v>0</v>
      </c>
      <c r="H595">
        <v>299</v>
      </c>
    </row>
    <row r="596" spans="1:8" x14ac:dyDescent="0.3">
      <c r="A596">
        <v>116</v>
      </c>
      <c r="B596" t="s">
        <v>568</v>
      </c>
      <c r="C596" s="452">
        <v>46025</v>
      </c>
      <c r="D596" t="s">
        <v>3369</v>
      </c>
      <c r="E596" t="s">
        <v>22</v>
      </c>
      <c r="F596">
        <v>2528.88</v>
      </c>
      <c r="G596">
        <v>0</v>
      </c>
      <c r="H596">
        <v>2528.88</v>
      </c>
    </row>
    <row r="597" spans="1:8" x14ac:dyDescent="0.3">
      <c r="A597">
        <v>116</v>
      </c>
      <c r="B597" t="s">
        <v>568</v>
      </c>
      <c r="C597" s="452">
        <v>46025</v>
      </c>
      <c r="D597" t="s">
        <v>3369</v>
      </c>
      <c r="E597" t="s">
        <v>3363</v>
      </c>
      <c r="F597">
        <v>75</v>
      </c>
      <c r="G597">
        <v>0</v>
      </c>
      <c r="H597">
        <v>75</v>
      </c>
    </row>
    <row r="598" spans="1:8" x14ac:dyDescent="0.3">
      <c r="A598">
        <v>116</v>
      </c>
      <c r="B598" t="s">
        <v>568</v>
      </c>
      <c r="C598" s="452">
        <v>46024</v>
      </c>
      <c r="D598" t="s">
        <v>3369</v>
      </c>
      <c r="E598" t="s">
        <v>3361</v>
      </c>
      <c r="F598">
        <v>10457.4</v>
      </c>
      <c r="G598">
        <v>27.3</v>
      </c>
      <c r="H598">
        <v>10430.1</v>
      </c>
    </row>
    <row r="599" spans="1:8" x14ac:dyDescent="0.3">
      <c r="A599">
        <v>116</v>
      </c>
      <c r="B599" t="s">
        <v>568</v>
      </c>
      <c r="C599" s="452">
        <v>46024</v>
      </c>
      <c r="D599" t="s">
        <v>3369</v>
      </c>
      <c r="E599" t="s">
        <v>3362</v>
      </c>
      <c r="F599">
        <v>8058.5</v>
      </c>
      <c r="G599">
        <v>54</v>
      </c>
      <c r="H599">
        <v>8004.5</v>
      </c>
    </row>
    <row r="600" spans="1:8" x14ac:dyDescent="0.3">
      <c r="A600">
        <v>116</v>
      </c>
      <c r="B600" t="s">
        <v>568</v>
      </c>
      <c r="C600" s="452">
        <v>46024</v>
      </c>
      <c r="D600" t="s">
        <v>3369</v>
      </c>
      <c r="E600" t="s">
        <v>20</v>
      </c>
      <c r="F600">
        <v>123</v>
      </c>
      <c r="G600">
        <v>0</v>
      </c>
      <c r="H600">
        <v>123</v>
      </c>
    </row>
    <row r="601" spans="1:8" x14ac:dyDescent="0.3">
      <c r="A601">
        <v>116</v>
      </c>
      <c r="B601" t="s">
        <v>568</v>
      </c>
      <c r="C601" s="452">
        <v>46024</v>
      </c>
      <c r="D601" t="s">
        <v>3369</v>
      </c>
      <c r="E601" t="s">
        <v>22</v>
      </c>
      <c r="F601">
        <v>2373.5300000000002</v>
      </c>
      <c r="G601">
        <v>0</v>
      </c>
      <c r="H601">
        <v>2373.5300000000002</v>
      </c>
    </row>
    <row r="602" spans="1:8" x14ac:dyDescent="0.3">
      <c r="A602">
        <v>116</v>
      </c>
      <c r="B602" t="s">
        <v>568</v>
      </c>
      <c r="C602" s="452">
        <v>46022</v>
      </c>
      <c r="D602" t="s">
        <v>460</v>
      </c>
      <c r="E602" t="s">
        <v>3361</v>
      </c>
      <c r="F602">
        <v>2269.6999999999998</v>
      </c>
      <c r="G602">
        <v>0</v>
      </c>
      <c r="H602">
        <v>2269.6999999999998</v>
      </c>
    </row>
    <row r="603" spans="1:8" x14ac:dyDescent="0.3">
      <c r="A603">
        <v>116</v>
      </c>
      <c r="B603" t="s">
        <v>568</v>
      </c>
      <c r="C603" s="452">
        <v>46022</v>
      </c>
      <c r="D603" t="s">
        <v>460</v>
      </c>
      <c r="E603" t="s">
        <v>3362</v>
      </c>
      <c r="F603">
        <v>1384</v>
      </c>
      <c r="G603">
        <v>0</v>
      </c>
      <c r="H603">
        <v>1384</v>
      </c>
    </row>
    <row r="604" spans="1:8" x14ac:dyDescent="0.3">
      <c r="A604">
        <v>116</v>
      </c>
      <c r="B604" t="s">
        <v>568</v>
      </c>
      <c r="C604" s="452">
        <v>46022</v>
      </c>
      <c r="D604" t="s">
        <v>460</v>
      </c>
      <c r="E604" t="s">
        <v>22</v>
      </c>
      <c r="F604">
        <v>463.09</v>
      </c>
      <c r="G604">
        <v>0</v>
      </c>
      <c r="H604">
        <v>463.09</v>
      </c>
    </row>
    <row r="605" spans="1:8" x14ac:dyDescent="0.3">
      <c r="A605">
        <v>116</v>
      </c>
      <c r="B605" t="s">
        <v>568</v>
      </c>
      <c r="C605" s="452">
        <v>46021</v>
      </c>
      <c r="D605" t="s">
        <v>460</v>
      </c>
      <c r="E605" t="s">
        <v>3361</v>
      </c>
      <c r="F605">
        <v>7372.7</v>
      </c>
      <c r="G605">
        <v>42.68</v>
      </c>
      <c r="H605">
        <v>7330.02</v>
      </c>
    </row>
    <row r="606" spans="1:8" x14ac:dyDescent="0.3">
      <c r="A606">
        <v>116</v>
      </c>
      <c r="B606" t="s">
        <v>568</v>
      </c>
      <c r="C606" s="452">
        <v>46021</v>
      </c>
      <c r="D606" t="s">
        <v>460</v>
      </c>
      <c r="E606" t="s">
        <v>3362</v>
      </c>
      <c r="F606">
        <v>4156</v>
      </c>
      <c r="G606">
        <v>0</v>
      </c>
      <c r="H606">
        <v>4156</v>
      </c>
    </row>
    <row r="607" spans="1:8" x14ac:dyDescent="0.3">
      <c r="A607">
        <v>116</v>
      </c>
      <c r="B607" t="s">
        <v>568</v>
      </c>
      <c r="C607" s="452">
        <v>46021</v>
      </c>
      <c r="D607" t="s">
        <v>460</v>
      </c>
      <c r="E607" t="s">
        <v>20</v>
      </c>
      <c r="F607">
        <v>32</v>
      </c>
      <c r="G607">
        <v>0</v>
      </c>
      <c r="H607">
        <v>32</v>
      </c>
    </row>
    <row r="608" spans="1:8" x14ac:dyDescent="0.3">
      <c r="A608">
        <v>116</v>
      </c>
      <c r="B608" t="s">
        <v>568</v>
      </c>
      <c r="C608" s="452">
        <v>46021</v>
      </c>
      <c r="D608" t="s">
        <v>460</v>
      </c>
      <c r="E608" t="s">
        <v>22</v>
      </c>
      <c r="F608">
        <v>1455.63</v>
      </c>
      <c r="G608">
        <v>0</v>
      </c>
      <c r="H608">
        <v>1455.63</v>
      </c>
    </row>
    <row r="609" spans="1:8" x14ac:dyDescent="0.3">
      <c r="A609">
        <v>116</v>
      </c>
      <c r="B609" t="s">
        <v>568</v>
      </c>
      <c r="C609" s="452">
        <v>46020</v>
      </c>
      <c r="D609" t="s">
        <v>460</v>
      </c>
      <c r="E609" t="s">
        <v>3361</v>
      </c>
      <c r="F609">
        <v>11558.9</v>
      </c>
      <c r="G609">
        <v>332.96</v>
      </c>
      <c r="H609">
        <v>11225.94</v>
      </c>
    </row>
    <row r="610" spans="1:8" x14ac:dyDescent="0.3">
      <c r="A610">
        <v>116</v>
      </c>
      <c r="B610" t="s">
        <v>568</v>
      </c>
      <c r="C610" s="452">
        <v>46020</v>
      </c>
      <c r="D610" t="s">
        <v>460</v>
      </c>
      <c r="E610" t="s">
        <v>3362</v>
      </c>
      <c r="F610">
        <v>4941</v>
      </c>
      <c r="G610">
        <v>70.2</v>
      </c>
      <c r="H610">
        <v>4870.8</v>
      </c>
    </row>
    <row r="611" spans="1:8" x14ac:dyDescent="0.3">
      <c r="A611">
        <v>116</v>
      </c>
      <c r="B611" t="s">
        <v>568</v>
      </c>
      <c r="C611" s="452">
        <v>46020</v>
      </c>
      <c r="D611" t="s">
        <v>460</v>
      </c>
      <c r="E611" t="s">
        <v>20</v>
      </c>
      <c r="F611">
        <v>184</v>
      </c>
      <c r="G611">
        <v>0</v>
      </c>
      <c r="H611">
        <v>184</v>
      </c>
    </row>
    <row r="612" spans="1:8" x14ac:dyDescent="0.3">
      <c r="A612">
        <v>116</v>
      </c>
      <c r="B612" t="s">
        <v>568</v>
      </c>
      <c r="C612" s="452">
        <v>46020</v>
      </c>
      <c r="D612" t="s">
        <v>460</v>
      </c>
      <c r="E612" t="s">
        <v>22</v>
      </c>
      <c r="F612">
        <v>1775.93</v>
      </c>
      <c r="G612">
        <v>0</v>
      </c>
      <c r="H612">
        <v>1775.93</v>
      </c>
    </row>
    <row r="613" spans="1:8" x14ac:dyDescent="0.3">
      <c r="A613">
        <v>116</v>
      </c>
      <c r="B613" t="s">
        <v>568</v>
      </c>
      <c r="C613" s="452">
        <v>46018</v>
      </c>
      <c r="D613" t="s">
        <v>460</v>
      </c>
      <c r="E613" t="s">
        <v>3361</v>
      </c>
      <c r="F613">
        <v>10142.799999999999</v>
      </c>
      <c r="G613">
        <v>10.8</v>
      </c>
      <c r="H613">
        <v>10132</v>
      </c>
    </row>
    <row r="614" spans="1:8" x14ac:dyDescent="0.3">
      <c r="A614">
        <v>116</v>
      </c>
      <c r="B614" t="s">
        <v>568</v>
      </c>
      <c r="C614" s="452">
        <v>46018</v>
      </c>
      <c r="D614" t="s">
        <v>460</v>
      </c>
      <c r="E614" t="s">
        <v>3362</v>
      </c>
      <c r="F614">
        <v>6343.5</v>
      </c>
      <c r="G614">
        <v>26.7</v>
      </c>
      <c r="H614">
        <v>6316.8</v>
      </c>
    </row>
    <row r="615" spans="1:8" x14ac:dyDescent="0.3">
      <c r="A615">
        <v>116</v>
      </c>
      <c r="B615" t="s">
        <v>568</v>
      </c>
      <c r="C615" s="452">
        <v>46018</v>
      </c>
      <c r="D615" t="s">
        <v>460</v>
      </c>
      <c r="E615" t="s">
        <v>20</v>
      </c>
      <c r="F615">
        <v>128</v>
      </c>
      <c r="G615">
        <v>0</v>
      </c>
      <c r="H615">
        <v>128</v>
      </c>
    </row>
    <row r="616" spans="1:8" x14ac:dyDescent="0.3">
      <c r="A616">
        <v>116</v>
      </c>
      <c r="B616" t="s">
        <v>568</v>
      </c>
      <c r="C616" s="452">
        <v>46018</v>
      </c>
      <c r="D616" t="s">
        <v>460</v>
      </c>
      <c r="E616" t="s">
        <v>22</v>
      </c>
      <c r="F616">
        <v>2164.2800000000002</v>
      </c>
      <c r="G616">
        <v>0</v>
      </c>
      <c r="H616">
        <v>2164.2800000000002</v>
      </c>
    </row>
    <row r="617" spans="1:8" x14ac:dyDescent="0.3">
      <c r="A617">
        <v>116</v>
      </c>
      <c r="B617" t="s">
        <v>568</v>
      </c>
      <c r="C617" s="452">
        <v>46018</v>
      </c>
      <c r="D617" t="s">
        <v>460</v>
      </c>
      <c r="E617" t="s">
        <v>3363</v>
      </c>
      <c r="F617">
        <v>270</v>
      </c>
      <c r="G617">
        <v>0</v>
      </c>
      <c r="H617">
        <v>270</v>
      </c>
    </row>
    <row r="618" spans="1:8" x14ac:dyDescent="0.3">
      <c r="A618">
        <v>116</v>
      </c>
      <c r="B618" t="s">
        <v>568</v>
      </c>
      <c r="C618" s="452">
        <v>46017</v>
      </c>
      <c r="D618" t="s">
        <v>460</v>
      </c>
      <c r="E618" t="s">
        <v>3361</v>
      </c>
      <c r="F618">
        <v>12470.2</v>
      </c>
      <c r="G618">
        <v>136.80000000000001</v>
      </c>
      <c r="H618">
        <v>12333.4</v>
      </c>
    </row>
    <row r="619" spans="1:8" x14ac:dyDescent="0.3">
      <c r="A619">
        <v>116</v>
      </c>
      <c r="B619" t="s">
        <v>568</v>
      </c>
      <c r="C619" s="452">
        <v>46017</v>
      </c>
      <c r="D619" t="s">
        <v>460</v>
      </c>
      <c r="E619" t="s">
        <v>3362</v>
      </c>
      <c r="F619">
        <v>6626</v>
      </c>
      <c r="G619">
        <v>134.19999999999999</v>
      </c>
      <c r="H619">
        <v>6491.8</v>
      </c>
    </row>
    <row r="620" spans="1:8" x14ac:dyDescent="0.3">
      <c r="A620">
        <v>116</v>
      </c>
      <c r="B620" t="s">
        <v>568</v>
      </c>
      <c r="C620" s="452">
        <v>46017</v>
      </c>
      <c r="D620" t="s">
        <v>460</v>
      </c>
      <c r="E620" t="s">
        <v>22</v>
      </c>
      <c r="F620">
        <v>2424.4</v>
      </c>
      <c r="G620">
        <v>0</v>
      </c>
      <c r="H620">
        <v>2424.4</v>
      </c>
    </row>
    <row r="621" spans="1:8" x14ac:dyDescent="0.3">
      <c r="A621">
        <v>116</v>
      </c>
      <c r="B621" t="s">
        <v>568</v>
      </c>
      <c r="C621" s="452">
        <v>46015</v>
      </c>
      <c r="D621" t="s">
        <v>460</v>
      </c>
      <c r="E621" t="s">
        <v>3361</v>
      </c>
      <c r="F621">
        <v>4259.6000000000004</v>
      </c>
      <c r="G621">
        <v>0</v>
      </c>
      <c r="H621">
        <v>4259.6000000000004</v>
      </c>
    </row>
    <row r="622" spans="1:8" x14ac:dyDescent="0.3">
      <c r="A622">
        <v>116</v>
      </c>
      <c r="B622" t="s">
        <v>568</v>
      </c>
      <c r="C622" s="452">
        <v>46015</v>
      </c>
      <c r="D622" t="s">
        <v>460</v>
      </c>
      <c r="E622" t="s">
        <v>3362</v>
      </c>
      <c r="F622">
        <v>1947</v>
      </c>
      <c r="G622">
        <v>33</v>
      </c>
      <c r="H622">
        <v>1914</v>
      </c>
    </row>
    <row r="623" spans="1:8" x14ac:dyDescent="0.3">
      <c r="A623">
        <v>116</v>
      </c>
      <c r="B623" t="s">
        <v>568</v>
      </c>
      <c r="C623" s="452">
        <v>46015</v>
      </c>
      <c r="D623" t="s">
        <v>460</v>
      </c>
      <c r="E623" t="s">
        <v>20</v>
      </c>
      <c r="F623">
        <v>112</v>
      </c>
      <c r="G623">
        <v>0</v>
      </c>
      <c r="H623">
        <v>112</v>
      </c>
    </row>
    <row r="624" spans="1:8" x14ac:dyDescent="0.3">
      <c r="A624">
        <v>116</v>
      </c>
      <c r="B624" t="s">
        <v>568</v>
      </c>
      <c r="C624" s="452">
        <v>46015</v>
      </c>
      <c r="D624" t="s">
        <v>460</v>
      </c>
      <c r="E624" t="s">
        <v>22</v>
      </c>
      <c r="F624">
        <v>821.02</v>
      </c>
      <c r="G624">
        <v>0</v>
      </c>
      <c r="H624">
        <v>821.02</v>
      </c>
    </row>
    <row r="625" spans="1:8" x14ac:dyDescent="0.3">
      <c r="A625">
        <v>116</v>
      </c>
      <c r="B625" t="s">
        <v>568</v>
      </c>
      <c r="C625" s="452">
        <v>46014</v>
      </c>
      <c r="D625" t="s">
        <v>460</v>
      </c>
      <c r="E625" t="s">
        <v>3361</v>
      </c>
      <c r="F625">
        <v>19790.599999999999</v>
      </c>
      <c r="G625">
        <v>2.4</v>
      </c>
      <c r="H625">
        <v>19788.2</v>
      </c>
    </row>
    <row r="626" spans="1:8" x14ac:dyDescent="0.3">
      <c r="A626">
        <v>116</v>
      </c>
      <c r="B626" t="s">
        <v>568</v>
      </c>
      <c r="C626" s="452">
        <v>46014</v>
      </c>
      <c r="D626" t="s">
        <v>460</v>
      </c>
      <c r="E626" t="s">
        <v>3362</v>
      </c>
      <c r="F626">
        <v>8929.5</v>
      </c>
      <c r="G626">
        <v>118.9</v>
      </c>
      <c r="H626">
        <v>8810.6</v>
      </c>
    </row>
    <row r="627" spans="1:8" x14ac:dyDescent="0.3">
      <c r="A627">
        <v>116</v>
      </c>
      <c r="B627" t="s">
        <v>568</v>
      </c>
      <c r="C627" s="452">
        <v>46014</v>
      </c>
      <c r="D627" t="s">
        <v>460</v>
      </c>
      <c r="E627" t="s">
        <v>20</v>
      </c>
      <c r="F627">
        <v>581</v>
      </c>
      <c r="G627">
        <v>0</v>
      </c>
      <c r="H627">
        <v>581</v>
      </c>
    </row>
    <row r="628" spans="1:8" x14ac:dyDescent="0.3">
      <c r="A628">
        <v>116</v>
      </c>
      <c r="B628" t="s">
        <v>568</v>
      </c>
      <c r="C628" s="452">
        <v>46014</v>
      </c>
      <c r="D628" t="s">
        <v>460</v>
      </c>
      <c r="E628" t="s">
        <v>22</v>
      </c>
      <c r="F628">
        <v>3759.49</v>
      </c>
      <c r="G628">
        <v>0</v>
      </c>
      <c r="H628">
        <v>3759.49</v>
      </c>
    </row>
    <row r="629" spans="1:8" x14ac:dyDescent="0.3">
      <c r="A629">
        <v>116</v>
      </c>
      <c r="B629" t="s">
        <v>568</v>
      </c>
      <c r="C629" s="452">
        <v>46013</v>
      </c>
      <c r="D629" t="s">
        <v>460</v>
      </c>
      <c r="E629" t="s">
        <v>3361</v>
      </c>
      <c r="F629">
        <v>8025.9</v>
      </c>
      <c r="G629">
        <v>82.28</v>
      </c>
      <c r="H629">
        <v>7943.62</v>
      </c>
    </row>
    <row r="630" spans="1:8" x14ac:dyDescent="0.3">
      <c r="A630">
        <v>116</v>
      </c>
      <c r="B630" t="s">
        <v>568</v>
      </c>
      <c r="C630" s="452">
        <v>46013</v>
      </c>
      <c r="D630" t="s">
        <v>460</v>
      </c>
      <c r="E630" t="s">
        <v>3362</v>
      </c>
      <c r="F630">
        <v>6441.3</v>
      </c>
      <c r="G630">
        <v>291.91000000000003</v>
      </c>
      <c r="H630">
        <v>6149.39</v>
      </c>
    </row>
    <row r="631" spans="1:8" x14ac:dyDescent="0.3">
      <c r="A631">
        <v>116</v>
      </c>
      <c r="B631" t="s">
        <v>568</v>
      </c>
      <c r="C631" s="452">
        <v>46013</v>
      </c>
      <c r="D631" t="s">
        <v>460</v>
      </c>
      <c r="E631" t="s">
        <v>20</v>
      </c>
      <c r="F631">
        <v>105</v>
      </c>
      <c r="G631">
        <v>0</v>
      </c>
      <c r="H631">
        <v>105</v>
      </c>
    </row>
    <row r="632" spans="1:8" x14ac:dyDescent="0.3">
      <c r="A632">
        <v>116</v>
      </c>
      <c r="B632" t="s">
        <v>568</v>
      </c>
      <c r="C632" s="452">
        <v>46013</v>
      </c>
      <c r="D632" t="s">
        <v>460</v>
      </c>
      <c r="E632" t="s">
        <v>22</v>
      </c>
      <c r="F632">
        <v>1809.65</v>
      </c>
      <c r="G632">
        <v>0</v>
      </c>
      <c r="H632">
        <v>1809.65</v>
      </c>
    </row>
    <row r="633" spans="1:8" x14ac:dyDescent="0.3">
      <c r="A633">
        <v>116</v>
      </c>
      <c r="B633" t="s">
        <v>568</v>
      </c>
      <c r="C633" s="452">
        <v>46011</v>
      </c>
      <c r="D633" t="s">
        <v>460</v>
      </c>
      <c r="E633" t="s">
        <v>3361</v>
      </c>
      <c r="F633">
        <v>20930.8</v>
      </c>
      <c r="G633">
        <v>64.7</v>
      </c>
      <c r="H633">
        <v>20866.099999999999</v>
      </c>
    </row>
    <row r="634" spans="1:8" x14ac:dyDescent="0.3">
      <c r="A634">
        <v>116</v>
      </c>
      <c r="B634" t="s">
        <v>568</v>
      </c>
      <c r="C634" s="452">
        <v>46011</v>
      </c>
      <c r="D634" t="s">
        <v>460</v>
      </c>
      <c r="E634" t="s">
        <v>3362</v>
      </c>
      <c r="F634">
        <v>10231</v>
      </c>
      <c r="G634">
        <v>220.1</v>
      </c>
      <c r="H634">
        <v>10010.9</v>
      </c>
    </row>
    <row r="635" spans="1:8" x14ac:dyDescent="0.3">
      <c r="A635">
        <v>116</v>
      </c>
      <c r="B635" t="s">
        <v>568</v>
      </c>
      <c r="C635" s="452">
        <v>46011</v>
      </c>
      <c r="D635" t="s">
        <v>460</v>
      </c>
      <c r="E635" t="s">
        <v>20</v>
      </c>
      <c r="F635">
        <v>702</v>
      </c>
      <c r="G635">
        <v>0</v>
      </c>
      <c r="H635">
        <v>702</v>
      </c>
    </row>
    <row r="636" spans="1:8" x14ac:dyDescent="0.3">
      <c r="A636">
        <v>116</v>
      </c>
      <c r="B636" t="s">
        <v>568</v>
      </c>
      <c r="C636" s="452">
        <v>46011</v>
      </c>
      <c r="D636" t="s">
        <v>460</v>
      </c>
      <c r="E636" t="s">
        <v>22</v>
      </c>
      <c r="F636">
        <v>4123.68</v>
      </c>
      <c r="G636">
        <v>0</v>
      </c>
      <c r="H636">
        <v>4123.68</v>
      </c>
    </row>
    <row r="637" spans="1:8" x14ac:dyDescent="0.3">
      <c r="A637">
        <v>116</v>
      </c>
      <c r="B637" t="s">
        <v>568</v>
      </c>
      <c r="C637" s="452">
        <v>46011</v>
      </c>
      <c r="D637" t="s">
        <v>460</v>
      </c>
      <c r="E637" t="s">
        <v>3363</v>
      </c>
      <c r="F637">
        <v>195</v>
      </c>
      <c r="G637">
        <v>0</v>
      </c>
      <c r="H637">
        <v>195</v>
      </c>
    </row>
    <row r="638" spans="1:8" x14ac:dyDescent="0.3">
      <c r="A638">
        <v>116</v>
      </c>
      <c r="B638" t="s">
        <v>568</v>
      </c>
      <c r="C638" s="452">
        <v>46010</v>
      </c>
      <c r="D638" t="s">
        <v>460</v>
      </c>
      <c r="E638" t="s">
        <v>3361</v>
      </c>
      <c r="F638">
        <v>18724.3</v>
      </c>
      <c r="G638">
        <v>3088.98</v>
      </c>
      <c r="H638">
        <v>15635.32</v>
      </c>
    </row>
    <row r="639" spans="1:8" x14ac:dyDescent="0.3">
      <c r="A639">
        <v>116</v>
      </c>
      <c r="B639" t="s">
        <v>568</v>
      </c>
      <c r="C639" s="452">
        <v>46010</v>
      </c>
      <c r="D639" t="s">
        <v>460</v>
      </c>
      <c r="E639" t="s">
        <v>3362</v>
      </c>
      <c r="F639">
        <v>11359</v>
      </c>
      <c r="G639">
        <v>1276.43</v>
      </c>
      <c r="H639">
        <v>10082.57</v>
      </c>
    </row>
    <row r="640" spans="1:8" x14ac:dyDescent="0.3">
      <c r="A640">
        <v>116</v>
      </c>
      <c r="B640" t="s">
        <v>568</v>
      </c>
      <c r="C640" s="452">
        <v>46010</v>
      </c>
      <c r="D640" t="s">
        <v>460</v>
      </c>
      <c r="E640" t="s">
        <v>20</v>
      </c>
      <c r="F640">
        <v>784</v>
      </c>
      <c r="G640">
        <v>0</v>
      </c>
      <c r="H640">
        <v>784</v>
      </c>
    </row>
    <row r="641" spans="1:8" x14ac:dyDescent="0.3">
      <c r="A641">
        <v>116</v>
      </c>
      <c r="B641" t="s">
        <v>568</v>
      </c>
      <c r="C641" s="452">
        <v>46010</v>
      </c>
      <c r="D641" t="s">
        <v>460</v>
      </c>
      <c r="E641" t="s">
        <v>22</v>
      </c>
      <c r="F641">
        <v>3336.22</v>
      </c>
      <c r="G641">
        <v>0</v>
      </c>
      <c r="H641">
        <v>3336.22</v>
      </c>
    </row>
    <row r="642" spans="1:8" x14ac:dyDescent="0.3">
      <c r="A642">
        <v>116</v>
      </c>
      <c r="B642" t="s">
        <v>568</v>
      </c>
      <c r="C642" s="452">
        <v>46009</v>
      </c>
      <c r="D642" t="s">
        <v>460</v>
      </c>
      <c r="E642" t="s">
        <v>3361</v>
      </c>
      <c r="F642">
        <v>8307.5</v>
      </c>
      <c r="G642">
        <v>168.39</v>
      </c>
      <c r="H642">
        <v>8139.11</v>
      </c>
    </row>
    <row r="643" spans="1:8" x14ac:dyDescent="0.3">
      <c r="A643">
        <v>116</v>
      </c>
      <c r="B643" t="s">
        <v>568</v>
      </c>
      <c r="C643" s="452">
        <v>46009</v>
      </c>
      <c r="D643" t="s">
        <v>460</v>
      </c>
      <c r="E643" t="s">
        <v>3362</v>
      </c>
      <c r="F643">
        <v>7628.5</v>
      </c>
      <c r="G643">
        <v>347.4</v>
      </c>
      <c r="H643">
        <v>7281.1</v>
      </c>
    </row>
    <row r="644" spans="1:8" x14ac:dyDescent="0.3">
      <c r="A644">
        <v>116</v>
      </c>
      <c r="B644" t="s">
        <v>568</v>
      </c>
      <c r="C644" s="452">
        <v>46009</v>
      </c>
      <c r="D644" t="s">
        <v>460</v>
      </c>
      <c r="E644" t="s">
        <v>20</v>
      </c>
      <c r="F644">
        <v>160</v>
      </c>
      <c r="G644">
        <v>0</v>
      </c>
      <c r="H644">
        <v>160</v>
      </c>
    </row>
    <row r="645" spans="1:8" x14ac:dyDescent="0.3">
      <c r="A645">
        <v>116</v>
      </c>
      <c r="B645" t="s">
        <v>568</v>
      </c>
      <c r="C645" s="452">
        <v>46009</v>
      </c>
      <c r="D645" t="s">
        <v>460</v>
      </c>
      <c r="E645" t="s">
        <v>22</v>
      </c>
      <c r="F645">
        <v>2035.51</v>
      </c>
      <c r="G645">
        <v>0</v>
      </c>
      <c r="H645">
        <v>2035.51</v>
      </c>
    </row>
    <row r="646" spans="1:8" x14ac:dyDescent="0.3">
      <c r="A646">
        <v>116</v>
      </c>
      <c r="B646" t="s">
        <v>568</v>
      </c>
      <c r="C646" s="452">
        <v>46008</v>
      </c>
      <c r="D646" t="s">
        <v>460</v>
      </c>
      <c r="E646" t="s">
        <v>3361</v>
      </c>
      <c r="F646">
        <v>11967.3</v>
      </c>
      <c r="G646">
        <v>9.9</v>
      </c>
      <c r="H646">
        <v>11957.4</v>
      </c>
    </row>
    <row r="647" spans="1:8" x14ac:dyDescent="0.3">
      <c r="A647">
        <v>116</v>
      </c>
      <c r="B647" t="s">
        <v>568</v>
      </c>
      <c r="C647" s="452">
        <v>46008</v>
      </c>
      <c r="D647" t="s">
        <v>460</v>
      </c>
      <c r="E647" t="s">
        <v>3362</v>
      </c>
      <c r="F647">
        <v>5401.5</v>
      </c>
      <c r="G647">
        <v>211.7</v>
      </c>
      <c r="H647">
        <v>5189.8</v>
      </c>
    </row>
    <row r="648" spans="1:8" x14ac:dyDescent="0.3">
      <c r="A648">
        <v>116</v>
      </c>
      <c r="B648" t="s">
        <v>568</v>
      </c>
      <c r="C648" s="452">
        <v>46008</v>
      </c>
      <c r="D648" t="s">
        <v>460</v>
      </c>
      <c r="E648" t="s">
        <v>22</v>
      </c>
      <c r="F648">
        <v>1772.53</v>
      </c>
      <c r="G648">
        <v>0</v>
      </c>
      <c r="H648">
        <v>1772.53</v>
      </c>
    </row>
    <row r="649" spans="1:8" x14ac:dyDescent="0.3">
      <c r="A649">
        <v>116</v>
      </c>
      <c r="B649" t="s">
        <v>568</v>
      </c>
      <c r="C649" s="452">
        <v>46008</v>
      </c>
      <c r="D649" t="s">
        <v>460</v>
      </c>
      <c r="E649" t="s">
        <v>20</v>
      </c>
      <c r="F649">
        <v>40</v>
      </c>
      <c r="G649">
        <v>0</v>
      </c>
      <c r="H649">
        <v>40</v>
      </c>
    </row>
    <row r="650" spans="1:8" x14ac:dyDescent="0.3">
      <c r="A650">
        <v>116</v>
      </c>
      <c r="B650" t="s">
        <v>568</v>
      </c>
      <c r="C650" s="452">
        <v>46007</v>
      </c>
      <c r="D650" t="s">
        <v>460</v>
      </c>
      <c r="E650" t="s">
        <v>3361</v>
      </c>
      <c r="F650">
        <v>8793.1</v>
      </c>
      <c r="G650">
        <v>533.58000000000004</v>
      </c>
      <c r="H650">
        <v>8259.52</v>
      </c>
    </row>
    <row r="651" spans="1:8" x14ac:dyDescent="0.3">
      <c r="A651">
        <v>116</v>
      </c>
      <c r="B651" t="s">
        <v>568</v>
      </c>
      <c r="C651" s="452">
        <v>46007</v>
      </c>
      <c r="D651" t="s">
        <v>460</v>
      </c>
      <c r="E651" t="s">
        <v>3362</v>
      </c>
      <c r="F651">
        <v>5875</v>
      </c>
      <c r="G651">
        <v>381.89</v>
      </c>
      <c r="H651">
        <v>5493.11</v>
      </c>
    </row>
    <row r="652" spans="1:8" x14ac:dyDescent="0.3">
      <c r="A652">
        <v>116</v>
      </c>
      <c r="B652" t="s">
        <v>568</v>
      </c>
      <c r="C652" s="452">
        <v>46007</v>
      </c>
      <c r="D652" t="s">
        <v>460</v>
      </c>
      <c r="E652" t="s">
        <v>20</v>
      </c>
      <c r="F652">
        <v>465</v>
      </c>
      <c r="G652">
        <v>0</v>
      </c>
      <c r="H652">
        <v>465</v>
      </c>
    </row>
    <row r="653" spans="1:8" x14ac:dyDescent="0.3">
      <c r="A653">
        <v>116</v>
      </c>
      <c r="B653" t="s">
        <v>568</v>
      </c>
      <c r="C653" s="452">
        <v>46007</v>
      </c>
      <c r="D653" t="s">
        <v>460</v>
      </c>
      <c r="E653" t="s">
        <v>22</v>
      </c>
      <c r="F653">
        <v>1902.45</v>
      </c>
      <c r="G653">
        <v>0</v>
      </c>
      <c r="H653">
        <v>1902.45</v>
      </c>
    </row>
    <row r="654" spans="1:8" x14ac:dyDescent="0.3">
      <c r="A654">
        <v>116</v>
      </c>
      <c r="B654" t="s">
        <v>568</v>
      </c>
      <c r="C654" s="452">
        <v>46006</v>
      </c>
      <c r="D654" t="s">
        <v>460</v>
      </c>
      <c r="E654" t="s">
        <v>3361</v>
      </c>
      <c r="F654">
        <v>6433.9</v>
      </c>
      <c r="G654">
        <v>122.28</v>
      </c>
      <c r="H654">
        <v>6311.62</v>
      </c>
    </row>
    <row r="655" spans="1:8" x14ac:dyDescent="0.3">
      <c r="A655">
        <v>116</v>
      </c>
      <c r="B655" t="s">
        <v>568</v>
      </c>
      <c r="C655" s="452">
        <v>46006</v>
      </c>
      <c r="D655" t="s">
        <v>460</v>
      </c>
      <c r="E655" t="s">
        <v>3362</v>
      </c>
      <c r="F655">
        <v>3308</v>
      </c>
      <c r="G655">
        <v>202.17</v>
      </c>
      <c r="H655">
        <v>3105.83</v>
      </c>
    </row>
    <row r="656" spans="1:8" x14ac:dyDescent="0.3">
      <c r="A656">
        <v>116</v>
      </c>
      <c r="B656" t="s">
        <v>568</v>
      </c>
      <c r="C656" s="452">
        <v>46006</v>
      </c>
      <c r="D656" t="s">
        <v>460</v>
      </c>
      <c r="E656" t="s">
        <v>20</v>
      </c>
      <c r="F656">
        <v>273</v>
      </c>
      <c r="G656">
        <v>0</v>
      </c>
      <c r="H656">
        <v>273</v>
      </c>
    </row>
    <row r="657" spans="1:8" x14ac:dyDescent="0.3">
      <c r="A657">
        <v>116</v>
      </c>
      <c r="B657" t="s">
        <v>568</v>
      </c>
      <c r="C657" s="452">
        <v>46006</v>
      </c>
      <c r="D657" t="s">
        <v>460</v>
      </c>
      <c r="E657" t="s">
        <v>22</v>
      </c>
      <c r="F657">
        <v>1296.8599999999999</v>
      </c>
      <c r="G657">
        <v>0</v>
      </c>
      <c r="H657">
        <v>1296.8599999999999</v>
      </c>
    </row>
    <row r="658" spans="1:8" x14ac:dyDescent="0.3">
      <c r="A658">
        <v>116</v>
      </c>
      <c r="B658" t="s">
        <v>568</v>
      </c>
      <c r="C658" s="452">
        <v>46004</v>
      </c>
      <c r="D658" t="s">
        <v>460</v>
      </c>
      <c r="E658" t="s">
        <v>3361</v>
      </c>
      <c r="F658">
        <v>12838.7</v>
      </c>
      <c r="G658">
        <v>226</v>
      </c>
      <c r="H658">
        <v>12612.7</v>
      </c>
    </row>
    <row r="659" spans="1:8" x14ac:dyDescent="0.3">
      <c r="A659">
        <v>116</v>
      </c>
      <c r="B659" t="s">
        <v>568</v>
      </c>
      <c r="C659" s="452">
        <v>46004</v>
      </c>
      <c r="D659" t="s">
        <v>460</v>
      </c>
      <c r="E659" t="s">
        <v>3362</v>
      </c>
      <c r="F659">
        <v>14180</v>
      </c>
      <c r="G659">
        <v>229.32</v>
      </c>
      <c r="H659">
        <v>13950.68</v>
      </c>
    </row>
    <row r="660" spans="1:8" x14ac:dyDescent="0.3">
      <c r="A660">
        <v>116</v>
      </c>
      <c r="B660" t="s">
        <v>568</v>
      </c>
      <c r="C660" s="452">
        <v>46004</v>
      </c>
      <c r="D660" t="s">
        <v>460</v>
      </c>
      <c r="E660" t="s">
        <v>20</v>
      </c>
      <c r="F660">
        <v>527</v>
      </c>
      <c r="G660">
        <v>0</v>
      </c>
      <c r="H660">
        <v>527</v>
      </c>
    </row>
    <row r="661" spans="1:8" x14ac:dyDescent="0.3">
      <c r="A661">
        <v>116</v>
      </c>
      <c r="B661" t="s">
        <v>568</v>
      </c>
      <c r="C661" s="452">
        <v>46004</v>
      </c>
      <c r="D661" t="s">
        <v>460</v>
      </c>
      <c r="E661" t="s">
        <v>22</v>
      </c>
      <c r="F661">
        <v>3604.12</v>
      </c>
      <c r="G661">
        <v>0</v>
      </c>
      <c r="H661">
        <v>3604.12</v>
      </c>
    </row>
    <row r="662" spans="1:8" x14ac:dyDescent="0.3">
      <c r="A662">
        <v>116</v>
      </c>
      <c r="B662" t="s">
        <v>568</v>
      </c>
      <c r="C662" s="452">
        <v>46004</v>
      </c>
      <c r="D662" t="s">
        <v>460</v>
      </c>
      <c r="E662" t="s">
        <v>3363</v>
      </c>
      <c r="F662">
        <v>525</v>
      </c>
      <c r="G662">
        <v>0</v>
      </c>
      <c r="H662">
        <v>525</v>
      </c>
    </row>
    <row r="663" spans="1:8" x14ac:dyDescent="0.3">
      <c r="A663">
        <v>116</v>
      </c>
      <c r="B663" t="s">
        <v>568</v>
      </c>
      <c r="C663" s="452">
        <v>46003</v>
      </c>
      <c r="D663" t="s">
        <v>460</v>
      </c>
      <c r="E663" t="s">
        <v>3361</v>
      </c>
      <c r="F663">
        <v>11458.5</v>
      </c>
      <c r="G663">
        <v>48.91</v>
      </c>
      <c r="H663">
        <v>11409.59</v>
      </c>
    </row>
    <row r="664" spans="1:8" x14ac:dyDescent="0.3">
      <c r="A664">
        <v>116</v>
      </c>
      <c r="B664" t="s">
        <v>568</v>
      </c>
      <c r="C664" s="452">
        <v>46003</v>
      </c>
      <c r="D664" t="s">
        <v>460</v>
      </c>
      <c r="E664" t="s">
        <v>3362</v>
      </c>
      <c r="F664">
        <v>6851</v>
      </c>
      <c r="G664">
        <v>188.19</v>
      </c>
      <c r="H664">
        <v>6662.81</v>
      </c>
    </row>
    <row r="665" spans="1:8" x14ac:dyDescent="0.3">
      <c r="A665">
        <v>116</v>
      </c>
      <c r="B665" t="s">
        <v>568</v>
      </c>
      <c r="C665" s="452">
        <v>46003</v>
      </c>
      <c r="D665" t="s">
        <v>460</v>
      </c>
      <c r="E665" t="s">
        <v>20</v>
      </c>
      <c r="F665">
        <v>122</v>
      </c>
      <c r="G665">
        <v>0</v>
      </c>
      <c r="H665">
        <v>122</v>
      </c>
    </row>
    <row r="666" spans="1:8" x14ac:dyDescent="0.3">
      <c r="A666">
        <v>116</v>
      </c>
      <c r="B666" t="s">
        <v>568</v>
      </c>
      <c r="C666" s="452">
        <v>46003</v>
      </c>
      <c r="D666" t="s">
        <v>460</v>
      </c>
      <c r="E666" t="s">
        <v>22</v>
      </c>
      <c r="F666">
        <v>2395.87</v>
      </c>
      <c r="G666">
        <v>0</v>
      </c>
      <c r="H666">
        <v>2395.87</v>
      </c>
    </row>
    <row r="667" spans="1:8" x14ac:dyDescent="0.3">
      <c r="A667">
        <v>116</v>
      </c>
      <c r="B667" t="s">
        <v>568</v>
      </c>
      <c r="C667" s="452">
        <v>46002</v>
      </c>
      <c r="D667" t="s">
        <v>460</v>
      </c>
      <c r="E667" t="s">
        <v>3361</v>
      </c>
      <c r="F667">
        <v>9885.7000000000007</v>
      </c>
      <c r="G667">
        <v>279.66000000000003</v>
      </c>
      <c r="H667">
        <v>9606.0400000000009</v>
      </c>
    </row>
    <row r="668" spans="1:8" x14ac:dyDescent="0.3">
      <c r="A668">
        <v>116</v>
      </c>
      <c r="B668" t="s">
        <v>568</v>
      </c>
      <c r="C668" s="452">
        <v>46002</v>
      </c>
      <c r="D668" t="s">
        <v>460</v>
      </c>
      <c r="E668" t="s">
        <v>3362</v>
      </c>
      <c r="F668">
        <v>11802.5</v>
      </c>
      <c r="G668">
        <v>778.9</v>
      </c>
      <c r="H668">
        <v>11023.6</v>
      </c>
    </row>
    <row r="669" spans="1:8" x14ac:dyDescent="0.3">
      <c r="A669">
        <v>116</v>
      </c>
      <c r="B669" t="s">
        <v>568</v>
      </c>
      <c r="C669" s="452">
        <v>46002</v>
      </c>
      <c r="D669" t="s">
        <v>460</v>
      </c>
      <c r="E669" t="s">
        <v>20</v>
      </c>
      <c r="F669">
        <v>123</v>
      </c>
      <c r="G669">
        <v>0</v>
      </c>
      <c r="H669">
        <v>123</v>
      </c>
    </row>
    <row r="670" spans="1:8" x14ac:dyDescent="0.3">
      <c r="A670">
        <v>116</v>
      </c>
      <c r="B670" t="s">
        <v>568</v>
      </c>
      <c r="C670" s="452">
        <v>46002</v>
      </c>
      <c r="D670" t="s">
        <v>460</v>
      </c>
      <c r="E670" t="s">
        <v>22</v>
      </c>
      <c r="F670">
        <v>2788.8</v>
      </c>
      <c r="G670">
        <v>0</v>
      </c>
      <c r="H670">
        <v>2788.8</v>
      </c>
    </row>
    <row r="671" spans="1:8" x14ac:dyDescent="0.3">
      <c r="A671">
        <v>116</v>
      </c>
      <c r="B671" t="s">
        <v>568</v>
      </c>
      <c r="C671" s="452">
        <v>46001</v>
      </c>
      <c r="D671" t="s">
        <v>460</v>
      </c>
      <c r="E671" t="s">
        <v>3361</v>
      </c>
      <c r="F671">
        <v>6310.3</v>
      </c>
      <c r="G671">
        <v>105.43</v>
      </c>
      <c r="H671">
        <v>6204.87</v>
      </c>
    </row>
    <row r="672" spans="1:8" x14ac:dyDescent="0.3">
      <c r="A672">
        <v>116</v>
      </c>
      <c r="B672" t="s">
        <v>568</v>
      </c>
      <c r="C672" s="452">
        <v>46001</v>
      </c>
      <c r="D672" t="s">
        <v>460</v>
      </c>
      <c r="E672" t="s">
        <v>3362</v>
      </c>
      <c r="F672">
        <v>5459</v>
      </c>
      <c r="G672">
        <v>291.64999999999998</v>
      </c>
      <c r="H672">
        <v>5167.3500000000004</v>
      </c>
    </row>
    <row r="673" spans="1:8" x14ac:dyDescent="0.3">
      <c r="A673">
        <v>116</v>
      </c>
      <c r="B673" t="s">
        <v>568</v>
      </c>
      <c r="C673" s="452">
        <v>46001</v>
      </c>
      <c r="D673" t="s">
        <v>460</v>
      </c>
      <c r="E673" t="s">
        <v>20</v>
      </c>
      <c r="F673">
        <v>155</v>
      </c>
      <c r="G673">
        <v>0</v>
      </c>
      <c r="H673">
        <v>155</v>
      </c>
    </row>
    <row r="674" spans="1:8" x14ac:dyDescent="0.3">
      <c r="A674">
        <v>116</v>
      </c>
      <c r="B674" t="s">
        <v>568</v>
      </c>
      <c r="C674" s="452">
        <v>46001</v>
      </c>
      <c r="D674" t="s">
        <v>460</v>
      </c>
      <c r="E674" t="s">
        <v>22</v>
      </c>
      <c r="F674">
        <v>1512.1</v>
      </c>
      <c r="G674">
        <v>0</v>
      </c>
      <c r="H674">
        <v>1512.1</v>
      </c>
    </row>
    <row r="675" spans="1:8" x14ac:dyDescent="0.3">
      <c r="A675">
        <v>116</v>
      </c>
      <c r="B675" t="s">
        <v>568</v>
      </c>
      <c r="C675" s="452">
        <v>46000</v>
      </c>
      <c r="D675" t="s">
        <v>460</v>
      </c>
      <c r="E675" t="s">
        <v>3361</v>
      </c>
      <c r="F675">
        <v>4525.6000000000004</v>
      </c>
      <c r="G675">
        <v>54</v>
      </c>
      <c r="H675">
        <v>4471.6000000000004</v>
      </c>
    </row>
    <row r="676" spans="1:8" x14ac:dyDescent="0.3">
      <c r="A676">
        <v>116</v>
      </c>
      <c r="B676" t="s">
        <v>568</v>
      </c>
      <c r="C676" s="452">
        <v>46000</v>
      </c>
      <c r="D676" t="s">
        <v>460</v>
      </c>
      <c r="E676" t="s">
        <v>3362</v>
      </c>
      <c r="F676">
        <v>5078</v>
      </c>
      <c r="G676">
        <v>41.18</v>
      </c>
      <c r="H676">
        <v>5036.82</v>
      </c>
    </row>
    <row r="677" spans="1:8" x14ac:dyDescent="0.3">
      <c r="A677">
        <v>116</v>
      </c>
      <c r="B677" t="s">
        <v>568</v>
      </c>
      <c r="C677" s="452">
        <v>46000</v>
      </c>
      <c r="D677" t="s">
        <v>460</v>
      </c>
      <c r="E677" t="s">
        <v>20</v>
      </c>
      <c r="F677">
        <v>16</v>
      </c>
      <c r="G677">
        <v>0</v>
      </c>
      <c r="H677">
        <v>16</v>
      </c>
    </row>
    <row r="678" spans="1:8" x14ac:dyDescent="0.3">
      <c r="A678">
        <v>116</v>
      </c>
      <c r="B678" t="s">
        <v>568</v>
      </c>
      <c r="C678" s="452">
        <v>46000</v>
      </c>
      <c r="D678" t="s">
        <v>460</v>
      </c>
      <c r="E678" t="s">
        <v>22</v>
      </c>
      <c r="F678">
        <v>1249.6099999999999</v>
      </c>
      <c r="G678">
        <v>0</v>
      </c>
      <c r="H678">
        <v>1249.6099999999999</v>
      </c>
    </row>
    <row r="679" spans="1:8" x14ac:dyDescent="0.3">
      <c r="A679">
        <v>116</v>
      </c>
      <c r="B679" t="s">
        <v>568</v>
      </c>
      <c r="C679" s="452">
        <v>45999</v>
      </c>
      <c r="D679" t="s">
        <v>460</v>
      </c>
      <c r="E679" t="s">
        <v>3361</v>
      </c>
      <c r="F679">
        <v>2887.8</v>
      </c>
      <c r="G679">
        <v>4.2</v>
      </c>
      <c r="H679">
        <v>2883.6</v>
      </c>
    </row>
    <row r="680" spans="1:8" x14ac:dyDescent="0.3">
      <c r="A680">
        <v>116</v>
      </c>
      <c r="B680" t="s">
        <v>568</v>
      </c>
      <c r="C680" s="452">
        <v>45999</v>
      </c>
      <c r="D680" t="s">
        <v>460</v>
      </c>
      <c r="E680" t="s">
        <v>3362</v>
      </c>
      <c r="F680">
        <v>2414.6</v>
      </c>
      <c r="G680">
        <v>37.74</v>
      </c>
      <c r="H680">
        <v>2376.86</v>
      </c>
    </row>
    <row r="681" spans="1:8" x14ac:dyDescent="0.3">
      <c r="A681">
        <v>116</v>
      </c>
      <c r="B681" t="s">
        <v>568</v>
      </c>
      <c r="C681" s="452">
        <v>45999</v>
      </c>
      <c r="D681" t="s">
        <v>460</v>
      </c>
      <c r="E681" t="s">
        <v>20</v>
      </c>
      <c r="F681">
        <v>160</v>
      </c>
      <c r="G681">
        <v>0</v>
      </c>
      <c r="H681">
        <v>160</v>
      </c>
    </row>
    <row r="682" spans="1:8" x14ac:dyDescent="0.3">
      <c r="A682">
        <v>116</v>
      </c>
      <c r="B682" t="s">
        <v>568</v>
      </c>
      <c r="C682" s="452">
        <v>45999</v>
      </c>
      <c r="D682" t="s">
        <v>460</v>
      </c>
      <c r="E682" t="s">
        <v>22</v>
      </c>
      <c r="F682">
        <v>695</v>
      </c>
      <c r="G682">
        <v>0</v>
      </c>
      <c r="H682">
        <v>695</v>
      </c>
    </row>
    <row r="683" spans="1:8" x14ac:dyDescent="0.3">
      <c r="A683">
        <v>116</v>
      </c>
      <c r="B683" t="s">
        <v>568</v>
      </c>
      <c r="C683" s="452">
        <v>45997</v>
      </c>
      <c r="D683" t="s">
        <v>460</v>
      </c>
      <c r="E683" t="s">
        <v>3361</v>
      </c>
      <c r="F683">
        <v>10532.3</v>
      </c>
      <c r="G683">
        <v>44.52</v>
      </c>
      <c r="H683">
        <v>10487.78</v>
      </c>
    </row>
    <row r="684" spans="1:8" x14ac:dyDescent="0.3">
      <c r="A684">
        <v>116</v>
      </c>
      <c r="B684" t="s">
        <v>568</v>
      </c>
      <c r="C684" s="452">
        <v>45997</v>
      </c>
      <c r="D684" t="s">
        <v>460</v>
      </c>
      <c r="E684" t="s">
        <v>3362</v>
      </c>
      <c r="F684">
        <v>10106</v>
      </c>
      <c r="G684">
        <v>419.48</v>
      </c>
      <c r="H684">
        <v>9686.52</v>
      </c>
    </row>
    <row r="685" spans="1:8" x14ac:dyDescent="0.3">
      <c r="A685">
        <v>116</v>
      </c>
      <c r="B685" t="s">
        <v>568</v>
      </c>
      <c r="C685" s="452">
        <v>45997</v>
      </c>
      <c r="D685" t="s">
        <v>460</v>
      </c>
      <c r="E685" t="s">
        <v>20</v>
      </c>
      <c r="F685">
        <v>16</v>
      </c>
      <c r="G685">
        <v>0</v>
      </c>
      <c r="H685">
        <v>16</v>
      </c>
    </row>
    <row r="686" spans="1:8" x14ac:dyDescent="0.3">
      <c r="A686">
        <v>116</v>
      </c>
      <c r="B686" t="s">
        <v>568</v>
      </c>
      <c r="C686" s="452">
        <v>45997</v>
      </c>
      <c r="D686" t="s">
        <v>460</v>
      </c>
      <c r="E686" t="s">
        <v>22</v>
      </c>
      <c r="F686">
        <v>2705.17</v>
      </c>
      <c r="G686">
        <v>0</v>
      </c>
      <c r="H686">
        <v>2705.17</v>
      </c>
    </row>
    <row r="687" spans="1:8" x14ac:dyDescent="0.3">
      <c r="A687">
        <v>116</v>
      </c>
      <c r="B687" t="s">
        <v>568</v>
      </c>
      <c r="C687" s="452">
        <v>45997</v>
      </c>
      <c r="D687" t="s">
        <v>460</v>
      </c>
      <c r="E687" t="s">
        <v>3363</v>
      </c>
      <c r="F687">
        <v>255</v>
      </c>
      <c r="G687">
        <v>0</v>
      </c>
      <c r="H687">
        <v>255</v>
      </c>
    </row>
    <row r="688" spans="1:8" x14ac:dyDescent="0.3">
      <c r="A688">
        <v>116</v>
      </c>
      <c r="B688" t="s">
        <v>568</v>
      </c>
      <c r="C688" s="452">
        <v>45996</v>
      </c>
      <c r="D688" t="s">
        <v>460</v>
      </c>
      <c r="E688" t="s">
        <v>3361</v>
      </c>
      <c r="F688">
        <v>12414.6</v>
      </c>
      <c r="G688">
        <v>234.01</v>
      </c>
      <c r="H688">
        <v>12180.59</v>
      </c>
    </row>
    <row r="689" spans="1:8" x14ac:dyDescent="0.3">
      <c r="A689">
        <v>116</v>
      </c>
      <c r="B689" t="s">
        <v>568</v>
      </c>
      <c r="C689" s="452">
        <v>45996</v>
      </c>
      <c r="D689" t="s">
        <v>460</v>
      </c>
      <c r="E689" t="s">
        <v>3362</v>
      </c>
      <c r="F689">
        <v>11931.5</v>
      </c>
      <c r="G689">
        <v>357.9</v>
      </c>
      <c r="H689">
        <v>11573.6</v>
      </c>
    </row>
    <row r="690" spans="1:8" x14ac:dyDescent="0.3">
      <c r="A690">
        <v>116</v>
      </c>
      <c r="B690" t="s">
        <v>568</v>
      </c>
      <c r="C690" s="452">
        <v>45996</v>
      </c>
      <c r="D690" t="s">
        <v>460</v>
      </c>
      <c r="E690" t="s">
        <v>20</v>
      </c>
      <c r="F690">
        <v>32</v>
      </c>
      <c r="G690">
        <v>0</v>
      </c>
      <c r="H690">
        <v>32</v>
      </c>
    </row>
    <row r="691" spans="1:8" x14ac:dyDescent="0.3">
      <c r="A691">
        <v>116</v>
      </c>
      <c r="B691" t="s">
        <v>568</v>
      </c>
      <c r="C691" s="452">
        <v>45996</v>
      </c>
      <c r="D691" t="s">
        <v>460</v>
      </c>
      <c r="E691" t="s">
        <v>22</v>
      </c>
      <c r="F691">
        <v>3113.57</v>
      </c>
      <c r="G691">
        <v>0</v>
      </c>
      <c r="H691">
        <v>3113.57</v>
      </c>
    </row>
    <row r="692" spans="1:8" x14ac:dyDescent="0.3">
      <c r="A692">
        <v>116</v>
      </c>
      <c r="B692" t="s">
        <v>568</v>
      </c>
      <c r="C692" s="452">
        <v>45995</v>
      </c>
      <c r="D692" t="s">
        <v>460</v>
      </c>
      <c r="E692" t="s">
        <v>3361</v>
      </c>
      <c r="F692">
        <v>5273.5</v>
      </c>
      <c r="G692">
        <v>90.72</v>
      </c>
      <c r="H692">
        <v>5182.78</v>
      </c>
    </row>
    <row r="693" spans="1:8" x14ac:dyDescent="0.3">
      <c r="A693">
        <v>116</v>
      </c>
      <c r="B693" t="s">
        <v>568</v>
      </c>
      <c r="C693" s="452">
        <v>45995</v>
      </c>
      <c r="D693" t="s">
        <v>460</v>
      </c>
      <c r="E693" t="s">
        <v>3362</v>
      </c>
      <c r="F693">
        <v>6351</v>
      </c>
      <c r="G693">
        <v>514.97</v>
      </c>
      <c r="H693">
        <v>5836.03</v>
      </c>
    </row>
    <row r="694" spans="1:8" x14ac:dyDescent="0.3">
      <c r="A694">
        <v>116</v>
      </c>
      <c r="B694" t="s">
        <v>568</v>
      </c>
      <c r="C694" s="452">
        <v>45995</v>
      </c>
      <c r="D694" t="s">
        <v>460</v>
      </c>
      <c r="E694" t="s">
        <v>20</v>
      </c>
      <c r="F694">
        <v>331</v>
      </c>
      <c r="G694">
        <v>0</v>
      </c>
      <c r="H694">
        <v>331</v>
      </c>
    </row>
    <row r="695" spans="1:8" x14ac:dyDescent="0.3">
      <c r="A695">
        <v>116</v>
      </c>
      <c r="B695" t="s">
        <v>568</v>
      </c>
      <c r="C695" s="452">
        <v>45995</v>
      </c>
      <c r="D695" t="s">
        <v>460</v>
      </c>
      <c r="E695" t="s">
        <v>22</v>
      </c>
      <c r="F695">
        <v>1469.42</v>
      </c>
      <c r="G695">
        <v>0</v>
      </c>
      <c r="H695">
        <v>1469.42</v>
      </c>
    </row>
    <row r="696" spans="1:8" x14ac:dyDescent="0.3">
      <c r="A696">
        <v>116</v>
      </c>
      <c r="B696" t="s">
        <v>568</v>
      </c>
      <c r="C696" s="452">
        <v>45994</v>
      </c>
      <c r="D696" t="s">
        <v>460</v>
      </c>
      <c r="E696" t="s">
        <v>3361</v>
      </c>
      <c r="F696">
        <v>6026.8</v>
      </c>
      <c r="G696">
        <v>48.12</v>
      </c>
      <c r="H696">
        <v>5978.68</v>
      </c>
    </row>
    <row r="697" spans="1:8" x14ac:dyDescent="0.3">
      <c r="A697">
        <v>116</v>
      </c>
      <c r="B697" t="s">
        <v>568</v>
      </c>
      <c r="C697" s="452">
        <v>45994</v>
      </c>
      <c r="D697" t="s">
        <v>460</v>
      </c>
      <c r="E697" t="s">
        <v>3362</v>
      </c>
      <c r="F697">
        <v>5650.5</v>
      </c>
      <c r="G697">
        <v>191.58</v>
      </c>
      <c r="H697">
        <v>5458.92</v>
      </c>
    </row>
    <row r="698" spans="1:8" x14ac:dyDescent="0.3">
      <c r="A698">
        <v>116</v>
      </c>
      <c r="B698" t="s">
        <v>568</v>
      </c>
      <c r="C698" s="452">
        <v>45994</v>
      </c>
      <c r="D698" t="s">
        <v>460</v>
      </c>
      <c r="E698" t="s">
        <v>20</v>
      </c>
      <c r="F698">
        <v>64</v>
      </c>
      <c r="G698">
        <v>0</v>
      </c>
      <c r="H698">
        <v>64</v>
      </c>
    </row>
    <row r="699" spans="1:8" x14ac:dyDescent="0.3">
      <c r="A699">
        <v>116</v>
      </c>
      <c r="B699" t="s">
        <v>568</v>
      </c>
      <c r="C699" s="452">
        <v>45994</v>
      </c>
      <c r="D699" t="s">
        <v>460</v>
      </c>
      <c r="E699" t="s">
        <v>22</v>
      </c>
      <c r="F699">
        <v>1513.17</v>
      </c>
      <c r="G699">
        <v>0</v>
      </c>
      <c r="H699">
        <v>1513.17</v>
      </c>
    </row>
    <row r="700" spans="1:8" x14ac:dyDescent="0.3">
      <c r="A700">
        <v>116</v>
      </c>
      <c r="B700" t="s">
        <v>568</v>
      </c>
      <c r="C700" s="452">
        <v>45993</v>
      </c>
      <c r="D700" t="s">
        <v>460</v>
      </c>
      <c r="E700" t="s">
        <v>3361</v>
      </c>
      <c r="F700">
        <v>5032.2</v>
      </c>
      <c r="G700">
        <v>50.96</v>
      </c>
      <c r="H700">
        <v>4981.24</v>
      </c>
    </row>
    <row r="701" spans="1:8" x14ac:dyDescent="0.3">
      <c r="A701">
        <v>116</v>
      </c>
      <c r="B701" t="s">
        <v>568</v>
      </c>
      <c r="C701" s="452">
        <v>45993</v>
      </c>
      <c r="D701" t="s">
        <v>460</v>
      </c>
      <c r="E701" t="s">
        <v>3362</v>
      </c>
      <c r="F701">
        <v>4579.5</v>
      </c>
      <c r="G701">
        <v>128.32</v>
      </c>
      <c r="H701">
        <v>4451.18</v>
      </c>
    </row>
    <row r="702" spans="1:8" x14ac:dyDescent="0.3">
      <c r="A702">
        <v>116</v>
      </c>
      <c r="B702" t="s">
        <v>568</v>
      </c>
      <c r="C702" s="452">
        <v>45993</v>
      </c>
      <c r="D702" t="s">
        <v>460</v>
      </c>
      <c r="E702" t="s">
        <v>20</v>
      </c>
      <c r="F702">
        <v>212</v>
      </c>
      <c r="G702">
        <v>0</v>
      </c>
      <c r="H702">
        <v>212</v>
      </c>
    </row>
    <row r="703" spans="1:8" x14ac:dyDescent="0.3">
      <c r="A703">
        <v>116</v>
      </c>
      <c r="B703" t="s">
        <v>568</v>
      </c>
      <c r="C703" s="452">
        <v>45993</v>
      </c>
      <c r="D703" t="s">
        <v>460</v>
      </c>
      <c r="E703" t="s">
        <v>22</v>
      </c>
      <c r="F703">
        <v>1272.5</v>
      </c>
      <c r="G703">
        <v>0</v>
      </c>
      <c r="H703">
        <v>1272.5</v>
      </c>
    </row>
    <row r="704" spans="1:8" x14ac:dyDescent="0.3">
      <c r="A704">
        <v>116</v>
      </c>
      <c r="B704" t="s">
        <v>568</v>
      </c>
      <c r="C704" s="452">
        <v>45992</v>
      </c>
      <c r="D704" t="s">
        <v>460</v>
      </c>
      <c r="E704" t="s">
        <v>3361</v>
      </c>
      <c r="F704">
        <v>3580.7</v>
      </c>
      <c r="G704">
        <v>43.11</v>
      </c>
      <c r="H704">
        <v>3537.59</v>
      </c>
    </row>
    <row r="705" spans="1:8" x14ac:dyDescent="0.3">
      <c r="A705">
        <v>116</v>
      </c>
      <c r="B705" t="s">
        <v>568</v>
      </c>
      <c r="C705" s="452">
        <v>45992</v>
      </c>
      <c r="D705" t="s">
        <v>460</v>
      </c>
      <c r="E705" t="s">
        <v>3362</v>
      </c>
      <c r="F705">
        <v>2853</v>
      </c>
      <c r="G705">
        <v>121.4</v>
      </c>
      <c r="H705">
        <v>2731.6</v>
      </c>
    </row>
    <row r="706" spans="1:8" x14ac:dyDescent="0.3">
      <c r="A706">
        <v>116</v>
      </c>
      <c r="B706" t="s">
        <v>568</v>
      </c>
      <c r="C706" s="452">
        <v>45992</v>
      </c>
      <c r="D706" t="s">
        <v>460</v>
      </c>
      <c r="E706" t="s">
        <v>20</v>
      </c>
      <c r="F706">
        <v>16</v>
      </c>
      <c r="G706">
        <v>0</v>
      </c>
      <c r="H706">
        <v>16</v>
      </c>
    </row>
    <row r="707" spans="1:8" x14ac:dyDescent="0.3">
      <c r="A707">
        <v>116</v>
      </c>
      <c r="B707" t="s">
        <v>568</v>
      </c>
      <c r="C707" s="452">
        <v>45992</v>
      </c>
      <c r="D707" t="s">
        <v>460</v>
      </c>
      <c r="E707" t="s">
        <v>22</v>
      </c>
      <c r="F707">
        <v>825.97</v>
      </c>
      <c r="G707">
        <v>0</v>
      </c>
      <c r="H707">
        <v>825.97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8"/>
  <sheetViews>
    <sheetView workbookViewId="0"/>
  </sheetViews>
  <sheetFormatPr defaultRowHeight="14.4" x14ac:dyDescent="0.3"/>
  <sheetData>
    <row r="1" spans="1:22" x14ac:dyDescent="0.3">
      <c r="A1" t="s">
        <v>3370</v>
      </c>
      <c r="B1" t="s">
        <v>551</v>
      </c>
      <c r="C1" t="s">
        <v>3371</v>
      </c>
      <c r="D1" t="s">
        <v>3372</v>
      </c>
      <c r="E1" t="s">
        <v>3373</v>
      </c>
      <c r="F1" t="s">
        <v>3374</v>
      </c>
      <c r="G1" t="s">
        <v>3375</v>
      </c>
      <c r="H1" t="s">
        <v>3376</v>
      </c>
      <c r="I1" t="s">
        <v>3377</v>
      </c>
      <c r="J1" t="s">
        <v>3378</v>
      </c>
      <c r="K1" t="s">
        <v>3379</v>
      </c>
      <c r="L1" t="s">
        <v>3380</v>
      </c>
      <c r="M1" t="s">
        <v>3381</v>
      </c>
      <c r="N1" t="s">
        <v>3382</v>
      </c>
      <c r="O1" t="s">
        <v>3383</v>
      </c>
      <c r="P1" t="s">
        <v>3384</v>
      </c>
      <c r="Q1" t="s">
        <v>3385</v>
      </c>
      <c r="R1" t="s">
        <v>3386</v>
      </c>
      <c r="S1" t="s">
        <v>3387</v>
      </c>
      <c r="T1" t="s">
        <v>3388</v>
      </c>
      <c r="U1" t="s">
        <v>3389</v>
      </c>
      <c r="V1" t="s">
        <v>3390</v>
      </c>
    </row>
    <row r="2" spans="1:22" x14ac:dyDescent="0.3">
      <c r="A2">
        <v>13725</v>
      </c>
      <c r="B2" t="s">
        <v>568</v>
      </c>
      <c r="C2" t="s">
        <v>3391</v>
      </c>
      <c r="D2" t="s">
        <v>3392</v>
      </c>
      <c r="I2">
        <v>270</v>
      </c>
      <c r="J2" s="453">
        <v>46173</v>
      </c>
      <c r="K2" s="453">
        <v>46189</v>
      </c>
      <c r="L2">
        <v>270</v>
      </c>
      <c r="M2" t="s">
        <v>820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465</v>
      </c>
      <c r="V2" t="s">
        <v>466</v>
      </c>
    </row>
    <row r="3" spans="1:22" x14ac:dyDescent="0.3">
      <c r="A3">
        <v>12705</v>
      </c>
      <c r="B3" t="s">
        <v>568</v>
      </c>
      <c r="C3" t="s">
        <v>3391</v>
      </c>
      <c r="D3" t="s">
        <v>3392</v>
      </c>
      <c r="I3">
        <v>216</v>
      </c>
      <c r="J3" s="453">
        <v>46113</v>
      </c>
      <c r="K3" s="453">
        <v>46157</v>
      </c>
      <c r="L3">
        <v>216</v>
      </c>
      <c r="M3" t="s">
        <v>820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464</v>
      </c>
      <c r="V3" t="s">
        <v>465</v>
      </c>
    </row>
    <row r="4" spans="1:22" x14ac:dyDescent="0.3">
      <c r="A4">
        <v>12156</v>
      </c>
      <c r="B4" t="s">
        <v>568</v>
      </c>
      <c r="C4" t="s">
        <v>3391</v>
      </c>
      <c r="D4" t="s">
        <v>3392</v>
      </c>
      <c r="I4">
        <v>270</v>
      </c>
      <c r="J4" s="453">
        <v>46111</v>
      </c>
      <c r="K4" s="453">
        <v>46134</v>
      </c>
      <c r="L4">
        <v>270</v>
      </c>
      <c r="M4" t="s">
        <v>820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463</v>
      </c>
      <c r="V4" t="s">
        <v>464</v>
      </c>
    </row>
    <row r="5" spans="1:22" x14ac:dyDescent="0.3">
      <c r="A5">
        <v>11404</v>
      </c>
      <c r="B5" t="s">
        <v>568</v>
      </c>
      <c r="C5" t="s">
        <v>3391</v>
      </c>
      <c r="D5" t="s">
        <v>3392</v>
      </c>
      <c r="I5">
        <v>297</v>
      </c>
      <c r="J5" s="453">
        <v>46055</v>
      </c>
      <c r="K5" s="453">
        <v>46099</v>
      </c>
      <c r="L5">
        <v>297</v>
      </c>
      <c r="M5" t="s">
        <v>820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462</v>
      </c>
      <c r="V5" t="s">
        <v>463</v>
      </c>
    </row>
    <row r="6" spans="1:22" x14ac:dyDescent="0.3">
      <c r="A6">
        <v>10828</v>
      </c>
      <c r="B6" t="s">
        <v>568</v>
      </c>
      <c r="C6" t="s">
        <v>3391</v>
      </c>
      <c r="D6" t="s">
        <v>3392</v>
      </c>
      <c r="I6">
        <v>189</v>
      </c>
      <c r="J6" s="453">
        <v>46053</v>
      </c>
      <c r="K6" s="453">
        <v>46077</v>
      </c>
      <c r="L6">
        <v>189</v>
      </c>
      <c r="M6" t="s">
        <v>820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461</v>
      </c>
      <c r="V6" t="s">
        <v>462</v>
      </c>
    </row>
    <row r="7" spans="1:22" x14ac:dyDescent="0.3">
      <c r="A7">
        <v>10524</v>
      </c>
      <c r="B7" t="s">
        <v>568</v>
      </c>
      <c r="C7" t="s">
        <v>3391</v>
      </c>
      <c r="D7" t="s">
        <v>3392</v>
      </c>
      <c r="I7">
        <v>297</v>
      </c>
      <c r="J7" s="453">
        <v>45992</v>
      </c>
      <c r="K7" s="453">
        <v>46036</v>
      </c>
      <c r="L7">
        <v>297</v>
      </c>
      <c r="M7" t="s">
        <v>820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460</v>
      </c>
      <c r="V7" t="s">
        <v>461</v>
      </c>
    </row>
    <row r="8" spans="1:22" x14ac:dyDescent="0.3">
      <c r="A8">
        <v>10289</v>
      </c>
      <c r="B8" t="s">
        <v>568</v>
      </c>
      <c r="C8" t="s">
        <v>3391</v>
      </c>
      <c r="D8" t="s">
        <v>3392</v>
      </c>
      <c r="I8">
        <v>310.5</v>
      </c>
      <c r="J8" s="453">
        <v>45971</v>
      </c>
      <c r="K8" s="453">
        <v>46020</v>
      </c>
      <c r="L8">
        <v>310.5</v>
      </c>
      <c r="M8" t="s">
        <v>820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3393</v>
      </c>
      <c r="V8" t="s">
        <v>460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"/>
  <sheetViews>
    <sheetView workbookViewId="0"/>
  </sheetViews>
  <sheetFormatPr defaultRowHeight="14.4" x14ac:dyDescent="0.3"/>
  <sheetData>
    <row r="1" spans="1:29" x14ac:dyDescent="0.3">
      <c r="A1" t="s">
        <v>551</v>
      </c>
      <c r="B1" t="s">
        <v>3394</v>
      </c>
      <c r="C1" t="s">
        <v>3373</v>
      </c>
      <c r="D1" t="s">
        <v>3355</v>
      </c>
      <c r="E1" t="s">
        <v>3395</v>
      </c>
      <c r="F1" t="s">
        <v>3396</v>
      </c>
      <c r="G1" t="s">
        <v>3376</v>
      </c>
      <c r="H1" t="s">
        <v>3380</v>
      </c>
      <c r="I1" t="s">
        <v>3397</v>
      </c>
      <c r="J1" t="s">
        <v>3398</v>
      </c>
      <c r="K1" t="s">
        <v>3399</v>
      </c>
      <c r="L1" t="s">
        <v>3400</v>
      </c>
      <c r="M1" t="s">
        <v>3401</v>
      </c>
      <c r="N1" t="s">
        <v>3402</v>
      </c>
      <c r="O1" t="s">
        <v>3403</v>
      </c>
      <c r="P1" t="s">
        <v>3404</v>
      </c>
      <c r="Q1" t="s">
        <v>3405</v>
      </c>
      <c r="R1" t="s">
        <v>3406</v>
      </c>
      <c r="S1" t="s">
        <v>3407</v>
      </c>
      <c r="T1" t="s">
        <v>3408</v>
      </c>
      <c r="U1" t="s">
        <v>3409</v>
      </c>
      <c r="V1" t="s">
        <v>3410</v>
      </c>
      <c r="W1" t="s">
        <v>3411</v>
      </c>
      <c r="X1" t="s">
        <v>3412</v>
      </c>
      <c r="Y1" t="s">
        <v>555</v>
      </c>
      <c r="Z1" t="s">
        <v>565</v>
      </c>
      <c r="AA1" t="s">
        <v>2250</v>
      </c>
      <c r="AB1" t="s">
        <v>3413</v>
      </c>
      <c r="AC1" t="s">
        <v>3414</v>
      </c>
    </row>
    <row r="2" spans="1:29" x14ac:dyDescent="0.3">
      <c r="A2" t="s">
        <v>568</v>
      </c>
      <c r="B2">
        <v>1285</v>
      </c>
      <c r="C2">
        <v>2274</v>
      </c>
      <c r="D2" s="453">
        <v>46010</v>
      </c>
      <c r="E2" t="s">
        <v>3415</v>
      </c>
      <c r="F2" t="s">
        <v>3416</v>
      </c>
      <c r="G2" t="s">
        <v>3417</v>
      </c>
      <c r="H2">
        <v>10500</v>
      </c>
      <c r="I2">
        <v>10500</v>
      </c>
      <c r="J2">
        <v>9135</v>
      </c>
      <c r="K2">
        <v>1365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453">
        <v>46010</v>
      </c>
      <c r="Z2" t="s">
        <v>3418</v>
      </c>
      <c r="AA2" s="453">
        <v>46052</v>
      </c>
      <c r="AB2" t="s">
        <v>460</v>
      </c>
      <c r="AC2" t="s">
        <v>461</v>
      </c>
    </row>
    <row r="3" spans="1:29" x14ac:dyDescent="0.3">
      <c r="A3" t="s">
        <v>568</v>
      </c>
      <c r="B3">
        <v>976</v>
      </c>
      <c r="C3">
        <v>1891</v>
      </c>
      <c r="D3" s="453">
        <v>45990</v>
      </c>
      <c r="E3" t="s">
        <v>3419</v>
      </c>
      <c r="F3" t="s">
        <v>3416</v>
      </c>
      <c r="G3" t="s">
        <v>3417</v>
      </c>
      <c r="H3">
        <v>6400</v>
      </c>
      <c r="I3">
        <v>6400</v>
      </c>
      <c r="J3">
        <v>5568</v>
      </c>
      <c r="K3">
        <v>832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453">
        <v>45993</v>
      </c>
      <c r="Z3" t="s">
        <v>820</v>
      </c>
      <c r="AA3" s="453">
        <v>45993</v>
      </c>
      <c r="AB3" t="s">
        <v>3393</v>
      </c>
      <c r="AC3" t="s">
        <v>460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0"/>
  <sheetViews>
    <sheetView workbookViewId="0"/>
  </sheetViews>
  <sheetFormatPr defaultRowHeight="14.4" x14ac:dyDescent="0.3"/>
  <sheetData>
    <row r="1" spans="1:13" x14ac:dyDescent="0.3">
      <c r="A1" t="s">
        <v>3420</v>
      </c>
      <c r="B1" t="s">
        <v>3421</v>
      </c>
      <c r="C1" t="s">
        <v>3422</v>
      </c>
      <c r="D1" t="s">
        <v>3423</v>
      </c>
      <c r="E1" t="s">
        <v>3424</v>
      </c>
      <c r="F1" t="s">
        <v>3425</v>
      </c>
      <c r="G1" t="s">
        <v>3426</v>
      </c>
      <c r="H1" t="s">
        <v>3427</v>
      </c>
      <c r="I1" t="s">
        <v>3428</v>
      </c>
      <c r="J1" t="s">
        <v>3429</v>
      </c>
      <c r="K1" t="s">
        <v>566</v>
      </c>
      <c r="L1" t="s">
        <v>3430</v>
      </c>
      <c r="M1" t="s">
        <v>3431</v>
      </c>
    </row>
    <row r="2" spans="1:13" x14ac:dyDescent="0.3">
      <c r="A2">
        <v>116</v>
      </c>
      <c r="B2" t="s">
        <v>3432</v>
      </c>
      <c r="C2">
        <v>420</v>
      </c>
      <c r="D2" t="s">
        <v>945</v>
      </c>
      <c r="E2" t="s">
        <v>3433</v>
      </c>
      <c r="F2">
        <v>2003</v>
      </c>
      <c r="G2" t="s">
        <v>705</v>
      </c>
      <c r="H2" t="s">
        <v>3434</v>
      </c>
      <c r="I2">
        <v>0</v>
      </c>
      <c r="J2">
        <v>2570</v>
      </c>
      <c r="K2" t="s">
        <v>461</v>
      </c>
      <c r="L2" s="453">
        <v>46056.510416666657</v>
      </c>
    </row>
    <row r="3" spans="1:13" x14ac:dyDescent="0.3">
      <c r="A3">
        <v>116</v>
      </c>
      <c r="B3" t="s">
        <v>3432</v>
      </c>
      <c r="C3">
        <v>450</v>
      </c>
      <c r="D3" t="s">
        <v>940</v>
      </c>
      <c r="E3" t="s">
        <v>3435</v>
      </c>
      <c r="F3">
        <v>2003</v>
      </c>
      <c r="G3" t="s">
        <v>705</v>
      </c>
      <c r="H3" t="s">
        <v>3434</v>
      </c>
      <c r="I3">
        <v>0</v>
      </c>
      <c r="J3">
        <v>2570</v>
      </c>
      <c r="K3" t="s">
        <v>461</v>
      </c>
      <c r="L3" s="453">
        <v>46056.510416666657</v>
      </c>
    </row>
    <row r="4" spans="1:13" x14ac:dyDescent="0.3">
      <c r="A4">
        <v>116</v>
      </c>
      <c r="B4" t="s">
        <v>3432</v>
      </c>
      <c r="C4">
        <v>542</v>
      </c>
      <c r="D4" t="s">
        <v>829</v>
      </c>
      <c r="E4" t="s">
        <v>3436</v>
      </c>
      <c r="F4">
        <v>2003</v>
      </c>
      <c r="G4" t="s">
        <v>705</v>
      </c>
      <c r="H4" t="s">
        <v>3434</v>
      </c>
      <c r="I4">
        <v>0</v>
      </c>
      <c r="J4">
        <v>1800</v>
      </c>
      <c r="K4" t="s">
        <v>461</v>
      </c>
      <c r="L4" s="453">
        <v>46056.510416666657</v>
      </c>
    </row>
    <row r="5" spans="1:13" x14ac:dyDescent="0.3">
      <c r="A5">
        <v>116</v>
      </c>
      <c r="B5" t="s">
        <v>3432</v>
      </c>
      <c r="C5">
        <v>662</v>
      </c>
      <c r="D5" t="s">
        <v>937</v>
      </c>
      <c r="E5" t="s">
        <v>3437</v>
      </c>
      <c r="F5">
        <v>2003</v>
      </c>
      <c r="G5" t="s">
        <v>705</v>
      </c>
      <c r="H5" t="s">
        <v>3434</v>
      </c>
      <c r="I5">
        <v>0</v>
      </c>
      <c r="J5">
        <v>3150</v>
      </c>
      <c r="K5" t="s">
        <v>461</v>
      </c>
      <c r="L5" s="453">
        <v>46056.510416666657</v>
      </c>
    </row>
    <row r="6" spans="1:13" x14ac:dyDescent="0.3">
      <c r="A6">
        <v>116</v>
      </c>
      <c r="B6" t="s">
        <v>3432</v>
      </c>
      <c r="C6">
        <v>1150</v>
      </c>
      <c r="D6" t="s">
        <v>953</v>
      </c>
      <c r="E6" t="s">
        <v>3438</v>
      </c>
      <c r="F6">
        <v>2003</v>
      </c>
      <c r="G6" t="s">
        <v>705</v>
      </c>
      <c r="H6" t="s">
        <v>3434</v>
      </c>
      <c r="I6">
        <v>0</v>
      </c>
      <c r="J6">
        <v>2530</v>
      </c>
      <c r="K6" t="s">
        <v>461</v>
      </c>
      <c r="L6" s="453">
        <v>46056.510416666657</v>
      </c>
    </row>
    <row r="7" spans="1:13" x14ac:dyDescent="0.3">
      <c r="A7">
        <v>116</v>
      </c>
      <c r="B7" t="s">
        <v>3432</v>
      </c>
      <c r="C7">
        <v>420</v>
      </c>
      <c r="D7" t="s">
        <v>945</v>
      </c>
      <c r="E7" t="s">
        <v>3433</v>
      </c>
      <c r="F7">
        <v>2003</v>
      </c>
      <c r="G7" t="s">
        <v>705</v>
      </c>
      <c r="H7" t="s">
        <v>3434</v>
      </c>
      <c r="I7">
        <v>0</v>
      </c>
      <c r="J7">
        <v>2000</v>
      </c>
      <c r="K7" t="s">
        <v>462</v>
      </c>
      <c r="L7" s="453">
        <v>46086.387499999997</v>
      </c>
    </row>
    <row r="8" spans="1:13" x14ac:dyDescent="0.3">
      <c r="A8">
        <v>116</v>
      </c>
      <c r="B8" t="s">
        <v>3432</v>
      </c>
      <c r="C8">
        <v>450</v>
      </c>
      <c r="D8" t="s">
        <v>940</v>
      </c>
      <c r="E8" t="s">
        <v>3435</v>
      </c>
      <c r="F8">
        <v>2003</v>
      </c>
      <c r="G8" t="s">
        <v>705</v>
      </c>
      <c r="H8" t="s">
        <v>3434</v>
      </c>
      <c r="I8">
        <v>0</v>
      </c>
      <c r="J8">
        <v>2000</v>
      </c>
      <c r="K8" t="s">
        <v>462</v>
      </c>
      <c r="L8" s="453">
        <v>46086.387499999997</v>
      </c>
    </row>
    <row r="9" spans="1:13" x14ac:dyDescent="0.3">
      <c r="A9">
        <v>116</v>
      </c>
      <c r="B9" t="s">
        <v>3432</v>
      </c>
      <c r="C9">
        <v>542</v>
      </c>
      <c r="D9" t="s">
        <v>829</v>
      </c>
      <c r="E9" t="s">
        <v>3436</v>
      </c>
      <c r="F9">
        <v>2003</v>
      </c>
      <c r="G9" t="s">
        <v>705</v>
      </c>
      <c r="H9" t="s">
        <v>3434</v>
      </c>
      <c r="I9">
        <v>0</v>
      </c>
      <c r="J9">
        <v>1280</v>
      </c>
      <c r="K9" t="s">
        <v>462</v>
      </c>
      <c r="L9" s="453">
        <v>46086.387499999997</v>
      </c>
    </row>
    <row r="10" spans="1:13" x14ac:dyDescent="0.3">
      <c r="A10">
        <v>116</v>
      </c>
      <c r="B10" t="s">
        <v>3432</v>
      </c>
      <c r="C10">
        <v>662</v>
      </c>
      <c r="D10" t="s">
        <v>937</v>
      </c>
      <c r="E10" t="s">
        <v>3437</v>
      </c>
      <c r="F10">
        <v>2003</v>
      </c>
      <c r="G10" t="s">
        <v>705</v>
      </c>
      <c r="H10" t="s">
        <v>3434</v>
      </c>
      <c r="I10">
        <v>0</v>
      </c>
      <c r="J10">
        <v>2040</v>
      </c>
      <c r="K10" t="s">
        <v>462</v>
      </c>
      <c r="L10" s="453">
        <v>46086.387499999997</v>
      </c>
    </row>
    <row r="11" spans="1:13" x14ac:dyDescent="0.3">
      <c r="A11">
        <v>116</v>
      </c>
      <c r="B11" t="s">
        <v>3432</v>
      </c>
      <c r="C11">
        <v>1150</v>
      </c>
      <c r="D11" t="s">
        <v>953</v>
      </c>
      <c r="E11" t="s">
        <v>3438</v>
      </c>
      <c r="F11">
        <v>2003</v>
      </c>
      <c r="G11" t="s">
        <v>705</v>
      </c>
      <c r="H11" t="s">
        <v>3434</v>
      </c>
      <c r="I11">
        <v>0</v>
      </c>
      <c r="J11">
        <v>2510</v>
      </c>
      <c r="K11" t="s">
        <v>462</v>
      </c>
      <c r="L11" s="453">
        <v>46086.387499999997</v>
      </c>
    </row>
    <row r="12" spans="1:13" x14ac:dyDescent="0.3">
      <c r="A12">
        <v>116</v>
      </c>
      <c r="B12" t="s">
        <v>3432</v>
      </c>
      <c r="C12">
        <v>420</v>
      </c>
      <c r="D12" t="s">
        <v>945</v>
      </c>
      <c r="E12" t="s">
        <v>3433</v>
      </c>
      <c r="F12">
        <v>2003</v>
      </c>
      <c r="G12" t="s">
        <v>705</v>
      </c>
      <c r="H12" t="s">
        <v>3434</v>
      </c>
      <c r="I12">
        <v>0</v>
      </c>
      <c r="J12">
        <v>1880</v>
      </c>
      <c r="K12" t="s">
        <v>463</v>
      </c>
      <c r="L12" s="453">
        <v>46118.933333333327</v>
      </c>
    </row>
    <row r="13" spans="1:13" x14ac:dyDescent="0.3">
      <c r="A13">
        <v>116</v>
      </c>
      <c r="B13" t="s">
        <v>3432</v>
      </c>
      <c r="C13">
        <v>450</v>
      </c>
      <c r="D13" t="s">
        <v>940</v>
      </c>
      <c r="E13" t="s">
        <v>3435</v>
      </c>
      <c r="F13">
        <v>2003</v>
      </c>
      <c r="G13" t="s">
        <v>705</v>
      </c>
      <c r="H13" t="s">
        <v>3434</v>
      </c>
      <c r="I13">
        <v>0</v>
      </c>
      <c r="J13">
        <v>1780</v>
      </c>
      <c r="K13" t="s">
        <v>463</v>
      </c>
      <c r="L13" s="453">
        <v>46119.664583333331</v>
      </c>
    </row>
    <row r="14" spans="1:13" x14ac:dyDescent="0.3">
      <c r="A14">
        <v>116</v>
      </c>
      <c r="B14" t="s">
        <v>3432</v>
      </c>
      <c r="C14">
        <v>542</v>
      </c>
      <c r="D14" t="s">
        <v>829</v>
      </c>
      <c r="E14" t="s">
        <v>3436</v>
      </c>
      <c r="F14">
        <v>2003</v>
      </c>
      <c r="G14" t="s">
        <v>705</v>
      </c>
      <c r="H14" t="s">
        <v>3434</v>
      </c>
      <c r="I14">
        <v>0</v>
      </c>
      <c r="J14">
        <v>1300</v>
      </c>
      <c r="K14" t="s">
        <v>463</v>
      </c>
      <c r="L14" s="453">
        <v>46118.936805555553</v>
      </c>
    </row>
    <row r="15" spans="1:13" x14ac:dyDescent="0.3">
      <c r="A15">
        <v>116</v>
      </c>
      <c r="B15" t="s">
        <v>3432</v>
      </c>
      <c r="C15">
        <v>662</v>
      </c>
      <c r="D15" t="s">
        <v>937</v>
      </c>
      <c r="E15" t="s">
        <v>3437</v>
      </c>
      <c r="F15">
        <v>2003</v>
      </c>
      <c r="G15" t="s">
        <v>705</v>
      </c>
      <c r="H15" t="s">
        <v>3434</v>
      </c>
      <c r="I15">
        <v>0</v>
      </c>
      <c r="J15">
        <v>2280</v>
      </c>
      <c r="K15" t="s">
        <v>463</v>
      </c>
      <c r="L15" s="453">
        <v>46118.9375</v>
      </c>
    </row>
    <row r="16" spans="1:13" x14ac:dyDescent="0.3">
      <c r="A16">
        <v>116</v>
      </c>
      <c r="B16" t="s">
        <v>3432</v>
      </c>
      <c r="C16">
        <v>1150</v>
      </c>
      <c r="D16" t="s">
        <v>953</v>
      </c>
      <c r="E16" t="s">
        <v>3438</v>
      </c>
      <c r="F16">
        <v>2003</v>
      </c>
      <c r="G16" t="s">
        <v>705</v>
      </c>
      <c r="H16" t="s">
        <v>3434</v>
      </c>
      <c r="I16">
        <v>0</v>
      </c>
      <c r="J16">
        <v>1830</v>
      </c>
      <c r="K16" t="s">
        <v>463</v>
      </c>
      <c r="L16" s="453">
        <v>46118.938194444447</v>
      </c>
    </row>
    <row r="17" spans="1:12" x14ac:dyDescent="0.3">
      <c r="A17">
        <v>116</v>
      </c>
      <c r="B17" t="s">
        <v>3432</v>
      </c>
      <c r="C17">
        <v>420</v>
      </c>
      <c r="D17" t="s">
        <v>945</v>
      </c>
      <c r="E17" t="s">
        <v>3433</v>
      </c>
      <c r="F17">
        <v>2003</v>
      </c>
      <c r="G17" t="s">
        <v>705</v>
      </c>
      <c r="H17" t="s">
        <v>3434</v>
      </c>
      <c r="I17">
        <v>0</v>
      </c>
      <c r="J17">
        <v>270</v>
      </c>
      <c r="K17" t="s">
        <v>464</v>
      </c>
      <c r="L17" s="453">
        <v>46148.35</v>
      </c>
    </row>
    <row r="18" spans="1:12" x14ac:dyDescent="0.3">
      <c r="A18">
        <v>116</v>
      </c>
      <c r="B18" t="s">
        <v>3432</v>
      </c>
      <c r="C18">
        <v>450</v>
      </c>
      <c r="D18" t="s">
        <v>940</v>
      </c>
      <c r="E18" t="s">
        <v>3435</v>
      </c>
      <c r="F18">
        <v>2003</v>
      </c>
      <c r="G18" t="s">
        <v>705</v>
      </c>
      <c r="H18" t="s">
        <v>3434</v>
      </c>
      <c r="I18">
        <v>0</v>
      </c>
      <c r="J18">
        <v>3240</v>
      </c>
      <c r="K18" t="s">
        <v>464</v>
      </c>
      <c r="L18" s="453">
        <v>46148.35</v>
      </c>
    </row>
    <row r="19" spans="1:12" x14ac:dyDescent="0.3">
      <c r="A19">
        <v>116</v>
      </c>
      <c r="B19" t="s">
        <v>3432</v>
      </c>
      <c r="C19">
        <v>542</v>
      </c>
      <c r="D19" t="s">
        <v>829</v>
      </c>
      <c r="E19" t="s">
        <v>3436</v>
      </c>
      <c r="F19">
        <v>2003</v>
      </c>
      <c r="G19" t="s">
        <v>705</v>
      </c>
      <c r="H19" t="s">
        <v>3434</v>
      </c>
      <c r="I19">
        <v>0</v>
      </c>
      <c r="J19">
        <v>1650</v>
      </c>
      <c r="K19" t="s">
        <v>464</v>
      </c>
      <c r="L19" s="453">
        <v>46148.35</v>
      </c>
    </row>
    <row r="20" spans="1:12" x14ac:dyDescent="0.3">
      <c r="A20">
        <v>116</v>
      </c>
      <c r="B20" t="s">
        <v>3432</v>
      </c>
      <c r="C20">
        <v>662</v>
      </c>
      <c r="D20" t="s">
        <v>937</v>
      </c>
      <c r="E20" t="s">
        <v>3437</v>
      </c>
      <c r="F20">
        <v>2003</v>
      </c>
      <c r="G20" t="s">
        <v>705</v>
      </c>
      <c r="H20" t="s">
        <v>3434</v>
      </c>
      <c r="I20">
        <v>0</v>
      </c>
      <c r="J20">
        <v>2740</v>
      </c>
      <c r="K20" t="s">
        <v>464</v>
      </c>
      <c r="L20" s="453">
        <v>46148.35</v>
      </c>
    </row>
    <row r="21" spans="1:12" x14ac:dyDescent="0.3">
      <c r="A21">
        <v>116</v>
      </c>
      <c r="B21" t="s">
        <v>3432</v>
      </c>
      <c r="C21">
        <v>1150</v>
      </c>
      <c r="D21" t="s">
        <v>953</v>
      </c>
      <c r="E21" t="s">
        <v>3438</v>
      </c>
      <c r="F21">
        <v>2003</v>
      </c>
      <c r="G21" t="s">
        <v>705</v>
      </c>
      <c r="H21" t="s">
        <v>3434</v>
      </c>
      <c r="I21">
        <v>0</v>
      </c>
      <c r="J21">
        <v>2200</v>
      </c>
      <c r="K21" t="s">
        <v>464</v>
      </c>
      <c r="L21" s="453">
        <v>46148.349305555559</v>
      </c>
    </row>
    <row r="22" spans="1:12" x14ac:dyDescent="0.3">
      <c r="A22">
        <v>116</v>
      </c>
      <c r="B22" t="s">
        <v>3432</v>
      </c>
      <c r="C22">
        <v>420</v>
      </c>
      <c r="D22" t="s">
        <v>945</v>
      </c>
      <c r="E22" t="s">
        <v>3433</v>
      </c>
      <c r="F22">
        <v>2003</v>
      </c>
      <c r="G22" t="s">
        <v>705</v>
      </c>
      <c r="H22" t="s">
        <v>3434</v>
      </c>
      <c r="I22">
        <v>0</v>
      </c>
      <c r="J22">
        <v>1900</v>
      </c>
      <c r="K22" t="s">
        <v>465</v>
      </c>
      <c r="L22" s="453">
        <v>46178.310416666667</v>
      </c>
    </row>
    <row r="23" spans="1:12" x14ac:dyDescent="0.3">
      <c r="A23">
        <v>116</v>
      </c>
      <c r="B23" t="s">
        <v>3432</v>
      </c>
      <c r="C23">
        <v>450</v>
      </c>
      <c r="D23" t="s">
        <v>940</v>
      </c>
      <c r="E23" t="s">
        <v>3435</v>
      </c>
      <c r="F23">
        <v>2003</v>
      </c>
      <c r="G23" t="s">
        <v>705</v>
      </c>
      <c r="H23" t="s">
        <v>3434</v>
      </c>
      <c r="I23">
        <v>0</v>
      </c>
      <c r="J23">
        <v>2140</v>
      </c>
      <c r="K23" t="s">
        <v>465</v>
      </c>
      <c r="L23" s="453">
        <v>46178.310416666667</v>
      </c>
    </row>
    <row r="24" spans="1:12" x14ac:dyDescent="0.3">
      <c r="A24">
        <v>116</v>
      </c>
      <c r="B24" t="s">
        <v>3432</v>
      </c>
      <c r="C24">
        <v>542</v>
      </c>
      <c r="D24" t="s">
        <v>829</v>
      </c>
      <c r="E24" t="s">
        <v>3436</v>
      </c>
      <c r="F24">
        <v>2003</v>
      </c>
      <c r="G24" t="s">
        <v>705</v>
      </c>
      <c r="H24" t="s">
        <v>3434</v>
      </c>
      <c r="I24">
        <v>0</v>
      </c>
      <c r="J24">
        <v>2760</v>
      </c>
      <c r="K24" t="s">
        <v>465</v>
      </c>
      <c r="L24" s="453">
        <v>46178.310416666667</v>
      </c>
    </row>
    <row r="25" spans="1:12" x14ac:dyDescent="0.3">
      <c r="A25">
        <v>116</v>
      </c>
      <c r="B25" t="s">
        <v>3432</v>
      </c>
      <c r="C25">
        <v>1150</v>
      </c>
      <c r="D25" t="s">
        <v>953</v>
      </c>
      <c r="E25" t="s">
        <v>3438</v>
      </c>
      <c r="F25">
        <v>2003</v>
      </c>
      <c r="G25" t="s">
        <v>705</v>
      </c>
      <c r="H25" t="s">
        <v>3434</v>
      </c>
      <c r="I25">
        <v>0</v>
      </c>
      <c r="J25">
        <v>3270</v>
      </c>
      <c r="K25" t="s">
        <v>465</v>
      </c>
      <c r="L25" s="453">
        <v>46178.310416666667</v>
      </c>
    </row>
    <row r="26" spans="1:12" x14ac:dyDescent="0.3">
      <c r="A26">
        <v>116</v>
      </c>
      <c r="B26" t="s">
        <v>3432</v>
      </c>
      <c r="C26">
        <v>420</v>
      </c>
      <c r="D26" t="s">
        <v>945</v>
      </c>
      <c r="E26" t="s">
        <v>3433</v>
      </c>
      <c r="F26">
        <v>2003</v>
      </c>
      <c r="G26" t="s">
        <v>705</v>
      </c>
      <c r="H26" t="s">
        <v>3434</v>
      </c>
      <c r="I26">
        <v>0</v>
      </c>
      <c r="J26">
        <v>5120</v>
      </c>
      <c r="K26" t="s">
        <v>466</v>
      </c>
      <c r="L26" s="453">
        <v>46206.717361111107</v>
      </c>
    </row>
    <row r="27" spans="1:12" x14ac:dyDescent="0.3">
      <c r="A27">
        <v>116</v>
      </c>
      <c r="B27" t="s">
        <v>3432</v>
      </c>
      <c r="C27">
        <v>450</v>
      </c>
      <c r="D27" t="s">
        <v>940</v>
      </c>
      <c r="E27" t="s">
        <v>3435</v>
      </c>
      <c r="F27">
        <v>2003</v>
      </c>
      <c r="G27" t="s">
        <v>705</v>
      </c>
      <c r="H27" t="s">
        <v>3434</v>
      </c>
      <c r="I27">
        <v>0</v>
      </c>
      <c r="J27">
        <v>2290</v>
      </c>
      <c r="K27" t="s">
        <v>466</v>
      </c>
      <c r="L27" s="453">
        <v>46206.717361111107</v>
      </c>
    </row>
    <row r="28" spans="1:12" x14ac:dyDescent="0.3">
      <c r="A28">
        <v>116</v>
      </c>
      <c r="B28" t="s">
        <v>3432</v>
      </c>
      <c r="C28">
        <v>542</v>
      </c>
      <c r="D28" t="s">
        <v>829</v>
      </c>
      <c r="E28" t="s">
        <v>3436</v>
      </c>
      <c r="F28">
        <v>2003</v>
      </c>
      <c r="G28" t="s">
        <v>705</v>
      </c>
      <c r="H28" t="s">
        <v>3434</v>
      </c>
      <c r="I28">
        <v>0</v>
      </c>
      <c r="J28">
        <v>1860</v>
      </c>
      <c r="K28" t="s">
        <v>466</v>
      </c>
      <c r="L28" s="453">
        <v>46206.717361111107</v>
      </c>
    </row>
    <row r="29" spans="1:12" x14ac:dyDescent="0.3">
      <c r="A29">
        <v>116</v>
      </c>
      <c r="B29" t="s">
        <v>3432</v>
      </c>
      <c r="C29">
        <v>662</v>
      </c>
      <c r="D29" t="s">
        <v>937</v>
      </c>
      <c r="E29" t="s">
        <v>3437</v>
      </c>
      <c r="F29">
        <v>2003</v>
      </c>
      <c r="G29" t="s">
        <v>705</v>
      </c>
      <c r="H29" t="s">
        <v>3434</v>
      </c>
      <c r="I29">
        <v>0</v>
      </c>
      <c r="J29">
        <v>2910</v>
      </c>
      <c r="K29" t="s">
        <v>466</v>
      </c>
      <c r="L29" s="453">
        <v>46206.71597222222</v>
      </c>
    </row>
    <row r="30" spans="1:12" x14ac:dyDescent="0.3">
      <c r="A30">
        <v>116</v>
      </c>
      <c r="B30" t="s">
        <v>3432</v>
      </c>
      <c r="C30">
        <v>1150</v>
      </c>
      <c r="D30" t="s">
        <v>953</v>
      </c>
      <c r="E30" t="s">
        <v>3438</v>
      </c>
      <c r="F30">
        <v>2003</v>
      </c>
      <c r="G30" t="s">
        <v>705</v>
      </c>
      <c r="H30" t="s">
        <v>3434</v>
      </c>
      <c r="I30">
        <v>0</v>
      </c>
      <c r="J30">
        <v>2200</v>
      </c>
      <c r="K30" t="s">
        <v>466</v>
      </c>
      <c r="L30" s="453">
        <v>46206.716666666667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5"/>
  <sheetViews>
    <sheetView workbookViewId="0"/>
  </sheetViews>
  <sheetFormatPr defaultRowHeight="14.4" x14ac:dyDescent="0.3"/>
  <sheetData>
    <row r="1" spans="1:12" x14ac:dyDescent="0.3">
      <c r="A1" t="s">
        <v>3439</v>
      </c>
      <c r="B1" t="s">
        <v>3440</v>
      </c>
      <c r="C1" t="s">
        <v>3356</v>
      </c>
      <c r="D1" t="s">
        <v>3441</v>
      </c>
      <c r="E1" t="s">
        <v>3442</v>
      </c>
      <c r="F1" t="s">
        <v>3443</v>
      </c>
      <c r="G1" t="s">
        <v>3444</v>
      </c>
      <c r="H1" t="s">
        <v>3445</v>
      </c>
      <c r="I1" t="s">
        <v>3446</v>
      </c>
      <c r="J1" t="s">
        <v>3447</v>
      </c>
      <c r="K1" t="s">
        <v>3448</v>
      </c>
      <c r="L1" t="s">
        <v>566</v>
      </c>
    </row>
    <row r="2" spans="1:12" x14ac:dyDescent="0.3">
      <c r="A2" t="s">
        <v>568</v>
      </c>
      <c r="B2" s="453">
        <v>46023</v>
      </c>
      <c r="C2" t="s">
        <v>3449</v>
      </c>
      <c r="D2">
        <v>807.4</v>
      </c>
      <c r="E2">
        <v>0.28999999999999998</v>
      </c>
      <c r="F2">
        <v>573.25</v>
      </c>
      <c r="G2">
        <v>234.15</v>
      </c>
      <c r="H2" t="s">
        <v>306</v>
      </c>
      <c r="K2" t="s">
        <v>44</v>
      </c>
      <c r="L2" t="s">
        <v>3369</v>
      </c>
    </row>
    <row r="3" spans="1:12" x14ac:dyDescent="0.3">
      <c r="A3" t="s">
        <v>568</v>
      </c>
      <c r="B3" s="453">
        <v>46113</v>
      </c>
      <c r="C3" t="s">
        <v>3449</v>
      </c>
      <c r="D3">
        <v>316</v>
      </c>
      <c r="E3">
        <v>0.28999999999999998</v>
      </c>
      <c r="F3">
        <v>224.36</v>
      </c>
      <c r="G3">
        <v>91.64</v>
      </c>
      <c r="H3" t="s">
        <v>306</v>
      </c>
      <c r="K3" t="s">
        <v>44</v>
      </c>
      <c r="L3" t="s">
        <v>3366</v>
      </c>
    </row>
    <row r="4" spans="1:12" x14ac:dyDescent="0.3">
      <c r="A4" t="s">
        <v>568</v>
      </c>
      <c r="B4" s="453">
        <v>46113</v>
      </c>
      <c r="C4" t="s">
        <v>3450</v>
      </c>
      <c r="D4">
        <v>129.57</v>
      </c>
      <c r="E4">
        <v>0.28999999999999998</v>
      </c>
      <c r="F4">
        <v>129.57</v>
      </c>
      <c r="G4">
        <v>37.58</v>
      </c>
      <c r="K4" t="s">
        <v>42</v>
      </c>
      <c r="L4" t="s">
        <v>3366</v>
      </c>
    </row>
    <row r="5" spans="1:12" x14ac:dyDescent="0.3">
      <c r="A5" t="s">
        <v>568</v>
      </c>
      <c r="B5" s="453">
        <v>46082</v>
      </c>
      <c r="C5" t="s">
        <v>3450</v>
      </c>
      <c r="D5">
        <v>109.08</v>
      </c>
      <c r="E5">
        <v>0.28999999999999998</v>
      </c>
      <c r="F5">
        <v>109.08</v>
      </c>
      <c r="G5">
        <v>31.63</v>
      </c>
      <c r="K5" t="s">
        <v>42</v>
      </c>
      <c r="L5" t="s">
        <v>3367</v>
      </c>
    </row>
    <row r="6" spans="1:12" x14ac:dyDescent="0.3">
      <c r="A6" t="s">
        <v>568</v>
      </c>
      <c r="B6" s="453">
        <v>46174</v>
      </c>
      <c r="C6" t="s">
        <v>3451</v>
      </c>
      <c r="D6">
        <v>90.6</v>
      </c>
      <c r="E6">
        <v>0.28999999999999998</v>
      </c>
      <c r="F6">
        <v>90.6</v>
      </c>
      <c r="G6">
        <v>26.27</v>
      </c>
      <c r="K6" t="s">
        <v>42</v>
      </c>
      <c r="L6" t="s">
        <v>3364</v>
      </c>
    </row>
    <row r="7" spans="1:12" x14ac:dyDescent="0.3">
      <c r="A7" t="s">
        <v>568</v>
      </c>
      <c r="B7" s="453">
        <v>46143</v>
      </c>
      <c r="C7" t="s">
        <v>3451</v>
      </c>
      <c r="D7">
        <v>268.29000000000002</v>
      </c>
      <c r="E7">
        <v>0.28999999999999998</v>
      </c>
      <c r="F7">
        <v>268.29000000000002</v>
      </c>
      <c r="G7">
        <v>77.8</v>
      </c>
      <c r="K7" t="s">
        <v>42</v>
      </c>
      <c r="L7" t="s">
        <v>3365</v>
      </c>
    </row>
    <row r="8" spans="1:12" x14ac:dyDescent="0.3">
      <c r="A8" t="s">
        <v>568</v>
      </c>
      <c r="B8" s="453">
        <v>46113</v>
      </c>
      <c r="C8" t="s">
        <v>3451</v>
      </c>
      <c r="D8">
        <v>31.47</v>
      </c>
      <c r="E8">
        <v>0.28999999999999998</v>
      </c>
      <c r="F8">
        <v>31.47</v>
      </c>
      <c r="G8">
        <v>9.1300000000000008</v>
      </c>
      <c r="K8" t="s">
        <v>42</v>
      </c>
      <c r="L8" t="s">
        <v>3366</v>
      </c>
    </row>
    <row r="9" spans="1:12" x14ac:dyDescent="0.3">
      <c r="A9" t="s">
        <v>568</v>
      </c>
      <c r="B9" s="453">
        <v>46023</v>
      </c>
      <c r="C9" t="s">
        <v>3452</v>
      </c>
      <c r="D9">
        <v>178.77</v>
      </c>
      <c r="E9">
        <v>0.28999999999999998</v>
      </c>
      <c r="F9">
        <v>178.77</v>
      </c>
      <c r="G9">
        <v>51.84</v>
      </c>
      <c r="K9" t="s">
        <v>42</v>
      </c>
      <c r="L9" t="s">
        <v>3369</v>
      </c>
    </row>
    <row r="10" spans="1:12" x14ac:dyDescent="0.3">
      <c r="A10" t="s">
        <v>568</v>
      </c>
      <c r="B10" s="453">
        <v>46174</v>
      </c>
      <c r="C10" t="s">
        <v>3452</v>
      </c>
      <c r="D10">
        <v>433.2</v>
      </c>
      <c r="E10">
        <v>0.28999999999999998</v>
      </c>
      <c r="F10">
        <v>433.2</v>
      </c>
      <c r="G10">
        <v>125.63</v>
      </c>
      <c r="K10" t="s">
        <v>42</v>
      </c>
      <c r="L10" t="s">
        <v>3364</v>
      </c>
    </row>
    <row r="11" spans="1:12" x14ac:dyDescent="0.3">
      <c r="A11" t="s">
        <v>568</v>
      </c>
      <c r="B11" s="453">
        <v>46143</v>
      </c>
      <c r="C11" t="s">
        <v>3452</v>
      </c>
      <c r="D11">
        <v>470.4</v>
      </c>
      <c r="E11">
        <v>0.28999999999999998</v>
      </c>
      <c r="F11">
        <v>470.4</v>
      </c>
      <c r="G11">
        <v>136.41999999999999</v>
      </c>
      <c r="K11" t="s">
        <v>42</v>
      </c>
      <c r="L11" t="s">
        <v>3365</v>
      </c>
    </row>
    <row r="12" spans="1:12" x14ac:dyDescent="0.3">
      <c r="A12" t="s">
        <v>568</v>
      </c>
      <c r="B12" s="453">
        <v>46113</v>
      </c>
      <c r="C12" t="s">
        <v>3452</v>
      </c>
      <c r="D12">
        <v>403.5</v>
      </c>
      <c r="E12">
        <v>0.28999999999999998</v>
      </c>
      <c r="F12">
        <v>403.5</v>
      </c>
      <c r="G12">
        <v>117.02</v>
      </c>
      <c r="K12" t="s">
        <v>42</v>
      </c>
      <c r="L12" t="s">
        <v>3366</v>
      </c>
    </row>
    <row r="13" spans="1:12" x14ac:dyDescent="0.3">
      <c r="A13" t="s">
        <v>568</v>
      </c>
      <c r="B13" s="453">
        <v>46082</v>
      </c>
      <c r="C13" t="s">
        <v>3452</v>
      </c>
      <c r="D13">
        <v>35.4</v>
      </c>
      <c r="E13">
        <v>0.28999999999999998</v>
      </c>
      <c r="F13">
        <v>35.4</v>
      </c>
      <c r="G13">
        <v>10.27</v>
      </c>
      <c r="K13" t="s">
        <v>42</v>
      </c>
      <c r="L13" t="s">
        <v>3367</v>
      </c>
    </row>
    <row r="14" spans="1:12" x14ac:dyDescent="0.3">
      <c r="A14" t="s">
        <v>568</v>
      </c>
      <c r="B14" s="453">
        <v>46054</v>
      </c>
      <c r="C14" t="s">
        <v>3452</v>
      </c>
      <c r="D14">
        <v>252.27</v>
      </c>
      <c r="E14">
        <v>0.28999999999999998</v>
      </c>
      <c r="F14">
        <v>252.27</v>
      </c>
      <c r="G14">
        <v>73.16</v>
      </c>
      <c r="K14" t="s">
        <v>42</v>
      </c>
      <c r="L14" t="s">
        <v>3368</v>
      </c>
    </row>
    <row r="15" spans="1:12" x14ac:dyDescent="0.3">
      <c r="A15" t="s">
        <v>568</v>
      </c>
      <c r="B15" s="453">
        <v>46174</v>
      </c>
      <c r="C15" t="s">
        <v>3453</v>
      </c>
      <c r="D15">
        <v>444.42</v>
      </c>
      <c r="E15">
        <v>0.28999999999999998</v>
      </c>
      <c r="F15">
        <v>444.42</v>
      </c>
      <c r="G15">
        <v>128.88</v>
      </c>
      <c r="K15" t="s">
        <v>42</v>
      </c>
      <c r="L15" t="s">
        <v>3364</v>
      </c>
    </row>
    <row r="16" spans="1:12" x14ac:dyDescent="0.3">
      <c r="A16" t="s">
        <v>568</v>
      </c>
      <c r="B16" s="453">
        <v>46082</v>
      </c>
      <c r="C16" t="s">
        <v>3453</v>
      </c>
      <c r="D16">
        <v>19.5</v>
      </c>
      <c r="E16">
        <v>0.28999999999999998</v>
      </c>
      <c r="F16">
        <v>19.5</v>
      </c>
      <c r="G16">
        <v>5.65</v>
      </c>
      <c r="K16" t="s">
        <v>42</v>
      </c>
      <c r="L16" t="s">
        <v>3367</v>
      </c>
    </row>
    <row r="17" spans="1:12" x14ac:dyDescent="0.3">
      <c r="A17" t="s">
        <v>568</v>
      </c>
      <c r="B17" s="453">
        <v>46023</v>
      </c>
      <c r="C17" t="s">
        <v>3453</v>
      </c>
      <c r="D17">
        <v>224.19</v>
      </c>
      <c r="E17">
        <v>0.28999999999999998</v>
      </c>
      <c r="F17">
        <v>224.19</v>
      </c>
      <c r="G17">
        <v>65.02</v>
      </c>
      <c r="K17" t="s">
        <v>42</v>
      </c>
      <c r="L17" t="s">
        <v>3369</v>
      </c>
    </row>
    <row r="18" spans="1:12" x14ac:dyDescent="0.3">
      <c r="A18" t="s">
        <v>568</v>
      </c>
      <c r="B18" s="453">
        <v>46143</v>
      </c>
      <c r="C18" t="s">
        <v>3453</v>
      </c>
      <c r="D18">
        <v>342.42</v>
      </c>
      <c r="E18">
        <v>0.28999999999999998</v>
      </c>
      <c r="F18">
        <v>342.42</v>
      </c>
      <c r="G18">
        <v>99.3</v>
      </c>
      <c r="K18" t="s">
        <v>42</v>
      </c>
      <c r="L18" t="s">
        <v>3365</v>
      </c>
    </row>
    <row r="19" spans="1:12" x14ac:dyDescent="0.3">
      <c r="A19" t="s">
        <v>568</v>
      </c>
      <c r="B19" s="453">
        <v>46113</v>
      </c>
      <c r="C19" t="s">
        <v>3453</v>
      </c>
      <c r="D19">
        <v>373.56</v>
      </c>
      <c r="E19">
        <v>0.28999999999999998</v>
      </c>
      <c r="F19">
        <v>373.56</v>
      </c>
      <c r="G19">
        <v>108.33</v>
      </c>
      <c r="K19" t="s">
        <v>42</v>
      </c>
      <c r="L19" t="s">
        <v>3366</v>
      </c>
    </row>
    <row r="20" spans="1:12" x14ac:dyDescent="0.3">
      <c r="A20" t="s">
        <v>568</v>
      </c>
      <c r="B20" s="453">
        <v>46174</v>
      </c>
      <c r="C20" t="s">
        <v>3454</v>
      </c>
      <c r="D20">
        <v>5304.33</v>
      </c>
      <c r="E20">
        <v>0.28999999999999998</v>
      </c>
      <c r="F20">
        <v>5304.33</v>
      </c>
      <c r="G20">
        <v>1538.26</v>
      </c>
      <c r="K20" t="s">
        <v>42</v>
      </c>
      <c r="L20" t="s">
        <v>3364</v>
      </c>
    </row>
    <row r="21" spans="1:12" x14ac:dyDescent="0.3">
      <c r="A21" t="s">
        <v>568</v>
      </c>
      <c r="B21" s="453">
        <v>46143</v>
      </c>
      <c r="C21" t="s">
        <v>3454</v>
      </c>
      <c r="D21">
        <v>3455.88</v>
      </c>
      <c r="E21">
        <v>0.28999999999999998</v>
      </c>
      <c r="F21">
        <v>3455.88</v>
      </c>
      <c r="G21">
        <v>1002.21</v>
      </c>
      <c r="K21" t="s">
        <v>42</v>
      </c>
      <c r="L21" t="s">
        <v>3365</v>
      </c>
    </row>
    <row r="22" spans="1:12" x14ac:dyDescent="0.3">
      <c r="A22" t="s">
        <v>568</v>
      </c>
      <c r="B22" s="453">
        <v>46113</v>
      </c>
      <c r="C22" t="s">
        <v>3454</v>
      </c>
      <c r="D22">
        <v>4031.79</v>
      </c>
      <c r="E22">
        <v>0.28999999999999998</v>
      </c>
      <c r="F22">
        <v>4031.79</v>
      </c>
      <c r="G22">
        <v>1169.22</v>
      </c>
      <c r="K22" t="s">
        <v>42</v>
      </c>
      <c r="L22" t="s">
        <v>3366</v>
      </c>
    </row>
    <row r="23" spans="1:12" x14ac:dyDescent="0.3">
      <c r="A23" t="s">
        <v>568</v>
      </c>
      <c r="B23" s="453">
        <v>46054</v>
      </c>
      <c r="C23" t="s">
        <v>3454</v>
      </c>
      <c r="D23">
        <v>2357.04</v>
      </c>
      <c r="E23">
        <v>0.28999999999999998</v>
      </c>
      <c r="F23">
        <v>2357.04</v>
      </c>
      <c r="G23">
        <v>683.54</v>
      </c>
      <c r="K23" t="s">
        <v>42</v>
      </c>
      <c r="L23" t="s">
        <v>3368</v>
      </c>
    </row>
    <row r="24" spans="1:12" x14ac:dyDescent="0.3">
      <c r="A24" t="s">
        <v>568</v>
      </c>
      <c r="B24" s="453">
        <v>46023</v>
      </c>
      <c r="C24" t="s">
        <v>3454</v>
      </c>
      <c r="D24">
        <v>3863.49</v>
      </c>
      <c r="E24">
        <v>0.28999999999999998</v>
      </c>
      <c r="F24">
        <v>3863.49</v>
      </c>
      <c r="G24">
        <v>1120.4100000000001</v>
      </c>
      <c r="K24" t="s">
        <v>42</v>
      </c>
      <c r="L24" t="s">
        <v>3369</v>
      </c>
    </row>
    <row r="25" spans="1:12" x14ac:dyDescent="0.3">
      <c r="A25" t="s">
        <v>568</v>
      </c>
      <c r="B25" s="453">
        <v>46082</v>
      </c>
      <c r="C25" t="s">
        <v>3454</v>
      </c>
      <c r="D25">
        <v>3697.56</v>
      </c>
      <c r="E25">
        <v>0.28999999999999998</v>
      </c>
      <c r="F25">
        <v>3697.56</v>
      </c>
      <c r="G25">
        <v>1072.29</v>
      </c>
      <c r="K25" t="s">
        <v>42</v>
      </c>
      <c r="L25" t="s">
        <v>3367</v>
      </c>
    </row>
    <row r="26" spans="1:12" x14ac:dyDescent="0.3">
      <c r="A26" t="s">
        <v>568</v>
      </c>
      <c r="B26" s="453">
        <v>46023</v>
      </c>
      <c r="C26" t="s">
        <v>3455</v>
      </c>
      <c r="D26">
        <v>64.47</v>
      </c>
      <c r="E26">
        <v>0.28999999999999998</v>
      </c>
      <c r="F26">
        <v>45.77</v>
      </c>
      <c r="G26">
        <v>18.7</v>
      </c>
      <c r="H26" t="s">
        <v>253</v>
      </c>
      <c r="K26" t="s">
        <v>42</v>
      </c>
      <c r="L26" t="s">
        <v>3369</v>
      </c>
    </row>
    <row r="27" spans="1:12" x14ac:dyDescent="0.3">
      <c r="A27" t="s">
        <v>568</v>
      </c>
      <c r="B27" s="453">
        <v>46113</v>
      </c>
      <c r="C27" t="s">
        <v>3455</v>
      </c>
      <c r="D27">
        <v>34.200000000000003</v>
      </c>
      <c r="E27">
        <v>0.28999999999999998</v>
      </c>
      <c r="F27">
        <v>24.28</v>
      </c>
      <c r="G27">
        <v>9.92</v>
      </c>
      <c r="H27" t="s">
        <v>253</v>
      </c>
      <c r="K27" t="s">
        <v>42</v>
      </c>
      <c r="L27" t="s">
        <v>3366</v>
      </c>
    </row>
    <row r="28" spans="1:12" x14ac:dyDescent="0.3">
      <c r="A28" t="s">
        <v>568</v>
      </c>
      <c r="B28" s="453">
        <v>46054</v>
      </c>
      <c r="C28" t="s">
        <v>3455</v>
      </c>
      <c r="D28">
        <v>241.83</v>
      </c>
      <c r="E28">
        <v>0.28999999999999998</v>
      </c>
      <c r="F28">
        <v>171.7</v>
      </c>
      <c r="G28">
        <v>70.13</v>
      </c>
      <c r="H28" t="s">
        <v>253</v>
      </c>
      <c r="K28" t="s">
        <v>42</v>
      </c>
      <c r="L28" t="s">
        <v>3368</v>
      </c>
    </row>
    <row r="29" spans="1:12" x14ac:dyDescent="0.3">
      <c r="A29" t="s">
        <v>568</v>
      </c>
      <c r="B29" s="453">
        <v>46174</v>
      </c>
      <c r="C29" t="s">
        <v>3455</v>
      </c>
      <c r="D29">
        <v>150.9</v>
      </c>
      <c r="E29">
        <v>0.28999999999999998</v>
      </c>
      <c r="F29">
        <v>107.14</v>
      </c>
      <c r="G29">
        <v>43.76</v>
      </c>
      <c r="H29" t="s">
        <v>253</v>
      </c>
      <c r="K29" t="s">
        <v>42</v>
      </c>
      <c r="L29" t="s">
        <v>3364</v>
      </c>
    </row>
    <row r="30" spans="1:12" x14ac:dyDescent="0.3">
      <c r="A30" t="s">
        <v>568</v>
      </c>
      <c r="B30" s="453">
        <v>46143</v>
      </c>
      <c r="C30" t="s">
        <v>3455</v>
      </c>
      <c r="D30">
        <v>216.31</v>
      </c>
      <c r="E30">
        <v>0.28999999999999998</v>
      </c>
      <c r="F30">
        <v>153.58000000000001</v>
      </c>
      <c r="G30">
        <v>62.73</v>
      </c>
      <c r="H30" t="s">
        <v>253</v>
      </c>
      <c r="K30" t="s">
        <v>42</v>
      </c>
      <c r="L30" t="s">
        <v>3365</v>
      </c>
    </row>
    <row r="31" spans="1:12" x14ac:dyDescent="0.3">
      <c r="A31" t="s">
        <v>568</v>
      </c>
      <c r="B31" s="453">
        <v>46082</v>
      </c>
      <c r="C31" t="s">
        <v>3456</v>
      </c>
      <c r="D31">
        <v>708.68</v>
      </c>
      <c r="E31">
        <v>0.28999999999999998</v>
      </c>
      <c r="F31">
        <v>708.68</v>
      </c>
      <c r="G31">
        <v>205.52</v>
      </c>
      <c r="K31" t="s">
        <v>40</v>
      </c>
      <c r="L31" t="s">
        <v>3367</v>
      </c>
    </row>
    <row r="32" spans="1:12" x14ac:dyDescent="0.3">
      <c r="A32" t="s">
        <v>568</v>
      </c>
      <c r="B32" s="453">
        <v>46174</v>
      </c>
      <c r="C32" t="s">
        <v>3456</v>
      </c>
      <c r="D32">
        <v>319.01</v>
      </c>
      <c r="E32">
        <v>0.28999999999999998</v>
      </c>
      <c r="F32">
        <v>319.01</v>
      </c>
      <c r="G32">
        <v>92.51</v>
      </c>
      <c r="K32" t="s">
        <v>40</v>
      </c>
      <c r="L32" t="s">
        <v>3364</v>
      </c>
    </row>
    <row r="33" spans="1:12" x14ac:dyDescent="0.3">
      <c r="A33" t="s">
        <v>568</v>
      </c>
      <c r="B33" s="453">
        <v>46023</v>
      </c>
      <c r="C33" t="s">
        <v>3456</v>
      </c>
      <c r="D33">
        <v>607.87</v>
      </c>
      <c r="E33">
        <v>0.28999999999999998</v>
      </c>
      <c r="F33">
        <v>607.87</v>
      </c>
      <c r="G33">
        <v>176.28</v>
      </c>
      <c r="K33" t="s">
        <v>40</v>
      </c>
      <c r="L33" t="s">
        <v>3369</v>
      </c>
    </row>
    <row r="34" spans="1:12" x14ac:dyDescent="0.3">
      <c r="A34" t="s">
        <v>568</v>
      </c>
      <c r="B34" s="453">
        <v>46143</v>
      </c>
      <c r="C34" t="s">
        <v>3456</v>
      </c>
      <c r="D34">
        <v>709.77</v>
      </c>
      <c r="E34">
        <v>0.28999999999999998</v>
      </c>
      <c r="F34">
        <v>709.77</v>
      </c>
      <c r="G34">
        <v>205.83</v>
      </c>
      <c r="K34" t="s">
        <v>40</v>
      </c>
      <c r="L34" t="s">
        <v>3365</v>
      </c>
    </row>
    <row r="35" spans="1:12" x14ac:dyDescent="0.3">
      <c r="A35" t="s">
        <v>568</v>
      </c>
      <c r="B35" s="453">
        <v>46113</v>
      </c>
      <c r="C35" t="s">
        <v>3456</v>
      </c>
      <c r="D35">
        <v>499.57</v>
      </c>
      <c r="E35">
        <v>0.28999999999999998</v>
      </c>
      <c r="F35">
        <v>499.57</v>
      </c>
      <c r="G35">
        <v>144.88</v>
      </c>
      <c r="K35" t="s">
        <v>40</v>
      </c>
      <c r="L35" t="s">
        <v>3366</v>
      </c>
    </row>
    <row r="36" spans="1:12" x14ac:dyDescent="0.3">
      <c r="A36" t="s">
        <v>568</v>
      </c>
      <c r="B36" s="453">
        <v>46054</v>
      </c>
      <c r="C36" t="s">
        <v>3456</v>
      </c>
      <c r="D36">
        <v>754.35</v>
      </c>
      <c r="E36">
        <v>0.28999999999999998</v>
      </c>
      <c r="F36">
        <v>754.35</v>
      </c>
      <c r="G36">
        <v>218.76</v>
      </c>
      <c r="K36" t="s">
        <v>40</v>
      </c>
      <c r="L36" t="s">
        <v>3368</v>
      </c>
    </row>
    <row r="37" spans="1:12" x14ac:dyDescent="0.3">
      <c r="A37" t="s">
        <v>568</v>
      </c>
      <c r="B37" s="453">
        <v>46113</v>
      </c>
      <c r="C37" t="s">
        <v>3457</v>
      </c>
      <c r="D37">
        <v>163.80000000000001</v>
      </c>
      <c r="E37">
        <v>0.28999999999999998</v>
      </c>
      <c r="F37">
        <v>163.80000000000001</v>
      </c>
      <c r="G37">
        <v>47.5</v>
      </c>
      <c r="K37" t="s">
        <v>40</v>
      </c>
      <c r="L37" t="s">
        <v>3366</v>
      </c>
    </row>
    <row r="38" spans="1:12" x14ac:dyDescent="0.3">
      <c r="A38" t="s">
        <v>568</v>
      </c>
      <c r="B38" s="453">
        <v>46174</v>
      </c>
      <c r="C38" t="s">
        <v>3457</v>
      </c>
      <c r="D38">
        <v>120</v>
      </c>
      <c r="E38">
        <v>0.28999999999999998</v>
      </c>
      <c r="F38">
        <v>120</v>
      </c>
      <c r="G38">
        <v>34.799999999999997</v>
      </c>
      <c r="K38" t="s">
        <v>40</v>
      </c>
      <c r="L38" t="s">
        <v>3364</v>
      </c>
    </row>
    <row r="39" spans="1:12" x14ac:dyDescent="0.3">
      <c r="A39" t="s">
        <v>568</v>
      </c>
      <c r="B39" s="453">
        <v>46054</v>
      </c>
      <c r="C39" t="s">
        <v>3458</v>
      </c>
      <c r="D39">
        <v>3</v>
      </c>
      <c r="E39">
        <v>0.28999999999999998</v>
      </c>
      <c r="F39">
        <v>3</v>
      </c>
      <c r="G39">
        <v>0.87</v>
      </c>
      <c r="K39" t="s">
        <v>40</v>
      </c>
      <c r="L39" t="s">
        <v>3368</v>
      </c>
    </row>
    <row r="40" spans="1:12" x14ac:dyDescent="0.3">
      <c r="A40" t="s">
        <v>568</v>
      </c>
      <c r="B40" s="453">
        <v>46082</v>
      </c>
      <c r="C40" t="s">
        <v>3458</v>
      </c>
      <c r="D40">
        <v>34.159999999999997</v>
      </c>
      <c r="E40">
        <v>0.28999999999999998</v>
      </c>
      <c r="F40">
        <v>34.159999999999997</v>
      </c>
      <c r="G40">
        <v>9.91</v>
      </c>
      <c r="K40" t="s">
        <v>40</v>
      </c>
      <c r="L40" t="s">
        <v>3367</v>
      </c>
    </row>
    <row r="41" spans="1:12" x14ac:dyDescent="0.3">
      <c r="A41" t="s">
        <v>568</v>
      </c>
      <c r="B41" s="453">
        <v>46143</v>
      </c>
      <c r="C41" t="s">
        <v>3458</v>
      </c>
      <c r="D41">
        <v>232</v>
      </c>
      <c r="E41">
        <v>0.28999999999999998</v>
      </c>
      <c r="F41">
        <v>232</v>
      </c>
      <c r="G41">
        <v>67.28</v>
      </c>
      <c r="K41" t="s">
        <v>40</v>
      </c>
      <c r="L41" t="s">
        <v>3365</v>
      </c>
    </row>
    <row r="42" spans="1:12" x14ac:dyDescent="0.3">
      <c r="A42" t="s">
        <v>568</v>
      </c>
      <c r="B42" s="453">
        <v>46113</v>
      </c>
      <c r="C42" t="s">
        <v>3458</v>
      </c>
      <c r="D42">
        <v>75.2</v>
      </c>
      <c r="E42">
        <v>0.28999999999999998</v>
      </c>
      <c r="F42">
        <v>75.2</v>
      </c>
      <c r="G42">
        <v>21.81</v>
      </c>
      <c r="K42" t="s">
        <v>40</v>
      </c>
      <c r="L42" t="s">
        <v>3366</v>
      </c>
    </row>
    <row r="43" spans="1:12" x14ac:dyDescent="0.3">
      <c r="A43" t="s">
        <v>568</v>
      </c>
      <c r="B43" s="453">
        <v>46174</v>
      </c>
      <c r="C43" t="s">
        <v>3458</v>
      </c>
      <c r="D43">
        <v>4.25</v>
      </c>
      <c r="E43">
        <v>0.28999999999999998</v>
      </c>
      <c r="F43">
        <v>4.25</v>
      </c>
      <c r="G43">
        <v>1.23</v>
      </c>
      <c r="K43" t="s">
        <v>40</v>
      </c>
      <c r="L43" t="s">
        <v>3364</v>
      </c>
    </row>
    <row r="44" spans="1:12" x14ac:dyDescent="0.3">
      <c r="A44" t="s">
        <v>568</v>
      </c>
      <c r="B44" s="453">
        <v>46113</v>
      </c>
      <c r="C44" t="s">
        <v>3459</v>
      </c>
      <c r="D44">
        <v>725.6</v>
      </c>
      <c r="E44">
        <v>0.28999999999999998</v>
      </c>
      <c r="F44">
        <v>515.17999999999995</v>
      </c>
      <c r="G44">
        <v>210.42</v>
      </c>
      <c r="H44" t="s">
        <v>308</v>
      </c>
      <c r="K44" t="s">
        <v>44</v>
      </c>
      <c r="L44" t="s">
        <v>3366</v>
      </c>
    </row>
    <row r="45" spans="1:12" x14ac:dyDescent="0.3">
      <c r="A45" t="s">
        <v>568</v>
      </c>
      <c r="B45" s="453">
        <v>46082</v>
      </c>
      <c r="C45" t="s">
        <v>3459</v>
      </c>
      <c r="D45">
        <v>1437.5</v>
      </c>
      <c r="E45">
        <v>0.28999999999999998</v>
      </c>
      <c r="F45">
        <v>1020.63</v>
      </c>
      <c r="G45">
        <v>416.87</v>
      </c>
      <c r="H45" t="s">
        <v>308</v>
      </c>
      <c r="K45" t="s">
        <v>44</v>
      </c>
      <c r="L45" t="s">
        <v>3367</v>
      </c>
    </row>
    <row r="46" spans="1:12" x14ac:dyDescent="0.3">
      <c r="A46" t="s">
        <v>568</v>
      </c>
      <c r="B46" s="453">
        <v>46174</v>
      </c>
      <c r="C46" t="s">
        <v>3459</v>
      </c>
      <c r="D46">
        <v>1162</v>
      </c>
      <c r="E46">
        <v>0.28999999999999998</v>
      </c>
      <c r="F46">
        <v>825.02</v>
      </c>
      <c r="G46">
        <v>336.98</v>
      </c>
      <c r="H46" t="s">
        <v>308</v>
      </c>
      <c r="K46" t="s">
        <v>44</v>
      </c>
      <c r="L46" t="s">
        <v>3364</v>
      </c>
    </row>
    <row r="47" spans="1:12" x14ac:dyDescent="0.3">
      <c r="A47" t="s">
        <v>568</v>
      </c>
      <c r="B47" s="453">
        <v>46054</v>
      </c>
      <c r="C47" t="s">
        <v>3459</v>
      </c>
      <c r="D47">
        <v>1282.8499999999999</v>
      </c>
      <c r="E47">
        <v>0.28999999999999998</v>
      </c>
      <c r="F47">
        <v>910.82</v>
      </c>
      <c r="G47">
        <v>372.03</v>
      </c>
      <c r="H47" t="s">
        <v>308</v>
      </c>
      <c r="K47" t="s">
        <v>44</v>
      </c>
      <c r="L47" t="s">
        <v>3368</v>
      </c>
    </row>
    <row r="48" spans="1:12" x14ac:dyDescent="0.3">
      <c r="A48" t="s">
        <v>568</v>
      </c>
      <c r="B48" s="453">
        <v>46023</v>
      </c>
      <c r="C48" t="s">
        <v>3459</v>
      </c>
      <c r="D48">
        <v>1178.8499999999999</v>
      </c>
      <c r="E48">
        <v>0.28999999999999998</v>
      </c>
      <c r="F48">
        <v>836.98</v>
      </c>
      <c r="G48">
        <v>341.87</v>
      </c>
      <c r="H48" t="s">
        <v>308</v>
      </c>
      <c r="K48" t="s">
        <v>44</v>
      </c>
      <c r="L48" t="s">
        <v>3369</v>
      </c>
    </row>
    <row r="49" spans="1:12" x14ac:dyDescent="0.3">
      <c r="A49" t="s">
        <v>568</v>
      </c>
      <c r="B49" s="453">
        <v>46143</v>
      </c>
      <c r="C49" t="s">
        <v>3459</v>
      </c>
      <c r="D49">
        <v>1240.7</v>
      </c>
      <c r="E49">
        <v>0.28999999999999998</v>
      </c>
      <c r="F49">
        <v>880.9</v>
      </c>
      <c r="G49">
        <v>359.8</v>
      </c>
      <c r="H49" t="s">
        <v>308</v>
      </c>
      <c r="K49" t="s">
        <v>44</v>
      </c>
      <c r="L49" t="s">
        <v>3365</v>
      </c>
    </row>
    <row r="50" spans="1:12" x14ac:dyDescent="0.3">
      <c r="A50" t="s">
        <v>568</v>
      </c>
      <c r="B50" s="453">
        <v>46174</v>
      </c>
      <c r="C50" t="s">
        <v>3460</v>
      </c>
      <c r="D50">
        <v>568.30999999999995</v>
      </c>
      <c r="E50">
        <v>0.28999999999999998</v>
      </c>
      <c r="F50">
        <v>568.30999999999995</v>
      </c>
      <c r="G50">
        <v>164.81</v>
      </c>
      <c r="K50" t="s">
        <v>40</v>
      </c>
      <c r="L50" t="s">
        <v>3364</v>
      </c>
    </row>
    <row r="51" spans="1:12" x14ac:dyDescent="0.3">
      <c r="A51" t="s">
        <v>568</v>
      </c>
      <c r="B51" s="453">
        <v>46082</v>
      </c>
      <c r="C51" t="s">
        <v>3460</v>
      </c>
      <c r="D51">
        <v>85</v>
      </c>
      <c r="E51">
        <v>0.28999999999999998</v>
      </c>
      <c r="F51">
        <v>85</v>
      </c>
      <c r="G51">
        <v>24.65</v>
      </c>
      <c r="K51" t="s">
        <v>40</v>
      </c>
      <c r="L51" t="s">
        <v>3367</v>
      </c>
    </row>
    <row r="52" spans="1:12" x14ac:dyDescent="0.3">
      <c r="A52" t="s">
        <v>568</v>
      </c>
      <c r="B52" s="453">
        <v>46113</v>
      </c>
      <c r="C52" t="s">
        <v>3460</v>
      </c>
      <c r="D52">
        <v>164.03</v>
      </c>
      <c r="E52">
        <v>0.28999999999999998</v>
      </c>
      <c r="F52">
        <v>164.03</v>
      </c>
      <c r="G52">
        <v>47.57</v>
      </c>
      <c r="K52" t="s">
        <v>40</v>
      </c>
      <c r="L52" t="s">
        <v>3366</v>
      </c>
    </row>
    <row r="53" spans="1:12" x14ac:dyDescent="0.3">
      <c r="A53" t="s">
        <v>568</v>
      </c>
      <c r="B53" s="453">
        <v>46143</v>
      </c>
      <c r="C53" t="s">
        <v>3460</v>
      </c>
      <c r="D53">
        <v>374.72</v>
      </c>
      <c r="E53">
        <v>0.28999999999999998</v>
      </c>
      <c r="F53">
        <v>374.72</v>
      </c>
      <c r="G53">
        <v>108.67</v>
      </c>
      <c r="K53" t="s">
        <v>40</v>
      </c>
      <c r="L53" t="s">
        <v>3365</v>
      </c>
    </row>
    <row r="54" spans="1:12" x14ac:dyDescent="0.3">
      <c r="A54" t="s">
        <v>568</v>
      </c>
      <c r="B54" s="453">
        <v>46054</v>
      </c>
      <c r="C54" t="s">
        <v>3460</v>
      </c>
      <c r="D54">
        <v>63.8</v>
      </c>
      <c r="E54">
        <v>0.28999999999999998</v>
      </c>
      <c r="F54">
        <v>63.8</v>
      </c>
      <c r="G54">
        <v>18.5</v>
      </c>
      <c r="K54" t="s">
        <v>40</v>
      </c>
      <c r="L54" t="s">
        <v>3368</v>
      </c>
    </row>
    <row r="55" spans="1:12" x14ac:dyDescent="0.3">
      <c r="A55" t="s">
        <v>568</v>
      </c>
      <c r="B55" s="453">
        <v>46082</v>
      </c>
      <c r="C55" t="s">
        <v>3461</v>
      </c>
      <c r="D55">
        <v>380</v>
      </c>
      <c r="E55">
        <v>0.28999999999999998</v>
      </c>
      <c r="F55">
        <v>380</v>
      </c>
      <c r="G55">
        <v>110.2</v>
      </c>
      <c r="K55" t="s">
        <v>40</v>
      </c>
      <c r="L55" t="s">
        <v>3367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36"/>
  <sheetViews>
    <sheetView workbookViewId="0"/>
  </sheetViews>
  <sheetFormatPr defaultRowHeight="14.4" x14ac:dyDescent="0.3"/>
  <sheetData>
    <row r="1" spans="1:10" x14ac:dyDescent="0.3">
      <c r="A1" t="s">
        <v>551</v>
      </c>
      <c r="B1" t="s">
        <v>3440</v>
      </c>
      <c r="C1" t="s">
        <v>3462</v>
      </c>
      <c r="D1" t="s">
        <v>3463</v>
      </c>
      <c r="E1" t="s">
        <v>3464</v>
      </c>
      <c r="F1" t="s">
        <v>3465</v>
      </c>
      <c r="G1" t="s">
        <v>3466</v>
      </c>
      <c r="H1" t="s">
        <v>3467</v>
      </c>
      <c r="I1" t="s">
        <v>3356</v>
      </c>
      <c r="J1" t="s">
        <v>566</v>
      </c>
    </row>
    <row r="2" spans="1:10" x14ac:dyDescent="0.3">
      <c r="A2" t="s">
        <v>568</v>
      </c>
      <c r="B2" s="453">
        <v>46023</v>
      </c>
      <c r="C2" t="s">
        <v>3468</v>
      </c>
      <c r="D2" t="s">
        <v>3449</v>
      </c>
      <c r="E2" t="s">
        <v>3469</v>
      </c>
      <c r="F2">
        <v>1</v>
      </c>
      <c r="G2">
        <v>48</v>
      </c>
      <c r="H2" t="s">
        <v>3470</v>
      </c>
      <c r="J2" t="s">
        <v>3369</v>
      </c>
    </row>
    <row r="3" spans="1:10" x14ac:dyDescent="0.3">
      <c r="A3" t="s">
        <v>568</v>
      </c>
      <c r="B3" s="453">
        <v>46023</v>
      </c>
      <c r="C3" t="s">
        <v>3471</v>
      </c>
      <c r="D3" t="s">
        <v>3449</v>
      </c>
      <c r="E3" t="s">
        <v>3472</v>
      </c>
      <c r="F3">
        <v>1</v>
      </c>
      <c r="G3">
        <v>85</v>
      </c>
      <c r="H3" t="s">
        <v>3470</v>
      </c>
      <c r="J3" t="s">
        <v>3369</v>
      </c>
    </row>
    <row r="4" spans="1:10" x14ac:dyDescent="0.3">
      <c r="A4" t="s">
        <v>568</v>
      </c>
      <c r="B4" s="453">
        <v>46023</v>
      </c>
      <c r="C4" t="s">
        <v>3473</v>
      </c>
      <c r="D4" t="s">
        <v>3449</v>
      </c>
      <c r="E4" t="s">
        <v>3474</v>
      </c>
      <c r="F4">
        <v>1</v>
      </c>
      <c r="G4">
        <v>89</v>
      </c>
      <c r="H4" t="s">
        <v>3470</v>
      </c>
      <c r="J4" t="s">
        <v>3369</v>
      </c>
    </row>
    <row r="5" spans="1:10" x14ac:dyDescent="0.3">
      <c r="A5" t="s">
        <v>568</v>
      </c>
      <c r="B5" s="453">
        <v>46023</v>
      </c>
      <c r="C5" t="s">
        <v>3475</v>
      </c>
      <c r="D5" t="s">
        <v>3449</v>
      </c>
      <c r="E5" t="s">
        <v>3476</v>
      </c>
      <c r="F5">
        <v>1</v>
      </c>
      <c r="G5">
        <v>16.899999999999999</v>
      </c>
      <c r="H5" t="s">
        <v>3477</v>
      </c>
      <c r="J5" t="s">
        <v>3369</v>
      </c>
    </row>
    <row r="6" spans="1:10" x14ac:dyDescent="0.3">
      <c r="A6" t="s">
        <v>568</v>
      </c>
      <c r="B6" s="453">
        <v>46023</v>
      </c>
      <c r="C6" t="s">
        <v>3478</v>
      </c>
      <c r="D6" t="s">
        <v>3449</v>
      </c>
      <c r="E6" t="s">
        <v>3479</v>
      </c>
      <c r="F6">
        <v>1</v>
      </c>
      <c r="G6">
        <v>25</v>
      </c>
      <c r="H6" t="s">
        <v>3470</v>
      </c>
      <c r="J6" t="s">
        <v>3369</v>
      </c>
    </row>
    <row r="7" spans="1:10" x14ac:dyDescent="0.3">
      <c r="A7" t="s">
        <v>568</v>
      </c>
      <c r="B7" s="453">
        <v>46023</v>
      </c>
      <c r="C7" t="s">
        <v>3480</v>
      </c>
      <c r="D7" t="s">
        <v>3449</v>
      </c>
      <c r="E7" t="s">
        <v>3476</v>
      </c>
      <c r="F7">
        <v>5</v>
      </c>
      <c r="G7">
        <v>74.5</v>
      </c>
      <c r="H7" t="s">
        <v>3477</v>
      </c>
      <c r="J7" t="s">
        <v>3369</v>
      </c>
    </row>
    <row r="8" spans="1:10" x14ac:dyDescent="0.3">
      <c r="A8" t="s">
        <v>568</v>
      </c>
      <c r="B8" s="453">
        <v>46023</v>
      </c>
      <c r="C8" t="s">
        <v>3481</v>
      </c>
      <c r="D8" t="s">
        <v>3449</v>
      </c>
      <c r="E8" t="s">
        <v>3469</v>
      </c>
      <c r="F8">
        <v>1</v>
      </c>
      <c r="G8">
        <v>54</v>
      </c>
      <c r="H8" t="s">
        <v>3470</v>
      </c>
      <c r="J8" t="s">
        <v>3369</v>
      </c>
    </row>
    <row r="9" spans="1:10" x14ac:dyDescent="0.3">
      <c r="A9" t="s">
        <v>568</v>
      </c>
      <c r="B9" s="453">
        <v>46023</v>
      </c>
      <c r="C9" t="s">
        <v>3482</v>
      </c>
      <c r="D9" t="s">
        <v>3449</v>
      </c>
      <c r="E9" t="s">
        <v>3469</v>
      </c>
      <c r="F9">
        <v>1</v>
      </c>
      <c r="G9">
        <v>23</v>
      </c>
      <c r="H9" t="s">
        <v>3470</v>
      </c>
      <c r="J9" t="s">
        <v>3369</v>
      </c>
    </row>
    <row r="10" spans="1:10" x14ac:dyDescent="0.3">
      <c r="A10" t="s">
        <v>568</v>
      </c>
      <c r="B10" s="453">
        <v>46023</v>
      </c>
      <c r="C10" t="s">
        <v>3483</v>
      </c>
      <c r="D10" t="s">
        <v>3449</v>
      </c>
      <c r="E10" t="s">
        <v>3469</v>
      </c>
      <c r="F10">
        <v>1</v>
      </c>
      <c r="G10">
        <v>84</v>
      </c>
      <c r="H10" t="s">
        <v>3470</v>
      </c>
      <c r="J10" t="s">
        <v>3369</v>
      </c>
    </row>
    <row r="11" spans="1:10" x14ac:dyDescent="0.3">
      <c r="A11" t="s">
        <v>568</v>
      </c>
      <c r="B11" s="453">
        <v>46023</v>
      </c>
      <c r="C11" t="s">
        <v>3484</v>
      </c>
      <c r="D11" t="s">
        <v>3449</v>
      </c>
      <c r="E11" t="s">
        <v>3485</v>
      </c>
      <c r="F11">
        <v>1</v>
      </c>
      <c r="G11">
        <v>69</v>
      </c>
      <c r="H11" t="s">
        <v>3470</v>
      </c>
      <c r="J11" t="s">
        <v>3369</v>
      </c>
    </row>
    <row r="12" spans="1:10" x14ac:dyDescent="0.3">
      <c r="A12" t="s">
        <v>568</v>
      </c>
      <c r="B12" s="453">
        <v>46023</v>
      </c>
      <c r="C12" t="s">
        <v>3486</v>
      </c>
      <c r="D12" t="s">
        <v>3449</v>
      </c>
      <c r="E12" t="s">
        <v>3485</v>
      </c>
      <c r="F12">
        <v>1</v>
      </c>
      <c r="G12">
        <v>98</v>
      </c>
      <c r="H12" t="s">
        <v>3470</v>
      </c>
      <c r="J12" t="s">
        <v>3369</v>
      </c>
    </row>
    <row r="13" spans="1:10" x14ac:dyDescent="0.3">
      <c r="A13" t="s">
        <v>568</v>
      </c>
      <c r="B13" s="453">
        <v>46023</v>
      </c>
      <c r="C13" t="s">
        <v>3487</v>
      </c>
      <c r="D13" t="s">
        <v>3449</v>
      </c>
      <c r="E13" t="s">
        <v>3485</v>
      </c>
      <c r="F13">
        <v>1</v>
      </c>
      <c r="G13">
        <v>89</v>
      </c>
      <c r="H13" t="s">
        <v>3470</v>
      </c>
      <c r="J13" t="s">
        <v>3369</v>
      </c>
    </row>
    <row r="14" spans="1:10" x14ac:dyDescent="0.3">
      <c r="A14" t="s">
        <v>568</v>
      </c>
      <c r="B14" s="453">
        <v>46023</v>
      </c>
      <c r="C14" t="s">
        <v>3488</v>
      </c>
      <c r="D14" t="s">
        <v>3449</v>
      </c>
      <c r="E14" t="s">
        <v>3469</v>
      </c>
      <c r="F14">
        <v>1</v>
      </c>
      <c r="G14">
        <v>52</v>
      </c>
      <c r="H14" t="s">
        <v>3470</v>
      </c>
      <c r="J14" t="s">
        <v>3369</v>
      </c>
    </row>
    <row r="15" spans="1:10" x14ac:dyDescent="0.3">
      <c r="A15" t="s">
        <v>568</v>
      </c>
      <c r="B15" s="453">
        <v>46023</v>
      </c>
      <c r="C15" t="s">
        <v>3489</v>
      </c>
      <c r="D15" t="s">
        <v>3452</v>
      </c>
      <c r="E15" t="s">
        <v>3490</v>
      </c>
      <c r="F15">
        <v>2</v>
      </c>
      <c r="G15">
        <v>4.8</v>
      </c>
      <c r="H15" t="s">
        <v>3477</v>
      </c>
      <c r="J15" t="s">
        <v>3369</v>
      </c>
    </row>
    <row r="16" spans="1:10" x14ac:dyDescent="0.3">
      <c r="A16" t="s">
        <v>568</v>
      </c>
      <c r="B16" s="453">
        <v>46023</v>
      </c>
      <c r="C16" t="s">
        <v>3491</v>
      </c>
      <c r="D16" t="s">
        <v>3452</v>
      </c>
      <c r="E16" t="s">
        <v>3490</v>
      </c>
      <c r="F16">
        <v>3</v>
      </c>
      <c r="G16">
        <v>5.4</v>
      </c>
      <c r="H16" t="s">
        <v>3477</v>
      </c>
      <c r="J16" t="s">
        <v>3369</v>
      </c>
    </row>
    <row r="17" spans="1:10" x14ac:dyDescent="0.3">
      <c r="A17" t="s">
        <v>568</v>
      </c>
      <c r="B17" s="453">
        <v>46023</v>
      </c>
      <c r="C17" t="s">
        <v>3484</v>
      </c>
      <c r="D17" t="s">
        <v>3452</v>
      </c>
      <c r="E17" t="s">
        <v>3485</v>
      </c>
      <c r="F17">
        <v>2</v>
      </c>
      <c r="G17">
        <v>41.4</v>
      </c>
      <c r="H17" t="s">
        <v>3470</v>
      </c>
      <c r="J17" t="s">
        <v>3369</v>
      </c>
    </row>
    <row r="18" spans="1:10" x14ac:dyDescent="0.3">
      <c r="A18" t="s">
        <v>568</v>
      </c>
      <c r="B18" s="453">
        <v>46023</v>
      </c>
      <c r="C18" t="s">
        <v>3486</v>
      </c>
      <c r="D18" t="s">
        <v>3452</v>
      </c>
      <c r="E18" t="s">
        <v>3485</v>
      </c>
      <c r="F18">
        <v>2</v>
      </c>
      <c r="G18">
        <v>58.8</v>
      </c>
      <c r="H18" t="s">
        <v>3470</v>
      </c>
      <c r="J18" t="s">
        <v>3369</v>
      </c>
    </row>
    <row r="19" spans="1:10" x14ac:dyDescent="0.3">
      <c r="A19" t="s">
        <v>568</v>
      </c>
      <c r="B19" s="453">
        <v>46023</v>
      </c>
      <c r="C19" t="s">
        <v>3492</v>
      </c>
      <c r="D19" t="s">
        <v>3452</v>
      </c>
      <c r="E19" t="s">
        <v>3493</v>
      </c>
      <c r="F19">
        <v>3</v>
      </c>
      <c r="G19">
        <v>43.2</v>
      </c>
      <c r="H19" t="s">
        <v>3470</v>
      </c>
      <c r="J19" t="s">
        <v>3369</v>
      </c>
    </row>
    <row r="20" spans="1:10" x14ac:dyDescent="0.3">
      <c r="A20" t="s">
        <v>568</v>
      </c>
      <c r="B20" s="453">
        <v>46023</v>
      </c>
      <c r="C20" t="s">
        <v>3475</v>
      </c>
      <c r="D20" t="s">
        <v>3452</v>
      </c>
      <c r="E20" t="s">
        <v>3476</v>
      </c>
      <c r="F20">
        <v>1</v>
      </c>
      <c r="G20">
        <v>5.07</v>
      </c>
      <c r="H20" t="s">
        <v>3477</v>
      </c>
      <c r="J20" t="s">
        <v>3369</v>
      </c>
    </row>
    <row r="21" spans="1:10" x14ac:dyDescent="0.3">
      <c r="A21" t="s">
        <v>568</v>
      </c>
      <c r="B21" s="453">
        <v>46023</v>
      </c>
      <c r="C21" t="s">
        <v>3494</v>
      </c>
      <c r="D21" t="s">
        <v>3452</v>
      </c>
      <c r="E21" t="s">
        <v>3495</v>
      </c>
      <c r="F21">
        <v>2</v>
      </c>
      <c r="G21">
        <v>12.6</v>
      </c>
      <c r="H21" t="s">
        <v>3470</v>
      </c>
      <c r="J21" t="s">
        <v>3369</v>
      </c>
    </row>
    <row r="22" spans="1:10" x14ac:dyDescent="0.3">
      <c r="A22" t="s">
        <v>568</v>
      </c>
      <c r="B22" s="453">
        <v>46023</v>
      </c>
      <c r="C22" t="s">
        <v>3496</v>
      </c>
      <c r="D22" t="s">
        <v>3452</v>
      </c>
      <c r="E22" t="s">
        <v>3497</v>
      </c>
      <c r="F22">
        <v>1</v>
      </c>
      <c r="G22">
        <v>7.5</v>
      </c>
      <c r="H22" t="s">
        <v>3477</v>
      </c>
      <c r="J22" t="s">
        <v>3369</v>
      </c>
    </row>
    <row r="23" spans="1:10" x14ac:dyDescent="0.3">
      <c r="A23" t="s">
        <v>568</v>
      </c>
      <c r="B23" s="453">
        <v>46023</v>
      </c>
      <c r="C23" t="s">
        <v>3492</v>
      </c>
      <c r="D23" t="s">
        <v>3453</v>
      </c>
      <c r="E23" t="s">
        <v>3493</v>
      </c>
      <c r="F23">
        <v>2</v>
      </c>
      <c r="G23">
        <v>28.8</v>
      </c>
      <c r="H23" t="s">
        <v>3470</v>
      </c>
      <c r="J23" t="s">
        <v>3369</v>
      </c>
    </row>
    <row r="24" spans="1:10" x14ac:dyDescent="0.3">
      <c r="A24" t="s">
        <v>568</v>
      </c>
      <c r="B24" s="453">
        <v>46023</v>
      </c>
      <c r="C24" t="s">
        <v>3498</v>
      </c>
      <c r="D24" t="s">
        <v>3453</v>
      </c>
      <c r="E24" t="s">
        <v>3499</v>
      </c>
      <c r="F24">
        <v>2</v>
      </c>
      <c r="G24">
        <v>21</v>
      </c>
      <c r="J24" t="s">
        <v>3369</v>
      </c>
    </row>
    <row r="25" spans="1:10" x14ac:dyDescent="0.3">
      <c r="A25" t="s">
        <v>568</v>
      </c>
      <c r="B25" s="453">
        <v>46023</v>
      </c>
      <c r="C25" t="s">
        <v>3481</v>
      </c>
      <c r="D25" t="s">
        <v>3453</v>
      </c>
      <c r="E25" t="s">
        <v>3469</v>
      </c>
      <c r="F25">
        <v>1</v>
      </c>
      <c r="G25">
        <v>16.2</v>
      </c>
      <c r="H25" t="s">
        <v>3470</v>
      </c>
      <c r="J25" t="s">
        <v>3369</v>
      </c>
    </row>
    <row r="26" spans="1:10" x14ac:dyDescent="0.3">
      <c r="A26" t="s">
        <v>568</v>
      </c>
      <c r="B26" s="453">
        <v>46023</v>
      </c>
      <c r="C26" t="s">
        <v>3500</v>
      </c>
      <c r="D26" t="s">
        <v>3453</v>
      </c>
      <c r="E26" t="s">
        <v>3501</v>
      </c>
      <c r="F26">
        <v>2</v>
      </c>
      <c r="G26">
        <v>4.8</v>
      </c>
      <c r="H26" t="s">
        <v>3477</v>
      </c>
      <c r="J26" t="s">
        <v>3369</v>
      </c>
    </row>
    <row r="27" spans="1:10" x14ac:dyDescent="0.3">
      <c r="A27" t="s">
        <v>568</v>
      </c>
      <c r="B27" s="453">
        <v>46023</v>
      </c>
      <c r="C27" t="s">
        <v>3494</v>
      </c>
      <c r="D27" t="s">
        <v>3453</v>
      </c>
      <c r="E27" t="s">
        <v>3495</v>
      </c>
      <c r="F27">
        <v>1</v>
      </c>
      <c r="G27">
        <v>6.3</v>
      </c>
      <c r="H27" t="s">
        <v>3470</v>
      </c>
      <c r="J27" t="s">
        <v>3369</v>
      </c>
    </row>
    <row r="28" spans="1:10" x14ac:dyDescent="0.3">
      <c r="A28" t="s">
        <v>568</v>
      </c>
      <c r="B28" s="453">
        <v>46023</v>
      </c>
      <c r="C28" t="s">
        <v>3480</v>
      </c>
      <c r="D28" t="s">
        <v>3453</v>
      </c>
      <c r="E28" t="s">
        <v>3476</v>
      </c>
      <c r="F28">
        <v>25</v>
      </c>
      <c r="G28">
        <v>111.75</v>
      </c>
      <c r="H28" t="s">
        <v>3477</v>
      </c>
      <c r="J28" t="s">
        <v>3369</v>
      </c>
    </row>
    <row r="29" spans="1:10" x14ac:dyDescent="0.3">
      <c r="A29" t="s">
        <v>568</v>
      </c>
      <c r="B29" s="453">
        <v>46023</v>
      </c>
      <c r="C29" t="s">
        <v>3475</v>
      </c>
      <c r="D29" t="s">
        <v>3453</v>
      </c>
      <c r="E29" t="s">
        <v>3476</v>
      </c>
      <c r="F29">
        <v>2</v>
      </c>
      <c r="G29">
        <v>10.14</v>
      </c>
      <c r="H29" t="s">
        <v>3477</v>
      </c>
      <c r="J29" t="s">
        <v>3369</v>
      </c>
    </row>
    <row r="30" spans="1:10" x14ac:dyDescent="0.3">
      <c r="A30" t="s">
        <v>568</v>
      </c>
      <c r="B30" s="453">
        <v>46023</v>
      </c>
      <c r="C30" t="s">
        <v>3502</v>
      </c>
      <c r="D30" t="s">
        <v>3453</v>
      </c>
      <c r="E30" t="s">
        <v>3503</v>
      </c>
      <c r="F30">
        <v>1</v>
      </c>
      <c r="G30">
        <v>25.2</v>
      </c>
      <c r="H30" t="s">
        <v>3470</v>
      </c>
      <c r="J30" t="s">
        <v>3369</v>
      </c>
    </row>
    <row r="31" spans="1:10" x14ac:dyDescent="0.3">
      <c r="A31" t="s">
        <v>568</v>
      </c>
      <c r="B31" s="453">
        <v>46023</v>
      </c>
      <c r="C31" t="s">
        <v>3504</v>
      </c>
      <c r="D31" t="s">
        <v>3454</v>
      </c>
      <c r="E31" t="s">
        <v>3469</v>
      </c>
      <c r="F31">
        <v>1</v>
      </c>
      <c r="G31">
        <v>14.4</v>
      </c>
      <c r="H31" t="s">
        <v>3470</v>
      </c>
      <c r="J31" t="s">
        <v>3369</v>
      </c>
    </row>
    <row r="32" spans="1:10" x14ac:dyDescent="0.3">
      <c r="A32" t="s">
        <v>568</v>
      </c>
      <c r="B32" s="453">
        <v>46023</v>
      </c>
      <c r="C32" t="s">
        <v>3505</v>
      </c>
      <c r="D32" t="s">
        <v>3454</v>
      </c>
      <c r="E32" t="s">
        <v>3506</v>
      </c>
      <c r="F32">
        <v>9</v>
      </c>
      <c r="G32">
        <v>32.130000000000003</v>
      </c>
      <c r="H32" t="s">
        <v>3477</v>
      </c>
      <c r="J32" t="s">
        <v>3369</v>
      </c>
    </row>
    <row r="33" spans="1:10" x14ac:dyDescent="0.3">
      <c r="A33" t="s">
        <v>568</v>
      </c>
      <c r="B33" s="453">
        <v>46023</v>
      </c>
      <c r="C33" t="s">
        <v>3507</v>
      </c>
      <c r="D33" t="s">
        <v>3454</v>
      </c>
      <c r="E33" t="s">
        <v>3508</v>
      </c>
      <c r="F33">
        <v>4</v>
      </c>
      <c r="G33">
        <v>27.6</v>
      </c>
      <c r="H33" t="s">
        <v>3470</v>
      </c>
      <c r="J33" t="s">
        <v>3369</v>
      </c>
    </row>
    <row r="34" spans="1:10" x14ac:dyDescent="0.3">
      <c r="A34" t="s">
        <v>568</v>
      </c>
      <c r="B34" s="453">
        <v>46023</v>
      </c>
      <c r="C34" t="s">
        <v>3509</v>
      </c>
      <c r="D34" t="s">
        <v>3454</v>
      </c>
      <c r="E34" t="s">
        <v>3469</v>
      </c>
      <c r="F34">
        <v>7</v>
      </c>
      <c r="G34">
        <v>119.7</v>
      </c>
      <c r="H34" t="s">
        <v>3470</v>
      </c>
      <c r="J34" t="s">
        <v>3369</v>
      </c>
    </row>
    <row r="35" spans="1:10" x14ac:dyDescent="0.3">
      <c r="A35" t="s">
        <v>568</v>
      </c>
      <c r="B35" s="453">
        <v>46023</v>
      </c>
      <c r="C35" t="s">
        <v>3510</v>
      </c>
      <c r="D35" t="s">
        <v>3454</v>
      </c>
      <c r="E35" t="s">
        <v>3485</v>
      </c>
      <c r="F35">
        <v>5</v>
      </c>
      <c r="G35">
        <v>127.5</v>
      </c>
      <c r="H35" t="s">
        <v>3470</v>
      </c>
      <c r="J35" t="s">
        <v>3369</v>
      </c>
    </row>
    <row r="36" spans="1:10" x14ac:dyDescent="0.3">
      <c r="A36" t="s">
        <v>568</v>
      </c>
      <c r="B36" s="453">
        <v>46023</v>
      </c>
      <c r="C36" t="s">
        <v>3492</v>
      </c>
      <c r="D36" t="s">
        <v>3454</v>
      </c>
      <c r="E36" t="s">
        <v>3493</v>
      </c>
      <c r="F36">
        <v>1</v>
      </c>
      <c r="G36">
        <v>14.4</v>
      </c>
      <c r="H36" t="s">
        <v>3470</v>
      </c>
      <c r="J36" t="s">
        <v>3369</v>
      </c>
    </row>
    <row r="37" spans="1:10" x14ac:dyDescent="0.3">
      <c r="A37" t="s">
        <v>568</v>
      </c>
      <c r="B37" s="453">
        <v>46023</v>
      </c>
      <c r="C37" t="s">
        <v>3511</v>
      </c>
      <c r="D37" t="s">
        <v>3454</v>
      </c>
      <c r="E37" t="s">
        <v>3469</v>
      </c>
      <c r="F37">
        <v>2</v>
      </c>
      <c r="G37">
        <v>82.8</v>
      </c>
      <c r="H37" t="s">
        <v>3470</v>
      </c>
      <c r="J37" t="s">
        <v>3369</v>
      </c>
    </row>
    <row r="38" spans="1:10" x14ac:dyDescent="0.3">
      <c r="A38" t="s">
        <v>568</v>
      </c>
      <c r="B38" s="453">
        <v>46023</v>
      </c>
      <c r="C38" t="s">
        <v>3512</v>
      </c>
      <c r="D38" t="s">
        <v>3454</v>
      </c>
      <c r="E38" t="s">
        <v>3469</v>
      </c>
      <c r="F38">
        <v>2</v>
      </c>
      <c r="G38">
        <v>29.4</v>
      </c>
      <c r="H38" t="s">
        <v>3470</v>
      </c>
      <c r="J38" t="s">
        <v>3369</v>
      </c>
    </row>
    <row r="39" spans="1:10" x14ac:dyDescent="0.3">
      <c r="A39" t="s">
        <v>568</v>
      </c>
      <c r="B39" s="453">
        <v>46023</v>
      </c>
      <c r="C39" t="s">
        <v>3513</v>
      </c>
      <c r="D39" t="s">
        <v>3454</v>
      </c>
      <c r="E39" t="s">
        <v>3493</v>
      </c>
      <c r="F39">
        <v>2</v>
      </c>
      <c r="G39">
        <v>63.6</v>
      </c>
      <c r="H39" t="s">
        <v>3470</v>
      </c>
      <c r="J39" t="s">
        <v>3369</v>
      </c>
    </row>
    <row r="40" spans="1:10" x14ac:dyDescent="0.3">
      <c r="A40" t="s">
        <v>568</v>
      </c>
      <c r="B40" s="453">
        <v>46023</v>
      </c>
      <c r="C40" t="s">
        <v>3514</v>
      </c>
      <c r="D40" t="s">
        <v>3454</v>
      </c>
      <c r="E40" t="s">
        <v>3469</v>
      </c>
      <c r="F40">
        <v>7</v>
      </c>
      <c r="G40">
        <v>100.8</v>
      </c>
      <c r="H40" t="s">
        <v>3470</v>
      </c>
      <c r="J40" t="s">
        <v>3369</v>
      </c>
    </row>
    <row r="41" spans="1:10" x14ac:dyDescent="0.3">
      <c r="A41" t="s">
        <v>568</v>
      </c>
      <c r="B41" s="453">
        <v>46023</v>
      </c>
      <c r="C41" t="s">
        <v>3488</v>
      </c>
      <c r="D41" t="s">
        <v>3454</v>
      </c>
      <c r="E41" t="s">
        <v>3469</v>
      </c>
      <c r="F41">
        <v>3</v>
      </c>
      <c r="G41">
        <v>46.8</v>
      </c>
      <c r="H41" t="s">
        <v>3470</v>
      </c>
      <c r="J41" t="s">
        <v>3369</v>
      </c>
    </row>
    <row r="42" spans="1:10" x14ac:dyDescent="0.3">
      <c r="A42" t="s">
        <v>568</v>
      </c>
      <c r="B42" s="453">
        <v>46023</v>
      </c>
      <c r="C42" t="s">
        <v>3473</v>
      </c>
      <c r="D42" t="s">
        <v>3454</v>
      </c>
      <c r="E42" t="s">
        <v>3474</v>
      </c>
      <c r="F42">
        <v>4</v>
      </c>
      <c r="G42">
        <v>106.8</v>
      </c>
      <c r="H42" t="s">
        <v>3470</v>
      </c>
      <c r="J42" t="s">
        <v>3369</v>
      </c>
    </row>
    <row r="43" spans="1:10" x14ac:dyDescent="0.3">
      <c r="A43" t="s">
        <v>568</v>
      </c>
      <c r="B43" s="453">
        <v>46023</v>
      </c>
      <c r="C43" t="s">
        <v>3468</v>
      </c>
      <c r="D43" t="s">
        <v>3454</v>
      </c>
      <c r="E43" t="s">
        <v>3469</v>
      </c>
      <c r="F43">
        <v>2</v>
      </c>
      <c r="G43">
        <v>28.8</v>
      </c>
      <c r="H43" t="s">
        <v>3470</v>
      </c>
      <c r="J43" t="s">
        <v>3369</v>
      </c>
    </row>
    <row r="44" spans="1:10" x14ac:dyDescent="0.3">
      <c r="A44" t="s">
        <v>568</v>
      </c>
      <c r="B44" s="453">
        <v>46023</v>
      </c>
      <c r="C44" t="s">
        <v>3515</v>
      </c>
      <c r="D44" t="s">
        <v>3454</v>
      </c>
      <c r="E44" t="s">
        <v>3516</v>
      </c>
      <c r="F44">
        <v>2</v>
      </c>
      <c r="G44">
        <v>5.4</v>
      </c>
      <c r="H44" t="s">
        <v>3477</v>
      </c>
      <c r="J44" t="s">
        <v>3369</v>
      </c>
    </row>
    <row r="45" spans="1:10" x14ac:dyDescent="0.3">
      <c r="A45" t="s">
        <v>568</v>
      </c>
      <c r="B45" s="453">
        <v>46023</v>
      </c>
      <c r="C45" t="s">
        <v>3517</v>
      </c>
      <c r="D45" t="s">
        <v>3454</v>
      </c>
      <c r="E45" t="s">
        <v>3518</v>
      </c>
      <c r="F45">
        <v>10</v>
      </c>
      <c r="G45">
        <v>51</v>
      </c>
      <c r="H45" t="s">
        <v>3470</v>
      </c>
      <c r="J45" t="s">
        <v>3369</v>
      </c>
    </row>
    <row r="46" spans="1:10" x14ac:dyDescent="0.3">
      <c r="A46" t="s">
        <v>568</v>
      </c>
      <c r="B46" s="453">
        <v>46023</v>
      </c>
      <c r="C46" t="s">
        <v>3519</v>
      </c>
      <c r="D46" t="s">
        <v>3454</v>
      </c>
      <c r="E46" t="s">
        <v>3469</v>
      </c>
      <c r="F46">
        <v>8</v>
      </c>
      <c r="G46">
        <v>141.6</v>
      </c>
      <c r="H46" t="s">
        <v>3470</v>
      </c>
      <c r="J46" t="s">
        <v>3369</v>
      </c>
    </row>
    <row r="47" spans="1:10" x14ac:dyDescent="0.3">
      <c r="A47" t="s">
        <v>568</v>
      </c>
      <c r="B47" s="453">
        <v>46023</v>
      </c>
      <c r="C47" t="s">
        <v>3486</v>
      </c>
      <c r="D47" t="s">
        <v>3454</v>
      </c>
      <c r="E47" t="s">
        <v>3485</v>
      </c>
      <c r="F47">
        <v>8</v>
      </c>
      <c r="G47">
        <v>235.2</v>
      </c>
      <c r="H47" t="s">
        <v>3470</v>
      </c>
      <c r="J47" t="s">
        <v>3369</v>
      </c>
    </row>
    <row r="48" spans="1:10" x14ac:dyDescent="0.3">
      <c r="A48" t="s">
        <v>568</v>
      </c>
      <c r="B48" s="453">
        <v>46023</v>
      </c>
      <c r="C48" t="s">
        <v>3520</v>
      </c>
      <c r="D48" t="s">
        <v>3454</v>
      </c>
      <c r="E48" t="s">
        <v>3474</v>
      </c>
      <c r="F48">
        <v>1</v>
      </c>
      <c r="G48">
        <v>50.4</v>
      </c>
      <c r="H48" t="s">
        <v>3470</v>
      </c>
      <c r="J48" t="s">
        <v>3369</v>
      </c>
    </row>
    <row r="49" spans="1:10" x14ac:dyDescent="0.3">
      <c r="A49" t="s">
        <v>568</v>
      </c>
      <c r="B49" s="453">
        <v>46023</v>
      </c>
      <c r="C49" t="s">
        <v>3484</v>
      </c>
      <c r="D49" t="s">
        <v>3454</v>
      </c>
      <c r="E49" t="s">
        <v>3485</v>
      </c>
      <c r="F49">
        <v>13</v>
      </c>
      <c r="G49">
        <v>269.10000000000002</v>
      </c>
      <c r="H49" t="s">
        <v>3470</v>
      </c>
      <c r="J49" t="s">
        <v>3369</v>
      </c>
    </row>
    <row r="50" spans="1:10" x14ac:dyDescent="0.3">
      <c r="A50" t="s">
        <v>568</v>
      </c>
      <c r="B50" s="453">
        <v>46023</v>
      </c>
      <c r="C50" t="s">
        <v>3521</v>
      </c>
      <c r="D50" t="s">
        <v>3454</v>
      </c>
      <c r="E50" t="s">
        <v>3469</v>
      </c>
      <c r="F50">
        <v>1</v>
      </c>
      <c r="G50">
        <v>16.8</v>
      </c>
      <c r="H50" t="s">
        <v>3470</v>
      </c>
      <c r="J50" t="s">
        <v>3369</v>
      </c>
    </row>
    <row r="51" spans="1:10" x14ac:dyDescent="0.3">
      <c r="A51" t="s">
        <v>568</v>
      </c>
      <c r="B51" s="453">
        <v>46023</v>
      </c>
      <c r="C51" t="s">
        <v>3522</v>
      </c>
      <c r="D51" t="s">
        <v>3454</v>
      </c>
      <c r="E51" t="s">
        <v>3469</v>
      </c>
      <c r="F51">
        <v>10</v>
      </c>
      <c r="G51">
        <v>177</v>
      </c>
      <c r="H51" t="s">
        <v>3470</v>
      </c>
      <c r="J51" t="s">
        <v>3369</v>
      </c>
    </row>
    <row r="52" spans="1:10" x14ac:dyDescent="0.3">
      <c r="A52" t="s">
        <v>568</v>
      </c>
      <c r="B52" s="453">
        <v>46023</v>
      </c>
      <c r="C52" t="s">
        <v>3523</v>
      </c>
      <c r="D52" t="s">
        <v>3454</v>
      </c>
      <c r="E52" t="s">
        <v>3469</v>
      </c>
      <c r="F52">
        <v>1</v>
      </c>
      <c r="G52">
        <v>14.7</v>
      </c>
      <c r="H52" t="s">
        <v>3470</v>
      </c>
      <c r="J52" t="s">
        <v>3369</v>
      </c>
    </row>
    <row r="53" spans="1:10" x14ac:dyDescent="0.3">
      <c r="A53" t="s">
        <v>568</v>
      </c>
      <c r="B53" s="453">
        <v>46023</v>
      </c>
      <c r="C53" t="s">
        <v>3483</v>
      </c>
      <c r="D53" t="s">
        <v>3454</v>
      </c>
      <c r="E53" t="s">
        <v>3469</v>
      </c>
      <c r="F53">
        <v>12</v>
      </c>
      <c r="G53">
        <v>302.39999999999998</v>
      </c>
      <c r="H53" t="s">
        <v>3470</v>
      </c>
      <c r="J53" t="s">
        <v>3369</v>
      </c>
    </row>
    <row r="54" spans="1:10" x14ac:dyDescent="0.3">
      <c r="A54" t="s">
        <v>568</v>
      </c>
      <c r="B54" s="453">
        <v>46023</v>
      </c>
      <c r="C54" t="s">
        <v>3524</v>
      </c>
      <c r="D54" t="s">
        <v>3454</v>
      </c>
      <c r="E54" t="s">
        <v>3506</v>
      </c>
      <c r="F54">
        <v>14</v>
      </c>
      <c r="G54">
        <v>0</v>
      </c>
      <c r="H54" t="s">
        <v>3477</v>
      </c>
      <c r="J54" t="s">
        <v>3369</v>
      </c>
    </row>
    <row r="55" spans="1:10" x14ac:dyDescent="0.3">
      <c r="A55" t="s">
        <v>568</v>
      </c>
      <c r="B55" s="453">
        <v>46023</v>
      </c>
      <c r="C55" t="s">
        <v>3498</v>
      </c>
      <c r="D55" t="s">
        <v>3454</v>
      </c>
      <c r="E55" t="s">
        <v>3499</v>
      </c>
      <c r="F55">
        <v>2</v>
      </c>
      <c r="G55">
        <v>21</v>
      </c>
      <c r="J55" t="s">
        <v>3369</v>
      </c>
    </row>
    <row r="56" spans="1:10" x14ac:dyDescent="0.3">
      <c r="A56" t="s">
        <v>568</v>
      </c>
      <c r="B56" s="453">
        <v>46023</v>
      </c>
      <c r="C56" t="s">
        <v>3525</v>
      </c>
      <c r="D56" t="s">
        <v>3454</v>
      </c>
      <c r="E56" t="s">
        <v>3497</v>
      </c>
      <c r="F56">
        <v>7</v>
      </c>
      <c r="G56">
        <v>52.5</v>
      </c>
      <c r="H56" t="s">
        <v>3477</v>
      </c>
      <c r="J56" t="s">
        <v>3369</v>
      </c>
    </row>
    <row r="57" spans="1:10" x14ac:dyDescent="0.3">
      <c r="A57" t="s">
        <v>568</v>
      </c>
      <c r="B57" s="453">
        <v>46023</v>
      </c>
      <c r="C57" t="s">
        <v>3487</v>
      </c>
      <c r="D57" t="s">
        <v>3454</v>
      </c>
      <c r="E57" t="s">
        <v>3485</v>
      </c>
      <c r="F57">
        <v>1</v>
      </c>
      <c r="G57">
        <v>26.7</v>
      </c>
      <c r="H57" t="s">
        <v>3470</v>
      </c>
      <c r="J57" t="s">
        <v>3369</v>
      </c>
    </row>
    <row r="58" spans="1:10" x14ac:dyDescent="0.3">
      <c r="A58" t="s">
        <v>568</v>
      </c>
      <c r="B58" s="453">
        <v>46023</v>
      </c>
      <c r="C58" t="s">
        <v>3526</v>
      </c>
      <c r="D58" t="s">
        <v>3454</v>
      </c>
      <c r="E58" t="s">
        <v>3499</v>
      </c>
      <c r="F58">
        <v>1</v>
      </c>
      <c r="G58">
        <v>10.5</v>
      </c>
      <c r="H58" t="s">
        <v>3477</v>
      </c>
      <c r="J58" t="s">
        <v>3369</v>
      </c>
    </row>
    <row r="59" spans="1:10" x14ac:dyDescent="0.3">
      <c r="A59" t="s">
        <v>568</v>
      </c>
      <c r="B59" s="453">
        <v>46023</v>
      </c>
      <c r="C59" t="s">
        <v>3527</v>
      </c>
      <c r="D59" t="s">
        <v>3454</v>
      </c>
      <c r="E59" t="s">
        <v>3528</v>
      </c>
      <c r="F59">
        <v>3</v>
      </c>
      <c r="G59">
        <v>17.100000000000001</v>
      </c>
      <c r="H59" t="s">
        <v>3477</v>
      </c>
      <c r="J59" t="s">
        <v>3369</v>
      </c>
    </row>
    <row r="60" spans="1:10" x14ac:dyDescent="0.3">
      <c r="A60" t="s">
        <v>568</v>
      </c>
      <c r="B60" s="453">
        <v>46023</v>
      </c>
      <c r="C60" t="s">
        <v>3529</v>
      </c>
      <c r="D60" t="s">
        <v>3454</v>
      </c>
      <c r="E60" t="s">
        <v>3497</v>
      </c>
      <c r="F60">
        <v>3</v>
      </c>
      <c r="G60">
        <v>14.4</v>
      </c>
      <c r="H60" t="s">
        <v>3477</v>
      </c>
      <c r="J60" t="s">
        <v>3369</v>
      </c>
    </row>
    <row r="61" spans="1:10" x14ac:dyDescent="0.3">
      <c r="A61" t="s">
        <v>568</v>
      </c>
      <c r="B61" s="453">
        <v>46023</v>
      </c>
      <c r="C61" t="s">
        <v>3530</v>
      </c>
      <c r="D61" t="s">
        <v>3454</v>
      </c>
      <c r="E61" t="s">
        <v>3469</v>
      </c>
      <c r="F61">
        <v>5</v>
      </c>
      <c r="G61">
        <v>192</v>
      </c>
      <c r="H61" t="s">
        <v>3470</v>
      </c>
      <c r="J61" t="s">
        <v>3369</v>
      </c>
    </row>
    <row r="62" spans="1:10" x14ac:dyDescent="0.3">
      <c r="A62" t="s">
        <v>568</v>
      </c>
      <c r="B62" s="453">
        <v>46023</v>
      </c>
      <c r="C62" t="s">
        <v>3531</v>
      </c>
      <c r="D62" t="s">
        <v>3454</v>
      </c>
      <c r="E62" t="s">
        <v>3497</v>
      </c>
      <c r="F62">
        <v>6</v>
      </c>
      <c r="G62">
        <v>70.2</v>
      </c>
      <c r="H62" t="s">
        <v>3477</v>
      </c>
      <c r="J62" t="s">
        <v>3369</v>
      </c>
    </row>
    <row r="63" spans="1:10" x14ac:dyDescent="0.3">
      <c r="A63" t="s">
        <v>568</v>
      </c>
      <c r="B63" s="453">
        <v>46023</v>
      </c>
      <c r="C63" t="s">
        <v>3532</v>
      </c>
      <c r="D63" t="s">
        <v>3454</v>
      </c>
      <c r="E63" t="s">
        <v>3497</v>
      </c>
      <c r="F63">
        <v>1</v>
      </c>
      <c r="G63">
        <v>7.5</v>
      </c>
      <c r="H63" t="s">
        <v>3477</v>
      </c>
      <c r="J63" t="s">
        <v>3369</v>
      </c>
    </row>
    <row r="64" spans="1:10" x14ac:dyDescent="0.3">
      <c r="A64" t="s">
        <v>568</v>
      </c>
      <c r="B64" s="453">
        <v>46023</v>
      </c>
      <c r="C64" t="s">
        <v>3478</v>
      </c>
      <c r="D64" t="s">
        <v>3454</v>
      </c>
      <c r="E64" t="s">
        <v>3479</v>
      </c>
      <c r="F64">
        <v>3</v>
      </c>
      <c r="G64">
        <v>22.5</v>
      </c>
      <c r="H64" t="s">
        <v>3470</v>
      </c>
      <c r="J64" t="s">
        <v>3369</v>
      </c>
    </row>
    <row r="65" spans="1:10" x14ac:dyDescent="0.3">
      <c r="A65" t="s">
        <v>568</v>
      </c>
      <c r="B65" s="453">
        <v>46023</v>
      </c>
      <c r="C65" t="s">
        <v>3480</v>
      </c>
      <c r="D65" t="s">
        <v>3454</v>
      </c>
      <c r="E65" t="s">
        <v>3476</v>
      </c>
      <c r="F65">
        <v>89</v>
      </c>
      <c r="G65">
        <v>397.83</v>
      </c>
      <c r="H65" t="s">
        <v>3477</v>
      </c>
      <c r="J65" t="s">
        <v>3369</v>
      </c>
    </row>
    <row r="66" spans="1:10" x14ac:dyDescent="0.3">
      <c r="A66" t="s">
        <v>568</v>
      </c>
      <c r="B66" s="453">
        <v>46023</v>
      </c>
      <c r="C66" t="s">
        <v>3533</v>
      </c>
      <c r="D66" t="s">
        <v>3454</v>
      </c>
      <c r="E66" t="s">
        <v>3490</v>
      </c>
      <c r="F66">
        <v>3</v>
      </c>
      <c r="G66">
        <v>7.2</v>
      </c>
      <c r="H66" t="s">
        <v>3477</v>
      </c>
      <c r="J66" t="s">
        <v>3369</v>
      </c>
    </row>
    <row r="67" spans="1:10" x14ac:dyDescent="0.3">
      <c r="A67" t="s">
        <v>568</v>
      </c>
      <c r="B67" s="453">
        <v>46023</v>
      </c>
      <c r="C67" t="s">
        <v>3534</v>
      </c>
      <c r="D67" t="s">
        <v>3454</v>
      </c>
      <c r="E67" t="s">
        <v>3497</v>
      </c>
      <c r="F67">
        <v>22</v>
      </c>
      <c r="G67">
        <v>151.80000000000001</v>
      </c>
      <c r="H67" t="s">
        <v>3477</v>
      </c>
      <c r="J67" t="s">
        <v>3369</v>
      </c>
    </row>
    <row r="68" spans="1:10" x14ac:dyDescent="0.3">
      <c r="A68" t="s">
        <v>568</v>
      </c>
      <c r="B68" s="453">
        <v>46023</v>
      </c>
      <c r="C68" t="s">
        <v>3535</v>
      </c>
      <c r="D68" t="s">
        <v>3454</v>
      </c>
      <c r="E68" t="s">
        <v>3497</v>
      </c>
      <c r="F68">
        <v>1</v>
      </c>
      <c r="G68">
        <v>13.8</v>
      </c>
      <c r="H68" t="s">
        <v>3477</v>
      </c>
      <c r="J68" t="s">
        <v>3369</v>
      </c>
    </row>
    <row r="69" spans="1:10" x14ac:dyDescent="0.3">
      <c r="A69" t="s">
        <v>568</v>
      </c>
      <c r="B69" s="453">
        <v>46023</v>
      </c>
      <c r="C69" t="s">
        <v>3536</v>
      </c>
      <c r="D69" t="s">
        <v>3454</v>
      </c>
      <c r="E69" t="s">
        <v>3537</v>
      </c>
      <c r="F69">
        <v>1</v>
      </c>
      <c r="G69">
        <v>12.9</v>
      </c>
      <c r="H69" t="s">
        <v>3477</v>
      </c>
      <c r="J69" t="s">
        <v>3369</v>
      </c>
    </row>
    <row r="70" spans="1:10" x14ac:dyDescent="0.3">
      <c r="A70" t="s">
        <v>568</v>
      </c>
      <c r="B70" s="453">
        <v>46023</v>
      </c>
      <c r="C70" t="s">
        <v>3481</v>
      </c>
      <c r="D70" t="s">
        <v>3454</v>
      </c>
      <c r="E70" t="s">
        <v>3469</v>
      </c>
      <c r="F70">
        <v>2</v>
      </c>
      <c r="G70">
        <v>32.4</v>
      </c>
      <c r="H70" t="s">
        <v>3470</v>
      </c>
      <c r="J70" t="s">
        <v>3369</v>
      </c>
    </row>
    <row r="71" spans="1:10" x14ac:dyDescent="0.3">
      <c r="A71" t="s">
        <v>568</v>
      </c>
      <c r="B71" s="453">
        <v>46023</v>
      </c>
      <c r="C71" t="s">
        <v>3496</v>
      </c>
      <c r="D71" t="s">
        <v>3454</v>
      </c>
      <c r="E71" t="s">
        <v>3497</v>
      </c>
      <c r="F71">
        <v>13</v>
      </c>
      <c r="G71">
        <v>97.5</v>
      </c>
      <c r="H71" t="s">
        <v>3477</v>
      </c>
      <c r="J71" t="s">
        <v>3369</v>
      </c>
    </row>
    <row r="72" spans="1:10" x14ac:dyDescent="0.3">
      <c r="A72" t="s">
        <v>568</v>
      </c>
      <c r="B72" s="453">
        <v>46023</v>
      </c>
      <c r="C72" t="s">
        <v>3538</v>
      </c>
      <c r="D72" t="s">
        <v>3454</v>
      </c>
      <c r="E72" t="s">
        <v>3539</v>
      </c>
      <c r="F72">
        <v>2</v>
      </c>
      <c r="G72">
        <v>25.2</v>
      </c>
      <c r="H72" t="s">
        <v>3470</v>
      </c>
      <c r="J72" t="s">
        <v>3369</v>
      </c>
    </row>
    <row r="73" spans="1:10" x14ac:dyDescent="0.3">
      <c r="A73" t="s">
        <v>568</v>
      </c>
      <c r="B73" s="453">
        <v>46023</v>
      </c>
      <c r="C73" t="s">
        <v>3540</v>
      </c>
      <c r="D73" t="s">
        <v>3454</v>
      </c>
      <c r="E73" t="s">
        <v>3539</v>
      </c>
      <c r="F73">
        <v>8</v>
      </c>
      <c r="G73">
        <v>108</v>
      </c>
      <c r="H73" t="s">
        <v>3470</v>
      </c>
      <c r="J73" t="s">
        <v>3369</v>
      </c>
    </row>
    <row r="74" spans="1:10" x14ac:dyDescent="0.3">
      <c r="A74" t="s">
        <v>568</v>
      </c>
      <c r="B74" s="453">
        <v>46023</v>
      </c>
      <c r="C74" t="s">
        <v>3541</v>
      </c>
      <c r="D74" t="s">
        <v>3454</v>
      </c>
      <c r="E74" t="s">
        <v>3469</v>
      </c>
      <c r="F74">
        <v>1</v>
      </c>
      <c r="G74">
        <v>18.600000000000001</v>
      </c>
      <c r="H74" t="s">
        <v>3470</v>
      </c>
      <c r="J74" t="s">
        <v>3369</v>
      </c>
    </row>
    <row r="75" spans="1:10" x14ac:dyDescent="0.3">
      <c r="A75" t="s">
        <v>568</v>
      </c>
      <c r="B75" s="453">
        <v>46023</v>
      </c>
      <c r="C75" t="s">
        <v>3542</v>
      </c>
      <c r="D75" t="s">
        <v>3454</v>
      </c>
      <c r="E75" t="s">
        <v>3543</v>
      </c>
      <c r="F75">
        <v>3</v>
      </c>
      <c r="G75">
        <v>5.85</v>
      </c>
      <c r="H75" t="s">
        <v>3470</v>
      </c>
      <c r="J75" t="s">
        <v>3369</v>
      </c>
    </row>
    <row r="76" spans="1:10" x14ac:dyDescent="0.3">
      <c r="A76" t="s">
        <v>568</v>
      </c>
      <c r="B76" s="453">
        <v>46023</v>
      </c>
      <c r="C76" t="s">
        <v>3500</v>
      </c>
      <c r="D76" t="s">
        <v>3454</v>
      </c>
      <c r="E76" t="s">
        <v>3501</v>
      </c>
      <c r="F76">
        <v>6</v>
      </c>
      <c r="G76">
        <v>14.4</v>
      </c>
      <c r="H76" t="s">
        <v>3477</v>
      </c>
      <c r="J76" t="s">
        <v>3369</v>
      </c>
    </row>
    <row r="77" spans="1:10" x14ac:dyDescent="0.3">
      <c r="A77" t="s">
        <v>568</v>
      </c>
      <c r="B77" s="453">
        <v>46023</v>
      </c>
      <c r="C77" t="s">
        <v>3494</v>
      </c>
      <c r="D77" t="s">
        <v>3454</v>
      </c>
      <c r="E77" t="s">
        <v>3495</v>
      </c>
      <c r="F77">
        <v>11</v>
      </c>
      <c r="G77">
        <v>69.3</v>
      </c>
      <c r="H77" t="s">
        <v>3470</v>
      </c>
      <c r="J77" t="s">
        <v>3369</v>
      </c>
    </row>
    <row r="78" spans="1:10" x14ac:dyDescent="0.3">
      <c r="A78" t="s">
        <v>568</v>
      </c>
      <c r="B78" s="453">
        <v>46023</v>
      </c>
      <c r="C78" t="s">
        <v>3471</v>
      </c>
      <c r="D78" t="s">
        <v>3454</v>
      </c>
      <c r="E78" t="s">
        <v>3472</v>
      </c>
      <c r="F78">
        <v>1</v>
      </c>
      <c r="G78">
        <v>25.5</v>
      </c>
      <c r="H78" t="s">
        <v>3470</v>
      </c>
      <c r="J78" t="s">
        <v>3369</v>
      </c>
    </row>
    <row r="79" spans="1:10" x14ac:dyDescent="0.3">
      <c r="A79" t="s">
        <v>568</v>
      </c>
      <c r="B79" s="453">
        <v>46023</v>
      </c>
      <c r="C79" t="s">
        <v>3489</v>
      </c>
      <c r="D79" t="s">
        <v>3454</v>
      </c>
      <c r="E79" t="s">
        <v>3490</v>
      </c>
      <c r="F79">
        <v>12</v>
      </c>
      <c r="G79">
        <v>28.8</v>
      </c>
      <c r="H79" t="s">
        <v>3477</v>
      </c>
      <c r="J79" t="s">
        <v>3369</v>
      </c>
    </row>
    <row r="80" spans="1:10" x14ac:dyDescent="0.3">
      <c r="A80" t="s">
        <v>568</v>
      </c>
      <c r="B80" s="453">
        <v>46023</v>
      </c>
      <c r="C80" t="s">
        <v>3502</v>
      </c>
      <c r="D80" t="s">
        <v>3454</v>
      </c>
      <c r="E80" t="s">
        <v>3503</v>
      </c>
      <c r="F80">
        <v>2</v>
      </c>
      <c r="G80">
        <v>50.4</v>
      </c>
      <c r="H80" t="s">
        <v>3470</v>
      </c>
      <c r="J80" t="s">
        <v>3369</v>
      </c>
    </row>
    <row r="81" spans="1:10" x14ac:dyDescent="0.3">
      <c r="A81" t="s">
        <v>568</v>
      </c>
      <c r="B81" s="453">
        <v>46023</v>
      </c>
      <c r="C81" t="s">
        <v>3544</v>
      </c>
      <c r="D81" t="s">
        <v>3454</v>
      </c>
      <c r="E81" t="s">
        <v>3545</v>
      </c>
      <c r="F81">
        <v>1</v>
      </c>
      <c r="G81">
        <v>16.2</v>
      </c>
      <c r="H81" t="s">
        <v>3470</v>
      </c>
      <c r="J81" t="s">
        <v>3369</v>
      </c>
    </row>
    <row r="82" spans="1:10" x14ac:dyDescent="0.3">
      <c r="A82" t="s">
        <v>568</v>
      </c>
      <c r="B82" s="453">
        <v>46023</v>
      </c>
      <c r="C82" t="s">
        <v>3475</v>
      </c>
      <c r="D82" t="s">
        <v>3454</v>
      </c>
      <c r="E82" t="s">
        <v>3476</v>
      </c>
      <c r="F82">
        <v>4</v>
      </c>
      <c r="G82">
        <v>20.28</v>
      </c>
      <c r="H82" t="s">
        <v>3477</v>
      </c>
      <c r="J82" t="s">
        <v>3369</v>
      </c>
    </row>
    <row r="83" spans="1:10" x14ac:dyDescent="0.3">
      <c r="A83" t="s">
        <v>568</v>
      </c>
      <c r="B83" s="453">
        <v>46023</v>
      </c>
      <c r="C83" t="s">
        <v>3546</v>
      </c>
      <c r="D83" t="s">
        <v>3454</v>
      </c>
      <c r="E83" t="s">
        <v>3490</v>
      </c>
      <c r="F83">
        <v>4</v>
      </c>
      <c r="G83">
        <v>9.6</v>
      </c>
      <c r="H83" t="s">
        <v>3477</v>
      </c>
      <c r="J83" t="s">
        <v>3369</v>
      </c>
    </row>
    <row r="84" spans="1:10" x14ac:dyDescent="0.3">
      <c r="A84" t="s">
        <v>568</v>
      </c>
      <c r="B84" s="453">
        <v>46023</v>
      </c>
      <c r="C84" t="s">
        <v>3547</v>
      </c>
      <c r="D84" t="s">
        <v>3454</v>
      </c>
      <c r="E84" t="s">
        <v>3490</v>
      </c>
      <c r="F84">
        <v>2</v>
      </c>
      <c r="G84">
        <v>3.6</v>
      </c>
      <c r="H84" t="s">
        <v>3477</v>
      </c>
      <c r="J84" t="s">
        <v>3369</v>
      </c>
    </row>
    <row r="85" spans="1:10" x14ac:dyDescent="0.3">
      <c r="A85" t="s">
        <v>568</v>
      </c>
      <c r="B85" s="453">
        <v>46023</v>
      </c>
      <c r="C85" t="s">
        <v>3548</v>
      </c>
      <c r="D85" t="s">
        <v>3454</v>
      </c>
      <c r="E85" t="s">
        <v>3469</v>
      </c>
      <c r="F85">
        <v>1</v>
      </c>
      <c r="G85">
        <v>18</v>
      </c>
      <c r="H85" t="s">
        <v>3470</v>
      </c>
      <c r="J85" t="s">
        <v>3369</v>
      </c>
    </row>
    <row r="86" spans="1:10" x14ac:dyDescent="0.3">
      <c r="A86" t="s">
        <v>568</v>
      </c>
      <c r="B86" s="453">
        <v>46023</v>
      </c>
      <c r="C86" t="s">
        <v>3549</v>
      </c>
      <c r="D86" t="s">
        <v>3454</v>
      </c>
      <c r="E86" t="s">
        <v>3490</v>
      </c>
      <c r="F86">
        <v>2</v>
      </c>
      <c r="G86">
        <v>11.4</v>
      </c>
      <c r="H86" t="s">
        <v>3477</v>
      </c>
      <c r="J86" t="s">
        <v>3369</v>
      </c>
    </row>
    <row r="87" spans="1:10" x14ac:dyDescent="0.3">
      <c r="A87" t="s">
        <v>568</v>
      </c>
      <c r="B87" s="453">
        <v>46023</v>
      </c>
      <c r="C87" t="s">
        <v>3550</v>
      </c>
      <c r="D87" t="s">
        <v>3454</v>
      </c>
      <c r="E87" t="s">
        <v>3490</v>
      </c>
      <c r="F87">
        <v>8</v>
      </c>
      <c r="G87">
        <v>19.2</v>
      </c>
      <c r="H87" t="s">
        <v>3477</v>
      </c>
      <c r="J87" t="s">
        <v>3369</v>
      </c>
    </row>
    <row r="88" spans="1:10" x14ac:dyDescent="0.3">
      <c r="A88" t="s">
        <v>568</v>
      </c>
      <c r="B88" s="453">
        <v>46023</v>
      </c>
      <c r="C88" t="s">
        <v>3551</v>
      </c>
      <c r="D88" t="s">
        <v>3454</v>
      </c>
      <c r="E88" t="s">
        <v>3490</v>
      </c>
      <c r="F88">
        <v>2</v>
      </c>
      <c r="G88">
        <v>4.8</v>
      </c>
      <c r="H88" t="s">
        <v>3477</v>
      </c>
      <c r="J88" t="s">
        <v>3369</v>
      </c>
    </row>
    <row r="89" spans="1:10" x14ac:dyDescent="0.3">
      <c r="A89" t="s">
        <v>568</v>
      </c>
      <c r="B89" s="453">
        <v>46023</v>
      </c>
      <c r="C89" t="s">
        <v>3491</v>
      </c>
      <c r="D89" t="s">
        <v>3454</v>
      </c>
      <c r="E89" t="s">
        <v>3490</v>
      </c>
      <c r="F89">
        <v>20</v>
      </c>
      <c r="G89">
        <v>36</v>
      </c>
      <c r="H89" t="s">
        <v>3477</v>
      </c>
      <c r="J89" t="s">
        <v>3369</v>
      </c>
    </row>
    <row r="90" spans="1:10" x14ac:dyDescent="0.3">
      <c r="A90" t="s">
        <v>568</v>
      </c>
      <c r="B90" s="453">
        <v>46023</v>
      </c>
      <c r="C90" t="s">
        <v>3552</v>
      </c>
      <c r="D90" t="s">
        <v>3454</v>
      </c>
      <c r="E90" t="s">
        <v>3553</v>
      </c>
      <c r="F90">
        <v>2</v>
      </c>
      <c r="G90">
        <v>12.6</v>
      </c>
      <c r="H90" t="s">
        <v>3470</v>
      </c>
      <c r="J90" t="s">
        <v>3369</v>
      </c>
    </row>
    <row r="91" spans="1:10" x14ac:dyDescent="0.3">
      <c r="A91" t="s">
        <v>568</v>
      </c>
      <c r="B91" s="453">
        <v>46023</v>
      </c>
      <c r="C91" t="s">
        <v>3482</v>
      </c>
      <c r="D91" t="s">
        <v>3454</v>
      </c>
      <c r="E91" t="s">
        <v>3469</v>
      </c>
      <c r="F91">
        <v>4</v>
      </c>
      <c r="G91">
        <v>27.6</v>
      </c>
      <c r="H91" t="s">
        <v>3470</v>
      </c>
      <c r="J91" t="s">
        <v>3369</v>
      </c>
    </row>
    <row r="92" spans="1:10" x14ac:dyDescent="0.3">
      <c r="A92" t="s">
        <v>568</v>
      </c>
      <c r="B92" s="453">
        <v>46023</v>
      </c>
      <c r="C92" t="s">
        <v>3554</v>
      </c>
      <c r="D92" t="s">
        <v>3454</v>
      </c>
      <c r="E92" t="s">
        <v>3553</v>
      </c>
      <c r="F92">
        <v>5</v>
      </c>
      <c r="G92">
        <v>43.5</v>
      </c>
      <c r="H92" t="s">
        <v>3470</v>
      </c>
      <c r="J92" t="s">
        <v>3369</v>
      </c>
    </row>
    <row r="93" spans="1:10" x14ac:dyDescent="0.3">
      <c r="A93" t="s">
        <v>568</v>
      </c>
      <c r="B93" s="453">
        <v>46023</v>
      </c>
      <c r="C93" t="s">
        <v>3555</v>
      </c>
      <c r="D93" t="s">
        <v>3454</v>
      </c>
      <c r="E93" t="s">
        <v>3469</v>
      </c>
      <c r="F93">
        <v>5</v>
      </c>
      <c r="G93">
        <v>88.5</v>
      </c>
      <c r="H93" t="s">
        <v>3470</v>
      </c>
      <c r="J93" t="s">
        <v>3369</v>
      </c>
    </row>
    <row r="94" spans="1:10" x14ac:dyDescent="0.3">
      <c r="A94" t="s">
        <v>568</v>
      </c>
      <c r="B94" s="453">
        <v>46054</v>
      </c>
      <c r="C94" t="s">
        <v>3534</v>
      </c>
      <c r="D94" t="s">
        <v>3452</v>
      </c>
      <c r="E94" t="s">
        <v>3497</v>
      </c>
      <c r="F94">
        <v>1</v>
      </c>
      <c r="G94">
        <v>6.9</v>
      </c>
      <c r="H94" t="s">
        <v>3477</v>
      </c>
      <c r="J94" t="s">
        <v>3368</v>
      </c>
    </row>
    <row r="95" spans="1:10" x14ac:dyDescent="0.3">
      <c r="A95" t="s">
        <v>568</v>
      </c>
      <c r="B95" s="453">
        <v>46054</v>
      </c>
      <c r="C95" t="s">
        <v>3492</v>
      </c>
      <c r="D95" t="s">
        <v>3452</v>
      </c>
      <c r="E95" t="s">
        <v>3493</v>
      </c>
      <c r="F95">
        <v>2</v>
      </c>
      <c r="G95">
        <v>28.8</v>
      </c>
      <c r="H95" t="s">
        <v>3470</v>
      </c>
      <c r="J95" t="s">
        <v>3368</v>
      </c>
    </row>
    <row r="96" spans="1:10" x14ac:dyDescent="0.3">
      <c r="A96" t="s">
        <v>568</v>
      </c>
      <c r="B96" s="453">
        <v>46054</v>
      </c>
      <c r="C96" t="s">
        <v>3486</v>
      </c>
      <c r="D96" t="s">
        <v>3452</v>
      </c>
      <c r="E96" t="s">
        <v>3485</v>
      </c>
      <c r="F96">
        <v>1</v>
      </c>
      <c r="G96">
        <v>29.4</v>
      </c>
      <c r="H96" t="s">
        <v>3470</v>
      </c>
      <c r="J96" t="s">
        <v>3368</v>
      </c>
    </row>
    <row r="97" spans="1:10" x14ac:dyDescent="0.3">
      <c r="A97" t="s">
        <v>568</v>
      </c>
      <c r="B97" s="453">
        <v>46054</v>
      </c>
      <c r="C97" t="s">
        <v>3484</v>
      </c>
      <c r="D97" t="s">
        <v>3452</v>
      </c>
      <c r="E97" t="s">
        <v>3485</v>
      </c>
      <c r="F97">
        <v>4</v>
      </c>
      <c r="G97">
        <v>82.8</v>
      </c>
      <c r="H97" t="s">
        <v>3470</v>
      </c>
      <c r="J97" t="s">
        <v>3368</v>
      </c>
    </row>
    <row r="98" spans="1:10" x14ac:dyDescent="0.3">
      <c r="A98" t="s">
        <v>568</v>
      </c>
      <c r="B98" s="453">
        <v>46054</v>
      </c>
      <c r="C98" t="s">
        <v>3468</v>
      </c>
      <c r="D98" t="s">
        <v>3452</v>
      </c>
      <c r="E98" t="s">
        <v>3469</v>
      </c>
      <c r="F98">
        <v>1</v>
      </c>
      <c r="G98">
        <v>14.4</v>
      </c>
      <c r="H98" t="s">
        <v>3470</v>
      </c>
      <c r="J98" t="s">
        <v>3368</v>
      </c>
    </row>
    <row r="99" spans="1:10" x14ac:dyDescent="0.3">
      <c r="A99" t="s">
        <v>568</v>
      </c>
      <c r="B99" s="453">
        <v>46054</v>
      </c>
      <c r="C99" t="s">
        <v>3483</v>
      </c>
      <c r="D99" t="s">
        <v>3452</v>
      </c>
      <c r="E99" t="s">
        <v>3469</v>
      </c>
      <c r="F99">
        <v>2</v>
      </c>
      <c r="G99">
        <v>50.4</v>
      </c>
      <c r="H99" t="s">
        <v>3470</v>
      </c>
      <c r="J99" t="s">
        <v>3368</v>
      </c>
    </row>
    <row r="100" spans="1:10" x14ac:dyDescent="0.3">
      <c r="A100" t="s">
        <v>568</v>
      </c>
      <c r="B100" s="453">
        <v>46054</v>
      </c>
      <c r="C100" t="s">
        <v>3547</v>
      </c>
      <c r="D100" t="s">
        <v>3452</v>
      </c>
      <c r="E100" t="s">
        <v>3490</v>
      </c>
      <c r="F100">
        <v>3</v>
      </c>
      <c r="G100">
        <v>5.4</v>
      </c>
      <c r="H100" t="s">
        <v>3477</v>
      </c>
      <c r="J100" t="s">
        <v>3368</v>
      </c>
    </row>
    <row r="101" spans="1:10" x14ac:dyDescent="0.3">
      <c r="A101" t="s">
        <v>568</v>
      </c>
      <c r="B101" s="453">
        <v>46054</v>
      </c>
      <c r="C101" t="s">
        <v>3491</v>
      </c>
      <c r="D101" t="s">
        <v>3452</v>
      </c>
      <c r="E101" t="s">
        <v>3490</v>
      </c>
      <c r="F101">
        <v>2</v>
      </c>
      <c r="G101">
        <v>3.6</v>
      </c>
      <c r="H101" t="s">
        <v>3477</v>
      </c>
      <c r="J101" t="s">
        <v>3368</v>
      </c>
    </row>
    <row r="102" spans="1:10" x14ac:dyDescent="0.3">
      <c r="A102" t="s">
        <v>568</v>
      </c>
      <c r="B102" s="453">
        <v>46054</v>
      </c>
      <c r="C102" t="s">
        <v>3489</v>
      </c>
      <c r="D102" t="s">
        <v>3452</v>
      </c>
      <c r="E102" t="s">
        <v>3490</v>
      </c>
      <c r="F102">
        <v>3</v>
      </c>
      <c r="G102">
        <v>7.2</v>
      </c>
      <c r="H102" t="s">
        <v>3477</v>
      </c>
      <c r="J102" t="s">
        <v>3368</v>
      </c>
    </row>
    <row r="103" spans="1:10" x14ac:dyDescent="0.3">
      <c r="A103" t="s">
        <v>568</v>
      </c>
      <c r="B103" s="453">
        <v>46054</v>
      </c>
      <c r="C103" t="s">
        <v>3480</v>
      </c>
      <c r="D103" t="s">
        <v>3452</v>
      </c>
      <c r="E103" t="s">
        <v>3476</v>
      </c>
      <c r="F103">
        <v>1</v>
      </c>
      <c r="G103">
        <v>4.47</v>
      </c>
      <c r="H103" t="s">
        <v>3477</v>
      </c>
      <c r="J103" t="s">
        <v>3368</v>
      </c>
    </row>
    <row r="104" spans="1:10" x14ac:dyDescent="0.3">
      <c r="A104" t="s">
        <v>568</v>
      </c>
      <c r="B104" s="453">
        <v>46054</v>
      </c>
      <c r="C104" t="s">
        <v>3494</v>
      </c>
      <c r="D104" t="s">
        <v>3452</v>
      </c>
      <c r="E104" t="s">
        <v>3495</v>
      </c>
      <c r="F104">
        <v>3</v>
      </c>
      <c r="G104">
        <v>18.899999999999999</v>
      </c>
      <c r="H104" t="s">
        <v>3470</v>
      </c>
      <c r="J104" t="s">
        <v>3368</v>
      </c>
    </row>
    <row r="105" spans="1:10" x14ac:dyDescent="0.3">
      <c r="A105" t="s">
        <v>568</v>
      </c>
      <c r="B105" s="453">
        <v>46054</v>
      </c>
      <c r="C105" t="s">
        <v>3556</v>
      </c>
      <c r="D105" t="s">
        <v>3454</v>
      </c>
      <c r="E105" t="s">
        <v>3469</v>
      </c>
      <c r="F105">
        <v>3</v>
      </c>
      <c r="G105">
        <v>46.8</v>
      </c>
      <c r="H105" t="s">
        <v>3470</v>
      </c>
      <c r="J105" t="s">
        <v>3368</v>
      </c>
    </row>
    <row r="106" spans="1:10" x14ac:dyDescent="0.3">
      <c r="A106" t="s">
        <v>568</v>
      </c>
      <c r="B106" s="453">
        <v>46054</v>
      </c>
      <c r="C106" t="s">
        <v>3484</v>
      </c>
      <c r="D106" t="s">
        <v>3454</v>
      </c>
      <c r="E106" t="s">
        <v>3485</v>
      </c>
      <c r="F106">
        <v>6</v>
      </c>
      <c r="G106">
        <v>124.2</v>
      </c>
      <c r="H106" t="s">
        <v>3470</v>
      </c>
      <c r="J106" t="s">
        <v>3368</v>
      </c>
    </row>
    <row r="107" spans="1:10" x14ac:dyDescent="0.3">
      <c r="A107" t="s">
        <v>568</v>
      </c>
      <c r="B107" s="453">
        <v>46054</v>
      </c>
      <c r="C107" t="s">
        <v>3507</v>
      </c>
      <c r="D107" t="s">
        <v>3454</v>
      </c>
      <c r="E107" t="s">
        <v>3508</v>
      </c>
      <c r="F107">
        <v>2</v>
      </c>
      <c r="G107">
        <v>13.8</v>
      </c>
      <c r="H107" t="s">
        <v>3470</v>
      </c>
      <c r="J107" t="s">
        <v>3368</v>
      </c>
    </row>
    <row r="108" spans="1:10" x14ac:dyDescent="0.3">
      <c r="A108" t="s">
        <v>568</v>
      </c>
      <c r="B108" s="453">
        <v>46054</v>
      </c>
      <c r="C108" t="s">
        <v>3526</v>
      </c>
      <c r="D108" t="s">
        <v>3454</v>
      </c>
      <c r="E108" t="s">
        <v>3499</v>
      </c>
      <c r="F108">
        <v>2</v>
      </c>
      <c r="G108">
        <v>21</v>
      </c>
      <c r="H108" t="s">
        <v>3477</v>
      </c>
      <c r="J108" t="s">
        <v>3368</v>
      </c>
    </row>
    <row r="109" spans="1:10" x14ac:dyDescent="0.3">
      <c r="A109" t="s">
        <v>568</v>
      </c>
      <c r="B109" s="453">
        <v>46054</v>
      </c>
      <c r="C109" t="s">
        <v>3511</v>
      </c>
      <c r="D109" t="s">
        <v>3454</v>
      </c>
      <c r="E109" t="s">
        <v>3469</v>
      </c>
      <c r="F109">
        <v>1</v>
      </c>
      <c r="G109">
        <v>41.4</v>
      </c>
      <c r="H109" t="s">
        <v>3470</v>
      </c>
      <c r="J109" t="s">
        <v>3368</v>
      </c>
    </row>
    <row r="110" spans="1:10" x14ac:dyDescent="0.3">
      <c r="A110" t="s">
        <v>568</v>
      </c>
      <c r="B110" s="453">
        <v>46054</v>
      </c>
      <c r="C110" t="s">
        <v>3487</v>
      </c>
      <c r="D110" t="s">
        <v>3454</v>
      </c>
      <c r="E110" t="s">
        <v>3485</v>
      </c>
      <c r="F110">
        <v>1</v>
      </c>
      <c r="G110">
        <v>26.7</v>
      </c>
      <c r="H110" t="s">
        <v>3470</v>
      </c>
      <c r="J110" t="s">
        <v>3368</v>
      </c>
    </row>
    <row r="111" spans="1:10" x14ac:dyDescent="0.3">
      <c r="A111" t="s">
        <v>568</v>
      </c>
      <c r="B111" s="453">
        <v>46054</v>
      </c>
      <c r="C111" t="s">
        <v>3557</v>
      </c>
      <c r="D111" t="s">
        <v>3454</v>
      </c>
      <c r="E111" t="s">
        <v>3363</v>
      </c>
      <c r="F111">
        <v>1</v>
      </c>
      <c r="G111">
        <v>4.5</v>
      </c>
      <c r="H111" t="s">
        <v>3363</v>
      </c>
      <c r="J111" t="s">
        <v>3368</v>
      </c>
    </row>
    <row r="112" spans="1:10" x14ac:dyDescent="0.3">
      <c r="A112" t="s">
        <v>568</v>
      </c>
      <c r="B112" s="453">
        <v>46054</v>
      </c>
      <c r="C112" t="s">
        <v>3517</v>
      </c>
      <c r="D112" t="s">
        <v>3454</v>
      </c>
      <c r="E112" t="s">
        <v>3518</v>
      </c>
      <c r="F112">
        <v>5</v>
      </c>
      <c r="G112">
        <v>25.5</v>
      </c>
      <c r="H112" t="s">
        <v>3470</v>
      </c>
      <c r="J112" t="s">
        <v>3368</v>
      </c>
    </row>
    <row r="113" spans="1:10" x14ac:dyDescent="0.3">
      <c r="A113" t="s">
        <v>568</v>
      </c>
      <c r="B113" s="453">
        <v>46054</v>
      </c>
      <c r="C113" t="s">
        <v>3519</v>
      </c>
      <c r="D113" t="s">
        <v>3454</v>
      </c>
      <c r="E113" t="s">
        <v>3469</v>
      </c>
      <c r="F113">
        <v>4</v>
      </c>
      <c r="G113">
        <v>70.8</v>
      </c>
      <c r="H113" t="s">
        <v>3470</v>
      </c>
      <c r="J113" t="s">
        <v>3368</v>
      </c>
    </row>
    <row r="114" spans="1:10" x14ac:dyDescent="0.3">
      <c r="A114" t="s">
        <v>568</v>
      </c>
      <c r="B114" s="453">
        <v>46054</v>
      </c>
      <c r="C114" t="s">
        <v>3486</v>
      </c>
      <c r="D114" t="s">
        <v>3454</v>
      </c>
      <c r="E114" t="s">
        <v>3485</v>
      </c>
      <c r="F114">
        <v>5</v>
      </c>
      <c r="G114">
        <v>147</v>
      </c>
      <c r="H114" t="s">
        <v>3470</v>
      </c>
      <c r="J114" t="s">
        <v>3368</v>
      </c>
    </row>
    <row r="115" spans="1:10" x14ac:dyDescent="0.3">
      <c r="A115" t="s">
        <v>568</v>
      </c>
      <c r="B115" s="453">
        <v>46054</v>
      </c>
      <c r="C115" t="s">
        <v>3520</v>
      </c>
      <c r="D115" t="s">
        <v>3454</v>
      </c>
      <c r="E115" t="s">
        <v>3474</v>
      </c>
      <c r="F115">
        <v>2</v>
      </c>
      <c r="G115">
        <v>100.8</v>
      </c>
      <c r="H115" t="s">
        <v>3470</v>
      </c>
      <c r="J115" t="s">
        <v>3368</v>
      </c>
    </row>
    <row r="116" spans="1:10" x14ac:dyDescent="0.3">
      <c r="A116" t="s">
        <v>568</v>
      </c>
      <c r="B116" s="453">
        <v>46054</v>
      </c>
      <c r="C116" t="s">
        <v>3488</v>
      </c>
      <c r="D116" t="s">
        <v>3454</v>
      </c>
      <c r="E116" t="s">
        <v>3469</v>
      </c>
      <c r="F116">
        <v>2</v>
      </c>
      <c r="G116">
        <v>31.2</v>
      </c>
      <c r="H116" t="s">
        <v>3470</v>
      </c>
      <c r="J116" t="s">
        <v>3368</v>
      </c>
    </row>
    <row r="117" spans="1:10" x14ac:dyDescent="0.3">
      <c r="A117" t="s">
        <v>568</v>
      </c>
      <c r="B117" s="453">
        <v>46054</v>
      </c>
      <c r="C117" t="s">
        <v>3522</v>
      </c>
      <c r="D117" t="s">
        <v>3454</v>
      </c>
      <c r="E117" t="s">
        <v>3469</v>
      </c>
      <c r="F117">
        <v>3</v>
      </c>
      <c r="G117">
        <v>53.1</v>
      </c>
      <c r="H117" t="s">
        <v>3470</v>
      </c>
      <c r="J117" t="s">
        <v>3368</v>
      </c>
    </row>
    <row r="118" spans="1:10" x14ac:dyDescent="0.3">
      <c r="A118" t="s">
        <v>568</v>
      </c>
      <c r="B118" s="453">
        <v>46054</v>
      </c>
      <c r="C118" t="s">
        <v>3558</v>
      </c>
      <c r="D118" t="s">
        <v>3454</v>
      </c>
      <c r="E118" t="s">
        <v>3469</v>
      </c>
      <c r="F118">
        <v>1</v>
      </c>
      <c r="G118">
        <v>13.5</v>
      </c>
      <c r="H118" t="s">
        <v>3470</v>
      </c>
      <c r="J118" t="s">
        <v>3368</v>
      </c>
    </row>
    <row r="119" spans="1:10" x14ac:dyDescent="0.3">
      <c r="A119" t="s">
        <v>568</v>
      </c>
      <c r="B119" s="453">
        <v>46054</v>
      </c>
      <c r="C119" t="s">
        <v>3498</v>
      </c>
      <c r="D119" t="s">
        <v>3454</v>
      </c>
      <c r="E119" t="s">
        <v>3499</v>
      </c>
      <c r="F119">
        <v>1</v>
      </c>
      <c r="G119">
        <v>10.5</v>
      </c>
      <c r="J119" t="s">
        <v>3368</v>
      </c>
    </row>
    <row r="120" spans="1:10" x14ac:dyDescent="0.3">
      <c r="A120" t="s">
        <v>568</v>
      </c>
      <c r="B120" s="453">
        <v>46054</v>
      </c>
      <c r="C120" t="s">
        <v>3525</v>
      </c>
      <c r="D120" t="s">
        <v>3454</v>
      </c>
      <c r="E120" t="s">
        <v>3497</v>
      </c>
      <c r="F120">
        <v>10</v>
      </c>
      <c r="G120">
        <v>75</v>
      </c>
      <c r="H120" t="s">
        <v>3477</v>
      </c>
      <c r="J120" t="s">
        <v>3368</v>
      </c>
    </row>
    <row r="121" spans="1:10" x14ac:dyDescent="0.3">
      <c r="A121" t="s">
        <v>568</v>
      </c>
      <c r="B121" s="453">
        <v>46054</v>
      </c>
      <c r="C121" t="s">
        <v>3559</v>
      </c>
      <c r="D121" t="s">
        <v>3454</v>
      </c>
      <c r="E121" t="s">
        <v>3469</v>
      </c>
      <c r="F121">
        <v>4</v>
      </c>
      <c r="G121">
        <v>55.2</v>
      </c>
      <c r="H121" t="s">
        <v>3470</v>
      </c>
      <c r="J121" t="s">
        <v>3368</v>
      </c>
    </row>
    <row r="122" spans="1:10" x14ac:dyDescent="0.3">
      <c r="A122" t="s">
        <v>568</v>
      </c>
      <c r="B122" s="453">
        <v>46054</v>
      </c>
      <c r="C122" t="s">
        <v>3509</v>
      </c>
      <c r="D122" t="s">
        <v>3454</v>
      </c>
      <c r="E122" t="s">
        <v>3469</v>
      </c>
      <c r="F122">
        <v>7</v>
      </c>
      <c r="G122">
        <v>119.7</v>
      </c>
      <c r="H122" t="s">
        <v>3470</v>
      </c>
      <c r="J122" t="s">
        <v>3368</v>
      </c>
    </row>
    <row r="123" spans="1:10" x14ac:dyDescent="0.3">
      <c r="A123" t="s">
        <v>568</v>
      </c>
      <c r="B123" s="453">
        <v>46054</v>
      </c>
      <c r="C123" t="s">
        <v>3510</v>
      </c>
      <c r="D123" t="s">
        <v>3454</v>
      </c>
      <c r="E123" t="s">
        <v>3485</v>
      </c>
      <c r="F123">
        <v>6</v>
      </c>
      <c r="G123">
        <v>153</v>
      </c>
      <c r="H123" t="s">
        <v>3470</v>
      </c>
      <c r="J123" t="s">
        <v>3368</v>
      </c>
    </row>
    <row r="124" spans="1:10" x14ac:dyDescent="0.3">
      <c r="A124" t="s">
        <v>568</v>
      </c>
      <c r="B124" s="453">
        <v>46054</v>
      </c>
      <c r="C124" t="s">
        <v>3492</v>
      </c>
      <c r="D124" t="s">
        <v>3454</v>
      </c>
      <c r="E124" t="s">
        <v>3493</v>
      </c>
      <c r="F124">
        <v>1</v>
      </c>
      <c r="G124">
        <v>14.4</v>
      </c>
      <c r="H124" t="s">
        <v>3470</v>
      </c>
      <c r="J124" t="s">
        <v>3368</v>
      </c>
    </row>
    <row r="125" spans="1:10" x14ac:dyDescent="0.3">
      <c r="A125" t="s">
        <v>568</v>
      </c>
      <c r="B125" s="453">
        <v>46054</v>
      </c>
      <c r="C125" t="s">
        <v>3514</v>
      </c>
      <c r="D125" t="s">
        <v>3454</v>
      </c>
      <c r="E125" t="s">
        <v>3469</v>
      </c>
      <c r="F125">
        <v>4</v>
      </c>
      <c r="G125">
        <v>57.6</v>
      </c>
      <c r="H125" t="s">
        <v>3470</v>
      </c>
      <c r="J125" t="s">
        <v>3368</v>
      </c>
    </row>
    <row r="126" spans="1:10" x14ac:dyDescent="0.3">
      <c r="A126" t="s">
        <v>568</v>
      </c>
      <c r="B126" s="453">
        <v>46054</v>
      </c>
      <c r="C126" t="s">
        <v>3496</v>
      </c>
      <c r="D126" t="s">
        <v>3454</v>
      </c>
      <c r="E126" t="s">
        <v>3497</v>
      </c>
      <c r="F126">
        <v>11</v>
      </c>
      <c r="G126">
        <v>82.5</v>
      </c>
      <c r="H126" t="s">
        <v>3477</v>
      </c>
      <c r="J126" t="s">
        <v>3368</v>
      </c>
    </row>
    <row r="127" spans="1:10" x14ac:dyDescent="0.3">
      <c r="A127" t="s">
        <v>568</v>
      </c>
      <c r="B127" s="453">
        <v>46054</v>
      </c>
      <c r="C127" t="s">
        <v>3534</v>
      </c>
      <c r="D127" t="s">
        <v>3454</v>
      </c>
      <c r="E127" t="s">
        <v>3497</v>
      </c>
      <c r="F127">
        <v>7</v>
      </c>
      <c r="G127">
        <v>48.3</v>
      </c>
      <c r="H127" t="s">
        <v>3477</v>
      </c>
      <c r="J127" t="s">
        <v>3368</v>
      </c>
    </row>
    <row r="128" spans="1:10" x14ac:dyDescent="0.3">
      <c r="A128" t="s">
        <v>568</v>
      </c>
      <c r="B128" s="453">
        <v>46054</v>
      </c>
      <c r="C128" t="s">
        <v>3560</v>
      </c>
      <c r="D128" t="s">
        <v>3454</v>
      </c>
      <c r="E128" t="s">
        <v>3543</v>
      </c>
      <c r="F128">
        <v>1</v>
      </c>
      <c r="G128">
        <v>1.95</v>
      </c>
      <c r="H128" t="s">
        <v>3470</v>
      </c>
      <c r="J128" t="s">
        <v>3368</v>
      </c>
    </row>
    <row r="129" spans="1:10" x14ac:dyDescent="0.3">
      <c r="A129" t="s">
        <v>568</v>
      </c>
      <c r="B129" s="453">
        <v>46054</v>
      </c>
      <c r="C129" t="s">
        <v>3561</v>
      </c>
      <c r="D129" t="s">
        <v>3454</v>
      </c>
      <c r="E129" t="s">
        <v>3469</v>
      </c>
      <c r="F129">
        <v>1</v>
      </c>
      <c r="G129">
        <v>48.6</v>
      </c>
      <c r="H129" t="s">
        <v>3470</v>
      </c>
      <c r="J129" t="s">
        <v>3368</v>
      </c>
    </row>
    <row r="130" spans="1:10" x14ac:dyDescent="0.3">
      <c r="A130" t="s">
        <v>568</v>
      </c>
      <c r="B130" s="453">
        <v>46054</v>
      </c>
      <c r="C130" t="s">
        <v>3494</v>
      </c>
      <c r="D130" t="s">
        <v>3454</v>
      </c>
      <c r="E130" t="s">
        <v>3495</v>
      </c>
      <c r="F130">
        <v>6</v>
      </c>
      <c r="G130">
        <v>37.799999999999997</v>
      </c>
      <c r="H130" t="s">
        <v>3470</v>
      </c>
      <c r="J130" t="s">
        <v>3368</v>
      </c>
    </row>
    <row r="131" spans="1:10" x14ac:dyDescent="0.3">
      <c r="A131" t="s">
        <v>568</v>
      </c>
      <c r="B131" s="453">
        <v>46054</v>
      </c>
      <c r="C131" t="s">
        <v>3500</v>
      </c>
      <c r="D131" t="s">
        <v>3454</v>
      </c>
      <c r="E131" t="s">
        <v>3501</v>
      </c>
      <c r="F131">
        <v>2</v>
      </c>
      <c r="G131">
        <v>4.8</v>
      </c>
      <c r="H131" t="s">
        <v>3477</v>
      </c>
      <c r="J131" t="s">
        <v>3368</v>
      </c>
    </row>
    <row r="132" spans="1:10" x14ac:dyDescent="0.3">
      <c r="A132" t="s">
        <v>568</v>
      </c>
      <c r="B132" s="453">
        <v>46054</v>
      </c>
      <c r="C132" t="s">
        <v>3562</v>
      </c>
      <c r="D132" t="s">
        <v>3454</v>
      </c>
      <c r="E132" t="s">
        <v>3563</v>
      </c>
      <c r="F132">
        <v>1</v>
      </c>
      <c r="G132">
        <v>23.7</v>
      </c>
      <c r="H132" t="s">
        <v>3470</v>
      </c>
      <c r="J132" t="s">
        <v>3368</v>
      </c>
    </row>
    <row r="133" spans="1:10" x14ac:dyDescent="0.3">
      <c r="A133" t="s">
        <v>568</v>
      </c>
      <c r="B133" s="453">
        <v>46054</v>
      </c>
      <c r="C133" t="s">
        <v>3540</v>
      </c>
      <c r="D133" t="s">
        <v>3454</v>
      </c>
      <c r="E133" t="s">
        <v>3539</v>
      </c>
      <c r="F133">
        <v>2</v>
      </c>
      <c r="G133">
        <v>27</v>
      </c>
      <c r="H133" t="s">
        <v>3470</v>
      </c>
      <c r="J133" t="s">
        <v>3368</v>
      </c>
    </row>
    <row r="134" spans="1:10" x14ac:dyDescent="0.3">
      <c r="A134" t="s">
        <v>568</v>
      </c>
      <c r="B134" s="453">
        <v>46054</v>
      </c>
      <c r="C134" t="s">
        <v>3564</v>
      </c>
      <c r="D134" t="s">
        <v>3454</v>
      </c>
      <c r="E134" t="s">
        <v>3497</v>
      </c>
      <c r="F134">
        <v>1</v>
      </c>
      <c r="G134">
        <v>11.7</v>
      </c>
      <c r="H134" t="s">
        <v>3477</v>
      </c>
      <c r="J134" t="s">
        <v>3368</v>
      </c>
    </row>
    <row r="135" spans="1:10" x14ac:dyDescent="0.3">
      <c r="A135" t="s">
        <v>568</v>
      </c>
      <c r="B135" s="453">
        <v>46054</v>
      </c>
      <c r="C135" t="s">
        <v>3565</v>
      </c>
      <c r="D135" t="s">
        <v>3454</v>
      </c>
      <c r="E135" t="s">
        <v>3543</v>
      </c>
      <c r="F135">
        <v>1</v>
      </c>
      <c r="G135">
        <v>8.6999999999999993</v>
      </c>
      <c r="H135" t="s">
        <v>3470</v>
      </c>
      <c r="J135" t="s">
        <v>3368</v>
      </c>
    </row>
    <row r="136" spans="1:10" x14ac:dyDescent="0.3">
      <c r="A136" t="s">
        <v>568</v>
      </c>
      <c r="B136" s="453">
        <v>46054</v>
      </c>
      <c r="C136" t="s">
        <v>3481</v>
      </c>
      <c r="D136" t="s">
        <v>3454</v>
      </c>
      <c r="E136" t="s">
        <v>3469</v>
      </c>
      <c r="F136">
        <v>5</v>
      </c>
      <c r="G136">
        <v>81</v>
      </c>
      <c r="H136" t="s">
        <v>3470</v>
      </c>
      <c r="J136" t="s">
        <v>3368</v>
      </c>
    </row>
    <row r="137" spans="1:10" x14ac:dyDescent="0.3">
      <c r="A137" t="s">
        <v>568</v>
      </c>
      <c r="B137" s="453">
        <v>46054</v>
      </c>
      <c r="C137" t="s">
        <v>3566</v>
      </c>
      <c r="D137" t="s">
        <v>3454</v>
      </c>
      <c r="E137" t="s">
        <v>3563</v>
      </c>
      <c r="F137">
        <v>2</v>
      </c>
      <c r="G137">
        <v>25.14</v>
      </c>
      <c r="H137" t="s">
        <v>3470</v>
      </c>
      <c r="J137" t="s">
        <v>3368</v>
      </c>
    </row>
    <row r="138" spans="1:10" x14ac:dyDescent="0.3">
      <c r="A138" t="s">
        <v>568</v>
      </c>
      <c r="B138" s="453">
        <v>46054</v>
      </c>
      <c r="C138" t="s">
        <v>3532</v>
      </c>
      <c r="D138" t="s">
        <v>3454</v>
      </c>
      <c r="E138" t="s">
        <v>3497</v>
      </c>
      <c r="F138">
        <v>1</v>
      </c>
      <c r="G138">
        <v>7.5</v>
      </c>
      <c r="H138" t="s">
        <v>3477</v>
      </c>
      <c r="J138" t="s">
        <v>3368</v>
      </c>
    </row>
    <row r="139" spans="1:10" x14ac:dyDescent="0.3">
      <c r="A139" t="s">
        <v>568</v>
      </c>
      <c r="B139" s="453">
        <v>46054</v>
      </c>
      <c r="C139" t="s">
        <v>3482</v>
      </c>
      <c r="D139" t="s">
        <v>3454</v>
      </c>
      <c r="E139" t="s">
        <v>3469</v>
      </c>
      <c r="F139">
        <v>1</v>
      </c>
      <c r="G139">
        <v>6.9</v>
      </c>
      <c r="H139" t="s">
        <v>3470</v>
      </c>
      <c r="J139" t="s">
        <v>3368</v>
      </c>
    </row>
    <row r="140" spans="1:10" x14ac:dyDescent="0.3">
      <c r="A140" t="s">
        <v>568</v>
      </c>
      <c r="B140" s="453">
        <v>46054</v>
      </c>
      <c r="C140" t="s">
        <v>3554</v>
      </c>
      <c r="D140" t="s">
        <v>3454</v>
      </c>
      <c r="E140" t="s">
        <v>3553</v>
      </c>
      <c r="F140">
        <v>2</v>
      </c>
      <c r="G140">
        <v>17.399999999999999</v>
      </c>
      <c r="H140" t="s">
        <v>3470</v>
      </c>
      <c r="J140" t="s">
        <v>3368</v>
      </c>
    </row>
    <row r="141" spans="1:10" x14ac:dyDescent="0.3">
      <c r="A141" t="s">
        <v>568</v>
      </c>
      <c r="B141" s="453">
        <v>46054</v>
      </c>
      <c r="C141" t="s">
        <v>3555</v>
      </c>
      <c r="D141" t="s">
        <v>3454</v>
      </c>
      <c r="E141" t="s">
        <v>3469</v>
      </c>
      <c r="F141">
        <v>1</v>
      </c>
      <c r="G141">
        <v>17.7</v>
      </c>
      <c r="H141" t="s">
        <v>3470</v>
      </c>
      <c r="J141" t="s">
        <v>3368</v>
      </c>
    </row>
    <row r="142" spans="1:10" x14ac:dyDescent="0.3">
      <c r="A142" t="s">
        <v>568</v>
      </c>
      <c r="B142" s="453">
        <v>46054</v>
      </c>
      <c r="C142" t="s">
        <v>3530</v>
      </c>
      <c r="D142" t="s">
        <v>3454</v>
      </c>
      <c r="E142" t="s">
        <v>3469</v>
      </c>
      <c r="F142">
        <v>2</v>
      </c>
      <c r="G142">
        <v>76.8</v>
      </c>
      <c r="H142" t="s">
        <v>3470</v>
      </c>
      <c r="J142" t="s">
        <v>3368</v>
      </c>
    </row>
    <row r="143" spans="1:10" x14ac:dyDescent="0.3">
      <c r="A143" t="s">
        <v>568</v>
      </c>
      <c r="B143" s="453">
        <v>46054</v>
      </c>
      <c r="C143" t="s">
        <v>3531</v>
      </c>
      <c r="D143" t="s">
        <v>3454</v>
      </c>
      <c r="E143" t="s">
        <v>3497</v>
      </c>
      <c r="F143">
        <v>1</v>
      </c>
      <c r="G143">
        <v>11.7</v>
      </c>
      <c r="H143" t="s">
        <v>3477</v>
      </c>
      <c r="J143" t="s">
        <v>3368</v>
      </c>
    </row>
    <row r="144" spans="1:10" x14ac:dyDescent="0.3">
      <c r="A144" t="s">
        <v>568</v>
      </c>
      <c r="B144" s="453">
        <v>46054</v>
      </c>
      <c r="C144" t="s">
        <v>3567</v>
      </c>
      <c r="D144" t="s">
        <v>3454</v>
      </c>
      <c r="E144" t="s">
        <v>3469</v>
      </c>
      <c r="F144">
        <v>2</v>
      </c>
      <c r="G144">
        <v>11.7</v>
      </c>
      <c r="H144" t="s">
        <v>3470</v>
      </c>
      <c r="J144" t="s">
        <v>3368</v>
      </c>
    </row>
    <row r="145" spans="1:10" x14ac:dyDescent="0.3">
      <c r="A145" t="s">
        <v>568</v>
      </c>
      <c r="B145" s="453">
        <v>46054</v>
      </c>
      <c r="C145" t="s">
        <v>3568</v>
      </c>
      <c r="D145" t="s">
        <v>3454</v>
      </c>
      <c r="E145" t="s">
        <v>3539</v>
      </c>
      <c r="F145">
        <v>1</v>
      </c>
      <c r="G145">
        <v>12.6</v>
      </c>
      <c r="H145" t="s">
        <v>3470</v>
      </c>
      <c r="J145" t="s">
        <v>3368</v>
      </c>
    </row>
    <row r="146" spans="1:10" x14ac:dyDescent="0.3">
      <c r="A146" t="s">
        <v>568</v>
      </c>
      <c r="B146" s="453">
        <v>46054</v>
      </c>
      <c r="C146" t="s">
        <v>3473</v>
      </c>
      <c r="D146" t="s">
        <v>3454</v>
      </c>
      <c r="E146" t="s">
        <v>3474</v>
      </c>
      <c r="F146">
        <v>5</v>
      </c>
      <c r="G146">
        <v>133.5</v>
      </c>
      <c r="H146" t="s">
        <v>3470</v>
      </c>
      <c r="J146" t="s">
        <v>3368</v>
      </c>
    </row>
    <row r="147" spans="1:10" x14ac:dyDescent="0.3">
      <c r="A147" t="s">
        <v>568</v>
      </c>
      <c r="B147" s="453">
        <v>46054</v>
      </c>
      <c r="C147" t="s">
        <v>3489</v>
      </c>
      <c r="D147" t="s">
        <v>3454</v>
      </c>
      <c r="E147" t="s">
        <v>3490</v>
      </c>
      <c r="F147">
        <v>7</v>
      </c>
      <c r="G147">
        <v>16.8</v>
      </c>
      <c r="H147" t="s">
        <v>3477</v>
      </c>
      <c r="J147" t="s">
        <v>3368</v>
      </c>
    </row>
    <row r="148" spans="1:10" x14ac:dyDescent="0.3">
      <c r="A148" t="s">
        <v>568</v>
      </c>
      <c r="B148" s="453">
        <v>46054</v>
      </c>
      <c r="C148" t="s">
        <v>3544</v>
      </c>
      <c r="D148" t="s">
        <v>3454</v>
      </c>
      <c r="E148" t="s">
        <v>3545</v>
      </c>
      <c r="F148">
        <v>1</v>
      </c>
      <c r="G148">
        <v>16.2</v>
      </c>
      <c r="H148" t="s">
        <v>3470</v>
      </c>
      <c r="J148" t="s">
        <v>3368</v>
      </c>
    </row>
    <row r="149" spans="1:10" x14ac:dyDescent="0.3">
      <c r="A149" t="s">
        <v>568</v>
      </c>
      <c r="B149" s="453">
        <v>46054</v>
      </c>
      <c r="C149" t="s">
        <v>3475</v>
      </c>
      <c r="D149" t="s">
        <v>3454</v>
      </c>
      <c r="E149" t="s">
        <v>3476</v>
      </c>
      <c r="F149">
        <v>2</v>
      </c>
      <c r="G149">
        <v>10.14</v>
      </c>
      <c r="H149" t="s">
        <v>3477</v>
      </c>
      <c r="J149" t="s">
        <v>3368</v>
      </c>
    </row>
    <row r="150" spans="1:10" x14ac:dyDescent="0.3">
      <c r="A150" t="s">
        <v>568</v>
      </c>
      <c r="B150" s="453">
        <v>46054</v>
      </c>
      <c r="C150" t="s">
        <v>3546</v>
      </c>
      <c r="D150" t="s">
        <v>3454</v>
      </c>
      <c r="E150" t="s">
        <v>3490</v>
      </c>
      <c r="F150">
        <v>2</v>
      </c>
      <c r="G150">
        <v>4.8</v>
      </c>
      <c r="H150" t="s">
        <v>3477</v>
      </c>
      <c r="J150" t="s">
        <v>3368</v>
      </c>
    </row>
    <row r="151" spans="1:10" x14ac:dyDescent="0.3">
      <c r="A151" t="s">
        <v>568</v>
      </c>
      <c r="B151" s="453">
        <v>46054</v>
      </c>
      <c r="C151" t="s">
        <v>3569</v>
      </c>
      <c r="D151" t="s">
        <v>3454</v>
      </c>
      <c r="E151" t="s">
        <v>3490</v>
      </c>
      <c r="F151">
        <v>5</v>
      </c>
      <c r="G151">
        <v>15.6</v>
      </c>
      <c r="H151" t="s">
        <v>3477</v>
      </c>
      <c r="J151" t="s">
        <v>3368</v>
      </c>
    </row>
    <row r="152" spans="1:10" x14ac:dyDescent="0.3">
      <c r="A152" t="s">
        <v>568</v>
      </c>
      <c r="B152" s="453">
        <v>46054</v>
      </c>
      <c r="C152" t="s">
        <v>3478</v>
      </c>
      <c r="D152" t="s">
        <v>3454</v>
      </c>
      <c r="E152" t="s">
        <v>3479</v>
      </c>
      <c r="F152">
        <v>1</v>
      </c>
      <c r="G152">
        <v>7.5</v>
      </c>
      <c r="H152" t="s">
        <v>3470</v>
      </c>
      <c r="J152" t="s">
        <v>3368</v>
      </c>
    </row>
    <row r="153" spans="1:10" x14ac:dyDescent="0.3">
      <c r="A153" t="s">
        <v>568</v>
      </c>
      <c r="B153" s="453">
        <v>46054</v>
      </c>
      <c r="C153" t="s">
        <v>3480</v>
      </c>
      <c r="D153" t="s">
        <v>3454</v>
      </c>
      <c r="E153" t="s">
        <v>3476</v>
      </c>
      <c r="F153">
        <v>73</v>
      </c>
      <c r="G153">
        <v>326.31</v>
      </c>
      <c r="H153" t="s">
        <v>3477</v>
      </c>
      <c r="J153" t="s">
        <v>3368</v>
      </c>
    </row>
    <row r="154" spans="1:10" x14ac:dyDescent="0.3">
      <c r="A154" t="s">
        <v>568</v>
      </c>
      <c r="B154" s="453">
        <v>46054</v>
      </c>
      <c r="C154" t="s">
        <v>3491</v>
      </c>
      <c r="D154" t="s">
        <v>3454</v>
      </c>
      <c r="E154" t="s">
        <v>3490</v>
      </c>
      <c r="F154">
        <v>7</v>
      </c>
      <c r="G154">
        <v>12.6</v>
      </c>
      <c r="H154" t="s">
        <v>3477</v>
      </c>
      <c r="J154" t="s">
        <v>3368</v>
      </c>
    </row>
    <row r="155" spans="1:10" x14ac:dyDescent="0.3">
      <c r="A155" t="s">
        <v>568</v>
      </c>
      <c r="B155" s="453">
        <v>46054</v>
      </c>
      <c r="C155" t="s">
        <v>3570</v>
      </c>
      <c r="D155" t="s">
        <v>3454</v>
      </c>
      <c r="E155" t="s">
        <v>3497</v>
      </c>
      <c r="F155">
        <v>2</v>
      </c>
      <c r="G155">
        <v>27.6</v>
      </c>
      <c r="H155" t="s">
        <v>3477</v>
      </c>
      <c r="J155" t="s">
        <v>3368</v>
      </c>
    </row>
    <row r="156" spans="1:10" x14ac:dyDescent="0.3">
      <c r="A156" t="s">
        <v>568</v>
      </c>
      <c r="B156" s="453">
        <v>46054</v>
      </c>
      <c r="C156" t="s">
        <v>3550</v>
      </c>
      <c r="D156" t="s">
        <v>3454</v>
      </c>
      <c r="E156" t="s">
        <v>3490</v>
      </c>
      <c r="F156">
        <v>7</v>
      </c>
      <c r="G156">
        <v>16.8</v>
      </c>
      <c r="H156" t="s">
        <v>3477</v>
      </c>
      <c r="J156" t="s">
        <v>3368</v>
      </c>
    </row>
    <row r="157" spans="1:10" x14ac:dyDescent="0.3">
      <c r="A157" t="s">
        <v>568</v>
      </c>
      <c r="B157" s="453">
        <v>46082</v>
      </c>
      <c r="C157" t="s">
        <v>3507</v>
      </c>
      <c r="D157" t="s">
        <v>3450</v>
      </c>
      <c r="E157" t="s">
        <v>3472</v>
      </c>
      <c r="F157">
        <v>1</v>
      </c>
      <c r="G157">
        <v>6.9</v>
      </c>
      <c r="H157" t="s">
        <v>3470</v>
      </c>
      <c r="J157" t="s">
        <v>3367</v>
      </c>
    </row>
    <row r="158" spans="1:10" x14ac:dyDescent="0.3">
      <c r="A158" t="s">
        <v>568</v>
      </c>
      <c r="B158" s="453">
        <v>46082</v>
      </c>
      <c r="C158" t="s">
        <v>3531</v>
      </c>
      <c r="D158" t="s">
        <v>3450</v>
      </c>
      <c r="E158" t="s">
        <v>3497</v>
      </c>
      <c r="F158">
        <v>2</v>
      </c>
      <c r="G158">
        <v>23.4</v>
      </c>
      <c r="H158" t="s">
        <v>3477</v>
      </c>
      <c r="J158" t="s">
        <v>3367</v>
      </c>
    </row>
    <row r="159" spans="1:10" x14ac:dyDescent="0.3">
      <c r="A159" t="s">
        <v>568</v>
      </c>
      <c r="B159" s="453">
        <v>46082</v>
      </c>
      <c r="C159" t="s">
        <v>3481</v>
      </c>
      <c r="D159" t="s">
        <v>3450</v>
      </c>
      <c r="E159" t="s">
        <v>3469</v>
      </c>
      <c r="F159">
        <v>1</v>
      </c>
      <c r="G159">
        <v>16.2</v>
      </c>
      <c r="H159" t="s">
        <v>3470</v>
      </c>
      <c r="J159" t="s">
        <v>3367</v>
      </c>
    </row>
    <row r="160" spans="1:10" x14ac:dyDescent="0.3">
      <c r="A160" t="s">
        <v>568</v>
      </c>
      <c r="B160" s="453">
        <v>46082</v>
      </c>
      <c r="C160" t="s">
        <v>3480</v>
      </c>
      <c r="D160" t="s">
        <v>3450</v>
      </c>
      <c r="E160" t="s">
        <v>3476</v>
      </c>
      <c r="F160">
        <v>14</v>
      </c>
      <c r="G160">
        <v>62.58</v>
      </c>
      <c r="H160" t="s">
        <v>3477</v>
      </c>
      <c r="J160" t="s">
        <v>3367</v>
      </c>
    </row>
    <row r="161" spans="1:10" x14ac:dyDescent="0.3">
      <c r="A161" t="s">
        <v>568</v>
      </c>
      <c r="B161" s="453">
        <v>46082</v>
      </c>
      <c r="C161" t="s">
        <v>3521</v>
      </c>
      <c r="D161" t="s">
        <v>3452</v>
      </c>
      <c r="E161" t="s">
        <v>3469</v>
      </c>
      <c r="F161">
        <v>1</v>
      </c>
      <c r="G161">
        <v>16.8</v>
      </c>
      <c r="H161" t="s">
        <v>3470</v>
      </c>
      <c r="J161" t="s">
        <v>3367</v>
      </c>
    </row>
    <row r="162" spans="1:10" x14ac:dyDescent="0.3">
      <c r="A162" t="s">
        <v>568</v>
      </c>
      <c r="B162" s="453">
        <v>46082</v>
      </c>
      <c r="C162" t="s">
        <v>3489</v>
      </c>
      <c r="D162" t="s">
        <v>3452</v>
      </c>
      <c r="E162" t="s">
        <v>3490</v>
      </c>
      <c r="F162">
        <v>1</v>
      </c>
      <c r="G162">
        <v>2.4</v>
      </c>
      <c r="H162" t="s">
        <v>3477</v>
      </c>
      <c r="J162" t="s">
        <v>3367</v>
      </c>
    </row>
    <row r="163" spans="1:10" x14ac:dyDescent="0.3">
      <c r="A163" t="s">
        <v>568</v>
      </c>
      <c r="B163" s="453">
        <v>46082</v>
      </c>
      <c r="C163" t="s">
        <v>3481</v>
      </c>
      <c r="D163" t="s">
        <v>3452</v>
      </c>
      <c r="E163" t="s">
        <v>3469</v>
      </c>
      <c r="F163">
        <v>1</v>
      </c>
      <c r="G163">
        <v>16.2</v>
      </c>
      <c r="H163" t="s">
        <v>3470</v>
      </c>
      <c r="J163" t="s">
        <v>3367</v>
      </c>
    </row>
    <row r="164" spans="1:10" x14ac:dyDescent="0.3">
      <c r="A164" t="s">
        <v>568</v>
      </c>
      <c r="B164" s="453">
        <v>46082</v>
      </c>
      <c r="C164" t="s">
        <v>3522</v>
      </c>
      <c r="D164" t="s">
        <v>3453</v>
      </c>
      <c r="E164" t="s">
        <v>3469</v>
      </c>
      <c r="F164">
        <v>1</v>
      </c>
      <c r="G164">
        <v>17.7</v>
      </c>
      <c r="H164" t="s">
        <v>3470</v>
      </c>
      <c r="J164" t="s">
        <v>3367</v>
      </c>
    </row>
    <row r="165" spans="1:10" x14ac:dyDescent="0.3">
      <c r="A165" t="s">
        <v>568</v>
      </c>
      <c r="B165" s="453">
        <v>46082</v>
      </c>
      <c r="C165" t="s">
        <v>3547</v>
      </c>
      <c r="D165" t="s">
        <v>3453</v>
      </c>
      <c r="E165" t="s">
        <v>3490</v>
      </c>
      <c r="F165">
        <v>1</v>
      </c>
      <c r="G165">
        <v>1.8</v>
      </c>
      <c r="H165" t="s">
        <v>3477</v>
      </c>
      <c r="J165" t="s">
        <v>3367</v>
      </c>
    </row>
    <row r="166" spans="1:10" x14ac:dyDescent="0.3">
      <c r="A166" t="s">
        <v>568</v>
      </c>
      <c r="B166" s="453">
        <v>46082</v>
      </c>
      <c r="C166" t="s">
        <v>3486</v>
      </c>
      <c r="D166" t="s">
        <v>3454</v>
      </c>
      <c r="E166" t="s">
        <v>3485</v>
      </c>
      <c r="F166">
        <v>6</v>
      </c>
      <c r="G166">
        <v>176.4</v>
      </c>
      <c r="H166" t="s">
        <v>3470</v>
      </c>
      <c r="J166" t="s">
        <v>3367</v>
      </c>
    </row>
    <row r="167" spans="1:10" x14ac:dyDescent="0.3">
      <c r="A167" t="s">
        <v>568</v>
      </c>
      <c r="B167" s="453">
        <v>46082</v>
      </c>
      <c r="C167" t="s">
        <v>3520</v>
      </c>
      <c r="D167" t="s">
        <v>3454</v>
      </c>
      <c r="E167" t="s">
        <v>3469</v>
      </c>
      <c r="F167">
        <v>4</v>
      </c>
      <c r="G167">
        <v>201.6</v>
      </c>
      <c r="H167" t="s">
        <v>3470</v>
      </c>
      <c r="J167" t="s">
        <v>3367</v>
      </c>
    </row>
    <row r="168" spans="1:10" x14ac:dyDescent="0.3">
      <c r="A168" t="s">
        <v>568</v>
      </c>
      <c r="B168" s="453">
        <v>46082</v>
      </c>
      <c r="C168" t="s">
        <v>3484</v>
      </c>
      <c r="D168" t="s">
        <v>3454</v>
      </c>
      <c r="E168" t="s">
        <v>3485</v>
      </c>
      <c r="F168">
        <v>13</v>
      </c>
      <c r="G168">
        <v>269.10000000000002</v>
      </c>
      <c r="H168" t="s">
        <v>3470</v>
      </c>
      <c r="J168" t="s">
        <v>3367</v>
      </c>
    </row>
    <row r="169" spans="1:10" x14ac:dyDescent="0.3">
      <c r="A169" t="s">
        <v>568</v>
      </c>
      <c r="B169" s="453">
        <v>46082</v>
      </c>
      <c r="C169" t="s">
        <v>3554</v>
      </c>
      <c r="D169" t="s">
        <v>3454</v>
      </c>
      <c r="E169" t="s">
        <v>3495</v>
      </c>
      <c r="F169">
        <v>4</v>
      </c>
      <c r="G169">
        <v>34.799999999999997</v>
      </c>
      <c r="H169" t="s">
        <v>3470</v>
      </c>
      <c r="J169" t="s">
        <v>3367</v>
      </c>
    </row>
    <row r="170" spans="1:10" x14ac:dyDescent="0.3">
      <c r="A170" t="s">
        <v>568</v>
      </c>
      <c r="B170" s="453">
        <v>46082</v>
      </c>
      <c r="C170" t="s">
        <v>3571</v>
      </c>
      <c r="D170" t="s">
        <v>3454</v>
      </c>
      <c r="E170" t="s">
        <v>3499</v>
      </c>
      <c r="F170">
        <v>1</v>
      </c>
      <c r="G170">
        <v>10.5</v>
      </c>
      <c r="H170" t="s">
        <v>3477</v>
      </c>
      <c r="J170" t="s">
        <v>3367</v>
      </c>
    </row>
    <row r="171" spans="1:10" x14ac:dyDescent="0.3">
      <c r="A171" t="s">
        <v>568</v>
      </c>
      <c r="B171" s="453">
        <v>46082</v>
      </c>
      <c r="C171" t="s">
        <v>3515</v>
      </c>
      <c r="D171" t="s">
        <v>3454</v>
      </c>
      <c r="E171" t="s">
        <v>3490</v>
      </c>
      <c r="F171">
        <v>4</v>
      </c>
      <c r="G171">
        <v>10.8</v>
      </c>
      <c r="H171" t="s">
        <v>3477</v>
      </c>
      <c r="J171" t="s">
        <v>3367</v>
      </c>
    </row>
    <row r="172" spans="1:10" x14ac:dyDescent="0.3">
      <c r="A172" t="s">
        <v>568</v>
      </c>
      <c r="B172" s="453">
        <v>46082</v>
      </c>
      <c r="C172" t="s">
        <v>3487</v>
      </c>
      <c r="D172" t="s">
        <v>3454</v>
      </c>
      <c r="E172" t="s">
        <v>3485</v>
      </c>
      <c r="F172">
        <v>2</v>
      </c>
      <c r="G172">
        <v>53.4</v>
      </c>
      <c r="H172" t="s">
        <v>3470</v>
      </c>
      <c r="J172" t="s">
        <v>3367</v>
      </c>
    </row>
    <row r="173" spans="1:10" x14ac:dyDescent="0.3">
      <c r="A173" t="s">
        <v>568</v>
      </c>
      <c r="B173" s="453">
        <v>46082</v>
      </c>
      <c r="C173" t="s">
        <v>3572</v>
      </c>
      <c r="D173" t="s">
        <v>3454</v>
      </c>
      <c r="E173" t="s">
        <v>3495</v>
      </c>
      <c r="F173">
        <v>2</v>
      </c>
      <c r="G173">
        <v>15.6</v>
      </c>
      <c r="H173" t="s">
        <v>3470</v>
      </c>
      <c r="J173" t="s">
        <v>3367</v>
      </c>
    </row>
    <row r="174" spans="1:10" x14ac:dyDescent="0.3">
      <c r="A174" t="s">
        <v>568</v>
      </c>
      <c r="B174" s="453">
        <v>46082</v>
      </c>
      <c r="C174" t="s">
        <v>3511</v>
      </c>
      <c r="D174" t="s">
        <v>3454</v>
      </c>
      <c r="E174" t="s">
        <v>3469</v>
      </c>
      <c r="F174">
        <v>1</v>
      </c>
      <c r="G174">
        <v>41.4</v>
      </c>
      <c r="H174" t="s">
        <v>3470</v>
      </c>
      <c r="J174" t="s">
        <v>3367</v>
      </c>
    </row>
    <row r="175" spans="1:10" x14ac:dyDescent="0.3">
      <c r="A175" t="s">
        <v>568</v>
      </c>
      <c r="B175" s="453">
        <v>46082</v>
      </c>
      <c r="C175" t="s">
        <v>3523</v>
      </c>
      <c r="D175" t="s">
        <v>3454</v>
      </c>
      <c r="E175" t="s">
        <v>3469</v>
      </c>
      <c r="F175">
        <v>1</v>
      </c>
      <c r="G175">
        <v>14.7</v>
      </c>
      <c r="H175" t="s">
        <v>3470</v>
      </c>
      <c r="J175" t="s">
        <v>3367</v>
      </c>
    </row>
    <row r="176" spans="1:10" x14ac:dyDescent="0.3">
      <c r="A176" t="s">
        <v>568</v>
      </c>
      <c r="B176" s="453">
        <v>46082</v>
      </c>
      <c r="C176" t="s">
        <v>3573</v>
      </c>
      <c r="D176" t="s">
        <v>3454</v>
      </c>
      <c r="E176" t="s">
        <v>3485</v>
      </c>
      <c r="F176">
        <v>1</v>
      </c>
      <c r="G176">
        <v>55.8</v>
      </c>
      <c r="H176" t="s">
        <v>3470</v>
      </c>
      <c r="J176" t="s">
        <v>3367</v>
      </c>
    </row>
    <row r="177" spans="1:10" x14ac:dyDescent="0.3">
      <c r="A177" t="s">
        <v>568</v>
      </c>
      <c r="B177" s="453">
        <v>46082</v>
      </c>
      <c r="C177" t="s">
        <v>3507</v>
      </c>
      <c r="D177" t="s">
        <v>3454</v>
      </c>
      <c r="E177" t="s">
        <v>3472</v>
      </c>
      <c r="F177">
        <v>5</v>
      </c>
      <c r="G177">
        <v>34.5</v>
      </c>
      <c r="H177" t="s">
        <v>3470</v>
      </c>
      <c r="J177" t="s">
        <v>3367</v>
      </c>
    </row>
    <row r="178" spans="1:10" x14ac:dyDescent="0.3">
      <c r="A178" t="s">
        <v>568</v>
      </c>
      <c r="B178" s="453">
        <v>46082</v>
      </c>
      <c r="C178" t="s">
        <v>3556</v>
      </c>
      <c r="D178" t="s">
        <v>3454</v>
      </c>
      <c r="E178" t="s">
        <v>3545</v>
      </c>
      <c r="F178">
        <v>1</v>
      </c>
      <c r="G178">
        <v>15.6</v>
      </c>
      <c r="J178" t="s">
        <v>3367</v>
      </c>
    </row>
    <row r="179" spans="1:10" x14ac:dyDescent="0.3">
      <c r="A179" t="s">
        <v>568</v>
      </c>
      <c r="B179" s="453">
        <v>46082</v>
      </c>
      <c r="C179" t="s">
        <v>3559</v>
      </c>
      <c r="D179" t="s">
        <v>3454</v>
      </c>
      <c r="E179" t="s">
        <v>3469</v>
      </c>
      <c r="F179">
        <v>1</v>
      </c>
      <c r="G179">
        <v>13.8</v>
      </c>
      <c r="H179" t="s">
        <v>3470</v>
      </c>
      <c r="J179" t="s">
        <v>3367</v>
      </c>
    </row>
    <row r="180" spans="1:10" x14ac:dyDescent="0.3">
      <c r="A180" t="s">
        <v>568</v>
      </c>
      <c r="B180" s="453">
        <v>46082</v>
      </c>
      <c r="C180" t="s">
        <v>3509</v>
      </c>
      <c r="D180" t="s">
        <v>3454</v>
      </c>
      <c r="E180" t="s">
        <v>3469</v>
      </c>
      <c r="F180">
        <v>7</v>
      </c>
      <c r="G180">
        <v>119.7</v>
      </c>
      <c r="H180" t="s">
        <v>3470</v>
      </c>
      <c r="J180" t="s">
        <v>3367</v>
      </c>
    </row>
    <row r="181" spans="1:10" x14ac:dyDescent="0.3">
      <c r="A181" t="s">
        <v>568</v>
      </c>
      <c r="B181" s="453">
        <v>46082</v>
      </c>
      <c r="C181" t="s">
        <v>3510</v>
      </c>
      <c r="D181" t="s">
        <v>3454</v>
      </c>
      <c r="E181" t="s">
        <v>3485</v>
      </c>
      <c r="F181">
        <v>4</v>
      </c>
      <c r="G181">
        <v>102</v>
      </c>
      <c r="H181" t="s">
        <v>3470</v>
      </c>
      <c r="J181" t="s">
        <v>3367</v>
      </c>
    </row>
    <row r="182" spans="1:10" x14ac:dyDescent="0.3">
      <c r="A182" t="s">
        <v>568</v>
      </c>
      <c r="B182" s="453">
        <v>46082</v>
      </c>
      <c r="C182" t="s">
        <v>3492</v>
      </c>
      <c r="D182" t="s">
        <v>3454</v>
      </c>
      <c r="E182" t="s">
        <v>3493</v>
      </c>
      <c r="F182">
        <v>1</v>
      </c>
      <c r="G182">
        <v>14.4</v>
      </c>
      <c r="H182" t="s">
        <v>3470</v>
      </c>
      <c r="J182" t="s">
        <v>3367</v>
      </c>
    </row>
    <row r="183" spans="1:10" x14ac:dyDescent="0.3">
      <c r="A183" t="s">
        <v>568</v>
      </c>
      <c r="B183" s="453">
        <v>46082</v>
      </c>
      <c r="C183" t="s">
        <v>3512</v>
      </c>
      <c r="D183" t="s">
        <v>3454</v>
      </c>
      <c r="E183" t="s">
        <v>3469</v>
      </c>
      <c r="F183">
        <v>2</v>
      </c>
      <c r="G183">
        <v>29.4</v>
      </c>
      <c r="H183" t="s">
        <v>3470</v>
      </c>
      <c r="J183" t="s">
        <v>3367</v>
      </c>
    </row>
    <row r="184" spans="1:10" x14ac:dyDescent="0.3">
      <c r="A184" t="s">
        <v>568</v>
      </c>
      <c r="B184" s="453">
        <v>46082</v>
      </c>
      <c r="C184" t="s">
        <v>3513</v>
      </c>
      <c r="D184" t="s">
        <v>3454</v>
      </c>
      <c r="E184" t="s">
        <v>3493</v>
      </c>
      <c r="F184">
        <v>5</v>
      </c>
      <c r="G184">
        <v>159</v>
      </c>
      <c r="H184" t="s">
        <v>3470</v>
      </c>
      <c r="J184" t="s">
        <v>3367</v>
      </c>
    </row>
    <row r="185" spans="1:10" x14ac:dyDescent="0.3">
      <c r="A185" t="s">
        <v>568</v>
      </c>
      <c r="B185" s="453">
        <v>46082</v>
      </c>
      <c r="C185" t="s">
        <v>3514</v>
      </c>
      <c r="D185" t="s">
        <v>3454</v>
      </c>
      <c r="E185" t="s">
        <v>3472</v>
      </c>
      <c r="F185">
        <v>9</v>
      </c>
      <c r="G185">
        <v>129.6</v>
      </c>
      <c r="H185" t="s">
        <v>3470</v>
      </c>
      <c r="J185" t="s">
        <v>3367</v>
      </c>
    </row>
    <row r="186" spans="1:10" x14ac:dyDescent="0.3">
      <c r="A186" t="s">
        <v>568</v>
      </c>
      <c r="B186" s="453">
        <v>46082</v>
      </c>
      <c r="C186" t="s">
        <v>3488</v>
      </c>
      <c r="D186" t="s">
        <v>3454</v>
      </c>
      <c r="E186" t="s">
        <v>3545</v>
      </c>
      <c r="F186">
        <v>1</v>
      </c>
      <c r="G186">
        <v>15.6</v>
      </c>
      <c r="J186" t="s">
        <v>3367</v>
      </c>
    </row>
    <row r="187" spans="1:10" x14ac:dyDescent="0.3">
      <c r="A187" t="s">
        <v>568</v>
      </c>
      <c r="B187" s="453">
        <v>46082</v>
      </c>
      <c r="C187" t="s">
        <v>3574</v>
      </c>
      <c r="D187" t="s">
        <v>3454</v>
      </c>
      <c r="E187" t="s">
        <v>3490</v>
      </c>
      <c r="F187">
        <v>2</v>
      </c>
      <c r="G187">
        <v>4.8</v>
      </c>
      <c r="H187" t="s">
        <v>3477</v>
      </c>
      <c r="J187" t="s">
        <v>3367</v>
      </c>
    </row>
    <row r="188" spans="1:10" x14ac:dyDescent="0.3">
      <c r="A188" t="s">
        <v>568</v>
      </c>
      <c r="B188" s="453">
        <v>46082</v>
      </c>
      <c r="C188" t="s">
        <v>3546</v>
      </c>
      <c r="D188" t="s">
        <v>3454</v>
      </c>
      <c r="E188" t="s">
        <v>3490</v>
      </c>
      <c r="F188">
        <v>5</v>
      </c>
      <c r="G188">
        <v>12</v>
      </c>
      <c r="H188" t="s">
        <v>3477</v>
      </c>
      <c r="J188" t="s">
        <v>3367</v>
      </c>
    </row>
    <row r="189" spans="1:10" x14ac:dyDescent="0.3">
      <c r="A189" t="s">
        <v>568</v>
      </c>
      <c r="B189" s="453">
        <v>46082</v>
      </c>
      <c r="C189" t="s">
        <v>3569</v>
      </c>
      <c r="D189" t="s">
        <v>3454</v>
      </c>
      <c r="E189" t="s">
        <v>3490</v>
      </c>
      <c r="F189">
        <v>8</v>
      </c>
      <c r="G189">
        <v>31.2</v>
      </c>
      <c r="H189" t="s">
        <v>3477</v>
      </c>
      <c r="J189" t="s">
        <v>3367</v>
      </c>
    </row>
    <row r="190" spans="1:10" x14ac:dyDescent="0.3">
      <c r="A190" t="s">
        <v>568</v>
      </c>
      <c r="B190" s="453">
        <v>46082</v>
      </c>
      <c r="C190" t="s">
        <v>3478</v>
      </c>
      <c r="D190" t="s">
        <v>3454</v>
      </c>
      <c r="E190" t="s">
        <v>3479</v>
      </c>
      <c r="F190">
        <v>2</v>
      </c>
      <c r="G190">
        <v>7.5</v>
      </c>
      <c r="H190" t="s">
        <v>3470</v>
      </c>
      <c r="J190" t="s">
        <v>3367</v>
      </c>
    </row>
    <row r="191" spans="1:10" x14ac:dyDescent="0.3">
      <c r="A191" t="s">
        <v>568</v>
      </c>
      <c r="B191" s="453">
        <v>46082</v>
      </c>
      <c r="C191" t="s">
        <v>3480</v>
      </c>
      <c r="D191" t="s">
        <v>3454</v>
      </c>
      <c r="E191" t="s">
        <v>3476</v>
      </c>
      <c r="F191">
        <v>43</v>
      </c>
      <c r="G191">
        <v>192.21</v>
      </c>
      <c r="H191" t="s">
        <v>3477</v>
      </c>
      <c r="J191" t="s">
        <v>3367</v>
      </c>
    </row>
    <row r="192" spans="1:10" x14ac:dyDescent="0.3">
      <c r="A192" t="s">
        <v>568</v>
      </c>
      <c r="B192" s="453">
        <v>46082</v>
      </c>
      <c r="C192" t="s">
        <v>3533</v>
      </c>
      <c r="D192" t="s">
        <v>3454</v>
      </c>
      <c r="E192" t="s">
        <v>3490</v>
      </c>
      <c r="F192">
        <v>2</v>
      </c>
      <c r="G192">
        <v>4.8</v>
      </c>
      <c r="H192" t="s">
        <v>3477</v>
      </c>
      <c r="J192" t="s">
        <v>3367</v>
      </c>
    </row>
    <row r="193" spans="1:10" x14ac:dyDescent="0.3">
      <c r="A193" t="s">
        <v>568</v>
      </c>
      <c r="B193" s="453">
        <v>46082</v>
      </c>
      <c r="C193" t="s">
        <v>3534</v>
      </c>
      <c r="D193" t="s">
        <v>3454</v>
      </c>
      <c r="E193" t="s">
        <v>3497</v>
      </c>
      <c r="F193">
        <v>10</v>
      </c>
      <c r="G193">
        <v>69</v>
      </c>
      <c r="H193" t="s">
        <v>3477</v>
      </c>
      <c r="J193" t="s">
        <v>3367</v>
      </c>
    </row>
    <row r="194" spans="1:10" x14ac:dyDescent="0.3">
      <c r="A194" t="s">
        <v>568</v>
      </c>
      <c r="B194" s="453">
        <v>46082</v>
      </c>
      <c r="C194" t="s">
        <v>3535</v>
      </c>
      <c r="D194" t="s">
        <v>3454</v>
      </c>
      <c r="E194" t="s">
        <v>3497</v>
      </c>
      <c r="F194">
        <v>1</v>
      </c>
      <c r="G194">
        <v>13.8</v>
      </c>
      <c r="H194" t="s">
        <v>3477</v>
      </c>
      <c r="J194" t="s">
        <v>3367</v>
      </c>
    </row>
    <row r="195" spans="1:10" x14ac:dyDescent="0.3">
      <c r="A195" t="s">
        <v>568</v>
      </c>
      <c r="B195" s="453">
        <v>46082</v>
      </c>
      <c r="C195" t="s">
        <v>3494</v>
      </c>
      <c r="D195" t="s">
        <v>3454</v>
      </c>
      <c r="E195" t="s">
        <v>3495</v>
      </c>
      <c r="F195">
        <v>4</v>
      </c>
      <c r="G195">
        <v>25.2</v>
      </c>
      <c r="H195" t="s">
        <v>3470</v>
      </c>
      <c r="J195" t="s">
        <v>3367</v>
      </c>
    </row>
    <row r="196" spans="1:10" x14ac:dyDescent="0.3">
      <c r="A196" t="s">
        <v>568</v>
      </c>
      <c r="B196" s="453">
        <v>46082</v>
      </c>
      <c r="C196" t="s">
        <v>3500</v>
      </c>
      <c r="D196" t="s">
        <v>3454</v>
      </c>
      <c r="E196" t="s">
        <v>3501</v>
      </c>
      <c r="F196">
        <v>3</v>
      </c>
      <c r="G196">
        <v>7.2</v>
      </c>
      <c r="H196" t="s">
        <v>3477</v>
      </c>
      <c r="J196" t="s">
        <v>3367</v>
      </c>
    </row>
    <row r="197" spans="1:10" x14ac:dyDescent="0.3">
      <c r="A197" t="s">
        <v>568</v>
      </c>
      <c r="B197" s="453">
        <v>46082</v>
      </c>
      <c r="C197" t="s">
        <v>3522</v>
      </c>
      <c r="D197" t="s">
        <v>3454</v>
      </c>
      <c r="E197" t="s">
        <v>3469</v>
      </c>
      <c r="F197">
        <v>13</v>
      </c>
      <c r="G197">
        <v>230.1</v>
      </c>
      <c r="H197" t="s">
        <v>3470</v>
      </c>
      <c r="J197" t="s">
        <v>3367</v>
      </c>
    </row>
    <row r="198" spans="1:10" x14ac:dyDescent="0.3">
      <c r="A198" t="s">
        <v>568</v>
      </c>
      <c r="B198" s="453">
        <v>46082</v>
      </c>
      <c r="C198" t="s">
        <v>3541</v>
      </c>
      <c r="D198" t="s">
        <v>3454</v>
      </c>
      <c r="E198" t="s">
        <v>3469</v>
      </c>
      <c r="F198">
        <v>1</v>
      </c>
      <c r="G198">
        <v>18.600000000000001</v>
      </c>
      <c r="H198" t="s">
        <v>3470</v>
      </c>
      <c r="J198" t="s">
        <v>3367</v>
      </c>
    </row>
    <row r="199" spans="1:10" x14ac:dyDescent="0.3">
      <c r="A199" t="s">
        <v>568</v>
      </c>
      <c r="B199" s="453">
        <v>46082</v>
      </c>
      <c r="C199" t="s">
        <v>3540</v>
      </c>
      <c r="D199" t="s">
        <v>3454</v>
      </c>
      <c r="E199" t="s">
        <v>3539</v>
      </c>
      <c r="F199">
        <v>4</v>
      </c>
      <c r="G199">
        <v>54</v>
      </c>
      <c r="H199" t="s">
        <v>3470</v>
      </c>
      <c r="J199" t="s">
        <v>3367</v>
      </c>
    </row>
    <row r="200" spans="1:10" x14ac:dyDescent="0.3">
      <c r="A200" t="s">
        <v>568</v>
      </c>
      <c r="B200" s="453">
        <v>46082</v>
      </c>
      <c r="C200" t="s">
        <v>3538</v>
      </c>
      <c r="D200" t="s">
        <v>3454</v>
      </c>
      <c r="E200" t="s">
        <v>3539</v>
      </c>
      <c r="F200">
        <v>1</v>
      </c>
      <c r="G200">
        <v>12.6</v>
      </c>
      <c r="H200" t="s">
        <v>3470</v>
      </c>
      <c r="J200" t="s">
        <v>3367</v>
      </c>
    </row>
    <row r="201" spans="1:10" x14ac:dyDescent="0.3">
      <c r="A201" t="s">
        <v>568</v>
      </c>
      <c r="B201" s="453">
        <v>46082</v>
      </c>
      <c r="C201" t="s">
        <v>3496</v>
      </c>
      <c r="D201" t="s">
        <v>3454</v>
      </c>
      <c r="E201" t="s">
        <v>3497</v>
      </c>
      <c r="F201">
        <v>11</v>
      </c>
      <c r="G201">
        <v>82.5</v>
      </c>
      <c r="H201" t="s">
        <v>3477</v>
      </c>
      <c r="J201" t="s">
        <v>3367</v>
      </c>
    </row>
    <row r="202" spans="1:10" x14ac:dyDescent="0.3">
      <c r="A202" t="s">
        <v>568</v>
      </c>
      <c r="B202" s="453">
        <v>46082</v>
      </c>
      <c r="C202" t="s">
        <v>3481</v>
      </c>
      <c r="D202" t="s">
        <v>3454</v>
      </c>
      <c r="E202" t="s">
        <v>3469</v>
      </c>
      <c r="F202">
        <v>1</v>
      </c>
      <c r="G202">
        <v>16.2</v>
      </c>
      <c r="H202" t="s">
        <v>3470</v>
      </c>
      <c r="J202" t="s">
        <v>3367</v>
      </c>
    </row>
    <row r="203" spans="1:10" x14ac:dyDescent="0.3">
      <c r="A203" t="s">
        <v>568</v>
      </c>
      <c r="B203" s="453">
        <v>46082</v>
      </c>
      <c r="C203" t="s">
        <v>3531</v>
      </c>
      <c r="D203" t="s">
        <v>3454</v>
      </c>
      <c r="E203" t="s">
        <v>3497</v>
      </c>
      <c r="F203">
        <v>4</v>
      </c>
      <c r="G203">
        <v>46.8</v>
      </c>
      <c r="H203" t="s">
        <v>3477</v>
      </c>
      <c r="J203" t="s">
        <v>3367</v>
      </c>
    </row>
    <row r="204" spans="1:10" x14ac:dyDescent="0.3">
      <c r="A204" t="s">
        <v>568</v>
      </c>
      <c r="B204" s="453">
        <v>46082</v>
      </c>
      <c r="C204" t="s">
        <v>3482</v>
      </c>
      <c r="D204" t="s">
        <v>3454</v>
      </c>
      <c r="E204" t="s">
        <v>3469</v>
      </c>
      <c r="F204">
        <v>5</v>
      </c>
      <c r="G204">
        <v>27.6</v>
      </c>
      <c r="H204" t="s">
        <v>3470</v>
      </c>
      <c r="J204" t="s">
        <v>3367</v>
      </c>
    </row>
    <row r="205" spans="1:10" x14ac:dyDescent="0.3">
      <c r="A205" t="s">
        <v>568</v>
      </c>
      <c r="B205" s="453">
        <v>46082</v>
      </c>
      <c r="C205" t="s">
        <v>3530</v>
      </c>
      <c r="D205" t="s">
        <v>3454</v>
      </c>
      <c r="E205" t="s">
        <v>3469</v>
      </c>
      <c r="F205">
        <v>5</v>
      </c>
      <c r="G205">
        <v>192</v>
      </c>
      <c r="H205" t="s">
        <v>3470</v>
      </c>
      <c r="J205" t="s">
        <v>3367</v>
      </c>
    </row>
    <row r="206" spans="1:10" x14ac:dyDescent="0.3">
      <c r="A206" t="s">
        <v>568</v>
      </c>
      <c r="B206" s="453">
        <v>46082</v>
      </c>
      <c r="C206" t="s">
        <v>3489</v>
      </c>
      <c r="D206" t="s">
        <v>3454</v>
      </c>
      <c r="E206" t="s">
        <v>3490</v>
      </c>
      <c r="F206">
        <v>14</v>
      </c>
      <c r="G206">
        <v>33.6</v>
      </c>
      <c r="H206" t="s">
        <v>3477</v>
      </c>
      <c r="J206" t="s">
        <v>3367</v>
      </c>
    </row>
    <row r="207" spans="1:10" x14ac:dyDescent="0.3">
      <c r="A207" t="s">
        <v>568</v>
      </c>
      <c r="B207" s="453">
        <v>46082</v>
      </c>
      <c r="C207" t="s">
        <v>3575</v>
      </c>
      <c r="D207" t="s">
        <v>3454</v>
      </c>
      <c r="E207" t="s">
        <v>3576</v>
      </c>
      <c r="F207">
        <v>2</v>
      </c>
      <c r="G207">
        <v>82.8</v>
      </c>
      <c r="H207" t="s">
        <v>3470</v>
      </c>
      <c r="J207" t="s">
        <v>3367</v>
      </c>
    </row>
    <row r="208" spans="1:10" x14ac:dyDescent="0.3">
      <c r="A208" t="s">
        <v>568</v>
      </c>
      <c r="B208" s="453">
        <v>46082</v>
      </c>
      <c r="C208" t="s">
        <v>3577</v>
      </c>
      <c r="D208" t="s">
        <v>3454</v>
      </c>
      <c r="E208" t="s">
        <v>3472</v>
      </c>
      <c r="F208">
        <v>1</v>
      </c>
      <c r="G208">
        <v>8.1</v>
      </c>
      <c r="H208" t="s">
        <v>3470</v>
      </c>
      <c r="J208" t="s">
        <v>3367</v>
      </c>
    </row>
    <row r="209" spans="1:10" x14ac:dyDescent="0.3">
      <c r="A209" t="s">
        <v>568</v>
      </c>
      <c r="B209" s="453">
        <v>46082</v>
      </c>
      <c r="C209" t="s">
        <v>3468</v>
      </c>
      <c r="D209" t="s">
        <v>3454</v>
      </c>
      <c r="E209" t="s">
        <v>3469</v>
      </c>
      <c r="F209">
        <v>5</v>
      </c>
      <c r="G209">
        <v>72</v>
      </c>
      <c r="H209" t="s">
        <v>3470</v>
      </c>
      <c r="J209" t="s">
        <v>3367</v>
      </c>
    </row>
    <row r="210" spans="1:10" x14ac:dyDescent="0.3">
      <c r="A210" t="s">
        <v>568</v>
      </c>
      <c r="B210" s="453">
        <v>46082</v>
      </c>
      <c r="C210" t="s">
        <v>3483</v>
      </c>
      <c r="D210" t="s">
        <v>3454</v>
      </c>
      <c r="E210" t="s">
        <v>3469</v>
      </c>
      <c r="F210">
        <v>21</v>
      </c>
      <c r="G210">
        <v>529.20000000000005</v>
      </c>
      <c r="H210" t="s">
        <v>3470</v>
      </c>
      <c r="J210" t="s">
        <v>3367</v>
      </c>
    </row>
    <row r="211" spans="1:10" x14ac:dyDescent="0.3">
      <c r="A211" t="s">
        <v>568</v>
      </c>
      <c r="B211" s="453">
        <v>46082</v>
      </c>
      <c r="C211" t="s">
        <v>3498</v>
      </c>
      <c r="D211" t="s">
        <v>3454</v>
      </c>
      <c r="E211" t="s">
        <v>3499</v>
      </c>
      <c r="F211">
        <v>1</v>
      </c>
      <c r="G211">
        <v>10.5</v>
      </c>
      <c r="J211" t="s">
        <v>3367</v>
      </c>
    </row>
    <row r="212" spans="1:10" x14ac:dyDescent="0.3">
      <c r="A212" t="s">
        <v>568</v>
      </c>
      <c r="B212" s="453">
        <v>46082</v>
      </c>
      <c r="C212" t="s">
        <v>3525</v>
      </c>
      <c r="D212" t="s">
        <v>3454</v>
      </c>
      <c r="E212" t="s">
        <v>3497</v>
      </c>
      <c r="F212">
        <v>15</v>
      </c>
      <c r="G212">
        <v>112.5</v>
      </c>
      <c r="H212" t="s">
        <v>3477</v>
      </c>
      <c r="J212" t="s">
        <v>3367</v>
      </c>
    </row>
    <row r="213" spans="1:10" x14ac:dyDescent="0.3">
      <c r="A213" t="s">
        <v>568</v>
      </c>
      <c r="B213" s="453">
        <v>46082</v>
      </c>
      <c r="C213" t="s">
        <v>3547</v>
      </c>
      <c r="D213" t="s">
        <v>3454</v>
      </c>
      <c r="E213" t="s">
        <v>3490</v>
      </c>
      <c r="F213">
        <v>2</v>
      </c>
      <c r="G213">
        <v>3.6</v>
      </c>
      <c r="H213" t="s">
        <v>3477</v>
      </c>
      <c r="J213" t="s">
        <v>3367</v>
      </c>
    </row>
    <row r="214" spans="1:10" x14ac:dyDescent="0.3">
      <c r="A214" t="s">
        <v>568</v>
      </c>
      <c r="B214" s="453">
        <v>46082</v>
      </c>
      <c r="C214" t="s">
        <v>3565</v>
      </c>
      <c r="D214" t="s">
        <v>3454</v>
      </c>
      <c r="E214" t="s">
        <v>3543</v>
      </c>
      <c r="F214">
        <v>2</v>
      </c>
      <c r="G214">
        <v>17.399999999999999</v>
      </c>
      <c r="H214" t="s">
        <v>3470</v>
      </c>
      <c r="J214" t="s">
        <v>3367</v>
      </c>
    </row>
    <row r="215" spans="1:10" x14ac:dyDescent="0.3">
      <c r="A215" t="s">
        <v>568</v>
      </c>
      <c r="B215" s="453">
        <v>46082</v>
      </c>
      <c r="C215" t="s">
        <v>3578</v>
      </c>
      <c r="D215" t="s">
        <v>3454</v>
      </c>
      <c r="E215" t="s">
        <v>3490</v>
      </c>
      <c r="F215">
        <v>2</v>
      </c>
      <c r="G215">
        <v>3.9</v>
      </c>
      <c r="H215" t="s">
        <v>3477</v>
      </c>
      <c r="J215" t="s">
        <v>3367</v>
      </c>
    </row>
    <row r="216" spans="1:10" x14ac:dyDescent="0.3">
      <c r="A216" t="s">
        <v>568</v>
      </c>
      <c r="B216" s="453">
        <v>46082</v>
      </c>
      <c r="C216" t="s">
        <v>3548</v>
      </c>
      <c r="D216" t="s">
        <v>3454</v>
      </c>
      <c r="E216" t="s">
        <v>3503</v>
      </c>
      <c r="F216">
        <v>1</v>
      </c>
      <c r="G216">
        <v>18</v>
      </c>
      <c r="H216" t="s">
        <v>3470</v>
      </c>
      <c r="J216" t="s">
        <v>3367</v>
      </c>
    </row>
    <row r="217" spans="1:10" x14ac:dyDescent="0.3">
      <c r="A217" t="s">
        <v>568</v>
      </c>
      <c r="B217" s="453">
        <v>46082</v>
      </c>
      <c r="C217" t="s">
        <v>3567</v>
      </c>
      <c r="D217" t="s">
        <v>3454</v>
      </c>
      <c r="E217" t="s">
        <v>3495</v>
      </c>
      <c r="F217">
        <v>3</v>
      </c>
      <c r="G217">
        <v>17.55</v>
      </c>
      <c r="H217" t="s">
        <v>3470</v>
      </c>
      <c r="J217" t="s">
        <v>3367</v>
      </c>
    </row>
    <row r="218" spans="1:10" x14ac:dyDescent="0.3">
      <c r="A218" t="s">
        <v>568</v>
      </c>
      <c r="B218" s="453">
        <v>46082</v>
      </c>
      <c r="C218" t="s">
        <v>3471</v>
      </c>
      <c r="D218" t="s">
        <v>3454</v>
      </c>
      <c r="E218" t="s">
        <v>3472</v>
      </c>
      <c r="F218">
        <v>1</v>
      </c>
      <c r="G218">
        <v>25.5</v>
      </c>
      <c r="H218" t="s">
        <v>3470</v>
      </c>
      <c r="J218" t="s">
        <v>3367</v>
      </c>
    </row>
    <row r="219" spans="1:10" x14ac:dyDescent="0.3">
      <c r="A219" t="s">
        <v>568</v>
      </c>
      <c r="B219" s="453">
        <v>46082</v>
      </c>
      <c r="C219" t="s">
        <v>3550</v>
      </c>
      <c r="D219" t="s">
        <v>3454</v>
      </c>
      <c r="E219" t="s">
        <v>3490</v>
      </c>
      <c r="F219">
        <v>5</v>
      </c>
      <c r="G219">
        <v>12</v>
      </c>
      <c r="H219" t="s">
        <v>3477</v>
      </c>
      <c r="J219" t="s">
        <v>3367</v>
      </c>
    </row>
    <row r="220" spans="1:10" x14ac:dyDescent="0.3">
      <c r="A220" t="s">
        <v>568</v>
      </c>
      <c r="B220" s="453">
        <v>46082</v>
      </c>
      <c r="C220" t="s">
        <v>3551</v>
      </c>
      <c r="D220" t="s">
        <v>3454</v>
      </c>
      <c r="E220" t="s">
        <v>3490</v>
      </c>
      <c r="F220">
        <v>2</v>
      </c>
      <c r="G220">
        <v>4.8</v>
      </c>
      <c r="H220" t="s">
        <v>3477</v>
      </c>
      <c r="J220" t="s">
        <v>3367</v>
      </c>
    </row>
    <row r="221" spans="1:10" x14ac:dyDescent="0.3">
      <c r="A221" t="s">
        <v>568</v>
      </c>
      <c r="B221" s="453">
        <v>46082</v>
      </c>
      <c r="C221" t="s">
        <v>3491</v>
      </c>
      <c r="D221" t="s">
        <v>3454</v>
      </c>
      <c r="E221" t="s">
        <v>3490</v>
      </c>
      <c r="F221">
        <v>12</v>
      </c>
      <c r="G221">
        <v>21.6</v>
      </c>
      <c r="H221" t="s">
        <v>3477</v>
      </c>
      <c r="J221" t="s">
        <v>3367</v>
      </c>
    </row>
    <row r="222" spans="1:10" x14ac:dyDescent="0.3">
      <c r="A222" t="s">
        <v>568</v>
      </c>
      <c r="B222" s="453">
        <v>46082</v>
      </c>
      <c r="C222" t="s">
        <v>3473</v>
      </c>
      <c r="D222" t="s">
        <v>3454</v>
      </c>
      <c r="E222" t="s">
        <v>3469</v>
      </c>
      <c r="F222">
        <v>5</v>
      </c>
      <c r="G222">
        <v>133.5</v>
      </c>
      <c r="H222" t="s">
        <v>3470</v>
      </c>
      <c r="J222" t="s">
        <v>3367</v>
      </c>
    </row>
    <row r="223" spans="1:10" x14ac:dyDescent="0.3">
      <c r="A223" t="s">
        <v>568</v>
      </c>
      <c r="B223" s="453">
        <v>46082</v>
      </c>
      <c r="C223" t="s">
        <v>3502</v>
      </c>
      <c r="D223" t="s">
        <v>3454</v>
      </c>
      <c r="E223" t="s">
        <v>3503</v>
      </c>
      <c r="F223">
        <v>1</v>
      </c>
      <c r="G223">
        <v>25.2</v>
      </c>
      <c r="H223" t="s">
        <v>3470</v>
      </c>
      <c r="J223" t="s">
        <v>3367</v>
      </c>
    </row>
    <row r="224" spans="1:10" x14ac:dyDescent="0.3">
      <c r="A224" t="s">
        <v>568</v>
      </c>
      <c r="B224" s="453">
        <v>46113</v>
      </c>
      <c r="C224" t="s">
        <v>3488</v>
      </c>
      <c r="D224" t="s">
        <v>3449</v>
      </c>
      <c r="E224" t="s">
        <v>3545</v>
      </c>
      <c r="F224">
        <v>1</v>
      </c>
      <c r="G224">
        <v>52</v>
      </c>
      <c r="J224" t="s">
        <v>3366</v>
      </c>
    </row>
    <row r="225" spans="1:10" x14ac:dyDescent="0.3">
      <c r="A225" t="s">
        <v>568</v>
      </c>
      <c r="B225" s="453">
        <v>46113</v>
      </c>
      <c r="C225" t="s">
        <v>3513</v>
      </c>
      <c r="D225" t="s">
        <v>3449</v>
      </c>
      <c r="E225" t="s">
        <v>3493</v>
      </c>
      <c r="F225">
        <v>1</v>
      </c>
      <c r="G225">
        <v>106</v>
      </c>
      <c r="H225" t="s">
        <v>3470</v>
      </c>
      <c r="J225" t="s">
        <v>3366</v>
      </c>
    </row>
    <row r="226" spans="1:10" x14ac:dyDescent="0.3">
      <c r="A226" t="s">
        <v>568</v>
      </c>
      <c r="B226" s="453">
        <v>46113</v>
      </c>
      <c r="C226" t="s">
        <v>3483</v>
      </c>
      <c r="D226" t="s">
        <v>3449</v>
      </c>
      <c r="E226" t="s">
        <v>3469</v>
      </c>
      <c r="F226">
        <v>1</v>
      </c>
      <c r="G226">
        <v>84</v>
      </c>
      <c r="H226" t="s">
        <v>3470</v>
      </c>
      <c r="J226" t="s">
        <v>3366</v>
      </c>
    </row>
    <row r="227" spans="1:10" x14ac:dyDescent="0.3">
      <c r="A227" t="s">
        <v>568</v>
      </c>
      <c r="B227" s="453">
        <v>46113</v>
      </c>
      <c r="C227" t="s">
        <v>3498</v>
      </c>
      <c r="D227" t="s">
        <v>3449</v>
      </c>
      <c r="E227" t="s">
        <v>3499</v>
      </c>
      <c r="F227">
        <v>1</v>
      </c>
      <c r="G227">
        <v>35</v>
      </c>
      <c r="J227" t="s">
        <v>3366</v>
      </c>
    </row>
    <row r="228" spans="1:10" x14ac:dyDescent="0.3">
      <c r="A228" t="s">
        <v>568</v>
      </c>
      <c r="B228" s="453">
        <v>46113</v>
      </c>
      <c r="C228" t="s">
        <v>3550</v>
      </c>
      <c r="D228" t="s">
        <v>3449</v>
      </c>
      <c r="E228" t="s">
        <v>3490</v>
      </c>
      <c r="F228">
        <v>2</v>
      </c>
      <c r="G228">
        <v>16</v>
      </c>
      <c r="H228" t="s">
        <v>3477</v>
      </c>
      <c r="J228" t="s">
        <v>3366</v>
      </c>
    </row>
    <row r="229" spans="1:10" x14ac:dyDescent="0.3">
      <c r="A229" t="s">
        <v>568</v>
      </c>
      <c r="B229" s="453">
        <v>46113</v>
      </c>
      <c r="C229" t="s">
        <v>3534</v>
      </c>
      <c r="D229" t="s">
        <v>3449</v>
      </c>
      <c r="E229" t="s">
        <v>3497</v>
      </c>
      <c r="F229">
        <v>1</v>
      </c>
      <c r="G229">
        <v>23</v>
      </c>
      <c r="H229" t="s">
        <v>3477</v>
      </c>
      <c r="J229" t="s">
        <v>3366</v>
      </c>
    </row>
    <row r="230" spans="1:10" x14ac:dyDescent="0.3">
      <c r="A230" t="s">
        <v>568</v>
      </c>
      <c r="B230" s="453">
        <v>46113</v>
      </c>
      <c r="C230" t="s">
        <v>3555</v>
      </c>
      <c r="D230" t="s">
        <v>3450</v>
      </c>
      <c r="E230" t="s">
        <v>3469</v>
      </c>
      <c r="F230">
        <v>1</v>
      </c>
      <c r="G230">
        <v>17.7</v>
      </c>
      <c r="H230" t="s">
        <v>3470</v>
      </c>
      <c r="J230" t="s">
        <v>3366</v>
      </c>
    </row>
    <row r="231" spans="1:10" x14ac:dyDescent="0.3">
      <c r="A231" t="s">
        <v>568</v>
      </c>
      <c r="B231" s="453">
        <v>46113</v>
      </c>
      <c r="C231" t="s">
        <v>3481</v>
      </c>
      <c r="D231" t="s">
        <v>3450</v>
      </c>
      <c r="E231" t="s">
        <v>3469</v>
      </c>
      <c r="F231">
        <v>1</v>
      </c>
      <c r="G231">
        <v>16.2</v>
      </c>
      <c r="H231" t="s">
        <v>3470</v>
      </c>
      <c r="J231" t="s">
        <v>3366</v>
      </c>
    </row>
    <row r="232" spans="1:10" x14ac:dyDescent="0.3">
      <c r="A232" t="s">
        <v>568</v>
      </c>
      <c r="B232" s="453">
        <v>46113</v>
      </c>
      <c r="C232" t="s">
        <v>3480</v>
      </c>
      <c r="D232" t="s">
        <v>3450</v>
      </c>
      <c r="E232" t="s">
        <v>3476</v>
      </c>
      <c r="F232">
        <v>21</v>
      </c>
      <c r="G232">
        <v>93.87</v>
      </c>
      <c r="H232" t="s">
        <v>3477</v>
      </c>
      <c r="J232" t="s">
        <v>3366</v>
      </c>
    </row>
    <row r="233" spans="1:10" x14ac:dyDescent="0.3">
      <c r="A233" t="s">
        <v>568</v>
      </c>
      <c r="B233" s="453">
        <v>46113</v>
      </c>
      <c r="C233" t="s">
        <v>3547</v>
      </c>
      <c r="D233" t="s">
        <v>3450</v>
      </c>
      <c r="E233" t="s">
        <v>3490</v>
      </c>
      <c r="F233">
        <v>1</v>
      </c>
      <c r="G233">
        <v>1.8</v>
      </c>
      <c r="H233" t="s">
        <v>3477</v>
      </c>
      <c r="J233" t="s">
        <v>3366</v>
      </c>
    </row>
    <row r="234" spans="1:10" x14ac:dyDescent="0.3">
      <c r="A234" t="s">
        <v>568</v>
      </c>
      <c r="B234" s="453">
        <v>46113</v>
      </c>
      <c r="C234" t="s">
        <v>3482</v>
      </c>
      <c r="D234" t="s">
        <v>3451</v>
      </c>
      <c r="E234" t="s">
        <v>3469</v>
      </c>
      <c r="F234">
        <v>1</v>
      </c>
      <c r="G234">
        <v>6.9</v>
      </c>
      <c r="H234" t="s">
        <v>3470</v>
      </c>
      <c r="J234" t="s">
        <v>3366</v>
      </c>
    </row>
    <row r="235" spans="1:10" x14ac:dyDescent="0.3">
      <c r="A235" t="s">
        <v>568</v>
      </c>
      <c r="B235" s="453">
        <v>46113</v>
      </c>
      <c r="C235" t="s">
        <v>3480</v>
      </c>
      <c r="D235" t="s">
        <v>3451</v>
      </c>
      <c r="E235" t="s">
        <v>3476</v>
      </c>
      <c r="F235">
        <v>1</v>
      </c>
      <c r="G235">
        <v>4.47</v>
      </c>
      <c r="H235" t="s">
        <v>3477</v>
      </c>
      <c r="J235" t="s">
        <v>3366</v>
      </c>
    </row>
    <row r="236" spans="1:10" x14ac:dyDescent="0.3">
      <c r="A236" t="s">
        <v>568</v>
      </c>
      <c r="B236" s="453">
        <v>46113</v>
      </c>
      <c r="C236" t="s">
        <v>3489</v>
      </c>
      <c r="D236" t="s">
        <v>3451</v>
      </c>
      <c r="E236" t="s">
        <v>3490</v>
      </c>
      <c r="F236">
        <v>1</v>
      </c>
      <c r="G236">
        <v>2.4</v>
      </c>
      <c r="H236" t="s">
        <v>3477</v>
      </c>
      <c r="J236" t="s">
        <v>3366</v>
      </c>
    </row>
    <row r="237" spans="1:10" x14ac:dyDescent="0.3">
      <c r="A237" t="s">
        <v>568</v>
      </c>
      <c r="B237" s="453">
        <v>46113</v>
      </c>
      <c r="C237" t="s">
        <v>3522</v>
      </c>
      <c r="D237" t="s">
        <v>3451</v>
      </c>
      <c r="E237" t="s">
        <v>3469</v>
      </c>
      <c r="F237">
        <v>1</v>
      </c>
      <c r="G237">
        <v>17.7</v>
      </c>
      <c r="H237" t="s">
        <v>3470</v>
      </c>
      <c r="J237" t="s">
        <v>3366</v>
      </c>
    </row>
    <row r="238" spans="1:10" x14ac:dyDescent="0.3">
      <c r="A238" t="s">
        <v>568</v>
      </c>
      <c r="B238" s="453">
        <v>46113</v>
      </c>
      <c r="C238" t="s">
        <v>3486</v>
      </c>
      <c r="D238" t="s">
        <v>3452</v>
      </c>
      <c r="E238" t="s">
        <v>3485</v>
      </c>
      <c r="F238">
        <v>1</v>
      </c>
      <c r="G238">
        <v>29.4</v>
      </c>
      <c r="H238" t="s">
        <v>3470</v>
      </c>
      <c r="J238" t="s">
        <v>3366</v>
      </c>
    </row>
    <row r="239" spans="1:10" x14ac:dyDescent="0.3">
      <c r="A239" t="s">
        <v>568</v>
      </c>
      <c r="B239" s="453">
        <v>46113</v>
      </c>
      <c r="C239" t="s">
        <v>3500</v>
      </c>
      <c r="D239" t="s">
        <v>3452</v>
      </c>
      <c r="E239" t="s">
        <v>3501</v>
      </c>
      <c r="F239">
        <v>4</v>
      </c>
      <c r="G239">
        <v>9.6</v>
      </c>
      <c r="H239" t="s">
        <v>3477</v>
      </c>
      <c r="J239" t="s">
        <v>3366</v>
      </c>
    </row>
    <row r="240" spans="1:10" x14ac:dyDescent="0.3">
      <c r="A240" t="s">
        <v>568</v>
      </c>
      <c r="B240" s="453">
        <v>46113</v>
      </c>
      <c r="C240" t="s">
        <v>3489</v>
      </c>
      <c r="D240" t="s">
        <v>3452</v>
      </c>
      <c r="E240" t="s">
        <v>3490</v>
      </c>
      <c r="F240">
        <v>7</v>
      </c>
      <c r="G240">
        <v>16.8</v>
      </c>
      <c r="H240" t="s">
        <v>3477</v>
      </c>
      <c r="J240" t="s">
        <v>3366</v>
      </c>
    </row>
    <row r="241" spans="1:10" x14ac:dyDescent="0.3">
      <c r="A241" t="s">
        <v>568</v>
      </c>
      <c r="B241" s="453">
        <v>46113</v>
      </c>
      <c r="C241" t="s">
        <v>3491</v>
      </c>
      <c r="D241" t="s">
        <v>3452</v>
      </c>
      <c r="E241" t="s">
        <v>3490</v>
      </c>
      <c r="F241">
        <v>8</v>
      </c>
      <c r="G241">
        <v>14.4</v>
      </c>
      <c r="H241" t="s">
        <v>3477</v>
      </c>
      <c r="J241" t="s">
        <v>3366</v>
      </c>
    </row>
    <row r="242" spans="1:10" x14ac:dyDescent="0.3">
      <c r="A242" t="s">
        <v>568</v>
      </c>
      <c r="B242" s="453">
        <v>46113</v>
      </c>
      <c r="C242" t="s">
        <v>3547</v>
      </c>
      <c r="D242" t="s">
        <v>3452</v>
      </c>
      <c r="E242" t="s">
        <v>3490</v>
      </c>
      <c r="F242">
        <v>1</v>
      </c>
      <c r="G242">
        <v>1.8</v>
      </c>
      <c r="H242" t="s">
        <v>3477</v>
      </c>
      <c r="J242" t="s">
        <v>3366</v>
      </c>
    </row>
    <row r="243" spans="1:10" x14ac:dyDescent="0.3">
      <c r="A243" t="s">
        <v>568</v>
      </c>
      <c r="B243" s="453">
        <v>46113</v>
      </c>
      <c r="C243" t="s">
        <v>3522</v>
      </c>
      <c r="D243" t="s">
        <v>3452</v>
      </c>
      <c r="E243" t="s">
        <v>3469</v>
      </c>
      <c r="F243">
        <v>2</v>
      </c>
      <c r="G243">
        <v>35.4</v>
      </c>
      <c r="H243" t="s">
        <v>3470</v>
      </c>
      <c r="J243" t="s">
        <v>3366</v>
      </c>
    </row>
    <row r="244" spans="1:10" x14ac:dyDescent="0.3">
      <c r="A244" t="s">
        <v>568</v>
      </c>
      <c r="B244" s="453">
        <v>46113</v>
      </c>
      <c r="C244" t="s">
        <v>3521</v>
      </c>
      <c r="D244" t="s">
        <v>3452</v>
      </c>
      <c r="E244" t="s">
        <v>3469</v>
      </c>
      <c r="F244">
        <v>1</v>
      </c>
      <c r="G244">
        <v>16.8</v>
      </c>
      <c r="H244" t="s">
        <v>3470</v>
      </c>
      <c r="J244" t="s">
        <v>3366</v>
      </c>
    </row>
    <row r="245" spans="1:10" x14ac:dyDescent="0.3">
      <c r="A245" t="s">
        <v>568</v>
      </c>
      <c r="B245" s="453">
        <v>46113</v>
      </c>
      <c r="C245" t="s">
        <v>3484</v>
      </c>
      <c r="D245" t="s">
        <v>3452</v>
      </c>
      <c r="E245" t="s">
        <v>3485</v>
      </c>
      <c r="F245">
        <v>7</v>
      </c>
      <c r="G245">
        <v>144.9</v>
      </c>
      <c r="H245" t="s">
        <v>3470</v>
      </c>
      <c r="J245" t="s">
        <v>3366</v>
      </c>
    </row>
    <row r="246" spans="1:10" x14ac:dyDescent="0.3">
      <c r="A246" t="s">
        <v>568</v>
      </c>
      <c r="B246" s="453">
        <v>46113</v>
      </c>
      <c r="C246" t="s">
        <v>3520</v>
      </c>
      <c r="D246" t="s">
        <v>3452</v>
      </c>
      <c r="E246" t="s">
        <v>3469</v>
      </c>
      <c r="F246">
        <v>2</v>
      </c>
      <c r="G246">
        <v>100.8</v>
      </c>
      <c r="H246" t="s">
        <v>3470</v>
      </c>
      <c r="J246" t="s">
        <v>3366</v>
      </c>
    </row>
    <row r="247" spans="1:10" x14ac:dyDescent="0.3">
      <c r="A247" t="s">
        <v>568</v>
      </c>
      <c r="B247" s="453">
        <v>46113</v>
      </c>
      <c r="C247" t="s">
        <v>3487</v>
      </c>
      <c r="D247" t="s">
        <v>3452</v>
      </c>
      <c r="E247" t="s">
        <v>3485</v>
      </c>
      <c r="F247">
        <v>1</v>
      </c>
      <c r="G247">
        <v>26.7</v>
      </c>
      <c r="H247" t="s">
        <v>3470</v>
      </c>
      <c r="J247" t="s">
        <v>3366</v>
      </c>
    </row>
    <row r="248" spans="1:10" x14ac:dyDescent="0.3">
      <c r="A248" t="s">
        <v>568</v>
      </c>
      <c r="B248" s="453">
        <v>46113</v>
      </c>
      <c r="C248" t="s">
        <v>3534</v>
      </c>
      <c r="D248" t="s">
        <v>3452</v>
      </c>
      <c r="E248" t="s">
        <v>3497</v>
      </c>
      <c r="F248">
        <v>1</v>
      </c>
      <c r="G248">
        <v>6.9</v>
      </c>
      <c r="H248" t="s">
        <v>3477</v>
      </c>
      <c r="J248" t="s">
        <v>3366</v>
      </c>
    </row>
    <row r="249" spans="1:10" x14ac:dyDescent="0.3">
      <c r="A249" t="s">
        <v>568</v>
      </c>
      <c r="B249" s="453">
        <v>46113</v>
      </c>
      <c r="C249" t="s">
        <v>3494</v>
      </c>
      <c r="D249" t="s">
        <v>3453</v>
      </c>
      <c r="E249" t="s">
        <v>3495</v>
      </c>
      <c r="F249">
        <v>1</v>
      </c>
      <c r="G249">
        <v>6.3</v>
      </c>
      <c r="H249" t="s">
        <v>3470</v>
      </c>
      <c r="J249" t="s">
        <v>3366</v>
      </c>
    </row>
    <row r="250" spans="1:10" x14ac:dyDescent="0.3">
      <c r="A250" t="s">
        <v>568</v>
      </c>
      <c r="B250" s="453">
        <v>46113</v>
      </c>
      <c r="C250" t="s">
        <v>3579</v>
      </c>
      <c r="D250" t="s">
        <v>3453</v>
      </c>
      <c r="E250" t="s">
        <v>3497</v>
      </c>
      <c r="F250">
        <v>1</v>
      </c>
      <c r="G250">
        <v>5.7</v>
      </c>
      <c r="H250" t="s">
        <v>3477</v>
      </c>
      <c r="J250" t="s">
        <v>3366</v>
      </c>
    </row>
    <row r="251" spans="1:10" x14ac:dyDescent="0.3">
      <c r="A251" t="s">
        <v>568</v>
      </c>
      <c r="B251" s="453">
        <v>46113</v>
      </c>
      <c r="C251" t="s">
        <v>3534</v>
      </c>
      <c r="D251" t="s">
        <v>3453</v>
      </c>
      <c r="E251" t="s">
        <v>3497</v>
      </c>
      <c r="F251">
        <v>1</v>
      </c>
      <c r="G251">
        <v>6.9</v>
      </c>
      <c r="H251" t="s">
        <v>3477</v>
      </c>
      <c r="J251" t="s">
        <v>3366</v>
      </c>
    </row>
    <row r="252" spans="1:10" x14ac:dyDescent="0.3">
      <c r="A252" t="s">
        <v>568</v>
      </c>
      <c r="B252" s="453">
        <v>46113</v>
      </c>
      <c r="C252" t="s">
        <v>3480</v>
      </c>
      <c r="D252" t="s">
        <v>3453</v>
      </c>
      <c r="E252" t="s">
        <v>3476</v>
      </c>
      <c r="F252">
        <v>25</v>
      </c>
      <c r="G252">
        <v>111.75</v>
      </c>
      <c r="H252" t="s">
        <v>3477</v>
      </c>
      <c r="J252" t="s">
        <v>3366</v>
      </c>
    </row>
    <row r="253" spans="1:10" x14ac:dyDescent="0.3">
      <c r="A253" t="s">
        <v>568</v>
      </c>
      <c r="B253" s="453">
        <v>46113</v>
      </c>
      <c r="C253" t="s">
        <v>3475</v>
      </c>
      <c r="D253" t="s">
        <v>3453</v>
      </c>
      <c r="E253" t="s">
        <v>3476</v>
      </c>
      <c r="F253">
        <v>3</v>
      </c>
      <c r="G253">
        <v>15.21</v>
      </c>
      <c r="H253" t="s">
        <v>3477</v>
      </c>
      <c r="J253" t="s">
        <v>3366</v>
      </c>
    </row>
    <row r="254" spans="1:10" x14ac:dyDescent="0.3">
      <c r="A254" t="s">
        <v>568</v>
      </c>
      <c r="B254" s="453">
        <v>46113</v>
      </c>
      <c r="C254" t="s">
        <v>3502</v>
      </c>
      <c r="D254" t="s">
        <v>3453</v>
      </c>
      <c r="E254" t="s">
        <v>3503</v>
      </c>
      <c r="F254">
        <v>1</v>
      </c>
      <c r="G254">
        <v>25.2</v>
      </c>
      <c r="H254" t="s">
        <v>3470</v>
      </c>
      <c r="J254" t="s">
        <v>3366</v>
      </c>
    </row>
    <row r="255" spans="1:10" x14ac:dyDescent="0.3">
      <c r="A255" t="s">
        <v>568</v>
      </c>
      <c r="B255" s="453">
        <v>46113</v>
      </c>
      <c r="C255" t="s">
        <v>3489</v>
      </c>
      <c r="D255" t="s">
        <v>3453</v>
      </c>
      <c r="E255" t="s">
        <v>3490</v>
      </c>
      <c r="F255">
        <v>2</v>
      </c>
      <c r="G255">
        <v>4.8</v>
      </c>
      <c r="H255" t="s">
        <v>3477</v>
      </c>
      <c r="J255" t="s">
        <v>3366</v>
      </c>
    </row>
    <row r="256" spans="1:10" x14ac:dyDescent="0.3">
      <c r="A256" t="s">
        <v>568</v>
      </c>
      <c r="B256" s="453">
        <v>46113</v>
      </c>
      <c r="C256" t="s">
        <v>3570</v>
      </c>
      <c r="D256" t="s">
        <v>3453</v>
      </c>
      <c r="E256" t="s">
        <v>3497</v>
      </c>
      <c r="F256">
        <v>2</v>
      </c>
      <c r="G256">
        <v>27.6</v>
      </c>
      <c r="H256" t="s">
        <v>3477</v>
      </c>
      <c r="J256" t="s">
        <v>3366</v>
      </c>
    </row>
    <row r="257" spans="1:10" x14ac:dyDescent="0.3">
      <c r="A257" t="s">
        <v>568</v>
      </c>
      <c r="B257" s="453">
        <v>46113</v>
      </c>
      <c r="C257" t="s">
        <v>3550</v>
      </c>
      <c r="D257" t="s">
        <v>3453</v>
      </c>
      <c r="E257" t="s">
        <v>3490</v>
      </c>
      <c r="F257">
        <v>1</v>
      </c>
      <c r="G257">
        <v>2.4</v>
      </c>
      <c r="H257" t="s">
        <v>3477</v>
      </c>
      <c r="J257" t="s">
        <v>3366</v>
      </c>
    </row>
    <row r="258" spans="1:10" x14ac:dyDescent="0.3">
      <c r="A258" t="s">
        <v>568</v>
      </c>
      <c r="B258" s="453">
        <v>46113</v>
      </c>
      <c r="C258" t="s">
        <v>3565</v>
      </c>
      <c r="D258" t="s">
        <v>3453</v>
      </c>
      <c r="E258" t="s">
        <v>3543</v>
      </c>
      <c r="F258">
        <v>1</v>
      </c>
      <c r="G258">
        <v>8.6999999999999993</v>
      </c>
      <c r="H258" t="s">
        <v>3470</v>
      </c>
      <c r="J258" t="s">
        <v>3366</v>
      </c>
    </row>
    <row r="259" spans="1:10" x14ac:dyDescent="0.3">
      <c r="A259" t="s">
        <v>568</v>
      </c>
      <c r="B259" s="453">
        <v>46113</v>
      </c>
      <c r="C259" t="s">
        <v>3540</v>
      </c>
      <c r="D259" t="s">
        <v>3453</v>
      </c>
      <c r="E259" t="s">
        <v>3539</v>
      </c>
      <c r="F259">
        <v>1</v>
      </c>
      <c r="G259">
        <v>13.5</v>
      </c>
      <c r="H259" t="s">
        <v>3470</v>
      </c>
      <c r="J259" t="s">
        <v>3366</v>
      </c>
    </row>
    <row r="260" spans="1:10" x14ac:dyDescent="0.3">
      <c r="A260" t="s">
        <v>568</v>
      </c>
      <c r="B260" s="453">
        <v>46113</v>
      </c>
      <c r="C260" t="s">
        <v>3524</v>
      </c>
      <c r="D260" t="s">
        <v>3453</v>
      </c>
      <c r="E260" t="s">
        <v>3476</v>
      </c>
      <c r="F260">
        <v>14</v>
      </c>
      <c r="G260">
        <v>0</v>
      </c>
      <c r="H260" t="s">
        <v>3477</v>
      </c>
      <c r="J260" t="s">
        <v>3366</v>
      </c>
    </row>
    <row r="261" spans="1:10" x14ac:dyDescent="0.3">
      <c r="A261" t="s">
        <v>568</v>
      </c>
      <c r="B261" s="453">
        <v>46113</v>
      </c>
      <c r="C261" t="s">
        <v>3484</v>
      </c>
      <c r="D261" t="s">
        <v>3453</v>
      </c>
      <c r="E261" t="s">
        <v>3485</v>
      </c>
      <c r="F261">
        <v>1</v>
      </c>
      <c r="G261">
        <v>20.7</v>
      </c>
      <c r="H261" t="s">
        <v>3470</v>
      </c>
      <c r="J261" t="s">
        <v>3366</v>
      </c>
    </row>
    <row r="262" spans="1:10" x14ac:dyDescent="0.3">
      <c r="A262" t="s">
        <v>568</v>
      </c>
      <c r="B262" s="453">
        <v>46113</v>
      </c>
      <c r="C262" t="s">
        <v>3511</v>
      </c>
      <c r="D262" t="s">
        <v>3453</v>
      </c>
      <c r="E262" t="s">
        <v>3469</v>
      </c>
      <c r="F262">
        <v>1</v>
      </c>
      <c r="G262">
        <v>41.4</v>
      </c>
      <c r="H262" t="s">
        <v>3470</v>
      </c>
      <c r="J262" t="s">
        <v>3366</v>
      </c>
    </row>
    <row r="263" spans="1:10" x14ac:dyDescent="0.3">
      <c r="A263" t="s">
        <v>568</v>
      </c>
      <c r="B263" s="453">
        <v>46113</v>
      </c>
      <c r="C263" t="s">
        <v>3514</v>
      </c>
      <c r="D263" t="s">
        <v>3453</v>
      </c>
      <c r="E263" t="s">
        <v>3472</v>
      </c>
      <c r="F263">
        <v>1</v>
      </c>
      <c r="G263">
        <v>14.4</v>
      </c>
      <c r="H263" t="s">
        <v>3470</v>
      </c>
      <c r="J263" t="s">
        <v>3366</v>
      </c>
    </row>
    <row r="264" spans="1:10" x14ac:dyDescent="0.3">
      <c r="A264" t="s">
        <v>568</v>
      </c>
      <c r="B264" s="453">
        <v>46113</v>
      </c>
      <c r="C264" t="s">
        <v>3562</v>
      </c>
      <c r="D264" t="s">
        <v>3453</v>
      </c>
      <c r="E264" t="s">
        <v>3563</v>
      </c>
      <c r="F264">
        <v>1</v>
      </c>
      <c r="G264">
        <v>23.7</v>
      </c>
      <c r="H264" t="s">
        <v>3470</v>
      </c>
      <c r="J264" t="s">
        <v>3366</v>
      </c>
    </row>
    <row r="265" spans="1:10" x14ac:dyDescent="0.3">
      <c r="A265" t="s">
        <v>568</v>
      </c>
      <c r="B265" s="453">
        <v>46113</v>
      </c>
      <c r="C265" t="s">
        <v>3482</v>
      </c>
      <c r="D265" t="s">
        <v>3453</v>
      </c>
      <c r="E265" t="s">
        <v>3469</v>
      </c>
      <c r="F265">
        <v>1</v>
      </c>
      <c r="G265">
        <v>6.9</v>
      </c>
      <c r="H265" t="s">
        <v>3470</v>
      </c>
      <c r="J265" t="s">
        <v>3366</v>
      </c>
    </row>
    <row r="266" spans="1:10" x14ac:dyDescent="0.3">
      <c r="A266" t="s">
        <v>568</v>
      </c>
      <c r="B266" s="453">
        <v>46113</v>
      </c>
      <c r="C266" t="s">
        <v>3530</v>
      </c>
      <c r="D266" t="s">
        <v>3453</v>
      </c>
      <c r="E266" t="s">
        <v>3469</v>
      </c>
      <c r="F266">
        <v>1</v>
      </c>
      <c r="G266">
        <v>38.4</v>
      </c>
      <c r="H266" t="s">
        <v>3470</v>
      </c>
      <c r="J266" t="s">
        <v>3366</v>
      </c>
    </row>
    <row r="267" spans="1:10" x14ac:dyDescent="0.3">
      <c r="A267" t="s">
        <v>568</v>
      </c>
      <c r="B267" s="453">
        <v>46113</v>
      </c>
      <c r="C267" t="s">
        <v>3525</v>
      </c>
      <c r="D267" t="s">
        <v>3454</v>
      </c>
      <c r="E267" t="s">
        <v>3497</v>
      </c>
      <c r="F267">
        <v>9</v>
      </c>
      <c r="G267">
        <v>67.5</v>
      </c>
      <c r="H267" t="s">
        <v>3477</v>
      </c>
      <c r="J267" t="s">
        <v>3366</v>
      </c>
    </row>
    <row r="268" spans="1:10" x14ac:dyDescent="0.3">
      <c r="A268" t="s">
        <v>568</v>
      </c>
      <c r="B268" s="453">
        <v>46113</v>
      </c>
      <c r="C268" t="s">
        <v>3498</v>
      </c>
      <c r="D268" t="s">
        <v>3454</v>
      </c>
      <c r="E268" t="s">
        <v>3499</v>
      </c>
      <c r="F268">
        <v>3</v>
      </c>
      <c r="G268">
        <v>31.5</v>
      </c>
      <c r="J268" t="s">
        <v>3366</v>
      </c>
    </row>
    <row r="269" spans="1:10" x14ac:dyDescent="0.3">
      <c r="A269" t="s">
        <v>568</v>
      </c>
      <c r="B269" s="453">
        <v>46113</v>
      </c>
      <c r="C269" t="s">
        <v>3558</v>
      </c>
      <c r="D269" t="s">
        <v>3454</v>
      </c>
      <c r="E269" t="s">
        <v>3469</v>
      </c>
      <c r="F269">
        <v>1</v>
      </c>
      <c r="G269">
        <v>13.5</v>
      </c>
      <c r="H269" t="s">
        <v>3470</v>
      </c>
      <c r="J269" t="s">
        <v>3366</v>
      </c>
    </row>
    <row r="270" spans="1:10" x14ac:dyDescent="0.3">
      <c r="A270" t="s">
        <v>568</v>
      </c>
      <c r="B270" s="453">
        <v>46113</v>
      </c>
      <c r="C270" t="s">
        <v>3483</v>
      </c>
      <c r="D270" t="s">
        <v>3454</v>
      </c>
      <c r="E270" t="s">
        <v>3469</v>
      </c>
      <c r="F270">
        <v>6</v>
      </c>
      <c r="G270">
        <v>151.19999999999999</v>
      </c>
      <c r="H270" t="s">
        <v>3470</v>
      </c>
      <c r="J270" t="s">
        <v>3366</v>
      </c>
    </row>
    <row r="271" spans="1:10" x14ac:dyDescent="0.3">
      <c r="A271" t="s">
        <v>568</v>
      </c>
      <c r="B271" s="453">
        <v>46113</v>
      </c>
      <c r="C271" t="s">
        <v>3468</v>
      </c>
      <c r="D271" t="s">
        <v>3454</v>
      </c>
      <c r="E271" t="s">
        <v>3469</v>
      </c>
      <c r="F271">
        <v>1</v>
      </c>
      <c r="G271">
        <v>14.4</v>
      </c>
      <c r="H271" t="s">
        <v>3470</v>
      </c>
      <c r="J271" t="s">
        <v>3366</v>
      </c>
    </row>
    <row r="272" spans="1:10" x14ac:dyDescent="0.3">
      <c r="A272" t="s">
        <v>568</v>
      </c>
      <c r="B272" s="453">
        <v>46113</v>
      </c>
      <c r="C272" t="s">
        <v>3580</v>
      </c>
      <c r="D272" t="s">
        <v>3454</v>
      </c>
      <c r="E272" t="s">
        <v>3469</v>
      </c>
      <c r="F272">
        <v>1</v>
      </c>
      <c r="G272">
        <v>34.200000000000003</v>
      </c>
      <c r="H272" t="s">
        <v>3470</v>
      </c>
      <c r="J272" t="s">
        <v>3366</v>
      </c>
    </row>
    <row r="273" spans="1:10" x14ac:dyDescent="0.3">
      <c r="A273" t="s">
        <v>568</v>
      </c>
      <c r="B273" s="453">
        <v>46113</v>
      </c>
      <c r="C273" t="s">
        <v>3577</v>
      </c>
      <c r="D273" t="s">
        <v>3454</v>
      </c>
      <c r="E273" t="s">
        <v>3472</v>
      </c>
      <c r="F273">
        <v>2</v>
      </c>
      <c r="G273">
        <v>16.2</v>
      </c>
      <c r="H273" t="s">
        <v>3470</v>
      </c>
      <c r="J273" t="s">
        <v>3366</v>
      </c>
    </row>
    <row r="274" spans="1:10" x14ac:dyDescent="0.3">
      <c r="A274" t="s">
        <v>568</v>
      </c>
      <c r="B274" s="453">
        <v>46113</v>
      </c>
      <c r="C274" t="s">
        <v>3522</v>
      </c>
      <c r="D274" t="s">
        <v>3454</v>
      </c>
      <c r="E274" t="s">
        <v>3469</v>
      </c>
      <c r="F274">
        <v>13</v>
      </c>
      <c r="G274">
        <v>230.1</v>
      </c>
      <c r="H274" t="s">
        <v>3470</v>
      </c>
      <c r="J274" t="s">
        <v>3366</v>
      </c>
    </row>
    <row r="275" spans="1:10" x14ac:dyDescent="0.3">
      <c r="A275" t="s">
        <v>568</v>
      </c>
      <c r="B275" s="453">
        <v>46113</v>
      </c>
      <c r="C275" t="s">
        <v>3575</v>
      </c>
      <c r="D275" t="s">
        <v>3454</v>
      </c>
      <c r="E275" t="s">
        <v>3576</v>
      </c>
      <c r="F275">
        <v>4</v>
      </c>
      <c r="G275">
        <v>165.6</v>
      </c>
      <c r="H275" t="s">
        <v>3470</v>
      </c>
      <c r="J275" t="s">
        <v>3366</v>
      </c>
    </row>
    <row r="276" spans="1:10" x14ac:dyDescent="0.3">
      <c r="A276" t="s">
        <v>568</v>
      </c>
      <c r="B276" s="453">
        <v>46113</v>
      </c>
      <c r="C276" t="s">
        <v>3521</v>
      </c>
      <c r="D276" t="s">
        <v>3454</v>
      </c>
      <c r="E276" t="s">
        <v>3469</v>
      </c>
      <c r="F276">
        <v>4</v>
      </c>
      <c r="G276">
        <v>67.2</v>
      </c>
      <c r="H276" t="s">
        <v>3470</v>
      </c>
      <c r="J276" t="s">
        <v>3366</v>
      </c>
    </row>
    <row r="277" spans="1:10" x14ac:dyDescent="0.3">
      <c r="A277" t="s">
        <v>568</v>
      </c>
      <c r="B277" s="453">
        <v>46113</v>
      </c>
      <c r="C277" t="s">
        <v>3484</v>
      </c>
      <c r="D277" t="s">
        <v>3454</v>
      </c>
      <c r="E277" t="s">
        <v>3485</v>
      </c>
      <c r="F277">
        <v>15</v>
      </c>
      <c r="G277">
        <v>310.5</v>
      </c>
      <c r="H277" t="s">
        <v>3470</v>
      </c>
      <c r="J277" t="s">
        <v>3366</v>
      </c>
    </row>
    <row r="278" spans="1:10" x14ac:dyDescent="0.3">
      <c r="A278" t="s">
        <v>568</v>
      </c>
      <c r="B278" s="453">
        <v>46113</v>
      </c>
      <c r="C278" t="s">
        <v>3488</v>
      </c>
      <c r="D278" t="s">
        <v>3454</v>
      </c>
      <c r="E278" t="s">
        <v>3545</v>
      </c>
      <c r="F278">
        <v>3</v>
      </c>
      <c r="G278">
        <v>46.8</v>
      </c>
      <c r="J278" t="s">
        <v>3366</v>
      </c>
    </row>
    <row r="279" spans="1:10" x14ac:dyDescent="0.3">
      <c r="A279" t="s">
        <v>568</v>
      </c>
      <c r="B279" s="453">
        <v>46113</v>
      </c>
      <c r="C279" t="s">
        <v>3514</v>
      </c>
      <c r="D279" t="s">
        <v>3454</v>
      </c>
      <c r="E279" t="s">
        <v>3472</v>
      </c>
      <c r="F279">
        <v>5</v>
      </c>
      <c r="G279">
        <v>72</v>
      </c>
      <c r="H279" t="s">
        <v>3470</v>
      </c>
      <c r="J279" t="s">
        <v>3366</v>
      </c>
    </row>
    <row r="280" spans="1:10" x14ac:dyDescent="0.3">
      <c r="A280" t="s">
        <v>568</v>
      </c>
      <c r="B280" s="453">
        <v>46113</v>
      </c>
      <c r="C280" t="s">
        <v>3513</v>
      </c>
      <c r="D280" t="s">
        <v>3454</v>
      </c>
      <c r="E280" t="s">
        <v>3493</v>
      </c>
      <c r="F280">
        <v>4</v>
      </c>
      <c r="G280">
        <v>127.2</v>
      </c>
      <c r="H280" t="s">
        <v>3470</v>
      </c>
      <c r="J280" t="s">
        <v>3366</v>
      </c>
    </row>
    <row r="281" spans="1:10" x14ac:dyDescent="0.3">
      <c r="A281" t="s">
        <v>568</v>
      </c>
      <c r="B281" s="453">
        <v>46113</v>
      </c>
      <c r="C281" t="s">
        <v>3510</v>
      </c>
      <c r="D281" t="s">
        <v>3454</v>
      </c>
      <c r="E281" t="s">
        <v>3485</v>
      </c>
      <c r="F281">
        <v>4</v>
      </c>
      <c r="G281">
        <v>102</v>
      </c>
      <c r="H281" t="s">
        <v>3470</v>
      </c>
      <c r="J281" t="s">
        <v>3366</v>
      </c>
    </row>
    <row r="282" spans="1:10" x14ac:dyDescent="0.3">
      <c r="A282" t="s">
        <v>568</v>
      </c>
      <c r="B282" s="453">
        <v>46113</v>
      </c>
      <c r="C282" t="s">
        <v>3509</v>
      </c>
      <c r="D282" t="s">
        <v>3454</v>
      </c>
      <c r="E282" t="s">
        <v>3469</v>
      </c>
      <c r="F282">
        <v>4</v>
      </c>
      <c r="G282">
        <v>68.400000000000006</v>
      </c>
      <c r="H282" t="s">
        <v>3470</v>
      </c>
      <c r="J282" t="s">
        <v>3366</v>
      </c>
    </row>
    <row r="283" spans="1:10" x14ac:dyDescent="0.3">
      <c r="A283" t="s">
        <v>568</v>
      </c>
      <c r="B283" s="453">
        <v>46113</v>
      </c>
      <c r="C283" t="s">
        <v>3556</v>
      </c>
      <c r="D283" t="s">
        <v>3454</v>
      </c>
      <c r="E283" t="s">
        <v>3545</v>
      </c>
      <c r="F283">
        <v>1</v>
      </c>
      <c r="G283">
        <v>15.6</v>
      </c>
      <c r="J283" t="s">
        <v>3366</v>
      </c>
    </row>
    <row r="284" spans="1:10" x14ac:dyDescent="0.3">
      <c r="A284" t="s">
        <v>568</v>
      </c>
      <c r="B284" s="453">
        <v>46113</v>
      </c>
      <c r="C284" t="s">
        <v>3507</v>
      </c>
      <c r="D284" t="s">
        <v>3454</v>
      </c>
      <c r="E284" t="s">
        <v>3472</v>
      </c>
      <c r="F284">
        <v>10</v>
      </c>
      <c r="G284">
        <v>69</v>
      </c>
      <c r="H284" t="s">
        <v>3470</v>
      </c>
      <c r="J284" t="s">
        <v>3366</v>
      </c>
    </row>
    <row r="285" spans="1:10" x14ac:dyDescent="0.3">
      <c r="A285" t="s">
        <v>568</v>
      </c>
      <c r="B285" s="453">
        <v>46113</v>
      </c>
      <c r="C285" t="s">
        <v>3523</v>
      </c>
      <c r="D285" t="s">
        <v>3454</v>
      </c>
      <c r="E285" t="s">
        <v>3469</v>
      </c>
      <c r="F285">
        <v>1</v>
      </c>
      <c r="G285">
        <v>14.7</v>
      </c>
      <c r="H285" t="s">
        <v>3470</v>
      </c>
      <c r="J285" t="s">
        <v>3366</v>
      </c>
    </row>
    <row r="286" spans="1:10" x14ac:dyDescent="0.3">
      <c r="A286" t="s">
        <v>568</v>
      </c>
      <c r="B286" s="453">
        <v>46113</v>
      </c>
      <c r="C286" t="s">
        <v>3527</v>
      </c>
      <c r="D286" t="s">
        <v>3454</v>
      </c>
      <c r="E286" t="s">
        <v>3528</v>
      </c>
      <c r="F286">
        <v>6</v>
      </c>
      <c r="G286">
        <v>34.200000000000003</v>
      </c>
      <c r="H286" t="s">
        <v>3477</v>
      </c>
      <c r="J286" t="s">
        <v>3366</v>
      </c>
    </row>
    <row r="287" spans="1:10" x14ac:dyDescent="0.3">
      <c r="A287" t="s">
        <v>568</v>
      </c>
      <c r="B287" s="453">
        <v>46113</v>
      </c>
      <c r="C287" t="s">
        <v>3487</v>
      </c>
      <c r="D287" t="s">
        <v>3454</v>
      </c>
      <c r="E287" t="s">
        <v>3485</v>
      </c>
      <c r="F287">
        <v>3</v>
      </c>
      <c r="G287">
        <v>80.099999999999994</v>
      </c>
      <c r="H287" t="s">
        <v>3470</v>
      </c>
      <c r="J287" t="s">
        <v>3366</v>
      </c>
    </row>
    <row r="288" spans="1:10" x14ac:dyDescent="0.3">
      <c r="A288" t="s">
        <v>568</v>
      </c>
      <c r="B288" s="453">
        <v>46113</v>
      </c>
      <c r="C288" t="s">
        <v>3581</v>
      </c>
      <c r="D288" t="s">
        <v>3454</v>
      </c>
      <c r="E288" t="s">
        <v>3497</v>
      </c>
      <c r="F288">
        <v>1</v>
      </c>
      <c r="G288">
        <v>43.5</v>
      </c>
      <c r="H288" t="s">
        <v>3477</v>
      </c>
      <c r="J288" t="s">
        <v>3366</v>
      </c>
    </row>
    <row r="289" spans="1:10" x14ac:dyDescent="0.3">
      <c r="A289" t="s">
        <v>568</v>
      </c>
      <c r="B289" s="453">
        <v>46113</v>
      </c>
      <c r="C289" t="s">
        <v>3517</v>
      </c>
      <c r="D289" t="s">
        <v>3454</v>
      </c>
      <c r="E289" t="s">
        <v>3472</v>
      </c>
      <c r="F289">
        <v>4</v>
      </c>
      <c r="G289">
        <v>20.399999999999999</v>
      </c>
      <c r="H289" t="s">
        <v>3470</v>
      </c>
      <c r="J289" t="s">
        <v>3366</v>
      </c>
    </row>
    <row r="290" spans="1:10" x14ac:dyDescent="0.3">
      <c r="A290" t="s">
        <v>568</v>
      </c>
      <c r="B290" s="453">
        <v>46113</v>
      </c>
      <c r="C290" t="s">
        <v>3519</v>
      </c>
      <c r="D290" t="s">
        <v>3454</v>
      </c>
      <c r="E290" t="s">
        <v>3469</v>
      </c>
      <c r="F290">
        <v>4</v>
      </c>
      <c r="G290">
        <v>70.8</v>
      </c>
      <c r="H290" t="s">
        <v>3470</v>
      </c>
      <c r="J290" t="s">
        <v>3366</v>
      </c>
    </row>
    <row r="291" spans="1:10" x14ac:dyDescent="0.3">
      <c r="A291" t="s">
        <v>568</v>
      </c>
      <c r="B291" s="453">
        <v>46113</v>
      </c>
      <c r="C291" t="s">
        <v>3486</v>
      </c>
      <c r="D291" t="s">
        <v>3454</v>
      </c>
      <c r="E291" t="s">
        <v>3485</v>
      </c>
      <c r="F291">
        <v>7</v>
      </c>
      <c r="G291">
        <v>205.8</v>
      </c>
      <c r="H291" t="s">
        <v>3470</v>
      </c>
      <c r="J291" t="s">
        <v>3366</v>
      </c>
    </row>
    <row r="292" spans="1:10" x14ac:dyDescent="0.3">
      <c r="A292" t="s">
        <v>568</v>
      </c>
      <c r="B292" s="453">
        <v>46113</v>
      </c>
      <c r="C292" t="s">
        <v>3520</v>
      </c>
      <c r="D292" t="s">
        <v>3454</v>
      </c>
      <c r="E292" t="s">
        <v>3469</v>
      </c>
      <c r="F292">
        <v>4</v>
      </c>
      <c r="G292">
        <v>201.6</v>
      </c>
      <c r="H292" t="s">
        <v>3470</v>
      </c>
      <c r="J292" t="s">
        <v>3366</v>
      </c>
    </row>
    <row r="293" spans="1:10" x14ac:dyDescent="0.3">
      <c r="A293" t="s">
        <v>568</v>
      </c>
      <c r="B293" s="453">
        <v>46113</v>
      </c>
      <c r="C293" t="s">
        <v>3533</v>
      </c>
      <c r="D293" t="s">
        <v>3454</v>
      </c>
      <c r="E293" t="s">
        <v>3490</v>
      </c>
      <c r="F293">
        <v>2</v>
      </c>
      <c r="G293">
        <v>4.8</v>
      </c>
      <c r="H293" t="s">
        <v>3477</v>
      </c>
      <c r="J293" t="s">
        <v>3366</v>
      </c>
    </row>
    <row r="294" spans="1:10" x14ac:dyDescent="0.3">
      <c r="A294" t="s">
        <v>568</v>
      </c>
      <c r="B294" s="453">
        <v>46113</v>
      </c>
      <c r="C294" t="s">
        <v>3489</v>
      </c>
      <c r="D294" t="s">
        <v>3454</v>
      </c>
      <c r="E294" t="s">
        <v>3490</v>
      </c>
      <c r="F294">
        <v>14</v>
      </c>
      <c r="G294">
        <v>33.6</v>
      </c>
      <c r="H294" t="s">
        <v>3477</v>
      </c>
      <c r="J294" t="s">
        <v>3366</v>
      </c>
    </row>
    <row r="295" spans="1:10" x14ac:dyDescent="0.3">
      <c r="A295" t="s">
        <v>568</v>
      </c>
      <c r="B295" s="453">
        <v>46113</v>
      </c>
      <c r="C295" t="s">
        <v>3502</v>
      </c>
      <c r="D295" t="s">
        <v>3454</v>
      </c>
      <c r="E295" t="s">
        <v>3503</v>
      </c>
      <c r="F295">
        <v>1</v>
      </c>
      <c r="G295">
        <v>25.2</v>
      </c>
      <c r="H295" t="s">
        <v>3470</v>
      </c>
      <c r="J295" t="s">
        <v>3366</v>
      </c>
    </row>
    <row r="296" spans="1:10" x14ac:dyDescent="0.3">
      <c r="A296" t="s">
        <v>568</v>
      </c>
      <c r="B296" s="453">
        <v>46113</v>
      </c>
      <c r="C296" t="s">
        <v>3544</v>
      </c>
      <c r="D296" t="s">
        <v>3454</v>
      </c>
      <c r="E296" t="s">
        <v>3545</v>
      </c>
      <c r="F296">
        <v>2</v>
      </c>
      <c r="G296">
        <v>32.4</v>
      </c>
      <c r="H296" t="s">
        <v>3470</v>
      </c>
      <c r="J296" t="s">
        <v>3366</v>
      </c>
    </row>
    <row r="297" spans="1:10" x14ac:dyDescent="0.3">
      <c r="A297" t="s">
        <v>568</v>
      </c>
      <c r="B297" s="453">
        <v>46113</v>
      </c>
      <c r="C297" t="s">
        <v>3475</v>
      </c>
      <c r="D297" t="s">
        <v>3454</v>
      </c>
      <c r="E297" t="s">
        <v>3476</v>
      </c>
      <c r="F297">
        <v>1</v>
      </c>
      <c r="G297">
        <v>5.07</v>
      </c>
      <c r="H297" t="s">
        <v>3477</v>
      </c>
      <c r="J297" t="s">
        <v>3366</v>
      </c>
    </row>
    <row r="298" spans="1:10" x14ac:dyDescent="0.3">
      <c r="A298" t="s">
        <v>568</v>
      </c>
      <c r="B298" s="453">
        <v>46113</v>
      </c>
      <c r="C298" t="s">
        <v>3546</v>
      </c>
      <c r="D298" t="s">
        <v>3454</v>
      </c>
      <c r="E298" t="s">
        <v>3490</v>
      </c>
      <c r="F298">
        <v>2</v>
      </c>
      <c r="G298">
        <v>4.8</v>
      </c>
      <c r="H298" t="s">
        <v>3477</v>
      </c>
      <c r="J298" t="s">
        <v>3366</v>
      </c>
    </row>
    <row r="299" spans="1:10" x14ac:dyDescent="0.3">
      <c r="A299" t="s">
        <v>568</v>
      </c>
      <c r="B299" s="453">
        <v>46113</v>
      </c>
      <c r="C299" t="s">
        <v>3569</v>
      </c>
      <c r="D299" t="s">
        <v>3454</v>
      </c>
      <c r="E299" t="s">
        <v>3490</v>
      </c>
      <c r="F299">
        <v>2</v>
      </c>
      <c r="G299">
        <v>7.8</v>
      </c>
      <c r="H299" t="s">
        <v>3477</v>
      </c>
      <c r="J299" t="s">
        <v>3366</v>
      </c>
    </row>
    <row r="300" spans="1:10" x14ac:dyDescent="0.3">
      <c r="A300" t="s">
        <v>568</v>
      </c>
      <c r="B300" s="453">
        <v>46113</v>
      </c>
      <c r="C300" t="s">
        <v>3478</v>
      </c>
      <c r="D300" t="s">
        <v>3454</v>
      </c>
      <c r="E300" t="s">
        <v>3479</v>
      </c>
      <c r="F300">
        <v>3</v>
      </c>
      <c r="G300">
        <v>22.5</v>
      </c>
      <c r="H300" t="s">
        <v>3470</v>
      </c>
      <c r="J300" t="s">
        <v>3366</v>
      </c>
    </row>
    <row r="301" spans="1:10" x14ac:dyDescent="0.3">
      <c r="A301" t="s">
        <v>568</v>
      </c>
      <c r="B301" s="453">
        <v>46113</v>
      </c>
      <c r="C301" t="s">
        <v>3480</v>
      </c>
      <c r="D301" t="s">
        <v>3454</v>
      </c>
      <c r="E301" t="s">
        <v>3476</v>
      </c>
      <c r="F301">
        <v>126</v>
      </c>
      <c r="G301">
        <v>563.22</v>
      </c>
      <c r="H301" t="s">
        <v>3477</v>
      </c>
      <c r="J301" t="s">
        <v>3366</v>
      </c>
    </row>
    <row r="302" spans="1:10" x14ac:dyDescent="0.3">
      <c r="A302" t="s">
        <v>568</v>
      </c>
      <c r="B302" s="453">
        <v>46113</v>
      </c>
      <c r="C302" t="s">
        <v>3473</v>
      </c>
      <c r="D302" t="s">
        <v>3454</v>
      </c>
      <c r="E302" t="s">
        <v>3469</v>
      </c>
      <c r="F302">
        <v>6</v>
      </c>
      <c r="G302">
        <v>160.19999999999999</v>
      </c>
      <c r="H302" t="s">
        <v>3470</v>
      </c>
      <c r="J302" t="s">
        <v>3366</v>
      </c>
    </row>
    <row r="303" spans="1:10" x14ac:dyDescent="0.3">
      <c r="A303" t="s">
        <v>568</v>
      </c>
      <c r="B303" s="453">
        <v>46113</v>
      </c>
      <c r="C303" t="s">
        <v>3534</v>
      </c>
      <c r="D303" t="s">
        <v>3454</v>
      </c>
      <c r="E303" t="s">
        <v>3497</v>
      </c>
      <c r="F303">
        <v>7</v>
      </c>
      <c r="G303">
        <v>48.3</v>
      </c>
      <c r="H303" t="s">
        <v>3477</v>
      </c>
      <c r="J303" t="s">
        <v>3366</v>
      </c>
    </row>
    <row r="304" spans="1:10" x14ac:dyDescent="0.3">
      <c r="A304" t="s">
        <v>568</v>
      </c>
      <c r="B304" s="453">
        <v>46113</v>
      </c>
      <c r="C304" t="s">
        <v>3535</v>
      </c>
      <c r="D304" t="s">
        <v>3454</v>
      </c>
      <c r="E304" t="s">
        <v>3497</v>
      </c>
      <c r="F304">
        <v>1</v>
      </c>
      <c r="G304">
        <v>13.8</v>
      </c>
      <c r="H304" t="s">
        <v>3477</v>
      </c>
      <c r="J304" t="s">
        <v>3366</v>
      </c>
    </row>
    <row r="305" spans="1:10" x14ac:dyDescent="0.3">
      <c r="A305" t="s">
        <v>568</v>
      </c>
      <c r="B305" s="453">
        <v>46113</v>
      </c>
      <c r="C305" t="s">
        <v>3494</v>
      </c>
      <c r="D305" t="s">
        <v>3454</v>
      </c>
      <c r="E305" t="s">
        <v>3495</v>
      </c>
      <c r="F305">
        <v>17</v>
      </c>
      <c r="G305">
        <v>107.1</v>
      </c>
      <c r="H305" t="s">
        <v>3470</v>
      </c>
      <c r="J305" t="s">
        <v>3366</v>
      </c>
    </row>
    <row r="306" spans="1:10" x14ac:dyDescent="0.3">
      <c r="A306" t="s">
        <v>568</v>
      </c>
      <c r="B306" s="453">
        <v>46113</v>
      </c>
      <c r="C306" t="s">
        <v>3500</v>
      </c>
      <c r="D306" t="s">
        <v>3454</v>
      </c>
      <c r="E306" t="s">
        <v>3501</v>
      </c>
      <c r="F306">
        <v>5</v>
      </c>
      <c r="G306">
        <v>12</v>
      </c>
      <c r="H306" t="s">
        <v>3477</v>
      </c>
      <c r="J306" t="s">
        <v>3366</v>
      </c>
    </row>
    <row r="307" spans="1:10" x14ac:dyDescent="0.3">
      <c r="A307" t="s">
        <v>568</v>
      </c>
      <c r="B307" s="453">
        <v>46113</v>
      </c>
      <c r="C307" t="s">
        <v>3541</v>
      </c>
      <c r="D307" t="s">
        <v>3454</v>
      </c>
      <c r="E307" t="s">
        <v>3469</v>
      </c>
      <c r="F307">
        <v>2</v>
      </c>
      <c r="G307">
        <v>37.200000000000003</v>
      </c>
      <c r="H307" t="s">
        <v>3470</v>
      </c>
      <c r="J307" t="s">
        <v>3366</v>
      </c>
    </row>
    <row r="308" spans="1:10" x14ac:dyDescent="0.3">
      <c r="A308" t="s">
        <v>568</v>
      </c>
      <c r="B308" s="453">
        <v>46113</v>
      </c>
      <c r="C308" t="s">
        <v>3582</v>
      </c>
      <c r="D308" t="s">
        <v>3454</v>
      </c>
      <c r="E308" t="s">
        <v>3545</v>
      </c>
      <c r="F308">
        <v>1</v>
      </c>
      <c r="G308">
        <v>15.6</v>
      </c>
      <c r="H308" t="s">
        <v>3470</v>
      </c>
      <c r="J308" t="s">
        <v>3366</v>
      </c>
    </row>
    <row r="309" spans="1:10" x14ac:dyDescent="0.3">
      <c r="A309" t="s">
        <v>568</v>
      </c>
      <c r="B309" s="453">
        <v>46113</v>
      </c>
      <c r="C309" t="s">
        <v>3540</v>
      </c>
      <c r="D309" t="s">
        <v>3454</v>
      </c>
      <c r="E309" t="s">
        <v>3539</v>
      </c>
      <c r="F309">
        <v>4</v>
      </c>
      <c r="G309">
        <v>54</v>
      </c>
      <c r="H309" t="s">
        <v>3470</v>
      </c>
      <c r="J309" t="s">
        <v>3366</v>
      </c>
    </row>
    <row r="310" spans="1:10" x14ac:dyDescent="0.3">
      <c r="A310" t="s">
        <v>568</v>
      </c>
      <c r="B310" s="453">
        <v>46113</v>
      </c>
      <c r="C310" t="s">
        <v>3564</v>
      </c>
      <c r="D310" t="s">
        <v>3454</v>
      </c>
      <c r="E310" t="s">
        <v>3497</v>
      </c>
      <c r="F310">
        <v>5</v>
      </c>
      <c r="G310">
        <v>58.5</v>
      </c>
      <c r="H310" t="s">
        <v>3477</v>
      </c>
      <c r="J310" t="s">
        <v>3366</v>
      </c>
    </row>
    <row r="311" spans="1:10" x14ac:dyDescent="0.3">
      <c r="A311" t="s">
        <v>568</v>
      </c>
      <c r="B311" s="453">
        <v>46113</v>
      </c>
      <c r="C311" t="s">
        <v>3491</v>
      </c>
      <c r="D311" t="s">
        <v>3454</v>
      </c>
      <c r="E311" t="s">
        <v>3490</v>
      </c>
      <c r="F311">
        <v>22</v>
      </c>
      <c r="G311">
        <v>39.6</v>
      </c>
      <c r="H311" t="s">
        <v>3477</v>
      </c>
      <c r="J311" t="s">
        <v>3366</v>
      </c>
    </row>
    <row r="312" spans="1:10" x14ac:dyDescent="0.3">
      <c r="A312" t="s">
        <v>568</v>
      </c>
      <c r="B312" s="453">
        <v>46113</v>
      </c>
      <c r="C312" t="s">
        <v>3482</v>
      </c>
      <c r="D312" t="s">
        <v>3454</v>
      </c>
      <c r="E312" t="s">
        <v>3469</v>
      </c>
      <c r="F312">
        <v>4</v>
      </c>
      <c r="G312">
        <v>27.6</v>
      </c>
      <c r="H312" t="s">
        <v>3470</v>
      </c>
      <c r="J312" t="s">
        <v>3366</v>
      </c>
    </row>
    <row r="313" spans="1:10" x14ac:dyDescent="0.3">
      <c r="A313" t="s">
        <v>568</v>
      </c>
      <c r="B313" s="453">
        <v>46113</v>
      </c>
      <c r="C313" t="s">
        <v>3554</v>
      </c>
      <c r="D313" t="s">
        <v>3454</v>
      </c>
      <c r="E313" t="s">
        <v>3495</v>
      </c>
      <c r="F313">
        <v>2</v>
      </c>
      <c r="G313">
        <v>17.399999999999999</v>
      </c>
      <c r="H313" t="s">
        <v>3470</v>
      </c>
      <c r="J313" t="s">
        <v>3366</v>
      </c>
    </row>
    <row r="314" spans="1:10" x14ac:dyDescent="0.3">
      <c r="A314" t="s">
        <v>568</v>
      </c>
      <c r="B314" s="453">
        <v>46113</v>
      </c>
      <c r="C314" t="s">
        <v>3555</v>
      </c>
      <c r="D314" t="s">
        <v>3454</v>
      </c>
      <c r="E314" t="s">
        <v>3469</v>
      </c>
      <c r="F314">
        <v>2</v>
      </c>
      <c r="G314">
        <v>35.4</v>
      </c>
      <c r="H314" t="s">
        <v>3470</v>
      </c>
      <c r="J314" t="s">
        <v>3366</v>
      </c>
    </row>
    <row r="315" spans="1:10" x14ac:dyDescent="0.3">
      <c r="A315" t="s">
        <v>568</v>
      </c>
      <c r="B315" s="453">
        <v>46113</v>
      </c>
      <c r="C315" t="s">
        <v>3583</v>
      </c>
      <c r="D315" t="s">
        <v>3454</v>
      </c>
      <c r="E315" t="s">
        <v>3472</v>
      </c>
      <c r="F315">
        <v>1</v>
      </c>
      <c r="G315">
        <v>20.7</v>
      </c>
      <c r="H315" t="s">
        <v>3470</v>
      </c>
      <c r="J315" t="s">
        <v>3366</v>
      </c>
    </row>
    <row r="316" spans="1:10" x14ac:dyDescent="0.3">
      <c r="A316" t="s">
        <v>568</v>
      </c>
      <c r="B316" s="453">
        <v>46113</v>
      </c>
      <c r="C316" t="s">
        <v>3584</v>
      </c>
      <c r="D316" t="s">
        <v>3454</v>
      </c>
      <c r="E316" t="s">
        <v>3576</v>
      </c>
      <c r="F316">
        <v>3</v>
      </c>
      <c r="G316">
        <v>64.8</v>
      </c>
      <c r="H316" t="s">
        <v>3470</v>
      </c>
      <c r="J316" t="s">
        <v>3366</v>
      </c>
    </row>
    <row r="317" spans="1:10" x14ac:dyDescent="0.3">
      <c r="A317" t="s">
        <v>568</v>
      </c>
      <c r="B317" s="453">
        <v>46113</v>
      </c>
      <c r="C317" t="s">
        <v>3530</v>
      </c>
      <c r="D317" t="s">
        <v>3454</v>
      </c>
      <c r="E317" t="s">
        <v>3469</v>
      </c>
      <c r="F317">
        <v>2</v>
      </c>
      <c r="G317">
        <v>76.8</v>
      </c>
      <c r="H317" t="s">
        <v>3470</v>
      </c>
      <c r="J317" t="s">
        <v>3366</v>
      </c>
    </row>
    <row r="318" spans="1:10" x14ac:dyDescent="0.3">
      <c r="A318" t="s">
        <v>568</v>
      </c>
      <c r="B318" s="453">
        <v>46113</v>
      </c>
      <c r="C318" t="s">
        <v>3531</v>
      </c>
      <c r="D318" t="s">
        <v>3454</v>
      </c>
      <c r="E318" t="s">
        <v>3497</v>
      </c>
      <c r="F318">
        <v>2</v>
      </c>
      <c r="G318">
        <v>23.4</v>
      </c>
      <c r="H318" t="s">
        <v>3477</v>
      </c>
      <c r="J318" t="s">
        <v>3366</v>
      </c>
    </row>
    <row r="319" spans="1:10" x14ac:dyDescent="0.3">
      <c r="A319" t="s">
        <v>568</v>
      </c>
      <c r="B319" s="453">
        <v>46113</v>
      </c>
      <c r="C319" t="s">
        <v>3532</v>
      </c>
      <c r="D319" t="s">
        <v>3454</v>
      </c>
      <c r="E319" t="s">
        <v>3497</v>
      </c>
      <c r="F319">
        <v>5</v>
      </c>
      <c r="G319">
        <v>37.5</v>
      </c>
      <c r="H319" t="s">
        <v>3477</v>
      </c>
      <c r="J319" t="s">
        <v>3366</v>
      </c>
    </row>
    <row r="320" spans="1:10" x14ac:dyDescent="0.3">
      <c r="A320" t="s">
        <v>568</v>
      </c>
      <c r="B320" s="453">
        <v>46113</v>
      </c>
      <c r="C320" t="s">
        <v>3529</v>
      </c>
      <c r="D320" t="s">
        <v>3454</v>
      </c>
      <c r="E320" t="s">
        <v>3528</v>
      </c>
      <c r="F320">
        <v>5</v>
      </c>
      <c r="G320">
        <v>24</v>
      </c>
      <c r="H320" t="s">
        <v>3477</v>
      </c>
      <c r="J320" t="s">
        <v>3366</v>
      </c>
    </row>
    <row r="321" spans="1:10" x14ac:dyDescent="0.3">
      <c r="A321" t="s">
        <v>568</v>
      </c>
      <c r="B321" s="453">
        <v>46113</v>
      </c>
      <c r="C321" t="s">
        <v>3481</v>
      </c>
      <c r="D321" t="s">
        <v>3454</v>
      </c>
      <c r="E321" t="s">
        <v>3469</v>
      </c>
      <c r="F321">
        <v>2</v>
      </c>
      <c r="G321">
        <v>32.4</v>
      </c>
      <c r="H321" t="s">
        <v>3470</v>
      </c>
      <c r="J321" t="s">
        <v>3366</v>
      </c>
    </row>
    <row r="322" spans="1:10" x14ac:dyDescent="0.3">
      <c r="A322" t="s">
        <v>568</v>
      </c>
      <c r="B322" s="453">
        <v>46113</v>
      </c>
      <c r="C322" t="s">
        <v>3496</v>
      </c>
      <c r="D322" t="s">
        <v>3454</v>
      </c>
      <c r="E322" t="s">
        <v>3497</v>
      </c>
      <c r="F322">
        <v>10</v>
      </c>
      <c r="G322">
        <v>75</v>
      </c>
      <c r="H322" t="s">
        <v>3477</v>
      </c>
      <c r="J322" t="s">
        <v>3366</v>
      </c>
    </row>
    <row r="323" spans="1:10" x14ac:dyDescent="0.3">
      <c r="A323" t="s">
        <v>568</v>
      </c>
      <c r="B323" s="453">
        <v>46113</v>
      </c>
      <c r="C323" t="s">
        <v>3547</v>
      </c>
      <c r="D323" t="s">
        <v>3454</v>
      </c>
      <c r="E323" t="s">
        <v>3490</v>
      </c>
      <c r="F323">
        <v>10</v>
      </c>
      <c r="G323">
        <v>18</v>
      </c>
      <c r="H323" t="s">
        <v>3477</v>
      </c>
      <c r="J323" t="s">
        <v>3366</v>
      </c>
    </row>
    <row r="324" spans="1:10" x14ac:dyDescent="0.3">
      <c r="A324" t="s">
        <v>568</v>
      </c>
      <c r="B324" s="453">
        <v>46113</v>
      </c>
      <c r="C324" t="s">
        <v>3471</v>
      </c>
      <c r="D324" t="s">
        <v>3454</v>
      </c>
      <c r="E324" t="s">
        <v>3472</v>
      </c>
      <c r="F324">
        <v>1</v>
      </c>
      <c r="G324">
        <v>25.5</v>
      </c>
      <c r="H324" t="s">
        <v>3470</v>
      </c>
      <c r="J324" t="s">
        <v>3366</v>
      </c>
    </row>
    <row r="325" spans="1:10" x14ac:dyDescent="0.3">
      <c r="A325" t="s">
        <v>568</v>
      </c>
      <c r="B325" s="453">
        <v>46113</v>
      </c>
      <c r="C325" t="s">
        <v>3550</v>
      </c>
      <c r="D325" t="s">
        <v>3454</v>
      </c>
      <c r="E325" t="s">
        <v>3490</v>
      </c>
      <c r="F325">
        <v>10</v>
      </c>
      <c r="G325">
        <v>24</v>
      </c>
      <c r="H325" t="s">
        <v>3477</v>
      </c>
      <c r="J325" t="s">
        <v>3366</v>
      </c>
    </row>
    <row r="326" spans="1:10" x14ac:dyDescent="0.3">
      <c r="A326" t="s">
        <v>568</v>
      </c>
      <c r="B326" s="453">
        <v>46113</v>
      </c>
      <c r="C326" t="s">
        <v>3551</v>
      </c>
      <c r="D326" t="s">
        <v>3454</v>
      </c>
      <c r="E326" t="s">
        <v>3490</v>
      </c>
      <c r="F326">
        <v>4</v>
      </c>
      <c r="G326">
        <v>9.6</v>
      </c>
      <c r="H326" t="s">
        <v>3477</v>
      </c>
      <c r="J326" t="s">
        <v>3366</v>
      </c>
    </row>
    <row r="327" spans="1:10" x14ac:dyDescent="0.3">
      <c r="A327" t="s">
        <v>568</v>
      </c>
      <c r="B327" s="453">
        <v>46143</v>
      </c>
      <c r="C327" t="s">
        <v>3547</v>
      </c>
      <c r="D327" t="s">
        <v>3451</v>
      </c>
      <c r="E327" t="s">
        <v>3490</v>
      </c>
      <c r="F327">
        <v>1</v>
      </c>
      <c r="G327">
        <v>1.8</v>
      </c>
      <c r="H327" t="s">
        <v>3477</v>
      </c>
      <c r="J327" t="s">
        <v>3365</v>
      </c>
    </row>
    <row r="328" spans="1:10" x14ac:dyDescent="0.3">
      <c r="A328" t="s">
        <v>568</v>
      </c>
      <c r="B328" s="453">
        <v>46143</v>
      </c>
      <c r="C328" t="s">
        <v>3468</v>
      </c>
      <c r="D328" t="s">
        <v>3451</v>
      </c>
      <c r="E328" t="s">
        <v>3469</v>
      </c>
      <c r="F328">
        <v>2</v>
      </c>
      <c r="G328">
        <v>28.8</v>
      </c>
      <c r="H328" t="s">
        <v>3470</v>
      </c>
      <c r="J328" t="s">
        <v>3365</v>
      </c>
    </row>
    <row r="329" spans="1:10" x14ac:dyDescent="0.3">
      <c r="A329" t="s">
        <v>568</v>
      </c>
      <c r="B329" s="453">
        <v>46143</v>
      </c>
      <c r="C329" t="s">
        <v>3550</v>
      </c>
      <c r="D329" t="s">
        <v>3451</v>
      </c>
      <c r="E329" t="s">
        <v>3490</v>
      </c>
      <c r="F329">
        <v>2</v>
      </c>
      <c r="G329">
        <v>4.8</v>
      </c>
      <c r="H329" t="s">
        <v>3477</v>
      </c>
      <c r="J329" t="s">
        <v>3365</v>
      </c>
    </row>
    <row r="330" spans="1:10" x14ac:dyDescent="0.3">
      <c r="A330" t="s">
        <v>568</v>
      </c>
      <c r="B330" s="453">
        <v>46143</v>
      </c>
      <c r="C330" t="s">
        <v>3491</v>
      </c>
      <c r="D330" t="s">
        <v>3451</v>
      </c>
      <c r="E330" t="s">
        <v>3490</v>
      </c>
      <c r="F330">
        <v>2</v>
      </c>
      <c r="G330">
        <v>3.6</v>
      </c>
      <c r="H330" t="s">
        <v>3477</v>
      </c>
      <c r="J330" t="s">
        <v>3365</v>
      </c>
    </row>
    <row r="331" spans="1:10" x14ac:dyDescent="0.3">
      <c r="A331" t="s">
        <v>568</v>
      </c>
      <c r="B331" s="453">
        <v>46143</v>
      </c>
      <c r="C331" t="s">
        <v>3585</v>
      </c>
      <c r="D331" t="s">
        <v>3451</v>
      </c>
      <c r="E331" t="s">
        <v>3485</v>
      </c>
      <c r="F331">
        <v>1</v>
      </c>
      <c r="G331">
        <v>26.7</v>
      </c>
      <c r="H331" t="s">
        <v>3470</v>
      </c>
      <c r="J331" t="s">
        <v>3365</v>
      </c>
    </row>
    <row r="332" spans="1:10" x14ac:dyDescent="0.3">
      <c r="A332" t="s">
        <v>568</v>
      </c>
      <c r="B332" s="453">
        <v>46143</v>
      </c>
      <c r="C332" t="s">
        <v>3489</v>
      </c>
      <c r="D332" t="s">
        <v>3451</v>
      </c>
      <c r="E332" t="s">
        <v>3490</v>
      </c>
      <c r="F332">
        <v>6</v>
      </c>
      <c r="G332">
        <v>14.4</v>
      </c>
      <c r="H332" t="s">
        <v>3477</v>
      </c>
      <c r="J332" t="s">
        <v>3365</v>
      </c>
    </row>
    <row r="333" spans="1:10" x14ac:dyDescent="0.3">
      <c r="A333" t="s">
        <v>568</v>
      </c>
      <c r="B333" s="453">
        <v>46143</v>
      </c>
      <c r="C333" t="s">
        <v>3546</v>
      </c>
      <c r="D333" t="s">
        <v>3451</v>
      </c>
      <c r="E333" t="s">
        <v>3490</v>
      </c>
      <c r="F333">
        <v>3</v>
      </c>
      <c r="G333">
        <v>7.2</v>
      </c>
      <c r="H333" t="s">
        <v>3477</v>
      </c>
      <c r="J333" t="s">
        <v>3365</v>
      </c>
    </row>
    <row r="334" spans="1:10" x14ac:dyDescent="0.3">
      <c r="A334" t="s">
        <v>568</v>
      </c>
      <c r="B334" s="453">
        <v>46143</v>
      </c>
      <c r="C334" t="s">
        <v>3480</v>
      </c>
      <c r="D334" t="s">
        <v>3451</v>
      </c>
      <c r="E334" t="s">
        <v>3476</v>
      </c>
      <c r="F334">
        <v>7</v>
      </c>
      <c r="G334">
        <v>31.29</v>
      </c>
      <c r="H334" t="s">
        <v>3477</v>
      </c>
      <c r="J334" t="s">
        <v>3365</v>
      </c>
    </row>
    <row r="335" spans="1:10" x14ac:dyDescent="0.3">
      <c r="A335" t="s">
        <v>568</v>
      </c>
      <c r="B335" s="453">
        <v>46143</v>
      </c>
      <c r="C335" t="s">
        <v>3500</v>
      </c>
      <c r="D335" t="s">
        <v>3451</v>
      </c>
      <c r="E335" t="s">
        <v>3501</v>
      </c>
      <c r="F335">
        <v>1</v>
      </c>
      <c r="G335">
        <v>2.4</v>
      </c>
      <c r="H335" t="s">
        <v>3477</v>
      </c>
      <c r="J335" t="s">
        <v>3365</v>
      </c>
    </row>
    <row r="336" spans="1:10" x14ac:dyDescent="0.3">
      <c r="A336" t="s">
        <v>568</v>
      </c>
      <c r="B336" s="453">
        <v>46143</v>
      </c>
      <c r="C336" t="s">
        <v>3564</v>
      </c>
      <c r="D336" t="s">
        <v>3451</v>
      </c>
      <c r="E336" t="s">
        <v>3497</v>
      </c>
      <c r="F336">
        <v>3</v>
      </c>
      <c r="G336">
        <v>35.1</v>
      </c>
      <c r="H336" t="s">
        <v>3477</v>
      </c>
      <c r="J336" t="s">
        <v>3365</v>
      </c>
    </row>
    <row r="337" spans="1:10" x14ac:dyDescent="0.3">
      <c r="A337" t="s">
        <v>568</v>
      </c>
      <c r="B337" s="453">
        <v>46143</v>
      </c>
      <c r="C337" t="s">
        <v>3496</v>
      </c>
      <c r="D337" t="s">
        <v>3451</v>
      </c>
      <c r="E337" t="s">
        <v>3497</v>
      </c>
      <c r="F337">
        <v>1</v>
      </c>
      <c r="G337">
        <v>7.5</v>
      </c>
      <c r="H337" t="s">
        <v>3477</v>
      </c>
      <c r="J337" t="s">
        <v>3365</v>
      </c>
    </row>
    <row r="338" spans="1:10" x14ac:dyDescent="0.3">
      <c r="A338" t="s">
        <v>568</v>
      </c>
      <c r="B338" s="453">
        <v>46143</v>
      </c>
      <c r="C338" t="s">
        <v>3481</v>
      </c>
      <c r="D338" t="s">
        <v>3451</v>
      </c>
      <c r="E338" t="s">
        <v>3469</v>
      </c>
      <c r="F338">
        <v>1</v>
      </c>
      <c r="G338">
        <v>16.2</v>
      </c>
      <c r="H338" t="s">
        <v>3470</v>
      </c>
      <c r="J338" t="s">
        <v>3365</v>
      </c>
    </row>
    <row r="339" spans="1:10" x14ac:dyDescent="0.3">
      <c r="A339" t="s">
        <v>568</v>
      </c>
      <c r="B339" s="453">
        <v>46143</v>
      </c>
      <c r="C339" t="s">
        <v>3482</v>
      </c>
      <c r="D339" t="s">
        <v>3451</v>
      </c>
      <c r="E339" t="s">
        <v>3469</v>
      </c>
      <c r="F339">
        <v>1</v>
      </c>
      <c r="G339">
        <v>6.9</v>
      </c>
      <c r="H339" t="s">
        <v>3470</v>
      </c>
      <c r="J339" t="s">
        <v>3365</v>
      </c>
    </row>
    <row r="340" spans="1:10" x14ac:dyDescent="0.3">
      <c r="A340" t="s">
        <v>568</v>
      </c>
      <c r="B340" s="453">
        <v>46143</v>
      </c>
      <c r="C340" t="s">
        <v>3558</v>
      </c>
      <c r="D340" t="s">
        <v>3451</v>
      </c>
      <c r="E340" t="s">
        <v>3469</v>
      </c>
      <c r="F340">
        <v>1</v>
      </c>
      <c r="G340">
        <v>13.5</v>
      </c>
      <c r="H340" t="s">
        <v>3470</v>
      </c>
      <c r="J340" t="s">
        <v>3365</v>
      </c>
    </row>
    <row r="341" spans="1:10" x14ac:dyDescent="0.3">
      <c r="A341" t="s">
        <v>568</v>
      </c>
      <c r="B341" s="453">
        <v>46143</v>
      </c>
      <c r="C341" t="s">
        <v>3522</v>
      </c>
      <c r="D341" t="s">
        <v>3451</v>
      </c>
      <c r="E341" t="s">
        <v>3469</v>
      </c>
      <c r="F341">
        <v>1</v>
      </c>
      <c r="G341">
        <v>17.7</v>
      </c>
      <c r="H341" t="s">
        <v>3470</v>
      </c>
      <c r="J341" t="s">
        <v>3365</v>
      </c>
    </row>
    <row r="342" spans="1:10" x14ac:dyDescent="0.3">
      <c r="A342" t="s">
        <v>568</v>
      </c>
      <c r="B342" s="453">
        <v>46143</v>
      </c>
      <c r="C342" t="s">
        <v>3520</v>
      </c>
      <c r="D342" t="s">
        <v>3451</v>
      </c>
      <c r="E342" t="s">
        <v>3485</v>
      </c>
      <c r="F342">
        <v>1</v>
      </c>
      <c r="G342">
        <v>50.4</v>
      </c>
      <c r="H342" t="s">
        <v>3470</v>
      </c>
      <c r="J342" t="s">
        <v>3365</v>
      </c>
    </row>
    <row r="343" spans="1:10" x14ac:dyDescent="0.3">
      <c r="A343" t="s">
        <v>568</v>
      </c>
      <c r="B343" s="453">
        <v>46143</v>
      </c>
      <c r="C343" t="s">
        <v>3585</v>
      </c>
      <c r="D343" t="s">
        <v>3452</v>
      </c>
      <c r="E343" t="s">
        <v>3485</v>
      </c>
      <c r="F343">
        <v>1</v>
      </c>
      <c r="G343">
        <v>26.7</v>
      </c>
      <c r="H343" t="s">
        <v>3470</v>
      </c>
      <c r="J343" t="s">
        <v>3365</v>
      </c>
    </row>
    <row r="344" spans="1:10" x14ac:dyDescent="0.3">
      <c r="A344" t="s">
        <v>568</v>
      </c>
      <c r="B344" s="453">
        <v>46143</v>
      </c>
      <c r="C344" t="s">
        <v>3522</v>
      </c>
      <c r="D344" t="s">
        <v>3452</v>
      </c>
      <c r="E344" t="s">
        <v>3469</v>
      </c>
      <c r="F344">
        <v>1</v>
      </c>
      <c r="G344">
        <v>17.7</v>
      </c>
      <c r="H344" t="s">
        <v>3470</v>
      </c>
      <c r="J344" t="s">
        <v>3365</v>
      </c>
    </row>
    <row r="345" spans="1:10" x14ac:dyDescent="0.3">
      <c r="A345" t="s">
        <v>568</v>
      </c>
      <c r="B345" s="453">
        <v>46143</v>
      </c>
      <c r="C345" t="s">
        <v>3484</v>
      </c>
      <c r="D345" t="s">
        <v>3452</v>
      </c>
      <c r="E345" t="s">
        <v>3485</v>
      </c>
      <c r="F345">
        <v>6</v>
      </c>
      <c r="G345">
        <v>124.2</v>
      </c>
      <c r="H345" t="s">
        <v>3470</v>
      </c>
      <c r="J345" t="s">
        <v>3365</v>
      </c>
    </row>
    <row r="346" spans="1:10" x14ac:dyDescent="0.3">
      <c r="A346" t="s">
        <v>568</v>
      </c>
      <c r="B346" s="453">
        <v>46143</v>
      </c>
      <c r="C346" t="s">
        <v>3520</v>
      </c>
      <c r="D346" t="s">
        <v>3452</v>
      </c>
      <c r="E346" t="s">
        <v>3485</v>
      </c>
      <c r="F346">
        <v>2</v>
      </c>
      <c r="G346">
        <v>100.8</v>
      </c>
      <c r="H346" t="s">
        <v>3470</v>
      </c>
      <c r="J346" t="s">
        <v>3365</v>
      </c>
    </row>
    <row r="347" spans="1:10" x14ac:dyDescent="0.3">
      <c r="A347" t="s">
        <v>568</v>
      </c>
      <c r="B347" s="453">
        <v>46143</v>
      </c>
      <c r="C347" t="s">
        <v>3487</v>
      </c>
      <c r="D347" t="s">
        <v>3452</v>
      </c>
      <c r="E347" t="s">
        <v>3485</v>
      </c>
      <c r="F347">
        <v>1</v>
      </c>
      <c r="G347">
        <v>26.7</v>
      </c>
      <c r="H347" t="s">
        <v>3470</v>
      </c>
      <c r="J347" t="s">
        <v>3365</v>
      </c>
    </row>
    <row r="348" spans="1:10" x14ac:dyDescent="0.3">
      <c r="A348" t="s">
        <v>568</v>
      </c>
      <c r="B348" s="453">
        <v>46143</v>
      </c>
      <c r="C348" t="s">
        <v>3511</v>
      </c>
      <c r="D348" t="s">
        <v>3452</v>
      </c>
      <c r="E348" t="s">
        <v>3469</v>
      </c>
      <c r="F348">
        <v>2</v>
      </c>
      <c r="G348">
        <v>82.8</v>
      </c>
      <c r="H348" t="s">
        <v>3470</v>
      </c>
      <c r="J348" t="s">
        <v>3365</v>
      </c>
    </row>
    <row r="349" spans="1:10" x14ac:dyDescent="0.3">
      <c r="A349" t="s">
        <v>568</v>
      </c>
      <c r="B349" s="453">
        <v>46143</v>
      </c>
      <c r="C349" t="s">
        <v>3547</v>
      </c>
      <c r="D349" t="s">
        <v>3452</v>
      </c>
      <c r="E349" t="s">
        <v>3490</v>
      </c>
      <c r="F349">
        <v>1</v>
      </c>
      <c r="G349">
        <v>1.8</v>
      </c>
      <c r="H349" t="s">
        <v>3477</v>
      </c>
      <c r="J349" t="s">
        <v>3365</v>
      </c>
    </row>
    <row r="350" spans="1:10" x14ac:dyDescent="0.3">
      <c r="A350" t="s">
        <v>568</v>
      </c>
      <c r="B350" s="453">
        <v>46143</v>
      </c>
      <c r="C350" t="s">
        <v>3530</v>
      </c>
      <c r="D350" t="s">
        <v>3452</v>
      </c>
      <c r="E350" t="s">
        <v>3469</v>
      </c>
      <c r="F350">
        <v>1</v>
      </c>
      <c r="G350">
        <v>38.4</v>
      </c>
      <c r="H350" t="s">
        <v>3470</v>
      </c>
      <c r="J350" t="s">
        <v>3365</v>
      </c>
    </row>
    <row r="351" spans="1:10" x14ac:dyDescent="0.3">
      <c r="A351" t="s">
        <v>568</v>
      </c>
      <c r="B351" s="453">
        <v>46143</v>
      </c>
      <c r="C351" t="s">
        <v>3564</v>
      </c>
      <c r="D351" t="s">
        <v>3452</v>
      </c>
      <c r="E351" t="s">
        <v>3497</v>
      </c>
      <c r="F351">
        <v>1</v>
      </c>
      <c r="G351">
        <v>11.7</v>
      </c>
      <c r="H351" t="s">
        <v>3477</v>
      </c>
      <c r="J351" t="s">
        <v>3365</v>
      </c>
    </row>
    <row r="352" spans="1:10" x14ac:dyDescent="0.3">
      <c r="A352" t="s">
        <v>568</v>
      </c>
      <c r="B352" s="453">
        <v>46143</v>
      </c>
      <c r="C352" t="s">
        <v>3500</v>
      </c>
      <c r="D352" t="s">
        <v>3452</v>
      </c>
      <c r="E352" t="s">
        <v>3501</v>
      </c>
      <c r="F352">
        <v>3</v>
      </c>
      <c r="G352">
        <v>7.2</v>
      </c>
      <c r="H352" t="s">
        <v>3477</v>
      </c>
      <c r="J352" t="s">
        <v>3365</v>
      </c>
    </row>
    <row r="353" spans="1:10" x14ac:dyDescent="0.3">
      <c r="A353" t="s">
        <v>568</v>
      </c>
      <c r="B353" s="453">
        <v>46143</v>
      </c>
      <c r="C353" t="s">
        <v>3534</v>
      </c>
      <c r="D353" t="s">
        <v>3452</v>
      </c>
      <c r="E353" t="s">
        <v>3497</v>
      </c>
      <c r="F353">
        <v>1</v>
      </c>
      <c r="G353">
        <v>6.9</v>
      </c>
      <c r="H353" t="s">
        <v>3477</v>
      </c>
      <c r="J353" t="s">
        <v>3365</v>
      </c>
    </row>
    <row r="354" spans="1:10" x14ac:dyDescent="0.3">
      <c r="A354" t="s">
        <v>568</v>
      </c>
      <c r="B354" s="453">
        <v>46143</v>
      </c>
      <c r="C354" t="s">
        <v>3533</v>
      </c>
      <c r="D354" t="s">
        <v>3452</v>
      </c>
      <c r="E354" t="s">
        <v>3490</v>
      </c>
      <c r="F354">
        <v>1</v>
      </c>
      <c r="G354">
        <v>2.4</v>
      </c>
      <c r="H354" t="s">
        <v>3477</v>
      </c>
      <c r="J354" t="s">
        <v>3365</v>
      </c>
    </row>
    <row r="355" spans="1:10" x14ac:dyDescent="0.3">
      <c r="A355" t="s">
        <v>568</v>
      </c>
      <c r="B355" s="453">
        <v>46143</v>
      </c>
      <c r="C355" t="s">
        <v>3489</v>
      </c>
      <c r="D355" t="s">
        <v>3452</v>
      </c>
      <c r="E355" t="s">
        <v>3490</v>
      </c>
      <c r="F355">
        <v>3</v>
      </c>
      <c r="G355">
        <v>7.2</v>
      </c>
      <c r="H355" t="s">
        <v>3477</v>
      </c>
      <c r="J355" t="s">
        <v>3365</v>
      </c>
    </row>
    <row r="356" spans="1:10" x14ac:dyDescent="0.3">
      <c r="A356" t="s">
        <v>568</v>
      </c>
      <c r="B356" s="453">
        <v>46143</v>
      </c>
      <c r="C356" t="s">
        <v>3491</v>
      </c>
      <c r="D356" t="s">
        <v>3452</v>
      </c>
      <c r="E356" t="s">
        <v>3490</v>
      </c>
      <c r="F356">
        <v>4</v>
      </c>
      <c r="G356">
        <v>7.2</v>
      </c>
      <c r="H356" t="s">
        <v>3477</v>
      </c>
      <c r="J356" t="s">
        <v>3365</v>
      </c>
    </row>
    <row r="357" spans="1:10" x14ac:dyDescent="0.3">
      <c r="A357" t="s">
        <v>568</v>
      </c>
      <c r="B357" s="453">
        <v>46143</v>
      </c>
      <c r="C357" t="s">
        <v>3554</v>
      </c>
      <c r="D357" t="s">
        <v>3452</v>
      </c>
      <c r="E357" t="s">
        <v>3495</v>
      </c>
      <c r="F357">
        <v>1</v>
      </c>
      <c r="G357">
        <v>8.6999999999999993</v>
      </c>
      <c r="H357" t="s">
        <v>3470</v>
      </c>
      <c r="J357" t="s">
        <v>3365</v>
      </c>
    </row>
    <row r="358" spans="1:10" x14ac:dyDescent="0.3">
      <c r="A358" t="s">
        <v>568</v>
      </c>
      <c r="B358" s="453">
        <v>46143</v>
      </c>
      <c r="C358" t="s">
        <v>3586</v>
      </c>
      <c r="D358" t="s">
        <v>3453</v>
      </c>
      <c r="E358" t="s">
        <v>3476</v>
      </c>
      <c r="F358">
        <v>24</v>
      </c>
      <c r="G358">
        <v>85.68</v>
      </c>
      <c r="H358" t="s">
        <v>3477</v>
      </c>
      <c r="J358" t="s">
        <v>3365</v>
      </c>
    </row>
    <row r="359" spans="1:10" x14ac:dyDescent="0.3">
      <c r="A359" t="s">
        <v>568</v>
      </c>
      <c r="B359" s="453">
        <v>46143</v>
      </c>
      <c r="C359" t="s">
        <v>3540</v>
      </c>
      <c r="D359" t="s">
        <v>3453</v>
      </c>
      <c r="E359" t="s">
        <v>3539</v>
      </c>
      <c r="F359">
        <v>1</v>
      </c>
      <c r="G359">
        <v>13.5</v>
      </c>
      <c r="H359" t="s">
        <v>3470</v>
      </c>
      <c r="J359" t="s">
        <v>3365</v>
      </c>
    </row>
    <row r="360" spans="1:10" x14ac:dyDescent="0.3">
      <c r="A360" t="s">
        <v>568</v>
      </c>
      <c r="B360" s="453">
        <v>46143</v>
      </c>
      <c r="C360" t="s">
        <v>3496</v>
      </c>
      <c r="D360" t="s">
        <v>3453</v>
      </c>
      <c r="E360" t="s">
        <v>3497</v>
      </c>
      <c r="F360">
        <v>2</v>
      </c>
      <c r="G360">
        <v>15</v>
      </c>
      <c r="H360" t="s">
        <v>3477</v>
      </c>
      <c r="J360" t="s">
        <v>3365</v>
      </c>
    </row>
    <row r="361" spans="1:10" x14ac:dyDescent="0.3">
      <c r="A361" t="s">
        <v>568</v>
      </c>
      <c r="B361" s="453">
        <v>46143</v>
      </c>
      <c r="C361" t="s">
        <v>3481</v>
      </c>
      <c r="D361" t="s">
        <v>3453</v>
      </c>
      <c r="E361" t="s">
        <v>3469</v>
      </c>
      <c r="F361">
        <v>2</v>
      </c>
      <c r="G361">
        <v>32.4</v>
      </c>
      <c r="H361" t="s">
        <v>3470</v>
      </c>
      <c r="J361" t="s">
        <v>3365</v>
      </c>
    </row>
    <row r="362" spans="1:10" x14ac:dyDescent="0.3">
      <c r="A362" t="s">
        <v>568</v>
      </c>
      <c r="B362" s="453">
        <v>46143</v>
      </c>
      <c r="C362" t="s">
        <v>3554</v>
      </c>
      <c r="D362" t="s">
        <v>3453</v>
      </c>
      <c r="E362" t="s">
        <v>3495</v>
      </c>
      <c r="F362">
        <v>2</v>
      </c>
      <c r="G362">
        <v>17.399999999999999</v>
      </c>
      <c r="H362" t="s">
        <v>3470</v>
      </c>
      <c r="J362" t="s">
        <v>3365</v>
      </c>
    </row>
    <row r="363" spans="1:10" x14ac:dyDescent="0.3">
      <c r="A363" t="s">
        <v>568</v>
      </c>
      <c r="B363" s="453">
        <v>46143</v>
      </c>
      <c r="C363" t="s">
        <v>3533</v>
      </c>
      <c r="D363" t="s">
        <v>3453</v>
      </c>
      <c r="E363" t="s">
        <v>3490</v>
      </c>
      <c r="F363">
        <v>1</v>
      </c>
      <c r="G363">
        <v>2.4</v>
      </c>
      <c r="H363" t="s">
        <v>3477</v>
      </c>
      <c r="J363" t="s">
        <v>3365</v>
      </c>
    </row>
    <row r="364" spans="1:10" x14ac:dyDescent="0.3">
      <c r="A364" t="s">
        <v>568</v>
      </c>
      <c r="B364" s="453">
        <v>46143</v>
      </c>
      <c r="C364" t="s">
        <v>3480</v>
      </c>
      <c r="D364" t="s">
        <v>3453</v>
      </c>
      <c r="E364" t="s">
        <v>3476</v>
      </c>
      <c r="F364">
        <v>19</v>
      </c>
      <c r="G364">
        <v>84.93</v>
      </c>
      <c r="H364" t="s">
        <v>3477</v>
      </c>
      <c r="J364" t="s">
        <v>3365</v>
      </c>
    </row>
    <row r="365" spans="1:10" x14ac:dyDescent="0.3">
      <c r="A365" t="s">
        <v>568</v>
      </c>
      <c r="B365" s="453">
        <v>46143</v>
      </c>
      <c r="C365" t="s">
        <v>3478</v>
      </c>
      <c r="D365" t="s">
        <v>3453</v>
      </c>
      <c r="E365" t="s">
        <v>3479</v>
      </c>
      <c r="F365">
        <v>1</v>
      </c>
      <c r="G365">
        <v>7.5</v>
      </c>
      <c r="H365" t="s">
        <v>3470</v>
      </c>
      <c r="J365" t="s">
        <v>3365</v>
      </c>
    </row>
    <row r="366" spans="1:10" x14ac:dyDescent="0.3">
      <c r="A366" t="s">
        <v>568</v>
      </c>
      <c r="B366" s="453">
        <v>46143</v>
      </c>
      <c r="C366" t="s">
        <v>3475</v>
      </c>
      <c r="D366" t="s">
        <v>3453</v>
      </c>
      <c r="E366" t="s">
        <v>3476</v>
      </c>
      <c r="F366">
        <v>3</v>
      </c>
      <c r="G366">
        <v>15.21</v>
      </c>
      <c r="H366" t="s">
        <v>3477</v>
      </c>
      <c r="J366" t="s">
        <v>3365</v>
      </c>
    </row>
    <row r="367" spans="1:10" x14ac:dyDescent="0.3">
      <c r="A367" t="s">
        <v>568</v>
      </c>
      <c r="B367" s="453">
        <v>46143</v>
      </c>
      <c r="C367" t="s">
        <v>3489</v>
      </c>
      <c r="D367" t="s">
        <v>3453</v>
      </c>
      <c r="E367" t="s">
        <v>3490</v>
      </c>
      <c r="F367">
        <v>1</v>
      </c>
      <c r="G367">
        <v>2.4</v>
      </c>
      <c r="H367" t="s">
        <v>3477</v>
      </c>
      <c r="J367" t="s">
        <v>3365</v>
      </c>
    </row>
    <row r="368" spans="1:10" x14ac:dyDescent="0.3">
      <c r="A368" t="s">
        <v>568</v>
      </c>
      <c r="B368" s="453">
        <v>46143</v>
      </c>
      <c r="C368" t="s">
        <v>3491</v>
      </c>
      <c r="D368" t="s">
        <v>3453</v>
      </c>
      <c r="E368" t="s">
        <v>3490</v>
      </c>
      <c r="F368">
        <v>2</v>
      </c>
      <c r="G368">
        <v>3.6</v>
      </c>
      <c r="H368" t="s">
        <v>3477</v>
      </c>
      <c r="J368" t="s">
        <v>3365</v>
      </c>
    </row>
    <row r="369" spans="1:10" x14ac:dyDescent="0.3">
      <c r="A369" t="s">
        <v>568</v>
      </c>
      <c r="B369" s="453">
        <v>46143</v>
      </c>
      <c r="C369" t="s">
        <v>3514</v>
      </c>
      <c r="D369" t="s">
        <v>3453</v>
      </c>
      <c r="E369" t="s">
        <v>3472</v>
      </c>
      <c r="F369">
        <v>1</v>
      </c>
      <c r="G369">
        <v>14.4</v>
      </c>
      <c r="H369" t="s">
        <v>3470</v>
      </c>
      <c r="J369" t="s">
        <v>3365</v>
      </c>
    </row>
    <row r="370" spans="1:10" x14ac:dyDescent="0.3">
      <c r="A370" t="s">
        <v>568</v>
      </c>
      <c r="B370" s="453">
        <v>46143</v>
      </c>
      <c r="C370" t="s">
        <v>3507</v>
      </c>
      <c r="D370" t="s">
        <v>3453</v>
      </c>
      <c r="E370" t="s">
        <v>3472</v>
      </c>
      <c r="F370">
        <v>1</v>
      </c>
      <c r="G370">
        <v>6.9</v>
      </c>
      <c r="H370" t="s">
        <v>3470</v>
      </c>
      <c r="J370" t="s">
        <v>3365</v>
      </c>
    </row>
    <row r="371" spans="1:10" x14ac:dyDescent="0.3">
      <c r="A371" t="s">
        <v>568</v>
      </c>
      <c r="B371" s="453">
        <v>46143</v>
      </c>
      <c r="C371" t="s">
        <v>3517</v>
      </c>
      <c r="D371" t="s">
        <v>3453</v>
      </c>
      <c r="E371" t="s">
        <v>3472</v>
      </c>
      <c r="F371">
        <v>6</v>
      </c>
      <c r="G371">
        <v>30.6</v>
      </c>
      <c r="H371" t="s">
        <v>3470</v>
      </c>
      <c r="J371" t="s">
        <v>3365</v>
      </c>
    </row>
    <row r="372" spans="1:10" x14ac:dyDescent="0.3">
      <c r="A372" t="s">
        <v>568</v>
      </c>
      <c r="B372" s="453">
        <v>46143</v>
      </c>
      <c r="C372" t="s">
        <v>3498</v>
      </c>
      <c r="D372" t="s">
        <v>3453</v>
      </c>
      <c r="E372" t="s">
        <v>3499</v>
      </c>
      <c r="F372">
        <v>1</v>
      </c>
      <c r="G372">
        <v>10.5</v>
      </c>
      <c r="J372" t="s">
        <v>3365</v>
      </c>
    </row>
    <row r="373" spans="1:10" x14ac:dyDescent="0.3">
      <c r="A373" t="s">
        <v>568</v>
      </c>
      <c r="B373" s="453">
        <v>46143</v>
      </c>
      <c r="C373" t="s">
        <v>3550</v>
      </c>
      <c r="D373" t="s">
        <v>3454</v>
      </c>
      <c r="E373" t="s">
        <v>3490</v>
      </c>
      <c r="F373">
        <v>5</v>
      </c>
      <c r="G373">
        <v>12</v>
      </c>
      <c r="H373" t="s">
        <v>3477</v>
      </c>
      <c r="J373" t="s">
        <v>3365</v>
      </c>
    </row>
    <row r="374" spans="1:10" x14ac:dyDescent="0.3">
      <c r="A374" t="s">
        <v>568</v>
      </c>
      <c r="B374" s="453">
        <v>46143</v>
      </c>
      <c r="C374" t="s">
        <v>3487</v>
      </c>
      <c r="D374" t="s">
        <v>3454</v>
      </c>
      <c r="E374" t="s">
        <v>3485</v>
      </c>
      <c r="F374">
        <v>3</v>
      </c>
      <c r="G374">
        <v>80.099999999999994</v>
      </c>
      <c r="H374" t="s">
        <v>3470</v>
      </c>
      <c r="J374" t="s">
        <v>3365</v>
      </c>
    </row>
    <row r="375" spans="1:10" x14ac:dyDescent="0.3">
      <c r="A375" t="s">
        <v>568</v>
      </c>
      <c r="B375" s="453">
        <v>46143</v>
      </c>
      <c r="C375" t="s">
        <v>3554</v>
      </c>
      <c r="D375" t="s">
        <v>3454</v>
      </c>
      <c r="E375" t="s">
        <v>3495</v>
      </c>
      <c r="F375">
        <v>1</v>
      </c>
      <c r="G375">
        <v>8.6999999999999993</v>
      </c>
      <c r="H375" t="s">
        <v>3470</v>
      </c>
      <c r="J375" t="s">
        <v>3365</v>
      </c>
    </row>
    <row r="376" spans="1:10" x14ac:dyDescent="0.3">
      <c r="A376" t="s">
        <v>568</v>
      </c>
      <c r="B376" s="453">
        <v>46143</v>
      </c>
      <c r="C376" t="s">
        <v>3482</v>
      </c>
      <c r="D376" t="s">
        <v>3454</v>
      </c>
      <c r="E376" t="s">
        <v>3469</v>
      </c>
      <c r="F376">
        <v>2</v>
      </c>
      <c r="G376">
        <v>13.8</v>
      </c>
      <c r="H376" t="s">
        <v>3470</v>
      </c>
      <c r="J376" t="s">
        <v>3365</v>
      </c>
    </row>
    <row r="377" spans="1:10" x14ac:dyDescent="0.3">
      <c r="A377" t="s">
        <v>568</v>
      </c>
      <c r="B377" s="453">
        <v>46143</v>
      </c>
      <c r="C377" t="s">
        <v>3525</v>
      </c>
      <c r="D377" t="s">
        <v>3454</v>
      </c>
      <c r="E377" t="s">
        <v>3497</v>
      </c>
      <c r="F377">
        <v>9</v>
      </c>
      <c r="G377">
        <v>67.5</v>
      </c>
      <c r="H377" t="s">
        <v>3477</v>
      </c>
      <c r="J377" t="s">
        <v>3365</v>
      </c>
    </row>
    <row r="378" spans="1:10" x14ac:dyDescent="0.3">
      <c r="A378" t="s">
        <v>568</v>
      </c>
      <c r="B378" s="453">
        <v>46143</v>
      </c>
      <c r="C378" t="s">
        <v>3498</v>
      </c>
      <c r="D378" t="s">
        <v>3454</v>
      </c>
      <c r="E378" t="s">
        <v>3499</v>
      </c>
      <c r="F378">
        <v>1</v>
      </c>
      <c r="G378">
        <v>10.5</v>
      </c>
      <c r="J378" t="s">
        <v>3365</v>
      </c>
    </row>
    <row r="379" spans="1:10" x14ac:dyDescent="0.3">
      <c r="A379" t="s">
        <v>568</v>
      </c>
      <c r="B379" s="453">
        <v>46143</v>
      </c>
      <c r="C379" t="s">
        <v>3483</v>
      </c>
      <c r="D379" t="s">
        <v>3454</v>
      </c>
      <c r="E379" t="s">
        <v>3469</v>
      </c>
      <c r="F379">
        <v>14</v>
      </c>
      <c r="G379">
        <v>352.8</v>
      </c>
      <c r="H379" t="s">
        <v>3470</v>
      </c>
      <c r="J379" t="s">
        <v>3365</v>
      </c>
    </row>
    <row r="380" spans="1:10" x14ac:dyDescent="0.3">
      <c r="A380" t="s">
        <v>568</v>
      </c>
      <c r="B380" s="453">
        <v>46143</v>
      </c>
      <c r="C380" t="s">
        <v>3587</v>
      </c>
      <c r="D380" t="s">
        <v>3454</v>
      </c>
      <c r="E380" t="s">
        <v>3588</v>
      </c>
      <c r="F380">
        <v>1</v>
      </c>
      <c r="G380">
        <v>6</v>
      </c>
      <c r="H380" t="s">
        <v>20</v>
      </c>
      <c r="J380" t="s">
        <v>3365</v>
      </c>
    </row>
    <row r="381" spans="1:10" x14ac:dyDescent="0.3">
      <c r="A381" t="s">
        <v>568</v>
      </c>
      <c r="B381" s="453">
        <v>46143</v>
      </c>
      <c r="C381" t="s">
        <v>3468</v>
      </c>
      <c r="D381" t="s">
        <v>3454</v>
      </c>
      <c r="E381" t="s">
        <v>3469</v>
      </c>
      <c r="F381">
        <v>5</v>
      </c>
      <c r="G381">
        <v>72</v>
      </c>
      <c r="H381" t="s">
        <v>3470</v>
      </c>
      <c r="J381" t="s">
        <v>3365</v>
      </c>
    </row>
    <row r="382" spans="1:10" x14ac:dyDescent="0.3">
      <c r="A382" t="s">
        <v>568</v>
      </c>
      <c r="B382" s="453">
        <v>46143</v>
      </c>
      <c r="C382" t="s">
        <v>3522</v>
      </c>
      <c r="D382" t="s">
        <v>3454</v>
      </c>
      <c r="E382" t="s">
        <v>3469</v>
      </c>
      <c r="F382">
        <v>3</v>
      </c>
      <c r="G382">
        <v>53.1</v>
      </c>
      <c r="H382" t="s">
        <v>3470</v>
      </c>
      <c r="J382" t="s">
        <v>3365</v>
      </c>
    </row>
    <row r="383" spans="1:10" x14ac:dyDescent="0.3">
      <c r="A383" t="s">
        <v>568</v>
      </c>
      <c r="B383" s="453">
        <v>46143</v>
      </c>
      <c r="C383" t="s">
        <v>3521</v>
      </c>
      <c r="D383" t="s">
        <v>3454</v>
      </c>
      <c r="E383" t="s">
        <v>3469</v>
      </c>
      <c r="F383">
        <v>2</v>
      </c>
      <c r="G383">
        <v>33.6</v>
      </c>
      <c r="H383" t="s">
        <v>3470</v>
      </c>
      <c r="J383" t="s">
        <v>3365</v>
      </c>
    </row>
    <row r="384" spans="1:10" x14ac:dyDescent="0.3">
      <c r="A384" t="s">
        <v>568</v>
      </c>
      <c r="B384" s="453">
        <v>46143</v>
      </c>
      <c r="C384" t="s">
        <v>3484</v>
      </c>
      <c r="D384" t="s">
        <v>3454</v>
      </c>
      <c r="E384" t="s">
        <v>3485</v>
      </c>
      <c r="F384">
        <v>9</v>
      </c>
      <c r="G384">
        <v>186.3</v>
      </c>
      <c r="H384" t="s">
        <v>3470</v>
      </c>
      <c r="J384" t="s">
        <v>3365</v>
      </c>
    </row>
    <row r="385" spans="1:10" x14ac:dyDescent="0.3">
      <c r="A385" t="s">
        <v>568</v>
      </c>
      <c r="B385" s="453">
        <v>46143</v>
      </c>
      <c r="C385" t="s">
        <v>3520</v>
      </c>
      <c r="D385" t="s">
        <v>3454</v>
      </c>
      <c r="E385" t="s">
        <v>3485</v>
      </c>
      <c r="F385">
        <v>1</v>
      </c>
      <c r="G385">
        <v>50.4</v>
      </c>
      <c r="H385" t="s">
        <v>3470</v>
      </c>
      <c r="J385" t="s">
        <v>3365</v>
      </c>
    </row>
    <row r="386" spans="1:10" x14ac:dyDescent="0.3">
      <c r="A386" t="s">
        <v>568</v>
      </c>
      <c r="B386" s="453">
        <v>46143</v>
      </c>
      <c r="C386" t="s">
        <v>3486</v>
      </c>
      <c r="D386" t="s">
        <v>3454</v>
      </c>
      <c r="E386" t="s">
        <v>3485</v>
      </c>
      <c r="F386">
        <v>7</v>
      </c>
      <c r="G386">
        <v>205.8</v>
      </c>
      <c r="H386" t="s">
        <v>3470</v>
      </c>
      <c r="J386" t="s">
        <v>3365</v>
      </c>
    </row>
    <row r="387" spans="1:10" x14ac:dyDescent="0.3">
      <c r="A387" t="s">
        <v>568</v>
      </c>
      <c r="B387" s="453">
        <v>46143</v>
      </c>
      <c r="C387" t="s">
        <v>3519</v>
      </c>
      <c r="D387" t="s">
        <v>3454</v>
      </c>
      <c r="E387" t="s">
        <v>3469</v>
      </c>
      <c r="F387">
        <v>8</v>
      </c>
      <c r="G387">
        <v>141.6</v>
      </c>
      <c r="H387" t="s">
        <v>3470</v>
      </c>
      <c r="J387" t="s">
        <v>3365</v>
      </c>
    </row>
    <row r="388" spans="1:10" x14ac:dyDescent="0.3">
      <c r="A388" t="s">
        <v>568</v>
      </c>
      <c r="B388" s="453">
        <v>46143</v>
      </c>
      <c r="C388" t="s">
        <v>3517</v>
      </c>
      <c r="D388" t="s">
        <v>3454</v>
      </c>
      <c r="E388" t="s">
        <v>3472</v>
      </c>
      <c r="F388">
        <v>1</v>
      </c>
      <c r="G388">
        <v>5.0999999999999996</v>
      </c>
      <c r="H388" t="s">
        <v>3470</v>
      </c>
      <c r="J388" t="s">
        <v>3365</v>
      </c>
    </row>
    <row r="389" spans="1:10" x14ac:dyDescent="0.3">
      <c r="A389" t="s">
        <v>568</v>
      </c>
      <c r="B389" s="453">
        <v>46143</v>
      </c>
      <c r="C389" t="s">
        <v>3515</v>
      </c>
      <c r="D389" t="s">
        <v>3454</v>
      </c>
      <c r="E389" t="s">
        <v>3490</v>
      </c>
      <c r="F389">
        <v>2</v>
      </c>
      <c r="G389">
        <v>5.4</v>
      </c>
      <c r="H389" t="s">
        <v>3477</v>
      </c>
      <c r="J389" t="s">
        <v>3365</v>
      </c>
    </row>
    <row r="390" spans="1:10" x14ac:dyDescent="0.3">
      <c r="A390" t="s">
        <v>568</v>
      </c>
      <c r="B390" s="453">
        <v>46143</v>
      </c>
      <c r="C390" t="s">
        <v>3565</v>
      </c>
      <c r="D390" t="s">
        <v>3454</v>
      </c>
      <c r="E390" t="s">
        <v>3543</v>
      </c>
      <c r="F390">
        <v>1</v>
      </c>
      <c r="G390">
        <v>8.6999999999999993</v>
      </c>
      <c r="H390" t="s">
        <v>3470</v>
      </c>
      <c r="J390" t="s">
        <v>3365</v>
      </c>
    </row>
    <row r="391" spans="1:10" x14ac:dyDescent="0.3">
      <c r="A391" t="s">
        <v>568</v>
      </c>
      <c r="B391" s="453">
        <v>46143</v>
      </c>
      <c r="C391" t="s">
        <v>3511</v>
      </c>
      <c r="D391" t="s">
        <v>3454</v>
      </c>
      <c r="E391" t="s">
        <v>3469</v>
      </c>
      <c r="F391">
        <v>2</v>
      </c>
      <c r="G391">
        <v>82.8</v>
      </c>
      <c r="H391" t="s">
        <v>3470</v>
      </c>
      <c r="J391" t="s">
        <v>3365</v>
      </c>
    </row>
    <row r="392" spans="1:10" x14ac:dyDescent="0.3">
      <c r="A392" t="s">
        <v>568</v>
      </c>
      <c r="B392" s="453">
        <v>46143</v>
      </c>
      <c r="C392" t="s">
        <v>3523</v>
      </c>
      <c r="D392" t="s">
        <v>3454</v>
      </c>
      <c r="E392" t="s">
        <v>3469</v>
      </c>
      <c r="F392">
        <v>1</v>
      </c>
      <c r="G392">
        <v>14.7</v>
      </c>
      <c r="H392" t="s">
        <v>3470</v>
      </c>
      <c r="J392" t="s">
        <v>3365</v>
      </c>
    </row>
    <row r="393" spans="1:10" x14ac:dyDescent="0.3">
      <c r="A393" t="s">
        <v>568</v>
      </c>
      <c r="B393" s="453">
        <v>46143</v>
      </c>
      <c r="C393" t="s">
        <v>3573</v>
      </c>
      <c r="D393" t="s">
        <v>3454</v>
      </c>
      <c r="E393" t="s">
        <v>3485</v>
      </c>
      <c r="F393">
        <v>2</v>
      </c>
      <c r="G393">
        <v>111.6</v>
      </c>
      <c r="H393" t="s">
        <v>3470</v>
      </c>
      <c r="J393" t="s">
        <v>3365</v>
      </c>
    </row>
    <row r="394" spans="1:10" x14ac:dyDescent="0.3">
      <c r="A394" t="s">
        <v>568</v>
      </c>
      <c r="B394" s="453">
        <v>46143</v>
      </c>
      <c r="C394" t="s">
        <v>3507</v>
      </c>
      <c r="D394" t="s">
        <v>3454</v>
      </c>
      <c r="E394" t="s">
        <v>3472</v>
      </c>
      <c r="F394">
        <v>2</v>
      </c>
      <c r="G394">
        <v>13.8</v>
      </c>
      <c r="H394" t="s">
        <v>3470</v>
      </c>
      <c r="J394" t="s">
        <v>3365</v>
      </c>
    </row>
    <row r="395" spans="1:10" x14ac:dyDescent="0.3">
      <c r="A395" t="s">
        <v>568</v>
      </c>
      <c r="B395" s="453">
        <v>46143</v>
      </c>
      <c r="C395" t="s">
        <v>3556</v>
      </c>
      <c r="D395" t="s">
        <v>3454</v>
      </c>
      <c r="E395" t="s">
        <v>3545</v>
      </c>
      <c r="F395">
        <v>1</v>
      </c>
      <c r="G395">
        <v>15.6</v>
      </c>
      <c r="J395" t="s">
        <v>3365</v>
      </c>
    </row>
    <row r="396" spans="1:10" x14ac:dyDescent="0.3">
      <c r="A396" t="s">
        <v>568</v>
      </c>
      <c r="B396" s="453">
        <v>46143</v>
      </c>
      <c r="C396" t="s">
        <v>3559</v>
      </c>
      <c r="D396" t="s">
        <v>3454</v>
      </c>
      <c r="E396" t="s">
        <v>3469</v>
      </c>
      <c r="F396">
        <v>1</v>
      </c>
      <c r="G396">
        <v>13.8</v>
      </c>
      <c r="H396" t="s">
        <v>3470</v>
      </c>
      <c r="J396" t="s">
        <v>3365</v>
      </c>
    </row>
    <row r="397" spans="1:10" x14ac:dyDescent="0.3">
      <c r="A397" t="s">
        <v>568</v>
      </c>
      <c r="B397" s="453">
        <v>46143</v>
      </c>
      <c r="C397" t="s">
        <v>3589</v>
      </c>
      <c r="D397" t="s">
        <v>3454</v>
      </c>
      <c r="E397" t="s">
        <v>3469</v>
      </c>
      <c r="F397">
        <v>1</v>
      </c>
      <c r="G397">
        <v>33</v>
      </c>
      <c r="H397" t="s">
        <v>3470</v>
      </c>
      <c r="J397" t="s">
        <v>3365</v>
      </c>
    </row>
    <row r="398" spans="1:10" x14ac:dyDescent="0.3">
      <c r="A398" t="s">
        <v>568</v>
      </c>
      <c r="B398" s="453">
        <v>46143</v>
      </c>
      <c r="C398" t="s">
        <v>3509</v>
      </c>
      <c r="D398" t="s">
        <v>3454</v>
      </c>
      <c r="E398" t="s">
        <v>3469</v>
      </c>
      <c r="F398">
        <v>7</v>
      </c>
      <c r="G398">
        <v>119.7</v>
      </c>
      <c r="H398" t="s">
        <v>3470</v>
      </c>
      <c r="J398" t="s">
        <v>3365</v>
      </c>
    </row>
    <row r="399" spans="1:10" x14ac:dyDescent="0.3">
      <c r="A399" t="s">
        <v>568</v>
      </c>
      <c r="B399" s="453">
        <v>46143</v>
      </c>
      <c r="C399" t="s">
        <v>3510</v>
      </c>
      <c r="D399" t="s">
        <v>3454</v>
      </c>
      <c r="E399" t="s">
        <v>3485</v>
      </c>
      <c r="F399">
        <v>3</v>
      </c>
      <c r="G399">
        <v>76.5</v>
      </c>
      <c r="H399" t="s">
        <v>3470</v>
      </c>
      <c r="J399" t="s">
        <v>3365</v>
      </c>
    </row>
    <row r="400" spans="1:10" x14ac:dyDescent="0.3">
      <c r="A400" t="s">
        <v>568</v>
      </c>
      <c r="B400" s="453">
        <v>46143</v>
      </c>
      <c r="C400" t="s">
        <v>3492</v>
      </c>
      <c r="D400" t="s">
        <v>3454</v>
      </c>
      <c r="E400" t="s">
        <v>3493</v>
      </c>
      <c r="F400">
        <v>1</v>
      </c>
      <c r="G400">
        <v>14.4</v>
      </c>
      <c r="H400" t="s">
        <v>3470</v>
      </c>
      <c r="J400" t="s">
        <v>3365</v>
      </c>
    </row>
    <row r="401" spans="1:10" x14ac:dyDescent="0.3">
      <c r="A401" t="s">
        <v>568</v>
      </c>
      <c r="B401" s="453">
        <v>46143</v>
      </c>
      <c r="C401" t="s">
        <v>3512</v>
      </c>
      <c r="D401" t="s">
        <v>3454</v>
      </c>
      <c r="E401" t="s">
        <v>3469</v>
      </c>
      <c r="F401">
        <v>1</v>
      </c>
      <c r="G401">
        <v>14.7</v>
      </c>
      <c r="H401" t="s">
        <v>3470</v>
      </c>
      <c r="J401" t="s">
        <v>3365</v>
      </c>
    </row>
    <row r="402" spans="1:10" x14ac:dyDescent="0.3">
      <c r="A402" t="s">
        <v>568</v>
      </c>
      <c r="B402" s="453">
        <v>46143</v>
      </c>
      <c r="C402" t="s">
        <v>3513</v>
      </c>
      <c r="D402" t="s">
        <v>3454</v>
      </c>
      <c r="E402" t="s">
        <v>3493</v>
      </c>
      <c r="F402">
        <v>3</v>
      </c>
      <c r="G402">
        <v>95.4</v>
      </c>
      <c r="H402" t="s">
        <v>3470</v>
      </c>
      <c r="J402" t="s">
        <v>3365</v>
      </c>
    </row>
    <row r="403" spans="1:10" x14ac:dyDescent="0.3">
      <c r="A403" t="s">
        <v>568</v>
      </c>
      <c r="B403" s="453">
        <v>46143</v>
      </c>
      <c r="C403" t="s">
        <v>3514</v>
      </c>
      <c r="D403" t="s">
        <v>3454</v>
      </c>
      <c r="E403" t="s">
        <v>3472</v>
      </c>
      <c r="F403">
        <v>3</v>
      </c>
      <c r="G403">
        <v>43.2</v>
      </c>
      <c r="H403" t="s">
        <v>3470</v>
      </c>
      <c r="J403" t="s">
        <v>3365</v>
      </c>
    </row>
    <row r="404" spans="1:10" x14ac:dyDescent="0.3">
      <c r="A404" t="s">
        <v>568</v>
      </c>
      <c r="B404" s="453">
        <v>46143</v>
      </c>
      <c r="C404" t="s">
        <v>3488</v>
      </c>
      <c r="D404" t="s">
        <v>3454</v>
      </c>
      <c r="E404" t="s">
        <v>3545</v>
      </c>
      <c r="F404">
        <v>1</v>
      </c>
      <c r="G404">
        <v>15.6</v>
      </c>
      <c r="J404" t="s">
        <v>3365</v>
      </c>
    </row>
    <row r="405" spans="1:10" x14ac:dyDescent="0.3">
      <c r="A405" t="s">
        <v>568</v>
      </c>
      <c r="B405" s="453">
        <v>46143</v>
      </c>
      <c r="C405" t="s">
        <v>3530</v>
      </c>
      <c r="D405" t="s">
        <v>3454</v>
      </c>
      <c r="E405" t="s">
        <v>3469</v>
      </c>
      <c r="F405">
        <v>1</v>
      </c>
      <c r="G405">
        <v>38.4</v>
      </c>
      <c r="H405" t="s">
        <v>3470</v>
      </c>
      <c r="J405" t="s">
        <v>3365</v>
      </c>
    </row>
    <row r="406" spans="1:10" x14ac:dyDescent="0.3">
      <c r="A406" t="s">
        <v>568</v>
      </c>
      <c r="B406" s="453">
        <v>46143</v>
      </c>
      <c r="C406" t="s">
        <v>3586</v>
      </c>
      <c r="D406" t="s">
        <v>3454</v>
      </c>
      <c r="E406" t="s">
        <v>3476</v>
      </c>
      <c r="F406">
        <v>6</v>
      </c>
      <c r="G406">
        <v>21.42</v>
      </c>
      <c r="H406" t="s">
        <v>3477</v>
      </c>
      <c r="J406" t="s">
        <v>3365</v>
      </c>
    </row>
    <row r="407" spans="1:10" x14ac:dyDescent="0.3">
      <c r="A407" t="s">
        <v>568</v>
      </c>
      <c r="B407" s="453">
        <v>46143</v>
      </c>
      <c r="C407" t="s">
        <v>3578</v>
      </c>
      <c r="D407" t="s">
        <v>3454</v>
      </c>
      <c r="E407" t="s">
        <v>3490</v>
      </c>
      <c r="F407">
        <v>5</v>
      </c>
      <c r="G407">
        <v>9.75</v>
      </c>
      <c r="H407" t="s">
        <v>3477</v>
      </c>
      <c r="J407" t="s">
        <v>3365</v>
      </c>
    </row>
    <row r="408" spans="1:10" x14ac:dyDescent="0.3">
      <c r="A408" t="s">
        <v>568</v>
      </c>
      <c r="B408" s="453">
        <v>46143</v>
      </c>
      <c r="C408" t="s">
        <v>3471</v>
      </c>
      <c r="D408" t="s">
        <v>3454</v>
      </c>
      <c r="E408" t="s">
        <v>3472</v>
      </c>
      <c r="F408">
        <v>2</v>
      </c>
      <c r="G408">
        <v>51</v>
      </c>
      <c r="H408" t="s">
        <v>3470</v>
      </c>
      <c r="J408" t="s">
        <v>3365</v>
      </c>
    </row>
    <row r="409" spans="1:10" x14ac:dyDescent="0.3">
      <c r="A409" t="s">
        <v>568</v>
      </c>
      <c r="B409" s="453">
        <v>46143</v>
      </c>
      <c r="C409" t="s">
        <v>3551</v>
      </c>
      <c r="D409" t="s">
        <v>3454</v>
      </c>
      <c r="E409" t="s">
        <v>3490</v>
      </c>
      <c r="F409">
        <v>1</v>
      </c>
      <c r="G409">
        <v>2.4</v>
      </c>
      <c r="H409" t="s">
        <v>3477</v>
      </c>
      <c r="J409" t="s">
        <v>3365</v>
      </c>
    </row>
    <row r="410" spans="1:10" x14ac:dyDescent="0.3">
      <c r="A410" t="s">
        <v>568</v>
      </c>
      <c r="B410" s="453">
        <v>46143</v>
      </c>
      <c r="C410" t="s">
        <v>3491</v>
      </c>
      <c r="D410" t="s">
        <v>3454</v>
      </c>
      <c r="E410" t="s">
        <v>3490</v>
      </c>
      <c r="F410">
        <v>11</v>
      </c>
      <c r="G410">
        <v>19.8</v>
      </c>
      <c r="H410" t="s">
        <v>3477</v>
      </c>
      <c r="J410" t="s">
        <v>3365</v>
      </c>
    </row>
    <row r="411" spans="1:10" x14ac:dyDescent="0.3">
      <c r="A411" t="s">
        <v>568</v>
      </c>
      <c r="B411" s="453">
        <v>46143</v>
      </c>
      <c r="C411" t="s">
        <v>3568</v>
      </c>
      <c r="D411" t="s">
        <v>3454</v>
      </c>
      <c r="E411" t="s">
        <v>3539</v>
      </c>
      <c r="F411">
        <v>1</v>
      </c>
      <c r="G411">
        <v>12.6</v>
      </c>
      <c r="H411" t="s">
        <v>3470</v>
      </c>
      <c r="J411" t="s">
        <v>3365</v>
      </c>
    </row>
    <row r="412" spans="1:10" x14ac:dyDescent="0.3">
      <c r="A412" t="s">
        <v>568</v>
      </c>
      <c r="B412" s="453">
        <v>46143</v>
      </c>
      <c r="C412" t="s">
        <v>3585</v>
      </c>
      <c r="D412" t="s">
        <v>3454</v>
      </c>
      <c r="E412" t="s">
        <v>3485</v>
      </c>
      <c r="F412">
        <v>10</v>
      </c>
      <c r="G412">
        <v>267</v>
      </c>
      <c r="H412" t="s">
        <v>3470</v>
      </c>
      <c r="J412" t="s">
        <v>3365</v>
      </c>
    </row>
    <row r="413" spans="1:10" x14ac:dyDescent="0.3">
      <c r="A413" t="s">
        <v>568</v>
      </c>
      <c r="B413" s="453">
        <v>46143</v>
      </c>
      <c r="C413" t="s">
        <v>3489</v>
      </c>
      <c r="D413" t="s">
        <v>3454</v>
      </c>
      <c r="E413" t="s">
        <v>3490</v>
      </c>
      <c r="F413">
        <v>16</v>
      </c>
      <c r="G413">
        <v>38.4</v>
      </c>
      <c r="H413" t="s">
        <v>3477</v>
      </c>
      <c r="J413" t="s">
        <v>3365</v>
      </c>
    </row>
    <row r="414" spans="1:10" x14ac:dyDescent="0.3">
      <c r="A414" t="s">
        <v>568</v>
      </c>
      <c r="B414" s="453">
        <v>46143</v>
      </c>
      <c r="C414" t="s">
        <v>3475</v>
      </c>
      <c r="D414" t="s">
        <v>3454</v>
      </c>
      <c r="E414" t="s">
        <v>3476</v>
      </c>
      <c r="F414">
        <v>14</v>
      </c>
      <c r="G414">
        <v>70.98</v>
      </c>
      <c r="H414" t="s">
        <v>3477</v>
      </c>
      <c r="J414" t="s">
        <v>3365</v>
      </c>
    </row>
    <row r="415" spans="1:10" x14ac:dyDescent="0.3">
      <c r="A415" t="s">
        <v>568</v>
      </c>
      <c r="B415" s="453">
        <v>46143</v>
      </c>
      <c r="C415" t="s">
        <v>3546</v>
      </c>
      <c r="D415" t="s">
        <v>3454</v>
      </c>
      <c r="E415" t="s">
        <v>3490</v>
      </c>
      <c r="F415">
        <v>4</v>
      </c>
      <c r="G415">
        <v>9.6</v>
      </c>
      <c r="H415" t="s">
        <v>3477</v>
      </c>
      <c r="J415" t="s">
        <v>3365</v>
      </c>
    </row>
    <row r="416" spans="1:10" x14ac:dyDescent="0.3">
      <c r="A416" t="s">
        <v>568</v>
      </c>
      <c r="B416" s="453">
        <v>46143</v>
      </c>
      <c r="C416" t="s">
        <v>3478</v>
      </c>
      <c r="D416" t="s">
        <v>3454</v>
      </c>
      <c r="E416" t="s">
        <v>3479</v>
      </c>
      <c r="F416">
        <v>2</v>
      </c>
      <c r="G416">
        <v>7.5</v>
      </c>
      <c r="H416" t="s">
        <v>3470</v>
      </c>
      <c r="J416" t="s">
        <v>3365</v>
      </c>
    </row>
    <row r="417" spans="1:10" x14ac:dyDescent="0.3">
      <c r="A417" t="s">
        <v>568</v>
      </c>
      <c r="B417" s="453">
        <v>46143</v>
      </c>
      <c r="C417" t="s">
        <v>3480</v>
      </c>
      <c r="D417" t="s">
        <v>3454</v>
      </c>
      <c r="E417" t="s">
        <v>3476</v>
      </c>
      <c r="F417">
        <v>64</v>
      </c>
      <c r="G417">
        <v>286.08</v>
      </c>
      <c r="H417" t="s">
        <v>3477</v>
      </c>
      <c r="J417" t="s">
        <v>3365</v>
      </c>
    </row>
    <row r="418" spans="1:10" x14ac:dyDescent="0.3">
      <c r="A418" t="s">
        <v>568</v>
      </c>
      <c r="B418" s="453">
        <v>46143</v>
      </c>
      <c r="C418" t="s">
        <v>3560</v>
      </c>
      <c r="D418" t="s">
        <v>3454</v>
      </c>
      <c r="E418" t="s">
        <v>3543</v>
      </c>
      <c r="F418">
        <v>1</v>
      </c>
      <c r="G418">
        <v>1.95</v>
      </c>
      <c r="H418" t="s">
        <v>3470</v>
      </c>
      <c r="J418" t="s">
        <v>3365</v>
      </c>
    </row>
    <row r="419" spans="1:10" x14ac:dyDescent="0.3">
      <c r="A419" t="s">
        <v>568</v>
      </c>
      <c r="B419" s="453">
        <v>46143</v>
      </c>
      <c r="C419" t="s">
        <v>3533</v>
      </c>
      <c r="D419" t="s">
        <v>3454</v>
      </c>
      <c r="E419" t="s">
        <v>3490</v>
      </c>
      <c r="F419">
        <v>1</v>
      </c>
      <c r="G419">
        <v>2.4</v>
      </c>
      <c r="H419" t="s">
        <v>3477</v>
      </c>
      <c r="J419" t="s">
        <v>3365</v>
      </c>
    </row>
    <row r="420" spans="1:10" x14ac:dyDescent="0.3">
      <c r="A420" t="s">
        <v>568</v>
      </c>
      <c r="B420" s="453">
        <v>46143</v>
      </c>
      <c r="C420" t="s">
        <v>3534</v>
      </c>
      <c r="D420" t="s">
        <v>3454</v>
      </c>
      <c r="E420" t="s">
        <v>3497</v>
      </c>
      <c r="F420">
        <v>21</v>
      </c>
      <c r="G420">
        <v>144.9</v>
      </c>
      <c r="H420" t="s">
        <v>3477</v>
      </c>
      <c r="J420" t="s">
        <v>3365</v>
      </c>
    </row>
    <row r="421" spans="1:10" x14ac:dyDescent="0.3">
      <c r="A421" t="s">
        <v>568</v>
      </c>
      <c r="B421" s="453">
        <v>46143</v>
      </c>
      <c r="C421" t="s">
        <v>3590</v>
      </c>
      <c r="D421" t="s">
        <v>3454</v>
      </c>
      <c r="E421" t="s">
        <v>3591</v>
      </c>
      <c r="F421">
        <v>2</v>
      </c>
      <c r="G421">
        <v>23.4</v>
      </c>
      <c r="H421" t="s">
        <v>3477</v>
      </c>
      <c r="J421" t="s">
        <v>3365</v>
      </c>
    </row>
    <row r="422" spans="1:10" x14ac:dyDescent="0.3">
      <c r="A422" t="s">
        <v>568</v>
      </c>
      <c r="B422" s="453">
        <v>46143</v>
      </c>
      <c r="C422" t="s">
        <v>3555</v>
      </c>
      <c r="D422" t="s">
        <v>3454</v>
      </c>
      <c r="E422" t="s">
        <v>3469</v>
      </c>
      <c r="F422">
        <v>3</v>
      </c>
      <c r="G422">
        <v>53.1</v>
      </c>
      <c r="H422" t="s">
        <v>3470</v>
      </c>
      <c r="J422" t="s">
        <v>3365</v>
      </c>
    </row>
    <row r="423" spans="1:10" x14ac:dyDescent="0.3">
      <c r="A423" t="s">
        <v>568</v>
      </c>
      <c r="B423" s="453">
        <v>46143</v>
      </c>
      <c r="C423" t="s">
        <v>3531</v>
      </c>
      <c r="D423" t="s">
        <v>3454</v>
      </c>
      <c r="E423" t="s">
        <v>3497</v>
      </c>
      <c r="F423">
        <v>1</v>
      </c>
      <c r="G423">
        <v>11.7</v>
      </c>
      <c r="H423" t="s">
        <v>3477</v>
      </c>
      <c r="J423" t="s">
        <v>3365</v>
      </c>
    </row>
    <row r="424" spans="1:10" x14ac:dyDescent="0.3">
      <c r="A424" t="s">
        <v>568</v>
      </c>
      <c r="B424" s="453">
        <v>46143</v>
      </c>
      <c r="C424" t="s">
        <v>3532</v>
      </c>
      <c r="D424" t="s">
        <v>3454</v>
      </c>
      <c r="E424" t="s">
        <v>3497</v>
      </c>
      <c r="F424">
        <v>3</v>
      </c>
      <c r="G424">
        <v>22.5</v>
      </c>
      <c r="H424" t="s">
        <v>3477</v>
      </c>
      <c r="J424" t="s">
        <v>3365</v>
      </c>
    </row>
    <row r="425" spans="1:10" x14ac:dyDescent="0.3">
      <c r="A425" t="s">
        <v>568</v>
      </c>
      <c r="B425" s="453">
        <v>46143</v>
      </c>
      <c r="C425" t="s">
        <v>3481</v>
      </c>
      <c r="D425" t="s">
        <v>3454</v>
      </c>
      <c r="E425" t="s">
        <v>3469</v>
      </c>
      <c r="F425">
        <v>6</v>
      </c>
      <c r="G425">
        <v>97.2</v>
      </c>
      <c r="H425" t="s">
        <v>3470</v>
      </c>
      <c r="J425" t="s">
        <v>3365</v>
      </c>
    </row>
    <row r="426" spans="1:10" x14ac:dyDescent="0.3">
      <c r="A426" t="s">
        <v>568</v>
      </c>
      <c r="B426" s="453">
        <v>46143</v>
      </c>
      <c r="C426" t="s">
        <v>3496</v>
      </c>
      <c r="D426" t="s">
        <v>3454</v>
      </c>
      <c r="E426" t="s">
        <v>3497</v>
      </c>
      <c r="F426">
        <v>3</v>
      </c>
      <c r="G426">
        <v>22.5</v>
      </c>
      <c r="H426" t="s">
        <v>3477</v>
      </c>
      <c r="J426" t="s">
        <v>3365</v>
      </c>
    </row>
    <row r="427" spans="1:10" x14ac:dyDescent="0.3">
      <c r="A427" t="s">
        <v>568</v>
      </c>
      <c r="B427" s="453">
        <v>46143</v>
      </c>
      <c r="C427" t="s">
        <v>3564</v>
      </c>
      <c r="D427" t="s">
        <v>3454</v>
      </c>
      <c r="E427" t="s">
        <v>3497</v>
      </c>
      <c r="F427">
        <v>1</v>
      </c>
      <c r="G427">
        <v>11.7</v>
      </c>
      <c r="H427" t="s">
        <v>3477</v>
      </c>
      <c r="J427" t="s">
        <v>3365</v>
      </c>
    </row>
    <row r="428" spans="1:10" x14ac:dyDescent="0.3">
      <c r="A428" t="s">
        <v>568</v>
      </c>
      <c r="B428" s="453">
        <v>46143</v>
      </c>
      <c r="C428" t="s">
        <v>3540</v>
      </c>
      <c r="D428" t="s">
        <v>3454</v>
      </c>
      <c r="E428" t="s">
        <v>3539</v>
      </c>
      <c r="F428">
        <v>4</v>
      </c>
      <c r="G428">
        <v>54</v>
      </c>
      <c r="H428" t="s">
        <v>3470</v>
      </c>
      <c r="J428" t="s">
        <v>3365</v>
      </c>
    </row>
    <row r="429" spans="1:10" x14ac:dyDescent="0.3">
      <c r="A429" t="s">
        <v>568</v>
      </c>
      <c r="B429" s="453">
        <v>46143</v>
      </c>
      <c r="C429" t="s">
        <v>3562</v>
      </c>
      <c r="D429" t="s">
        <v>3454</v>
      </c>
      <c r="E429" t="s">
        <v>3563</v>
      </c>
      <c r="F429">
        <v>1</v>
      </c>
      <c r="G429">
        <v>23.7</v>
      </c>
      <c r="H429" t="s">
        <v>3470</v>
      </c>
      <c r="J429" t="s">
        <v>3365</v>
      </c>
    </row>
    <row r="430" spans="1:10" x14ac:dyDescent="0.3">
      <c r="A430" t="s">
        <v>568</v>
      </c>
      <c r="B430" s="453">
        <v>46143</v>
      </c>
      <c r="C430" t="s">
        <v>3592</v>
      </c>
      <c r="D430" t="s">
        <v>3454</v>
      </c>
      <c r="E430" t="s">
        <v>3497</v>
      </c>
      <c r="F430">
        <v>1</v>
      </c>
      <c r="G430">
        <v>11.7</v>
      </c>
      <c r="H430" t="s">
        <v>3477</v>
      </c>
      <c r="J430" t="s">
        <v>3365</v>
      </c>
    </row>
    <row r="431" spans="1:10" x14ac:dyDescent="0.3">
      <c r="A431" t="s">
        <v>568</v>
      </c>
      <c r="B431" s="453">
        <v>46143</v>
      </c>
      <c r="C431" t="s">
        <v>3582</v>
      </c>
      <c r="D431" t="s">
        <v>3454</v>
      </c>
      <c r="E431" t="s">
        <v>3545</v>
      </c>
      <c r="F431">
        <v>1</v>
      </c>
      <c r="G431">
        <v>15.6</v>
      </c>
      <c r="H431" t="s">
        <v>3470</v>
      </c>
      <c r="J431" t="s">
        <v>3365</v>
      </c>
    </row>
    <row r="432" spans="1:10" x14ac:dyDescent="0.3">
      <c r="A432" t="s">
        <v>568</v>
      </c>
      <c r="B432" s="453">
        <v>46143</v>
      </c>
      <c r="C432" t="s">
        <v>3541</v>
      </c>
      <c r="D432" t="s">
        <v>3454</v>
      </c>
      <c r="E432" t="s">
        <v>3469</v>
      </c>
      <c r="F432">
        <v>1</v>
      </c>
      <c r="G432">
        <v>18.600000000000001</v>
      </c>
      <c r="H432" t="s">
        <v>3470</v>
      </c>
      <c r="J432" t="s">
        <v>3365</v>
      </c>
    </row>
    <row r="433" spans="1:10" x14ac:dyDescent="0.3">
      <c r="A433" t="s">
        <v>568</v>
      </c>
      <c r="B433" s="453">
        <v>46143</v>
      </c>
      <c r="C433" t="s">
        <v>3574</v>
      </c>
      <c r="D433" t="s">
        <v>3454</v>
      </c>
      <c r="E433" t="s">
        <v>3490</v>
      </c>
      <c r="F433">
        <v>2</v>
      </c>
      <c r="G433">
        <v>4.8</v>
      </c>
      <c r="H433" t="s">
        <v>3477</v>
      </c>
      <c r="J433" t="s">
        <v>3365</v>
      </c>
    </row>
    <row r="434" spans="1:10" x14ac:dyDescent="0.3">
      <c r="A434" t="s">
        <v>568</v>
      </c>
      <c r="B434" s="453">
        <v>46143</v>
      </c>
      <c r="C434" t="s">
        <v>3500</v>
      </c>
      <c r="D434" t="s">
        <v>3454</v>
      </c>
      <c r="E434" t="s">
        <v>3501</v>
      </c>
      <c r="F434">
        <v>4</v>
      </c>
      <c r="G434">
        <v>9.6</v>
      </c>
      <c r="H434" t="s">
        <v>3477</v>
      </c>
      <c r="J434" t="s">
        <v>3365</v>
      </c>
    </row>
    <row r="435" spans="1:10" x14ac:dyDescent="0.3">
      <c r="A435" t="s">
        <v>568</v>
      </c>
      <c r="B435" s="453">
        <v>46143</v>
      </c>
      <c r="C435" t="s">
        <v>3494</v>
      </c>
      <c r="D435" t="s">
        <v>3454</v>
      </c>
      <c r="E435" t="s">
        <v>3495</v>
      </c>
      <c r="F435">
        <v>18</v>
      </c>
      <c r="G435">
        <v>113.4</v>
      </c>
      <c r="H435" t="s">
        <v>3470</v>
      </c>
      <c r="J435" t="s">
        <v>3365</v>
      </c>
    </row>
    <row r="436" spans="1:10" x14ac:dyDescent="0.3">
      <c r="A436" t="s">
        <v>568</v>
      </c>
      <c r="B436" s="453">
        <v>46174</v>
      </c>
      <c r="C436" t="s">
        <v>3483</v>
      </c>
      <c r="D436" t="s">
        <v>3451</v>
      </c>
      <c r="E436" t="s">
        <v>3469</v>
      </c>
      <c r="F436">
        <v>2</v>
      </c>
      <c r="G436">
        <v>50.4</v>
      </c>
      <c r="H436" t="s">
        <v>3470</v>
      </c>
      <c r="J436" t="s">
        <v>3364</v>
      </c>
    </row>
    <row r="437" spans="1:10" x14ac:dyDescent="0.3">
      <c r="A437" t="s">
        <v>568</v>
      </c>
      <c r="B437" s="453">
        <v>46174</v>
      </c>
      <c r="C437" t="s">
        <v>3564</v>
      </c>
      <c r="D437" t="s">
        <v>3451</v>
      </c>
      <c r="E437" t="s">
        <v>3497</v>
      </c>
      <c r="F437">
        <v>1</v>
      </c>
      <c r="G437">
        <v>11.7</v>
      </c>
      <c r="H437" t="s">
        <v>3477</v>
      </c>
      <c r="J437" t="s">
        <v>3364</v>
      </c>
    </row>
    <row r="438" spans="1:10" x14ac:dyDescent="0.3">
      <c r="A438" t="s">
        <v>568</v>
      </c>
      <c r="B438" s="453">
        <v>46174</v>
      </c>
      <c r="C438" t="s">
        <v>3585</v>
      </c>
      <c r="D438" t="s">
        <v>3451</v>
      </c>
      <c r="E438" t="s">
        <v>3485</v>
      </c>
      <c r="F438">
        <v>1</v>
      </c>
      <c r="G438">
        <v>26.7</v>
      </c>
      <c r="H438" t="s">
        <v>3470</v>
      </c>
      <c r="J438" t="s">
        <v>3364</v>
      </c>
    </row>
    <row r="439" spans="1:10" x14ac:dyDescent="0.3">
      <c r="A439" t="s">
        <v>568</v>
      </c>
      <c r="B439" s="453">
        <v>46174</v>
      </c>
      <c r="C439" t="s">
        <v>3491</v>
      </c>
      <c r="D439" t="s">
        <v>3451</v>
      </c>
      <c r="E439" t="s">
        <v>3490</v>
      </c>
      <c r="F439">
        <v>1</v>
      </c>
      <c r="G439">
        <v>1.8</v>
      </c>
      <c r="H439" t="s">
        <v>3477</v>
      </c>
      <c r="J439" t="s">
        <v>3364</v>
      </c>
    </row>
    <row r="440" spans="1:10" x14ac:dyDescent="0.3">
      <c r="A440" t="s">
        <v>568</v>
      </c>
      <c r="B440" s="453">
        <v>46174</v>
      </c>
      <c r="C440" t="s">
        <v>3486</v>
      </c>
      <c r="D440" t="s">
        <v>3452</v>
      </c>
      <c r="E440" t="s">
        <v>3485</v>
      </c>
      <c r="F440">
        <v>4</v>
      </c>
      <c r="G440">
        <v>117.6</v>
      </c>
      <c r="H440" t="s">
        <v>3470</v>
      </c>
      <c r="J440" t="s">
        <v>3364</v>
      </c>
    </row>
    <row r="441" spans="1:10" x14ac:dyDescent="0.3">
      <c r="A441" t="s">
        <v>568</v>
      </c>
      <c r="B441" s="453">
        <v>46174</v>
      </c>
      <c r="C441" t="s">
        <v>3564</v>
      </c>
      <c r="D441" t="s">
        <v>3452</v>
      </c>
      <c r="E441" t="s">
        <v>3497</v>
      </c>
      <c r="F441">
        <v>3</v>
      </c>
      <c r="G441">
        <v>35.1</v>
      </c>
      <c r="H441" t="s">
        <v>3477</v>
      </c>
      <c r="J441" t="s">
        <v>3364</v>
      </c>
    </row>
    <row r="442" spans="1:10" x14ac:dyDescent="0.3">
      <c r="A442" t="s">
        <v>568</v>
      </c>
      <c r="B442" s="453">
        <v>46174</v>
      </c>
      <c r="C442" t="s">
        <v>3562</v>
      </c>
      <c r="D442" t="s">
        <v>3452</v>
      </c>
      <c r="E442" t="s">
        <v>3563</v>
      </c>
      <c r="F442">
        <v>1</v>
      </c>
      <c r="G442">
        <v>23.7</v>
      </c>
      <c r="H442" t="s">
        <v>3470</v>
      </c>
      <c r="J442" t="s">
        <v>3364</v>
      </c>
    </row>
    <row r="443" spans="1:10" x14ac:dyDescent="0.3">
      <c r="A443" t="s">
        <v>568</v>
      </c>
      <c r="B443" s="453">
        <v>46174</v>
      </c>
      <c r="C443" t="s">
        <v>3500</v>
      </c>
      <c r="D443" t="s">
        <v>3452</v>
      </c>
      <c r="E443" t="s">
        <v>3501</v>
      </c>
      <c r="F443">
        <v>4</v>
      </c>
      <c r="G443">
        <v>9.6</v>
      </c>
      <c r="H443" t="s">
        <v>3477</v>
      </c>
      <c r="J443" t="s">
        <v>3364</v>
      </c>
    </row>
    <row r="444" spans="1:10" x14ac:dyDescent="0.3">
      <c r="A444" t="s">
        <v>568</v>
      </c>
      <c r="B444" s="453">
        <v>46174</v>
      </c>
      <c r="C444" t="s">
        <v>3494</v>
      </c>
      <c r="D444" t="s">
        <v>3452</v>
      </c>
      <c r="E444" t="s">
        <v>3495</v>
      </c>
      <c r="F444">
        <v>1</v>
      </c>
      <c r="G444">
        <v>6.3</v>
      </c>
      <c r="H444" t="s">
        <v>3470</v>
      </c>
      <c r="J444" t="s">
        <v>3364</v>
      </c>
    </row>
    <row r="445" spans="1:10" x14ac:dyDescent="0.3">
      <c r="A445" t="s">
        <v>568</v>
      </c>
      <c r="B445" s="453">
        <v>46174</v>
      </c>
      <c r="C445" t="s">
        <v>3534</v>
      </c>
      <c r="D445" t="s">
        <v>3452</v>
      </c>
      <c r="E445" t="s">
        <v>3497</v>
      </c>
      <c r="F445">
        <v>1</v>
      </c>
      <c r="G445">
        <v>6.9</v>
      </c>
      <c r="H445" t="s">
        <v>3477</v>
      </c>
      <c r="J445" t="s">
        <v>3364</v>
      </c>
    </row>
    <row r="446" spans="1:10" x14ac:dyDescent="0.3">
      <c r="A446" t="s">
        <v>568</v>
      </c>
      <c r="B446" s="453">
        <v>46174</v>
      </c>
      <c r="C446" t="s">
        <v>3489</v>
      </c>
      <c r="D446" t="s">
        <v>3452</v>
      </c>
      <c r="E446" t="s">
        <v>3490</v>
      </c>
      <c r="F446">
        <v>2</v>
      </c>
      <c r="G446">
        <v>4.8</v>
      </c>
      <c r="H446" t="s">
        <v>3477</v>
      </c>
      <c r="J446" t="s">
        <v>3364</v>
      </c>
    </row>
    <row r="447" spans="1:10" x14ac:dyDescent="0.3">
      <c r="A447" t="s">
        <v>568</v>
      </c>
      <c r="B447" s="453">
        <v>46174</v>
      </c>
      <c r="C447" t="s">
        <v>3491</v>
      </c>
      <c r="D447" t="s">
        <v>3452</v>
      </c>
      <c r="E447" t="s">
        <v>3490</v>
      </c>
      <c r="F447">
        <v>6</v>
      </c>
      <c r="G447">
        <v>10.8</v>
      </c>
      <c r="H447" t="s">
        <v>3477</v>
      </c>
      <c r="J447" t="s">
        <v>3364</v>
      </c>
    </row>
    <row r="448" spans="1:10" x14ac:dyDescent="0.3">
      <c r="A448" t="s">
        <v>568</v>
      </c>
      <c r="B448" s="453">
        <v>46174</v>
      </c>
      <c r="C448" t="s">
        <v>3511</v>
      </c>
      <c r="D448" t="s">
        <v>3452</v>
      </c>
      <c r="E448" t="s">
        <v>3469</v>
      </c>
      <c r="F448">
        <v>1</v>
      </c>
      <c r="G448">
        <v>41.4</v>
      </c>
      <c r="H448" t="s">
        <v>3470</v>
      </c>
      <c r="J448" t="s">
        <v>3364</v>
      </c>
    </row>
    <row r="449" spans="1:10" x14ac:dyDescent="0.3">
      <c r="A449" t="s">
        <v>568</v>
      </c>
      <c r="B449" s="453">
        <v>46174</v>
      </c>
      <c r="C449" t="s">
        <v>3484</v>
      </c>
      <c r="D449" t="s">
        <v>3452</v>
      </c>
      <c r="E449" t="s">
        <v>3485</v>
      </c>
      <c r="F449">
        <v>6</v>
      </c>
      <c r="G449">
        <v>124.2</v>
      </c>
      <c r="H449" t="s">
        <v>3470</v>
      </c>
      <c r="J449" t="s">
        <v>3364</v>
      </c>
    </row>
    <row r="450" spans="1:10" x14ac:dyDescent="0.3">
      <c r="A450" t="s">
        <v>568</v>
      </c>
      <c r="B450" s="453">
        <v>46174</v>
      </c>
      <c r="C450" t="s">
        <v>3483</v>
      </c>
      <c r="D450" t="s">
        <v>3452</v>
      </c>
      <c r="E450" t="s">
        <v>3469</v>
      </c>
      <c r="F450">
        <v>2</v>
      </c>
      <c r="G450">
        <v>50.4</v>
      </c>
      <c r="H450" t="s">
        <v>3470</v>
      </c>
      <c r="J450" t="s">
        <v>3364</v>
      </c>
    </row>
    <row r="451" spans="1:10" x14ac:dyDescent="0.3">
      <c r="A451" t="s">
        <v>568</v>
      </c>
      <c r="B451" s="453">
        <v>46174</v>
      </c>
      <c r="C451" t="s">
        <v>3551</v>
      </c>
      <c r="D451" t="s">
        <v>3452</v>
      </c>
      <c r="E451" t="s">
        <v>3490</v>
      </c>
      <c r="F451">
        <v>1</v>
      </c>
      <c r="G451">
        <v>2.4</v>
      </c>
      <c r="H451" t="s">
        <v>3477</v>
      </c>
      <c r="J451" t="s">
        <v>3364</v>
      </c>
    </row>
    <row r="452" spans="1:10" x14ac:dyDescent="0.3">
      <c r="A452" t="s">
        <v>568</v>
      </c>
      <c r="B452" s="453">
        <v>46174</v>
      </c>
      <c r="C452" t="s">
        <v>3502</v>
      </c>
      <c r="D452" t="s">
        <v>3453</v>
      </c>
      <c r="E452" t="s">
        <v>3503</v>
      </c>
      <c r="F452">
        <v>1</v>
      </c>
      <c r="G452">
        <v>25.2</v>
      </c>
      <c r="H452" t="s">
        <v>3470</v>
      </c>
      <c r="J452" t="s">
        <v>3364</v>
      </c>
    </row>
    <row r="453" spans="1:10" x14ac:dyDescent="0.3">
      <c r="A453" t="s">
        <v>568</v>
      </c>
      <c r="B453" s="453">
        <v>46174</v>
      </c>
      <c r="C453" t="s">
        <v>3593</v>
      </c>
      <c r="D453" t="s">
        <v>3453</v>
      </c>
      <c r="E453" t="s">
        <v>3469</v>
      </c>
      <c r="F453">
        <v>1</v>
      </c>
      <c r="G453">
        <v>13.5</v>
      </c>
      <c r="H453" t="s">
        <v>3470</v>
      </c>
      <c r="J453" t="s">
        <v>3364</v>
      </c>
    </row>
    <row r="454" spans="1:10" x14ac:dyDescent="0.3">
      <c r="A454" t="s">
        <v>568</v>
      </c>
      <c r="B454" s="453">
        <v>46174</v>
      </c>
      <c r="C454" t="s">
        <v>3480</v>
      </c>
      <c r="D454" t="s">
        <v>3453</v>
      </c>
      <c r="E454" t="s">
        <v>3476</v>
      </c>
      <c r="F454">
        <v>31</v>
      </c>
      <c r="G454">
        <v>138.57</v>
      </c>
      <c r="H454" t="s">
        <v>3477</v>
      </c>
      <c r="J454" t="s">
        <v>3364</v>
      </c>
    </row>
    <row r="455" spans="1:10" x14ac:dyDescent="0.3">
      <c r="A455" t="s">
        <v>568</v>
      </c>
      <c r="B455" s="453">
        <v>46174</v>
      </c>
      <c r="C455" t="s">
        <v>3594</v>
      </c>
      <c r="D455" t="s">
        <v>3453</v>
      </c>
      <c r="E455" t="s">
        <v>3539</v>
      </c>
      <c r="F455">
        <v>1</v>
      </c>
      <c r="G455">
        <v>11.7</v>
      </c>
      <c r="H455" t="s">
        <v>3470</v>
      </c>
      <c r="J455" t="s">
        <v>3364</v>
      </c>
    </row>
    <row r="456" spans="1:10" x14ac:dyDescent="0.3">
      <c r="A456" t="s">
        <v>568</v>
      </c>
      <c r="B456" s="453">
        <v>46174</v>
      </c>
      <c r="C456" t="s">
        <v>3564</v>
      </c>
      <c r="D456" t="s">
        <v>3453</v>
      </c>
      <c r="E456" t="s">
        <v>3497</v>
      </c>
      <c r="F456">
        <v>1</v>
      </c>
      <c r="G456">
        <v>11.7</v>
      </c>
      <c r="H456" t="s">
        <v>3477</v>
      </c>
      <c r="J456" t="s">
        <v>3364</v>
      </c>
    </row>
    <row r="457" spans="1:10" x14ac:dyDescent="0.3">
      <c r="A457" t="s">
        <v>568</v>
      </c>
      <c r="B457" s="453">
        <v>46174</v>
      </c>
      <c r="C457" t="s">
        <v>3481</v>
      </c>
      <c r="D457" t="s">
        <v>3453</v>
      </c>
      <c r="E457" t="s">
        <v>3469</v>
      </c>
      <c r="F457">
        <v>1</v>
      </c>
      <c r="G457">
        <v>16.2</v>
      </c>
      <c r="H457" t="s">
        <v>3470</v>
      </c>
      <c r="J457" t="s">
        <v>3364</v>
      </c>
    </row>
    <row r="458" spans="1:10" x14ac:dyDescent="0.3">
      <c r="A458" t="s">
        <v>568</v>
      </c>
      <c r="B458" s="453">
        <v>46174</v>
      </c>
      <c r="C458" t="s">
        <v>3531</v>
      </c>
      <c r="D458" t="s">
        <v>3453</v>
      </c>
      <c r="E458" t="s">
        <v>3497</v>
      </c>
      <c r="F458">
        <v>1</v>
      </c>
      <c r="G458">
        <v>11.7</v>
      </c>
      <c r="H458" t="s">
        <v>3477</v>
      </c>
      <c r="J458" t="s">
        <v>3364</v>
      </c>
    </row>
    <row r="459" spans="1:10" x14ac:dyDescent="0.3">
      <c r="A459" t="s">
        <v>568</v>
      </c>
      <c r="B459" s="453">
        <v>46174</v>
      </c>
      <c r="C459" t="s">
        <v>3482</v>
      </c>
      <c r="D459" t="s">
        <v>3453</v>
      </c>
      <c r="E459" t="s">
        <v>3469</v>
      </c>
      <c r="F459">
        <v>1</v>
      </c>
      <c r="G459">
        <v>6.9</v>
      </c>
      <c r="H459" t="s">
        <v>3470</v>
      </c>
      <c r="J459" t="s">
        <v>3364</v>
      </c>
    </row>
    <row r="460" spans="1:10" x14ac:dyDescent="0.3">
      <c r="A460" t="s">
        <v>568</v>
      </c>
      <c r="B460" s="453">
        <v>46174</v>
      </c>
      <c r="C460" t="s">
        <v>3484</v>
      </c>
      <c r="D460" t="s">
        <v>3453</v>
      </c>
      <c r="E460" t="s">
        <v>3485</v>
      </c>
      <c r="F460">
        <v>1</v>
      </c>
      <c r="G460">
        <v>20.7</v>
      </c>
      <c r="H460" t="s">
        <v>3470</v>
      </c>
      <c r="J460" t="s">
        <v>3364</v>
      </c>
    </row>
    <row r="461" spans="1:10" x14ac:dyDescent="0.3">
      <c r="A461" t="s">
        <v>568</v>
      </c>
      <c r="B461" s="453">
        <v>46174</v>
      </c>
      <c r="C461" t="s">
        <v>3550</v>
      </c>
      <c r="D461" t="s">
        <v>3453</v>
      </c>
      <c r="E461" t="s">
        <v>3490</v>
      </c>
      <c r="F461">
        <v>1</v>
      </c>
      <c r="G461">
        <v>2.4</v>
      </c>
      <c r="H461" t="s">
        <v>3477</v>
      </c>
      <c r="J461" t="s">
        <v>3364</v>
      </c>
    </row>
    <row r="462" spans="1:10" x14ac:dyDescent="0.3">
      <c r="A462" t="s">
        <v>568</v>
      </c>
      <c r="B462" s="453">
        <v>46174</v>
      </c>
      <c r="C462" t="s">
        <v>3548</v>
      </c>
      <c r="D462" t="s">
        <v>3453</v>
      </c>
      <c r="E462" t="s">
        <v>3503</v>
      </c>
      <c r="F462">
        <v>1</v>
      </c>
      <c r="G462">
        <v>18</v>
      </c>
      <c r="H462" t="s">
        <v>3470</v>
      </c>
      <c r="J462" t="s">
        <v>3364</v>
      </c>
    </row>
    <row r="463" spans="1:10" x14ac:dyDescent="0.3">
      <c r="A463" t="s">
        <v>568</v>
      </c>
      <c r="B463" s="453">
        <v>46174</v>
      </c>
      <c r="C463" t="s">
        <v>3586</v>
      </c>
      <c r="D463" t="s">
        <v>3453</v>
      </c>
      <c r="E463" t="s">
        <v>3476</v>
      </c>
      <c r="F463">
        <v>25</v>
      </c>
      <c r="G463">
        <v>89.25</v>
      </c>
      <c r="H463" t="s">
        <v>3477</v>
      </c>
      <c r="J463" t="s">
        <v>3364</v>
      </c>
    </row>
    <row r="464" spans="1:10" x14ac:dyDescent="0.3">
      <c r="A464" t="s">
        <v>568</v>
      </c>
      <c r="B464" s="453">
        <v>46174</v>
      </c>
      <c r="C464" t="s">
        <v>3547</v>
      </c>
      <c r="D464" t="s">
        <v>3453</v>
      </c>
      <c r="E464" t="s">
        <v>3490</v>
      </c>
      <c r="F464">
        <v>1</v>
      </c>
      <c r="G464">
        <v>1.8</v>
      </c>
      <c r="H464" t="s">
        <v>3477</v>
      </c>
      <c r="J464" t="s">
        <v>3364</v>
      </c>
    </row>
    <row r="465" spans="1:10" x14ac:dyDescent="0.3">
      <c r="A465" t="s">
        <v>568</v>
      </c>
      <c r="B465" s="453">
        <v>46174</v>
      </c>
      <c r="C465" t="s">
        <v>3512</v>
      </c>
      <c r="D465" t="s">
        <v>3453</v>
      </c>
      <c r="E465" t="s">
        <v>3469</v>
      </c>
      <c r="F465">
        <v>1</v>
      </c>
      <c r="G465">
        <v>14.7</v>
      </c>
      <c r="H465" t="s">
        <v>3470</v>
      </c>
      <c r="J465" t="s">
        <v>3364</v>
      </c>
    </row>
    <row r="466" spans="1:10" x14ac:dyDescent="0.3">
      <c r="A466" t="s">
        <v>568</v>
      </c>
      <c r="B466" s="453">
        <v>46174</v>
      </c>
      <c r="C466" t="s">
        <v>3556</v>
      </c>
      <c r="D466" t="s">
        <v>3453</v>
      </c>
      <c r="E466" t="s">
        <v>3545</v>
      </c>
      <c r="F466">
        <v>1</v>
      </c>
      <c r="G466">
        <v>15.6</v>
      </c>
      <c r="J466" t="s">
        <v>3364</v>
      </c>
    </row>
    <row r="467" spans="1:10" x14ac:dyDescent="0.3">
      <c r="A467" t="s">
        <v>568</v>
      </c>
      <c r="B467" s="453">
        <v>46174</v>
      </c>
      <c r="C467" t="s">
        <v>3511</v>
      </c>
      <c r="D467" t="s">
        <v>3453</v>
      </c>
      <c r="E467" t="s">
        <v>3469</v>
      </c>
      <c r="F467">
        <v>1</v>
      </c>
      <c r="G467">
        <v>41.4</v>
      </c>
      <c r="H467" t="s">
        <v>3470</v>
      </c>
      <c r="J467" t="s">
        <v>3364</v>
      </c>
    </row>
    <row r="468" spans="1:10" x14ac:dyDescent="0.3">
      <c r="A468" t="s">
        <v>568</v>
      </c>
      <c r="B468" s="453">
        <v>46174</v>
      </c>
      <c r="C468" t="s">
        <v>3517</v>
      </c>
      <c r="D468" t="s">
        <v>3453</v>
      </c>
      <c r="E468" t="s">
        <v>3472</v>
      </c>
      <c r="F468">
        <v>1</v>
      </c>
      <c r="G468">
        <v>5.0999999999999996</v>
      </c>
      <c r="H468" t="s">
        <v>3470</v>
      </c>
      <c r="J468" t="s">
        <v>3364</v>
      </c>
    </row>
    <row r="469" spans="1:10" x14ac:dyDescent="0.3">
      <c r="A469" t="s">
        <v>568</v>
      </c>
      <c r="B469" s="453">
        <v>46174</v>
      </c>
      <c r="C469" t="s">
        <v>3595</v>
      </c>
      <c r="D469" t="s">
        <v>3454</v>
      </c>
      <c r="E469" t="s">
        <v>3596</v>
      </c>
      <c r="F469">
        <v>1</v>
      </c>
      <c r="G469">
        <v>7.5</v>
      </c>
      <c r="H469" t="s">
        <v>3477</v>
      </c>
      <c r="J469" t="s">
        <v>3364</v>
      </c>
    </row>
    <row r="470" spans="1:10" x14ac:dyDescent="0.3">
      <c r="A470" t="s">
        <v>568</v>
      </c>
      <c r="B470" s="453">
        <v>46174</v>
      </c>
      <c r="C470" t="s">
        <v>3488</v>
      </c>
      <c r="D470" t="s">
        <v>3454</v>
      </c>
      <c r="E470" t="s">
        <v>3545</v>
      </c>
      <c r="F470">
        <v>5</v>
      </c>
      <c r="G470">
        <v>78</v>
      </c>
      <c r="J470" t="s">
        <v>3364</v>
      </c>
    </row>
    <row r="471" spans="1:10" x14ac:dyDescent="0.3">
      <c r="A471" t="s">
        <v>568</v>
      </c>
      <c r="B471" s="453">
        <v>46174</v>
      </c>
      <c r="C471" t="s">
        <v>3597</v>
      </c>
      <c r="D471" t="s">
        <v>3454</v>
      </c>
      <c r="E471" t="s">
        <v>3598</v>
      </c>
      <c r="F471">
        <v>3</v>
      </c>
      <c r="G471">
        <v>11.7</v>
      </c>
      <c r="H471" t="s">
        <v>3477</v>
      </c>
      <c r="J471" t="s">
        <v>3364</v>
      </c>
    </row>
    <row r="472" spans="1:10" x14ac:dyDescent="0.3">
      <c r="A472" t="s">
        <v>568</v>
      </c>
      <c r="B472" s="453">
        <v>46174</v>
      </c>
      <c r="C472" t="s">
        <v>3482</v>
      </c>
      <c r="D472" t="s">
        <v>3454</v>
      </c>
      <c r="E472" t="s">
        <v>3469</v>
      </c>
      <c r="F472">
        <v>4</v>
      </c>
      <c r="G472">
        <v>6.9</v>
      </c>
      <c r="H472" t="s">
        <v>3470</v>
      </c>
      <c r="J472" t="s">
        <v>3364</v>
      </c>
    </row>
    <row r="473" spans="1:10" x14ac:dyDescent="0.3">
      <c r="A473" t="s">
        <v>568</v>
      </c>
      <c r="B473" s="453">
        <v>46174</v>
      </c>
      <c r="C473" t="s">
        <v>3524</v>
      </c>
      <c r="D473" t="s">
        <v>3454</v>
      </c>
      <c r="E473" t="s">
        <v>3476</v>
      </c>
      <c r="F473">
        <v>56</v>
      </c>
      <c r="G473">
        <v>0</v>
      </c>
      <c r="H473" t="s">
        <v>3477</v>
      </c>
      <c r="J473" t="s">
        <v>3364</v>
      </c>
    </row>
    <row r="474" spans="1:10" x14ac:dyDescent="0.3">
      <c r="A474" t="s">
        <v>568</v>
      </c>
      <c r="B474" s="453">
        <v>46174</v>
      </c>
      <c r="C474" t="s">
        <v>3483</v>
      </c>
      <c r="D474" t="s">
        <v>3454</v>
      </c>
      <c r="E474" t="s">
        <v>3469</v>
      </c>
      <c r="F474">
        <v>20</v>
      </c>
      <c r="G474">
        <v>504</v>
      </c>
      <c r="H474" t="s">
        <v>3470</v>
      </c>
      <c r="J474" t="s">
        <v>3364</v>
      </c>
    </row>
    <row r="475" spans="1:10" x14ac:dyDescent="0.3">
      <c r="A475" t="s">
        <v>568</v>
      </c>
      <c r="B475" s="453">
        <v>46174</v>
      </c>
      <c r="C475" t="s">
        <v>3599</v>
      </c>
      <c r="D475" t="s">
        <v>3454</v>
      </c>
      <c r="E475" t="s">
        <v>3503</v>
      </c>
      <c r="F475">
        <v>8</v>
      </c>
      <c r="G475">
        <v>79.2</v>
      </c>
      <c r="H475" t="s">
        <v>3470</v>
      </c>
      <c r="J475" t="s">
        <v>3364</v>
      </c>
    </row>
    <row r="476" spans="1:10" x14ac:dyDescent="0.3">
      <c r="A476" t="s">
        <v>568</v>
      </c>
      <c r="B476" s="453">
        <v>46174</v>
      </c>
      <c r="C476" t="s">
        <v>3468</v>
      </c>
      <c r="D476" t="s">
        <v>3454</v>
      </c>
      <c r="E476" t="s">
        <v>3469</v>
      </c>
      <c r="F476">
        <v>8</v>
      </c>
      <c r="G476">
        <v>115.2</v>
      </c>
      <c r="H476" t="s">
        <v>3470</v>
      </c>
      <c r="J476" t="s">
        <v>3364</v>
      </c>
    </row>
    <row r="477" spans="1:10" x14ac:dyDescent="0.3">
      <c r="A477" t="s">
        <v>568</v>
      </c>
      <c r="B477" s="453">
        <v>46174</v>
      </c>
      <c r="C477" t="s">
        <v>3577</v>
      </c>
      <c r="D477" t="s">
        <v>3454</v>
      </c>
      <c r="E477" t="s">
        <v>3472</v>
      </c>
      <c r="F477">
        <v>1</v>
      </c>
      <c r="G477">
        <v>8.1</v>
      </c>
      <c r="H477" t="s">
        <v>3470</v>
      </c>
      <c r="J477" t="s">
        <v>3364</v>
      </c>
    </row>
    <row r="478" spans="1:10" x14ac:dyDescent="0.3">
      <c r="A478" t="s">
        <v>568</v>
      </c>
      <c r="B478" s="453">
        <v>46174</v>
      </c>
      <c r="C478" t="s">
        <v>3522</v>
      </c>
      <c r="D478" t="s">
        <v>3454</v>
      </c>
      <c r="E478" t="s">
        <v>3469</v>
      </c>
      <c r="F478">
        <v>8</v>
      </c>
      <c r="G478">
        <v>141.6</v>
      </c>
      <c r="H478" t="s">
        <v>3470</v>
      </c>
      <c r="J478" t="s">
        <v>3364</v>
      </c>
    </row>
    <row r="479" spans="1:10" x14ac:dyDescent="0.3">
      <c r="A479" t="s">
        <v>568</v>
      </c>
      <c r="B479" s="453">
        <v>46174</v>
      </c>
      <c r="C479" t="s">
        <v>3521</v>
      </c>
      <c r="D479" t="s">
        <v>3454</v>
      </c>
      <c r="E479" t="s">
        <v>3469</v>
      </c>
      <c r="F479">
        <v>1</v>
      </c>
      <c r="G479">
        <v>16.8</v>
      </c>
      <c r="H479" t="s">
        <v>3470</v>
      </c>
      <c r="J479" t="s">
        <v>3364</v>
      </c>
    </row>
    <row r="480" spans="1:10" x14ac:dyDescent="0.3">
      <c r="A480" t="s">
        <v>568</v>
      </c>
      <c r="B480" s="453">
        <v>46174</v>
      </c>
      <c r="C480" t="s">
        <v>3484</v>
      </c>
      <c r="D480" t="s">
        <v>3454</v>
      </c>
      <c r="E480" t="s">
        <v>3485</v>
      </c>
      <c r="F480">
        <v>11</v>
      </c>
      <c r="G480">
        <v>227.7</v>
      </c>
      <c r="H480" t="s">
        <v>3470</v>
      </c>
      <c r="J480" t="s">
        <v>3364</v>
      </c>
    </row>
    <row r="481" spans="1:10" x14ac:dyDescent="0.3">
      <c r="A481" t="s">
        <v>568</v>
      </c>
      <c r="B481" s="453">
        <v>46174</v>
      </c>
      <c r="C481" t="s">
        <v>3520</v>
      </c>
      <c r="D481" t="s">
        <v>3454</v>
      </c>
      <c r="E481" t="s">
        <v>3485</v>
      </c>
      <c r="F481">
        <v>3</v>
      </c>
      <c r="G481">
        <v>151.19999999999999</v>
      </c>
      <c r="H481" t="s">
        <v>3470</v>
      </c>
      <c r="J481" t="s">
        <v>3364</v>
      </c>
    </row>
    <row r="482" spans="1:10" x14ac:dyDescent="0.3">
      <c r="A482" t="s">
        <v>568</v>
      </c>
      <c r="B482" s="453">
        <v>46174</v>
      </c>
      <c r="C482" t="s">
        <v>3486</v>
      </c>
      <c r="D482" t="s">
        <v>3454</v>
      </c>
      <c r="E482" t="s">
        <v>3485</v>
      </c>
      <c r="F482">
        <v>8</v>
      </c>
      <c r="G482">
        <v>235.2</v>
      </c>
      <c r="H482" t="s">
        <v>3470</v>
      </c>
      <c r="J482" t="s">
        <v>3364</v>
      </c>
    </row>
    <row r="483" spans="1:10" x14ac:dyDescent="0.3">
      <c r="A483" t="s">
        <v>568</v>
      </c>
      <c r="B483" s="453">
        <v>46174</v>
      </c>
      <c r="C483" t="s">
        <v>3600</v>
      </c>
      <c r="D483" t="s">
        <v>3454</v>
      </c>
      <c r="E483" t="s">
        <v>3469</v>
      </c>
      <c r="F483">
        <v>1</v>
      </c>
      <c r="G483">
        <v>50.4</v>
      </c>
      <c r="H483" t="s">
        <v>3470</v>
      </c>
      <c r="J483" t="s">
        <v>3364</v>
      </c>
    </row>
    <row r="484" spans="1:10" x14ac:dyDescent="0.3">
      <c r="A484" t="s">
        <v>568</v>
      </c>
      <c r="B484" s="453">
        <v>46174</v>
      </c>
      <c r="C484" t="s">
        <v>3519</v>
      </c>
      <c r="D484" t="s">
        <v>3454</v>
      </c>
      <c r="E484" t="s">
        <v>3469</v>
      </c>
      <c r="F484">
        <v>4</v>
      </c>
      <c r="G484">
        <v>70.8</v>
      </c>
      <c r="H484" t="s">
        <v>3470</v>
      </c>
      <c r="J484" t="s">
        <v>3364</v>
      </c>
    </row>
    <row r="485" spans="1:10" x14ac:dyDescent="0.3">
      <c r="A485" t="s">
        <v>568</v>
      </c>
      <c r="B485" s="453">
        <v>46174</v>
      </c>
      <c r="C485" t="s">
        <v>3517</v>
      </c>
      <c r="D485" t="s">
        <v>3454</v>
      </c>
      <c r="E485" t="s">
        <v>3472</v>
      </c>
      <c r="F485">
        <v>9</v>
      </c>
      <c r="G485">
        <v>45.9</v>
      </c>
      <c r="H485" t="s">
        <v>3470</v>
      </c>
      <c r="J485" t="s">
        <v>3364</v>
      </c>
    </row>
    <row r="486" spans="1:10" x14ac:dyDescent="0.3">
      <c r="A486" t="s">
        <v>568</v>
      </c>
      <c r="B486" s="453">
        <v>46174</v>
      </c>
      <c r="C486" t="s">
        <v>3601</v>
      </c>
      <c r="D486" t="s">
        <v>3454</v>
      </c>
      <c r="E486" t="s">
        <v>3596</v>
      </c>
      <c r="F486">
        <v>2</v>
      </c>
      <c r="G486">
        <v>15</v>
      </c>
      <c r="H486" t="s">
        <v>3477</v>
      </c>
      <c r="J486" t="s">
        <v>3364</v>
      </c>
    </row>
    <row r="487" spans="1:10" x14ac:dyDescent="0.3">
      <c r="A487" t="s">
        <v>568</v>
      </c>
      <c r="B487" s="453">
        <v>46174</v>
      </c>
      <c r="C487" t="s">
        <v>3525</v>
      </c>
      <c r="D487" t="s">
        <v>3454</v>
      </c>
      <c r="E487" t="s">
        <v>3497</v>
      </c>
      <c r="F487">
        <v>14</v>
      </c>
      <c r="G487">
        <v>105</v>
      </c>
      <c r="H487" t="s">
        <v>3477</v>
      </c>
      <c r="J487" t="s">
        <v>3364</v>
      </c>
    </row>
    <row r="488" spans="1:10" x14ac:dyDescent="0.3">
      <c r="A488" t="s">
        <v>568</v>
      </c>
      <c r="B488" s="453">
        <v>46174</v>
      </c>
      <c r="C488" t="s">
        <v>3487</v>
      </c>
      <c r="D488" t="s">
        <v>3454</v>
      </c>
      <c r="E488" t="s">
        <v>3485</v>
      </c>
      <c r="F488">
        <v>2</v>
      </c>
      <c r="G488">
        <v>53.4</v>
      </c>
      <c r="H488" t="s">
        <v>3470</v>
      </c>
      <c r="J488" t="s">
        <v>3364</v>
      </c>
    </row>
    <row r="489" spans="1:10" x14ac:dyDescent="0.3">
      <c r="A489" t="s">
        <v>568</v>
      </c>
      <c r="B489" s="453">
        <v>46174</v>
      </c>
      <c r="C489" t="s">
        <v>3572</v>
      </c>
      <c r="D489" t="s">
        <v>3454</v>
      </c>
      <c r="E489" t="s">
        <v>3495</v>
      </c>
      <c r="F489">
        <v>2</v>
      </c>
      <c r="G489">
        <v>15.6</v>
      </c>
      <c r="H489" t="s">
        <v>3470</v>
      </c>
      <c r="J489" t="s">
        <v>3364</v>
      </c>
    </row>
    <row r="490" spans="1:10" x14ac:dyDescent="0.3">
      <c r="A490" t="s">
        <v>568</v>
      </c>
      <c r="B490" s="453">
        <v>46174</v>
      </c>
      <c r="C490" t="s">
        <v>3511</v>
      </c>
      <c r="D490" t="s">
        <v>3454</v>
      </c>
      <c r="E490" t="s">
        <v>3469</v>
      </c>
      <c r="F490">
        <v>2</v>
      </c>
      <c r="G490">
        <v>82.8</v>
      </c>
      <c r="H490" t="s">
        <v>3470</v>
      </c>
      <c r="J490" t="s">
        <v>3364</v>
      </c>
    </row>
    <row r="491" spans="1:10" x14ac:dyDescent="0.3">
      <c r="A491" t="s">
        <v>568</v>
      </c>
      <c r="B491" s="453">
        <v>46174</v>
      </c>
      <c r="C491" t="s">
        <v>3526</v>
      </c>
      <c r="D491" t="s">
        <v>3454</v>
      </c>
      <c r="E491" t="s">
        <v>3499</v>
      </c>
      <c r="F491">
        <v>1</v>
      </c>
      <c r="G491">
        <v>10.5</v>
      </c>
      <c r="H491" t="s">
        <v>3477</v>
      </c>
      <c r="J491" t="s">
        <v>3364</v>
      </c>
    </row>
    <row r="492" spans="1:10" x14ac:dyDescent="0.3">
      <c r="A492" t="s">
        <v>568</v>
      </c>
      <c r="B492" s="453">
        <v>46174</v>
      </c>
      <c r="C492" t="s">
        <v>3523</v>
      </c>
      <c r="D492" t="s">
        <v>3454</v>
      </c>
      <c r="E492" t="s">
        <v>3469</v>
      </c>
      <c r="F492">
        <v>2</v>
      </c>
      <c r="G492">
        <v>29.4</v>
      </c>
      <c r="H492" t="s">
        <v>3470</v>
      </c>
      <c r="J492" t="s">
        <v>3364</v>
      </c>
    </row>
    <row r="493" spans="1:10" x14ac:dyDescent="0.3">
      <c r="A493" t="s">
        <v>568</v>
      </c>
      <c r="B493" s="453">
        <v>46174</v>
      </c>
      <c r="C493" t="s">
        <v>3507</v>
      </c>
      <c r="D493" t="s">
        <v>3454</v>
      </c>
      <c r="E493" t="s">
        <v>3472</v>
      </c>
      <c r="F493">
        <v>2</v>
      </c>
      <c r="G493">
        <v>13.8</v>
      </c>
      <c r="H493" t="s">
        <v>3470</v>
      </c>
      <c r="J493" t="s">
        <v>3364</v>
      </c>
    </row>
    <row r="494" spans="1:10" x14ac:dyDescent="0.3">
      <c r="A494" t="s">
        <v>568</v>
      </c>
      <c r="B494" s="453">
        <v>46174</v>
      </c>
      <c r="C494" t="s">
        <v>3556</v>
      </c>
      <c r="D494" t="s">
        <v>3454</v>
      </c>
      <c r="E494" t="s">
        <v>3545</v>
      </c>
      <c r="F494">
        <v>2</v>
      </c>
      <c r="G494">
        <v>31.2</v>
      </c>
      <c r="J494" t="s">
        <v>3364</v>
      </c>
    </row>
    <row r="495" spans="1:10" x14ac:dyDescent="0.3">
      <c r="A495" t="s">
        <v>568</v>
      </c>
      <c r="B495" s="453">
        <v>46174</v>
      </c>
      <c r="C495" t="s">
        <v>3559</v>
      </c>
      <c r="D495" t="s">
        <v>3454</v>
      </c>
      <c r="E495" t="s">
        <v>3469</v>
      </c>
      <c r="F495">
        <v>2</v>
      </c>
      <c r="G495">
        <v>27.6</v>
      </c>
      <c r="H495" t="s">
        <v>3470</v>
      </c>
      <c r="J495" t="s">
        <v>3364</v>
      </c>
    </row>
    <row r="496" spans="1:10" x14ac:dyDescent="0.3">
      <c r="A496" t="s">
        <v>568</v>
      </c>
      <c r="B496" s="453">
        <v>46174</v>
      </c>
      <c r="C496" t="s">
        <v>3509</v>
      </c>
      <c r="D496" t="s">
        <v>3454</v>
      </c>
      <c r="E496" t="s">
        <v>3469</v>
      </c>
      <c r="F496">
        <v>10</v>
      </c>
      <c r="G496">
        <v>171</v>
      </c>
      <c r="H496" t="s">
        <v>3470</v>
      </c>
      <c r="J496" t="s">
        <v>3364</v>
      </c>
    </row>
    <row r="497" spans="1:10" x14ac:dyDescent="0.3">
      <c r="A497" t="s">
        <v>568</v>
      </c>
      <c r="B497" s="453">
        <v>46174</v>
      </c>
      <c r="C497" t="s">
        <v>3510</v>
      </c>
      <c r="D497" t="s">
        <v>3454</v>
      </c>
      <c r="E497" t="s">
        <v>3485</v>
      </c>
      <c r="F497">
        <v>8</v>
      </c>
      <c r="G497">
        <v>204</v>
      </c>
      <c r="H497" t="s">
        <v>3470</v>
      </c>
      <c r="J497" t="s">
        <v>3364</v>
      </c>
    </row>
    <row r="498" spans="1:10" x14ac:dyDescent="0.3">
      <c r="A498" t="s">
        <v>568</v>
      </c>
      <c r="B498" s="453">
        <v>46174</v>
      </c>
      <c r="C498" t="s">
        <v>3602</v>
      </c>
      <c r="D498" t="s">
        <v>3454</v>
      </c>
      <c r="E498" t="s">
        <v>3596</v>
      </c>
      <c r="F498">
        <v>5</v>
      </c>
      <c r="G498">
        <v>37.5</v>
      </c>
      <c r="H498" t="s">
        <v>3477</v>
      </c>
      <c r="J498" t="s">
        <v>3364</v>
      </c>
    </row>
    <row r="499" spans="1:10" x14ac:dyDescent="0.3">
      <c r="A499" t="s">
        <v>568</v>
      </c>
      <c r="B499" s="453">
        <v>46174</v>
      </c>
      <c r="C499" t="s">
        <v>3492</v>
      </c>
      <c r="D499" t="s">
        <v>3454</v>
      </c>
      <c r="E499" t="s">
        <v>3493</v>
      </c>
      <c r="F499">
        <v>1</v>
      </c>
      <c r="G499">
        <v>14.4</v>
      </c>
      <c r="H499" t="s">
        <v>3470</v>
      </c>
      <c r="J499" t="s">
        <v>3364</v>
      </c>
    </row>
    <row r="500" spans="1:10" x14ac:dyDescent="0.3">
      <c r="A500" t="s">
        <v>568</v>
      </c>
      <c r="B500" s="453">
        <v>46174</v>
      </c>
      <c r="C500" t="s">
        <v>3603</v>
      </c>
      <c r="D500" t="s">
        <v>3454</v>
      </c>
      <c r="E500" t="s">
        <v>3596</v>
      </c>
      <c r="F500">
        <v>1</v>
      </c>
      <c r="G500">
        <v>7.5</v>
      </c>
      <c r="H500" t="s">
        <v>3477</v>
      </c>
      <c r="J500" t="s">
        <v>3364</v>
      </c>
    </row>
    <row r="501" spans="1:10" x14ac:dyDescent="0.3">
      <c r="A501" t="s">
        <v>568</v>
      </c>
      <c r="B501" s="453">
        <v>46174</v>
      </c>
      <c r="C501" t="s">
        <v>3512</v>
      </c>
      <c r="D501" t="s">
        <v>3454</v>
      </c>
      <c r="E501" t="s">
        <v>3469</v>
      </c>
      <c r="F501">
        <v>3</v>
      </c>
      <c r="G501">
        <v>44.1</v>
      </c>
      <c r="H501" t="s">
        <v>3470</v>
      </c>
      <c r="J501" t="s">
        <v>3364</v>
      </c>
    </row>
    <row r="502" spans="1:10" x14ac:dyDescent="0.3">
      <c r="A502" t="s">
        <v>568</v>
      </c>
      <c r="B502" s="453">
        <v>46174</v>
      </c>
      <c r="C502" t="s">
        <v>3514</v>
      </c>
      <c r="D502" t="s">
        <v>3454</v>
      </c>
      <c r="E502" t="s">
        <v>3472</v>
      </c>
      <c r="F502">
        <v>5</v>
      </c>
      <c r="G502">
        <v>72</v>
      </c>
      <c r="H502" t="s">
        <v>3470</v>
      </c>
      <c r="J502" t="s">
        <v>3364</v>
      </c>
    </row>
    <row r="503" spans="1:10" x14ac:dyDescent="0.3">
      <c r="A503" t="s">
        <v>568</v>
      </c>
      <c r="B503" s="453">
        <v>46174</v>
      </c>
      <c r="C503" t="s">
        <v>3481</v>
      </c>
      <c r="D503" t="s">
        <v>3454</v>
      </c>
      <c r="E503" t="s">
        <v>3469</v>
      </c>
      <c r="F503">
        <v>5</v>
      </c>
      <c r="G503">
        <v>81</v>
      </c>
      <c r="H503" t="s">
        <v>3470</v>
      </c>
      <c r="J503" t="s">
        <v>3364</v>
      </c>
    </row>
    <row r="504" spans="1:10" x14ac:dyDescent="0.3">
      <c r="A504" t="s">
        <v>568</v>
      </c>
      <c r="B504" s="453">
        <v>46174</v>
      </c>
      <c r="C504" t="s">
        <v>3561</v>
      </c>
      <c r="D504" t="s">
        <v>3454</v>
      </c>
      <c r="E504" t="s">
        <v>3469</v>
      </c>
      <c r="F504">
        <v>1</v>
      </c>
      <c r="G504">
        <v>48.6</v>
      </c>
      <c r="H504" t="s">
        <v>3470</v>
      </c>
      <c r="J504" t="s">
        <v>3364</v>
      </c>
    </row>
    <row r="505" spans="1:10" x14ac:dyDescent="0.3">
      <c r="A505" t="s">
        <v>568</v>
      </c>
      <c r="B505" s="453">
        <v>46174</v>
      </c>
      <c r="C505" t="s">
        <v>3494</v>
      </c>
      <c r="D505" t="s">
        <v>3454</v>
      </c>
      <c r="E505" t="s">
        <v>3495</v>
      </c>
      <c r="F505">
        <v>29</v>
      </c>
      <c r="G505">
        <v>170.1</v>
      </c>
      <c r="H505" t="s">
        <v>3470</v>
      </c>
      <c r="J505" t="s">
        <v>3364</v>
      </c>
    </row>
    <row r="506" spans="1:10" x14ac:dyDescent="0.3">
      <c r="A506" t="s">
        <v>568</v>
      </c>
      <c r="B506" s="453">
        <v>46174</v>
      </c>
      <c r="C506" t="s">
        <v>3500</v>
      </c>
      <c r="D506" t="s">
        <v>3454</v>
      </c>
      <c r="E506" t="s">
        <v>3501</v>
      </c>
      <c r="F506">
        <v>7</v>
      </c>
      <c r="G506">
        <v>16.8</v>
      </c>
      <c r="H506" t="s">
        <v>3477</v>
      </c>
      <c r="J506" t="s">
        <v>3364</v>
      </c>
    </row>
    <row r="507" spans="1:10" x14ac:dyDescent="0.3">
      <c r="A507" t="s">
        <v>568</v>
      </c>
      <c r="B507" s="453">
        <v>46174</v>
      </c>
      <c r="C507" t="s">
        <v>3541</v>
      </c>
      <c r="D507" t="s">
        <v>3454</v>
      </c>
      <c r="E507" t="s">
        <v>3469</v>
      </c>
      <c r="F507">
        <v>3</v>
      </c>
      <c r="G507">
        <v>55.8</v>
      </c>
      <c r="H507" t="s">
        <v>3470</v>
      </c>
      <c r="J507" t="s">
        <v>3364</v>
      </c>
    </row>
    <row r="508" spans="1:10" x14ac:dyDescent="0.3">
      <c r="A508" t="s">
        <v>568</v>
      </c>
      <c r="B508" s="453">
        <v>46174</v>
      </c>
      <c r="C508" t="s">
        <v>3562</v>
      </c>
      <c r="D508" t="s">
        <v>3454</v>
      </c>
      <c r="E508" t="s">
        <v>3563</v>
      </c>
      <c r="F508">
        <v>1</v>
      </c>
      <c r="G508">
        <v>23.7</v>
      </c>
      <c r="H508" t="s">
        <v>3470</v>
      </c>
      <c r="J508" t="s">
        <v>3364</v>
      </c>
    </row>
    <row r="509" spans="1:10" x14ac:dyDescent="0.3">
      <c r="A509" t="s">
        <v>568</v>
      </c>
      <c r="B509" s="453">
        <v>46174</v>
      </c>
      <c r="C509" t="s">
        <v>3540</v>
      </c>
      <c r="D509" t="s">
        <v>3454</v>
      </c>
      <c r="E509" t="s">
        <v>3539</v>
      </c>
      <c r="F509">
        <v>12</v>
      </c>
      <c r="G509">
        <v>162</v>
      </c>
      <c r="H509" t="s">
        <v>3470</v>
      </c>
      <c r="J509" t="s">
        <v>3364</v>
      </c>
    </row>
    <row r="510" spans="1:10" x14ac:dyDescent="0.3">
      <c r="A510" t="s">
        <v>568</v>
      </c>
      <c r="B510" s="453">
        <v>46174</v>
      </c>
      <c r="C510" t="s">
        <v>3604</v>
      </c>
      <c r="D510" t="s">
        <v>3454</v>
      </c>
      <c r="E510" t="s">
        <v>3605</v>
      </c>
      <c r="F510">
        <v>1</v>
      </c>
      <c r="G510">
        <v>33.6</v>
      </c>
      <c r="H510" t="s">
        <v>3477</v>
      </c>
      <c r="J510" t="s">
        <v>3364</v>
      </c>
    </row>
    <row r="511" spans="1:10" x14ac:dyDescent="0.3">
      <c r="A511" t="s">
        <v>568</v>
      </c>
      <c r="B511" s="453">
        <v>46174</v>
      </c>
      <c r="C511" t="s">
        <v>3496</v>
      </c>
      <c r="D511" t="s">
        <v>3454</v>
      </c>
      <c r="E511" t="s">
        <v>3497</v>
      </c>
      <c r="F511">
        <v>11</v>
      </c>
      <c r="G511">
        <v>82.5</v>
      </c>
      <c r="H511" t="s">
        <v>3477</v>
      </c>
      <c r="J511" t="s">
        <v>3364</v>
      </c>
    </row>
    <row r="512" spans="1:10" x14ac:dyDescent="0.3">
      <c r="A512" t="s">
        <v>568</v>
      </c>
      <c r="B512" s="453">
        <v>46174</v>
      </c>
      <c r="C512" t="s">
        <v>3534</v>
      </c>
      <c r="D512" t="s">
        <v>3454</v>
      </c>
      <c r="E512" t="s">
        <v>3497</v>
      </c>
      <c r="F512">
        <v>13</v>
      </c>
      <c r="G512">
        <v>89.7</v>
      </c>
      <c r="H512" t="s">
        <v>3477</v>
      </c>
      <c r="J512" t="s">
        <v>3364</v>
      </c>
    </row>
    <row r="513" spans="1:10" x14ac:dyDescent="0.3">
      <c r="A513" t="s">
        <v>568</v>
      </c>
      <c r="B513" s="453">
        <v>46174</v>
      </c>
      <c r="C513" t="s">
        <v>3529</v>
      </c>
      <c r="D513" t="s">
        <v>3454</v>
      </c>
      <c r="E513" t="s">
        <v>3528</v>
      </c>
      <c r="F513">
        <v>1</v>
      </c>
      <c r="G513">
        <v>4.8</v>
      </c>
      <c r="H513" t="s">
        <v>3477</v>
      </c>
      <c r="J513" t="s">
        <v>3364</v>
      </c>
    </row>
    <row r="514" spans="1:10" x14ac:dyDescent="0.3">
      <c r="A514" t="s">
        <v>568</v>
      </c>
      <c r="B514" s="453">
        <v>46174</v>
      </c>
      <c r="C514" t="s">
        <v>3532</v>
      </c>
      <c r="D514" t="s">
        <v>3454</v>
      </c>
      <c r="E514" t="s">
        <v>3497</v>
      </c>
      <c r="F514">
        <v>1</v>
      </c>
      <c r="G514">
        <v>7.5</v>
      </c>
      <c r="H514" t="s">
        <v>3477</v>
      </c>
      <c r="J514" t="s">
        <v>3364</v>
      </c>
    </row>
    <row r="515" spans="1:10" x14ac:dyDescent="0.3">
      <c r="A515" t="s">
        <v>568</v>
      </c>
      <c r="B515" s="453">
        <v>46174</v>
      </c>
      <c r="C515" t="s">
        <v>3531</v>
      </c>
      <c r="D515" t="s">
        <v>3454</v>
      </c>
      <c r="E515" t="s">
        <v>3497</v>
      </c>
      <c r="F515">
        <v>4</v>
      </c>
      <c r="G515">
        <v>46.8</v>
      </c>
      <c r="H515" t="s">
        <v>3477</v>
      </c>
      <c r="J515" t="s">
        <v>3364</v>
      </c>
    </row>
    <row r="516" spans="1:10" x14ac:dyDescent="0.3">
      <c r="A516" t="s">
        <v>568</v>
      </c>
      <c r="B516" s="453">
        <v>46174</v>
      </c>
      <c r="C516" t="s">
        <v>3530</v>
      </c>
      <c r="D516" t="s">
        <v>3454</v>
      </c>
      <c r="E516" t="s">
        <v>3469</v>
      </c>
      <c r="F516">
        <v>2</v>
      </c>
      <c r="G516">
        <v>76.8</v>
      </c>
      <c r="H516" t="s">
        <v>3470</v>
      </c>
      <c r="J516" t="s">
        <v>3364</v>
      </c>
    </row>
    <row r="517" spans="1:10" x14ac:dyDescent="0.3">
      <c r="A517" t="s">
        <v>568</v>
      </c>
      <c r="B517" s="453">
        <v>46174</v>
      </c>
      <c r="C517" t="s">
        <v>3536</v>
      </c>
      <c r="D517" t="s">
        <v>3454</v>
      </c>
      <c r="E517" t="s">
        <v>3497</v>
      </c>
      <c r="F517">
        <v>1</v>
      </c>
      <c r="G517">
        <v>12.9</v>
      </c>
      <c r="H517" t="s">
        <v>3477</v>
      </c>
      <c r="J517" t="s">
        <v>3364</v>
      </c>
    </row>
    <row r="518" spans="1:10" x14ac:dyDescent="0.3">
      <c r="A518" t="s">
        <v>568</v>
      </c>
      <c r="B518" s="453">
        <v>46174</v>
      </c>
      <c r="C518" t="s">
        <v>3555</v>
      </c>
      <c r="D518" t="s">
        <v>3454</v>
      </c>
      <c r="E518" t="s">
        <v>3469</v>
      </c>
      <c r="F518">
        <v>4</v>
      </c>
      <c r="G518">
        <v>70.8</v>
      </c>
      <c r="H518" t="s">
        <v>3470</v>
      </c>
      <c r="J518" t="s">
        <v>3364</v>
      </c>
    </row>
    <row r="519" spans="1:10" x14ac:dyDescent="0.3">
      <c r="A519" t="s">
        <v>568</v>
      </c>
      <c r="B519" s="453">
        <v>46174</v>
      </c>
      <c r="C519" t="s">
        <v>3554</v>
      </c>
      <c r="D519" t="s">
        <v>3454</v>
      </c>
      <c r="E519" t="s">
        <v>3495</v>
      </c>
      <c r="F519">
        <v>7</v>
      </c>
      <c r="G519">
        <v>60.9</v>
      </c>
      <c r="H519" t="s">
        <v>3470</v>
      </c>
      <c r="J519" t="s">
        <v>3364</v>
      </c>
    </row>
    <row r="520" spans="1:10" x14ac:dyDescent="0.3">
      <c r="A520" t="s">
        <v>568</v>
      </c>
      <c r="B520" s="453">
        <v>46174</v>
      </c>
      <c r="C520" t="s">
        <v>3585</v>
      </c>
      <c r="D520" t="s">
        <v>3454</v>
      </c>
      <c r="E520" t="s">
        <v>3485</v>
      </c>
      <c r="F520">
        <v>18</v>
      </c>
      <c r="G520">
        <v>480.6</v>
      </c>
      <c r="H520" t="s">
        <v>3470</v>
      </c>
      <c r="J520" t="s">
        <v>3364</v>
      </c>
    </row>
    <row r="521" spans="1:10" x14ac:dyDescent="0.3">
      <c r="A521" t="s">
        <v>568</v>
      </c>
      <c r="B521" s="453">
        <v>46174</v>
      </c>
      <c r="C521" t="s">
        <v>3586</v>
      </c>
      <c r="D521" t="s">
        <v>3454</v>
      </c>
      <c r="E521" t="s">
        <v>3476</v>
      </c>
      <c r="F521">
        <v>11</v>
      </c>
      <c r="G521">
        <v>39.270000000000003</v>
      </c>
      <c r="H521" t="s">
        <v>3477</v>
      </c>
      <c r="J521" t="s">
        <v>3364</v>
      </c>
    </row>
    <row r="522" spans="1:10" x14ac:dyDescent="0.3">
      <c r="A522" t="s">
        <v>568</v>
      </c>
      <c r="B522" s="453">
        <v>46174</v>
      </c>
      <c r="C522" t="s">
        <v>3565</v>
      </c>
      <c r="D522" t="s">
        <v>3454</v>
      </c>
      <c r="E522" t="s">
        <v>3543</v>
      </c>
      <c r="F522">
        <v>2</v>
      </c>
      <c r="G522">
        <v>17.399999999999999</v>
      </c>
      <c r="H522" t="s">
        <v>3470</v>
      </c>
      <c r="J522" t="s">
        <v>3364</v>
      </c>
    </row>
    <row r="523" spans="1:10" x14ac:dyDescent="0.3">
      <c r="A523" t="s">
        <v>568</v>
      </c>
      <c r="B523" s="453">
        <v>46174</v>
      </c>
      <c r="C523" t="s">
        <v>3578</v>
      </c>
      <c r="D523" t="s">
        <v>3454</v>
      </c>
      <c r="E523" t="s">
        <v>3490</v>
      </c>
      <c r="F523">
        <v>2</v>
      </c>
      <c r="G523">
        <v>3.9</v>
      </c>
      <c r="H523" t="s">
        <v>3477</v>
      </c>
      <c r="J523" t="s">
        <v>3364</v>
      </c>
    </row>
    <row r="524" spans="1:10" x14ac:dyDescent="0.3">
      <c r="A524" t="s">
        <v>568</v>
      </c>
      <c r="B524" s="453">
        <v>46174</v>
      </c>
      <c r="C524" t="s">
        <v>3548</v>
      </c>
      <c r="D524" t="s">
        <v>3454</v>
      </c>
      <c r="E524" t="s">
        <v>3503</v>
      </c>
      <c r="F524">
        <v>1</v>
      </c>
      <c r="G524">
        <v>18</v>
      </c>
      <c r="H524" t="s">
        <v>3470</v>
      </c>
      <c r="J524" t="s">
        <v>3364</v>
      </c>
    </row>
    <row r="525" spans="1:10" x14ac:dyDescent="0.3">
      <c r="A525" t="s">
        <v>568</v>
      </c>
      <c r="B525" s="453">
        <v>46174</v>
      </c>
      <c r="C525" t="s">
        <v>3471</v>
      </c>
      <c r="D525" t="s">
        <v>3454</v>
      </c>
      <c r="E525" t="s">
        <v>3472</v>
      </c>
      <c r="F525">
        <v>1</v>
      </c>
      <c r="G525">
        <v>25.5</v>
      </c>
      <c r="H525" t="s">
        <v>3470</v>
      </c>
      <c r="J525" t="s">
        <v>3364</v>
      </c>
    </row>
    <row r="526" spans="1:10" x14ac:dyDescent="0.3">
      <c r="A526" t="s">
        <v>568</v>
      </c>
      <c r="B526" s="453">
        <v>46174</v>
      </c>
      <c r="C526" t="s">
        <v>3550</v>
      </c>
      <c r="D526" t="s">
        <v>3454</v>
      </c>
      <c r="E526" t="s">
        <v>3490</v>
      </c>
      <c r="F526">
        <v>8</v>
      </c>
      <c r="G526">
        <v>19.2</v>
      </c>
      <c r="H526" t="s">
        <v>3477</v>
      </c>
      <c r="J526" t="s">
        <v>3364</v>
      </c>
    </row>
    <row r="527" spans="1:10" x14ac:dyDescent="0.3">
      <c r="A527" t="s">
        <v>568</v>
      </c>
      <c r="B527" s="453">
        <v>46174</v>
      </c>
      <c r="C527" t="s">
        <v>3551</v>
      </c>
      <c r="D527" t="s">
        <v>3454</v>
      </c>
      <c r="E527" t="s">
        <v>3490</v>
      </c>
      <c r="F527">
        <v>5</v>
      </c>
      <c r="G527">
        <v>12</v>
      </c>
      <c r="H527" t="s">
        <v>3477</v>
      </c>
      <c r="J527" t="s">
        <v>3364</v>
      </c>
    </row>
    <row r="528" spans="1:10" x14ac:dyDescent="0.3">
      <c r="A528" t="s">
        <v>568</v>
      </c>
      <c r="B528" s="453">
        <v>46174</v>
      </c>
      <c r="C528" t="s">
        <v>3491</v>
      </c>
      <c r="D528" t="s">
        <v>3454</v>
      </c>
      <c r="E528" t="s">
        <v>3490</v>
      </c>
      <c r="F528">
        <v>25</v>
      </c>
      <c r="G528">
        <v>45</v>
      </c>
      <c r="H528" t="s">
        <v>3477</v>
      </c>
      <c r="J528" t="s">
        <v>3364</v>
      </c>
    </row>
    <row r="529" spans="1:10" x14ac:dyDescent="0.3">
      <c r="A529" t="s">
        <v>568</v>
      </c>
      <c r="B529" s="453">
        <v>46174</v>
      </c>
      <c r="C529" t="s">
        <v>3547</v>
      </c>
      <c r="D529" t="s">
        <v>3454</v>
      </c>
      <c r="E529" t="s">
        <v>3490</v>
      </c>
      <c r="F529">
        <v>3</v>
      </c>
      <c r="G529">
        <v>5.4</v>
      </c>
      <c r="H529" t="s">
        <v>3477</v>
      </c>
      <c r="J529" t="s">
        <v>3364</v>
      </c>
    </row>
    <row r="530" spans="1:10" x14ac:dyDescent="0.3">
      <c r="A530" t="s">
        <v>568</v>
      </c>
      <c r="B530" s="453">
        <v>46174</v>
      </c>
      <c r="C530" t="s">
        <v>3489</v>
      </c>
      <c r="D530" t="s">
        <v>3454</v>
      </c>
      <c r="E530" t="s">
        <v>3490</v>
      </c>
      <c r="F530">
        <v>23</v>
      </c>
      <c r="G530">
        <v>55.2</v>
      </c>
      <c r="H530" t="s">
        <v>3477</v>
      </c>
      <c r="J530" t="s">
        <v>3364</v>
      </c>
    </row>
    <row r="531" spans="1:10" x14ac:dyDescent="0.3">
      <c r="A531" t="s">
        <v>568</v>
      </c>
      <c r="B531" s="453">
        <v>46174</v>
      </c>
      <c r="C531" t="s">
        <v>3475</v>
      </c>
      <c r="D531" t="s">
        <v>3454</v>
      </c>
      <c r="E531" t="s">
        <v>3476</v>
      </c>
      <c r="F531">
        <v>5</v>
      </c>
      <c r="G531">
        <v>25.35</v>
      </c>
      <c r="H531" t="s">
        <v>3477</v>
      </c>
      <c r="J531" t="s">
        <v>3364</v>
      </c>
    </row>
    <row r="532" spans="1:10" x14ac:dyDescent="0.3">
      <c r="A532" t="s">
        <v>568</v>
      </c>
      <c r="B532" s="453">
        <v>46174</v>
      </c>
      <c r="C532" t="s">
        <v>3546</v>
      </c>
      <c r="D532" t="s">
        <v>3454</v>
      </c>
      <c r="E532" t="s">
        <v>3490</v>
      </c>
      <c r="F532">
        <v>12</v>
      </c>
      <c r="G532">
        <v>28.8</v>
      </c>
      <c r="H532" t="s">
        <v>3477</v>
      </c>
      <c r="J532" t="s">
        <v>3364</v>
      </c>
    </row>
    <row r="533" spans="1:10" x14ac:dyDescent="0.3">
      <c r="A533" t="s">
        <v>568</v>
      </c>
      <c r="B533" s="453">
        <v>46174</v>
      </c>
      <c r="C533" t="s">
        <v>3478</v>
      </c>
      <c r="D533" t="s">
        <v>3454</v>
      </c>
      <c r="E533" t="s">
        <v>3479</v>
      </c>
      <c r="F533">
        <v>2</v>
      </c>
      <c r="G533">
        <v>15</v>
      </c>
      <c r="H533" t="s">
        <v>3470</v>
      </c>
      <c r="J533" t="s">
        <v>3364</v>
      </c>
    </row>
    <row r="534" spans="1:10" x14ac:dyDescent="0.3">
      <c r="A534" t="s">
        <v>568</v>
      </c>
      <c r="B534" s="453">
        <v>46174</v>
      </c>
      <c r="C534" t="s">
        <v>3480</v>
      </c>
      <c r="D534" t="s">
        <v>3454</v>
      </c>
      <c r="E534" t="s">
        <v>3476</v>
      </c>
      <c r="F534">
        <v>173</v>
      </c>
      <c r="G534">
        <v>773.31</v>
      </c>
      <c r="H534" t="s">
        <v>3477</v>
      </c>
      <c r="J534" t="s">
        <v>3364</v>
      </c>
    </row>
    <row r="535" spans="1:10" x14ac:dyDescent="0.3">
      <c r="A535" t="s">
        <v>568</v>
      </c>
      <c r="B535" s="453">
        <v>46174</v>
      </c>
      <c r="C535" t="s">
        <v>3560</v>
      </c>
      <c r="D535" t="s">
        <v>3454</v>
      </c>
      <c r="E535" t="s">
        <v>3543</v>
      </c>
      <c r="F535">
        <v>2</v>
      </c>
      <c r="G535">
        <v>3.9</v>
      </c>
      <c r="H535" t="s">
        <v>3470</v>
      </c>
      <c r="J535" t="s">
        <v>3364</v>
      </c>
    </row>
    <row r="536" spans="1:10" x14ac:dyDescent="0.3">
      <c r="A536" t="s">
        <v>568</v>
      </c>
      <c r="B536" s="453">
        <v>46174</v>
      </c>
      <c r="C536" t="s">
        <v>3533</v>
      </c>
      <c r="D536" t="s">
        <v>3454</v>
      </c>
      <c r="E536" t="s">
        <v>3490</v>
      </c>
      <c r="F536">
        <v>3</v>
      </c>
      <c r="G536">
        <v>7.2</v>
      </c>
      <c r="H536" t="s">
        <v>3477</v>
      </c>
      <c r="J536" t="s">
        <v>3364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54"/>
  <sheetViews>
    <sheetView workbookViewId="0"/>
  </sheetViews>
  <sheetFormatPr defaultRowHeight="14.4" x14ac:dyDescent="0.3"/>
  <sheetData>
    <row r="1" spans="1:19" x14ac:dyDescent="0.3">
      <c r="A1" t="s">
        <v>3606</v>
      </c>
      <c r="B1" t="s">
        <v>3607</v>
      </c>
      <c r="C1" t="s">
        <v>3608</v>
      </c>
      <c r="D1" t="s">
        <v>552</v>
      </c>
      <c r="E1" t="s">
        <v>553</v>
      </c>
      <c r="F1" t="s">
        <v>3609</v>
      </c>
      <c r="G1" t="s">
        <v>3610</v>
      </c>
      <c r="H1" t="s">
        <v>559</v>
      </c>
      <c r="I1" t="s">
        <v>3611</v>
      </c>
      <c r="J1" t="s">
        <v>3612</v>
      </c>
      <c r="K1" t="s">
        <v>3613</v>
      </c>
      <c r="L1" t="s">
        <v>554</v>
      </c>
      <c r="M1" t="s">
        <v>555</v>
      </c>
      <c r="N1" t="s">
        <v>560</v>
      </c>
      <c r="O1" t="s">
        <v>565</v>
      </c>
      <c r="P1" t="s">
        <v>3614</v>
      </c>
      <c r="Q1" t="s">
        <v>3615</v>
      </c>
      <c r="R1" t="s">
        <v>3616</v>
      </c>
      <c r="S1" t="s">
        <v>3617</v>
      </c>
    </row>
    <row r="2" spans="1:19" x14ac:dyDescent="0.3">
      <c r="A2" t="s">
        <v>3618</v>
      </c>
      <c r="B2" t="s">
        <v>568</v>
      </c>
      <c r="C2" t="s">
        <v>654</v>
      </c>
      <c r="D2" t="s">
        <v>654</v>
      </c>
      <c r="E2" t="s">
        <v>655</v>
      </c>
      <c r="F2" t="s">
        <v>613</v>
      </c>
      <c r="G2" t="s">
        <v>369</v>
      </c>
      <c r="H2">
        <v>13662.94</v>
      </c>
      <c r="I2" t="s">
        <v>3619</v>
      </c>
      <c r="L2" s="452">
        <v>46454</v>
      </c>
      <c r="M2" s="452">
        <v>46476</v>
      </c>
      <c r="N2">
        <v>13662.94</v>
      </c>
      <c r="Q2" t="s">
        <v>656</v>
      </c>
      <c r="R2" t="s">
        <v>653</v>
      </c>
    </row>
    <row r="3" spans="1:19" x14ac:dyDescent="0.3">
      <c r="A3" t="s">
        <v>3620</v>
      </c>
      <c r="B3" t="s">
        <v>568</v>
      </c>
      <c r="C3" t="s">
        <v>654</v>
      </c>
      <c r="D3" t="s">
        <v>654</v>
      </c>
      <c r="E3" t="s">
        <v>661</v>
      </c>
      <c r="F3" t="s">
        <v>613</v>
      </c>
      <c r="G3" t="s">
        <v>369</v>
      </c>
      <c r="H3">
        <v>13662.94</v>
      </c>
      <c r="I3" t="s">
        <v>3619</v>
      </c>
      <c r="L3" s="452">
        <v>46426</v>
      </c>
      <c r="M3" s="452">
        <v>46446</v>
      </c>
      <c r="N3">
        <v>13662.94</v>
      </c>
      <c r="Q3" t="s">
        <v>656</v>
      </c>
      <c r="R3" t="s">
        <v>659</v>
      </c>
    </row>
    <row r="4" spans="1:19" x14ac:dyDescent="0.3">
      <c r="A4" t="s">
        <v>3621</v>
      </c>
      <c r="B4" t="s">
        <v>568</v>
      </c>
      <c r="C4" t="s">
        <v>654</v>
      </c>
      <c r="D4" t="s">
        <v>654</v>
      </c>
      <c r="E4" t="s">
        <v>675</v>
      </c>
      <c r="F4" t="s">
        <v>613</v>
      </c>
      <c r="G4" t="s">
        <v>369</v>
      </c>
      <c r="H4">
        <v>13662.94</v>
      </c>
      <c r="I4" t="s">
        <v>3619</v>
      </c>
      <c r="L4" s="452">
        <v>46395</v>
      </c>
      <c r="M4" s="452">
        <v>46417</v>
      </c>
      <c r="N4">
        <v>13662.94</v>
      </c>
      <c r="Q4" t="s">
        <v>656</v>
      </c>
      <c r="R4" t="s">
        <v>669</v>
      </c>
    </row>
    <row r="5" spans="1:19" x14ac:dyDescent="0.3">
      <c r="A5" t="s">
        <v>3622</v>
      </c>
      <c r="B5" t="s">
        <v>568</v>
      </c>
      <c r="C5" t="s">
        <v>654</v>
      </c>
      <c r="D5" t="s">
        <v>654</v>
      </c>
      <c r="E5" t="s">
        <v>718</v>
      </c>
      <c r="F5" t="s">
        <v>613</v>
      </c>
      <c r="G5" t="s">
        <v>369</v>
      </c>
      <c r="H5">
        <v>13662.94</v>
      </c>
      <c r="I5" t="s">
        <v>3619</v>
      </c>
      <c r="L5" s="452">
        <v>46364</v>
      </c>
      <c r="M5" s="452">
        <v>46386</v>
      </c>
      <c r="N5">
        <v>13662.94</v>
      </c>
      <c r="Q5" t="s">
        <v>656</v>
      </c>
      <c r="R5" t="s">
        <v>472</v>
      </c>
    </row>
    <row r="6" spans="1:19" x14ac:dyDescent="0.3">
      <c r="A6" t="s">
        <v>3623</v>
      </c>
      <c r="B6" t="s">
        <v>568</v>
      </c>
      <c r="C6" t="s">
        <v>654</v>
      </c>
      <c r="D6" t="s">
        <v>654</v>
      </c>
      <c r="E6" t="s">
        <v>776</v>
      </c>
      <c r="F6" t="s">
        <v>613</v>
      </c>
      <c r="G6" t="s">
        <v>369</v>
      </c>
      <c r="H6">
        <v>13662.94</v>
      </c>
      <c r="I6" t="s">
        <v>3619</v>
      </c>
      <c r="L6" s="452">
        <v>46334</v>
      </c>
      <c r="M6" s="452">
        <v>46356</v>
      </c>
      <c r="N6">
        <v>13662.94</v>
      </c>
      <c r="Q6" t="s">
        <v>656</v>
      </c>
      <c r="R6" t="s">
        <v>471</v>
      </c>
    </row>
    <row r="7" spans="1:19" x14ac:dyDescent="0.3">
      <c r="A7" t="s">
        <v>3624</v>
      </c>
      <c r="B7" t="s">
        <v>568</v>
      </c>
      <c r="C7" t="s">
        <v>654</v>
      </c>
      <c r="D7" t="s">
        <v>654</v>
      </c>
      <c r="E7" t="s">
        <v>782</v>
      </c>
      <c r="F7" t="s">
        <v>613</v>
      </c>
      <c r="G7" t="s">
        <v>369</v>
      </c>
      <c r="H7">
        <v>13662.94</v>
      </c>
      <c r="I7" t="s">
        <v>3619</v>
      </c>
      <c r="L7" s="452">
        <v>46303</v>
      </c>
      <c r="M7" s="452">
        <v>46325</v>
      </c>
      <c r="N7">
        <v>13662.94</v>
      </c>
      <c r="Q7" t="s">
        <v>656</v>
      </c>
      <c r="R7" t="s">
        <v>470</v>
      </c>
    </row>
    <row r="8" spans="1:19" x14ac:dyDescent="0.3">
      <c r="A8" t="s">
        <v>3625</v>
      </c>
      <c r="B8" t="s">
        <v>568</v>
      </c>
      <c r="C8" t="s">
        <v>654</v>
      </c>
      <c r="D8" t="s">
        <v>654</v>
      </c>
      <c r="E8" t="s">
        <v>788</v>
      </c>
      <c r="F8" t="s">
        <v>613</v>
      </c>
      <c r="G8" t="s">
        <v>369</v>
      </c>
      <c r="H8">
        <v>13662.94</v>
      </c>
      <c r="I8" t="s">
        <v>3619</v>
      </c>
      <c r="L8" s="452">
        <v>46273</v>
      </c>
      <c r="M8" s="452">
        <v>46295</v>
      </c>
      <c r="N8">
        <v>13662.94</v>
      </c>
      <c r="Q8" t="s">
        <v>656</v>
      </c>
      <c r="R8" t="s">
        <v>469</v>
      </c>
    </row>
    <row r="9" spans="1:19" x14ac:dyDescent="0.3">
      <c r="A9" t="s">
        <v>3626</v>
      </c>
      <c r="B9" t="s">
        <v>568</v>
      </c>
      <c r="C9" t="s">
        <v>654</v>
      </c>
      <c r="D9" t="s">
        <v>654</v>
      </c>
      <c r="E9" t="s">
        <v>796</v>
      </c>
      <c r="F9" t="s">
        <v>613</v>
      </c>
      <c r="G9" t="s">
        <v>369</v>
      </c>
      <c r="H9">
        <v>13662.94</v>
      </c>
      <c r="I9" t="s">
        <v>3619</v>
      </c>
      <c r="L9" s="452">
        <v>46242</v>
      </c>
      <c r="M9" s="452">
        <v>46264</v>
      </c>
      <c r="N9">
        <v>13662.94</v>
      </c>
      <c r="Q9" t="s">
        <v>656</v>
      </c>
      <c r="R9" t="s">
        <v>468</v>
      </c>
    </row>
    <row r="10" spans="1:19" x14ac:dyDescent="0.3">
      <c r="A10" t="s">
        <v>3627</v>
      </c>
      <c r="B10" t="s">
        <v>568</v>
      </c>
      <c r="C10" t="s">
        <v>654</v>
      </c>
      <c r="D10" t="s">
        <v>654</v>
      </c>
      <c r="E10" t="s">
        <v>817</v>
      </c>
      <c r="F10" t="s">
        <v>613</v>
      </c>
      <c r="G10" t="s">
        <v>369</v>
      </c>
      <c r="H10">
        <v>13662.94</v>
      </c>
      <c r="I10" t="s">
        <v>3619</v>
      </c>
      <c r="L10" s="452">
        <v>46211</v>
      </c>
      <c r="M10" s="452">
        <v>46233</v>
      </c>
      <c r="N10">
        <v>13662.94</v>
      </c>
      <c r="Q10" t="s">
        <v>656</v>
      </c>
      <c r="R10" t="s">
        <v>467</v>
      </c>
    </row>
    <row r="11" spans="1:19" x14ac:dyDescent="0.3">
      <c r="A11" t="s">
        <v>3628</v>
      </c>
      <c r="B11" t="s">
        <v>568</v>
      </c>
      <c r="C11" t="s">
        <v>654</v>
      </c>
      <c r="D11" t="s">
        <v>654</v>
      </c>
      <c r="E11" t="s">
        <v>918</v>
      </c>
      <c r="F11" t="s">
        <v>613</v>
      </c>
      <c r="G11" t="s">
        <v>369</v>
      </c>
      <c r="H11">
        <v>13945.76</v>
      </c>
      <c r="I11" t="s">
        <v>3619</v>
      </c>
      <c r="L11" s="452">
        <v>46181</v>
      </c>
      <c r="M11" s="452">
        <v>46203</v>
      </c>
      <c r="N11">
        <v>13945.76</v>
      </c>
      <c r="O11" t="s">
        <v>820</v>
      </c>
      <c r="P11" s="452">
        <v>46203</v>
      </c>
      <c r="Q11" t="s">
        <v>656</v>
      </c>
      <c r="R11" t="s">
        <v>466</v>
      </c>
      <c r="S11" t="s">
        <v>466</v>
      </c>
    </row>
    <row r="12" spans="1:19" x14ac:dyDescent="0.3">
      <c r="A12" t="s">
        <v>3629</v>
      </c>
      <c r="B12" t="s">
        <v>568</v>
      </c>
      <c r="C12" t="s">
        <v>654</v>
      </c>
      <c r="D12" t="s">
        <v>654</v>
      </c>
      <c r="E12" t="s">
        <v>1132</v>
      </c>
      <c r="F12" t="s">
        <v>613</v>
      </c>
      <c r="G12" t="s">
        <v>369</v>
      </c>
      <c r="H12">
        <v>13799.56</v>
      </c>
      <c r="I12" t="s">
        <v>3619</v>
      </c>
      <c r="L12" s="452">
        <v>46150</v>
      </c>
      <c r="M12" s="452">
        <v>46171</v>
      </c>
      <c r="N12">
        <v>13799.56</v>
      </c>
      <c r="O12" t="s">
        <v>820</v>
      </c>
      <c r="P12" s="452">
        <v>46171</v>
      </c>
      <c r="Q12" t="s">
        <v>1133</v>
      </c>
      <c r="R12" t="s">
        <v>465</v>
      </c>
      <c r="S12" t="s">
        <v>465</v>
      </c>
    </row>
    <row r="13" spans="1:19" x14ac:dyDescent="0.3">
      <c r="A13" t="s">
        <v>3630</v>
      </c>
      <c r="B13" t="s">
        <v>568</v>
      </c>
      <c r="C13" t="s">
        <v>654</v>
      </c>
      <c r="D13" t="s">
        <v>654</v>
      </c>
      <c r="E13" t="s">
        <v>1342</v>
      </c>
      <c r="F13" t="s">
        <v>613</v>
      </c>
      <c r="G13" t="s">
        <v>369</v>
      </c>
      <c r="H13">
        <v>13662.94</v>
      </c>
      <c r="I13" t="s">
        <v>3619</v>
      </c>
      <c r="L13" s="452">
        <v>46120</v>
      </c>
      <c r="M13" s="452">
        <v>46121</v>
      </c>
      <c r="N13">
        <v>13662.94</v>
      </c>
      <c r="O13" t="s">
        <v>820</v>
      </c>
      <c r="P13" s="452">
        <v>46120</v>
      </c>
      <c r="Q13" t="s">
        <v>656</v>
      </c>
      <c r="R13" t="s">
        <v>464</v>
      </c>
      <c r="S13" t="s">
        <v>464</v>
      </c>
    </row>
    <row r="14" spans="1:19" x14ac:dyDescent="0.3">
      <c r="A14" t="s">
        <v>3631</v>
      </c>
      <c r="B14" t="s">
        <v>568</v>
      </c>
      <c r="C14" t="s">
        <v>1629</v>
      </c>
      <c r="D14" t="s">
        <v>1629</v>
      </c>
      <c r="E14" t="s">
        <v>1021</v>
      </c>
      <c r="F14" t="s">
        <v>613</v>
      </c>
      <c r="G14" t="s">
        <v>370</v>
      </c>
      <c r="H14">
        <v>17006.75</v>
      </c>
      <c r="I14" t="s">
        <v>3632</v>
      </c>
      <c r="J14">
        <v>9</v>
      </c>
      <c r="K14">
        <v>9</v>
      </c>
      <c r="L14" s="452">
        <v>46082</v>
      </c>
      <c r="M14" s="452">
        <v>46373</v>
      </c>
      <c r="N14">
        <v>1000.75</v>
      </c>
      <c r="O14" t="s">
        <v>3633</v>
      </c>
      <c r="Q14" t="s">
        <v>1630</v>
      </c>
      <c r="R14" t="s">
        <v>472</v>
      </c>
    </row>
    <row r="15" spans="1:19" x14ac:dyDescent="0.3">
      <c r="A15" t="s">
        <v>3634</v>
      </c>
      <c r="B15" t="s">
        <v>568</v>
      </c>
      <c r="C15" t="s">
        <v>1629</v>
      </c>
      <c r="D15" t="s">
        <v>1629</v>
      </c>
      <c r="E15" t="s">
        <v>1021</v>
      </c>
      <c r="F15" t="s">
        <v>613</v>
      </c>
      <c r="G15" t="s">
        <v>370</v>
      </c>
      <c r="H15">
        <v>17006.75</v>
      </c>
      <c r="I15" t="s">
        <v>3632</v>
      </c>
      <c r="J15">
        <v>9</v>
      </c>
      <c r="K15">
        <v>8</v>
      </c>
      <c r="L15" s="452">
        <v>46082</v>
      </c>
      <c r="M15" s="452">
        <v>46343</v>
      </c>
      <c r="N15">
        <v>2000.75</v>
      </c>
      <c r="O15" t="s">
        <v>3633</v>
      </c>
      <c r="Q15" t="s">
        <v>1630</v>
      </c>
      <c r="R15" t="s">
        <v>471</v>
      </c>
    </row>
    <row r="16" spans="1:19" x14ac:dyDescent="0.3">
      <c r="A16" t="s">
        <v>3635</v>
      </c>
      <c r="B16" t="s">
        <v>568</v>
      </c>
      <c r="C16" t="s">
        <v>1629</v>
      </c>
      <c r="D16" t="s">
        <v>1629</v>
      </c>
      <c r="E16" t="s">
        <v>1021</v>
      </c>
      <c r="F16" t="s">
        <v>613</v>
      </c>
      <c r="G16" t="s">
        <v>370</v>
      </c>
      <c r="H16">
        <v>17006.75</v>
      </c>
      <c r="I16" t="s">
        <v>3632</v>
      </c>
      <c r="J16">
        <v>9</v>
      </c>
      <c r="K16">
        <v>7</v>
      </c>
      <c r="L16" s="452">
        <v>46082</v>
      </c>
      <c r="M16" s="452">
        <v>46314</v>
      </c>
      <c r="N16">
        <v>2000.75</v>
      </c>
      <c r="O16" t="s">
        <v>3633</v>
      </c>
      <c r="Q16" t="s">
        <v>1630</v>
      </c>
      <c r="R16" t="s">
        <v>470</v>
      </c>
    </row>
    <row r="17" spans="1:19" x14ac:dyDescent="0.3">
      <c r="A17" t="s">
        <v>3636</v>
      </c>
      <c r="B17" t="s">
        <v>568</v>
      </c>
      <c r="C17" t="s">
        <v>1629</v>
      </c>
      <c r="D17" t="s">
        <v>1629</v>
      </c>
      <c r="E17" t="s">
        <v>1021</v>
      </c>
      <c r="F17" t="s">
        <v>613</v>
      </c>
      <c r="G17" t="s">
        <v>370</v>
      </c>
      <c r="H17">
        <v>17006.75</v>
      </c>
      <c r="I17" t="s">
        <v>3632</v>
      </c>
      <c r="J17">
        <v>9</v>
      </c>
      <c r="K17">
        <v>6</v>
      </c>
      <c r="L17" s="452">
        <v>46082</v>
      </c>
      <c r="M17" s="452">
        <v>46282</v>
      </c>
      <c r="N17">
        <v>2000.75</v>
      </c>
      <c r="O17" t="s">
        <v>3633</v>
      </c>
      <c r="Q17" t="s">
        <v>1630</v>
      </c>
      <c r="R17" t="s">
        <v>469</v>
      </c>
    </row>
    <row r="18" spans="1:19" x14ac:dyDescent="0.3">
      <c r="A18" t="s">
        <v>3637</v>
      </c>
      <c r="B18" t="s">
        <v>568</v>
      </c>
      <c r="C18" t="s">
        <v>1629</v>
      </c>
      <c r="D18" t="s">
        <v>1629</v>
      </c>
      <c r="E18" t="s">
        <v>1021</v>
      </c>
      <c r="F18" t="s">
        <v>613</v>
      </c>
      <c r="G18" t="s">
        <v>370</v>
      </c>
      <c r="H18">
        <v>17006.75</v>
      </c>
      <c r="I18" t="s">
        <v>3632</v>
      </c>
      <c r="J18">
        <v>9</v>
      </c>
      <c r="K18">
        <v>5</v>
      </c>
      <c r="L18" s="452">
        <v>46082</v>
      </c>
      <c r="M18" s="452">
        <v>46251</v>
      </c>
      <c r="N18">
        <v>2000.75</v>
      </c>
      <c r="O18" t="s">
        <v>3633</v>
      </c>
      <c r="Q18" t="s">
        <v>1630</v>
      </c>
      <c r="R18" t="s">
        <v>468</v>
      </c>
    </row>
    <row r="19" spans="1:19" x14ac:dyDescent="0.3">
      <c r="A19" t="s">
        <v>3638</v>
      </c>
      <c r="B19" t="s">
        <v>568</v>
      </c>
      <c r="C19" t="s">
        <v>1629</v>
      </c>
      <c r="D19" t="s">
        <v>1629</v>
      </c>
      <c r="E19" t="s">
        <v>1021</v>
      </c>
      <c r="F19" t="s">
        <v>613</v>
      </c>
      <c r="G19" t="s">
        <v>370</v>
      </c>
      <c r="H19">
        <v>17006.75</v>
      </c>
      <c r="I19" t="s">
        <v>3632</v>
      </c>
      <c r="J19">
        <v>9</v>
      </c>
      <c r="K19">
        <v>4</v>
      </c>
      <c r="L19" s="452">
        <v>46082</v>
      </c>
      <c r="M19" s="452">
        <v>46220</v>
      </c>
      <c r="N19">
        <v>2000.75</v>
      </c>
      <c r="O19" t="s">
        <v>3633</v>
      </c>
      <c r="Q19" t="s">
        <v>1630</v>
      </c>
      <c r="R19" t="s">
        <v>467</v>
      </c>
    </row>
    <row r="20" spans="1:19" x14ac:dyDescent="0.3">
      <c r="A20" t="s">
        <v>3639</v>
      </c>
      <c r="B20" t="s">
        <v>568</v>
      </c>
      <c r="C20" t="s">
        <v>1629</v>
      </c>
      <c r="D20" t="s">
        <v>1629</v>
      </c>
      <c r="E20" t="s">
        <v>1021</v>
      </c>
      <c r="F20" t="s">
        <v>613</v>
      </c>
      <c r="G20" t="s">
        <v>370</v>
      </c>
      <c r="H20">
        <v>17006.75</v>
      </c>
      <c r="I20" t="s">
        <v>3632</v>
      </c>
      <c r="J20">
        <v>9</v>
      </c>
      <c r="K20">
        <v>3</v>
      </c>
      <c r="L20" s="452">
        <v>46082</v>
      </c>
      <c r="M20" s="452">
        <v>46190</v>
      </c>
      <c r="N20">
        <v>2000.75</v>
      </c>
      <c r="O20" t="s">
        <v>820</v>
      </c>
      <c r="P20" s="452">
        <v>46190</v>
      </c>
      <c r="Q20" t="s">
        <v>1630</v>
      </c>
      <c r="R20" t="s">
        <v>466</v>
      </c>
      <c r="S20" t="s">
        <v>466</v>
      </c>
    </row>
    <row r="21" spans="1:19" x14ac:dyDescent="0.3">
      <c r="A21" t="s">
        <v>3640</v>
      </c>
      <c r="B21" t="s">
        <v>568</v>
      </c>
      <c r="C21" t="s">
        <v>1629</v>
      </c>
      <c r="D21" t="s">
        <v>1629</v>
      </c>
      <c r="E21" t="s">
        <v>1021</v>
      </c>
      <c r="F21" t="s">
        <v>613</v>
      </c>
      <c r="G21" t="s">
        <v>370</v>
      </c>
      <c r="H21">
        <v>17006.75</v>
      </c>
      <c r="I21" t="s">
        <v>3632</v>
      </c>
      <c r="J21">
        <v>9</v>
      </c>
      <c r="K21">
        <v>2</v>
      </c>
      <c r="L21" s="452">
        <v>46082</v>
      </c>
      <c r="M21" s="452">
        <v>46160</v>
      </c>
      <c r="N21">
        <v>2000.75</v>
      </c>
      <c r="O21" t="s">
        <v>820</v>
      </c>
      <c r="P21" s="452">
        <v>46160</v>
      </c>
      <c r="Q21" t="s">
        <v>1630</v>
      </c>
      <c r="R21" t="s">
        <v>465</v>
      </c>
      <c r="S21" t="s">
        <v>465</v>
      </c>
    </row>
    <row r="22" spans="1:19" x14ac:dyDescent="0.3">
      <c r="A22" t="s">
        <v>3641</v>
      </c>
      <c r="B22" t="s">
        <v>568</v>
      </c>
      <c r="C22" t="s">
        <v>1629</v>
      </c>
      <c r="D22" t="s">
        <v>1629</v>
      </c>
      <c r="E22" t="s">
        <v>1021</v>
      </c>
      <c r="F22" t="s">
        <v>613</v>
      </c>
      <c r="G22" t="s">
        <v>370</v>
      </c>
      <c r="H22">
        <v>17006.75</v>
      </c>
      <c r="I22" t="s">
        <v>3632</v>
      </c>
      <c r="J22">
        <v>9</v>
      </c>
      <c r="K22">
        <v>1</v>
      </c>
      <c r="L22" s="452">
        <v>46082</v>
      </c>
      <c r="M22" s="452">
        <v>46129</v>
      </c>
      <c r="N22">
        <v>2000.75</v>
      </c>
      <c r="O22" t="s">
        <v>820</v>
      </c>
      <c r="P22" s="452">
        <v>46128</v>
      </c>
      <c r="Q22" t="s">
        <v>1630</v>
      </c>
      <c r="R22" t="s">
        <v>464</v>
      </c>
      <c r="S22" t="s">
        <v>464</v>
      </c>
    </row>
    <row r="23" spans="1:19" x14ac:dyDescent="0.3">
      <c r="A23" t="s">
        <v>3642</v>
      </c>
      <c r="B23" t="s">
        <v>568</v>
      </c>
      <c r="C23" t="s">
        <v>1629</v>
      </c>
      <c r="D23" t="s">
        <v>1629</v>
      </c>
      <c r="E23" t="s">
        <v>1021</v>
      </c>
      <c r="F23" t="s">
        <v>613</v>
      </c>
      <c r="G23" t="s">
        <v>370</v>
      </c>
      <c r="H23">
        <v>17006.75</v>
      </c>
      <c r="I23" t="s">
        <v>3619</v>
      </c>
      <c r="L23" s="452">
        <v>46082</v>
      </c>
      <c r="M23" s="452">
        <v>46129</v>
      </c>
      <c r="N23">
        <v>17006.75</v>
      </c>
      <c r="Q23" t="s">
        <v>1630</v>
      </c>
      <c r="R23" t="s">
        <v>464</v>
      </c>
    </row>
    <row r="24" spans="1:19" x14ac:dyDescent="0.3">
      <c r="A24" t="s">
        <v>3643</v>
      </c>
      <c r="B24" t="s">
        <v>568</v>
      </c>
      <c r="C24" t="s">
        <v>606</v>
      </c>
      <c r="D24" t="s">
        <v>606</v>
      </c>
      <c r="E24" t="s">
        <v>1699</v>
      </c>
      <c r="F24" t="s">
        <v>613</v>
      </c>
      <c r="G24" t="s">
        <v>369</v>
      </c>
      <c r="H24">
        <v>20904.14</v>
      </c>
      <c r="I24" t="s">
        <v>3619</v>
      </c>
      <c r="L24" s="452">
        <v>46077</v>
      </c>
      <c r="M24" s="452">
        <v>46077</v>
      </c>
      <c r="N24">
        <v>21042.1</v>
      </c>
      <c r="O24" t="s">
        <v>820</v>
      </c>
      <c r="P24" s="452">
        <v>46077</v>
      </c>
      <c r="Q24" t="s">
        <v>1700</v>
      </c>
      <c r="R24" t="s">
        <v>462</v>
      </c>
      <c r="S24" t="s">
        <v>462</v>
      </c>
    </row>
    <row r="25" spans="1:19" x14ac:dyDescent="0.3">
      <c r="A25" t="s">
        <v>3644</v>
      </c>
      <c r="B25" t="s">
        <v>568</v>
      </c>
      <c r="C25" t="s">
        <v>606</v>
      </c>
      <c r="D25" t="s">
        <v>606</v>
      </c>
      <c r="E25" t="s">
        <v>1500</v>
      </c>
      <c r="F25" t="s">
        <v>613</v>
      </c>
      <c r="G25" t="s">
        <v>369</v>
      </c>
      <c r="H25">
        <v>20899.169999999998</v>
      </c>
      <c r="I25" t="s">
        <v>3619</v>
      </c>
      <c r="L25" s="452">
        <v>46109</v>
      </c>
      <c r="M25" s="452">
        <v>46091</v>
      </c>
      <c r="N25">
        <v>20899.169999999998</v>
      </c>
      <c r="O25" t="s">
        <v>820</v>
      </c>
      <c r="P25" s="452">
        <v>46092</v>
      </c>
      <c r="Q25" t="s">
        <v>1501</v>
      </c>
      <c r="R25" t="s">
        <v>463</v>
      </c>
      <c r="S25" t="s">
        <v>463</v>
      </c>
    </row>
    <row r="26" spans="1:19" x14ac:dyDescent="0.3">
      <c r="A26" t="s">
        <v>3645</v>
      </c>
      <c r="B26" t="s">
        <v>568</v>
      </c>
      <c r="C26" t="s">
        <v>606</v>
      </c>
      <c r="D26" t="s">
        <v>606</v>
      </c>
      <c r="E26" t="s">
        <v>1683</v>
      </c>
      <c r="F26" t="s">
        <v>613</v>
      </c>
      <c r="G26" t="s">
        <v>369</v>
      </c>
      <c r="H26">
        <v>29465.01</v>
      </c>
      <c r="I26" t="s">
        <v>3619</v>
      </c>
      <c r="L26" s="452">
        <v>46081</v>
      </c>
      <c r="M26" s="452">
        <v>46101</v>
      </c>
      <c r="N26">
        <v>29465.01</v>
      </c>
      <c r="O26" t="s">
        <v>820</v>
      </c>
      <c r="P26" s="452">
        <v>46073</v>
      </c>
      <c r="Q26" t="s">
        <v>1684</v>
      </c>
      <c r="R26" t="s">
        <v>463</v>
      </c>
      <c r="S26" t="s">
        <v>462</v>
      </c>
    </row>
    <row r="27" spans="1:19" x14ac:dyDescent="0.3">
      <c r="A27" t="s">
        <v>3646</v>
      </c>
      <c r="B27" t="s">
        <v>568</v>
      </c>
      <c r="C27" t="s">
        <v>606</v>
      </c>
      <c r="D27" t="s">
        <v>606</v>
      </c>
      <c r="E27" t="s">
        <v>2063</v>
      </c>
      <c r="F27" t="s">
        <v>613</v>
      </c>
      <c r="G27" t="s">
        <v>369</v>
      </c>
      <c r="H27">
        <v>26206.03</v>
      </c>
      <c r="I27" t="s">
        <v>3619</v>
      </c>
      <c r="L27" s="452">
        <v>46021</v>
      </c>
      <c r="M27" s="452">
        <v>46042</v>
      </c>
      <c r="N27">
        <v>26206.03</v>
      </c>
      <c r="O27" t="s">
        <v>820</v>
      </c>
      <c r="P27" s="452">
        <v>46071</v>
      </c>
      <c r="Q27" t="s">
        <v>2064</v>
      </c>
      <c r="R27" t="s">
        <v>461</v>
      </c>
      <c r="S27" t="s">
        <v>462</v>
      </c>
    </row>
    <row r="28" spans="1:19" x14ac:dyDescent="0.3">
      <c r="A28" t="s">
        <v>3647</v>
      </c>
      <c r="B28" t="s">
        <v>568</v>
      </c>
      <c r="C28" t="s">
        <v>606</v>
      </c>
      <c r="D28" t="s">
        <v>606</v>
      </c>
      <c r="E28" t="s">
        <v>3648</v>
      </c>
      <c r="F28" t="s">
        <v>613</v>
      </c>
      <c r="G28" t="s">
        <v>369</v>
      </c>
      <c r="H28">
        <v>76491.33</v>
      </c>
      <c r="I28" t="s">
        <v>3619</v>
      </c>
      <c r="L28" s="452">
        <v>45987</v>
      </c>
      <c r="M28" s="452">
        <v>46082</v>
      </c>
      <c r="N28">
        <v>76491.33</v>
      </c>
      <c r="O28" t="s">
        <v>820</v>
      </c>
      <c r="P28" s="452">
        <v>46083</v>
      </c>
      <c r="Q28" t="s">
        <v>3649</v>
      </c>
      <c r="R28" t="s">
        <v>463</v>
      </c>
      <c r="S28" t="s">
        <v>463</v>
      </c>
    </row>
    <row r="29" spans="1:19" x14ac:dyDescent="0.3">
      <c r="A29" t="s">
        <v>3650</v>
      </c>
      <c r="B29" t="s">
        <v>568</v>
      </c>
      <c r="C29" t="s">
        <v>606</v>
      </c>
      <c r="D29" t="s">
        <v>606</v>
      </c>
      <c r="E29" t="s">
        <v>3651</v>
      </c>
      <c r="F29" t="s">
        <v>613</v>
      </c>
      <c r="G29" t="s">
        <v>369</v>
      </c>
      <c r="H29">
        <v>67925.490000000005</v>
      </c>
      <c r="I29" t="s">
        <v>3619</v>
      </c>
      <c r="L29" s="452">
        <v>45987</v>
      </c>
      <c r="M29" s="452">
        <v>46054</v>
      </c>
      <c r="N29">
        <v>67925.490000000005</v>
      </c>
      <c r="O29" t="s">
        <v>820</v>
      </c>
      <c r="P29" s="452">
        <v>46055</v>
      </c>
      <c r="Q29" t="s">
        <v>3652</v>
      </c>
      <c r="R29" t="s">
        <v>462</v>
      </c>
      <c r="S29" t="s">
        <v>462</v>
      </c>
    </row>
    <row r="30" spans="1:19" x14ac:dyDescent="0.3">
      <c r="A30" t="s">
        <v>3653</v>
      </c>
      <c r="B30" t="s">
        <v>568</v>
      </c>
      <c r="C30" t="s">
        <v>606</v>
      </c>
      <c r="D30" t="s">
        <v>606</v>
      </c>
      <c r="E30" t="s">
        <v>3654</v>
      </c>
      <c r="F30" t="s">
        <v>613</v>
      </c>
      <c r="G30" t="s">
        <v>369</v>
      </c>
      <c r="H30">
        <v>76504.36</v>
      </c>
      <c r="I30" t="s">
        <v>3619</v>
      </c>
      <c r="L30" s="452">
        <v>45987</v>
      </c>
      <c r="M30" s="452">
        <v>46023</v>
      </c>
      <c r="N30">
        <v>76504.36</v>
      </c>
      <c r="O30" t="s">
        <v>820</v>
      </c>
      <c r="P30" s="452">
        <v>46024</v>
      </c>
      <c r="Q30" t="s">
        <v>3655</v>
      </c>
      <c r="R30" t="s">
        <v>461</v>
      </c>
      <c r="S30" t="s">
        <v>461</v>
      </c>
    </row>
    <row r="31" spans="1:19" x14ac:dyDescent="0.3">
      <c r="A31" t="s">
        <v>3656</v>
      </c>
      <c r="B31" t="s">
        <v>568</v>
      </c>
      <c r="C31" t="s">
        <v>606</v>
      </c>
      <c r="D31" t="s">
        <v>606</v>
      </c>
      <c r="E31" t="s">
        <v>3657</v>
      </c>
      <c r="F31" t="s">
        <v>613</v>
      </c>
      <c r="G31" t="s">
        <v>369</v>
      </c>
      <c r="H31">
        <v>73778.17</v>
      </c>
      <c r="I31" t="s">
        <v>3619</v>
      </c>
      <c r="L31" s="452">
        <v>45987</v>
      </c>
      <c r="M31" s="452">
        <v>45992</v>
      </c>
      <c r="N31">
        <v>73778.17</v>
      </c>
      <c r="O31" t="s">
        <v>820</v>
      </c>
      <c r="P31" s="452">
        <v>45992</v>
      </c>
      <c r="Q31" t="s">
        <v>3658</v>
      </c>
      <c r="R31" t="s">
        <v>460</v>
      </c>
      <c r="S31" t="s">
        <v>460</v>
      </c>
    </row>
    <row r="32" spans="1:19" x14ac:dyDescent="0.3">
      <c r="A32" t="s">
        <v>3659</v>
      </c>
      <c r="B32" t="s">
        <v>568</v>
      </c>
      <c r="C32" t="s">
        <v>606</v>
      </c>
      <c r="D32" t="s">
        <v>606</v>
      </c>
      <c r="E32" t="s">
        <v>612</v>
      </c>
      <c r="F32" t="s">
        <v>613</v>
      </c>
      <c r="G32" t="s">
        <v>369</v>
      </c>
      <c r="H32">
        <v>5792.21</v>
      </c>
      <c r="I32" t="s">
        <v>3619</v>
      </c>
      <c r="L32" s="452">
        <v>46874</v>
      </c>
      <c r="M32" s="452">
        <v>46875</v>
      </c>
      <c r="N32">
        <v>5792.21</v>
      </c>
      <c r="Q32" t="s">
        <v>614</v>
      </c>
      <c r="R32" t="s">
        <v>615</v>
      </c>
    </row>
    <row r="33" spans="1:18" x14ac:dyDescent="0.3">
      <c r="A33" t="s">
        <v>3660</v>
      </c>
      <c r="B33" t="s">
        <v>568</v>
      </c>
      <c r="C33" t="s">
        <v>606</v>
      </c>
      <c r="D33" t="s">
        <v>606</v>
      </c>
      <c r="E33" t="s">
        <v>617</v>
      </c>
      <c r="F33" t="s">
        <v>613</v>
      </c>
      <c r="G33" t="s">
        <v>369</v>
      </c>
      <c r="H33">
        <v>5792.21</v>
      </c>
      <c r="I33" t="s">
        <v>3619</v>
      </c>
      <c r="L33" s="452">
        <v>46844</v>
      </c>
      <c r="M33" s="452">
        <v>46845</v>
      </c>
      <c r="N33">
        <v>5792.21</v>
      </c>
      <c r="Q33" t="s">
        <v>614</v>
      </c>
      <c r="R33" t="s">
        <v>616</v>
      </c>
    </row>
    <row r="34" spans="1:18" x14ac:dyDescent="0.3">
      <c r="A34" t="s">
        <v>3661</v>
      </c>
      <c r="B34" t="s">
        <v>568</v>
      </c>
      <c r="C34" t="s">
        <v>606</v>
      </c>
      <c r="D34" t="s">
        <v>606</v>
      </c>
      <c r="E34" t="s">
        <v>619</v>
      </c>
      <c r="F34" t="s">
        <v>613</v>
      </c>
      <c r="G34" t="s">
        <v>369</v>
      </c>
      <c r="H34">
        <v>5792.21</v>
      </c>
      <c r="I34" t="s">
        <v>3619</v>
      </c>
      <c r="L34" s="452">
        <v>46813</v>
      </c>
      <c r="M34" s="452">
        <v>46814</v>
      </c>
      <c r="N34">
        <v>5792.21</v>
      </c>
      <c r="Q34" t="s">
        <v>614</v>
      </c>
      <c r="R34" t="s">
        <v>618</v>
      </c>
    </row>
    <row r="35" spans="1:18" x14ac:dyDescent="0.3">
      <c r="A35" t="s">
        <v>3662</v>
      </c>
      <c r="B35" t="s">
        <v>568</v>
      </c>
      <c r="C35" t="s">
        <v>606</v>
      </c>
      <c r="D35" t="s">
        <v>606</v>
      </c>
      <c r="E35" t="s">
        <v>621</v>
      </c>
      <c r="F35" t="s">
        <v>613</v>
      </c>
      <c r="G35" t="s">
        <v>369</v>
      </c>
      <c r="H35">
        <v>5792.21</v>
      </c>
      <c r="I35" t="s">
        <v>3619</v>
      </c>
      <c r="L35" s="452">
        <v>46784</v>
      </c>
      <c r="M35" s="452">
        <v>46785</v>
      </c>
      <c r="N35">
        <v>5792.21</v>
      </c>
      <c r="Q35" t="s">
        <v>614</v>
      </c>
      <c r="R35" t="s">
        <v>620</v>
      </c>
    </row>
    <row r="36" spans="1:18" x14ac:dyDescent="0.3">
      <c r="A36" t="s">
        <v>3663</v>
      </c>
      <c r="B36" t="s">
        <v>568</v>
      </c>
      <c r="C36" t="s">
        <v>606</v>
      </c>
      <c r="D36" t="s">
        <v>606</v>
      </c>
      <c r="E36" t="s">
        <v>623</v>
      </c>
      <c r="F36" t="s">
        <v>613</v>
      </c>
      <c r="G36" t="s">
        <v>369</v>
      </c>
      <c r="H36">
        <v>5792.21</v>
      </c>
      <c r="I36" t="s">
        <v>3619</v>
      </c>
      <c r="L36" s="452">
        <v>46753</v>
      </c>
      <c r="M36" s="452">
        <v>46754</v>
      </c>
      <c r="N36">
        <v>5792.21</v>
      </c>
      <c r="Q36" t="s">
        <v>614</v>
      </c>
      <c r="R36" t="s">
        <v>622</v>
      </c>
    </row>
    <row r="37" spans="1:18" x14ac:dyDescent="0.3">
      <c r="A37" t="s">
        <v>3664</v>
      </c>
      <c r="B37" t="s">
        <v>568</v>
      </c>
      <c r="C37" t="s">
        <v>606</v>
      </c>
      <c r="D37" t="s">
        <v>606</v>
      </c>
      <c r="E37" t="s">
        <v>625</v>
      </c>
      <c r="F37" t="s">
        <v>613</v>
      </c>
      <c r="G37" t="s">
        <v>369</v>
      </c>
      <c r="H37">
        <v>5792.21</v>
      </c>
      <c r="I37" t="s">
        <v>3619</v>
      </c>
      <c r="L37" s="452">
        <v>46722</v>
      </c>
      <c r="M37" s="452">
        <v>46723</v>
      </c>
      <c r="N37">
        <v>5792.21</v>
      </c>
      <c r="Q37" t="s">
        <v>614</v>
      </c>
      <c r="R37" t="s">
        <v>624</v>
      </c>
    </row>
    <row r="38" spans="1:18" x14ac:dyDescent="0.3">
      <c r="A38" t="s">
        <v>3665</v>
      </c>
      <c r="B38" t="s">
        <v>568</v>
      </c>
      <c r="C38" t="s">
        <v>606</v>
      </c>
      <c r="D38" t="s">
        <v>606</v>
      </c>
      <c r="E38" t="s">
        <v>627</v>
      </c>
      <c r="F38" t="s">
        <v>613</v>
      </c>
      <c r="G38" t="s">
        <v>369</v>
      </c>
      <c r="H38">
        <v>5792.21</v>
      </c>
      <c r="I38" t="s">
        <v>3619</v>
      </c>
      <c r="L38" s="452">
        <v>46692</v>
      </c>
      <c r="M38" s="452">
        <v>46693</v>
      </c>
      <c r="N38">
        <v>5792.21</v>
      </c>
      <c r="Q38" t="s">
        <v>614</v>
      </c>
      <c r="R38" t="s">
        <v>626</v>
      </c>
    </row>
    <row r="39" spans="1:18" x14ac:dyDescent="0.3">
      <c r="A39" t="s">
        <v>3666</v>
      </c>
      <c r="B39" t="s">
        <v>568</v>
      </c>
      <c r="C39" t="s">
        <v>606</v>
      </c>
      <c r="D39" t="s">
        <v>606</v>
      </c>
      <c r="E39" t="s">
        <v>633</v>
      </c>
      <c r="F39" t="s">
        <v>613</v>
      </c>
      <c r="G39" t="s">
        <v>369</v>
      </c>
      <c r="H39">
        <v>5792.21</v>
      </c>
      <c r="I39" t="s">
        <v>3619</v>
      </c>
      <c r="L39" s="452">
        <v>46661</v>
      </c>
      <c r="M39" s="452">
        <v>46662</v>
      </c>
      <c r="N39">
        <v>5792.21</v>
      </c>
      <c r="Q39" t="s">
        <v>614</v>
      </c>
      <c r="R39" t="s">
        <v>632</v>
      </c>
    </row>
    <row r="40" spans="1:18" x14ac:dyDescent="0.3">
      <c r="A40" t="s">
        <v>3667</v>
      </c>
      <c r="B40" t="s">
        <v>568</v>
      </c>
      <c r="C40" t="s">
        <v>606</v>
      </c>
      <c r="D40" t="s">
        <v>606</v>
      </c>
      <c r="E40" t="s">
        <v>636</v>
      </c>
      <c r="F40" t="s">
        <v>613</v>
      </c>
      <c r="G40" t="s">
        <v>369</v>
      </c>
      <c r="H40">
        <v>5792.21</v>
      </c>
      <c r="I40" t="s">
        <v>3619</v>
      </c>
      <c r="L40" s="452">
        <v>46631</v>
      </c>
      <c r="M40" s="452">
        <v>46632</v>
      </c>
      <c r="N40">
        <v>5792.21</v>
      </c>
      <c r="Q40" t="s">
        <v>614</v>
      </c>
      <c r="R40" t="s">
        <v>635</v>
      </c>
    </row>
    <row r="41" spans="1:18" x14ac:dyDescent="0.3">
      <c r="A41" t="s">
        <v>3668</v>
      </c>
      <c r="B41" t="s">
        <v>568</v>
      </c>
      <c r="C41" t="s">
        <v>606</v>
      </c>
      <c r="D41" t="s">
        <v>606</v>
      </c>
      <c r="E41" t="s">
        <v>639</v>
      </c>
      <c r="F41" t="s">
        <v>613</v>
      </c>
      <c r="G41" t="s">
        <v>369</v>
      </c>
      <c r="H41">
        <v>5792.21</v>
      </c>
      <c r="I41" t="s">
        <v>3619</v>
      </c>
      <c r="L41" s="452">
        <v>46600</v>
      </c>
      <c r="M41" s="452">
        <v>46601</v>
      </c>
      <c r="N41">
        <v>5792.21</v>
      </c>
      <c r="Q41" t="s">
        <v>614</v>
      </c>
      <c r="R41" t="s">
        <v>638</v>
      </c>
    </row>
    <row r="42" spans="1:18" x14ac:dyDescent="0.3">
      <c r="A42" t="s">
        <v>3669</v>
      </c>
      <c r="B42" t="s">
        <v>568</v>
      </c>
      <c r="C42" t="s">
        <v>606</v>
      </c>
      <c r="D42" t="s">
        <v>606</v>
      </c>
      <c r="E42" t="s">
        <v>642</v>
      </c>
      <c r="F42" t="s">
        <v>613</v>
      </c>
      <c r="G42" t="s">
        <v>369</v>
      </c>
      <c r="H42">
        <v>5792.21</v>
      </c>
      <c r="I42" t="s">
        <v>3619</v>
      </c>
      <c r="L42" s="452">
        <v>46569</v>
      </c>
      <c r="M42" s="452">
        <v>46570</v>
      </c>
      <c r="N42">
        <v>5792.21</v>
      </c>
      <c r="Q42" t="s">
        <v>614</v>
      </c>
      <c r="R42" t="s">
        <v>641</v>
      </c>
    </row>
    <row r="43" spans="1:18" x14ac:dyDescent="0.3">
      <c r="A43" t="s">
        <v>3670</v>
      </c>
      <c r="B43" t="s">
        <v>568</v>
      </c>
      <c r="C43" t="s">
        <v>606</v>
      </c>
      <c r="D43" t="s">
        <v>606</v>
      </c>
      <c r="E43" t="s">
        <v>645</v>
      </c>
      <c r="F43" t="s">
        <v>613</v>
      </c>
      <c r="G43" t="s">
        <v>369</v>
      </c>
      <c r="H43">
        <v>5792.21</v>
      </c>
      <c r="I43" t="s">
        <v>3619</v>
      </c>
      <c r="L43" s="452">
        <v>46539</v>
      </c>
      <c r="M43" s="452">
        <v>46540</v>
      </c>
      <c r="N43">
        <v>5792.21</v>
      </c>
      <c r="Q43" t="s">
        <v>614</v>
      </c>
      <c r="R43" t="s">
        <v>644</v>
      </c>
    </row>
    <row r="44" spans="1:18" x14ac:dyDescent="0.3">
      <c r="A44" t="s">
        <v>3671</v>
      </c>
      <c r="B44" t="s">
        <v>568</v>
      </c>
      <c r="C44" t="s">
        <v>606</v>
      </c>
      <c r="D44" t="s">
        <v>606</v>
      </c>
      <c r="E44" t="s">
        <v>648</v>
      </c>
      <c r="F44" t="s">
        <v>613</v>
      </c>
      <c r="G44" t="s">
        <v>369</v>
      </c>
      <c r="H44">
        <v>5792.21</v>
      </c>
      <c r="I44" t="s">
        <v>3619</v>
      </c>
      <c r="L44" s="452">
        <v>46508</v>
      </c>
      <c r="M44" s="452">
        <v>46509</v>
      </c>
      <c r="N44">
        <v>5792.21</v>
      </c>
      <c r="Q44" t="s">
        <v>614</v>
      </c>
      <c r="R44" t="s">
        <v>647</v>
      </c>
    </row>
    <row r="45" spans="1:18" x14ac:dyDescent="0.3">
      <c r="A45" t="s">
        <v>3672</v>
      </c>
      <c r="B45" t="s">
        <v>568</v>
      </c>
      <c r="C45" t="s">
        <v>606</v>
      </c>
      <c r="D45" t="s">
        <v>606</v>
      </c>
      <c r="E45" t="s">
        <v>651</v>
      </c>
      <c r="F45" t="s">
        <v>613</v>
      </c>
      <c r="G45" t="s">
        <v>369</v>
      </c>
      <c r="H45">
        <v>5792.21</v>
      </c>
      <c r="I45" t="s">
        <v>3619</v>
      </c>
      <c r="L45" s="452">
        <v>46478</v>
      </c>
      <c r="M45" s="452">
        <v>46479</v>
      </c>
      <c r="N45">
        <v>5792.21</v>
      </c>
      <c r="Q45" t="s">
        <v>614</v>
      </c>
      <c r="R45" t="s">
        <v>650</v>
      </c>
    </row>
    <row r="46" spans="1:18" x14ac:dyDescent="0.3">
      <c r="A46" t="s">
        <v>3673</v>
      </c>
      <c r="B46" t="s">
        <v>568</v>
      </c>
      <c r="C46" t="s">
        <v>606</v>
      </c>
      <c r="D46" t="s">
        <v>606</v>
      </c>
      <c r="E46" t="s">
        <v>657</v>
      </c>
      <c r="F46" t="s">
        <v>613</v>
      </c>
      <c r="G46" t="s">
        <v>369</v>
      </c>
      <c r="H46">
        <v>5792.21</v>
      </c>
      <c r="I46" t="s">
        <v>3619</v>
      </c>
      <c r="L46" s="452">
        <v>46447</v>
      </c>
      <c r="M46" s="452">
        <v>46448</v>
      </c>
      <c r="N46">
        <v>5792.21</v>
      </c>
      <c r="Q46" t="s">
        <v>614</v>
      </c>
      <c r="R46" t="s">
        <v>653</v>
      </c>
    </row>
    <row r="47" spans="1:18" x14ac:dyDescent="0.3">
      <c r="A47" t="s">
        <v>3674</v>
      </c>
      <c r="B47" t="s">
        <v>568</v>
      </c>
      <c r="C47" t="s">
        <v>606</v>
      </c>
      <c r="D47" t="s">
        <v>606</v>
      </c>
      <c r="E47" t="s">
        <v>664</v>
      </c>
      <c r="F47" t="s">
        <v>613</v>
      </c>
      <c r="G47" t="s">
        <v>369</v>
      </c>
      <c r="H47">
        <v>5792.21</v>
      </c>
      <c r="I47" t="s">
        <v>3619</v>
      </c>
      <c r="L47" s="452">
        <v>46419</v>
      </c>
      <c r="M47" s="452">
        <v>46420</v>
      </c>
      <c r="N47">
        <v>5792.21</v>
      </c>
      <c r="Q47" t="s">
        <v>614</v>
      </c>
      <c r="R47" t="s">
        <v>659</v>
      </c>
    </row>
    <row r="48" spans="1:18" x14ac:dyDescent="0.3">
      <c r="A48" t="s">
        <v>3675</v>
      </c>
      <c r="B48" t="s">
        <v>568</v>
      </c>
      <c r="C48" t="s">
        <v>606</v>
      </c>
      <c r="D48" t="s">
        <v>606</v>
      </c>
      <c r="E48" t="s">
        <v>690</v>
      </c>
      <c r="F48" t="s">
        <v>613</v>
      </c>
      <c r="G48" t="s">
        <v>369</v>
      </c>
      <c r="H48">
        <v>5792.21</v>
      </c>
      <c r="I48" t="s">
        <v>3619</v>
      </c>
      <c r="L48" s="452">
        <v>46388</v>
      </c>
      <c r="M48" s="452">
        <v>46389</v>
      </c>
      <c r="N48">
        <v>5792.21</v>
      </c>
      <c r="Q48" t="s">
        <v>614</v>
      </c>
      <c r="R48" t="s">
        <v>669</v>
      </c>
    </row>
    <row r="49" spans="1:19" x14ac:dyDescent="0.3">
      <c r="A49" t="s">
        <v>3676</v>
      </c>
      <c r="B49" t="s">
        <v>568</v>
      </c>
      <c r="C49" t="s">
        <v>606</v>
      </c>
      <c r="D49" t="s">
        <v>606</v>
      </c>
      <c r="E49" t="s">
        <v>739</v>
      </c>
      <c r="F49" t="s">
        <v>613</v>
      </c>
      <c r="G49" t="s">
        <v>369</v>
      </c>
      <c r="H49">
        <v>5792.21</v>
      </c>
      <c r="I49" t="s">
        <v>3619</v>
      </c>
      <c r="L49" s="452">
        <v>46357</v>
      </c>
      <c r="M49" s="452">
        <v>46358</v>
      </c>
      <c r="N49">
        <v>5792.21</v>
      </c>
      <c r="Q49" t="s">
        <v>614</v>
      </c>
      <c r="R49" t="s">
        <v>472</v>
      </c>
    </row>
    <row r="50" spans="1:19" x14ac:dyDescent="0.3">
      <c r="A50" t="s">
        <v>3677</v>
      </c>
      <c r="B50" t="s">
        <v>568</v>
      </c>
      <c r="C50" t="s">
        <v>606</v>
      </c>
      <c r="D50" t="s">
        <v>606</v>
      </c>
      <c r="E50" t="s">
        <v>780</v>
      </c>
      <c r="F50" t="s">
        <v>613</v>
      </c>
      <c r="G50" t="s">
        <v>369</v>
      </c>
      <c r="H50">
        <v>5792.21</v>
      </c>
      <c r="I50" t="s">
        <v>3619</v>
      </c>
      <c r="L50" s="452">
        <v>46327</v>
      </c>
      <c r="M50" s="452">
        <v>46328</v>
      </c>
      <c r="N50">
        <v>5792.21</v>
      </c>
      <c r="Q50" t="s">
        <v>614</v>
      </c>
      <c r="R50" t="s">
        <v>471</v>
      </c>
    </row>
    <row r="51" spans="1:19" x14ac:dyDescent="0.3">
      <c r="A51" t="s">
        <v>3678</v>
      </c>
      <c r="B51" t="s">
        <v>568</v>
      </c>
      <c r="C51" t="s">
        <v>606</v>
      </c>
      <c r="D51" t="s">
        <v>606</v>
      </c>
      <c r="E51" t="s">
        <v>786</v>
      </c>
      <c r="F51" t="s">
        <v>613</v>
      </c>
      <c r="G51" t="s">
        <v>369</v>
      </c>
      <c r="H51">
        <v>5792.21</v>
      </c>
      <c r="I51" t="s">
        <v>3619</v>
      </c>
      <c r="L51" s="452">
        <v>46296</v>
      </c>
      <c r="M51" s="452">
        <v>46297</v>
      </c>
      <c r="N51">
        <v>5792.21</v>
      </c>
      <c r="Q51" t="s">
        <v>614</v>
      </c>
      <c r="R51" t="s">
        <v>470</v>
      </c>
    </row>
    <row r="52" spans="1:19" x14ac:dyDescent="0.3">
      <c r="A52" t="s">
        <v>3679</v>
      </c>
      <c r="B52" t="s">
        <v>568</v>
      </c>
      <c r="C52" t="s">
        <v>606</v>
      </c>
      <c r="D52" t="s">
        <v>606</v>
      </c>
      <c r="E52" t="s">
        <v>792</v>
      </c>
      <c r="F52" t="s">
        <v>613</v>
      </c>
      <c r="G52" t="s">
        <v>369</v>
      </c>
      <c r="H52">
        <v>5792.21</v>
      </c>
      <c r="I52" t="s">
        <v>3619</v>
      </c>
      <c r="L52" s="452">
        <v>46266</v>
      </c>
      <c r="M52" s="452">
        <v>46267</v>
      </c>
      <c r="N52">
        <v>5792.21</v>
      </c>
      <c r="Q52" t="s">
        <v>614</v>
      </c>
      <c r="R52" t="s">
        <v>469</v>
      </c>
    </row>
    <row r="53" spans="1:19" x14ac:dyDescent="0.3">
      <c r="A53" t="s">
        <v>3680</v>
      </c>
      <c r="B53" t="s">
        <v>568</v>
      </c>
      <c r="C53" t="s">
        <v>606</v>
      </c>
      <c r="D53" t="s">
        <v>606</v>
      </c>
      <c r="E53" t="s">
        <v>807</v>
      </c>
      <c r="F53" t="s">
        <v>613</v>
      </c>
      <c r="G53" t="s">
        <v>369</v>
      </c>
      <c r="H53">
        <v>5792.21</v>
      </c>
      <c r="I53" t="s">
        <v>3619</v>
      </c>
      <c r="L53" s="452">
        <v>46235</v>
      </c>
      <c r="M53" s="452">
        <v>46236</v>
      </c>
      <c r="N53">
        <v>5792.21</v>
      </c>
      <c r="Q53" t="s">
        <v>614</v>
      </c>
      <c r="R53" t="s">
        <v>468</v>
      </c>
    </row>
    <row r="54" spans="1:19" x14ac:dyDescent="0.3">
      <c r="A54" t="s">
        <v>3681</v>
      </c>
      <c r="B54" t="s">
        <v>568</v>
      </c>
      <c r="C54" t="s">
        <v>606</v>
      </c>
      <c r="D54" t="s">
        <v>606</v>
      </c>
      <c r="E54" t="s">
        <v>844</v>
      </c>
      <c r="F54" t="s">
        <v>613</v>
      </c>
      <c r="G54" t="s">
        <v>369</v>
      </c>
      <c r="H54">
        <v>5792.21</v>
      </c>
      <c r="I54" t="s">
        <v>3619</v>
      </c>
      <c r="L54" s="452">
        <v>46204</v>
      </c>
      <c r="M54" s="452">
        <v>46206</v>
      </c>
      <c r="N54">
        <v>5792.21</v>
      </c>
      <c r="O54" t="s">
        <v>832</v>
      </c>
      <c r="Q54" t="s">
        <v>614</v>
      </c>
      <c r="R54" t="s">
        <v>467</v>
      </c>
    </row>
    <row r="55" spans="1:19" x14ac:dyDescent="0.3">
      <c r="A55" t="s">
        <v>3682</v>
      </c>
      <c r="B55" t="s">
        <v>568</v>
      </c>
      <c r="C55" t="s">
        <v>606</v>
      </c>
      <c r="D55" t="s">
        <v>606</v>
      </c>
      <c r="E55" t="s">
        <v>1040</v>
      </c>
      <c r="F55" t="s">
        <v>613</v>
      </c>
      <c r="G55" t="s">
        <v>369</v>
      </c>
      <c r="H55">
        <v>5792.21</v>
      </c>
      <c r="I55" t="s">
        <v>3619</v>
      </c>
      <c r="L55" s="452">
        <v>46174</v>
      </c>
      <c r="M55" s="452">
        <v>46175</v>
      </c>
      <c r="N55">
        <v>5792.21</v>
      </c>
      <c r="O55" t="s">
        <v>820</v>
      </c>
      <c r="P55" s="452">
        <v>46175</v>
      </c>
      <c r="Q55" t="s">
        <v>614</v>
      </c>
      <c r="R55" t="s">
        <v>466</v>
      </c>
      <c r="S55" t="s">
        <v>466</v>
      </c>
    </row>
    <row r="56" spans="1:19" x14ac:dyDescent="0.3">
      <c r="A56" t="s">
        <v>3683</v>
      </c>
      <c r="B56" t="s">
        <v>568</v>
      </c>
      <c r="C56" t="s">
        <v>606</v>
      </c>
      <c r="D56" t="s">
        <v>606</v>
      </c>
      <c r="E56" t="s">
        <v>1270</v>
      </c>
      <c r="F56" t="s">
        <v>613</v>
      </c>
      <c r="G56" t="s">
        <v>369</v>
      </c>
      <c r="H56">
        <v>5792.21</v>
      </c>
      <c r="I56" t="s">
        <v>3619</v>
      </c>
      <c r="L56" s="452">
        <v>46143</v>
      </c>
      <c r="M56" s="452">
        <v>46146</v>
      </c>
      <c r="N56">
        <v>5792.21</v>
      </c>
      <c r="O56" t="s">
        <v>820</v>
      </c>
      <c r="P56" s="452">
        <v>46146</v>
      </c>
      <c r="Q56" t="s">
        <v>614</v>
      </c>
      <c r="R56" t="s">
        <v>465</v>
      </c>
      <c r="S56" t="s">
        <v>465</v>
      </c>
    </row>
    <row r="57" spans="1:19" x14ac:dyDescent="0.3">
      <c r="A57" t="s">
        <v>3684</v>
      </c>
      <c r="B57" t="s">
        <v>568</v>
      </c>
      <c r="C57" t="s">
        <v>606</v>
      </c>
      <c r="D57" t="s">
        <v>606</v>
      </c>
      <c r="E57" t="s">
        <v>1455</v>
      </c>
      <c r="F57" t="s">
        <v>613</v>
      </c>
      <c r="G57" t="s">
        <v>369</v>
      </c>
      <c r="H57">
        <v>5792.21</v>
      </c>
      <c r="I57" t="s">
        <v>3619</v>
      </c>
      <c r="L57" s="452">
        <v>46113</v>
      </c>
      <c r="M57" s="452">
        <v>46114</v>
      </c>
      <c r="N57">
        <v>5792.21</v>
      </c>
      <c r="O57" t="s">
        <v>820</v>
      </c>
      <c r="P57" s="452">
        <v>46114</v>
      </c>
      <c r="Q57" t="s">
        <v>614</v>
      </c>
      <c r="R57" t="s">
        <v>464</v>
      </c>
      <c r="S57" t="s">
        <v>464</v>
      </c>
    </row>
    <row r="58" spans="1:19" x14ac:dyDescent="0.3">
      <c r="A58" t="s">
        <v>3685</v>
      </c>
      <c r="B58" t="s">
        <v>568</v>
      </c>
      <c r="C58" t="s">
        <v>606</v>
      </c>
      <c r="D58" t="s">
        <v>606</v>
      </c>
      <c r="E58" t="s">
        <v>1577</v>
      </c>
      <c r="F58" t="s">
        <v>613</v>
      </c>
      <c r="G58" t="s">
        <v>369</v>
      </c>
      <c r="H58">
        <v>5792.21</v>
      </c>
      <c r="I58" t="s">
        <v>3619</v>
      </c>
      <c r="L58" s="452">
        <v>46082</v>
      </c>
      <c r="M58" s="452">
        <v>46083</v>
      </c>
      <c r="N58">
        <v>5792.21</v>
      </c>
      <c r="O58" t="s">
        <v>820</v>
      </c>
      <c r="P58" s="452">
        <v>46083</v>
      </c>
      <c r="Q58" t="s">
        <v>1578</v>
      </c>
      <c r="R58" t="s">
        <v>463</v>
      </c>
      <c r="S58" t="s">
        <v>463</v>
      </c>
    </row>
    <row r="59" spans="1:19" x14ac:dyDescent="0.3">
      <c r="A59" t="s">
        <v>3686</v>
      </c>
      <c r="B59" t="s">
        <v>568</v>
      </c>
      <c r="C59" t="s">
        <v>606</v>
      </c>
      <c r="D59" t="s">
        <v>606</v>
      </c>
      <c r="E59" t="s">
        <v>1804</v>
      </c>
      <c r="F59" t="s">
        <v>613</v>
      </c>
      <c r="G59" t="s">
        <v>369</v>
      </c>
      <c r="H59">
        <v>5792.21</v>
      </c>
      <c r="I59" t="s">
        <v>3619</v>
      </c>
      <c r="L59" s="452">
        <v>46054</v>
      </c>
      <c r="M59" s="452">
        <v>46055</v>
      </c>
      <c r="N59">
        <v>5792.21</v>
      </c>
      <c r="O59" t="s">
        <v>820</v>
      </c>
      <c r="P59" s="452">
        <v>46055</v>
      </c>
      <c r="Q59" t="s">
        <v>1578</v>
      </c>
      <c r="R59" t="s">
        <v>462</v>
      </c>
      <c r="S59" t="s">
        <v>462</v>
      </c>
    </row>
    <row r="60" spans="1:19" x14ac:dyDescent="0.3">
      <c r="A60" t="s">
        <v>3687</v>
      </c>
      <c r="B60" t="s">
        <v>568</v>
      </c>
      <c r="C60" t="s">
        <v>606</v>
      </c>
      <c r="D60" t="s">
        <v>606</v>
      </c>
      <c r="E60" t="s">
        <v>1936</v>
      </c>
      <c r="F60" t="s">
        <v>613</v>
      </c>
      <c r="G60" t="s">
        <v>369</v>
      </c>
      <c r="H60">
        <v>5792.21</v>
      </c>
      <c r="I60" t="s">
        <v>3619</v>
      </c>
      <c r="L60" s="452">
        <v>46023</v>
      </c>
      <c r="M60" s="452">
        <v>46024</v>
      </c>
      <c r="N60">
        <v>5792.21</v>
      </c>
      <c r="O60" t="s">
        <v>820</v>
      </c>
      <c r="P60" s="452">
        <v>46024</v>
      </c>
      <c r="Q60" t="s">
        <v>614</v>
      </c>
      <c r="R60" t="s">
        <v>461</v>
      </c>
      <c r="S60" t="s">
        <v>461</v>
      </c>
    </row>
    <row r="61" spans="1:19" x14ac:dyDescent="0.3">
      <c r="A61" t="s">
        <v>3688</v>
      </c>
      <c r="B61" t="s">
        <v>568</v>
      </c>
      <c r="C61" t="s">
        <v>606</v>
      </c>
      <c r="D61" t="s">
        <v>606</v>
      </c>
      <c r="E61" t="s">
        <v>2247</v>
      </c>
      <c r="F61" t="s">
        <v>613</v>
      </c>
      <c r="G61" t="s">
        <v>369</v>
      </c>
      <c r="H61">
        <v>5792.21</v>
      </c>
      <c r="I61" t="s">
        <v>3619</v>
      </c>
      <c r="L61" s="452">
        <v>45992</v>
      </c>
      <c r="M61" s="452">
        <v>45993</v>
      </c>
      <c r="N61">
        <v>5792.21</v>
      </c>
      <c r="O61" t="s">
        <v>820</v>
      </c>
      <c r="P61" s="452">
        <v>45993</v>
      </c>
      <c r="Q61" t="s">
        <v>614</v>
      </c>
      <c r="R61" t="s">
        <v>460</v>
      </c>
      <c r="S61" t="s">
        <v>460</v>
      </c>
    </row>
    <row r="62" spans="1:19" x14ac:dyDescent="0.3">
      <c r="A62" t="s">
        <v>3689</v>
      </c>
      <c r="B62" t="s">
        <v>568</v>
      </c>
      <c r="C62" t="s">
        <v>606</v>
      </c>
      <c r="D62" t="s">
        <v>606</v>
      </c>
      <c r="E62" t="s">
        <v>3648</v>
      </c>
      <c r="F62" t="s">
        <v>613</v>
      </c>
      <c r="G62" t="s">
        <v>369</v>
      </c>
      <c r="H62">
        <v>97408.5</v>
      </c>
      <c r="I62" t="s">
        <v>3619</v>
      </c>
      <c r="L62" s="452">
        <v>46082</v>
      </c>
      <c r="M62" s="452">
        <v>46082</v>
      </c>
      <c r="N62">
        <v>97408.5</v>
      </c>
      <c r="Q62" t="s">
        <v>3655</v>
      </c>
      <c r="R62" t="s">
        <v>463</v>
      </c>
    </row>
    <row r="63" spans="1:19" x14ac:dyDescent="0.3">
      <c r="A63" t="s">
        <v>3690</v>
      </c>
      <c r="B63" t="s">
        <v>568</v>
      </c>
      <c r="C63" t="s">
        <v>606</v>
      </c>
      <c r="D63" t="s">
        <v>606</v>
      </c>
      <c r="E63" t="s">
        <v>3651</v>
      </c>
      <c r="F63" t="s">
        <v>613</v>
      </c>
      <c r="G63" t="s">
        <v>369</v>
      </c>
      <c r="H63">
        <v>97408.5</v>
      </c>
      <c r="I63" t="s">
        <v>3619</v>
      </c>
      <c r="L63" s="452">
        <v>46054</v>
      </c>
      <c r="M63" s="452">
        <v>46054</v>
      </c>
      <c r="N63">
        <v>97408.5</v>
      </c>
      <c r="Q63" t="s">
        <v>3655</v>
      </c>
      <c r="R63" t="s">
        <v>462</v>
      </c>
    </row>
    <row r="64" spans="1:19" x14ac:dyDescent="0.3">
      <c r="A64" t="s">
        <v>3691</v>
      </c>
      <c r="B64" t="s">
        <v>568</v>
      </c>
      <c r="C64" t="s">
        <v>606</v>
      </c>
      <c r="D64" t="s">
        <v>606</v>
      </c>
      <c r="E64" t="s">
        <v>3654</v>
      </c>
      <c r="F64" t="s">
        <v>613</v>
      </c>
      <c r="G64" t="s">
        <v>369</v>
      </c>
      <c r="H64">
        <v>97408.5</v>
      </c>
      <c r="I64" t="s">
        <v>3619</v>
      </c>
      <c r="L64" s="452">
        <v>46023</v>
      </c>
      <c r="M64" s="452">
        <v>46023</v>
      </c>
      <c r="N64">
        <v>97408.5</v>
      </c>
      <c r="Q64" t="s">
        <v>3655</v>
      </c>
      <c r="R64" t="s">
        <v>461</v>
      </c>
    </row>
    <row r="65" spans="1:19" x14ac:dyDescent="0.3">
      <c r="A65" t="s">
        <v>3692</v>
      </c>
      <c r="B65" t="s">
        <v>568</v>
      </c>
      <c r="C65" t="s">
        <v>606</v>
      </c>
      <c r="D65" t="s">
        <v>606</v>
      </c>
      <c r="E65" t="s">
        <v>3657</v>
      </c>
      <c r="F65" t="s">
        <v>613</v>
      </c>
      <c r="G65" t="s">
        <v>369</v>
      </c>
      <c r="H65">
        <v>97408.5</v>
      </c>
      <c r="I65" t="s">
        <v>3619</v>
      </c>
      <c r="L65" s="452">
        <v>45992</v>
      </c>
      <c r="M65" s="452">
        <v>45992</v>
      </c>
      <c r="N65">
        <v>97408.5</v>
      </c>
      <c r="Q65" t="s">
        <v>3655</v>
      </c>
      <c r="R65" t="s">
        <v>460</v>
      </c>
    </row>
    <row r="66" spans="1:19" x14ac:dyDescent="0.3">
      <c r="A66" t="s">
        <v>3693</v>
      </c>
      <c r="B66" t="s">
        <v>568</v>
      </c>
      <c r="C66" t="s">
        <v>3694</v>
      </c>
      <c r="D66" t="s">
        <v>3694</v>
      </c>
      <c r="E66" t="s">
        <v>1021</v>
      </c>
      <c r="F66" t="s">
        <v>613</v>
      </c>
      <c r="G66" t="s">
        <v>370</v>
      </c>
      <c r="H66">
        <v>8244.07</v>
      </c>
      <c r="I66" t="s">
        <v>3619</v>
      </c>
      <c r="L66" s="452">
        <v>45790</v>
      </c>
      <c r="M66" s="452">
        <v>45791</v>
      </c>
      <c r="N66">
        <v>8244.07</v>
      </c>
      <c r="O66" t="s">
        <v>820</v>
      </c>
      <c r="P66" s="452">
        <v>45790</v>
      </c>
      <c r="Q66" t="s">
        <v>3695</v>
      </c>
      <c r="R66" t="s">
        <v>3696</v>
      </c>
      <c r="S66" t="s">
        <v>3696</v>
      </c>
    </row>
    <row r="67" spans="1:19" x14ac:dyDescent="0.3">
      <c r="A67" t="s">
        <v>3697</v>
      </c>
      <c r="B67" t="s">
        <v>568</v>
      </c>
      <c r="C67" t="s">
        <v>3698</v>
      </c>
      <c r="D67" t="s">
        <v>3698</v>
      </c>
      <c r="E67" t="s">
        <v>3699</v>
      </c>
      <c r="F67" t="s">
        <v>613</v>
      </c>
      <c r="G67" t="s">
        <v>370</v>
      </c>
      <c r="H67">
        <v>5500</v>
      </c>
      <c r="I67" t="s">
        <v>3619</v>
      </c>
      <c r="L67" s="452">
        <v>45733</v>
      </c>
      <c r="M67" s="452">
        <v>45747</v>
      </c>
      <c r="N67">
        <v>5500</v>
      </c>
      <c r="O67" t="s">
        <v>820</v>
      </c>
      <c r="P67" s="452">
        <v>45747</v>
      </c>
      <c r="Q67" t="s">
        <v>3700</v>
      </c>
      <c r="R67" t="s">
        <v>3701</v>
      </c>
      <c r="S67" t="s">
        <v>3701</v>
      </c>
    </row>
    <row r="68" spans="1:19" x14ac:dyDescent="0.3">
      <c r="A68" t="s">
        <v>3702</v>
      </c>
      <c r="B68" t="s">
        <v>568</v>
      </c>
      <c r="C68" t="s">
        <v>606</v>
      </c>
      <c r="D68" t="s">
        <v>606</v>
      </c>
      <c r="F68" t="s">
        <v>613</v>
      </c>
      <c r="G68" t="s">
        <v>369</v>
      </c>
      <c r="H68">
        <v>29700</v>
      </c>
      <c r="I68" t="s">
        <v>3619</v>
      </c>
      <c r="L68" s="452">
        <v>45657</v>
      </c>
      <c r="M68" s="452">
        <v>45667</v>
      </c>
      <c r="N68">
        <v>29700</v>
      </c>
      <c r="O68" t="s">
        <v>3703</v>
      </c>
      <c r="Q68" t="s">
        <v>3704</v>
      </c>
      <c r="R68" t="s">
        <v>3705</v>
      </c>
    </row>
    <row r="69" spans="1:19" x14ac:dyDescent="0.3">
      <c r="A69" t="s">
        <v>3706</v>
      </c>
      <c r="B69" t="s">
        <v>568</v>
      </c>
      <c r="C69" t="s">
        <v>628</v>
      </c>
      <c r="D69" t="s">
        <v>628</v>
      </c>
      <c r="E69" t="s">
        <v>629</v>
      </c>
      <c r="F69" t="s">
        <v>613</v>
      </c>
      <c r="G69" t="s">
        <v>369</v>
      </c>
      <c r="H69">
        <v>100000</v>
      </c>
      <c r="I69" t="s">
        <v>3619</v>
      </c>
      <c r="L69" s="452">
        <v>46683</v>
      </c>
      <c r="M69" s="452">
        <v>46682</v>
      </c>
      <c r="N69">
        <v>100000</v>
      </c>
      <c r="Q69" t="s">
        <v>630</v>
      </c>
      <c r="R69" t="s">
        <v>632</v>
      </c>
    </row>
    <row r="70" spans="1:19" x14ac:dyDescent="0.3">
      <c r="A70" t="s">
        <v>3707</v>
      </c>
      <c r="B70" t="s">
        <v>568</v>
      </c>
      <c r="C70" t="s">
        <v>628</v>
      </c>
      <c r="D70" t="s">
        <v>628</v>
      </c>
      <c r="E70" t="s">
        <v>634</v>
      </c>
      <c r="F70" t="s">
        <v>613</v>
      </c>
      <c r="G70" t="s">
        <v>369</v>
      </c>
      <c r="H70">
        <v>20000</v>
      </c>
      <c r="I70" t="s">
        <v>3619</v>
      </c>
      <c r="L70" s="452">
        <v>46653</v>
      </c>
      <c r="M70" s="452">
        <v>46652</v>
      </c>
      <c r="N70">
        <v>20000</v>
      </c>
      <c r="Q70" t="s">
        <v>630</v>
      </c>
      <c r="R70" t="s">
        <v>635</v>
      </c>
    </row>
    <row r="71" spans="1:19" x14ac:dyDescent="0.3">
      <c r="A71" t="s">
        <v>3708</v>
      </c>
      <c r="B71" t="s">
        <v>568</v>
      </c>
      <c r="C71" t="s">
        <v>628</v>
      </c>
      <c r="D71" t="s">
        <v>628</v>
      </c>
      <c r="E71" t="s">
        <v>637</v>
      </c>
      <c r="F71" t="s">
        <v>613</v>
      </c>
      <c r="G71" t="s">
        <v>369</v>
      </c>
      <c r="H71">
        <v>20000</v>
      </c>
      <c r="I71" t="s">
        <v>3619</v>
      </c>
      <c r="L71" s="452">
        <v>46622</v>
      </c>
      <c r="M71" s="452">
        <v>46621</v>
      </c>
      <c r="N71">
        <v>20000</v>
      </c>
      <c r="Q71" t="s">
        <v>630</v>
      </c>
      <c r="R71" t="s">
        <v>638</v>
      </c>
    </row>
    <row r="72" spans="1:19" x14ac:dyDescent="0.3">
      <c r="A72" t="s">
        <v>3709</v>
      </c>
      <c r="B72" t="s">
        <v>568</v>
      </c>
      <c r="C72" t="s">
        <v>628</v>
      </c>
      <c r="D72" t="s">
        <v>628</v>
      </c>
      <c r="E72" t="s">
        <v>640</v>
      </c>
      <c r="F72" t="s">
        <v>613</v>
      </c>
      <c r="G72" t="s">
        <v>369</v>
      </c>
      <c r="H72">
        <v>20000</v>
      </c>
      <c r="I72" t="s">
        <v>3619</v>
      </c>
      <c r="L72" s="452">
        <v>46591</v>
      </c>
      <c r="M72" s="452">
        <v>46590</v>
      </c>
      <c r="N72">
        <v>20000</v>
      </c>
      <c r="Q72" t="s">
        <v>630</v>
      </c>
      <c r="R72" t="s">
        <v>641</v>
      </c>
    </row>
    <row r="73" spans="1:19" x14ac:dyDescent="0.3">
      <c r="A73" t="s">
        <v>3710</v>
      </c>
      <c r="B73" t="s">
        <v>568</v>
      </c>
      <c r="C73" t="s">
        <v>628</v>
      </c>
      <c r="D73" t="s">
        <v>628</v>
      </c>
      <c r="E73" t="s">
        <v>643</v>
      </c>
      <c r="F73" t="s">
        <v>613</v>
      </c>
      <c r="G73" t="s">
        <v>369</v>
      </c>
      <c r="H73">
        <v>20000</v>
      </c>
      <c r="I73" t="s">
        <v>3619</v>
      </c>
      <c r="L73" s="452">
        <v>46561</v>
      </c>
      <c r="M73" s="452">
        <v>46560</v>
      </c>
      <c r="N73">
        <v>20000</v>
      </c>
      <c r="Q73" t="s">
        <v>630</v>
      </c>
      <c r="R73" t="s">
        <v>644</v>
      </c>
    </row>
    <row r="74" spans="1:19" x14ac:dyDescent="0.3">
      <c r="A74" t="s">
        <v>3711</v>
      </c>
      <c r="B74" t="s">
        <v>568</v>
      </c>
      <c r="C74" t="s">
        <v>628</v>
      </c>
      <c r="D74" t="s">
        <v>628</v>
      </c>
      <c r="E74" t="s">
        <v>646</v>
      </c>
      <c r="F74" t="s">
        <v>613</v>
      </c>
      <c r="G74" t="s">
        <v>369</v>
      </c>
      <c r="H74">
        <v>20000</v>
      </c>
      <c r="I74" t="s">
        <v>3619</v>
      </c>
      <c r="L74" s="452">
        <v>46530</v>
      </c>
      <c r="M74" s="452">
        <v>46529</v>
      </c>
      <c r="N74">
        <v>20000</v>
      </c>
      <c r="Q74" t="s">
        <v>630</v>
      </c>
      <c r="R74" t="s">
        <v>647</v>
      </c>
    </row>
    <row r="75" spans="1:19" x14ac:dyDescent="0.3">
      <c r="A75" t="s">
        <v>3712</v>
      </c>
      <c r="B75" t="s">
        <v>568</v>
      </c>
      <c r="C75" t="s">
        <v>628</v>
      </c>
      <c r="D75" t="s">
        <v>628</v>
      </c>
      <c r="E75" t="s">
        <v>649</v>
      </c>
      <c r="F75" t="s">
        <v>613</v>
      </c>
      <c r="G75" t="s">
        <v>369</v>
      </c>
      <c r="H75">
        <v>100000</v>
      </c>
      <c r="I75" t="s">
        <v>3619</v>
      </c>
      <c r="L75" s="452">
        <v>46500</v>
      </c>
      <c r="M75" s="452">
        <v>46499</v>
      </c>
      <c r="N75">
        <v>100000</v>
      </c>
      <c r="Q75" t="s">
        <v>630</v>
      </c>
      <c r="R75" t="s">
        <v>650</v>
      </c>
    </row>
    <row r="76" spans="1:19" x14ac:dyDescent="0.3">
      <c r="A76" t="s">
        <v>3713</v>
      </c>
      <c r="B76" t="s">
        <v>568</v>
      </c>
      <c r="C76" t="s">
        <v>628</v>
      </c>
      <c r="D76" t="s">
        <v>628</v>
      </c>
      <c r="E76" t="s">
        <v>652</v>
      </c>
      <c r="F76" t="s">
        <v>613</v>
      </c>
      <c r="G76" t="s">
        <v>369</v>
      </c>
      <c r="H76">
        <v>20000</v>
      </c>
      <c r="I76" t="s">
        <v>3619</v>
      </c>
      <c r="L76" s="452">
        <v>46469</v>
      </c>
      <c r="M76" s="452">
        <v>46468</v>
      </c>
      <c r="N76">
        <v>20000</v>
      </c>
      <c r="Q76" t="s">
        <v>630</v>
      </c>
      <c r="R76" t="s">
        <v>653</v>
      </c>
    </row>
    <row r="77" spans="1:19" x14ac:dyDescent="0.3">
      <c r="A77" t="s">
        <v>3714</v>
      </c>
      <c r="B77" t="s">
        <v>568</v>
      </c>
      <c r="C77" t="s">
        <v>628</v>
      </c>
      <c r="D77" t="s">
        <v>628</v>
      </c>
      <c r="E77" t="s">
        <v>660</v>
      </c>
      <c r="F77" t="s">
        <v>613</v>
      </c>
      <c r="G77" t="s">
        <v>369</v>
      </c>
      <c r="H77">
        <v>20000</v>
      </c>
      <c r="I77" t="s">
        <v>3619</v>
      </c>
      <c r="L77" s="452">
        <v>46441</v>
      </c>
      <c r="M77" s="452">
        <v>46440</v>
      </c>
      <c r="N77">
        <v>20000</v>
      </c>
      <c r="Q77" t="s">
        <v>630</v>
      </c>
      <c r="R77" t="s">
        <v>659</v>
      </c>
    </row>
    <row r="78" spans="1:19" x14ac:dyDescent="0.3">
      <c r="A78" t="s">
        <v>3715</v>
      </c>
      <c r="B78" t="s">
        <v>568</v>
      </c>
      <c r="C78" t="s">
        <v>628</v>
      </c>
      <c r="D78" t="s">
        <v>628</v>
      </c>
      <c r="E78" t="s">
        <v>670</v>
      </c>
      <c r="F78" t="s">
        <v>613</v>
      </c>
      <c r="G78" t="s">
        <v>369</v>
      </c>
      <c r="H78">
        <v>20000</v>
      </c>
      <c r="I78" t="s">
        <v>3619</v>
      </c>
      <c r="L78" s="452">
        <v>46410</v>
      </c>
      <c r="M78" s="452">
        <v>46409</v>
      </c>
      <c r="N78">
        <v>20000</v>
      </c>
      <c r="Q78" t="s">
        <v>630</v>
      </c>
      <c r="R78" t="s">
        <v>669</v>
      </c>
    </row>
    <row r="79" spans="1:19" x14ac:dyDescent="0.3">
      <c r="A79" t="s">
        <v>3716</v>
      </c>
      <c r="B79" t="s">
        <v>568</v>
      </c>
      <c r="C79" t="s">
        <v>628</v>
      </c>
      <c r="D79" t="s">
        <v>628</v>
      </c>
      <c r="E79" t="s">
        <v>707</v>
      </c>
      <c r="F79" t="s">
        <v>613</v>
      </c>
      <c r="G79" t="s">
        <v>369</v>
      </c>
      <c r="H79">
        <v>20000</v>
      </c>
      <c r="I79" t="s">
        <v>3619</v>
      </c>
      <c r="L79" s="452">
        <v>46379</v>
      </c>
      <c r="M79" s="452">
        <v>46378</v>
      </c>
      <c r="N79">
        <v>20000</v>
      </c>
      <c r="Q79" t="s">
        <v>630</v>
      </c>
      <c r="R79" t="s">
        <v>472</v>
      </c>
    </row>
    <row r="80" spans="1:19" x14ac:dyDescent="0.3">
      <c r="A80" t="s">
        <v>3717</v>
      </c>
      <c r="B80" t="s">
        <v>568</v>
      </c>
      <c r="C80" t="s">
        <v>628</v>
      </c>
      <c r="D80" t="s">
        <v>628</v>
      </c>
      <c r="E80" t="s">
        <v>775</v>
      </c>
      <c r="F80" t="s">
        <v>613</v>
      </c>
      <c r="G80" t="s">
        <v>369</v>
      </c>
      <c r="H80">
        <v>20000</v>
      </c>
      <c r="I80" t="s">
        <v>3619</v>
      </c>
      <c r="L80" s="452">
        <v>46349</v>
      </c>
      <c r="M80" s="452">
        <v>46348</v>
      </c>
      <c r="N80">
        <v>20000</v>
      </c>
      <c r="Q80" t="s">
        <v>630</v>
      </c>
      <c r="R80" t="s">
        <v>471</v>
      </c>
    </row>
    <row r="81" spans="1:19" x14ac:dyDescent="0.3">
      <c r="A81" t="s">
        <v>3718</v>
      </c>
      <c r="B81" t="s">
        <v>568</v>
      </c>
      <c r="C81" t="s">
        <v>628</v>
      </c>
      <c r="D81" t="s">
        <v>628</v>
      </c>
      <c r="E81" t="s">
        <v>781</v>
      </c>
      <c r="F81" t="s">
        <v>613</v>
      </c>
      <c r="G81" t="s">
        <v>369</v>
      </c>
      <c r="H81">
        <v>20000</v>
      </c>
      <c r="I81" t="s">
        <v>3619</v>
      </c>
      <c r="L81" s="452">
        <v>46318</v>
      </c>
      <c r="M81" s="452">
        <v>46317</v>
      </c>
      <c r="N81">
        <v>20000</v>
      </c>
      <c r="Q81" t="s">
        <v>630</v>
      </c>
      <c r="R81" t="s">
        <v>470</v>
      </c>
    </row>
    <row r="82" spans="1:19" x14ac:dyDescent="0.3">
      <c r="A82" t="s">
        <v>3719</v>
      </c>
      <c r="B82" t="s">
        <v>568</v>
      </c>
      <c r="C82" t="s">
        <v>628</v>
      </c>
      <c r="D82" t="s">
        <v>628</v>
      </c>
      <c r="E82" t="s">
        <v>787</v>
      </c>
      <c r="F82" t="s">
        <v>613</v>
      </c>
      <c r="G82" t="s">
        <v>369</v>
      </c>
      <c r="H82">
        <v>20000</v>
      </c>
      <c r="I82" t="s">
        <v>3619</v>
      </c>
      <c r="L82" s="452">
        <v>46288</v>
      </c>
      <c r="M82" s="452">
        <v>46287</v>
      </c>
      <c r="N82">
        <v>20000</v>
      </c>
      <c r="Q82" t="s">
        <v>630</v>
      </c>
      <c r="R82" t="s">
        <v>469</v>
      </c>
    </row>
    <row r="83" spans="1:19" x14ac:dyDescent="0.3">
      <c r="A83" t="s">
        <v>3720</v>
      </c>
      <c r="B83" t="s">
        <v>568</v>
      </c>
      <c r="C83" t="s">
        <v>628</v>
      </c>
      <c r="D83" t="s">
        <v>628</v>
      </c>
      <c r="E83" t="s">
        <v>793</v>
      </c>
      <c r="F83" t="s">
        <v>613</v>
      </c>
      <c r="G83" t="s">
        <v>369</v>
      </c>
      <c r="H83">
        <v>20000</v>
      </c>
      <c r="I83" t="s">
        <v>3619</v>
      </c>
      <c r="L83" s="452">
        <v>46257</v>
      </c>
      <c r="M83" s="452">
        <v>46256</v>
      </c>
      <c r="N83">
        <v>20000</v>
      </c>
      <c r="Q83" t="s">
        <v>630</v>
      </c>
      <c r="R83" t="s">
        <v>468</v>
      </c>
    </row>
    <row r="84" spans="1:19" x14ac:dyDescent="0.3">
      <c r="A84" t="s">
        <v>3721</v>
      </c>
      <c r="B84" t="s">
        <v>568</v>
      </c>
      <c r="C84" t="s">
        <v>628</v>
      </c>
      <c r="D84" t="s">
        <v>628</v>
      </c>
      <c r="E84" t="s">
        <v>809</v>
      </c>
      <c r="F84" t="s">
        <v>613</v>
      </c>
      <c r="G84" t="s">
        <v>369</v>
      </c>
      <c r="H84">
        <v>100000</v>
      </c>
      <c r="I84" t="s">
        <v>3619</v>
      </c>
      <c r="L84" s="452">
        <v>46226</v>
      </c>
      <c r="M84" s="452">
        <v>46225</v>
      </c>
      <c r="N84">
        <v>100000</v>
      </c>
      <c r="Q84" t="s">
        <v>630</v>
      </c>
      <c r="R84" t="s">
        <v>467</v>
      </c>
    </row>
    <row r="85" spans="1:19" x14ac:dyDescent="0.3">
      <c r="A85" t="s">
        <v>3722</v>
      </c>
      <c r="B85" t="s">
        <v>568</v>
      </c>
      <c r="C85" t="s">
        <v>628</v>
      </c>
      <c r="D85" t="s">
        <v>628</v>
      </c>
      <c r="E85" t="s">
        <v>872</v>
      </c>
      <c r="F85" t="s">
        <v>613</v>
      </c>
      <c r="G85" t="s">
        <v>369</v>
      </c>
      <c r="H85">
        <v>20000</v>
      </c>
      <c r="I85" t="s">
        <v>3619</v>
      </c>
      <c r="L85" s="452">
        <v>46196</v>
      </c>
      <c r="M85" s="452">
        <v>46195</v>
      </c>
      <c r="N85">
        <v>20000</v>
      </c>
      <c r="O85" t="s">
        <v>820</v>
      </c>
      <c r="P85" s="452">
        <v>46195</v>
      </c>
      <c r="Q85" t="s">
        <v>630</v>
      </c>
      <c r="R85" t="s">
        <v>466</v>
      </c>
      <c r="S85" t="s">
        <v>466</v>
      </c>
    </row>
    <row r="86" spans="1:19" x14ac:dyDescent="0.3">
      <c r="A86" t="s">
        <v>3723</v>
      </c>
      <c r="B86" t="s">
        <v>568</v>
      </c>
      <c r="C86" t="s">
        <v>628</v>
      </c>
      <c r="D86" t="s">
        <v>628</v>
      </c>
      <c r="E86" t="s">
        <v>1097</v>
      </c>
      <c r="F86" t="s">
        <v>613</v>
      </c>
      <c r="G86" t="s">
        <v>369</v>
      </c>
      <c r="H86">
        <v>20000</v>
      </c>
      <c r="I86" t="s">
        <v>3619</v>
      </c>
      <c r="L86" s="452">
        <v>46165</v>
      </c>
      <c r="M86" s="452">
        <v>46164</v>
      </c>
      <c r="N86">
        <v>20000</v>
      </c>
      <c r="O86" t="s">
        <v>820</v>
      </c>
      <c r="P86" s="452">
        <v>46163</v>
      </c>
      <c r="Q86" t="s">
        <v>630</v>
      </c>
      <c r="R86" t="s">
        <v>465</v>
      </c>
      <c r="S86" t="s">
        <v>465</v>
      </c>
    </row>
    <row r="87" spans="1:19" x14ac:dyDescent="0.3">
      <c r="A87" t="s">
        <v>3724</v>
      </c>
      <c r="B87" t="s">
        <v>568</v>
      </c>
      <c r="C87" t="s">
        <v>628</v>
      </c>
      <c r="D87" t="s">
        <v>628</v>
      </c>
      <c r="E87" t="s">
        <v>1311</v>
      </c>
      <c r="F87" t="s">
        <v>613</v>
      </c>
      <c r="G87" t="s">
        <v>369</v>
      </c>
      <c r="H87">
        <v>20000</v>
      </c>
      <c r="I87" t="s">
        <v>3619</v>
      </c>
      <c r="L87" s="452">
        <v>46135</v>
      </c>
      <c r="M87" s="452">
        <v>46134</v>
      </c>
      <c r="N87">
        <v>20000</v>
      </c>
      <c r="O87" t="s">
        <v>820</v>
      </c>
      <c r="P87" s="452">
        <v>46134</v>
      </c>
      <c r="Q87" t="s">
        <v>630</v>
      </c>
      <c r="R87" t="s">
        <v>464</v>
      </c>
      <c r="S87" t="s">
        <v>464</v>
      </c>
    </row>
    <row r="88" spans="1:19" x14ac:dyDescent="0.3">
      <c r="A88" t="s">
        <v>3725</v>
      </c>
      <c r="B88" t="s">
        <v>568</v>
      </c>
      <c r="C88" t="s">
        <v>628</v>
      </c>
      <c r="D88" t="s">
        <v>628</v>
      </c>
      <c r="E88" t="s">
        <v>1506</v>
      </c>
      <c r="F88" t="s">
        <v>613</v>
      </c>
      <c r="G88" t="s">
        <v>369</v>
      </c>
      <c r="H88">
        <v>20000</v>
      </c>
      <c r="I88" t="s">
        <v>3619</v>
      </c>
      <c r="L88" s="452">
        <v>46104</v>
      </c>
      <c r="M88" s="452">
        <v>46103</v>
      </c>
      <c r="N88">
        <v>20000</v>
      </c>
      <c r="O88" t="s">
        <v>820</v>
      </c>
      <c r="P88" s="452">
        <v>46104</v>
      </c>
      <c r="Q88" t="s">
        <v>630</v>
      </c>
      <c r="R88" t="s">
        <v>463</v>
      </c>
      <c r="S88" t="s">
        <v>463</v>
      </c>
    </row>
    <row r="89" spans="1:19" x14ac:dyDescent="0.3">
      <c r="A89" t="s">
        <v>3726</v>
      </c>
      <c r="B89" t="s">
        <v>568</v>
      </c>
      <c r="C89" t="s">
        <v>628</v>
      </c>
      <c r="D89" t="s">
        <v>628</v>
      </c>
      <c r="E89" t="s">
        <v>1703</v>
      </c>
      <c r="F89" t="s">
        <v>613</v>
      </c>
      <c r="G89" t="s">
        <v>369</v>
      </c>
      <c r="H89">
        <v>20000</v>
      </c>
      <c r="I89" t="s">
        <v>3619</v>
      </c>
      <c r="L89" s="452">
        <v>46076</v>
      </c>
      <c r="M89" s="452">
        <v>46075</v>
      </c>
      <c r="N89">
        <v>20000</v>
      </c>
      <c r="O89" t="s">
        <v>820</v>
      </c>
      <c r="P89" s="452">
        <v>46076</v>
      </c>
      <c r="Q89" t="s">
        <v>630</v>
      </c>
      <c r="R89" t="s">
        <v>462</v>
      </c>
      <c r="S89" t="s">
        <v>462</v>
      </c>
    </row>
    <row r="90" spans="1:19" x14ac:dyDescent="0.3">
      <c r="A90" t="s">
        <v>3727</v>
      </c>
      <c r="B90" t="s">
        <v>568</v>
      </c>
      <c r="C90" t="s">
        <v>628</v>
      </c>
      <c r="D90" t="s">
        <v>628</v>
      </c>
      <c r="E90" t="s">
        <v>1866</v>
      </c>
      <c r="F90" t="s">
        <v>613</v>
      </c>
      <c r="G90" t="s">
        <v>369</v>
      </c>
      <c r="H90">
        <v>20000</v>
      </c>
      <c r="I90" t="s">
        <v>3619</v>
      </c>
      <c r="L90" s="452">
        <v>46045</v>
      </c>
      <c r="M90" s="452">
        <v>46044</v>
      </c>
      <c r="N90">
        <v>20000</v>
      </c>
      <c r="O90" t="s">
        <v>820</v>
      </c>
      <c r="P90" s="452">
        <v>46044</v>
      </c>
      <c r="Q90" t="s">
        <v>630</v>
      </c>
      <c r="R90" t="s">
        <v>461</v>
      </c>
      <c r="S90" t="s">
        <v>461</v>
      </c>
    </row>
    <row r="91" spans="1:19" x14ac:dyDescent="0.3">
      <c r="A91" t="s">
        <v>3728</v>
      </c>
      <c r="B91" t="s">
        <v>568</v>
      </c>
      <c r="C91" t="s">
        <v>628</v>
      </c>
      <c r="D91" t="s">
        <v>628</v>
      </c>
      <c r="E91" t="s">
        <v>2082</v>
      </c>
      <c r="F91" t="s">
        <v>613</v>
      </c>
      <c r="G91" t="s">
        <v>369</v>
      </c>
      <c r="H91">
        <v>20000</v>
      </c>
      <c r="I91" t="s">
        <v>3619</v>
      </c>
      <c r="L91" s="452">
        <v>46014</v>
      </c>
      <c r="M91" s="452">
        <v>46013</v>
      </c>
      <c r="N91">
        <v>20000</v>
      </c>
      <c r="O91" t="s">
        <v>820</v>
      </c>
      <c r="P91" s="452">
        <v>46013</v>
      </c>
      <c r="Q91" t="s">
        <v>630</v>
      </c>
      <c r="R91" t="s">
        <v>460</v>
      </c>
      <c r="S91" t="s">
        <v>460</v>
      </c>
    </row>
    <row r="92" spans="1:19" x14ac:dyDescent="0.3">
      <c r="A92" t="s">
        <v>3729</v>
      </c>
      <c r="B92" t="s">
        <v>568</v>
      </c>
      <c r="C92" t="s">
        <v>628</v>
      </c>
      <c r="D92" t="s">
        <v>628</v>
      </c>
      <c r="E92" t="s">
        <v>3730</v>
      </c>
      <c r="F92" t="s">
        <v>613</v>
      </c>
      <c r="G92" t="s">
        <v>369</v>
      </c>
      <c r="H92">
        <v>20000</v>
      </c>
      <c r="I92" t="s">
        <v>3619</v>
      </c>
      <c r="L92" s="452">
        <v>45984</v>
      </c>
      <c r="M92" s="452">
        <v>45983</v>
      </c>
      <c r="N92">
        <v>20000</v>
      </c>
      <c r="O92" t="s">
        <v>820</v>
      </c>
      <c r="P92" s="452">
        <v>45985</v>
      </c>
      <c r="Q92" t="s">
        <v>630</v>
      </c>
      <c r="R92" t="s">
        <v>3393</v>
      </c>
      <c r="S92" t="s">
        <v>3393</v>
      </c>
    </row>
    <row r="93" spans="1:19" x14ac:dyDescent="0.3">
      <c r="A93" t="s">
        <v>3731</v>
      </c>
      <c r="B93" t="s">
        <v>568</v>
      </c>
      <c r="C93" t="s">
        <v>628</v>
      </c>
      <c r="D93" t="s">
        <v>628</v>
      </c>
      <c r="E93" t="s">
        <v>3732</v>
      </c>
      <c r="F93" t="s">
        <v>613</v>
      </c>
      <c r="G93" t="s">
        <v>369</v>
      </c>
      <c r="H93">
        <v>20000</v>
      </c>
      <c r="I93" t="s">
        <v>3619</v>
      </c>
      <c r="L93" s="452">
        <v>45953</v>
      </c>
      <c r="M93" s="452">
        <v>45952</v>
      </c>
      <c r="N93">
        <v>20000</v>
      </c>
      <c r="O93" t="s">
        <v>820</v>
      </c>
      <c r="P93" s="452">
        <v>45951</v>
      </c>
      <c r="Q93" t="s">
        <v>630</v>
      </c>
      <c r="R93" t="s">
        <v>3733</v>
      </c>
      <c r="S93" t="s">
        <v>3733</v>
      </c>
    </row>
    <row r="94" spans="1:19" x14ac:dyDescent="0.3">
      <c r="A94" t="s">
        <v>3734</v>
      </c>
      <c r="B94" t="s">
        <v>568</v>
      </c>
      <c r="C94" t="s">
        <v>628</v>
      </c>
      <c r="D94" t="s">
        <v>628</v>
      </c>
      <c r="E94" t="s">
        <v>3735</v>
      </c>
      <c r="F94" t="s">
        <v>613</v>
      </c>
      <c r="G94" t="s">
        <v>369</v>
      </c>
      <c r="H94">
        <v>100000</v>
      </c>
      <c r="I94" t="s">
        <v>3619</v>
      </c>
      <c r="L94" s="452">
        <v>45923</v>
      </c>
      <c r="M94" s="452">
        <v>45922</v>
      </c>
      <c r="N94">
        <v>100000</v>
      </c>
      <c r="O94" t="s">
        <v>820</v>
      </c>
      <c r="P94" s="452">
        <v>45922</v>
      </c>
      <c r="Q94" t="s">
        <v>630</v>
      </c>
      <c r="R94" t="s">
        <v>3736</v>
      </c>
      <c r="S94" t="s">
        <v>3736</v>
      </c>
    </row>
    <row r="95" spans="1:19" x14ac:dyDescent="0.3">
      <c r="A95" t="s">
        <v>3737</v>
      </c>
      <c r="B95" t="s">
        <v>568</v>
      </c>
      <c r="C95" t="s">
        <v>628</v>
      </c>
      <c r="D95" t="s">
        <v>628</v>
      </c>
      <c r="E95" t="s">
        <v>3738</v>
      </c>
      <c r="F95" t="s">
        <v>613</v>
      </c>
      <c r="G95" t="s">
        <v>369</v>
      </c>
      <c r="H95">
        <v>20000</v>
      </c>
      <c r="I95" t="s">
        <v>3619</v>
      </c>
      <c r="L95" s="452">
        <v>45892</v>
      </c>
      <c r="M95" s="452">
        <v>45891</v>
      </c>
      <c r="N95">
        <v>20000</v>
      </c>
      <c r="O95" t="s">
        <v>820</v>
      </c>
      <c r="P95" s="452">
        <v>45890</v>
      </c>
      <c r="Q95" t="s">
        <v>630</v>
      </c>
      <c r="R95" t="s">
        <v>3739</v>
      </c>
      <c r="S95" t="s">
        <v>3739</v>
      </c>
    </row>
    <row r="96" spans="1:19" x14ac:dyDescent="0.3">
      <c r="A96" t="s">
        <v>3740</v>
      </c>
      <c r="B96" t="s">
        <v>568</v>
      </c>
      <c r="C96" t="s">
        <v>628</v>
      </c>
      <c r="D96" t="s">
        <v>628</v>
      </c>
      <c r="E96" t="s">
        <v>3741</v>
      </c>
      <c r="F96" t="s">
        <v>613</v>
      </c>
      <c r="G96" t="s">
        <v>369</v>
      </c>
      <c r="H96">
        <v>20000</v>
      </c>
      <c r="I96" t="s">
        <v>3619</v>
      </c>
      <c r="L96" s="452">
        <v>45861</v>
      </c>
      <c r="M96" s="452">
        <v>45860</v>
      </c>
      <c r="N96">
        <v>20000</v>
      </c>
      <c r="O96" t="s">
        <v>820</v>
      </c>
      <c r="P96" s="452">
        <v>45860</v>
      </c>
      <c r="Q96" t="s">
        <v>630</v>
      </c>
      <c r="R96" t="s">
        <v>3742</v>
      </c>
      <c r="S96" t="s">
        <v>3742</v>
      </c>
    </row>
    <row r="97" spans="1:19" x14ac:dyDescent="0.3">
      <c r="A97" t="s">
        <v>3743</v>
      </c>
      <c r="B97" t="s">
        <v>568</v>
      </c>
      <c r="C97" t="s">
        <v>628</v>
      </c>
      <c r="D97" t="s">
        <v>628</v>
      </c>
      <c r="E97" t="s">
        <v>3744</v>
      </c>
      <c r="F97" t="s">
        <v>613</v>
      </c>
      <c r="G97" t="s">
        <v>369</v>
      </c>
      <c r="H97">
        <v>20000</v>
      </c>
      <c r="I97" t="s">
        <v>3619</v>
      </c>
      <c r="L97" s="452">
        <v>45831</v>
      </c>
      <c r="M97" s="452">
        <v>45830</v>
      </c>
      <c r="N97">
        <v>20000</v>
      </c>
      <c r="O97" t="s">
        <v>820</v>
      </c>
      <c r="P97" s="452">
        <v>45831</v>
      </c>
      <c r="Q97" t="s">
        <v>630</v>
      </c>
      <c r="R97" t="s">
        <v>3745</v>
      </c>
      <c r="S97" t="s">
        <v>3745</v>
      </c>
    </row>
    <row r="98" spans="1:19" x14ac:dyDescent="0.3">
      <c r="A98" t="s">
        <v>3746</v>
      </c>
      <c r="B98" t="s">
        <v>568</v>
      </c>
      <c r="C98" t="s">
        <v>628</v>
      </c>
      <c r="D98" t="s">
        <v>628</v>
      </c>
      <c r="E98" t="s">
        <v>3747</v>
      </c>
      <c r="F98" t="s">
        <v>613</v>
      </c>
      <c r="G98" t="s">
        <v>369</v>
      </c>
      <c r="H98">
        <v>20000</v>
      </c>
      <c r="I98" t="s">
        <v>3619</v>
      </c>
      <c r="L98" s="452">
        <v>45800</v>
      </c>
      <c r="M98" s="452">
        <v>45799</v>
      </c>
      <c r="N98">
        <v>20000</v>
      </c>
      <c r="O98" t="s">
        <v>820</v>
      </c>
      <c r="P98" s="452">
        <v>45799</v>
      </c>
      <c r="Q98" t="s">
        <v>630</v>
      </c>
      <c r="R98" t="s">
        <v>3696</v>
      </c>
      <c r="S98" t="s">
        <v>3696</v>
      </c>
    </row>
    <row r="99" spans="1:19" x14ac:dyDescent="0.3">
      <c r="A99" t="s">
        <v>3748</v>
      </c>
      <c r="B99" t="s">
        <v>568</v>
      </c>
      <c r="C99" t="s">
        <v>628</v>
      </c>
      <c r="D99" t="s">
        <v>628</v>
      </c>
      <c r="E99" t="s">
        <v>3749</v>
      </c>
      <c r="F99" t="s">
        <v>613</v>
      </c>
      <c r="G99" t="s">
        <v>369</v>
      </c>
      <c r="H99">
        <v>20000</v>
      </c>
      <c r="I99" t="s">
        <v>3619</v>
      </c>
      <c r="L99" s="452">
        <v>45770</v>
      </c>
      <c r="M99" s="452">
        <v>45769</v>
      </c>
      <c r="N99">
        <v>20000</v>
      </c>
      <c r="O99" t="s">
        <v>820</v>
      </c>
      <c r="P99" s="452">
        <v>45769</v>
      </c>
      <c r="Q99" t="s">
        <v>630</v>
      </c>
      <c r="R99" t="s">
        <v>3750</v>
      </c>
      <c r="S99" t="s">
        <v>3750</v>
      </c>
    </row>
    <row r="100" spans="1:19" x14ac:dyDescent="0.3">
      <c r="A100" t="s">
        <v>3751</v>
      </c>
      <c r="B100" t="s">
        <v>568</v>
      </c>
      <c r="C100" t="s">
        <v>628</v>
      </c>
      <c r="D100" t="s">
        <v>628</v>
      </c>
      <c r="E100" t="s">
        <v>3752</v>
      </c>
      <c r="F100" t="s">
        <v>613</v>
      </c>
      <c r="G100" t="s">
        <v>369</v>
      </c>
      <c r="H100">
        <v>20000</v>
      </c>
      <c r="I100" t="s">
        <v>3619</v>
      </c>
      <c r="L100" s="452">
        <v>45739</v>
      </c>
      <c r="M100" s="452">
        <v>45738</v>
      </c>
      <c r="N100">
        <v>20000</v>
      </c>
      <c r="O100" t="s">
        <v>820</v>
      </c>
      <c r="P100" s="452">
        <v>45740</v>
      </c>
      <c r="Q100" t="s">
        <v>630</v>
      </c>
      <c r="R100" t="s">
        <v>3701</v>
      </c>
      <c r="S100" t="s">
        <v>3701</v>
      </c>
    </row>
    <row r="101" spans="1:19" x14ac:dyDescent="0.3">
      <c r="A101" t="s">
        <v>3753</v>
      </c>
      <c r="B101" t="s">
        <v>568</v>
      </c>
      <c r="C101" t="s">
        <v>628</v>
      </c>
      <c r="D101" t="s">
        <v>628</v>
      </c>
      <c r="E101" t="s">
        <v>3754</v>
      </c>
      <c r="F101" t="s">
        <v>613</v>
      </c>
      <c r="G101" t="s">
        <v>369</v>
      </c>
      <c r="H101">
        <v>20000</v>
      </c>
      <c r="I101" t="s">
        <v>3619</v>
      </c>
      <c r="L101" s="452">
        <v>45711</v>
      </c>
      <c r="M101" s="452">
        <v>45710</v>
      </c>
      <c r="N101">
        <v>20000</v>
      </c>
      <c r="O101" t="s">
        <v>820</v>
      </c>
      <c r="P101" s="452">
        <v>45712</v>
      </c>
      <c r="Q101" t="s">
        <v>630</v>
      </c>
      <c r="R101" t="s">
        <v>3755</v>
      </c>
      <c r="S101" t="s">
        <v>3755</v>
      </c>
    </row>
    <row r="102" spans="1:19" x14ac:dyDescent="0.3">
      <c r="A102" t="s">
        <v>3756</v>
      </c>
      <c r="B102" t="s">
        <v>568</v>
      </c>
      <c r="C102" t="s">
        <v>628</v>
      </c>
      <c r="D102" t="s">
        <v>628</v>
      </c>
      <c r="E102" t="s">
        <v>3757</v>
      </c>
      <c r="F102" t="s">
        <v>613</v>
      </c>
      <c r="G102" t="s">
        <v>369</v>
      </c>
      <c r="H102">
        <v>20000</v>
      </c>
      <c r="I102" t="s">
        <v>3619</v>
      </c>
      <c r="L102" s="452">
        <v>45680</v>
      </c>
      <c r="M102" s="452">
        <v>45680</v>
      </c>
      <c r="N102">
        <v>20000</v>
      </c>
      <c r="O102" t="s">
        <v>820</v>
      </c>
      <c r="P102" s="452">
        <v>45680</v>
      </c>
      <c r="Q102" t="s">
        <v>630</v>
      </c>
      <c r="R102" t="s">
        <v>3705</v>
      </c>
      <c r="S102" t="s">
        <v>3705</v>
      </c>
    </row>
    <row r="103" spans="1:19" x14ac:dyDescent="0.3">
      <c r="A103" t="s">
        <v>3758</v>
      </c>
      <c r="B103" t="s">
        <v>568</v>
      </c>
      <c r="C103" t="s">
        <v>628</v>
      </c>
      <c r="D103" t="s">
        <v>628</v>
      </c>
      <c r="E103" t="s">
        <v>3759</v>
      </c>
      <c r="F103" t="s">
        <v>3760</v>
      </c>
      <c r="G103" t="s">
        <v>3761</v>
      </c>
      <c r="H103">
        <v>200000</v>
      </c>
      <c r="I103" t="s">
        <v>3619</v>
      </c>
      <c r="L103" s="452">
        <v>45649</v>
      </c>
      <c r="M103" s="452">
        <v>45649</v>
      </c>
      <c r="N103">
        <v>200000</v>
      </c>
      <c r="O103" t="s">
        <v>820</v>
      </c>
      <c r="P103" s="452">
        <v>45649</v>
      </c>
      <c r="Q103" t="s">
        <v>630</v>
      </c>
      <c r="R103" t="s">
        <v>3762</v>
      </c>
      <c r="S103" t="s">
        <v>3762</v>
      </c>
    </row>
    <row r="104" spans="1:19" x14ac:dyDescent="0.3">
      <c r="A104" t="s">
        <v>3763</v>
      </c>
      <c r="B104" t="s">
        <v>568</v>
      </c>
      <c r="C104" t="s">
        <v>3764</v>
      </c>
      <c r="D104" t="s">
        <v>3764</v>
      </c>
      <c r="E104" t="s">
        <v>1021</v>
      </c>
      <c r="F104" t="s">
        <v>613</v>
      </c>
      <c r="G104" t="s">
        <v>370</v>
      </c>
      <c r="H104">
        <v>15000</v>
      </c>
      <c r="I104" t="s">
        <v>3632</v>
      </c>
      <c r="J104">
        <v>3</v>
      </c>
      <c r="K104">
        <v>3</v>
      </c>
      <c r="L104" s="452">
        <v>45622</v>
      </c>
      <c r="M104" s="452">
        <v>45691</v>
      </c>
      <c r="N104">
        <v>5000</v>
      </c>
      <c r="O104" t="s">
        <v>820</v>
      </c>
      <c r="P104" s="452">
        <v>45691</v>
      </c>
      <c r="Q104" t="s">
        <v>3765</v>
      </c>
      <c r="R104" t="s">
        <v>3755</v>
      </c>
      <c r="S104" t="s">
        <v>3755</v>
      </c>
    </row>
    <row r="105" spans="1:19" x14ac:dyDescent="0.3">
      <c r="A105" t="s">
        <v>3766</v>
      </c>
      <c r="B105" t="s">
        <v>568</v>
      </c>
      <c r="C105" t="s">
        <v>3764</v>
      </c>
      <c r="D105" t="s">
        <v>3764</v>
      </c>
      <c r="E105" t="s">
        <v>1021</v>
      </c>
      <c r="F105" t="s">
        <v>613</v>
      </c>
      <c r="G105" t="s">
        <v>370</v>
      </c>
      <c r="H105">
        <v>15000</v>
      </c>
      <c r="I105" t="s">
        <v>3632</v>
      </c>
      <c r="J105">
        <v>3</v>
      </c>
      <c r="K105">
        <v>2</v>
      </c>
      <c r="L105" s="452">
        <v>45622</v>
      </c>
      <c r="M105" s="452">
        <v>45659</v>
      </c>
      <c r="N105">
        <v>5000</v>
      </c>
      <c r="O105" t="s">
        <v>820</v>
      </c>
      <c r="P105" s="452">
        <v>45659</v>
      </c>
      <c r="Q105" t="s">
        <v>3765</v>
      </c>
      <c r="R105" t="s">
        <v>3705</v>
      </c>
      <c r="S105" t="s">
        <v>3705</v>
      </c>
    </row>
    <row r="106" spans="1:19" x14ac:dyDescent="0.3">
      <c r="A106" t="s">
        <v>3767</v>
      </c>
      <c r="B106" t="s">
        <v>568</v>
      </c>
      <c r="C106" t="s">
        <v>3764</v>
      </c>
      <c r="D106" t="s">
        <v>3764</v>
      </c>
      <c r="E106" t="s">
        <v>1021</v>
      </c>
      <c r="F106" t="s">
        <v>613</v>
      </c>
      <c r="G106" t="s">
        <v>370</v>
      </c>
      <c r="H106">
        <v>15000</v>
      </c>
      <c r="I106" t="s">
        <v>3632</v>
      </c>
      <c r="J106">
        <v>3</v>
      </c>
      <c r="K106">
        <v>1</v>
      </c>
      <c r="L106" s="452">
        <v>45622</v>
      </c>
      <c r="M106" s="452">
        <v>45628</v>
      </c>
      <c r="N106">
        <v>5000</v>
      </c>
      <c r="O106" t="s">
        <v>820</v>
      </c>
      <c r="P106" s="452">
        <v>45628</v>
      </c>
      <c r="Q106" t="s">
        <v>3765</v>
      </c>
      <c r="R106" t="s">
        <v>3762</v>
      </c>
      <c r="S106" t="s">
        <v>3762</v>
      </c>
    </row>
    <row r="107" spans="1:19" x14ac:dyDescent="0.3">
      <c r="A107" t="s">
        <v>3768</v>
      </c>
      <c r="B107" t="s">
        <v>568</v>
      </c>
      <c r="C107" t="s">
        <v>3769</v>
      </c>
      <c r="D107" t="s">
        <v>3769</v>
      </c>
      <c r="E107" t="s">
        <v>3770</v>
      </c>
      <c r="F107" t="s">
        <v>3760</v>
      </c>
      <c r="G107" t="s">
        <v>3761</v>
      </c>
      <c r="H107">
        <v>873.32</v>
      </c>
      <c r="I107" t="s">
        <v>3619</v>
      </c>
      <c r="L107" s="452">
        <v>45580</v>
      </c>
      <c r="M107" s="452">
        <v>45586</v>
      </c>
      <c r="N107">
        <v>873.32</v>
      </c>
      <c r="O107" t="s">
        <v>820</v>
      </c>
      <c r="P107" s="452">
        <v>45586</v>
      </c>
      <c r="Q107" t="s">
        <v>3771</v>
      </c>
      <c r="R107" t="s">
        <v>3772</v>
      </c>
      <c r="S107" t="s">
        <v>3772</v>
      </c>
    </row>
    <row r="108" spans="1:19" x14ac:dyDescent="0.3">
      <c r="A108" t="s">
        <v>3773</v>
      </c>
      <c r="B108" t="s">
        <v>568</v>
      </c>
      <c r="C108" t="s">
        <v>3774</v>
      </c>
      <c r="D108" t="s">
        <v>3775</v>
      </c>
      <c r="E108" t="s">
        <v>1021</v>
      </c>
      <c r="F108" t="s">
        <v>3760</v>
      </c>
      <c r="G108" t="s">
        <v>3761</v>
      </c>
      <c r="H108">
        <v>9597.5400000000009</v>
      </c>
      <c r="I108" t="s">
        <v>3619</v>
      </c>
      <c r="L108" s="452">
        <v>45492</v>
      </c>
      <c r="M108" s="452">
        <v>45496</v>
      </c>
      <c r="N108">
        <v>9597.5400000000009</v>
      </c>
      <c r="O108" t="s">
        <v>820</v>
      </c>
      <c r="P108" s="452">
        <v>45496</v>
      </c>
      <c r="Q108" t="s">
        <v>3776</v>
      </c>
      <c r="R108" t="s">
        <v>3777</v>
      </c>
      <c r="S108" t="s">
        <v>3777</v>
      </c>
    </row>
    <row r="109" spans="1:19" x14ac:dyDescent="0.3">
      <c r="A109" t="s">
        <v>3778</v>
      </c>
      <c r="B109" t="s">
        <v>568</v>
      </c>
      <c r="C109" t="s">
        <v>606</v>
      </c>
      <c r="D109" t="s">
        <v>606</v>
      </c>
      <c r="F109" t="s">
        <v>613</v>
      </c>
      <c r="G109" t="s">
        <v>369</v>
      </c>
      <c r="H109">
        <v>1300</v>
      </c>
      <c r="I109" t="s">
        <v>3619</v>
      </c>
      <c r="L109" s="452">
        <v>45656</v>
      </c>
      <c r="M109" s="452">
        <v>45676</v>
      </c>
      <c r="N109">
        <v>1300</v>
      </c>
      <c r="O109" t="s">
        <v>3703</v>
      </c>
      <c r="Q109" t="s">
        <v>3779</v>
      </c>
      <c r="R109" t="s">
        <v>3705</v>
      </c>
    </row>
    <row r="110" spans="1:19" x14ac:dyDescent="0.3">
      <c r="A110" t="s">
        <v>3780</v>
      </c>
      <c r="B110" t="s">
        <v>568</v>
      </c>
      <c r="C110" t="s">
        <v>606</v>
      </c>
      <c r="D110" t="s">
        <v>606</v>
      </c>
      <c r="F110" t="s">
        <v>613</v>
      </c>
      <c r="G110" t="s">
        <v>369</v>
      </c>
      <c r="H110">
        <v>1300</v>
      </c>
      <c r="I110" t="s">
        <v>3619</v>
      </c>
      <c r="L110" s="452">
        <v>45656</v>
      </c>
      <c r="M110" s="452">
        <v>45676</v>
      </c>
      <c r="N110">
        <v>1300</v>
      </c>
      <c r="O110" t="s">
        <v>3703</v>
      </c>
      <c r="Q110" t="s">
        <v>3781</v>
      </c>
      <c r="R110" t="s">
        <v>3705</v>
      </c>
    </row>
    <row r="111" spans="1:19" x14ac:dyDescent="0.3">
      <c r="A111" t="s">
        <v>3782</v>
      </c>
      <c r="B111" t="s">
        <v>568</v>
      </c>
      <c r="C111" t="s">
        <v>606</v>
      </c>
      <c r="D111" t="s">
        <v>606</v>
      </c>
      <c r="F111" t="s">
        <v>613</v>
      </c>
      <c r="G111" t="s">
        <v>369</v>
      </c>
      <c r="H111">
        <v>1300</v>
      </c>
      <c r="I111" t="s">
        <v>3619</v>
      </c>
      <c r="L111" s="452">
        <v>45656</v>
      </c>
      <c r="M111" s="452">
        <v>45676</v>
      </c>
      <c r="N111">
        <v>1300</v>
      </c>
      <c r="O111" t="s">
        <v>3703</v>
      </c>
      <c r="Q111" t="s">
        <v>3783</v>
      </c>
      <c r="R111" t="s">
        <v>3705</v>
      </c>
    </row>
    <row r="112" spans="1:19" x14ac:dyDescent="0.3">
      <c r="A112" t="s">
        <v>3784</v>
      </c>
      <c r="B112" t="s">
        <v>568</v>
      </c>
      <c r="C112" t="s">
        <v>606</v>
      </c>
      <c r="D112" t="s">
        <v>606</v>
      </c>
      <c r="F112" t="s">
        <v>613</v>
      </c>
      <c r="G112" t="s">
        <v>369</v>
      </c>
      <c r="H112">
        <v>750</v>
      </c>
      <c r="I112" t="s">
        <v>3619</v>
      </c>
      <c r="L112" s="452">
        <v>45656</v>
      </c>
      <c r="M112" s="452">
        <v>45676</v>
      </c>
      <c r="N112">
        <v>750</v>
      </c>
      <c r="O112" t="s">
        <v>3703</v>
      </c>
      <c r="Q112" t="s">
        <v>3785</v>
      </c>
      <c r="R112" t="s">
        <v>3705</v>
      </c>
    </row>
    <row r="113" spans="1:19" x14ac:dyDescent="0.3">
      <c r="A113" t="s">
        <v>3786</v>
      </c>
      <c r="B113" t="s">
        <v>568</v>
      </c>
      <c r="C113" t="s">
        <v>606</v>
      </c>
      <c r="D113" t="s">
        <v>606</v>
      </c>
      <c r="F113" t="s">
        <v>613</v>
      </c>
      <c r="G113" t="s">
        <v>369</v>
      </c>
      <c r="H113">
        <v>750</v>
      </c>
      <c r="I113" t="s">
        <v>3619</v>
      </c>
      <c r="L113" s="452">
        <v>45656</v>
      </c>
      <c r="M113" s="452">
        <v>45676</v>
      </c>
      <c r="N113">
        <v>750</v>
      </c>
      <c r="O113" t="s">
        <v>3703</v>
      </c>
      <c r="Q113" t="s">
        <v>3787</v>
      </c>
      <c r="R113" t="s">
        <v>3705</v>
      </c>
    </row>
    <row r="114" spans="1:19" x14ac:dyDescent="0.3">
      <c r="A114" t="s">
        <v>3788</v>
      </c>
      <c r="B114" t="s">
        <v>568</v>
      </c>
      <c r="C114" t="s">
        <v>606</v>
      </c>
      <c r="D114" t="s">
        <v>606</v>
      </c>
      <c r="F114" t="s">
        <v>613</v>
      </c>
      <c r="G114" t="s">
        <v>369</v>
      </c>
      <c r="H114">
        <v>750</v>
      </c>
      <c r="I114" t="s">
        <v>3619</v>
      </c>
      <c r="L114" s="452">
        <v>45656</v>
      </c>
      <c r="M114" s="452">
        <v>45676</v>
      </c>
      <c r="N114">
        <v>750</v>
      </c>
      <c r="O114" t="s">
        <v>3703</v>
      </c>
      <c r="Q114" t="s">
        <v>3789</v>
      </c>
      <c r="R114" t="s">
        <v>3705</v>
      </c>
    </row>
    <row r="115" spans="1:19" x14ac:dyDescent="0.3">
      <c r="A115" t="s">
        <v>3790</v>
      </c>
      <c r="B115" t="s">
        <v>568</v>
      </c>
      <c r="C115" t="s">
        <v>3769</v>
      </c>
      <c r="D115" t="s">
        <v>3769</v>
      </c>
      <c r="E115" t="s">
        <v>1021</v>
      </c>
      <c r="F115" t="s">
        <v>3760</v>
      </c>
      <c r="G115" t="s">
        <v>3761</v>
      </c>
      <c r="H115">
        <v>1375</v>
      </c>
      <c r="I115" t="s">
        <v>3619</v>
      </c>
      <c r="L115" s="452">
        <v>45471</v>
      </c>
      <c r="M115" s="452">
        <v>45474</v>
      </c>
      <c r="N115">
        <v>1375</v>
      </c>
      <c r="O115" t="s">
        <v>820</v>
      </c>
      <c r="P115" s="452">
        <v>45475</v>
      </c>
      <c r="Q115" t="s">
        <v>3791</v>
      </c>
      <c r="R115" t="s">
        <v>3777</v>
      </c>
      <c r="S115" t="s">
        <v>3777</v>
      </c>
    </row>
    <row r="116" spans="1:19" x14ac:dyDescent="0.3">
      <c r="A116" t="s">
        <v>3792</v>
      </c>
      <c r="B116" t="s">
        <v>568</v>
      </c>
      <c r="C116" t="s">
        <v>3793</v>
      </c>
      <c r="D116" t="s">
        <v>3793</v>
      </c>
      <c r="E116" t="s">
        <v>1021</v>
      </c>
      <c r="F116" t="s">
        <v>613</v>
      </c>
      <c r="G116" t="s">
        <v>370</v>
      </c>
      <c r="H116">
        <v>38000</v>
      </c>
      <c r="I116" t="s">
        <v>3632</v>
      </c>
      <c r="J116">
        <v>10</v>
      </c>
      <c r="K116">
        <v>10</v>
      </c>
      <c r="L116" s="452">
        <v>45436</v>
      </c>
      <c r="M116" s="452">
        <v>45733</v>
      </c>
      <c r="N116">
        <v>3800</v>
      </c>
      <c r="O116" t="s">
        <v>820</v>
      </c>
      <c r="P116" s="452">
        <v>45733</v>
      </c>
      <c r="Q116" t="s">
        <v>3794</v>
      </c>
      <c r="R116" t="s">
        <v>3701</v>
      </c>
      <c r="S116" t="s">
        <v>3701</v>
      </c>
    </row>
    <row r="117" spans="1:19" x14ac:dyDescent="0.3">
      <c r="A117" t="s">
        <v>3795</v>
      </c>
      <c r="B117" t="s">
        <v>568</v>
      </c>
      <c r="C117" t="s">
        <v>3793</v>
      </c>
      <c r="D117" t="s">
        <v>3793</v>
      </c>
      <c r="E117" t="s">
        <v>1021</v>
      </c>
      <c r="F117" t="s">
        <v>613</v>
      </c>
      <c r="G117" t="s">
        <v>370</v>
      </c>
      <c r="H117">
        <v>38000</v>
      </c>
      <c r="I117" t="s">
        <v>3632</v>
      </c>
      <c r="J117">
        <v>10</v>
      </c>
      <c r="K117">
        <v>9</v>
      </c>
      <c r="L117" s="452">
        <v>45436</v>
      </c>
      <c r="M117" s="452">
        <v>45705</v>
      </c>
      <c r="N117">
        <v>3800</v>
      </c>
      <c r="O117" t="s">
        <v>820</v>
      </c>
      <c r="P117" s="452">
        <v>45705</v>
      </c>
      <c r="Q117" t="s">
        <v>3794</v>
      </c>
      <c r="R117" t="s">
        <v>3755</v>
      </c>
      <c r="S117" t="s">
        <v>3755</v>
      </c>
    </row>
    <row r="118" spans="1:19" x14ac:dyDescent="0.3">
      <c r="A118" t="s">
        <v>3796</v>
      </c>
      <c r="B118" t="s">
        <v>568</v>
      </c>
      <c r="C118" t="s">
        <v>3793</v>
      </c>
      <c r="D118" t="s">
        <v>3793</v>
      </c>
      <c r="E118" t="s">
        <v>1021</v>
      </c>
      <c r="F118" t="s">
        <v>613</v>
      </c>
      <c r="G118" t="s">
        <v>370</v>
      </c>
      <c r="H118">
        <v>38000</v>
      </c>
      <c r="I118" t="s">
        <v>3632</v>
      </c>
      <c r="J118">
        <v>10</v>
      </c>
      <c r="K118">
        <v>8</v>
      </c>
      <c r="L118" s="452">
        <v>45436</v>
      </c>
      <c r="M118" s="452">
        <v>45674</v>
      </c>
      <c r="N118">
        <v>3800</v>
      </c>
      <c r="O118" t="s">
        <v>820</v>
      </c>
      <c r="P118" s="452">
        <v>45673</v>
      </c>
      <c r="Q118" t="s">
        <v>3794</v>
      </c>
      <c r="R118" t="s">
        <v>3705</v>
      </c>
      <c r="S118" t="s">
        <v>3705</v>
      </c>
    </row>
    <row r="119" spans="1:19" x14ac:dyDescent="0.3">
      <c r="A119" t="s">
        <v>3797</v>
      </c>
      <c r="B119" t="s">
        <v>568</v>
      </c>
      <c r="C119" t="s">
        <v>3793</v>
      </c>
      <c r="D119" t="s">
        <v>3793</v>
      </c>
      <c r="E119" t="s">
        <v>1021</v>
      </c>
      <c r="F119" t="s">
        <v>613</v>
      </c>
      <c r="G119" t="s">
        <v>370</v>
      </c>
      <c r="H119">
        <v>38000</v>
      </c>
      <c r="I119" t="s">
        <v>3632</v>
      </c>
      <c r="J119">
        <v>10</v>
      </c>
      <c r="K119">
        <v>7</v>
      </c>
      <c r="L119" s="452">
        <v>45436</v>
      </c>
      <c r="M119" s="452">
        <v>45643</v>
      </c>
      <c r="N119">
        <v>3800</v>
      </c>
      <c r="O119" t="s">
        <v>820</v>
      </c>
      <c r="P119" s="452">
        <v>45643</v>
      </c>
      <c r="Q119" t="s">
        <v>3794</v>
      </c>
      <c r="R119" t="s">
        <v>3762</v>
      </c>
      <c r="S119" t="s">
        <v>3762</v>
      </c>
    </row>
    <row r="120" spans="1:19" x14ac:dyDescent="0.3">
      <c r="A120" t="s">
        <v>3798</v>
      </c>
      <c r="B120" t="s">
        <v>568</v>
      </c>
      <c r="C120" t="s">
        <v>3793</v>
      </c>
      <c r="D120" t="s">
        <v>3793</v>
      </c>
      <c r="E120" t="s">
        <v>1021</v>
      </c>
      <c r="F120" t="s">
        <v>613</v>
      </c>
      <c r="G120" t="s">
        <v>370</v>
      </c>
      <c r="H120">
        <v>38000</v>
      </c>
      <c r="I120" t="s">
        <v>3632</v>
      </c>
      <c r="J120">
        <v>10</v>
      </c>
      <c r="K120">
        <v>6</v>
      </c>
      <c r="L120" s="452">
        <v>45436</v>
      </c>
      <c r="M120" s="452">
        <v>45614</v>
      </c>
      <c r="N120">
        <v>3800</v>
      </c>
      <c r="O120" t="s">
        <v>820</v>
      </c>
      <c r="P120" s="452">
        <v>45614</v>
      </c>
      <c r="Q120" t="s">
        <v>3794</v>
      </c>
      <c r="R120" t="s">
        <v>3799</v>
      </c>
      <c r="S120" t="s">
        <v>3799</v>
      </c>
    </row>
    <row r="121" spans="1:19" x14ac:dyDescent="0.3">
      <c r="A121" t="s">
        <v>3800</v>
      </c>
      <c r="B121" t="s">
        <v>568</v>
      </c>
      <c r="C121" t="s">
        <v>3793</v>
      </c>
      <c r="D121" t="s">
        <v>3793</v>
      </c>
      <c r="E121" t="s">
        <v>1021</v>
      </c>
      <c r="F121" t="s">
        <v>613</v>
      </c>
      <c r="G121" t="s">
        <v>370</v>
      </c>
      <c r="H121">
        <v>38000</v>
      </c>
      <c r="I121" t="s">
        <v>3632</v>
      </c>
      <c r="J121">
        <v>10</v>
      </c>
      <c r="K121">
        <v>5</v>
      </c>
      <c r="L121" s="452">
        <v>45436</v>
      </c>
      <c r="M121" s="452">
        <v>45582</v>
      </c>
      <c r="N121">
        <v>3800</v>
      </c>
      <c r="O121" t="s">
        <v>820</v>
      </c>
      <c r="P121" s="452">
        <v>45582</v>
      </c>
      <c r="Q121" t="s">
        <v>3794</v>
      </c>
      <c r="R121" t="s">
        <v>3772</v>
      </c>
      <c r="S121" t="s">
        <v>3772</v>
      </c>
    </row>
    <row r="122" spans="1:19" x14ac:dyDescent="0.3">
      <c r="A122" t="s">
        <v>3801</v>
      </c>
      <c r="B122" t="s">
        <v>568</v>
      </c>
      <c r="C122" t="s">
        <v>3793</v>
      </c>
      <c r="D122" t="s">
        <v>3793</v>
      </c>
      <c r="E122" t="s">
        <v>1021</v>
      </c>
      <c r="F122" t="s">
        <v>613</v>
      </c>
      <c r="G122" t="s">
        <v>370</v>
      </c>
      <c r="H122">
        <v>38000</v>
      </c>
      <c r="I122" t="s">
        <v>3632</v>
      </c>
      <c r="J122">
        <v>10</v>
      </c>
      <c r="K122">
        <v>4</v>
      </c>
      <c r="L122" s="452">
        <v>45436</v>
      </c>
      <c r="M122" s="452">
        <v>45552</v>
      </c>
      <c r="N122">
        <v>3800</v>
      </c>
      <c r="O122" t="s">
        <v>820</v>
      </c>
      <c r="P122" s="452">
        <v>45552</v>
      </c>
      <c r="Q122" t="s">
        <v>3794</v>
      </c>
      <c r="R122" t="s">
        <v>3802</v>
      </c>
      <c r="S122" t="s">
        <v>3802</v>
      </c>
    </row>
    <row r="123" spans="1:19" x14ac:dyDescent="0.3">
      <c r="A123" t="s">
        <v>3803</v>
      </c>
      <c r="B123" t="s">
        <v>568</v>
      </c>
      <c r="C123" t="s">
        <v>3793</v>
      </c>
      <c r="D123" t="s">
        <v>3793</v>
      </c>
      <c r="E123" t="s">
        <v>1021</v>
      </c>
      <c r="F123" t="s">
        <v>613</v>
      </c>
      <c r="G123" t="s">
        <v>370</v>
      </c>
      <c r="H123">
        <v>38000</v>
      </c>
      <c r="I123" t="s">
        <v>3632</v>
      </c>
      <c r="J123">
        <v>10</v>
      </c>
      <c r="K123">
        <v>3</v>
      </c>
      <c r="L123" s="452">
        <v>45436</v>
      </c>
      <c r="M123" s="452">
        <v>45523</v>
      </c>
      <c r="N123">
        <v>3800</v>
      </c>
      <c r="O123" t="s">
        <v>820</v>
      </c>
      <c r="P123" s="452">
        <v>45523</v>
      </c>
      <c r="Q123" t="s">
        <v>3794</v>
      </c>
      <c r="R123" t="s">
        <v>3804</v>
      </c>
      <c r="S123" t="s">
        <v>3804</v>
      </c>
    </row>
    <row r="124" spans="1:19" x14ac:dyDescent="0.3">
      <c r="A124" t="s">
        <v>3805</v>
      </c>
      <c r="B124" t="s">
        <v>568</v>
      </c>
      <c r="C124" t="s">
        <v>3793</v>
      </c>
      <c r="D124" t="s">
        <v>3793</v>
      </c>
      <c r="E124" t="s">
        <v>1021</v>
      </c>
      <c r="F124" t="s">
        <v>613</v>
      </c>
      <c r="G124" t="s">
        <v>370</v>
      </c>
      <c r="H124">
        <v>38000</v>
      </c>
      <c r="I124" t="s">
        <v>3632</v>
      </c>
      <c r="J124">
        <v>10</v>
      </c>
      <c r="K124">
        <v>2</v>
      </c>
      <c r="L124" s="452">
        <v>45436</v>
      </c>
      <c r="M124" s="452">
        <v>45490</v>
      </c>
      <c r="N124">
        <v>3800</v>
      </c>
      <c r="O124" t="s">
        <v>820</v>
      </c>
      <c r="P124" s="452">
        <v>45490</v>
      </c>
      <c r="Q124" t="s">
        <v>3794</v>
      </c>
      <c r="R124" t="s">
        <v>3777</v>
      </c>
      <c r="S124" t="s">
        <v>3777</v>
      </c>
    </row>
    <row r="125" spans="1:19" x14ac:dyDescent="0.3">
      <c r="A125" t="s">
        <v>3806</v>
      </c>
      <c r="B125" t="s">
        <v>568</v>
      </c>
      <c r="C125" t="s">
        <v>3793</v>
      </c>
      <c r="D125" t="s">
        <v>3793</v>
      </c>
      <c r="E125" t="s">
        <v>1021</v>
      </c>
      <c r="F125" t="s">
        <v>613</v>
      </c>
      <c r="G125" t="s">
        <v>370</v>
      </c>
      <c r="H125">
        <v>38000</v>
      </c>
      <c r="I125" t="s">
        <v>3632</v>
      </c>
      <c r="J125">
        <v>10</v>
      </c>
      <c r="K125">
        <v>1</v>
      </c>
      <c r="L125" s="452">
        <v>45436</v>
      </c>
      <c r="M125" s="452">
        <v>45460</v>
      </c>
      <c r="N125">
        <v>3800</v>
      </c>
      <c r="O125" t="s">
        <v>820</v>
      </c>
      <c r="P125" s="452">
        <v>45460</v>
      </c>
      <c r="Q125" t="s">
        <v>3794</v>
      </c>
      <c r="R125" t="s">
        <v>3807</v>
      </c>
      <c r="S125" t="s">
        <v>3807</v>
      </c>
    </row>
    <row r="126" spans="1:19" x14ac:dyDescent="0.3">
      <c r="A126" t="s">
        <v>3808</v>
      </c>
      <c r="B126" t="s">
        <v>568</v>
      </c>
      <c r="C126" t="s">
        <v>713</v>
      </c>
      <c r="D126" t="s">
        <v>713</v>
      </c>
      <c r="E126" t="s">
        <v>3809</v>
      </c>
      <c r="F126" t="s">
        <v>3760</v>
      </c>
      <c r="G126" t="s">
        <v>3761</v>
      </c>
      <c r="H126">
        <v>352.97</v>
      </c>
      <c r="I126" t="s">
        <v>3619</v>
      </c>
      <c r="L126" s="452">
        <v>45421</v>
      </c>
      <c r="M126" s="452">
        <v>45436</v>
      </c>
      <c r="N126">
        <v>352.97</v>
      </c>
      <c r="O126" t="s">
        <v>820</v>
      </c>
      <c r="P126" s="452">
        <v>45436</v>
      </c>
      <c r="Q126" t="s">
        <v>3810</v>
      </c>
      <c r="R126" t="s">
        <v>3811</v>
      </c>
      <c r="S126" t="s">
        <v>3811</v>
      </c>
    </row>
    <row r="127" spans="1:19" x14ac:dyDescent="0.3">
      <c r="A127" t="s">
        <v>3812</v>
      </c>
      <c r="B127" t="s">
        <v>568</v>
      </c>
      <c r="C127" t="s">
        <v>3813</v>
      </c>
      <c r="D127" t="s">
        <v>3814</v>
      </c>
      <c r="E127" t="s">
        <v>1021</v>
      </c>
      <c r="F127" t="s">
        <v>613</v>
      </c>
      <c r="G127" t="s">
        <v>369</v>
      </c>
      <c r="H127">
        <v>24799.97</v>
      </c>
      <c r="I127" t="s">
        <v>3632</v>
      </c>
      <c r="J127">
        <v>13</v>
      </c>
      <c r="K127">
        <v>13</v>
      </c>
      <c r="L127" s="452">
        <v>45338</v>
      </c>
      <c r="M127" s="452">
        <v>45731</v>
      </c>
      <c r="N127">
        <v>1907.69</v>
      </c>
      <c r="O127" t="s">
        <v>820</v>
      </c>
      <c r="P127" s="452">
        <v>45733</v>
      </c>
      <c r="Q127" t="s">
        <v>3815</v>
      </c>
      <c r="R127" t="s">
        <v>3701</v>
      </c>
      <c r="S127" t="s">
        <v>3701</v>
      </c>
    </row>
    <row r="128" spans="1:19" x14ac:dyDescent="0.3">
      <c r="A128" t="s">
        <v>3816</v>
      </c>
      <c r="B128" t="s">
        <v>568</v>
      </c>
      <c r="C128" t="s">
        <v>3813</v>
      </c>
      <c r="D128" t="s">
        <v>3814</v>
      </c>
      <c r="E128" t="s">
        <v>1021</v>
      </c>
      <c r="F128" t="s">
        <v>613</v>
      </c>
      <c r="G128" t="s">
        <v>369</v>
      </c>
      <c r="H128">
        <v>24799.97</v>
      </c>
      <c r="I128" t="s">
        <v>3632</v>
      </c>
      <c r="J128">
        <v>13</v>
      </c>
      <c r="K128">
        <v>12</v>
      </c>
      <c r="L128" s="452">
        <v>45338</v>
      </c>
      <c r="M128" s="452">
        <v>45703</v>
      </c>
      <c r="N128">
        <v>1907.69</v>
      </c>
      <c r="O128" t="s">
        <v>820</v>
      </c>
      <c r="P128" s="452">
        <v>45705</v>
      </c>
      <c r="Q128" t="s">
        <v>3815</v>
      </c>
      <c r="R128" t="s">
        <v>3755</v>
      </c>
      <c r="S128" t="s">
        <v>3755</v>
      </c>
    </row>
    <row r="129" spans="1:19" x14ac:dyDescent="0.3">
      <c r="A129" t="s">
        <v>3817</v>
      </c>
      <c r="B129" t="s">
        <v>568</v>
      </c>
      <c r="C129" t="s">
        <v>3813</v>
      </c>
      <c r="D129" t="s">
        <v>3814</v>
      </c>
      <c r="E129" t="s">
        <v>1021</v>
      </c>
      <c r="F129" t="s">
        <v>613</v>
      </c>
      <c r="G129" t="s">
        <v>369</v>
      </c>
      <c r="H129">
        <v>24799.97</v>
      </c>
      <c r="I129" t="s">
        <v>3632</v>
      </c>
      <c r="J129">
        <v>13</v>
      </c>
      <c r="K129">
        <v>11</v>
      </c>
      <c r="L129" s="452">
        <v>45338</v>
      </c>
      <c r="M129" s="452">
        <v>45672</v>
      </c>
      <c r="N129">
        <v>1907.69</v>
      </c>
      <c r="O129" t="s">
        <v>820</v>
      </c>
      <c r="P129" s="452">
        <v>45672</v>
      </c>
      <c r="Q129" t="s">
        <v>3815</v>
      </c>
      <c r="R129" t="s">
        <v>3705</v>
      </c>
      <c r="S129" t="s">
        <v>3705</v>
      </c>
    </row>
    <row r="130" spans="1:19" x14ac:dyDescent="0.3">
      <c r="A130" t="s">
        <v>3818</v>
      </c>
      <c r="B130" t="s">
        <v>568</v>
      </c>
      <c r="C130" t="s">
        <v>3813</v>
      </c>
      <c r="D130" t="s">
        <v>3814</v>
      </c>
      <c r="E130" t="s">
        <v>1021</v>
      </c>
      <c r="F130" t="s">
        <v>613</v>
      </c>
      <c r="G130" t="s">
        <v>369</v>
      </c>
      <c r="H130">
        <v>24799.97</v>
      </c>
      <c r="I130" t="s">
        <v>3632</v>
      </c>
      <c r="J130">
        <v>13</v>
      </c>
      <c r="K130">
        <v>10</v>
      </c>
      <c r="L130" s="452">
        <v>45338</v>
      </c>
      <c r="M130" s="452">
        <v>45641</v>
      </c>
      <c r="N130">
        <v>1907.69</v>
      </c>
      <c r="O130" t="s">
        <v>820</v>
      </c>
      <c r="P130" s="452">
        <v>45642</v>
      </c>
      <c r="Q130" t="s">
        <v>3815</v>
      </c>
      <c r="R130" t="s">
        <v>3762</v>
      </c>
      <c r="S130" t="s">
        <v>3762</v>
      </c>
    </row>
    <row r="131" spans="1:19" x14ac:dyDescent="0.3">
      <c r="A131" t="s">
        <v>3819</v>
      </c>
      <c r="B131" t="s">
        <v>568</v>
      </c>
      <c r="C131" t="s">
        <v>3813</v>
      </c>
      <c r="D131" t="s">
        <v>3814</v>
      </c>
      <c r="E131" t="s">
        <v>1021</v>
      </c>
      <c r="F131" t="s">
        <v>613</v>
      </c>
      <c r="G131" t="s">
        <v>369</v>
      </c>
      <c r="H131">
        <v>24799.97</v>
      </c>
      <c r="I131" t="s">
        <v>3632</v>
      </c>
      <c r="J131">
        <v>13</v>
      </c>
      <c r="K131">
        <v>9</v>
      </c>
      <c r="L131" s="452">
        <v>45338</v>
      </c>
      <c r="M131" s="452">
        <v>45611</v>
      </c>
      <c r="N131">
        <v>1907.69</v>
      </c>
      <c r="O131" t="s">
        <v>820</v>
      </c>
      <c r="P131" s="452">
        <v>45610</v>
      </c>
      <c r="Q131" t="s">
        <v>3815</v>
      </c>
      <c r="R131" t="s">
        <v>3799</v>
      </c>
      <c r="S131" t="s">
        <v>3799</v>
      </c>
    </row>
    <row r="132" spans="1:19" x14ac:dyDescent="0.3">
      <c r="A132" t="s">
        <v>3820</v>
      </c>
      <c r="B132" t="s">
        <v>568</v>
      </c>
      <c r="C132" t="s">
        <v>3813</v>
      </c>
      <c r="D132" t="s">
        <v>3814</v>
      </c>
      <c r="E132" t="s">
        <v>1021</v>
      </c>
      <c r="F132" t="s">
        <v>613</v>
      </c>
      <c r="G132" t="s">
        <v>369</v>
      </c>
      <c r="H132">
        <v>24799.97</v>
      </c>
      <c r="I132" t="s">
        <v>3632</v>
      </c>
      <c r="J132">
        <v>13</v>
      </c>
      <c r="K132">
        <v>8</v>
      </c>
      <c r="L132" s="452">
        <v>45338</v>
      </c>
      <c r="M132" s="452">
        <v>45580</v>
      </c>
      <c r="N132">
        <v>1907.69</v>
      </c>
      <c r="O132" t="s">
        <v>820</v>
      </c>
      <c r="P132" s="452">
        <v>45580</v>
      </c>
      <c r="Q132" t="s">
        <v>3815</v>
      </c>
      <c r="R132" t="s">
        <v>3772</v>
      </c>
      <c r="S132" t="s">
        <v>3772</v>
      </c>
    </row>
    <row r="133" spans="1:19" x14ac:dyDescent="0.3">
      <c r="A133" t="s">
        <v>3821</v>
      </c>
      <c r="B133" t="s">
        <v>568</v>
      </c>
      <c r="C133" t="s">
        <v>3813</v>
      </c>
      <c r="D133" t="s">
        <v>3814</v>
      </c>
      <c r="E133" t="s">
        <v>1021</v>
      </c>
      <c r="F133" t="s">
        <v>613</v>
      </c>
      <c r="G133" t="s">
        <v>369</v>
      </c>
      <c r="H133">
        <v>24799.97</v>
      </c>
      <c r="I133" t="s">
        <v>3632</v>
      </c>
      <c r="J133">
        <v>13</v>
      </c>
      <c r="K133">
        <v>7</v>
      </c>
      <c r="L133" s="452">
        <v>45338</v>
      </c>
      <c r="M133" s="452">
        <v>45550</v>
      </c>
      <c r="N133">
        <v>1907.69</v>
      </c>
      <c r="O133" t="s">
        <v>820</v>
      </c>
      <c r="P133" s="452">
        <v>45551</v>
      </c>
      <c r="Q133" t="s">
        <v>3815</v>
      </c>
      <c r="R133" t="s">
        <v>3802</v>
      </c>
      <c r="S133" t="s">
        <v>3802</v>
      </c>
    </row>
    <row r="134" spans="1:19" x14ac:dyDescent="0.3">
      <c r="A134" t="s">
        <v>3822</v>
      </c>
      <c r="B134" t="s">
        <v>568</v>
      </c>
      <c r="C134" t="s">
        <v>3813</v>
      </c>
      <c r="D134" t="s">
        <v>3814</v>
      </c>
      <c r="E134" t="s">
        <v>1021</v>
      </c>
      <c r="F134" t="s">
        <v>613</v>
      </c>
      <c r="G134" t="s">
        <v>369</v>
      </c>
      <c r="H134">
        <v>24799.97</v>
      </c>
      <c r="I134" t="s">
        <v>3632</v>
      </c>
      <c r="J134">
        <v>13</v>
      </c>
      <c r="K134">
        <v>6</v>
      </c>
      <c r="L134" s="452">
        <v>45338</v>
      </c>
      <c r="M134" s="452">
        <v>45519</v>
      </c>
      <c r="N134">
        <v>1907.69</v>
      </c>
      <c r="O134" t="s">
        <v>820</v>
      </c>
      <c r="P134" s="452">
        <v>45519</v>
      </c>
      <c r="Q134" t="s">
        <v>3815</v>
      </c>
      <c r="R134" t="s">
        <v>3804</v>
      </c>
      <c r="S134" t="s">
        <v>3804</v>
      </c>
    </row>
    <row r="135" spans="1:19" x14ac:dyDescent="0.3">
      <c r="A135" t="s">
        <v>3823</v>
      </c>
      <c r="B135" t="s">
        <v>568</v>
      </c>
      <c r="C135" t="s">
        <v>3813</v>
      </c>
      <c r="D135" t="s">
        <v>3814</v>
      </c>
      <c r="E135" t="s">
        <v>1021</v>
      </c>
      <c r="F135" t="s">
        <v>613</v>
      </c>
      <c r="G135" t="s">
        <v>369</v>
      </c>
      <c r="H135">
        <v>24799.97</v>
      </c>
      <c r="I135" t="s">
        <v>3632</v>
      </c>
      <c r="J135">
        <v>13</v>
      </c>
      <c r="K135">
        <v>5</v>
      </c>
      <c r="L135" s="452">
        <v>45338</v>
      </c>
      <c r="M135" s="452">
        <v>45488</v>
      </c>
      <c r="N135">
        <v>1907.69</v>
      </c>
      <c r="O135" t="s">
        <v>820</v>
      </c>
      <c r="P135" s="452">
        <v>45488</v>
      </c>
      <c r="Q135" t="s">
        <v>3815</v>
      </c>
      <c r="R135" t="s">
        <v>3777</v>
      </c>
      <c r="S135" t="s">
        <v>3777</v>
      </c>
    </row>
    <row r="136" spans="1:19" x14ac:dyDescent="0.3">
      <c r="A136" t="s">
        <v>3824</v>
      </c>
      <c r="B136" t="s">
        <v>568</v>
      </c>
      <c r="C136" t="s">
        <v>3813</v>
      </c>
      <c r="D136" t="s">
        <v>3814</v>
      </c>
      <c r="E136" t="s">
        <v>1021</v>
      </c>
      <c r="F136" t="s">
        <v>613</v>
      </c>
      <c r="G136" t="s">
        <v>369</v>
      </c>
      <c r="H136">
        <v>24799.97</v>
      </c>
      <c r="I136" t="s">
        <v>3632</v>
      </c>
      <c r="J136">
        <v>13</v>
      </c>
      <c r="K136">
        <v>4</v>
      </c>
      <c r="L136" s="452">
        <v>45338</v>
      </c>
      <c r="M136" s="452">
        <v>45458</v>
      </c>
      <c r="N136">
        <v>1907.69</v>
      </c>
      <c r="O136" t="s">
        <v>820</v>
      </c>
      <c r="P136" s="452">
        <v>45460</v>
      </c>
      <c r="Q136" t="s">
        <v>3815</v>
      </c>
      <c r="R136" t="s">
        <v>3807</v>
      </c>
      <c r="S136" t="s">
        <v>3807</v>
      </c>
    </row>
    <row r="137" spans="1:19" x14ac:dyDescent="0.3">
      <c r="A137" t="s">
        <v>3825</v>
      </c>
      <c r="B137" t="s">
        <v>568</v>
      </c>
      <c r="C137" t="s">
        <v>3813</v>
      </c>
      <c r="D137" t="s">
        <v>3814</v>
      </c>
      <c r="E137" t="s">
        <v>1021</v>
      </c>
      <c r="F137" t="s">
        <v>613</v>
      </c>
      <c r="G137" t="s">
        <v>369</v>
      </c>
      <c r="H137">
        <v>24799.97</v>
      </c>
      <c r="I137" t="s">
        <v>3632</v>
      </c>
      <c r="J137">
        <v>13</v>
      </c>
      <c r="K137">
        <v>3</v>
      </c>
      <c r="L137" s="452">
        <v>45338</v>
      </c>
      <c r="M137" s="452">
        <v>45427</v>
      </c>
      <c r="N137">
        <v>1907.69</v>
      </c>
      <c r="O137" t="s">
        <v>820</v>
      </c>
      <c r="P137" s="452">
        <v>45427</v>
      </c>
      <c r="Q137" t="s">
        <v>3815</v>
      </c>
      <c r="R137" t="s">
        <v>3811</v>
      </c>
      <c r="S137" t="s">
        <v>3811</v>
      </c>
    </row>
    <row r="138" spans="1:19" x14ac:dyDescent="0.3">
      <c r="A138" t="s">
        <v>3826</v>
      </c>
      <c r="B138" t="s">
        <v>568</v>
      </c>
      <c r="C138" t="s">
        <v>3813</v>
      </c>
      <c r="D138" t="s">
        <v>3814</v>
      </c>
      <c r="E138" t="s">
        <v>1021</v>
      </c>
      <c r="F138" t="s">
        <v>613</v>
      </c>
      <c r="G138" t="s">
        <v>369</v>
      </c>
      <c r="H138">
        <v>24799.97</v>
      </c>
      <c r="I138" t="s">
        <v>3632</v>
      </c>
      <c r="J138">
        <v>13</v>
      </c>
      <c r="K138">
        <v>2</v>
      </c>
      <c r="L138" s="452">
        <v>45338</v>
      </c>
      <c r="M138" s="452">
        <v>45397</v>
      </c>
      <c r="N138">
        <v>1907.69</v>
      </c>
      <c r="O138" t="s">
        <v>820</v>
      </c>
      <c r="P138" s="452">
        <v>45397</v>
      </c>
      <c r="Q138" t="s">
        <v>3815</v>
      </c>
      <c r="R138" t="s">
        <v>3827</v>
      </c>
      <c r="S138" t="s">
        <v>3827</v>
      </c>
    </row>
    <row r="139" spans="1:19" x14ac:dyDescent="0.3">
      <c r="A139" t="s">
        <v>3828</v>
      </c>
      <c r="B139" t="s">
        <v>568</v>
      </c>
      <c r="C139" t="s">
        <v>3813</v>
      </c>
      <c r="D139" t="s">
        <v>3814</v>
      </c>
      <c r="E139" t="s">
        <v>1021</v>
      </c>
      <c r="F139" t="s">
        <v>613</v>
      </c>
      <c r="G139" t="s">
        <v>369</v>
      </c>
      <c r="H139">
        <v>24799.97</v>
      </c>
      <c r="I139" t="s">
        <v>3632</v>
      </c>
      <c r="J139">
        <v>13</v>
      </c>
      <c r="K139">
        <v>1</v>
      </c>
      <c r="L139" s="452">
        <v>45338</v>
      </c>
      <c r="M139" s="452">
        <v>45366</v>
      </c>
      <c r="N139">
        <v>1907.69</v>
      </c>
      <c r="O139" t="s">
        <v>820</v>
      </c>
      <c r="P139" s="452">
        <v>45366</v>
      </c>
      <c r="Q139" t="s">
        <v>3815</v>
      </c>
      <c r="R139" t="s">
        <v>3829</v>
      </c>
      <c r="S139" t="s">
        <v>3829</v>
      </c>
    </row>
    <row r="140" spans="1:19" x14ac:dyDescent="0.3">
      <c r="A140" t="s">
        <v>3830</v>
      </c>
      <c r="B140" t="s">
        <v>568</v>
      </c>
      <c r="C140" t="s">
        <v>3831</v>
      </c>
      <c r="D140" t="s">
        <v>3831</v>
      </c>
      <c r="F140" t="s">
        <v>613</v>
      </c>
      <c r="G140" t="s">
        <v>370</v>
      </c>
      <c r="H140">
        <v>1500</v>
      </c>
      <c r="I140" t="s">
        <v>3619</v>
      </c>
      <c r="L140" s="452">
        <v>44964</v>
      </c>
      <c r="M140" s="452">
        <v>44984</v>
      </c>
      <c r="N140">
        <v>1500</v>
      </c>
      <c r="O140" t="s">
        <v>820</v>
      </c>
      <c r="Q140" t="s">
        <v>3832</v>
      </c>
      <c r="R140" t="s">
        <v>3833</v>
      </c>
    </row>
    <row r="141" spans="1:19" x14ac:dyDescent="0.3">
      <c r="A141" t="s">
        <v>3834</v>
      </c>
      <c r="B141" t="s">
        <v>568</v>
      </c>
      <c r="C141" t="s">
        <v>606</v>
      </c>
      <c r="D141" t="s">
        <v>606</v>
      </c>
      <c r="F141" t="s">
        <v>3760</v>
      </c>
      <c r="G141" t="s">
        <v>3761</v>
      </c>
      <c r="H141">
        <v>42121.14</v>
      </c>
      <c r="I141" t="s">
        <v>3619</v>
      </c>
      <c r="L141" s="452">
        <v>44833</v>
      </c>
      <c r="M141" s="452">
        <v>45015</v>
      </c>
      <c r="N141">
        <v>42121.14</v>
      </c>
      <c r="O141" t="s">
        <v>3633</v>
      </c>
      <c r="Q141" t="s">
        <v>3761</v>
      </c>
      <c r="R141" t="s">
        <v>3835</v>
      </c>
    </row>
    <row r="142" spans="1:19" x14ac:dyDescent="0.3">
      <c r="A142" t="s">
        <v>3836</v>
      </c>
      <c r="B142" t="s">
        <v>568</v>
      </c>
      <c r="C142" t="s">
        <v>713</v>
      </c>
      <c r="D142" t="s">
        <v>713</v>
      </c>
      <c r="F142" t="s">
        <v>3760</v>
      </c>
      <c r="G142" t="s">
        <v>3837</v>
      </c>
      <c r="H142">
        <v>1151.74</v>
      </c>
      <c r="I142" t="s">
        <v>3619</v>
      </c>
      <c r="L142" s="452">
        <v>44572</v>
      </c>
      <c r="M142" s="452">
        <v>44585</v>
      </c>
      <c r="N142">
        <v>1151.74</v>
      </c>
      <c r="O142" t="s">
        <v>3633</v>
      </c>
      <c r="Q142" t="s">
        <v>3838</v>
      </c>
      <c r="R142" t="s">
        <v>3839</v>
      </c>
    </row>
    <row r="143" spans="1:19" x14ac:dyDescent="0.3">
      <c r="A143" t="s">
        <v>3840</v>
      </c>
      <c r="B143" t="s">
        <v>568</v>
      </c>
      <c r="C143" t="s">
        <v>3698</v>
      </c>
      <c r="D143" t="s">
        <v>3698</v>
      </c>
      <c r="F143" t="s">
        <v>3760</v>
      </c>
      <c r="G143" t="s">
        <v>3841</v>
      </c>
      <c r="H143">
        <v>314.72000000000003</v>
      </c>
      <c r="I143" t="s">
        <v>3619</v>
      </c>
      <c r="L143" s="452">
        <v>45196</v>
      </c>
      <c r="M143" s="452">
        <v>45196</v>
      </c>
      <c r="N143">
        <v>314.72000000000003</v>
      </c>
      <c r="O143" t="s">
        <v>820</v>
      </c>
      <c r="Q143" t="s">
        <v>3842</v>
      </c>
      <c r="R143" t="s">
        <v>3843</v>
      </c>
    </row>
    <row r="144" spans="1:19" x14ac:dyDescent="0.3">
      <c r="A144" t="s">
        <v>3844</v>
      </c>
      <c r="B144" t="s">
        <v>568</v>
      </c>
      <c r="C144" t="s">
        <v>1068</v>
      </c>
      <c r="D144" t="s">
        <v>3845</v>
      </c>
      <c r="F144" t="s">
        <v>3760</v>
      </c>
      <c r="G144" t="s">
        <v>3761</v>
      </c>
      <c r="H144">
        <v>2579.21</v>
      </c>
      <c r="I144" t="s">
        <v>3619</v>
      </c>
      <c r="L144" s="452">
        <v>45042</v>
      </c>
      <c r="M144" s="452">
        <v>45058</v>
      </c>
      <c r="N144">
        <v>2579.21</v>
      </c>
      <c r="O144" t="s">
        <v>820</v>
      </c>
      <c r="Q144" t="s">
        <v>3846</v>
      </c>
      <c r="R144" t="s">
        <v>3847</v>
      </c>
    </row>
    <row r="145" spans="1:18" x14ac:dyDescent="0.3">
      <c r="A145" t="s">
        <v>3848</v>
      </c>
      <c r="B145" t="s">
        <v>568</v>
      </c>
      <c r="C145" t="s">
        <v>3831</v>
      </c>
      <c r="D145" t="s">
        <v>3831</v>
      </c>
      <c r="F145" t="s">
        <v>613</v>
      </c>
      <c r="G145" t="s">
        <v>370</v>
      </c>
      <c r="H145">
        <v>1500</v>
      </c>
      <c r="I145" t="s">
        <v>3619</v>
      </c>
      <c r="L145" s="452">
        <v>44964</v>
      </c>
      <c r="M145" s="452">
        <v>45104</v>
      </c>
      <c r="N145">
        <v>1500</v>
      </c>
      <c r="O145" t="s">
        <v>820</v>
      </c>
      <c r="Q145" t="s">
        <v>3832</v>
      </c>
      <c r="R145" t="s">
        <v>3849</v>
      </c>
    </row>
    <row r="146" spans="1:18" x14ac:dyDescent="0.3">
      <c r="A146" t="s">
        <v>3850</v>
      </c>
      <c r="B146" t="s">
        <v>568</v>
      </c>
      <c r="C146" t="s">
        <v>606</v>
      </c>
      <c r="D146" t="s">
        <v>606</v>
      </c>
      <c r="F146" t="s">
        <v>3760</v>
      </c>
      <c r="G146" t="s">
        <v>3761</v>
      </c>
      <c r="H146">
        <v>42121.14</v>
      </c>
      <c r="I146" t="s">
        <v>3619</v>
      </c>
      <c r="L146" s="452">
        <v>44833</v>
      </c>
      <c r="M146" s="452">
        <v>44956</v>
      </c>
      <c r="N146">
        <v>42121.14</v>
      </c>
      <c r="O146" t="s">
        <v>3633</v>
      </c>
      <c r="Q146" t="s">
        <v>3761</v>
      </c>
      <c r="R146" t="s">
        <v>3851</v>
      </c>
    </row>
    <row r="147" spans="1:18" x14ac:dyDescent="0.3">
      <c r="A147" t="s">
        <v>3852</v>
      </c>
      <c r="B147" t="s">
        <v>568</v>
      </c>
      <c r="C147" t="s">
        <v>3831</v>
      </c>
      <c r="D147" t="s">
        <v>3831</v>
      </c>
      <c r="F147" t="s">
        <v>613</v>
      </c>
      <c r="G147" t="s">
        <v>370</v>
      </c>
      <c r="H147">
        <v>1500</v>
      </c>
      <c r="I147" t="s">
        <v>3619</v>
      </c>
      <c r="L147" s="452">
        <v>44964</v>
      </c>
      <c r="M147" s="452">
        <v>45043</v>
      </c>
      <c r="N147">
        <v>1500</v>
      </c>
      <c r="O147" t="s">
        <v>820</v>
      </c>
      <c r="Q147" t="s">
        <v>3832</v>
      </c>
      <c r="R147" t="s">
        <v>3853</v>
      </c>
    </row>
    <row r="148" spans="1:18" x14ac:dyDescent="0.3">
      <c r="A148" t="s">
        <v>3854</v>
      </c>
      <c r="B148" t="s">
        <v>568</v>
      </c>
      <c r="C148" t="s">
        <v>1068</v>
      </c>
      <c r="D148" t="s">
        <v>3845</v>
      </c>
      <c r="F148" t="s">
        <v>3760</v>
      </c>
      <c r="G148" t="s">
        <v>3761</v>
      </c>
      <c r="H148">
        <v>2579</v>
      </c>
      <c r="I148" t="s">
        <v>3619</v>
      </c>
      <c r="L148" s="452">
        <v>45042</v>
      </c>
      <c r="M148" s="452">
        <v>45050</v>
      </c>
      <c r="N148">
        <v>2579</v>
      </c>
      <c r="O148" t="s">
        <v>820</v>
      </c>
      <c r="Q148" t="s">
        <v>3855</v>
      </c>
      <c r="R148" t="s">
        <v>3847</v>
      </c>
    </row>
    <row r="149" spans="1:18" x14ac:dyDescent="0.3">
      <c r="A149" t="s">
        <v>3856</v>
      </c>
      <c r="B149" t="s">
        <v>568</v>
      </c>
      <c r="C149" t="s">
        <v>606</v>
      </c>
      <c r="D149" t="s">
        <v>606</v>
      </c>
      <c r="F149" t="s">
        <v>3760</v>
      </c>
      <c r="G149" t="s">
        <v>3761</v>
      </c>
      <c r="H149">
        <v>42121.14</v>
      </c>
      <c r="I149" t="s">
        <v>3619</v>
      </c>
      <c r="L149" s="452">
        <v>44833</v>
      </c>
      <c r="M149" s="452">
        <v>44985</v>
      </c>
      <c r="N149">
        <v>42121.14</v>
      </c>
      <c r="O149" t="s">
        <v>3633</v>
      </c>
      <c r="Q149" t="s">
        <v>3761</v>
      </c>
      <c r="R149" t="s">
        <v>3833</v>
      </c>
    </row>
    <row r="150" spans="1:18" x14ac:dyDescent="0.3">
      <c r="A150" t="s">
        <v>3857</v>
      </c>
      <c r="B150" t="s">
        <v>568</v>
      </c>
      <c r="C150" t="s">
        <v>3831</v>
      </c>
      <c r="D150" t="s">
        <v>3831</v>
      </c>
      <c r="F150" t="s">
        <v>613</v>
      </c>
      <c r="G150" t="s">
        <v>370</v>
      </c>
      <c r="H150">
        <v>1500</v>
      </c>
      <c r="I150" t="s">
        <v>3619</v>
      </c>
      <c r="L150" s="452">
        <v>44964</v>
      </c>
      <c r="M150" s="452">
        <v>45012</v>
      </c>
      <c r="N150">
        <v>1500</v>
      </c>
      <c r="O150" t="s">
        <v>820</v>
      </c>
      <c r="Q150" t="s">
        <v>3832</v>
      </c>
      <c r="R150" t="s">
        <v>3835</v>
      </c>
    </row>
    <row r="151" spans="1:18" x14ac:dyDescent="0.3">
      <c r="A151" t="s">
        <v>3858</v>
      </c>
      <c r="B151" t="s">
        <v>568</v>
      </c>
      <c r="C151" t="s">
        <v>3793</v>
      </c>
      <c r="D151" t="s">
        <v>3793</v>
      </c>
      <c r="F151" t="s">
        <v>613</v>
      </c>
      <c r="G151" t="s">
        <v>370</v>
      </c>
      <c r="H151">
        <v>2000</v>
      </c>
      <c r="I151" t="s">
        <v>3619</v>
      </c>
      <c r="L151" s="452">
        <v>44501</v>
      </c>
      <c r="M151" s="452">
        <v>44585</v>
      </c>
      <c r="N151">
        <v>2000</v>
      </c>
      <c r="O151" t="s">
        <v>3633</v>
      </c>
      <c r="Q151" t="s">
        <v>3859</v>
      </c>
      <c r="R151" t="s">
        <v>3839</v>
      </c>
    </row>
    <row r="152" spans="1:18" x14ac:dyDescent="0.3">
      <c r="A152" t="s">
        <v>3860</v>
      </c>
      <c r="B152" t="s">
        <v>568</v>
      </c>
      <c r="C152" t="s">
        <v>713</v>
      </c>
      <c r="D152" t="s">
        <v>713</v>
      </c>
      <c r="F152" t="s">
        <v>3760</v>
      </c>
      <c r="G152" t="s">
        <v>3837</v>
      </c>
      <c r="H152">
        <v>2948.34</v>
      </c>
      <c r="I152" t="s">
        <v>3619</v>
      </c>
      <c r="L152" s="452">
        <v>44571</v>
      </c>
      <c r="M152" s="452">
        <v>44585</v>
      </c>
      <c r="N152">
        <v>2948.34</v>
      </c>
      <c r="O152" t="s">
        <v>3633</v>
      </c>
      <c r="Q152" t="s">
        <v>3861</v>
      </c>
      <c r="R152" t="s">
        <v>3839</v>
      </c>
    </row>
    <row r="153" spans="1:18" x14ac:dyDescent="0.3">
      <c r="A153" t="s">
        <v>3862</v>
      </c>
      <c r="B153" t="s">
        <v>568</v>
      </c>
      <c r="C153" t="s">
        <v>3831</v>
      </c>
      <c r="D153" t="s">
        <v>3831</v>
      </c>
      <c r="F153" t="s">
        <v>613</v>
      </c>
      <c r="G153" t="s">
        <v>370</v>
      </c>
      <c r="H153">
        <v>1500</v>
      </c>
      <c r="I153" t="s">
        <v>3619</v>
      </c>
      <c r="L153" s="452">
        <v>44964</v>
      </c>
      <c r="M153" s="452">
        <v>45075</v>
      </c>
      <c r="N153">
        <v>1500</v>
      </c>
      <c r="O153" t="s">
        <v>820</v>
      </c>
      <c r="Q153" t="s">
        <v>3832</v>
      </c>
      <c r="R153" t="s">
        <v>3847</v>
      </c>
    </row>
    <row r="154" spans="1:18" x14ac:dyDescent="0.3">
      <c r="A154" t="s">
        <v>3863</v>
      </c>
      <c r="B154" t="s">
        <v>568</v>
      </c>
      <c r="C154" t="s">
        <v>3831</v>
      </c>
      <c r="D154" t="s">
        <v>3831</v>
      </c>
      <c r="F154" t="s">
        <v>613</v>
      </c>
      <c r="G154" t="s">
        <v>370</v>
      </c>
      <c r="H154">
        <v>1500</v>
      </c>
      <c r="I154" t="s">
        <v>3619</v>
      </c>
      <c r="L154" s="452">
        <v>44964</v>
      </c>
      <c r="M154" s="452">
        <v>45134</v>
      </c>
      <c r="N154">
        <v>1500</v>
      </c>
      <c r="O154" t="s">
        <v>820</v>
      </c>
      <c r="Q154" t="s">
        <v>3832</v>
      </c>
      <c r="R154" t="s">
        <v>3864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603"/>
  <sheetViews>
    <sheetView workbookViewId="0"/>
  </sheetViews>
  <sheetFormatPr defaultRowHeight="14.4" x14ac:dyDescent="0.3"/>
  <sheetData>
    <row r="1" spans="1:9" x14ac:dyDescent="0.3">
      <c r="A1" t="s">
        <v>3865</v>
      </c>
      <c r="B1" t="s">
        <v>2248</v>
      </c>
      <c r="C1" t="s">
        <v>3866</v>
      </c>
      <c r="D1" t="s">
        <v>2249</v>
      </c>
      <c r="E1" t="s">
        <v>3867</v>
      </c>
      <c r="F1" t="s">
        <v>3868</v>
      </c>
      <c r="G1" t="s">
        <v>3869</v>
      </c>
      <c r="H1" t="s">
        <v>3870</v>
      </c>
      <c r="I1" t="s">
        <v>566</v>
      </c>
    </row>
    <row r="2" spans="1:9" x14ac:dyDescent="0.3">
      <c r="A2">
        <v>63103</v>
      </c>
      <c r="B2">
        <v>116</v>
      </c>
      <c r="C2" s="453">
        <v>45992</v>
      </c>
      <c r="D2" t="s">
        <v>568</v>
      </c>
      <c r="E2">
        <v>22108</v>
      </c>
      <c r="F2" t="s">
        <v>3871</v>
      </c>
      <c r="G2">
        <v>109</v>
      </c>
      <c r="H2" t="s">
        <v>3872</v>
      </c>
      <c r="I2" t="s">
        <v>460</v>
      </c>
    </row>
    <row r="3" spans="1:9" x14ac:dyDescent="0.3">
      <c r="A3">
        <v>63104</v>
      </c>
      <c r="B3">
        <v>116</v>
      </c>
      <c r="C3" s="453">
        <v>45992</v>
      </c>
      <c r="D3" t="s">
        <v>568</v>
      </c>
      <c r="E3">
        <v>25196</v>
      </c>
      <c r="F3" t="s">
        <v>3873</v>
      </c>
      <c r="G3">
        <v>68</v>
      </c>
      <c r="H3" t="s">
        <v>3872</v>
      </c>
      <c r="I3" t="s">
        <v>460</v>
      </c>
    </row>
    <row r="4" spans="1:9" x14ac:dyDescent="0.3">
      <c r="A4">
        <v>63105</v>
      </c>
      <c r="B4">
        <v>116</v>
      </c>
      <c r="C4" s="453">
        <v>45992</v>
      </c>
      <c r="D4" t="s">
        <v>568</v>
      </c>
      <c r="E4">
        <v>25195</v>
      </c>
      <c r="F4" t="s">
        <v>3874</v>
      </c>
      <c r="G4">
        <v>54</v>
      </c>
      <c r="H4" t="s">
        <v>3872</v>
      </c>
      <c r="I4" t="s">
        <v>460</v>
      </c>
    </row>
    <row r="5" spans="1:9" x14ac:dyDescent="0.3">
      <c r="A5">
        <v>63106</v>
      </c>
      <c r="B5">
        <v>116</v>
      </c>
      <c r="C5" s="453">
        <v>45992</v>
      </c>
      <c r="D5" t="s">
        <v>568</v>
      </c>
      <c r="E5">
        <v>24029</v>
      </c>
      <c r="F5" t="s">
        <v>3875</v>
      </c>
      <c r="G5">
        <v>54</v>
      </c>
      <c r="H5" t="s">
        <v>3872</v>
      </c>
      <c r="I5" t="s">
        <v>460</v>
      </c>
    </row>
    <row r="6" spans="1:9" x14ac:dyDescent="0.3">
      <c r="A6">
        <v>63107</v>
      </c>
      <c r="B6">
        <v>116</v>
      </c>
      <c r="C6" s="453">
        <v>45992</v>
      </c>
      <c r="D6" t="s">
        <v>568</v>
      </c>
      <c r="E6">
        <v>23096</v>
      </c>
      <c r="F6" t="s">
        <v>3876</v>
      </c>
      <c r="G6">
        <v>45</v>
      </c>
      <c r="H6" t="s">
        <v>3872</v>
      </c>
      <c r="I6" t="s">
        <v>460</v>
      </c>
    </row>
    <row r="7" spans="1:9" x14ac:dyDescent="0.3">
      <c r="A7">
        <v>63108</v>
      </c>
      <c r="B7">
        <v>116</v>
      </c>
      <c r="C7" s="453">
        <v>45992</v>
      </c>
      <c r="D7" t="s">
        <v>568</v>
      </c>
      <c r="E7">
        <v>18247</v>
      </c>
      <c r="F7" t="s">
        <v>3877</v>
      </c>
      <c r="G7">
        <v>36.299999999999997</v>
      </c>
      <c r="H7" t="s">
        <v>3878</v>
      </c>
      <c r="I7" t="s">
        <v>460</v>
      </c>
    </row>
    <row r="8" spans="1:9" x14ac:dyDescent="0.3">
      <c r="A8">
        <v>63109</v>
      </c>
      <c r="B8">
        <v>116</v>
      </c>
      <c r="C8" s="453">
        <v>45992</v>
      </c>
      <c r="D8" t="s">
        <v>568</v>
      </c>
      <c r="E8">
        <v>17957</v>
      </c>
      <c r="F8" t="s">
        <v>3879</v>
      </c>
      <c r="G8">
        <v>36</v>
      </c>
      <c r="H8" t="s">
        <v>3872</v>
      </c>
      <c r="I8" t="s">
        <v>460</v>
      </c>
    </row>
    <row r="9" spans="1:9" x14ac:dyDescent="0.3">
      <c r="A9">
        <v>63110</v>
      </c>
      <c r="B9">
        <v>116</v>
      </c>
      <c r="C9" s="453">
        <v>45992</v>
      </c>
      <c r="D9" t="s">
        <v>568</v>
      </c>
      <c r="E9">
        <v>22118</v>
      </c>
      <c r="F9" t="s">
        <v>3880</v>
      </c>
      <c r="G9">
        <v>32</v>
      </c>
      <c r="H9" t="s">
        <v>3881</v>
      </c>
      <c r="I9" t="s">
        <v>460</v>
      </c>
    </row>
    <row r="10" spans="1:9" x14ac:dyDescent="0.3">
      <c r="A10">
        <v>63111</v>
      </c>
      <c r="B10">
        <v>116</v>
      </c>
      <c r="C10" s="453">
        <v>45992</v>
      </c>
      <c r="D10" t="s">
        <v>568</v>
      </c>
      <c r="E10">
        <v>23095</v>
      </c>
      <c r="F10" t="s">
        <v>3882</v>
      </c>
      <c r="G10">
        <v>30</v>
      </c>
      <c r="H10" t="s">
        <v>3872</v>
      </c>
      <c r="I10" t="s">
        <v>460</v>
      </c>
    </row>
    <row r="11" spans="1:9" x14ac:dyDescent="0.3">
      <c r="A11">
        <v>63112</v>
      </c>
      <c r="B11">
        <v>116</v>
      </c>
      <c r="C11" s="453">
        <v>45992</v>
      </c>
      <c r="D11" t="s">
        <v>568</v>
      </c>
      <c r="E11">
        <v>22515</v>
      </c>
      <c r="F11" t="s">
        <v>3883</v>
      </c>
      <c r="G11">
        <v>29</v>
      </c>
      <c r="H11" t="s">
        <v>3884</v>
      </c>
      <c r="I11" t="s">
        <v>460</v>
      </c>
    </row>
    <row r="12" spans="1:9" x14ac:dyDescent="0.3">
      <c r="A12">
        <v>63113</v>
      </c>
      <c r="B12">
        <v>116</v>
      </c>
      <c r="C12" s="453">
        <v>45992</v>
      </c>
      <c r="D12" t="s">
        <v>568</v>
      </c>
      <c r="E12">
        <v>20621</v>
      </c>
      <c r="F12" t="s">
        <v>3885</v>
      </c>
      <c r="G12">
        <v>26</v>
      </c>
      <c r="H12" t="s">
        <v>3886</v>
      </c>
      <c r="I12" t="s">
        <v>460</v>
      </c>
    </row>
    <row r="13" spans="1:9" x14ac:dyDescent="0.3">
      <c r="A13">
        <v>63114</v>
      </c>
      <c r="B13">
        <v>116</v>
      </c>
      <c r="C13" s="453">
        <v>45992</v>
      </c>
      <c r="D13" t="s">
        <v>568</v>
      </c>
      <c r="E13">
        <v>19139</v>
      </c>
      <c r="F13" t="s">
        <v>3887</v>
      </c>
      <c r="G13">
        <v>24</v>
      </c>
      <c r="H13" t="s">
        <v>3888</v>
      </c>
      <c r="I13" t="s">
        <v>460</v>
      </c>
    </row>
    <row r="14" spans="1:9" x14ac:dyDescent="0.3">
      <c r="A14">
        <v>63115</v>
      </c>
      <c r="B14">
        <v>116</v>
      </c>
      <c r="C14" s="453">
        <v>45992</v>
      </c>
      <c r="D14" t="s">
        <v>568</v>
      </c>
      <c r="E14">
        <v>24140</v>
      </c>
      <c r="F14" t="s">
        <v>3889</v>
      </c>
      <c r="G14">
        <v>24</v>
      </c>
      <c r="H14" t="s">
        <v>3872</v>
      </c>
      <c r="I14" t="s">
        <v>460</v>
      </c>
    </row>
    <row r="15" spans="1:9" x14ac:dyDescent="0.3">
      <c r="A15">
        <v>63116</v>
      </c>
      <c r="B15">
        <v>116</v>
      </c>
      <c r="C15" s="453">
        <v>45992</v>
      </c>
      <c r="D15" t="s">
        <v>568</v>
      </c>
      <c r="E15">
        <v>21030</v>
      </c>
      <c r="F15" t="s">
        <v>3890</v>
      </c>
      <c r="G15">
        <v>23</v>
      </c>
      <c r="H15" t="s">
        <v>3872</v>
      </c>
      <c r="I15" t="s">
        <v>460</v>
      </c>
    </row>
    <row r="16" spans="1:9" x14ac:dyDescent="0.3">
      <c r="A16">
        <v>63117</v>
      </c>
      <c r="B16">
        <v>116</v>
      </c>
      <c r="C16" s="453">
        <v>45992</v>
      </c>
      <c r="D16" t="s">
        <v>568</v>
      </c>
      <c r="E16">
        <v>27079</v>
      </c>
      <c r="F16" t="s">
        <v>3891</v>
      </c>
      <c r="G16">
        <v>22</v>
      </c>
      <c r="H16" t="s">
        <v>3892</v>
      </c>
      <c r="I16" t="s">
        <v>460</v>
      </c>
    </row>
    <row r="17" spans="1:9" x14ac:dyDescent="0.3">
      <c r="A17">
        <v>63118</v>
      </c>
      <c r="B17">
        <v>116</v>
      </c>
      <c r="C17" s="453">
        <v>45992</v>
      </c>
      <c r="D17" t="s">
        <v>568</v>
      </c>
      <c r="E17">
        <v>20703</v>
      </c>
      <c r="F17" t="s">
        <v>3893</v>
      </c>
      <c r="G17">
        <v>19</v>
      </c>
      <c r="H17" t="s">
        <v>3886</v>
      </c>
      <c r="I17" t="s">
        <v>460</v>
      </c>
    </row>
    <row r="18" spans="1:9" x14ac:dyDescent="0.3">
      <c r="A18">
        <v>63119</v>
      </c>
      <c r="B18">
        <v>116</v>
      </c>
      <c r="C18" s="453">
        <v>45992</v>
      </c>
      <c r="D18" t="s">
        <v>568</v>
      </c>
      <c r="E18">
        <v>23184</v>
      </c>
      <c r="F18" t="s">
        <v>3894</v>
      </c>
      <c r="G18">
        <v>18</v>
      </c>
      <c r="H18" t="s">
        <v>3892</v>
      </c>
      <c r="I18" t="s">
        <v>460</v>
      </c>
    </row>
    <row r="19" spans="1:9" x14ac:dyDescent="0.3">
      <c r="A19">
        <v>63120</v>
      </c>
      <c r="B19">
        <v>116</v>
      </c>
      <c r="C19" s="453">
        <v>45992</v>
      </c>
      <c r="D19" t="s">
        <v>568</v>
      </c>
      <c r="E19">
        <v>24259</v>
      </c>
      <c r="F19" t="s">
        <v>3895</v>
      </c>
      <c r="G19">
        <v>17.5</v>
      </c>
      <c r="H19" t="s">
        <v>3892</v>
      </c>
      <c r="I19" t="s">
        <v>460</v>
      </c>
    </row>
    <row r="20" spans="1:9" x14ac:dyDescent="0.3">
      <c r="A20">
        <v>63121</v>
      </c>
      <c r="B20">
        <v>116</v>
      </c>
      <c r="C20" s="453">
        <v>45992</v>
      </c>
      <c r="D20" t="s">
        <v>568</v>
      </c>
      <c r="E20">
        <v>24402</v>
      </c>
      <c r="F20" t="s">
        <v>3896</v>
      </c>
      <c r="G20">
        <v>16.7</v>
      </c>
      <c r="H20" t="s">
        <v>3892</v>
      </c>
      <c r="I20" t="s">
        <v>460</v>
      </c>
    </row>
    <row r="21" spans="1:9" x14ac:dyDescent="0.3">
      <c r="A21">
        <v>63122</v>
      </c>
      <c r="B21">
        <v>116</v>
      </c>
      <c r="C21" s="453">
        <v>45992</v>
      </c>
      <c r="D21" t="s">
        <v>568</v>
      </c>
      <c r="E21">
        <v>24599</v>
      </c>
      <c r="F21" t="s">
        <v>3897</v>
      </c>
      <c r="G21">
        <v>16</v>
      </c>
      <c r="H21" t="s">
        <v>3888</v>
      </c>
      <c r="I21" t="s">
        <v>460</v>
      </c>
    </row>
    <row r="22" spans="1:9" x14ac:dyDescent="0.3">
      <c r="A22">
        <v>63123</v>
      </c>
      <c r="B22">
        <v>116</v>
      </c>
      <c r="C22" s="453">
        <v>45992</v>
      </c>
      <c r="D22" t="s">
        <v>568</v>
      </c>
      <c r="E22">
        <v>24083</v>
      </c>
      <c r="F22" t="s">
        <v>3898</v>
      </c>
      <c r="G22">
        <v>15</v>
      </c>
      <c r="H22" t="s">
        <v>3892</v>
      </c>
      <c r="I22" t="s">
        <v>460</v>
      </c>
    </row>
    <row r="23" spans="1:9" x14ac:dyDescent="0.3">
      <c r="A23">
        <v>63124</v>
      </c>
      <c r="B23">
        <v>116</v>
      </c>
      <c r="C23" s="453">
        <v>45992</v>
      </c>
      <c r="D23" t="s">
        <v>568</v>
      </c>
      <c r="E23">
        <v>19420</v>
      </c>
      <c r="F23" t="s">
        <v>3899</v>
      </c>
      <c r="G23">
        <v>15</v>
      </c>
      <c r="H23" t="s">
        <v>3872</v>
      </c>
      <c r="I23" t="s">
        <v>460</v>
      </c>
    </row>
    <row r="24" spans="1:9" x14ac:dyDescent="0.3">
      <c r="A24">
        <v>63125</v>
      </c>
      <c r="B24">
        <v>116</v>
      </c>
      <c r="C24" s="453">
        <v>45992</v>
      </c>
      <c r="D24" t="s">
        <v>568</v>
      </c>
      <c r="E24">
        <v>18832</v>
      </c>
      <c r="F24" t="s">
        <v>3900</v>
      </c>
      <c r="G24">
        <v>15</v>
      </c>
      <c r="H24" t="s">
        <v>3892</v>
      </c>
      <c r="I24" t="s">
        <v>460</v>
      </c>
    </row>
    <row r="25" spans="1:9" x14ac:dyDescent="0.3">
      <c r="A25">
        <v>63126</v>
      </c>
      <c r="B25">
        <v>116</v>
      </c>
      <c r="C25" s="453">
        <v>45992</v>
      </c>
      <c r="D25" t="s">
        <v>568</v>
      </c>
      <c r="E25">
        <v>22042</v>
      </c>
      <c r="F25" t="s">
        <v>3901</v>
      </c>
      <c r="G25">
        <v>15</v>
      </c>
      <c r="H25" t="s">
        <v>3872</v>
      </c>
      <c r="I25" t="s">
        <v>460</v>
      </c>
    </row>
    <row r="26" spans="1:9" x14ac:dyDescent="0.3">
      <c r="A26">
        <v>63127</v>
      </c>
      <c r="B26">
        <v>116</v>
      </c>
      <c r="C26" s="453">
        <v>45992</v>
      </c>
      <c r="D26" t="s">
        <v>568</v>
      </c>
      <c r="E26">
        <v>20519</v>
      </c>
      <c r="F26" t="s">
        <v>3902</v>
      </c>
      <c r="G26">
        <v>14.5</v>
      </c>
      <c r="H26" t="s">
        <v>3892</v>
      </c>
      <c r="I26" t="s">
        <v>460</v>
      </c>
    </row>
    <row r="27" spans="1:9" x14ac:dyDescent="0.3">
      <c r="A27">
        <v>63128</v>
      </c>
      <c r="B27">
        <v>116</v>
      </c>
      <c r="C27" s="453">
        <v>45992</v>
      </c>
      <c r="D27" t="s">
        <v>568</v>
      </c>
      <c r="E27">
        <v>21093</v>
      </c>
      <c r="F27" t="s">
        <v>3903</v>
      </c>
      <c r="G27">
        <v>14</v>
      </c>
      <c r="H27" t="s">
        <v>3892</v>
      </c>
      <c r="I27" t="s">
        <v>460</v>
      </c>
    </row>
    <row r="28" spans="1:9" x14ac:dyDescent="0.3">
      <c r="A28">
        <v>63129</v>
      </c>
      <c r="B28">
        <v>116</v>
      </c>
      <c r="C28" s="453">
        <v>45992</v>
      </c>
      <c r="D28" t="s">
        <v>568</v>
      </c>
      <c r="E28">
        <v>19984</v>
      </c>
      <c r="F28" t="s">
        <v>3904</v>
      </c>
      <c r="G28">
        <v>14</v>
      </c>
      <c r="H28" t="s">
        <v>3872</v>
      </c>
      <c r="I28" t="s">
        <v>460</v>
      </c>
    </row>
    <row r="29" spans="1:9" x14ac:dyDescent="0.3">
      <c r="A29">
        <v>63130</v>
      </c>
      <c r="B29">
        <v>116</v>
      </c>
      <c r="C29" s="453">
        <v>45992</v>
      </c>
      <c r="D29" t="s">
        <v>568</v>
      </c>
      <c r="E29">
        <v>17710</v>
      </c>
      <c r="F29" t="s">
        <v>3905</v>
      </c>
      <c r="G29">
        <v>14</v>
      </c>
      <c r="H29" t="s">
        <v>3878</v>
      </c>
      <c r="I29" t="s">
        <v>460</v>
      </c>
    </row>
    <row r="30" spans="1:9" x14ac:dyDescent="0.3">
      <c r="A30">
        <v>63131</v>
      </c>
      <c r="B30">
        <v>116</v>
      </c>
      <c r="C30" s="453">
        <v>45992</v>
      </c>
      <c r="D30" t="s">
        <v>568</v>
      </c>
      <c r="E30">
        <v>24509</v>
      </c>
      <c r="F30" t="s">
        <v>3906</v>
      </c>
      <c r="G30">
        <v>13</v>
      </c>
      <c r="H30" t="s">
        <v>3892</v>
      </c>
      <c r="I30" t="s">
        <v>460</v>
      </c>
    </row>
    <row r="31" spans="1:9" x14ac:dyDescent="0.3">
      <c r="A31">
        <v>63132</v>
      </c>
      <c r="B31">
        <v>116</v>
      </c>
      <c r="C31" s="453">
        <v>45992</v>
      </c>
      <c r="D31" t="s">
        <v>568</v>
      </c>
      <c r="E31">
        <v>18764</v>
      </c>
      <c r="F31" t="s">
        <v>3907</v>
      </c>
      <c r="G31">
        <v>13</v>
      </c>
      <c r="H31" t="s">
        <v>3892</v>
      </c>
      <c r="I31" t="s">
        <v>460</v>
      </c>
    </row>
    <row r="32" spans="1:9" x14ac:dyDescent="0.3">
      <c r="A32">
        <v>63133</v>
      </c>
      <c r="B32">
        <v>116</v>
      </c>
      <c r="C32" s="453">
        <v>45992</v>
      </c>
      <c r="D32" t="s">
        <v>568</v>
      </c>
      <c r="E32">
        <v>20539</v>
      </c>
      <c r="F32" t="s">
        <v>3908</v>
      </c>
      <c r="G32">
        <v>12.6</v>
      </c>
      <c r="H32" t="s">
        <v>3892</v>
      </c>
      <c r="I32" t="s">
        <v>460</v>
      </c>
    </row>
    <row r="33" spans="1:9" x14ac:dyDescent="0.3">
      <c r="A33">
        <v>63134</v>
      </c>
      <c r="B33">
        <v>116</v>
      </c>
      <c r="C33" s="453">
        <v>45992</v>
      </c>
      <c r="D33" t="s">
        <v>568</v>
      </c>
      <c r="E33">
        <v>19902</v>
      </c>
      <c r="F33" t="s">
        <v>3909</v>
      </c>
      <c r="G33">
        <v>12.5</v>
      </c>
      <c r="H33" t="s">
        <v>3881</v>
      </c>
      <c r="I33" t="s">
        <v>460</v>
      </c>
    </row>
    <row r="34" spans="1:9" x14ac:dyDescent="0.3">
      <c r="A34">
        <v>63135</v>
      </c>
      <c r="B34">
        <v>116</v>
      </c>
      <c r="C34" s="453">
        <v>45992</v>
      </c>
      <c r="D34" t="s">
        <v>568</v>
      </c>
      <c r="E34">
        <v>27884</v>
      </c>
      <c r="F34" t="s">
        <v>3910</v>
      </c>
      <c r="G34">
        <v>12.4</v>
      </c>
      <c r="H34" t="s">
        <v>3892</v>
      </c>
      <c r="I34" t="s">
        <v>460</v>
      </c>
    </row>
    <row r="35" spans="1:9" x14ac:dyDescent="0.3">
      <c r="A35">
        <v>63136</v>
      </c>
      <c r="B35">
        <v>116</v>
      </c>
      <c r="C35" s="453">
        <v>45992</v>
      </c>
      <c r="D35" t="s">
        <v>568</v>
      </c>
      <c r="E35">
        <v>20246</v>
      </c>
      <c r="F35" t="s">
        <v>3911</v>
      </c>
      <c r="G35">
        <v>12</v>
      </c>
      <c r="H35" t="s">
        <v>3872</v>
      </c>
      <c r="I35" t="s">
        <v>460</v>
      </c>
    </row>
    <row r="36" spans="1:9" x14ac:dyDescent="0.3">
      <c r="A36">
        <v>63137</v>
      </c>
      <c r="B36">
        <v>116</v>
      </c>
      <c r="C36" s="453">
        <v>45992</v>
      </c>
      <c r="D36" t="s">
        <v>568</v>
      </c>
      <c r="E36">
        <v>24351</v>
      </c>
      <c r="F36" t="s">
        <v>3912</v>
      </c>
      <c r="G36">
        <v>12</v>
      </c>
      <c r="H36" t="s">
        <v>3872</v>
      </c>
      <c r="I36" t="s">
        <v>460</v>
      </c>
    </row>
    <row r="37" spans="1:9" x14ac:dyDescent="0.3">
      <c r="A37">
        <v>63138</v>
      </c>
      <c r="B37">
        <v>116</v>
      </c>
      <c r="C37" s="453">
        <v>45992</v>
      </c>
      <c r="D37" t="s">
        <v>568</v>
      </c>
      <c r="E37">
        <v>27711</v>
      </c>
      <c r="F37" t="s">
        <v>3913</v>
      </c>
      <c r="G37">
        <v>12</v>
      </c>
      <c r="H37" t="s">
        <v>3872</v>
      </c>
      <c r="I37" t="s">
        <v>460</v>
      </c>
    </row>
    <row r="38" spans="1:9" x14ac:dyDescent="0.3">
      <c r="A38">
        <v>63139</v>
      </c>
      <c r="B38">
        <v>116</v>
      </c>
      <c r="C38" s="453">
        <v>45992</v>
      </c>
      <c r="D38" t="s">
        <v>568</v>
      </c>
      <c r="E38">
        <v>20985</v>
      </c>
      <c r="F38" t="s">
        <v>3914</v>
      </c>
      <c r="G38">
        <v>12</v>
      </c>
      <c r="H38" t="s">
        <v>3872</v>
      </c>
      <c r="I38" t="s">
        <v>460</v>
      </c>
    </row>
    <row r="39" spans="1:9" x14ac:dyDescent="0.3">
      <c r="A39">
        <v>63140</v>
      </c>
      <c r="B39">
        <v>116</v>
      </c>
      <c r="C39" s="453">
        <v>45992</v>
      </c>
      <c r="D39" t="s">
        <v>568</v>
      </c>
      <c r="E39">
        <v>24388</v>
      </c>
      <c r="F39" t="s">
        <v>3915</v>
      </c>
      <c r="G39">
        <v>11.7</v>
      </c>
      <c r="H39" t="s">
        <v>3892</v>
      </c>
      <c r="I39" t="s">
        <v>460</v>
      </c>
    </row>
    <row r="40" spans="1:9" x14ac:dyDescent="0.3">
      <c r="A40">
        <v>63141</v>
      </c>
      <c r="B40">
        <v>116</v>
      </c>
      <c r="C40" s="453">
        <v>45992</v>
      </c>
      <c r="D40" t="s">
        <v>568</v>
      </c>
      <c r="E40">
        <v>18818</v>
      </c>
      <c r="F40" t="s">
        <v>3916</v>
      </c>
      <c r="G40">
        <v>11.2</v>
      </c>
      <c r="H40" t="s">
        <v>3892</v>
      </c>
      <c r="I40" t="s">
        <v>460</v>
      </c>
    </row>
    <row r="41" spans="1:9" x14ac:dyDescent="0.3">
      <c r="A41">
        <v>63142</v>
      </c>
      <c r="B41">
        <v>116</v>
      </c>
      <c r="C41" s="453">
        <v>45992</v>
      </c>
      <c r="D41" t="s">
        <v>568</v>
      </c>
      <c r="E41">
        <v>20359</v>
      </c>
      <c r="F41" t="s">
        <v>3917</v>
      </c>
      <c r="G41">
        <v>11</v>
      </c>
      <c r="H41" t="s">
        <v>3872</v>
      </c>
      <c r="I41" t="s">
        <v>460</v>
      </c>
    </row>
    <row r="42" spans="1:9" x14ac:dyDescent="0.3">
      <c r="A42">
        <v>63143</v>
      </c>
      <c r="B42">
        <v>116</v>
      </c>
      <c r="C42" s="453">
        <v>45992</v>
      </c>
      <c r="D42" t="s">
        <v>568</v>
      </c>
      <c r="E42">
        <v>18475</v>
      </c>
      <c r="F42" t="s">
        <v>3918</v>
      </c>
      <c r="G42">
        <v>10</v>
      </c>
      <c r="H42" t="s">
        <v>3878</v>
      </c>
      <c r="I42" t="s">
        <v>460</v>
      </c>
    </row>
    <row r="43" spans="1:9" x14ac:dyDescent="0.3">
      <c r="A43">
        <v>63144</v>
      </c>
      <c r="B43">
        <v>116</v>
      </c>
      <c r="C43" s="453">
        <v>45992</v>
      </c>
      <c r="D43" t="s">
        <v>568</v>
      </c>
      <c r="E43">
        <v>20661</v>
      </c>
      <c r="F43" t="s">
        <v>3919</v>
      </c>
      <c r="G43">
        <v>9</v>
      </c>
      <c r="H43" t="s">
        <v>3872</v>
      </c>
      <c r="I43" t="s">
        <v>460</v>
      </c>
    </row>
    <row r="44" spans="1:9" x14ac:dyDescent="0.3">
      <c r="A44">
        <v>63145</v>
      </c>
      <c r="B44">
        <v>116</v>
      </c>
      <c r="C44" s="453">
        <v>45992</v>
      </c>
      <c r="D44" t="s">
        <v>568</v>
      </c>
      <c r="E44">
        <v>19917</v>
      </c>
      <c r="F44" t="s">
        <v>3920</v>
      </c>
      <c r="G44">
        <v>9</v>
      </c>
      <c r="H44" t="s">
        <v>3888</v>
      </c>
      <c r="I44" t="s">
        <v>460</v>
      </c>
    </row>
    <row r="45" spans="1:9" x14ac:dyDescent="0.3">
      <c r="A45">
        <v>63146</v>
      </c>
      <c r="B45">
        <v>116</v>
      </c>
      <c r="C45" s="453">
        <v>45992</v>
      </c>
      <c r="D45" t="s">
        <v>568</v>
      </c>
      <c r="E45">
        <v>18636</v>
      </c>
      <c r="F45" t="s">
        <v>3921</v>
      </c>
      <c r="G45">
        <v>9</v>
      </c>
      <c r="H45" t="s">
        <v>3922</v>
      </c>
      <c r="I45" t="s">
        <v>460</v>
      </c>
    </row>
    <row r="46" spans="1:9" x14ac:dyDescent="0.3">
      <c r="A46">
        <v>63147</v>
      </c>
      <c r="B46">
        <v>116</v>
      </c>
      <c r="C46" s="453">
        <v>45992</v>
      </c>
      <c r="D46" t="s">
        <v>568</v>
      </c>
      <c r="E46">
        <v>18172</v>
      </c>
      <c r="F46" t="s">
        <v>3923</v>
      </c>
      <c r="G46">
        <v>9</v>
      </c>
      <c r="H46" t="s">
        <v>3878</v>
      </c>
      <c r="I46" t="s">
        <v>460</v>
      </c>
    </row>
    <row r="47" spans="1:9" x14ac:dyDescent="0.3">
      <c r="A47">
        <v>63148</v>
      </c>
      <c r="B47">
        <v>116</v>
      </c>
      <c r="C47" s="453">
        <v>45992</v>
      </c>
      <c r="D47" t="s">
        <v>568</v>
      </c>
      <c r="E47">
        <v>24002</v>
      </c>
      <c r="F47" t="s">
        <v>3924</v>
      </c>
      <c r="G47">
        <v>9</v>
      </c>
      <c r="H47" t="s">
        <v>3872</v>
      </c>
      <c r="I47" t="s">
        <v>460</v>
      </c>
    </row>
    <row r="48" spans="1:9" x14ac:dyDescent="0.3">
      <c r="A48">
        <v>63149</v>
      </c>
      <c r="B48">
        <v>116</v>
      </c>
      <c r="C48" s="453">
        <v>45992</v>
      </c>
      <c r="D48" t="s">
        <v>568</v>
      </c>
      <c r="E48">
        <v>18684</v>
      </c>
      <c r="F48" t="s">
        <v>3925</v>
      </c>
      <c r="G48">
        <v>8.4</v>
      </c>
      <c r="H48" t="s">
        <v>3892</v>
      </c>
      <c r="I48" t="s">
        <v>460</v>
      </c>
    </row>
    <row r="49" spans="1:9" x14ac:dyDescent="0.3">
      <c r="A49">
        <v>63150</v>
      </c>
      <c r="B49">
        <v>116</v>
      </c>
      <c r="C49" s="453">
        <v>45992</v>
      </c>
      <c r="D49" t="s">
        <v>568</v>
      </c>
      <c r="E49">
        <v>25720</v>
      </c>
      <c r="F49" t="s">
        <v>3926</v>
      </c>
      <c r="G49">
        <v>8</v>
      </c>
      <c r="H49" t="s">
        <v>3892</v>
      </c>
      <c r="I49" t="s">
        <v>460</v>
      </c>
    </row>
    <row r="50" spans="1:9" x14ac:dyDescent="0.3">
      <c r="A50">
        <v>63151</v>
      </c>
      <c r="B50">
        <v>116</v>
      </c>
      <c r="C50" s="453">
        <v>45992</v>
      </c>
      <c r="D50" t="s">
        <v>568</v>
      </c>
      <c r="E50">
        <v>27312</v>
      </c>
      <c r="F50" t="s">
        <v>3927</v>
      </c>
      <c r="G50">
        <v>8</v>
      </c>
      <c r="H50" t="s">
        <v>3892</v>
      </c>
      <c r="I50" t="s">
        <v>460</v>
      </c>
    </row>
    <row r="51" spans="1:9" x14ac:dyDescent="0.3">
      <c r="A51">
        <v>63152</v>
      </c>
      <c r="B51">
        <v>116</v>
      </c>
      <c r="C51" s="453">
        <v>45992</v>
      </c>
      <c r="D51" t="s">
        <v>568</v>
      </c>
      <c r="E51">
        <v>22044</v>
      </c>
      <c r="F51" t="s">
        <v>3928</v>
      </c>
      <c r="G51">
        <v>8</v>
      </c>
      <c r="H51" t="s">
        <v>3872</v>
      </c>
      <c r="I51" t="s">
        <v>460</v>
      </c>
    </row>
    <row r="52" spans="1:9" x14ac:dyDescent="0.3">
      <c r="A52">
        <v>63153</v>
      </c>
      <c r="B52">
        <v>116</v>
      </c>
      <c r="C52" s="453">
        <v>45992</v>
      </c>
      <c r="D52" t="s">
        <v>568</v>
      </c>
      <c r="E52">
        <v>20682</v>
      </c>
      <c r="F52" t="s">
        <v>3929</v>
      </c>
      <c r="G52">
        <v>7</v>
      </c>
      <c r="H52" t="s">
        <v>3872</v>
      </c>
      <c r="I52" t="s">
        <v>460</v>
      </c>
    </row>
    <row r="53" spans="1:9" x14ac:dyDescent="0.3">
      <c r="A53">
        <v>63154</v>
      </c>
      <c r="B53">
        <v>116</v>
      </c>
      <c r="C53" s="453">
        <v>45992</v>
      </c>
      <c r="D53" t="s">
        <v>568</v>
      </c>
      <c r="E53">
        <v>19967</v>
      </c>
      <c r="F53" t="s">
        <v>3930</v>
      </c>
      <c r="G53">
        <v>7</v>
      </c>
      <c r="H53" t="s">
        <v>3931</v>
      </c>
      <c r="I53" t="s">
        <v>460</v>
      </c>
    </row>
    <row r="54" spans="1:9" x14ac:dyDescent="0.3">
      <c r="A54">
        <v>63155</v>
      </c>
      <c r="B54">
        <v>116</v>
      </c>
      <c r="C54" s="453">
        <v>45992</v>
      </c>
      <c r="D54" t="s">
        <v>568</v>
      </c>
      <c r="E54">
        <v>23359</v>
      </c>
      <c r="F54" t="s">
        <v>3932</v>
      </c>
      <c r="G54">
        <v>7</v>
      </c>
      <c r="H54" t="s">
        <v>3892</v>
      </c>
      <c r="I54" t="s">
        <v>460</v>
      </c>
    </row>
    <row r="55" spans="1:9" x14ac:dyDescent="0.3">
      <c r="A55">
        <v>63156</v>
      </c>
      <c r="B55">
        <v>116</v>
      </c>
      <c r="C55" s="453">
        <v>45992</v>
      </c>
      <c r="D55" t="s">
        <v>568</v>
      </c>
      <c r="E55">
        <v>19740</v>
      </c>
      <c r="F55" t="s">
        <v>3933</v>
      </c>
      <c r="G55">
        <v>7</v>
      </c>
      <c r="H55" t="s">
        <v>3892</v>
      </c>
      <c r="I55" t="s">
        <v>460</v>
      </c>
    </row>
    <row r="56" spans="1:9" x14ac:dyDescent="0.3">
      <c r="A56">
        <v>63157</v>
      </c>
      <c r="B56">
        <v>116</v>
      </c>
      <c r="C56" s="453">
        <v>45992</v>
      </c>
      <c r="D56" t="s">
        <v>568</v>
      </c>
      <c r="E56">
        <v>18491</v>
      </c>
      <c r="F56" t="s">
        <v>3934</v>
      </c>
      <c r="G56">
        <v>7</v>
      </c>
      <c r="H56" t="s">
        <v>3878</v>
      </c>
      <c r="I56" t="s">
        <v>460</v>
      </c>
    </row>
    <row r="57" spans="1:9" x14ac:dyDescent="0.3">
      <c r="A57">
        <v>63158</v>
      </c>
      <c r="B57">
        <v>116</v>
      </c>
      <c r="C57" s="453">
        <v>45992</v>
      </c>
      <c r="D57" t="s">
        <v>568</v>
      </c>
      <c r="E57">
        <v>17886</v>
      </c>
      <c r="F57" t="s">
        <v>3935</v>
      </c>
      <c r="G57">
        <v>7</v>
      </c>
      <c r="H57" t="s">
        <v>3888</v>
      </c>
      <c r="I57" t="s">
        <v>460</v>
      </c>
    </row>
    <row r="58" spans="1:9" x14ac:dyDescent="0.3">
      <c r="A58">
        <v>63159</v>
      </c>
      <c r="B58">
        <v>116</v>
      </c>
      <c r="C58" s="453">
        <v>45992</v>
      </c>
      <c r="D58" t="s">
        <v>568</v>
      </c>
      <c r="E58">
        <v>21944</v>
      </c>
      <c r="F58" t="s">
        <v>3936</v>
      </c>
      <c r="G58">
        <v>7</v>
      </c>
      <c r="H58" t="s">
        <v>3878</v>
      </c>
      <c r="I58" t="s">
        <v>460</v>
      </c>
    </row>
    <row r="59" spans="1:9" x14ac:dyDescent="0.3">
      <c r="A59">
        <v>63160</v>
      </c>
      <c r="B59">
        <v>116</v>
      </c>
      <c r="C59" s="453">
        <v>45992</v>
      </c>
      <c r="D59" t="s">
        <v>568</v>
      </c>
      <c r="E59">
        <v>19324</v>
      </c>
      <c r="F59" t="s">
        <v>3937</v>
      </c>
      <c r="G59">
        <v>6.9</v>
      </c>
      <c r="H59" t="s">
        <v>3892</v>
      </c>
      <c r="I59" t="s">
        <v>460</v>
      </c>
    </row>
    <row r="60" spans="1:9" x14ac:dyDescent="0.3">
      <c r="A60">
        <v>63161</v>
      </c>
      <c r="B60">
        <v>116</v>
      </c>
      <c r="C60" s="453">
        <v>45992</v>
      </c>
      <c r="D60" t="s">
        <v>568</v>
      </c>
      <c r="E60">
        <v>20304</v>
      </c>
      <c r="F60" t="s">
        <v>3938</v>
      </c>
      <c r="G60">
        <v>6.5</v>
      </c>
      <c r="H60" t="s">
        <v>3888</v>
      </c>
      <c r="I60" t="s">
        <v>460</v>
      </c>
    </row>
    <row r="61" spans="1:9" x14ac:dyDescent="0.3">
      <c r="A61">
        <v>63162</v>
      </c>
      <c r="B61">
        <v>116</v>
      </c>
      <c r="C61" s="453">
        <v>45992</v>
      </c>
      <c r="D61" t="s">
        <v>568</v>
      </c>
      <c r="E61">
        <v>20278</v>
      </c>
      <c r="F61" t="s">
        <v>3939</v>
      </c>
      <c r="G61">
        <v>6</v>
      </c>
      <c r="H61" t="s">
        <v>3872</v>
      </c>
      <c r="I61" t="s">
        <v>460</v>
      </c>
    </row>
    <row r="62" spans="1:9" x14ac:dyDescent="0.3">
      <c r="A62">
        <v>63163</v>
      </c>
      <c r="B62">
        <v>116</v>
      </c>
      <c r="C62" s="453">
        <v>45992</v>
      </c>
      <c r="D62" t="s">
        <v>568</v>
      </c>
      <c r="E62">
        <v>19787</v>
      </c>
      <c r="F62" t="s">
        <v>3940</v>
      </c>
      <c r="G62">
        <v>6</v>
      </c>
      <c r="H62" t="s">
        <v>3892</v>
      </c>
      <c r="I62" t="s">
        <v>460</v>
      </c>
    </row>
    <row r="63" spans="1:9" x14ac:dyDescent="0.3">
      <c r="A63">
        <v>63164</v>
      </c>
      <c r="B63">
        <v>116</v>
      </c>
      <c r="C63" s="453">
        <v>45992</v>
      </c>
      <c r="D63" t="s">
        <v>568</v>
      </c>
      <c r="E63">
        <v>19415</v>
      </c>
      <c r="F63" t="s">
        <v>3941</v>
      </c>
      <c r="G63">
        <v>6</v>
      </c>
      <c r="H63" t="s">
        <v>3872</v>
      </c>
      <c r="I63" t="s">
        <v>460</v>
      </c>
    </row>
    <row r="64" spans="1:9" x14ac:dyDescent="0.3">
      <c r="A64">
        <v>63165</v>
      </c>
      <c r="B64">
        <v>116</v>
      </c>
      <c r="C64" s="453">
        <v>45992</v>
      </c>
      <c r="D64" t="s">
        <v>568</v>
      </c>
      <c r="E64">
        <v>27901</v>
      </c>
      <c r="F64" t="s">
        <v>3942</v>
      </c>
      <c r="G64">
        <v>6</v>
      </c>
      <c r="H64" t="s">
        <v>3892</v>
      </c>
      <c r="I64" t="s">
        <v>460</v>
      </c>
    </row>
    <row r="65" spans="1:9" x14ac:dyDescent="0.3">
      <c r="A65">
        <v>63166</v>
      </c>
      <c r="B65">
        <v>116</v>
      </c>
      <c r="C65" s="453">
        <v>45992</v>
      </c>
      <c r="D65" t="s">
        <v>568</v>
      </c>
      <c r="E65">
        <v>24414</v>
      </c>
      <c r="F65" t="s">
        <v>3943</v>
      </c>
      <c r="G65">
        <v>6</v>
      </c>
      <c r="H65" t="s">
        <v>3872</v>
      </c>
      <c r="I65" t="s">
        <v>460</v>
      </c>
    </row>
    <row r="66" spans="1:9" x14ac:dyDescent="0.3">
      <c r="A66">
        <v>63167</v>
      </c>
      <c r="B66">
        <v>116</v>
      </c>
      <c r="C66" s="453">
        <v>45992</v>
      </c>
      <c r="D66" t="s">
        <v>568</v>
      </c>
      <c r="E66">
        <v>24467</v>
      </c>
      <c r="F66" t="s">
        <v>3944</v>
      </c>
      <c r="G66">
        <v>6</v>
      </c>
      <c r="H66" t="s">
        <v>3872</v>
      </c>
      <c r="I66" t="s">
        <v>460</v>
      </c>
    </row>
    <row r="67" spans="1:9" x14ac:dyDescent="0.3">
      <c r="A67">
        <v>63168</v>
      </c>
      <c r="B67">
        <v>116</v>
      </c>
      <c r="C67" s="453">
        <v>45992</v>
      </c>
      <c r="D67" t="s">
        <v>568</v>
      </c>
      <c r="E67">
        <v>18685</v>
      </c>
      <c r="F67" t="s">
        <v>3945</v>
      </c>
      <c r="G67">
        <v>5.9</v>
      </c>
      <c r="H67" t="s">
        <v>3892</v>
      </c>
      <c r="I67" t="s">
        <v>460</v>
      </c>
    </row>
    <row r="68" spans="1:9" x14ac:dyDescent="0.3">
      <c r="A68">
        <v>63169</v>
      </c>
      <c r="B68">
        <v>116</v>
      </c>
      <c r="C68" s="453">
        <v>45992</v>
      </c>
      <c r="D68" t="s">
        <v>568</v>
      </c>
      <c r="E68">
        <v>18996</v>
      </c>
      <c r="F68" t="s">
        <v>3946</v>
      </c>
      <c r="G68">
        <v>5.5</v>
      </c>
      <c r="H68" t="s">
        <v>3892</v>
      </c>
      <c r="I68" t="s">
        <v>460</v>
      </c>
    </row>
    <row r="69" spans="1:9" x14ac:dyDescent="0.3">
      <c r="A69">
        <v>63170</v>
      </c>
      <c r="B69">
        <v>116</v>
      </c>
      <c r="C69" s="453">
        <v>45992</v>
      </c>
      <c r="D69" t="s">
        <v>568</v>
      </c>
      <c r="E69">
        <v>18253</v>
      </c>
      <c r="F69" t="s">
        <v>3947</v>
      </c>
      <c r="G69">
        <v>5.5</v>
      </c>
      <c r="H69" t="s">
        <v>3878</v>
      </c>
      <c r="I69" t="s">
        <v>460</v>
      </c>
    </row>
    <row r="70" spans="1:9" x14ac:dyDescent="0.3">
      <c r="A70">
        <v>63171</v>
      </c>
      <c r="B70">
        <v>116</v>
      </c>
      <c r="C70" s="453">
        <v>45992</v>
      </c>
      <c r="D70" t="s">
        <v>568</v>
      </c>
      <c r="E70">
        <v>19346</v>
      </c>
      <c r="F70" t="s">
        <v>3948</v>
      </c>
      <c r="G70">
        <v>5.2</v>
      </c>
      <c r="H70" t="s">
        <v>3892</v>
      </c>
      <c r="I70" t="s">
        <v>460</v>
      </c>
    </row>
    <row r="71" spans="1:9" x14ac:dyDescent="0.3">
      <c r="A71">
        <v>63172</v>
      </c>
      <c r="B71">
        <v>116</v>
      </c>
      <c r="C71" s="453">
        <v>45992</v>
      </c>
      <c r="D71" t="s">
        <v>568</v>
      </c>
      <c r="E71">
        <v>19297</v>
      </c>
      <c r="F71" t="s">
        <v>3949</v>
      </c>
      <c r="G71">
        <v>5.0999999999999996</v>
      </c>
      <c r="H71" t="s">
        <v>3892</v>
      </c>
      <c r="I71" t="s">
        <v>460</v>
      </c>
    </row>
    <row r="72" spans="1:9" x14ac:dyDescent="0.3">
      <c r="A72">
        <v>63173</v>
      </c>
      <c r="B72">
        <v>116</v>
      </c>
      <c r="C72" s="453">
        <v>45992</v>
      </c>
      <c r="D72" t="s">
        <v>568</v>
      </c>
      <c r="E72">
        <v>26193</v>
      </c>
      <c r="F72" t="s">
        <v>3950</v>
      </c>
      <c r="G72">
        <v>5</v>
      </c>
      <c r="H72" t="s">
        <v>3872</v>
      </c>
      <c r="I72" t="s">
        <v>460</v>
      </c>
    </row>
    <row r="73" spans="1:9" x14ac:dyDescent="0.3">
      <c r="A73">
        <v>63174</v>
      </c>
      <c r="B73">
        <v>116</v>
      </c>
      <c r="C73" s="453">
        <v>45992</v>
      </c>
      <c r="D73" t="s">
        <v>568</v>
      </c>
      <c r="E73">
        <v>25167</v>
      </c>
      <c r="F73" t="s">
        <v>3951</v>
      </c>
      <c r="G73">
        <v>5</v>
      </c>
      <c r="H73" t="s">
        <v>3892</v>
      </c>
      <c r="I73" t="s">
        <v>460</v>
      </c>
    </row>
    <row r="74" spans="1:9" x14ac:dyDescent="0.3">
      <c r="A74">
        <v>63175</v>
      </c>
      <c r="B74">
        <v>116</v>
      </c>
      <c r="C74" s="453">
        <v>45992</v>
      </c>
      <c r="D74" t="s">
        <v>568</v>
      </c>
      <c r="E74">
        <v>20358</v>
      </c>
      <c r="F74" t="s">
        <v>3952</v>
      </c>
      <c r="G74">
        <v>5</v>
      </c>
      <c r="H74" t="s">
        <v>3888</v>
      </c>
      <c r="I74" t="s">
        <v>460</v>
      </c>
    </row>
    <row r="75" spans="1:9" x14ac:dyDescent="0.3">
      <c r="A75">
        <v>63176</v>
      </c>
      <c r="B75">
        <v>116</v>
      </c>
      <c r="C75" s="453">
        <v>45992</v>
      </c>
      <c r="D75" t="s">
        <v>568</v>
      </c>
      <c r="E75">
        <v>20326</v>
      </c>
      <c r="F75" t="s">
        <v>3953</v>
      </c>
      <c r="G75">
        <v>5</v>
      </c>
      <c r="H75" t="s">
        <v>3892</v>
      </c>
      <c r="I75" t="s">
        <v>460</v>
      </c>
    </row>
    <row r="76" spans="1:9" x14ac:dyDescent="0.3">
      <c r="A76">
        <v>63177</v>
      </c>
      <c r="B76">
        <v>116</v>
      </c>
      <c r="C76" s="453">
        <v>45992</v>
      </c>
      <c r="D76" t="s">
        <v>568</v>
      </c>
      <c r="E76">
        <v>20500</v>
      </c>
      <c r="F76" t="s">
        <v>3954</v>
      </c>
      <c r="G76">
        <v>5</v>
      </c>
      <c r="H76" t="s">
        <v>3872</v>
      </c>
      <c r="I76" t="s">
        <v>460</v>
      </c>
    </row>
    <row r="77" spans="1:9" x14ac:dyDescent="0.3">
      <c r="A77">
        <v>63178</v>
      </c>
      <c r="B77">
        <v>116</v>
      </c>
      <c r="C77" s="453">
        <v>45992</v>
      </c>
      <c r="D77" t="s">
        <v>568</v>
      </c>
      <c r="E77">
        <v>22734</v>
      </c>
      <c r="F77" t="s">
        <v>3955</v>
      </c>
      <c r="G77">
        <v>5</v>
      </c>
      <c r="H77" t="s">
        <v>3892</v>
      </c>
      <c r="I77" t="s">
        <v>460</v>
      </c>
    </row>
    <row r="78" spans="1:9" x14ac:dyDescent="0.3">
      <c r="A78">
        <v>63179</v>
      </c>
      <c r="B78">
        <v>116</v>
      </c>
      <c r="C78" s="453">
        <v>45992</v>
      </c>
      <c r="D78" t="s">
        <v>568</v>
      </c>
      <c r="E78">
        <v>18696</v>
      </c>
      <c r="F78" t="s">
        <v>3956</v>
      </c>
      <c r="G78">
        <v>5</v>
      </c>
      <c r="H78" t="s">
        <v>3892</v>
      </c>
      <c r="I78" t="s">
        <v>460</v>
      </c>
    </row>
    <row r="79" spans="1:9" x14ac:dyDescent="0.3">
      <c r="A79">
        <v>63180</v>
      </c>
      <c r="B79">
        <v>116</v>
      </c>
      <c r="C79" s="453">
        <v>45992</v>
      </c>
      <c r="D79" t="s">
        <v>568</v>
      </c>
      <c r="E79">
        <v>18933</v>
      </c>
      <c r="F79" t="s">
        <v>3957</v>
      </c>
      <c r="G79">
        <v>5</v>
      </c>
      <c r="H79" t="s">
        <v>3892</v>
      </c>
      <c r="I79" t="s">
        <v>460</v>
      </c>
    </row>
    <row r="80" spans="1:9" x14ac:dyDescent="0.3">
      <c r="A80">
        <v>63181</v>
      </c>
      <c r="B80">
        <v>116</v>
      </c>
      <c r="C80" s="453">
        <v>45992</v>
      </c>
      <c r="D80" t="s">
        <v>568</v>
      </c>
      <c r="E80">
        <v>18493</v>
      </c>
      <c r="F80" t="s">
        <v>3958</v>
      </c>
      <c r="G80">
        <v>5</v>
      </c>
      <c r="H80" t="s">
        <v>3878</v>
      </c>
      <c r="I80" t="s">
        <v>460</v>
      </c>
    </row>
    <row r="81" spans="1:9" x14ac:dyDescent="0.3">
      <c r="A81">
        <v>63182</v>
      </c>
      <c r="B81">
        <v>116</v>
      </c>
      <c r="C81" s="453">
        <v>45992</v>
      </c>
      <c r="D81" t="s">
        <v>568</v>
      </c>
      <c r="E81">
        <v>20555</v>
      </c>
      <c r="F81" t="s">
        <v>3959</v>
      </c>
      <c r="G81">
        <v>4.8</v>
      </c>
      <c r="H81" t="s">
        <v>3892</v>
      </c>
      <c r="I81" t="s">
        <v>460</v>
      </c>
    </row>
    <row r="82" spans="1:9" x14ac:dyDescent="0.3">
      <c r="A82">
        <v>63183</v>
      </c>
      <c r="B82">
        <v>116</v>
      </c>
      <c r="C82" s="453">
        <v>45992</v>
      </c>
      <c r="D82" t="s">
        <v>568</v>
      </c>
      <c r="E82">
        <v>24331</v>
      </c>
      <c r="F82" t="s">
        <v>3960</v>
      </c>
      <c r="G82">
        <v>4.8</v>
      </c>
      <c r="H82" t="s">
        <v>3892</v>
      </c>
      <c r="I82" t="s">
        <v>460</v>
      </c>
    </row>
    <row r="83" spans="1:9" x14ac:dyDescent="0.3">
      <c r="A83">
        <v>63184</v>
      </c>
      <c r="B83">
        <v>116</v>
      </c>
      <c r="C83" s="453">
        <v>45992</v>
      </c>
      <c r="D83" t="s">
        <v>568</v>
      </c>
      <c r="E83">
        <v>18948</v>
      </c>
      <c r="F83" t="s">
        <v>3961</v>
      </c>
      <c r="G83">
        <v>4.5</v>
      </c>
      <c r="H83" t="s">
        <v>3892</v>
      </c>
      <c r="I83" t="s">
        <v>460</v>
      </c>
    </row>
    <row r="84" spans="1:9" x14ac:dyDescent="0.3">
      <c r="A84">
        <v>63185</v>
      </c>
      <c r="B84">
        <v>116</v>
      </c>
      <c r="C84" s="453">
        <v>45992</v>
      </c>
      <c r="D84" t="s">
        <v>568</v>
      </c>
      <c r="E84">
        <v>18547</v>
      </c>
      <c r="F84" t="s">
        <v>3962</v>
      </c>
      <c r="G84">
        <v>4.5</v>
      </c>
      <c r="H84" t="s">
        <v>3878</v>
      </c>
      <c r="I84" t="s">
        <v>460</v>
      </c>
    </row>
    <row r="85" spans="1:9" x14ac:dyDescent="0.3">
      <c r="A85">
        <v>63186</v>
      </c>
      <c r="B85">
        <v>116</v>
      </c>
      <c r="C85" s="453">
        <v>45992</v>
      </c>
      <c r="D85" t="s">
        <v>568</v>
      </c>
      <c r="E85">
        <v>24116</v>
      </c>
      <c r="F85" t="s">
        <v>3963</v>
      </c>
      <c r="G85">
        <v>4.2</v>
      </c>
      <c r="H85" t="s">
        <v>3892</v>
      </c>
      <c r="I85" t="s">
        <v>460</v>
      </c>
    </row>
    <row r="86" spans="1:9" x14ac:dyDescent="0.3">
      <c r="A86">
        <v>63187</v>
      </c>
      <c r="B86">
        <v>116</v>
      </c>
      <c r="C86" s="453">
        <v>45992</v>
      </c>
      <c r="D86" t="s">
        <v>568</v>
      </c>
      <c r="E86">
        <v>20752</v>
      </c>
      <c r="F86" t="s">
        <v>3964</v>
      </c>
      <c r="G86">
        <v>4</v>
      </c>
      <c r="H86" t="s">
        <v>3886</v>
      </c>
      <c r="I86" t="s">
        <v>460</v>
      </c>
    </row>
    <row r="87" spans="1:9" x14ac:dyDescent="0.3">
      <c r="A87">
        <v>63188</v>
      </c>
      <c r="B87">
        <v>116</v>
      </c>
      <c r="C87" s="453">
        <v>45992</v>
      </c>
      <c r="D87" t="s">
        <v>568</v>
      </c>
      <c r="E87">
        <v>20729</v>
      </c>
      <c r="F87" t="s">
        <v>3965</v>
      </c>
      <c r="G87">
        <v>4</v>
      </c>
      <c r="H87" t="s">
        <v>3966</v>
      </c>
      <c r="I87" t="s">
        <v>460</v>
      </c>
    </row>
    <row r="88" spans="1:9" x14ac:dyDescent="0.3">
      <c r="A88">
        <v>63189</v>
      </c>
      <c r="B88">
        <v>116</v>
      </c>
      <c r="C88" s="453">
        <v>45992</v>
      </c>
      <c r="D88" t="s">
        <v>568</v>
      </c>
      <c r="E88">
        <v>20057</v>
      </c>
      <c r="F88" t="s">
        <v>3967</v>
      </c>
      <c r="G88">
        <v>4</v>
      </c>
      <c r="H88" t="s">
        <v>3872</v>
      </c>
      <c r="I88" t="s">
        <v>460</v>
      </c>
    </row>
    <row r="89" spans="1:9" x14ac:dyDescent="0.3">
      <c r="A89">
        <v>63190</v>
      </c>
      <c r="B89">
        <v>116</v>
      </c>
      <c r="C89" s="453">
        <v>45992</v>
      </c>
      <c r="D89" t="s">
        <v>568</v>
      </c>
      <c r="E89">
        <v>20227</v>
      </c>
      <c r="F89" t="s">
        <v>3968</v>
      </c>
      <c r="G89">
        <v>4</v>
      </c>
      <c r="H89" t="s">
        <v>3888</v>
      </c>
      <c r="I89" t="s">
        <v>460</v>
      </c>
    </row>
    <row r="90" spans="1:9" x14ac:dyDescent="0.3">
      <c r="A90">
        <v>63191</v>
      </c>
      <c r="B90">
        <v>116</v>
      </c>
      <c r="C90" s="453">
        <v>45992</v>
      </c>
      <c r="D90" t="s">
        <v>568</v>
      </c>
      <c r="E90">
        <v>20965</v>
      </c>
      <c r="F90" t="s">
        <v>3969</v>
      </c>
      <c r="G90">
        <v>4</v>
      </c>
      <c r="H90" t="s">
        <v>3872</v>
      </c>
      <c r="I90" t="s">
        <v>460</v>
      </c>
    </row>
    <row r="91" spans="1:9" x14ac:dyDescent="0.3">
      <c r="A91">
        <v>63192</v>
      </c>
      <c r="B91">
        <v>116</v>
      </c>
      <c r="C91" s="453">
        <v>45992</v>
      </c>
      <c r="D91" t="s">
        <v>568</v>
      </c>
      <c r="E91">
        <v>24227</v>
      </c>
      <c r="F91" t="s">
        <v>3970</v>
      </c>
      <c r="G91">
        <v>4</v>
      </c>
      <c r="H91" t="s">
        <v>3872</v>
      </c>
      <c r="I91" t="s">
        <v>460</v>
      </c>
    </row>
    <row r="92" spans="1:9" x14ac:dyDescent="0.3">
      <c r="A92">
        <v>63193</v>
      </c>
      <c r="B92">
        <v>116</v>
      </c>
      <c r="C92" s="453">
        <v>45992</v>
      </c>
      <c r="D92" t="s">
        <v>568</v>
      </c>
      <c r="E92">
        <v>17903</v>
      </c>
      <c r="F92" t="s">
        <v>3971</v>
      </c>
      <c r="G92">
        <v>4</v>
      </c>
      <c r="H92" t="s">
        <v>3888</v>
      </c>
      <c r="I92" t="s">
        <v>460</v>
      </c>
    </row>
    <row r="93" spans="1:9" x14ac:dyDescent="0.3">
      <c r="A93">
        <v>63194</v>
      </c>
      <c r="B93">
        <v>116</v>
      </c>
      <c r="C93" s="453">
        <v>45992</v>
      </c>
      <c r="D93" t="s">
        <v>568</v>
      </c>
      <c r="E93">
        <v>17896</v>
      </c>
      <c r="F93" t="s">
        <v>3972</v>
      </c>
      <c r="G93">
        <v>4</v>
      </c>
      <c r="H93" t="s">
        <v>3888</v>
      </c>
      <c r="I93" t="s">
        <v>460</v>
      </c>
    </row>
    <row r="94" spans="1:9" x14ac:dyDescent="0.3">
      <c r="A94">
        <v>63195</v>
      </c>
      <c r="B94">
        <v>116</v>
      </c>
      <c r="C94" s="453">
        <v>45992</v>
      </c>
      <c r="D94" t="s">
        <v>568</v>
      </c>
      <c r="E94">
        <v>23732</v>
      </c>
      <c r="F94" t="s">
        <v>3973</v>
      </c>
      <c r="G94">
        <v>3.8</v>
      </c>
      <c r="H94" t="s">
        <v>3892</v>
      </c>
      <c r="I94" t="s">
        <v>460</v>
      </c>
    </row>
    <row r="95" spans="1:9" x14ac:dyDescent="0.3">
      <c r="A95">
        <v>63196</v>
      </c>
      <c r="B95">
        <v>116</v>
      </c>
      <c r="C95" s="453">
        <v>45992</v>
      </c>
      <c r="D95" t="s">
        <v>568</v>
      </c>
      <c r="E95">
        <v>19287</v>
      </c>
      <c r="F95" t="s">
        <v>3974</v>
      </c>
      <c r="G95">
        <v>3.75</v>
      </c>
      <c r="H95" t="s">
        <v>3892</v>
      </c>
      <c r="I95" t="s">
        <v>460</v>
      </c>
    </row>
    <row r="96" spans="1:9" x14ac:dyDescent="0.3">
      <c r="A96">
        <v>63197</v>
      </c>
      <c r="B96">
        <v>116</v>
      </c>
      <c r="C96" s="453">
        <v>45992</v>
      </c>
      <c r="D96" t="s">
        <v>568</v>
      </c>
      <c r="E96">
        <v>22712</v>
      </c>
      <c r="F96" t="s">
        <v>3975</v>
      </c>
      <c r="G96">
        <v>3.5</v>
      </c>
      <c r="H96" t="s">
        <v>3892</v>
      </c>
      <c r="I96" t="s">
        <v>460</v>
      </c>
    </row>
    <row r="97" spans="1:9" x14ac:dyDescent="0.3">
      <c r="A97">
        <v>63198</v>
      </c>
      <c r="B97">
        <v>116</v>
      </c>
      <c r="C97" s="453">
        <v>45992</v>
      </c>
      <c r="D97" t="s">
        <v>568</v>
      </c>
      <c r="E97">
        <v>25767</v>
      </c>
      <c r="F97" t="s">
        <v>3976</v>
      </c>
      <c r="G97">
        <v>3</v>
      </c>
      <c r="H97" t="s">
        <v>3892</v>
      </c>
      <c r="I97" t="s">
        <v>460</v>
      </c>
    </row>
    <row r="98" spans="1:9" x14ac:dyDescent="0.3">
      <c r="A98">
        <v>63199</v>
      </c>
      <c r="B98">
        <v>116</v>
      </c>
      <c r="C98" s="453">
        <v>45992</v>
      </c>
      <c r="D98" t="s">
        <v>568</v>
      </c>
      <c r="E98">
        <v>23982</v>
      </c>
      <c r="F98" t="s">
        <v>3977</v>
      </c>
      <c r="G98">
        <v>3</v>
      </c>
      <c r="H98" t="s">
        <v>3978</v>
      </c>
      <c r="I98" t="s">
        <v>460</v>
      </c>
    </row>
    <row r="99" spans="1:9" x14ac:dyDescent="0.3">
      <c r="A99">
        <v>63200</v>
      </c>
      <c r="B99">
        <v>116</v>
      </c>
      <c r="C99" s="453">
        <v>45992</v>
      </c>
      <c r="D99" t="s">
        <v>568</v>
      </c>
      <c r="E99">
        <v>20234</v>
      </c>
      <c r="F99" t="s">
        <v>3979</v>
      </c>
      <c r="G99">
        <v>3</v>
      </c>
      <c r="H99" t="s">
        <v>3892</v>
      </c>
      <c r="I99" t="s">
        <v>460</v>
      </c>
    </row>
    <row r="100" spans="1:9" x14ac:dyDescent="0.3">
      <c r="A100">
        <v>63201</v>
      </c>
      <c r="B100">
        <v>116</v>
      </c>
      <c r="C100" s="453">
        <v>45992</v>
      </c>
      <c r="D100" t="s">
        <v>568</v>
      </c>
      <c r="E100">
        <v>23515</v>
      </c>
      <c r="F100" t="s">
        <v>3980</v>
      </c>
      <c r="G100">
        <v>3</v>
      </c>
      <c r="H100" t="s">
        <v>3872</v>
      </c>
      <c r="I100" t="s">
        <v>460</v>
      </c>
    </row>
    <row r="101" spans="1:9" x14ac:dyDescent="0.3">
      <c r="A101">
        <v>63202</v>
      </c>
      <c r="B101">
        <v>116</v>
      </c>
      <c r="C101" s="453">
        <v>45992</v>
      </c>
      <c r="D101" t="s">
        <v>568</v>
      </c>
      <c r="E101">
        <v>19973</v>
      </c>
      <c r="F101" t="s">
        <v>3981</v>
      </c>
      <c r="G101">
        <v>3</v>
      </c>
      <c r="H101" t="s">
        <v>3872</v>
      </c>
      <c r="I101" t="s">
        <v>460</v>
      </c>
    </row>
    <row r="102" spans="1:9" x14ac:dyDescent="0.3">
      <c r="A102">
        <v>63203</v>
      </c>
      <c r="B102">
        <v>116</v>
      </c>
      <c r="C102" s="453">
        <v>45992</v>
      </c>
      <c r="D102" t="s">
        <v>568</v>
      </c>
      <c r="E102">
        <v>20624</v>
      </c>
      <c r="F102" t="s">
        <v>3982</v>
      </c>
      <c r="G102">
        <v>3</v>
      </c>
      <c r="H102" t="s">
        <v>3966</v>
      </c>
      <c r="I102" t="s">
        <v>460</v>
      </c>
    </row>
    <row r="103" spans="1:9" x14ac:dyDescent="0.3">
      <c r="A103">
        <v>63204</v>
      </c>
      <c r="B103">
        <v>116</v>
      </c>
      <c r="C103" s="453">
        <v>45992</v>
      </c>
      <c r="D103" t="s">
        <v>568</v>
      </c>
      <c r="E103">
        <v>20949</v>
      </c>
      <c r="F103" t="s">
        <v>3983</v>
      </c>
      <c r="G103">
        <v>3</v>
      </c>
      <c r="H103" t="s">
        <v>3878</v>
      </c>
      <c r="I103" t="s">
        <v>460</v>
      </c>
    </row>
    <row r="104" spans="1:9" x14ac:dyDescent="0.3">
      <c r="A104">
        <v>63205</v>
      </c>
      <c r="B104">
        <v>116</v>
      </c>
      <c r="C104" s="453">
        <v>45992</v>
      </c>
      <c r="D104" t="s">
        <v>568</v>
      </c>
      <c r="E104">
        <v>19623</v>
      </c>
      <c r="F104" t="s">
        <v>3984</v>
      </c>
      <c r="G104">
        <v>3</v>
      </c>
      <c r="H104" t="s">
        <v>3892</v>
      </c>
      <c r="I104" t="s">
        <v>460</v>
      </c>
    </row>
    <row r="105" spans="1:9" x14ac:dyDescent="0.3">
      <c r="A105">
        <v>63206</v>
      </c>
      <c r="B105">
        <v>116</v>
      </c>
      <c r="C105" s="453">
        <v>45992</v>
      </c>
      <c r="D105" t="s">
        <v>568</v>
      </c>
      <c r="E105">
        <v>19578</v>
      </c>
      <c r="F105" t="s">
        <v>3985</v>
      </c>
      <c r="G105">
        <v>3</v>
      </c>
      <c r="H105" t="s">
        <v>3892</v>
      </c>
      <c r="I105" t="s">
        <v>460</v>
      </c>
    </row>
    <row r="106" spans="1:9" x14ac:dyDescent="0.3">
      <c r="A106">
        <v>63207</v>
      </c>
      <c r="B106">
        <v>116</v>
      </c>
      <c r="C106" s="453">
        <v>45992</v>
      </c>
      <c r="D106" t="s">
        <v>568</v>
      </c>
      <c r="E106">
        <v>19566</v>
      </c>
      <c r="F106" t="s">
        <v>3986</v>
      </c>
      <c r="G106">
        <v>3</v>
      </c>
      <c r="H106" t="s">
        <v>3892</v>
      </c>
      <c r="I106" t="s">
        <v>460</v>
      </c>
    </row>
    <row r="107" spans="1:9" x14ac:dyDescent="0.3">
      <c r="A107">
        <v>63208</v>
      </c>
      <c r="B107">
        <v>116</v>
      </c>
      <c r="C107" s="453">
        <v>45992</v>
      </c>
      <c r="D107" t="s">
        <v>568</v>
      </c>
      <c r="E107">
        <v>19565</v>
      </c>
      <c r="F107" t="s">
        <v>3987</v>
      </c>
      <c r="G107">
        <v>3</v>
      </c>
      <c r="H107" t="s">
        <v>3892</v>
      </c>
      <c r="I107" t="s">
        <v>460</v>
      </c>
    </row>
    <row r="108" spans="1:9" x14ac:dyDescent="0.3">
      <c r="A108">
        <v>63209</v>
      </c>
      <c r="B108">
        <v>116</v>
      </c>
      <c r="C108" s="453">
        <v>45992</v>
      </c>
      <c r="D108" t="s">
        <v>568</v>
      </c>
      <c r="E108">
        <v>23186</v>
      </c>
      <c r="F108" t="s">
        <v>3988</v>
      </c>
      <c r="G108">
        <v>3</v>
      </c>
      <c r="H108" t="s">
        <v>3892</v>
      </c>
      <c r="I108" t="s">
        <v>460</v>
      </c>
    </row>
    <row r="109" spans="1:9" x14ac:dyDescent="0.3">
      <c r="A109">
        <v>63210</v>
      </c>
      <c r="B109">
        <v>116</v>
      </c>
      <c r="C109" s="453">
        <v>45992</v>
      </c>
      <c r="D109" t="s">
        <v>568</v>
      </c>
      <c r="E109">
        <v>19034</v>
      </c>
      <c r="F109" t="s">
        <v>3989</v>
      </c>
      <c r="G109">
        <v>3</v>
      </c>
      <c r="H109" t="s">
        <v>3892</v>
      </c>
      <c r="I109" t="s">
        <v>460</v>
      </c>
    </row>
    <row r="110" spans="1:9" x14ac:dyDescent="0.3">
      <c r="A110">
        <v>63211</v>
      </c>
      <c r="B110">
        <v>116</v>
      </c>
      <c r="C110" s="453">
        <v>45992</v>
      </c>
      <c r="D110" t="s">
        <v>568</v>
      </c>
      <c r="E110">
        <v>24343</v>
      </c>
      <c r="F110" t="s">
        <v>3990</v>
      </c>
      <c r="G110">
        <v>3</v>
      </c>
      <c r="H110" t="s">
        <v>3892</v>
      </c>
      <c r="I110" t="s">
        <v>460</v>
      </c>
    </row>
    <row r="111" spans="1:9" x14ac:dyDescent="0.3">
      <c r="A111">
        <v>63212</v>
      </c>
      <c r="B111">
        <v>116</v>
      </c>
      <c r="C111" s="453">
        <v>45992</v>
      </c>
      <c r="D111" t="s">
        <v>568</v>
      </c>
      <c r="E111">
        <v>24517</v>
      </c>
      <c r="F111" t="s">
        <v>3991</v>
      </c>
      <c r="G111">
        <v>3</v>
      </c>
      <c r="H111" t="s">
        <v>3892</v>
      </c>
      <c r="I111" t="s">
        <v>460</v>
      </c>
    </row>
    <row r="112" spans="1:9" x14ac:dyDescent="0.3">
      <c r="A112">
        <v>63213</v>
      </c>
      <c r="B112">
        <v>116</v>
      </c>
      <c r="C112" s="453">
        <v>45992</v>
      </c>
      <c r="D112" t="s">
        <v>568</v>
      </c>
      <c r="E112">
        <v>24403</v>
      </c>
      <c r="F112" t="s">
        <v>3992</v>
      </c>
      <c r="G112">
        <v>3</v>
      </c>
      <c r="H112" t="s">
        <v>3892</v>
      </c>
      <c r="I112" t="s">
        <v>460</v>
      </c>
    </row>
    <row r="113" spans="1:9" x14ac:dyDescent="0.3">
      <c r="A113">
        <v>63214</v>
      </c>
      <c r="B113">
        <v>116</v>
      </c>
      <c r="C113" s="453">
        <v>45992</v>
      </c>
      <c r="D113" t="s">
        <v>568</v>
      </c>
      <c r="E113">
        <v>17093</v>
      </c>
      <c r="F113" t="s">
        <v>3993</v>
      </c>
      <c r="G113">
        <v>3</v>
      </c>
      <c r="H113" t="s">
        <v>3888</v>
      </c>
      <c r="I113" t="s">
        <v>460</v>
      </c>
    </row>
    <row r="114" spans="1:9" x14ac:dyDescent="0.3">
      <c r="A114">
        <v>63215</v>
      </c>
      <c r="B114">
        <v>116</v>
      </c>
      <c r="C114" s="453">
        <v>45992</v>
      </c>
      <c r="D114" t="s">
        <v>568</v>
      </c>
      <c r="E114">
        <v>18640</v>
      </c>
      <c r="F114" t="s">
        <v>3994</v>
      </c>
      <c r="G114">
        <v>3</v>
      </c>
      <c r="H114" t="s">
        <v>3922</v>
      </c>
      <c r="I114" t="s">
        <v>460</v>
      </c>
    </row>
    <row r="115" spans="1:9" x14ac:dyDescent="0.3">
      <c r="A115">
        <v>63216</v>
      </c>
      <c r="B115">
        <v>116</v>
      </c>
      <c r="C115" s="453">
        <v>45992</v>
      </c>
      <c r="D115" t="s">
        <v>568</v>
      </c>
      <c r="E115">
        <v>18179</v>
      </c>
      <c r="F115" t="s">
        <v>3995</v>
      </c>
      <c r="G115">
        <v>3</v>
      </c>
      <c r="H115" t="s">
        <v>3878</v>
      </c>
      <c r="I115" t="s">
        <v>460</v>
      </c>
    </row>
    <row r="116" spans="1:9" x14ac:dyDescent="0.3">
      <c r="A116">
        <v>63217</v>
      </c>
      <c r="B116">
        <v>116</v>
      </c>
      <c r="C116" s="453">
        <v>45992</v>
      </c>
      <c r="D116" t="s">
        <v>568</v>
      </c>
      <c r="E116">
        <v>16974</v>
      </c>
      <c r="F116" t="s">
        <v>3996</v>
      </c>
      <c r="G116">
        <v>3</v>
      </c>
      <c r="H116" t="s">
        <v>3881</v>
      </c>
      <c r="I116" t="s">
        <v>460</v>
      </c>
    </row>
    <row r="117" spans="1:9" x14ac:dyDescent="0.3">
      <c r="A117">
        <v>63218</v>
      </c>
      <c r="B117">
        <v>116</v>
      </c>
      <c r="C117" s="453">
        <v>45992</v>
      </c>
      <c r="D117" t="s">
        <v>568</v>
      </c>
      <c r="E117">
        <v>17914</v>
      </c>
      <c r="F117" t="s">
        <v>3997</v>
      </c>
      <c r="G117">
        <v>3</v>
      </c>
      <c r="H117" t="s">
        <v>3888</v>
      </c>
      <c r="I117" t="s">
        <v>460</v>
      </c>
    </row>
    <row r="118" spans="1:9" x14ac:dyDescent="0.3">
      <c r="A118">
        <v>63219</v>
      </c>
      <c r="B118">
        <v>116</v>
      </c>
      <c r="C118" s="453">
        <v>45992</v>
      </c>
      <c r="D118" t="s">
        <v>568</v>
      </c>
      <c r="E118">
        <v>24226</v>
      </c>
      <c r="F118" t="s">
        <v>3998</v>
      </c>
      <c r="G118">
        <v>3</v>
      </c>
      <c r="H118" t="s">
        <v>3872</v>
      </c>
      <c r="I118" t="s">
        <v>460</v>
      </c>
    </row>
    <row r="119" spans="1:9" x14ac:dyDescent="0.3">
      <c r="A119">
        <v>63220</v>
      </c>
      <c r="B119">
        <v>116</v>
      </c>
      <c r="C119" s="453">
        <v>45992</v>
      </c>
      <c r="D119" t="s">
        <v>568</v>
      </c>
      <c r="E119">
        <v>20457</v>
      </c>
      <c r="F119" t="s">
        <v>3999</v>
      </c>
      <c r="G119">
        <v>2.9</v>
      </c>
      <c r="H119" t="s">
        <v>3892</v>
      </c>
      <c r="I119" t="s">
        <v>460</v>
      </c>
    </row>
    <row r="120" spans="1:9" x14ac:dyDescent="0.3">
      <c r="A120">
        <v>63221</v>
      </c>
      <c r="B120">
        <v>116</v>
      </c>
      <c r="C120" s="453">
        <v>45992</v>
      </c>
      <c r="D120" t="s">
        <v>568</v>
      </c>
      <c r="E120">
        <v>20456</v>
      </c>
      <c r="F120" t="s">
        <v>4000</v>
      </c>
      <c r="G120">
        <v>2.8</v>
      </c>
      <c r="H120" t="s">
        <v>3892</v>
      </c>
      <c r="I120" t="s">
        <v>460</v>
      </c>
    </row>
    <row r="121" spans="1:9" x14ac:dyDescent="0.3">
      <c r="A121">
        <v>63222</v>
      </c>
      <c r="B121">
        <v>116</v>
      </c>
      <c r="C121" s="453">
        <v>45992</v>
      </c>
      <c r="D121" t="s">
        <v>568</v>
      </c>
      <c r="E121">
        <v>21166</v>
      </c>
      <c r="F121" t="s">
        <v>4001</v>
      </c>
      <c r="G121">
        <v>2.5</v>
      </c>
      <c r="H121" t="s">
        <v>3872</v>
      </c>
      <c r="I121" t="s">
        <v>460</v>
      </c>
    </row>
    <row r="122" spans="1:9" x14ac:dyDescent="0.3">
      <c r="A122">
        <v>63223</v>
      </c>
      <c r="B122">
        <v>116</v>
      </c>
      <c r="C122" s="453">
        <v>45992</v>
      </c>
      <c r="D122" t="s">
        <v>568</v>
      </c>
      <c r="E122">
        <v>24072</v>
      </c>
      <c r="F122" t="s">
        <v>4002</v>
      </c>
      <c r="G122">
        <v>2.5</v>
      </c>
      <c r="H122" t="s">
        <v>3892</v>
      </c>
      <c r="I122" t="s">
        <v>460</v>
      </c>
    </row>
    <row r="123" spans="1:9" x14ac:dyDescent="0.3">
      <c r="A123">
        <v>63224</v>
      </c>
      <c r="B123">
        <v>116</v>
      </c>
      <c r="C123" s="453">
        <v>45992</v>
      </c>
      <c r="D123" t="s">
        <v>568</v>
      </c>
      <c r="E123">
        <v>18666</v>
      </c>
      <c r="F123" t="s">
        <v>4003</v>
      </c>
      <c r="G123">
        <v>2.5</v>
      </c>
      <c r="H123" t="s">
        <v>3892</v>
      </c>
      <c r="I123" t="s">
        <v>460</v>
      </c>
    </row>
    <row r="124" spans="1:9" x14ac:dyDescent="0.3">
      <c r="A124">
        <v>63225</v>
      </c>
      <c r="B124">
        <v>116</v>
      </c>
      <c r="C124" s="453">
        <v>45992</v>
      </c>
      <c r="D124" t="s">
        <v>568</v>
      </c>
      <c r="E124">
        <v>21126</v>
      </c>
      <c r="F124" t="s">
        <v>4004</v>
      </c>
      <c r="G124">
        <v>2</v>
      </c>
      <c r="H124" t="s">
        <v>3888</v>
      </c>
      <c r="I124" t="s">
        <v>460</v>
      </c>
    </row>
    <row r="125" spans="1:9" x14ac:dyDescent="0.3">
      <c r="A125">
        <v>63226</v>
      </c>
      <c r="B125">
        <v>116</v>
      </c>
      <c r="C125" s="453">
        <v>45992</v>
      </c>
      <c r="D125" t="s">
        <v>568</v>
      </c>
      <c r="E125">
        <v>20809</v>
      </c>
      <c r="F125" t="s">
        <v>4005</v>
      </c>
      <c r="G125">
        <v>2</v>
      </c>
      <c r="H125" t="s">
        <v>3888</v>
      </c>
      <c r="I125" t="s">
        <v>460</v>
      </c>
    </row>
    <row r="126" spans="1:9" x14ac:dyDescent="0.3">
      <c r="A126">
        <v>63227</v>
      </c>
      <c r="B126">
        <v>116</v>
      </c>
      <c r="C126" s="453">
        <v>45992</v>
      </c>
      <c r="D126" t="s">
        <v>568</v>
      </c>
      <c r="E126">
        <v>20702</v>
      </c>
      <c r="F126" t="s">
        <v>4006</v>
      </c>
      <c r="G126">
        <v>2</v>
      </c>
      <c r="H126" t="s">
        <v>3966</v>
      </c>
      <c r="I126" t="s">
        <v>460</v>
      </c>
    </row>
    <row r="127" spans="1:9" x14ac:dyDescent="0.3">
      <c r="A127">
        <v>63228</v>
      </c>
      <c r="B127">
        <v>116</v>
      </c>
      <c r="C127" s="453">
        <v>45992</v>
      </c>
      <c r="D127" t="s">
        <v>568</v>
      </c>
      <c r="E127">
        <v>20549</v>
      </c>
      <c r="F127" t="s">
        <v>4007</v>
      </c>
      <c r="G127">
        <v>2</v>
      </c>
      <c r="H127" t="s">
        <v>3892</v>
      </c>
      <c r="I127" t="s">
        <v>460</v>
      </c>
    </row>
    <row r="128" spans="1:9" x14ac:dyDescent="0.3">
      <c r="A128">
        <v>63229</v>
      </c>
      <c r="B128">
        <v>116</v>
      </c>
      <c r="C128" s="453">
        <v>45992</v>
      </c>
      <c r="D128" t="s">
        <v>568</v>
      </c>
      <c r="E128">
        <v>20250</v>
      </c>
      <c r="F128" t="s">
        <v>4008</v>
      </c>
      <c r="G128">
        <v>2</v>
      </c>
      <c r="H128" t="s">
        <v>3888</v>
      </c>
      <c r="I128" t="s">
        <v>460</v>
      </c>
    </row>
    <row r="129" spans="1:9" x14ac:dyDescent="0.3">
      <c r="A129">
        <v>63230</v>
      </c>
      <c r="B129">
        <v>116</v>
      </c>
      <c r="C129" s="453">
        <v>45992</v>
      </c>
      <c r="D129" t="s">
        <v>568</v>
      </c>
      <c r="E129">
        <v>20007</v>
      </c>
      <c r="F129" t="s">
        <v>4009</v>
      </c>
      <c r="G129">
        <v>2</v>
      </c>
      <c r="H129" t="s">
        <v>3966</v>
      </c>
      <c r="I129" t="s">
        <v>460</v>
      </c>
    </row>
    <row r="130" spans="1:9" x14ac:dyDescent="0.3">
      <c r="A130">
        <v>63231</v>
      </c>
      <c r="B130">
        <v>116</v>
      </c>
      <c r="C130" s="453">
        <v>45992</v>
      </c>
      <c r="D130" t="s">
        <v>568</v>
      </c>
      <c r="E130">
        <v>20117</v>
      </c>
      <c r="F130" t="s">
        <v>4010</v>
      </c>
      <c r="G130">
        <v>2</v>
      </c>
      <c r="H130" t="s">
        <v>3872</v>
      </c>
      <c r="I130" t="s">
        <v>460</v>
      </c>
    </row>
    <row r="131" spans="1:9" x14ac:dyDescent="0.3">
      <c r="A131">
        <v>63232</v>
      </c>
      <c r="B131">
        <v>116</v>
      </c>
      <c r="C131" s="453">
        <v>45992</v>
      </c>
      <c r="D131" t="s">
        <v>568</v>
      </c>
      <c r="E131">
        <v>19932</v>
      </c>
      <c r="F131" t="s">
        <v>4011</v>
      </c>
      <c r="G131">
        <v>2</v>
      </c>
      <c r="H131" t="s">
        <v>3872</v>
      </c>
      <c r="I131" t="s">
        <v>460</v>
      </c>
    </row>
    <row r="132" spans="1:9" x14ac:dyDescent="0.3">
      <c r="A132">
        <v>63233</v>
      </c>
      <c r="B132">
        <v>116</v>
      </c>
      <c r="C132" s="453">
        <v>45992</v>
      </c>
      <c r="D132" t="s">
        <v>568</v>
      </c>
      <c r="E132">
        <v>25768</v>
      </c>
      <c r="F132" t="s">
        <v>4012</v>
      </c>
      <c r="G132">
        <v>2</v>
      </c>
      <c r="H132" t="s">
        <v>3892</v>
      </c>
      <c r="I132" t="s">
        <v>460</v>
      </c>
    </row>
    <row r="133" spans="1:9" x14ac:dyDescent="0.3">
      <c r="A133">
        <v>63234</v>
      </c>
      <c r="B133">
        <v>116</v>
      </c>
      <c r="C133" s="453">
        <v>45992</v>
      </c>
      <c r="D133" t="s">
        <v>568</v>
      </c>
      <c r="E133">
        <v>25769</v>
      </c>
      <c r="F133" t="s">
        <v>4013</v>
      </c>
      <c r="G133">
        <v>2</v>
      </c>
      <c r="H133" t="s">
        <v>3892</v>
      </c>
      <c r="I133" t="s">
        <v>460</v>
      </c>
    </row>
    <row r="134" spans="1:9" x14ac:dyDescent="0.3">
      <c r="A134">
        <v>63235</v>
      </c>
      <c r="B134">
        <v>116</v>
      </c>
      <c r="C134" s="453">
        <v>45992</v>
      </c>
      <c r="D134" t="s">
        <v>568</v>
      </c>
      <c r="E134">
        <v>19652</v>
      </c>
      <c r="F134" t="s">
        <v>4014</v>
      </c>
      <c r="G134">
        <v>2</v>
      </c>
      <c r="H134" t="s">
        <v>3892</v>
      </c>
      <c r="I134" t="s">
        <v>460</v>
      </c>
    </row>
    <row r="135" spans="1:9" x14ac:dyDescent="0.3">
      <c r="A135">
        <v>63236</v>
      </c>
      <c r="B135">
        <v>116</v>
      </c>
      <c r="C135" s="453">
        <v>45992</v>
      </c>
      <c r="D135" t="s">
        <v>568</v>
      </c>
      <c r="E135">
        <v>19649</v>
      </c>
      <c r="F135" t="s">
        <v>4015</v>
      </c>
      <c r="G135">
        <v>2</v>
      </c>
      <c r="H135" t="s">
        <v>3892</v>
      </c>
      <c r="I135" t="s">
        <v>460</v>
      </c>
    </row>
    <row r="136" spans="1:9" x14ac:dyDescent="0.3">
      <c r="A136">
        <v>63237</v>
      </c>
      <c r="B136">
        <v>116</v>
      </c>
      <c r="C136" s="453">
        <v>45992</v>
      </c>
      <c r="D136" t="s">
        <v>568</v>
      </c>
      <c r="E136">
        <v>23389</v>
      </c>
      <c r="F136" t="s">
        <v>4016</v>
      </c>
      <c r="G136">
        <v>2</v>
      </c>
      <c r="H136" t="s">
        <v>3892</v>
      </c>
      <c r="I136" t="s">
        <v>460</v>
      </c>
    </row>
    <row r="137" spans="1:9" x14ac:dyDescent="0.3">
      <c r="A137">
        <v>63238</v>
      </c>
      <c r="B137">
        <v>116</v>
      </c>
      <c r="C137" s="453">
        <v>45992</v>
      </c>
      <c r="D137" t="s">
        <v>568</v>
      </c>
      <c r="E137">
        <v>23236</v>
      </c>
      <c r="F137" t="s">
        <v>4017</v>
      </c>
      <c r="G137">
        <v>2</v>
      </c>
      <c r="H137" t="s">
        <v>3892</v>
      </c>
      <c r="I137" t="s">
        <v>460</v>
      </c>
    </row>
    <row r="138" spans="1:9" x14ac:dyDescent="0.3">
      <c r="A138">
        <v>63239</v>
      </c>
      <c r="B138">
        <v>116</v>
      </c>
      <c r="C138" s="453">
        <v>45992</v>
      </c>
      <c r="D138" t="s">
        <v>568</v>
      </c>
      <c r="E138">
        <v>23234</v>
      </c>
      <c r="F138" t="s">
        <v>4018</v>
      </c>
      <c r="G138">
        <v>2</v>
      </c>
      <c r="H138" t="s">
        <v>3892</v>
      </c>
      <c r="I138" t="s">
        <v>460</v>
      </c>
    </row>
    <row r="139" spans="1:9" x14ac:dyDescent="0.3">
      <c r="A139">
        <v>63240</v>
      </c>
      <c r="B139">
        <v>116</v>
      </c>
      <c r="C139" s="453">
        <v>45992</v>
      </c>
      <c r="D139" t="s">
        <v>568</v>
      </c>
      <c r="E139">
        <v>19751</v>
      </c>
      <c r="F139" t="s">
        <v>4019</v>
      </c>
      <c r="G139">
        <v>2</v>
      </c>
      <c r="H139" t="s">
        <v>3892</v>
      </c>
      <c r="I139" t="s">
        <v>460</v>
      </c>
    </row>
    <row r="140" spans="1:9" x14ac:dyDescent="0.3">
      <c r="A140">
        <v>63241</v>
      </c>
      <c r="B140">
        <v>116</v>
      </c>
      <c r="C140" s="453">
        <v>45992</v>
      </c>
      <c r="D140" t="s">
        <v>568</v>
      </c>
      <c r="E140">
        <v>19579</v>
      </c>
      <c r="F140" t="s">
        <v>4020</v>
      </c>
      <c r="G140">
        <v>2</v>
      </c>
      <c r="H140" t="s">
        <v>3892</v>
      </c>
      <c r="I140" t="s">
        <v>460</v>
      </c>
    </row>
    <row r="141" spans="1:9" x14ac:dyDescent="0.3">
      <c r="A141">
        <v>63242</v>
      </c>
      <c r="B141">
        <v>116</v>
      </c>
      <c r="C141" s="453">
        <v>45992</v>
      </c>
      <c r="D141" t="s">
        <v>568</v>
      </c>
      <c r="E141">
        <v>19576</v>
      </c>
      <c r="F141" t="s">
        <v>4021</v>
      </c>
      <c r="G141">
        <v>2</v>
      </c>
      <c r="H141" t="s">
        <v>3892</v>
      </c>
      <c r="I141" t="s">
        <v>460</v>
      </c>
    </row>
    <row r="142" spans="1:9" x14ac:dyDescent="0.3">
      <c r="A142">
        <v>63243</v>
      </c>
      <c r="B142">
        <v>116</v>
      </c>
      <c r="C142" s="453">
        <v>45992</v>
      </c>
      <c r="D142" t="s">
        <v>568</v>
      </c>
      <c r="E142">
        <v>19575</v>
      </c>
      <c r="F142" t="s">
        <v>4022</v>
      </c>
      <c r="G142">
        <v>2</v>
      </c>
      <c r="H142" t="s">
        <v>3892</v>
      </c>
      <c r="I142" t="s">
        <v>460</v>
      </c>
    </row>
    <row r="143" spans="1:9" x14ac:dyDescent="0.3">
      <c r="A143">
        <v>63244</v>
      </c>
      <c r="B143">
        <v>116</v>
      </c>
      <c r="C143" s="453">
        <v>45992</v>
      </c>
      <c r="D143" t="s">
        <v>568</v>
      </c>
      <c r="E143">
        <v>19572</v>
      </c>
      <c r="F143" t="s">
        <v>4023</v>
      </c>
      <c r="G143">
        <v>2</v>
      </c>
      <c r="H143" t="s">
        <v>3892</v>
      </c>
      <c r="I143" t="s">
        <v>460</v>
      </c>
    </row>
    <row r="144" spans="1:9" x14ac:dyDescent="0.3">
      <c r="A144">
        <v>63245</v>
      </c>
      <c r="B144">
        <v>116</v>
      </c>
      <c r="C144" s="453">
        <v>45992</v>
      </c>
      <c r="D144" t="s">
        <v>568</v>
      </c>
      <c r="E144">
        <v>19672</v>
      </c>
      <c r="F144" t="s">
        <v>4024</v>
      </c>
      <c r="G144">
        <v>2</v>
      </c>
      <c r="H144" t="s">
        <v>3892</v>
      </c>
      <c r="I144" t="s">
        <v>460</v>
      </c>
    </row>
    <row r="145" spans="1:9" x14ac:dyDescent="0.3">
      <c r="A145">
        <v>63246</v>
      </c>
      <c r="B145">
        <v>116</v>
      </c>
      <c r="C145" s="453">
        <v>45992</v>
      </c>
      <c r="D145" t="s">
        <v>568</v>
      </c>
      <c r="E145">
        <v>18682</v>
      </c>
      <c r="F145" t="s">
        <v>4025</v>
      </c>
      <c r="G145">
        <v>2</v>
      </c>
      <c r="H145" t="s">
        <v>3892</v>
      </c>
      <c r="I145" t="s">
        <v>460</v>
      </c>
    </row>
    <row r="146" spans="1:9" x14ac:dyDescent="0.3">
      <c r="A146">
        <v>63247</v>
      </c>
      <c r="B146">
        <v>116</v>
      </c>
      <c r="C146" s="453">
        <v>45992</v>
      </c>
      <c r="D146" t="s">
        <v>568</v>
      </c>
      <c r="E146">
        <v>18538</v>
      </c>
      <c r="F146" t="s">
        <v>4026</v>
      </c>
      <c r="G146">
        <v>2</v>
      </c>
      <c r="H146" t="s">
        <v>3878</v>
      </c>
      <c r="I146" t="s">
        <v>460</v>
      </c>
    </row>
    <row r="147" spans="1:9" x14ac:dyDescent="0.3">
      <c r="A147">
        <v>63248</v>
      </c>
      <c r="B147">
        <v>116</v>
      </c>
      <c r="C147" s="453">
        <v>45992</v>
      </c>
      <c r="D147" t="s">
        <v>568</v>
      </c>
      <c r="E147">
        <v>18447</v>
      </c>
      <c r="F147" t="s">
        <v>4027</v>
      </c>
      <c r="G147">
        <v>2</v>
      </c>
      <c r="H147" t="s">
        <v>3878</v>
      </c>
      <c r="I147" t="s">
        <v>460</v>
      </c>
    </row>
    <row r="148" spans="1:9" x14ac:dyDescent="0.3">
      <c r="A148">
        <v>63249</v>
      </c>
      <c r="B148">
        <v>116</v>
      </c>
      <c r="C148" s="453">
        <v>45992</v>
      </c>
      <c r="D148" t="s">
        <v>568</v>
      </c>
      <c r="E148">
        <v>18467</v>
      </c>
      <c r="F148" t="s">
        <v>4028</v>
      </c>
      <c r="G148">
        <v>2</v>
      </c>
      <c r="H148" t="s">
        <v>3878</v>
      </c>
      <c r="I148" t="s">
        <v>460</v>
      </c>
    </row>
    <row r="149" spans="1:9" x14ac:dyDescent="0.3">
      <c r="A149">
        <v>63250</v>
      </c>
      <c r="B149">
        <v>116</v>
      </c>
      <c r="C149" s="453">
        <v>45992</v>
      </c>
      <c r="D149" t="s">
        <v>568</v>
      </c>
      <c r="E149">
        <v>18359</v>
      </c>
      <c r="F149" t="s">
        <v>4029</v>
      </c>
      <c r="G149">
        <v>2</v>
      </c>
      <c r="H149" t="s">
        <v>3878</v>
      </c>
      <c r="I149" t="s">
        <v>460</v>
      </c>
    </row>
    <row r="150" spans="1:9" x14ac:dyDescent="0.3">
      <c r="A150">
        <v>63251</v>
      </c>
      <c r="B150">
        <v>116</v>
      </c>
      <c r="C150" s="453">
        <v>45992</v>
      </c>
      <c r="D150" t="s">
        <v>568</v>
      </c>
      <c r="E150">
        <v>18295</v>
      </c>
      <c r="F150" t="s">
        <v>4030</v>
      </c>
      <c r="G150">
        <v>2</v>
      </c>
      <c r="H150" t="s">
        <v>3878</v>
      </c>
      <c r="I150" t="s">
        <v>460</v>
      </c>
    </row>
    <row r="151" spans="1:9" x14ac:dyDescent="0.3">
      <c r="A151">
        <v>63252</v>
      </c>
      <c r="B151">
        <v>116</v>
      </c>
      <c r="C151" s="453">
        <v>45992</v>
      </c>
      <c r="D151" t="s">
        <v>568</v>
      </c>
      <c r="E151">
        <v>18273</v>
      </c>
      <c r="F151" t="s">
        <v>4031</v>
      </c>
      <c r="G151">
        <v>2</v>
      </c>
      <c r="H151" t="s">
        <v>3878</v>
      </c>
      <c r="I151" t="s">
        <v>460</v>
      </c>
    </row>
    <row r="152" spans="1:9" x14ac:dyDescent="0.3">
      <c r="A152">
        <v>63253</v>
      </c>
      <c r="B152">
        <v>116</v>
      </c>
      <c r="C152" s="453">
        <v>45992</v>
      </c>
      <c r="D152" t="s">
        <v>568</v>
      </c>
      <c r="E152">
        <v>18200</v>
      </c>
      <c r="F152" t="s">
        <v>4032</v>
      </c>
      <c r="G152">
        <v>2</v>
      </c>
      <c r="H152" t="s">
        <v>3878</v>
      </c>
      <c r="I152" t="s">
        <v>460</v>
      </c>
    </row>
    <row r="153" spans="1:9" x14ac:dyDescent="0.3">
      <c r="A153">
        <v>63254</v>
      </c>
      <c r="B153">
        <v>116</v>
      </c>
      <c r="C153" s="453">
        <v>45992</v>
      </c>
      <c r="D153" t="s">
        <v>568</v>
      </c>
      <c r="E153">
        <v>18030</v>
      </c>
      <c r="F153" t="s">
        <v>4033</v>
      </c>
      <c r="G153">
        <v>2</v>
      </c>
      <c r="H153" t="s">
        <v>3878</v>
      </c>
      <c r="I153" t="s">
        <v>460</v>
      </c>
    </row>
    <row r="154" spans="1:9" x14ac:dyDescent="0.3">
      <c r="A154">
        <v>63255</v>
      </c>
      <c r="B154">
        <v>116</v>
      </c>
      <c r="C154" s="453">
        <v>45992</v>
      </c>
      <c r="D154" t="s">
        <v>568</v>
      </c>
      <c r="E154">
        <v>17918</v>
      </c>
      <c r="F154" t="s">
        <v>4034</v>
      </c>
      <c r="G154">
        <v>2</v>
      </c>
      <c r="H154" t="s">
        <v>3888</v>
      </c>
      <c r="I154" t="s">
        <v>460</v>
      </c>
    </row>
    <row r="155" spans="1:9" x14ac:dyDescent="0.3">
      <c r="A155">
        <v>63256</v>
      </c>
      <c r="B155">
        <v>116</v>
      </c>
      <c r="C155" s="453">
        <v>45992</v>
      </c>
      <c r="D155" t="s">
        <v>568</v>
      </c>
      <c r="E155">
        <v>17942</v>
      </c>
      <c r="F155" t="s">
        <v>4035</v>
      </c>
      <c r="G155">
        <v>2</v>
      </c>
      <c r="H155" t="s">
        <v>3872</v>
      </c>
      <c r="I155" t="s">
        <v>460</v>
      </c>
    </row>
    <row r="156" spans="1:9" x14ac:dyDescent="0.3">
      <c r="A156">
        <v>63257</v>
      </c>
      <c r="B156">
        <v>116</v>
      </c>
      <c r="C156" s="453">
        <v>45992</v>
      </c>
      <c r="D156" t="s">
        <v>568</v>
      </c>
      <c r="E156">
        <v>24409</v>
      </c>
      <c r="F156" t="s">
        <v>4036</v>
      </c>
      <c r="G156">
        <v>2</v>
      </c>
      <c r="H156" t="s">
        <v>3872</v>
      </c>
      <c r="I156" t="s">
        <v>460</v>
      </c>
    </row>
    <row r="157" spans="1:9" x14ac:dyDescent="0.3">
      <c r="A157">
        <v>63258</v>
      </c>
      <c r="B157">
        <v>116</v>
      </c>
      <c r="C157" s="453">
        <v>45992</v>
      </c>
      <c r="D157" t="s">
        <v>568</v>
      </c>
      <c r="E157">
        <v>26195</v>
      </c>
      <c r="F157" t="s">
        <v>4037</v>
      </c>
      <c r="G157">
        <v>2</v>
      </c>
      <c r="H157" t="s">
        <v>3878</v>
      </c>
      <c r="I157" t="s">
        <v>460</v>
      </c>
    </row>
    <row r="158" spans="1:9" x14ac:dyDescent="0.3">
      <c r="A158">
        <v>63259</v>
      </c>
      <c r="B158">
        <v>116</v>
      </c>
      <c r="C158" s="453">
        <v>45992</v>
      </c>
      <c r="D158" t="s">
        <v>568</v>
      </c>
      <c r="E158">
        <v>17609</v>
      </c>
      <c r="F158" t="s">
        <v>4038</v>
      </c>
      <c r="G158">
        <v>2</v>
      </c>
      <c r="H158" t="s">
        <v>3878</v>
      </c>
      <c r="I158" t="s">
        <v>460</v>
      </c>
    </row>
    <row r="159" spans="1:9" x14ac:dyDescent="0.3">
      <c r="A159">
        <v>63260</v>
      </c>
      <c r="B159">
        <v>116</v>
      </c>
      <c r="C159" s="453">
        <v>45992</v>
      </c>
      <c r="D159" t="s">
        <v>568</v>
      </c>
      <c r="E159">
        <v>24393</v>
      </c>
      <c r="F159" t="s">
        <v>4039</v>
      </c>
      <c r="G159">
        <v>1.7</v>
      </c>
      <c r="H159" t="s">
        <v>3892</v>
      </c>
      <c r="I159" t="s">
        <v>460</v>
      </c>
    </row>
    <row r="160" spans="1:9" x14ac:dyDescent="0.3">
      <c r="A160">
        <v>63261</v>
      </c>
      <c r="B160">
        <v>116</v>
      </c>
      <c r="C160" s="453">
        <v>45992</v>
      </c>
      <c r="D160" t="s">
        <v>568</v>
      </c>
      <c r="E160">
        <v>24185</v>
      </c>
      <c r="F160" t="s">
        <v>4040</v>
      </c>
      <c r="G160">
        <v>1.5</v>
      </c>
      <c r="H160" t="s">
        <v>3892</v>
      </c>
      <c r="I160" t="s">
        <v>460</v>
      </c>
    </row>
    <row r="161" spans="1:9" x14ac:dyDescent="0.3">
      <c r="A161">
        <v>63262</v>
      </c>
      <c r="B161">
        <v>116</v>
      </c>
      <c r="C161" s="453">
        <v>45992</v>
      </c>
      <c r="D161" t="s">
        <v>568</v>
      </c>
      <c r="E161">
        <v>23503</v>
      </c>
      <c r="F161" t="s">
        <v>4041</v>
      </c>
      <c r="G161">
        <v>1.5</v>
      </c>
      <c r="H161" t="s">
        <v>3892</v>
      </c>
      <c r="I161" t="s">
        <v>460</v>
      </c>
    </row>
    <row r="162" spans="1:9" x14ac:dyDescent="0.3">
      <c r="A162">
        <v>63263</v>
      </c>
      <c r="B162">
        <v>116</v>
      </c>
      <c r="C162" s="453">
        <v>45992</v>
      </c>
      <c r="D162" t="s">
        <v>568</v>
      </c>
      <c r="E162">
        <v>19752</v>
      </c>
      <c r="F162" t="s">
        <v>4042</v>
      </c>
      <c r="G162">
        <v>1.5</v>
      </c>
      <c r="H162" t="s">
        <v>3892</v>
      </c>
      <c r="I162" t="s">
        <v>460</v>
      </c>
    </row>
    <row r="163" spans="1:9" x14ac:dyDescent="0.3">
      <c r="A163">
        <v>63264</v>
      </c>
      <c r="B163">
        <v>116</v>
      </c>
      <c r="C163" s="453">
        <v>45992</v>
      </c>
      <c r="D163" t="s">
        <v>568</v>
      </c>
      <c r="E163">
        <v>18702</v>
      </c>
      <c r="F163" t="s">
        <v>4043</v>
      </c>
      <c r="G163">
        <v>1.5</v>
      </c>
      <c r="H163" t="s">
        <v>3892</v>
      </c>
      <c r="I163" t="s">
        <v>460</v>
      </c>
    </row>
    <row r="164" spans="1:9" x14ac:dyDescent="0.3">
      <c r="A164">
        <v>63265</v>
      </c>
      <c r="B164">
        <v>116</v>
      </c>
      <c r="C164" s="453">
        <v>45992</v>
      </c>
      <c r="D164" t="s">
        <v>568</v>
      </c>
      <c r="E164">
        <v>18394</v>
      </c>
      <c r="F164" t="s">
        <v>4044</v>
      </c>
      <c r="G164">
        <v>1.5</v>
      </c>
      <c r="H164" t="s">
        <v>3878</v>
      </c>
      <c r="I164" t="s">
        <v>460</v>
      </c>
    </row>
    <row r="165" spans="1:9" x14ac:dyDescent="0.3">
      <c r="A165">
        <v>63266</v>
      </c>
      <c r="B165">
        <v>116</v>
      </c>
      <c r="C165" s="453">
        <v>45992</v>
      </c>
      <c r="D165" t="s">
        <v>568</v>
      </c>
      <c r="E165">
        <v>18317</v>
      </c>
      <c r="F165" t="s">
        <v>4045</v>
      </c>
      <c r="G165">
        <v>1.5</v>
      </c>
      <c r="H165" t="s">
        <v>3878</v>
      </c>
      <c r="I165" t="s">
        <v>460</v>
      </c>
    </row>
    <row r="166" spans="1:9" x14ac:dyDescent="0.3">
      <c r="A166">
        <v>63267</v>
      </c>
      <c r="B166">
        <v>116</v>
      </c>
      <c r="C166" s="453">
        <v>45992</v>
      </c>
      <c r="D166" t="s">
        <v>568</v>
      </c>
      <c r="E166">
        <v>18272</v>
      </c>
      <c r="F166" t="s">
        <v>4046</v>
      </c>
      <c r="G166">
        <v>1.5</v>
      </c>
      <c r="H166" t="s">
        <v>3878</v>
      </c>
      <c r="I166" t="s">
        <v>460</v>
      </c>
    </row>
    <row r="167" spans="1:9" x14ac:dyDescent="0.3">
      <c r="A167">
        <v>63268</v>
      </c>
      <c r="B167">
        <v>116</v>
      </c>
      <c r="C167" s="453">
        <v>45992</v>
      </c>
      <c r="D167" t="s">
        <v>568</v>
      </c>
      <c r="E167">
        <v>18111</v>
      </c>
      <c r="F167" t="s">
        <v>4047</v>
      </c>
      <c r="G167">
        <v>1.5</v>
      </c>
      <c r="H167" t="s">
        <v>3878</v>
      </c>
      <c r="I167" t="s">
        <v>460</v>
      </c>
    </row>
    <row r="168" spans="1:9" x14ac:dyDescent="0.3">
      <c r="A168">
        <v>63269</v>
      </c>
      <c r="B168">
        <v>116</v>
      </c>
      <c r="C168" s="453">
        <v>45992</v>
      </c>
      <c r="D168" t="s">
        <v>568</v>
      </c>
      <c r="E168">
        <v>24456</v>
      </c>
      <c r="F168" t="s">
        <v>4048</v>
      </c>
      <c r="G168">
        <v>1</v>
      </c>
      <c r="H168" t="s">
        <v>3892</v>
      </c>
      <c r="I168" t="s">
        <v>460</v>
      </c>
    </row>
    <row r="169" spans="1:9" x14ac:dyDescent="0.3">
      <c r="A169">
        <v>63270</v>
      </c>
      <c r="B169">
        <v>116</v>
      </c>
      <c r="C169" s="453">
        <v>45992</v>
      </c>
      <c r="D169" t="s">
        <v>568</v>
      </c>
      <c r="E169">
        <v>21078</v>
      </c>
      <c r="F169" t="s">
        <v>4049</v>
      </c>
      <c r="G169">
        <v>1</v>
      </c>
      <c r="H169" t="s">
        <v>3881</v>
      </c>
      <c r="I169" t="s">
        <v>460</v>
      </c>
    </row>
    <row r="170" spans="1:9" x14ac:dyDescent="0.3">
      <c r="A170">
        <v>63271</v>
      </c>
      <c r="B170">
        <v>116</v>
      </c>
      <c r="C170" s="453">
        <v>45992</v>
      </c>
      <c r="D170" t="s">
        <v>568</v>
      </c>
      <c r="E170">
        <v>20757</v>
      </c>
      <c r="F170" t="s">
        <v>4050</v>
      </c>
      <c r="G170">
        <v>1</v>
      </c>
      <c r="H170" t="s">
        <v>3966</v>
      </c>
      <c r="I170" t="s">
        <v>460</v>
      </c>
    </row>
    <row r="171" spans="1:9" x14ac:dyDescent="0.3">
      <c r="A171">
        <v>63272</v>
      </c>
      <c r="B171">
        <v>116</v>
      </c>
      <c r="C171" s="453">
        <v>45992</v>
      </c>
      <c r="D171" t="s">
        <v>568</v>
      </c>
      <c r="E171">
        <v>20429</v>
      </c>
      <c r="F171" t="s">
        <v>4051</v>
      </c>
      <c r="G171">
        <v>1</v>
      </c>
      <c r="H171" t="s">
        <v>3872</v>
      </c>
      <c r="I171" t="s">
        <v>460</v>
      </c>
    </row>
    <row r="172" spans="1:9" x14ac:dyDescent="0.3">
      <c r="A172">
        <v>63273</v>
      </c>
      <c r="B172">
        <v>116</v>
      </c>
      <c r="C172" s="453">
        <v>45992</v>
      </c>
      <c r="D172" t="s">
        <v>568</v>
      </c>
      <c r="E172">
        <v>20755</v>
      </c>
      <c r="F172" t="s">
        <v>4052</v>
      </c>
      <c r="G172">
        <v>1</v>
      </c>
      <c r="H172" t="s">
        <v>3966</v>
      </c>
      <c r="I172" t="s">
        <v>460</v>
      </c>
    </row>
    <row r="173" spans="1:9" x14ac:dyDescent="0.3">
      <c r="A173">
        <v>63274</v>
      </c>
      <c r="B173">
        <v>116</v>
      </c>
      <c r="C173" s="453">
        <v>45992</v>
      </c>
      <c r="D173" t="s">
        <v>568</v>
      </c>
      <c r="E173">
        <v>20287</v>
      </c>
      <c r="F173" t="s">
        <v>4053</v>
      </c>
      <c r="G173">
        <v>1</v>
      </c>
      <c r="H173" t="s">
        <v>3888</v>
      </c>
      <c r="I173" t="s">
        <v>460</v>
      </c>
    </row>
    <row r="174" spans="1:9" x14ac:dyDescent="0.3">
      <c r="A174">
        <v>63275</v>
      </c>
      <c r="B174">
        <v>116</v>
      </c>
      <c r="C174" s="453">
        <v>45992</v>
      </c>
      <c r="D174" t="s">
        <v>568</v>
      </c>
      <c r="E174">
        <v>20077</v>
      </c>
      <c r="F174" t="s">
        <v>4054</v>
      </c>
      <c r="G174">
        <v>1</v>
      </c>
      <c r="H174" t="s">
        <v>3888</v>
      </c>
      <c r="I174" t="s">
        <v>460</v>
      </c>
    </row>
    <row r="175" spans="1:9" x14ac:dyDescent="0.3">
      <c r="A175">
        <v>63276</v>
      </c>
      <c r="B175">
        <v>116</v>
      </c>
      <c r="C175" s="453">
        <v>45992</v>
      </c>
      <c r="D175" t="s">
        <v>568</v>
      </c>
      <c r="E175">
        <v>20717</v>
      </c>
      <c r="F175" t="s">
        <v>4055</v>
      </c>
      <c r="G175">
        <v>1</v>
      </c>
      <c r="H175" t="s">
        <v>3872</v>
      </c>
      <c r="I175" t="s">
        <v>460</v>
      </c>
    </row>
    <row r="176" spans="1:9" x14ac:dyDescent="0.3">
      <c r="A176">
        <v>63277</v>
      </c>
      <c r="B176">
        <v>116</v>
      </c>
      <c r="C176" s="453">
        <v>45992</v>
      </c>
      <c r="D176" t="s">
        <v>568</v>
      </c>
      <c r="E176">
        <v>24212</v>
      </c>
      <c r="F176" t="s">
        <v>4056</v>
      </c>
      <c r="G176">
        <v>1</v>
      </c>
      <c r="H176" t="s">
        <v>3892</v>
      </c>
      <c r="I176" t="s">
        <v>460</v>
      </c>
    </row>
    <row r="177" spans="1:9" x14ac:dyDescent="0.3">
      <c r="A177">
        <v>63278</v>
      </c>
      <c r="B177">
        <v>116</v>
      </c>
      <c r="C177" s="453">
        <v>45992</v>
      </c>
      <c r="D177" t="s">
        <v>568</v>
      </c>
      <c r="E177">
        <v>20395</v>
      </c>
      <c r="F177" t="s">
        <v>4057</v>
      </c>
      <c r="G177">
        <v>1</v>
      </c>
      <c r="H177" t="s">
        <v>3872</v>
      </c>
      <c r="I177" t="s">
        <v>460</v>
      </c>
    </row>
    <row r="178" spans="1:9" x14ac:dyDescent="0.3">
      <c r="A178">
        <v>63279</v>
      </c>
      <c r="B178">
        <v>116</v>
      </c>
      <c r="C178" s="453">
        <v>45992</v>
      </c>
      <c r="D178" t="s">
        <v>568</v>
      </c>
      <c r="E178">
        <v>23897</v>
      </c>
      <c r="F178" t="s">
        <v>4058</v>
      </c>
      <c r="G178">
        <v>1</v>
      </c>
      <c r="H178" t="s">
        <v>3872</v>
      </c>
      <c r="I178" t="s">
        <v>460</v>
      </c>
    </row>
    <row r="179" spans="1:9" x14ac:dyDescent="0.3">
      <c r="A179">
        <v>63280</v>
      </c>
      <c r="B179">
        <v>116</v>
      </c>
      <c r="C179" s="453">
        <v>45992</v>
      </c>
      <c r="D179" t="s">
        <v>568</v>
      </c>
      <c r="E179">
        <v>20213</v>
      </c>
      <c r="F179" t="s">
        <v>4059</v>
      </c>
      <c r="G179">
        <v>1</v>
      </c>
      <c r="H179" t="s">
        <v>3888</v>
      </c>
      <c r="I179" t="s">
        <v>460</v>
      </c>
    </row>
    <row r="180" spans="1:9" x14ac:dyDescent="0.3">
      <c r="A180">
        <v>63281</v>
      </c>
      <c r="B180">
        <v>116</v>
      </c>
      <c r="C180" s="453">
        <v>45992</v>
      </c>
      <c r="D180" t="s">
        <v>568</v>
      </c>
      <c r="E180">
        <v>20832</v>
      </c>
      <c r="F180" t="s">
        <v>4060</v>
      </c>
      <c r="G180">
        <v>1</v>
      </c>
      <c r="H180" t="s">
        <v>3886</v>
      </c>
      <c r="I180" t="s">
        <v>460</v>
      </c>
    </row>
    <row r="181" spans="1:9" x14ac:dyDescent="0.3">
      <c r="A181">
        <v>63282</v>
      </c>
      <c r="B181">
        <v>116</v>
      </c>
      <c r="C181" s="453">
        <v>45992</v>
      </c>
      <c r="D181" t="s">
        <v>568</v>
      </c>
      <c r="E181">
        <v>24364</v>
      </c>
      <c r="F181" t="s">
        <v>4061</v>
      </c>
      <c r="G181">
        <v>1</v>
      </c>
      <c r="H181" t="s">
        <v>3892</v>
      </c>
      <c r="I181" t="s">
        <v>460</v>
      </c>
    </row>
    <row r="182" spans="1:9" x14ac:dyDescent="0.3">
      <c r="A182">
        <v>63283</v>
      </c>
      <c r="B182">
        <v>116</v>
      </c>
      <c r="C182" s="453">
        <v>45992</v>
      </c>
      <c r="D182" t="s">
        <v>568</v>
      </c>
      <c r="E182">
        <v>20976</v>
      </c>
      <c r="F182" t="s">
        <v>4062</v>
      </c>
      <c r="G182">
        <v>1</v>
      </c>
      <c r="H182" t="s">
        <v>3884</v>
      </c>
      <c r="I182" t="s">
        <v>460</v>
      </c>
    </row>
    <row r="183" spans="1:9" x14ac:dyDescent="0.3">
      <c r="A183">
        <v>63284</v>
      </c>
      <c r="B183">
        <v>116</v>
      </c>
      <c r="C183" s="453">
        <v>45992</v>
      </c>
      <c r="D183" t="s">
        <v>568</v>
      </c>
      <c r="E183">
        <v>24401</v>
      </c>
      <c r="F183" t="s">
        <v>4063</v>
      </c>
      <c r="G183">
        <v>1</v>
      </c>
      <c r="H183" t="s">
        <v>3872</v>
      </c>
      <c r="I183" t="s">
        <v>460</v>
      </c>
    </row>
    <row r="184" spans="1:9" x14ac:dyDescent="0.3">
      <c r="A184">
        <v>63285</v>
      </c>
      <c r="B184">
        <v>116</v>
      </c>
      <c r="C184" s="453">
        <v>45992</v>
      </c>
      <c r="D184" t="s">
        <v>568</v>
      </c>
      <c r="E184">
        <v>20610</v>
      </c>
      <c r="F184" t="s">
        <v>4064</v>
      </c>
      <c r="G184">
        <v>1</v>
      </c>
      <c r="H184" t="s">
        <v>3884</v>
      </c>
      <c r="I184" t="s">
        <v>460</v>
      </c>
    </row>
    <row r="185" spans="1:9" x14ac:dyDescent="0.3">
      <c r="A185">
        <v>63286</v>
      </c>
      <c r="B185">
        <v>116</v>
      </c>
      <c r="C185" s="453">
        <v>45992</v>
      </c>
      <c r="D185" t="s">
        <v>568</v>
      </c>
      <c r="E185">
        <v>19498</v>
      </c>
      <c r="F185" t="s">
        <v>4065</v>
      </c>
      <c r="G185">
        <v>1</v>
      </c>
      <c r="H185" t="s">
        <v>3892</v>
      </c>
      <c r="I185" t="s">
        <v>460</v>
      </c>
    </row>
    <row r="186" spans="1:9" x14ac:dyDescent="0.3">
      <c r="A186">
        <v>63287</v>
      </c>
      <c r="B186">
        <v>116</v>
      </c>
      <c r="C186" s="453">
        <v>45992</v>
      </c>
      <c r="D186" t="s">
        <v>568</v>
      </c>
      <c r="E186">
        <v>19647</v>
      </c>
      <c r="F186" t="s">
        <v>4066</v>
      </c>
      <c r="G186">
        <v>1</v>
      </c>
      <c r="H186" t="s">
        <v>3892</v>
      </c>
      <c r="I186" t="s">
        <v>460</v>
      </c>
    </row>
    <row r="187" spans="1:9" x14ac:dyDescent="0.3">
      <c r="A187">
        <v>63288</v>
      </c>
      <c r="B187">
        <v>116</v>
      </c>
      <c r="C187" s="453">
        <v>45992</v>
      </c>
      <c r="D187" t="s">
        <v>568</v>
      </c>
      <c r="E187">
        <v>19642</v>
      </c>
      <c r="F187" t="s">
        <v>4067</v>
      </c>
      <c r="G187">
        <v>1</v>
      </c>
      <c r="H187" t="s">
        <v>3892</v>
      </c>
      <c r="I187" t="s">
        <v>460</v>
      </c>
    </row>
    <row r="188" spans="1:9" x14ac:dyDescent="0.3">
      <c r="A188">
        <v>63289</v>
      </c>
      <c r="B188">
        <v>116</v>
      </c>
      <c r="C188" s="453">
        <v>45992</v>
      </c>
      <c r="D188" t="s">
        <v>568</v>
      </c>
      <c r="E188">
        <v>19634</v>
      </c>
      <c r="F188" t="s">
        <v>4068</v>
      </c>
      <c r="G188">
        <v>1</v>
      </c>
      <c r="H188" t="s">
        <v>3892</v>
      </c>
      <c r="I188" t="s">
        <v>460</v>
      </c>
    </row>
    <row r="189" spans="1:9" x14ac:dyDescent="0.3">
      <c r="A189">
        <v>63290</v>
      </c>
      <c r="B189">
        <v>116</v>
      </c>
      <c r="C189" s="453">
        <v>45992</v>
      </c>
      <c r="D189" t="s">
        <v>568</v>
      </c>
      <c r="E189">
        <v>19779</v>
      </c>
      <c r="F189" t="s">
        <v>4069</v>
      </c>
      <c r="G189">
        <v>1</v>
      </c>
      <c r="H189" t="s">
        <v>3892</v>
      </c>
      <c r="I189" t="s">
        <v>460</v>
      </c>
    </row>
    <row r="190" spans="1:9" x14ac:dyDescent="0.3">
      <c r="A190">
        <v>63291</v>
      </c>
      <c r="B190">
        <v>116</v>
      </c>
      <c r="C190" s="453">
        <v>45992</v>
      </c>
      <c r="D190" t="s">
        <v>568</v>
      </c>
      <c r="E190">
        <v>19488</v>
      </c>
      <c r="F190" t="s">
        <v>4070</v>
      </c>
      <c r="G190">
        <v>1</v>
      </c>
      <c r="H190" t="s">
        <v>3892</v>
      </c>
      <c r="I190" t="s">
        <v>460</v>
      </c>
    </row>
    <row r="191" spans="1:9" x14ac:dyDescent="0.3">
      <c r="A191">
        <v>63292</v>
      </c>
      <c r="B191">
        <v>116</v>
      </c>
      <c r="C191" s="453">
        <v>45992</v>
      </c>
      <c r="D191" t="s">
        <v>568</v>
      </c>
      <c r="E191">
        <v>19765</v>
      </c>
      <c r="F191" t="s">
        <v>4071</v>
      </c>
      <c r="G191">
        <v>1</v>
      </c>
      <c r="H191" t="s">
        <v>3892</v>
      </c>
      <c r="I191" t="s">
        <v>460</v>
      </c>
    </row>
    <row r="192" spans="1:9" x14ac:dyDescent="0.3">
      <c r="A192">
        <v>63293</v>
      </c>
      <c r="B192">
        <v>116</v>
      </c>
      <c r="C192" s="453">
        <v>45992</v>
      </c>
      <c r="D192" t="s">
        <v>568</v>
      </c>
      <c r="E192">
        <v>19478</v>
      </c>
      <c r="F192" t="s">
        <v>4072</v>
      </c>
      <c r="G192">
        <v>1</v>
      </c>
      <c r="H192" t="s">
        <v>3892</v>
      </c>
      <c r="I192" t="s">
        <v>460</v>
      </c>
    </row>
    <row r="193" spans="1:9" x14ac:dyDescent="0.3">
      <c r="A193">
        <v>63294</v>
      </c>
      <c r="B193">
        <v>116</v>
      </c>
      <c r="C193" s="453">
        <v>45992</v>
      </c>
      <c r="D193" t="s">
        <v>568</v>
      </c>
      <c r="E193">
        <v>19689</v>
      </c>
      <c r="F193" t="s">
        <v>4073</v>
      </c>
      <c r="G193">
        <v>1</v>
      </c>
      <c r="H193" t="s">
        <v>3892</v>
      </c>
      <c r="I193" t="s">
        <v>460</v>
      </c>
    </row>
    <row r="194" spans="1:9" x14ac:dyDescent="0.3">
      <c r="A194">
        <v>63295</v>
      </c>
      <c r="B194">
        <v>116</v>
      </c>
      <c r="C194" s="453">
        <v>45992</v>
      </c>
      <c r="D194" t="s">
        <v>568</v>
      </c>
      <c r="E194">
        <v>19742</v>
      </c>
      <c r="F194" t="s">
        <v>4074</v>
      </c>
      <c r="G194">
        <v>1</v>
      </c>
      <c r="H194" t="s">
        <v>3892</v>
      </c>
      <c r="I194" t="s">
        <v>460</v>
      </c>
    </row>
    <row r="195" spans="1:9" x14ac:dyDescent="0.3">
      <c r="A195">
        <v>63296</v>
      </c>
      <c r="B195">
        <v>116</v>
      </c>
      <c r="C195" s="453">
        <v>45992</v>
      </c>
      <c r="D195" t="s">
        <v>568</v>
      </c>
      <c r="E195">
        <v>23335</v>
      </c>
      <c r="F195" t="s">
        <v>4075</v>
      </c>
      <c r="G195">
        <v>1</v>
      </c>
      <c r="H195" t="s">
        <v>3892</v>
      </c>
      <c r="I195" t="s">
        <v>460</v>
      </c>
    </row>
    <row r="196" spans="1:9" x14ac:dyDescent="0.3">
      <c r="A196">
        <v>63297</v>
      </c>
      <c r="B196">
        <v>116</v>
      </c>
      <c r="C196" s="453">
        <v>45992</v>
      </c>
      <c r="D196" t="s">
        <v>568</v>
      </c>
      <c r="E196">
        <v>19583</v>
      </c>
      <c r="F196" t="s">
        <v>4076</v>
      </c>
      <c r="G196">
        <v>1</v>
      </c>
      <c r="H196" t="s">
        <v>3892</v>
      </c>
      <c r="I196" t="s">
        <v>460</v>
      </c>
    </row>
    <row r="197" spans="1:9" x14ac:dyDescent="0.3">
      <c r="A197">
        <v>63298</v>
      </c>
      <c r="B197">
        <v>116</v>
      </c>
      <c r="C197" s="453">
        <v>45992</v>
      </c>
      <c r="D197" t="s">
        <v>568</v>
      </c>
      <c r="E197">
        <v>19574</v>
      </c>
      <c r="F197" t="s">
        <v>4077</v>
      </c>
      <c r="G197">
        <v>1</v>
      </c>
      <c r="H197" t="s">
        <v>3892</v>
      </c>
      <c r="I197" t="s">
        <v>460</v>
      </c>
    </row>
    <row r="198" spans="1:9" x14ac:dyDescent="0.3">
      <c r="A198">
        <v>63299</v>
      </c>
      <c r="B198">
        <v>116</v>
      </c>
      <c r="C198" s="453">
        <v>45992</v>
      </c>
      <c r="D198" t="s">
        <v>568</v>
      </c>
      <c r="E198">
        <v>19553</v>
      </c>
      <c r="F198" t="s">
        <v>4078</v>
      </c>
      <c r="G198">
        <v>1</v>
      </c>
      <c r="H198" t="s">
        <v>3892</v>
      </c>
      <c r="I198" t="s">
        <v>460</v>
      </c>
    </row>
    <row r="199" spans="1:9" x14ac:dyDescent="0.3">
      <c r="A199">
        <v>63300</v>
      </c>
      <c r="B199">
        <v>116</v>
      </c>
      <c r="C199" s="453">
        <v>45992</v>
      </c>
      <c r="D199" t="s">
        <v>568</v>
      </c>
      <c r="E199">
        <v>23113</v>
      </c>
      <c r="F199" t="s">
        <v>4079</v>
      </c>
      <c r="G199">
        <v>1</v>
      </c>
      <c r="H199" t="s">
        <v>3892</v>
      </c>
      <c r="I199" t="s">
        <v>460</v>
      </c>
    </row>
    <row r="200" spans="1:9" x14ac:dyDescent="0.3">
      <c r="A200">
        <v>63301</v>
      </c>
      <c r="B200">
        <v>116</v>
      </c>
      <c r="C200" s="453">
        <v>45992</v>
      </c>
      <c r="D200" t="s">
        <v>568</v>
      </c>
      <c r="E200">
        <v>19465</v>
      </c>
      <c r="F200" t="s">
        <v>4080</v>
      </c>
      <c r="G200">
        <v>1</v>
      </c>
      <c r="H200" t="s">
        <v>3892</v>
      </c>
      <c r="I200" t="s">
        <v>460</v>
      </c>
    </row>
    <row r="201" spans="1:9" x14ac:dyDescent="0.3">
      <c r="A201">
        <v>63302</v>
      </c>
      <c r="B201">
        <v>116</v>
      </c>
      <c r="C201" s="453">
        <v>45992</v>
      </c>
      <c r="D201" t="s">
        <v>568</v>
      </c>
      <c r="E201">
        <v>25203</v>
      </c>
      <c r="F201" t="s">
        <v>4081</v>
      </c>
      <c r="G201">
        <v>1</v>
      </c>
      <c r="H201" t="s">
        <v>3892</v>
      </c>
      <c r="I201" t="s">
        <v>460</v>
      </c>
    </row>
    <row r="202" spans="1:9" x14ac:dyDescent="0.3">
      <c r="A202">
        <v>63303</v>
      </c>
      <c r="B202">
        <v>116</v>
      </c>
      <c r="C202" s="453">
        <v>45992</v>
      </c>
      <c r="D202" t="s">
        <v>568</v>
      </c>
      <c r="E202">
        <v>19264</v>
      </c>
      <c r="F202" t="s">
        <v>4082</v>
      </c>
      <c r="G202">
        <v>1</v>
      </c>
      <c r="H202" t="s">
        <v>3888</v>
      </c>
      <c r="I202" t="s">
        <v>460</v>
      </c>
    </row>
    <row r="203" spans="1:9" x14ac:dyDescent="0.3">
      <c r="A203">
        <v>63304</v>
      </c>
      <c r="B203">
        <v>116</v>
      </c>
      <c r="C203" s="453">
        <v>45992</v>
      </c>
      <c r="D203" t="s">
        <v>568</v>
      </c>
      <c r="E203">
        <v>18550</v>
      </c>
      <c r="F203" t="s">
        <v>4083</v>
      </c>
      <c r="G203">
        <v>1</v>
      </c>
      <c r="H203" t="s">
        <v>3878</v>
      </c>
      <c r="I203" t="s">
        <v>460</v>
      </c>
    </row>
    <row r="204" spans="1:9" x14ac:dyDescent="0.3">
      <c r="A204">
        <v>63305</v>
      </c>
      <c r="B204">
        <v>116</v>
      </c>
      <c r="C204" s="453">
        <v>45992</v>
      </c>
      <c r="D204" t="s">
        <v>568</v>
      </c>
      <c r="E204">
        <v>18534</v>
      </c>
      <c r="F204" t="s">
        <v>4084</v>
      </c>
      <c r="G204">
        <v>1</v>
      </c>
      <c r="H204" t="s">
        <v>3878</v>
      </c>
      <c r="I204" t="s">
        <v>460</v>
      </c>
    </row>
    <row r="205" spans="1:9" x14ac:dyDescent="0.3">
      <c r="A205">
        <v>63306</v>
      </c>
      <c r="B205">
        <v>116</v>
      </c>
      <c r="C205" s="453">
        <v>45992</v>
      </c>
      <c r="D205" t="s">
        <v>568</v>
      </c>
      <c r="E205">
        <v>18395</v>
      </c>
      <c r="F205" t="s">
        <v>4085</v>
      </c>
      <c r="G205">
        <v>1</v>
      </c>
      <c r="H205" t="s">
        <v>3878</v>
      </c>
      <c r="I205" t="s">
        <v>460</v>
      </c>
    </row>
    <row r="206" spans="1:9" x14ac:dyDescent="0.3">
      <c r="A206">
        <v>63307</v>
      </c>
      <c r="B206">
        <v>116</v>
      </c>
      <c r="C206" s="453">
        <v>45992</v>
      </c>
      <c r="D206" t="s">
        <v>568</v>
      </c>
      <c r="E206">
        <v>18341</v>
      </c>
      <c r="F206" t="s">
        <v>4086</v>
      </c>
      <c r="G206">
        <v>1</v>
      </c>
      <c r="H206" t="s">
        <v>3878</v>
      </c>
      <c r="I206" t="s">
        <v>460</v>
      </c>
    </row>
    <row r="207" spans="1:9" x14ac:dyDescent="0.3">
      <c r="A207">
        <v>63308</v>
      </c>
      <c r="B207">
        <v>116</v>
      </c>
      <c r="C207" s="453">
        <v>45992</v>
      </c>
      <c r="D207" t="s">
        <v>568</v>
      </c>
      <c r="E207">
        <v>18327</v>
      </c>
      <c r="F207" t="s">
        <v>4087</v>
      </c>
      <c r="G207">
        <v>1</v>
      </c>
      <c r="H207" t="s">
        <v>3878</v>
      </c>
      <c r="I207" t="s">
        <v>460</v>
      </c>
    </row>
    <row r="208" spans="1:9" x14ac:dyDescent="0.3">
      <c r="A208">
        <v>63309</v>
      </c>
      <c r="B208">
        <v>116</v>
      </c>
      <c r="C208" s="453">
        <v>45992</v>
      </c>
      <c r="D208" t="s">
        <v>568</v>
      </c>
      <c r="E208">
        <v>18315</v>
      </c>
      <c r="F208" t="s">
        <v>4088</v>
      </c>
      <c r="G208">
        <v>1</v>
      </c>
      <c r="H208" t="s">
        <v>3878</v>
      </c>
      <c r="I208" t="s">
        <v>460</v>
      </c>
    </row>
    <row r="209" spans="1:9" x14ac:dyDescent="0.3">
      <c r="A209">
        <v>63310</v>
      </c>
      <c r="B209">
        <v>116</v>
      </c>
      <c r="C209" s="453">
        <v>45992</v>
      </c>
      <c r="D209" t="s">
        <v>568</v>
      </c>
      <c r="E209">
        <v>18312</v>
      </c>
      <c r="F209" t="s">
        <v>4089</v>
      </c>
      <c r="G209">
        <v>1</v>
      </c>
      <c r="H209" t="s">
        <v>3878</v>
      </c>
      <c r="I209" t="s">
        <v>460</v>
      </c>
    </row>
    <row r="210" spans="1:9" x14ac:dyDescent="0.3">
      <c r="A210">
        <v>63311</v>
      </c>
      <c r="B210">
        <v>116</v>
      </c>
      <c r="C210" s="453">
        <v>45992</v>
      </c>
      <c r="D210" t="s">
        <v>568</v>
      </c>
      <c r="E210">
        <v>18233</v>
      </c>
      <c r="F210" t="s">
        <v>4090</v>
      </c>
      <c r="G210">
        <v>1</v>
      </c>
      <c r="H210" t="s">
        <v>3878</v>
      </c>
      <c r="I210" t="s">
        <v>460</v>
      </c>
    </row>
    <row r="211" spans="1:9" x14ac:dyDescent="0.3">
      <c r="A211">
        <v>63312</v>
      </c>
      <c r="B211">
        <v>116</v>
      </c>
      <c r="C211" s="453">
        <v>45992</v>
      </c>
      <c r="D211" t="s">
        <v>568</v>
      </c>
      <c r="E211">
        <v>18232</v>
      </c>
      <c r="F211" t="s">
        <v>4091</v>
      </c>
      <c r="G211">
        <v>1</v>
      </c>
      <c r="H211" t="s">
        <v>3878</v>
      </c>
      <c r="I211" t="s">
        <v>460</v>
      </c>
    </row>
    <row r="212" spans="1:9" x14ac:dyDescent="0.3">
      <c r="A212">
        <v>63313</v>
      </c>
      <c r="B212">
        <v>116</v>
      </c>
      <c r="C212" s="453">
        <v>45992</v>
      </c>
      <c r="D212" t="s">
        <v>568</v>
      </c>
      <c r="E212">
        <v>18129</v>
      </c>
      <c r="F212" t="s">
        <v>4092</v>
      </c>
      <c r="G212">
        <v>1</v>
      </c>
      <c r="H212" t="s">
        <v>3878</v>
      </c>
      <c r="I212" t="s">
        <v>460</v>
      </c>
    </row>
    <row r="213" spans="1:9" x14ac:dyDescent="0.3">
      <c r="A213">
        <v>63314</v>
      </c>
      <c r="B213">
        <v>116</v>
      </c>
      <c r="C213" s="453">
        <v>45992</v>
      </c>
      <c r="D213" t="s">
        <v>568</v>
      </c>
      <c r="E213">
        <v>18119</v>
      </c>
      <c r="F213" t="s">
        <v>4093</v>
      </c>
      <c r="G213">
        <v>1</v>
      </c>
      <c r="H213" t="s">
        <v>3878</v>
      </c>
      <c r="I213" t="s">
        <v>460</v>
      </c>
    </row>
    <row r="214" spans="1:9" x14ac:dyDescent="0.3">
      <c r="A214">
        <v>63315</v>
      </c>
      <c r="B214">
        <v>116</v>
      </c>
      <c r="C214" s="453">
        <v>45992</v>
      </c>
      <c r="D214" t="s">
        <v>568</v>
      </c>
      <c r="E214">
        <v>17897</v>
      </c>
      <c r="F214" t="s">
        <v>4094</v>
      </c>
      <c r="G214">
        <v>1</v>
      </c>
      <c r="H214" t="s">
        <v>3888</v>
      </c>
      <c r="I214" t="s">
        <v>460</v>
      </c>
    </row>
    <row r="215" spans="1:9" x14ac:dyDescent="0.3">
      <c r="A215">
        <v>63316</v>
      </c>
      <c r="B215">
        <v>116</v>
      </c>
      <c r="C215" s="453">
        <v>45992</v>
      </c>
      <c r="D215" t="s">
        <v>568</v>
      </c>
      <c r="E215">
        <v>17881</v>
      </c>
      <c r="F215" t="s">
        <v>4095</v>
      </c>
      <c r="G215">
        <v>1</v>
      </c>
      <c r="H215" t="s">
        <v>3888</v>
      </c>
      <c r="I215" t="s">
        <v>460</v>
      </c>
    </row>
    <row r="216" spans="1:9" x14ac:dyDescent="0.3">
      <c r="A216">
        <v>63317</v>
      </c>
      <c r="B216">
        <v>116</v>
      </c>
      <c r="C216" s="453">
        <v>45992</v>
      </c>
      <c r="D216" t="s">
        <v>568</v>
      </c>
      <c r="E216">
        <v>17878</v>
      </c>
      <c r="F216" t="s">
        <v>4096</v>
      </c>
      <c r="G216">
        <v>1</v>
      </c>
      <c r="H216" t="s">
        <v>3872</v>
      </c>
      <c r="I216" t="s">
        <v>460</v>
      </c>
    </row>
    <row r="217" spans="1:9" x14ac:dyDescent="0.3">
      <c r="A217">
        <v>63318</v>
      </c>
      <c r="B217">
        <v>116</v>
      </c>
      <c r="C217" s="453">
        <v>45992</v>
      </c>
      <c r="D217" t="s">
        <v>568</v>
      </c>
      <c r="E217">
        <v>19405</v>
      </c>
      <c r="F217" t="s">
        <v>4097</v>
      </c>
      <c r="G217">
        <v>0.97</v>
      </c>
      <c r="H217" t="s">
        <v>3892</v>
      </c>
      <c r="I217" t="s">
        <v>460</v>
      </c>
    </row>
    <row r="218" spans="1:9" x14ac:dyDescent="0.3">
      <c r="A218">
        <v>63319</v>
      </c>
      <c r="B218">
        <v>116</v>
      </c>
      <c r="C218" s="453">
        <v>45992</v>
      </c>
      <c r="D218" t="s">
        <v>568</v>
      </c>
      <c r="E218">
        <v>20466</v>
      </c>
      <c r="F218" t="s">
        <v>4098</v>
      </c>
      <c r="G218">
        <v>0.9</v>
      </c>
      <c r="H218" t="s">
        <v>3892</v>
      </c>
      <c r="I218" t="s">
        <v>460</v>
      </c>
    </row>
    <row r="219" spans="1:9" x14ac:dyDescent="0.3">
      <c r="A219">
        <v>63320</v>
      </c>
      <c r="B219">
        <v>116</v>
      </c>
      <c r="C219" s="453">
        <v>45992</v>
      </c>
      <c r="D219" t="s">
        <v>568</v>
      </c>
      <c r="E219">
        <v>18545</v>
      </c>
      <c r="F219" t="s">
        <v>4099</v>
      </c>
      <c r="G219">
        <v>0.9</v>
      </c>
      <c r="H219" t="s">
        <v>3878</v>
      </c>
      <c r="I219" t="s">
        <v>460</v>
      </c>
    </row>
    <row r="220" spans="1:9" x14ac:dyDescent="0.3">
      <c r="A220">
        <v>63321</v>
      </c>
      <c r="B220">
        <v>116</v>
      </c>
      <c r="C220" s="453">
        <v>45992</v>
      </c>
      <c r="D220" t="s">
        <v>568</v>
      </c>
      <c r="E220">
        <v>18146</v>
      </c>
      <c r="F220" t="s">
        <v>4100</v>
      </c>
      <c r="G220">
        <v>0.8</v>
      </c>
      <c r="H220" t="s">
        <v>3878</v>
      </c>
      <c r="I220" t="s">
        <v>460</v>
      </c>
    </row>
    <row r="221" spans="1:9" x14ac:dyDescent="0.3">
      <c r="A221">
        <v>63322</v>
      </c>
      <c r="B221">
        <v>116</v>
      </c>
      <c r="C221" s="453">
        <v>45992</v>
      </c>
      <c r="D221" t="s">
        <v>568</v>
      </c>
      <c r="E221">
        <v>19505</v>
      </c>
      <c r="F221" t="s">
        <v>4101</v>
      </c>
      <c r="G221">
        <v>0.6</v>
      </c>
      <c r="H221" t="s">
        <v>3892</v>
      </c>
      <c r="I221" t="s">
        <v>460</v>
      </c>
    </row>
    <row r="222" spans="1:9" x14ac:dyDescent="0.3">
      <c r="A222">
        <v>63323</v>
      </c>
      <c r="B222">
        <v>116</v>
      </c>
      <c r="C222" s="453">
        <v>45992</v>
      </c>
      <c r="D222" t="s">
        <v>568</v>
      </c>
      <c r="E222">
        <v>23635</v>
      </c>
      <c r="F222" t="s">
        <v>4102</v>
      </c>
      <c r="G222">
        <v>0.5</v>
      </c>
      <c r="H222" t="s">
        <v>3892</v>
      </c>
      <c r="I222" t="s">
        <v>460</v>
      </c>
    </row>
    <row r="223" spans="1:9" x14ac:dyDescent="0.3">
      <c r="A223">
        <v>63324</v>
      </c>
      <c r="B223">
        <v>116</v>
      </c>
      <c r="C223" s="453">
        <v>45992</v>
      </c>
      <c r="D223" t="s">
        <v>568</v>
      </c>
      <c r="E223">
        <v>23270</v>
      </c>
      <c r="F223" t="s">
        <v>4103</v>
      </c>
      <c r="G223">
        <v>0.5</v>
      </c>
      <c r="H223" t="s">
        <v>3892</v>
      </c>
      <c r="I223" t="s">
        <v>460</v>
      </c>
    </row>
    <row r="224" spans="1:9" x14ac:dyDescent="0.3">
      <c r="A224">
        <v>63325</v>
      </c>
      <c r="B224">
        <v>116</v>
      </c>
      <c r="C224" s="453">
        <v>45992</v>
      </c>
      <c r="D224" t="s">
        <v>568</v>
      </c>
      <c r="E224">
        <v>24037</v>
      </c>
      <c r="F224" t="s">
        <v>4104</v>
      </c>
      <c r="G224">
        <v>0.5</v>
      </c>
      <c r="H224" t="s">
        <v>3892</v>
      </c>
      <c r="I224" t="s">
        <v>460</v>
      </c>
    </row>
    <row r="225" spans="1:9" x14ac:dyDescent="0.3">
      <c r="A225">
        <v>63326</v>
      </c>
      <c r="B225">
        <v>116</v>
      </c>
      <c r="C225" s="453">
        <v>45992</v>
      </c>
      <c r="D225" t="s">
        <v>568</v>
      </c>
      <c r="E225">
        <v>19607</v>
      </c>
      <c r="F225" t="s">
        <v>4105</v>
      </c>
      <c r="G225">
        <v>0.5</v>
      </c>
      <c r="H225" t="s">
        <v>3892</v>
      </c>
      <c r="I225" t="s">
        <v>460</v>
      </c>
    </row>
    <row r="226" spans="1:9" x14ac:dyDescent="0.3">
      <c r="A226">
        <v>63327</v>
      </c>
      <c r="B226">
        <v>116</v>
      </c>
      <c r="C226" s="453">
        <v>45992</v>
      </c>
      <c r="D226" t="s">
        <v>568</v>
      </c>
      <c r="E226">
        <v>19710</v>
      </c>
      <c r="F226" t="s">
        <v>4106</v>
      </c>
      <c r="G226">
        <v>0.5</v>
      </c>
      <c r="H226" t="s">
        <v>3888</v>
      </c>
      <c r="I226" t="s">
        <v>460</v>
      </c>
    </row>
    <row r="227" spans="1:9" x14ac:dyDescent="0.3">
      <c r="A227">
        <v>63328</v>
      </c>
      <c r="B227">
        <v>116</v>
      </c>
      <c r="C227" s="453">
        <v>45992</v>
      </c>
      <c r="D227" t="s">
        <v>568</v>
      </c>
      <c r="E227">
        <v>18586</v>
      </c>
      <c r="F227" t="s">
        <v>4107</v>
      </c>
      <c r="G227">
        <v>0.5</v>
      </c>
      <c r="H227" t="s">
        <v>3888</v>
      </c>
      <c r="I227" t="s">
        <v>460</v>
      </c>
    </row>
    <row r="228" spans="1:9" x14ac:dyDescent="0.3">
      <c r="A228">
        <v>63329</v>
      </c>
      <c r="B228">
        <v>116</v>
      </c>
      <c r="C228" s="453">
        <v>45992</v>
      </c>
      <c r="D228" t="s">
        <v>568</v>
      </c>
      <c r="E228">
        <v>18528</v>
      </c>
      <c r="F228" t="s">
        <v>4108</v>
      </c>
      <c r="G228">
        <v>0.5</v>
      </c>
      <c r="H228" t="s">
        <v>3878</v>
      </c>
      <c r="I228" t="s">
        <v>460</v>
      </c>
    </row>
    <row r="229" spans="1:9" x14ac:dyDescent="0.3">
      <c r="A229">
        <v>63330</v>
      </c>
      <c r="B229">
        <v>116</v>
      </c>
      <c r="C229" s="453">
        <v>45992</v>
      </c>
      <c r="D229" t="s">
        <v>568</v>
      </c>
      <c r="E229">
        <v>19555</v>
      </c>
      <c r="F229" t="s">
        <v>4109</v>
      </c>
      <c r="G229">
        <v>0.3</v>
      </c>
      <c r="H229" t="s">
        <v>3892</v>
      </c>
      <c r="I229" t="s">
        <v>460</v>
      </c>
    </row>
    <row r="230" spans="1:9" x14ac:dyDescent="0.3">
      <c r="A230">
        <v>63331</v>
      </c>
      <c r="B230">
        <v>116</v>
      </c>
      <c r="C230" s="453">
        <v>45992</v>
      </c>
      <c r="D230" t="s">
        <v>568</v>
      </c>
      <c r="E230">
        <v>19617</v>
      </c>
      <c r="F230" t="s">
        <v>4110</v>
      </c>
      <c r="G230">
        <v>0.2</v>
      </c>
      <c r="H230" t="s">
        <v>3892</v>
      </c>
      <c r="I230" t="s">
        <v>460</v>
      </c>
    </row>
    <row r="231" spans="1:9" x14ac:dyDescent="0.3">
      <c r="A231">
        <v>63332</v>
      </c>
      <c r="B231">
        <v>116</v>
      </c>
      <c r="C231" s="453">
        <v>45992</v>
      </c>
      <c r="D231" t="s">
        <v>568</v>
      </c>
      <c r="E231">
        <v>23120</v>
      </c>
      <c r="F231" t="s">
        <v>4111</v>
      </c>
      <c r="G231">
        <v>0.2</v>
      </c>
      <c r="H231" t="s">
        <v>3892</v>
      </c>
      <c r="I231" t="s">
        <v>460</v>
      </c>
    </row>
    <row r="232" spans="1:9" x14ac:dyDescent="0.3">
      <c r="A232">
        <v>63333</v>
      </c>
      <c r="B232">
        <v>116</v>
      </c>
      <c r="C232" s="453">
        <v>45992</v>
      </c>
      <c r="D232" t="s">
        <v>568</v>
      </c>
      <c r="E232">
        <v>19506</v>
      </c>
      <c r="F232" t="s">
        <v>4112</v>
      </c>
      <c r="G232">
        <v>0.1</v>
      </c>
      <c r="H232" t="s">
        <v>3892</v>
      </c>
      <c r="I232" t="s">
        <v>460</v>
      </c>
    </row>
    <row r="233" spans="1:9" x14ac:dyDescent="0.3">
      <c r="A233">
        <v>63334</v>
      </c>
      <c r="B233">
        <v>116</v>
      </c>
      <c r="C233" s="453">
        <v>45992</v>
      </c>
      <c r="D233" t="s">
        <v>568</v>
      </c>
      <c r="E233">
        <v>19480</v>
      </c>
      <c r="F233" t="s">
        <v>4113</v>
      </c>
      <c r="G233">
        <v>0.1</v>
      </c>
      <c r="H233" t="s">
        <v>3892</v>
      </c>
      <c r="I233" t="s">
        <v>460</v>
      </c>
    </row>
    <row r="234" spans="1:9" x14ac:dyDescent="0.3">
      <c r="A234">
        <v>66961</v>
      </c>
      <c r="B234">
        <v>116</v>
      </c>
      <c r="C234" s="453">
        <v>46023</v>
      </c>
      <c r="D234" t="s">
        <v>568</v>
      </c>
      <c r="E234">
        <v>25767</v>
      </c>
      <c r="F234" t="s">
        <v>3976</v>
      </c>
      <c r="G234">
        <v>2.5</v>
      </c>
      <c r="H234" t="s">
        <v>3892</v>
      </c>
      <c r="I234" t="s">
        <v>461</v>
      </c>
    </row>
    <row r="235" spans="1:9" x14ac:dyDescent="0.3">
      <c r="A235">
        <v>66962</v>
      </c>
      <c r="B235">
        <v>116</v>
      </c>
      <c r="C235" s="453">
        <v>46023</v>
      </c>
      <c r="D235" t="s">
        <v>568</v>
      </c>
      <c r="E235">
        <v>21166</v>
      </c>
      <c r="F235" t="s">
        <v>4001</v>
      </c>
      <c r="G235">
        <v>1</v>
      </c>
      <c r="H235" t="s">
        <v>3872</v>
      </c>
      <c r="I235" t="s">
        <v>461</v>
      </c>
    </row>
    <row r="236" spans="1:9" x14ac:dyDescent="0.3">
      <c r="A236">
        <v>66963</v>
      </c>
      <c r="B236">
        <v>116</v>
      </c>
      <c r="C236" s="453">
        <v>46023</v>
      </c>
      <c r="D236" t="s">
        <v>568</v>
      </c>
      <c r="E236">
        <v>20304</v>
      </c>
      <c r="F236" t="s">
        <v>3938</v>
      </c>
      <c r="G236">
        <v>8</v>
      </c>
      <c r="H236" t="s">
        <v>3888</v>
      </c>
      <c r="I236" t="s">
        <v>461</v>
      </c>
    </row>
    <row r="237" spans="1:9" x14ac:dyDescent="0.3">
      <c r="A237">
        <v>66964</v>
      </c>
      <c r="B237">
        <v>116</v>
      </c>
      <c r="C237" s="453">
        <v>46023</v>
      </c>
      <c r="D237" t="s">
        <v>568</v>
      </c>
      <c r="E237">
        <v>20757</v>
      </c>
      <c r="F237" t="s">
        <v>4050</v>
      </c>
      <c r="G237">
        <v>1.5</v>
      </c>
      <c r="H237" t="s">
        <v>3966</v>
      </c>
      <c r="I237" t="s">
        <v>461</v>
      </c>
    </row>
    <row r="238" spans="1:9" x14ac:dyDescent="0.3">
      <c r="A238">
        <v>66965</v>
      </c>
      <c r="B238">
        <v>116</v>
      </c>
      <c r="C238" s="453">
        <v>46023</v>
      </c>
      <c r="D238" t="s">
        <v>568</v>
      </c>
      <c r="E238">
        <v>21093</v>
      </c>
      <c r="F238" t="s">
        <v>3903</v>
      </c>
      <c r="G238">
        <v>1</v>
      </c>
      <c r="H238" t="s">
        <v>3892</v>
      </c>
      <c r="I238" t="s">
        <v>461</v>
      </c>
    </row>
    <row r="239" spans="1:9" x14ac:dyDescent="0.3">
      <c r="A239">
        <v>66966</v>
      </c>
      <c r="B239">
        <v>116</v>
      </c>
      <c r="C239" s="453">
        <v>46023</v>
      </c>
      <c r="D239" t="s">
        <v>568</v>
      </c>
      <c r="E239">
        <v>21085</v>
      </c>
      <c r="F239" t="s">
        <v>4114</v>
      </c>
      <c r="G239">
        <v>1</v>
      </c>
      <c r="H239" t="s">
        <v>3881</v>
      </c>
      <c r="I239" t="s">
        <v>461</v>
      </c>
    </row>
    <row r="240" spans="1:9" x14ac:dyDescent="0.3">
      <c r="A240">
        <v>66967</v>
      </c>
      <c r="B240">
        <v>116</v>
      </c>
      <c r="C240" s="453">
        <v>46023</v>
      </c>
      <c r="D240" t="s">
        <v>568</v>
      </c>
      <c r="E240">
        <v>21126</v>
      </c>
      <c r="F240" t="s">
        <v>4004</v>
      </c>
      <c r="G240">
        <v>2</v>
      </c>
      <c r="H240" t="s">
        <v>3888</v>
      </c>
      <c r="I240" t="s">
        <v>461</v>
      </c>
    </row>
    <row r="241" spans="1:9" x14ac:dyDescent="0.3">
      <c r="A241">
        <v>66968</v>
      </c>
      <c r="B241">
        <v>116</v>
      </c>
      <c r="C241" s="453">
        <v>46023</v>
      </c>
      <c r="D241" t="s">
        <v>568</v>
      </c>
      <c r="E241">
        <v>20755</v>
      </c>
      <c r="F241" t="s">
        <v>4052</v>
      </c>
      <c r="G241">
        <v>0.5</v>
      </c>
      <c r="H241" t="s">
        <v>3966</v>
      </c>
      <c r="I241" t="s">
        <v>461</v>
      </c>
    </row>
    <row r="242" spans="1:9" x14ac:dyDescent="0.3">
      <c r="A242">
        <v>66969</v>
      </c>
      <c r="B242">
        <v>116</v>
      </c>
      <c r="C242" s="453">
        <v>46023</v>
      </c>
      <c r="D242" t="s">
        <v>568</v>
      </c>
      <c r="E242">
        <v>21123</v>
      </c>
      <c r="F242" t="s">
        <v>4115</v>
      </c>
      <c r="G242">
        <v>3</v>
      </c>
      <c r="H242" t="s">
        <v>3892</v>
      </c>
      <c r="I242" t="s">
        <v>461</v>
      </c>
    </row>
    <row r="243" spans="1:9" x14ac:dyDescent="0.3">
      <c r="A243">
        <v>66970</v>
      </c>
      <c r="B243">
        <v>116</v>
      </c>
      <c r="C243" s="453">
        <v>46023</v>
      </c>
      <c r="D243" t="s">
        <v>568</v>
      </c>
      <c r="E243">
        <v>23982</v>
      </c>
      <c r="F243" t="s">
        <v>3977</v>
      </c>
      <c r="G243">
        <v>1.5</v>
      </c>
      <c r="H243" t="s">
        <v>3978</v>
      </c>
      <c r="I243" t="s">
        <v>461</v>
      </c>
    </row>
    <row r="244" spans="1:9" x14ac:dyDescent="0.3">
      <c r="A244">
        <v>66971</v>
      </c>
      <c r="B244">
        <v>116</v>
      </c>
      <c r="C244" s="453">
        <v>46023</v>
      </c>
      <c r="D244" t="s">
        <v>568</v>
      </c>
      <c r="E244">
        <v>20729</v>
      </c>
      <c r="F244" t="s">
        <v>3965</v>
      </c>
      <c r="G244">
        <v>2</v>
      </c>
      <c r="H244" t="s">
        <v>3966</v>
      </c>
      <c r="I244" t="s">
        <v>461</v>
      </c>
    </row>
    <row r="245" spans="1:9" x14ac:dyDescent="0.3">
      <c r="A245">
        <v>66972</v>
      </c>
      <c r="B245">
        <v>116</v>
      </c>
      <c r="C245" s="453">
        <v>46023</v>
      </c>
      <c r="D245" t="s">
        <v>568</v>
      </c>
      <c r="E245">
        <v>20429</v>
      </c>
      <c r="F245" t="s">
        <v>4051</v>
      </c>
      <c r="G245">
        <v>1</v>
      </c>
      <c r="H245" t="s">
        <v>3872</v>
      </c>
      <c r="I245" t="s">
        <v>461</v>
      </c>
    </row>
    <row r="246" spans="1:9" x14ac:dyDescent="0.3">
      <c r="A246">
        <v>66973</v>
      </c>
      <c r="B246">
        <v>116</v>
      </c>
      <c r="C246" s="453">
        <v>46023</v>
      </c>
      <c r="D246" t="s">
        <v>568</v>
      </c>
      <c r="E246">
        <v>21030</v>
      </c>
      <c r="F246" t="s">
        <v>3890</v>
      </c>
      <c r="G246">
        <v>25</v>
      </c>
      <c r="H246" t="s">
        <v>3872</v>
      </c>
      <c r="I246" t="s">
        <v>461</v>
      </c>
    </row>
    <row r="247" spans="1:9" x14ac:dyDescent="0.3">
      <c r="A247">
        <v>66974</v>
      </c>
      <c r="B247">
        <v>116</v>
      </c>
      <c r="C247" s="453">
        <v>46023</v>
      </c>
      <c r="D247" t="s">
        <v>568</v>
      </c>
      <c r="E247">
        <v>21078</v>
      </c>
      <c r="F247" t="s">
        <v>4049</v>
      </c>
      <c r="G247">
        <v>1</v>
      </c>
      <c r="H247" t="s">
        <v>3881</v>
      </c>
      <c r="I247" t="s">
        <v>461</v>
      </c>
    </row>
    <row r="248" spans="1:9" x14ac:dyDescent="0.3">
      <c r="A248">
        <v>66975</v>
      </c>
      <c r="B248">
        <v>116</v>
      </c>
      <c r="C248" s="453">
        <v>46023</v>
      </c>
      <c r="D248" t="s">
        <v>568</v>
      </c>
      <c r="E248">
        <v>20752</v>
      </c>
      <c r="F248" t="s">
        <v>3964</v>
      </c>
      <c r="G248">
        <v>1.5</v>
      </c>
      <c r="H248" t="s">
        <v>3886</v>
      </c>
      <c r="I248" t="s">
        <v>461</v>
      </c>
    </row>
    <row r="249" spans="1:9" x14ac:dyDescent="0.3">
      <c r="A249">
        <v>67311</v>
      </c>
      <c r="B249">
        <v>116</v>
      </c>
      <c r="C249" s="453">
        <v>46023</v>
      </c>
      <c r="D249" t="s">
        <v>568</v>
      </c>
      <c r="E249">
        <v>20057</v>
      </c>
      <c r="F249" t="s">
        <v>3967</v>
      </c>
      <c r="G249">
        <v>3</v>
      </c>
      <c r="H249" t="s">
        <v>3872</v>
      </c>
      <c r="I249" t="s">
        <v>461</v>
      </c>
    </row>
    <row r="250" spans="1:9" x14ac:dyDescent="0.3">
      <c r="A250">
        <v>67312</v>
      </c>
      <c r="B250">
        <v>116</v>
      </c>
      <c r="C250" s="453">
        <v>46023</v>
      </c>
      <c r="D250" t="s">
        <v>568</v>
      </c>
      <c r="E250">
        <v>20077</v>
      </c>
      <c r="F250" t="s">
        <v>4054</v>
      </c>
      <c r="G250">
        <v>2</v>
      </c>
      <c r="H250" t="s">
        <v>3888</v>
      </c>
      <c r="I250" t="s">
        <v>461</v>
      </c>
    </row>
    <row r="251" spans="1:9" x14ac:dyDescent="0.3">
      <c r="A251">
        <v>67313</v>
      </c>
      <c r="B251">
        <v>116</v>
      </c>
      <c r="C251" s="453">
        <v>46023</v>
      </c>
      <c r="D251" t="s">
        <v>568</v>
      </c>
      <c r="E251">
        <v>20278</v>
      </c>
      <c r="F251" t="s">
        <v>3939</v>
      </c>
      <c r="G251">
        <v>2</v>
      </c>
      <c r="H251" t="s">
        <v>3872</v>
      </c>
      <c r="I251" t="s">
        <v>461</v>
      </c>
    </row>
    <row r="252" spans="1:9" x14ac:dyDescent="0.3">
      <c r="A252">
        <v>67314</v>
      </c>
      <c r="B252">
        <v>116</v>
      </c>
      <c r="C252" s="453">
        <v>46023</v>
      </c>
      <c r="D252" t="s">
        <v>568</v>
      </c>
      <c r="E252">
        <v>20809</v>
      </c>
      <c r="F252" t="s">
        <v>4005</v>
      </c>
      <c r="G252">
        <v>4</v>
      </c>
      <c r="H252" t="s">
        <v>3888</v>
      </c>
      <c r="I252" t="s">
        <v>461</v>
      </c>
    </row>
    <row r="253" spans="1:9" x14ac:dyDescent="0.3">
      <c r="A253">
        <v>67315</v>
      </c>
      <c r="B253">
        <v>116</v>
      </c>
      <c r="C253" s="453">
        <v>46023</v>
      </c>
      <c r="D253" t="s">
        <v>568</v>
      </c>
      <c r="E253">
        <v>21262</v>
      </c>
      <c r="F253" t="s">
        <v>4056</v>
      </c>
      <c r="G253">
        <v>1</v>
      </c>
      <c r="H253" t="s">
        <v>3892</v>
      </c>
      <c r="I253" t="s">
        <v>461</v>
      </c>
    </row>
    <row r="254" spans="1:9" x14ac:dyDescent="0.3">
      <c r="A254">
        <v>67316</v>
      </c>
      <c r="B254">
        <v>116</v>
      </c>
      <c r="C254" s="453">
        <v>46023</v>
      </c>
      <c r="D254" t="s">
        <v>568</v>
      </c>
      <c r="E254">
        <v>20287</v>
      </c>
      <c r="F254" t="s">
        <v>4053</v>
      </c>
      <c r="G254">
        <v>5</v>
      </c>
      <c r="H254" t="s">
        <v>3888</v>
      </c>
      <c r="I254" t="s">
        <v>461</v>
      </c>
    </row>
    <row r="255" spans="1:9" x14ac:dyDescent="0.3">
      <c r="A255">
        <v>67317</v>
      </c>
      <c r="B255">
        <v>116</v>
      </c>
      <c r="C255" s="453">
        <v>46023</v>
      </c>
      <c r="D255" t="s">
        <v>568</v>
      </c>
      <c r="E255">
        <v>23270</v>
      </c>
      <c r="F255" t="s">
        <v>4103</v>
      </c>
      <c r="G255">
        <v>0.5</v>
      </c>
      <c r="H255" t="s">
        <v>3892</v>
      </c>
      <c r="I255" t="s">
        <v>461</v>
      </c>
    </row>
    <row r="256" spans="1:9" x14ac:dyDescent="0.3">
      <c r="A256">
        <v>67318</v>
      </c>
      <c r="B256">
        <v>116</v>
      </c>
      <c r="C256" s="453">
        <v>46023</v>
      </c>
      <c r="D256" t="s">
        <v>568</v>
      </c>
      <c r="E256">
        <v>20500</v>
      </c>
      <c r="F256" t="s">
        <v>3954</v>
      </c>
      <c r="G256">
        <v>1</v>
      </c>
      <c r="H256" t="s">
        <v>3872</v>
      </c>
      <c r="I256" t="s">
        <v>461</v>
      </c>
    </row>
    <row r="257" spans="1:9" x14ac:dyDescent="0.3">
      <c r="A257">
        <v>67319</v>
      </c>
      <c r="B257">
        <v>116</v>
      </c>
      <c r="C257" s="453">
        <v>46023</v>
      </c>
      <c r="D257" t="s">
        <v>568</v>
      </c>
      <c r="E257">
        <v>20832</v>
      </c>
      <c r="F257" t="s">
        <v>4060</v>
      </c>
      <c r="G257">
        <v>1</v>
      </c>
      <c r="H257" t="s">
        <v>3886</v>
      </c>
      <c r="I257" t="s">
        <v>461</v>
      </c>
    </row>
    <row r="258" spans="1:9" x14ac:dyDescent="0.3">
      <c r="A258">
        <v>67320</v>
      </c>
      <c r="B258">
        <v>116</v>
      </c>
      <c r="C258" s="453">
        <v>46023</v>
      </c>
      <c r="D258" t="s">
        <v>568</v>
      </c>
      <c r="E258">
        <v>23500</v>
      </c>
      <c r="F258" t="s">
        <v>4116</v>
      </c>
      <c r="G258">
        <v>1.5</v>
      </c>
      <c r="H258" t="s">
        <v>3892</v>
      </c>
      <c r="I258" t="s">
        <v>461</v>
      </c>
    </row>
    <row r="259" spans="1:9" x14ac:dyDescent="0.3">
      <c r="A259">
        <v>67321</v>
      </c>
      <c r="B259">
        <v>116</v>
      </c>
      <c r="C259" s="453">
        <v>46023</v>
      </c>
      <c r="D259" t="s">
        <v>568</v>
      </c>
      <c r="E259">
        <v>20988</v>
      </c>
      <c r="F259" t="s">
        <v>4117</v>
      </c>
      <c r="G259">
        <v>33</v>
      </c>
      <c r="H259" t="s">
        <v>3931</v>
      </c>
      <c r="I259" t="s">
        <v>461</v>
      </c>
    </row>
    <row r="260" spans="1:9" x14ac:dyDescent="0.3">
      <c r="A260">
        <v>67322</v>
      </c>
      <c r="B260">
        <v>116</v>
      </c>
      <c r="C260" s="453">
        <v>46023</v>
      </c>
      <c r="D260" t="s">
        <v>568</v>
      </c>
      <c r="E260">
        <v>25195</v>
      </c>
      <c r="F260" t="s">
        <v>3874</v>
      </c>
      <c r="G260">
        <v>47</v>
      </c>
      <c r="H260" t="s">
        <v>3872</v>
      </c>
      <c r="I260" t="s">
        <v>461</v>
      </c>
    </row>
    <row r="261" spans="1:9" x14ac:dyDescent="0.3">
      <c r="A261">
        <v>67323</v>
      </c>
      <c r="B261">
        <v>116</v>
      </c>
      <c r="C261" s="453">
        <v>46023</v>
      </c>
      <c r="D261" t="s">
        <v>568</v>
      </c>
      <c r="E261">
        <v>20539</v>
      </c>
      <c r="F261" t="s">
        <v>3908</v>
      </c>
      <c r="G261">
        <v>13.9</v>
      </c>
      <c r="H261" t="s">
        <v>3892</v>
      </c>
      <c r="I261" t="s">
        <v>461</v>
      </c>
    </row>
    <row r="262" spans="1:9" x14ac:dyDescent="0.3">
      <c r="A262">
        <v>67324</v>
      </c>
      <c r="B262">
        <v>116</v>
      </c>
      <c r="C262" s="453">
        <v>46023</v>
      </c>
      <c r="D262" t="s">
        <v>568</v>
      </c>
      <c r="E262">
        <v>20395</v>
      </c>
      <c r="F262" t="s">
        <v>4057</v>
      </c>
      <c r="G262">
        <v>1</v>
      </c>
      <c r="H262" t="s">
        <v>3872</v>
      </c>
      <c r="I262" t="s">
        <v>461</v>
      </c>
    </row>
    <row r="263" spans="1:9" x14ac:dyDescent="0.3">
      <c r="A263">
        <v>67325</v>
      </c>
      <c r="B263">
        <v>116</v>
      </c>
      <c r="C263" s="453">
        <v>46023</v>
      </c>
      <c r="D263" t="s">
        <v>568</v>
      </c>
      <c r="E263">
        <v>19902</v>
      </c>
      <c r="F263" t="s">
        <v>3909</v>
      </c>
      <c r="G263">
        <v>1</v>
      </c>
      <c r="H263" t="s">
        <v>3881</v>
      </c>
      <c r="I263" t="s">
        <v>461</v>
      </c>
    </row>
    <row r="264" spans="1:9" x14ac:dyDescent="0.3">
      <c r="A264">
        <v>67326</v>
      </c>
      <c r="B264">
        <v>116</v>
      </c>
      <c r="C264" s="453">
        <v>46023</v>
      </c>
      <c r="D264" t="s">
        <v>568</v>
      </c>
      <c r="E264">
        <v>19916</v>
      </c>
      <c r="F264" t="s">
        <v>4118</v>
      </c>
      <c r="G264">
        <v>11</v>
      </c>
      <c r="H264" t="s">
        <v>3888</v>
      </c>
      <c r="I264" t="s">
        <v>461</v>
      </c>
    </row>
    <row r="265" spans="1:9" x14ac:dyDescent="0.3">
      <c r="A265">
        <v>67327</v>
      </c>
      <c r="B265">
        <v>116</v>
      </c>
      <c r="C265" s="453">
        <v>46023</v>
      </c>
      <c r="D265" t="s">
        <v>568</v>
      </c>
      <c r="E265">
        <v>20717</v>
      </c>
      <c r="F265" t="s">
        <v>4055</v>
      </c>
      <c r="G265">
        <v>1.5</v>
      </c>
      <c r="H265" t="s">
        <v>3872</v>
      </c>
      <c r="I265" t="s">
        <v>461</v>
      </c>
    </row>
    <row r="266" spans="1:9" x14ac:dyDescent="0.3">
      <c r="A266">
        <v>67328</v>
      </c>
      <c r="B266">
        <v>116</v>
      </c>
      <c r="C266" s="453">
        <v>46023</v>
      </c>
      <c r="D266" t="s">
        <v>568</v>
      </c>
      <c r="E266">
        <v>23739</v>
      </c>
      <c r="F266" t="s">
        <v>4119</v>
      </c>
      <c r="G266">
        <v>3.3</v>
      </c>
      <c r="H266" t="s">
        <v>3892</v>
      </c>
      <c r="I266" t="s">
        <v>461</v>
      </c>
    </row>
    <row r="267" spans="1:9" x14ac:dyDescent="0.3">
      <c r="A267">
        <v>67329</v>
      </c>
      <c r="B267">
        <v>116</v>
      </c>
      <c r="C267" s="453">
        <v>46023</v>
      </c>
      <c r="D267" t="s">
        <v>568</v>
      </c>
      <c r="E267">
        <v>23145</v>
      </c>
      <c r="F267" t="s">
        <v>4101</v>
      </c>
      <c r="G267">
        <v>0.9</v>
      </c>
      <c r="H267" t="s">
        <v>3892</v>
      </c>
      <c r="I267" t="s">
        <v>461</v>
      </c>
    </row>
    <row r="268" spans="1:9" x14ac:dyDescent="0.3">
      <c r="A268">
        <v>67330</v>
      </c>
      <c r="B268">
        <v>116</v>
      </c>
      <c r="C268" s="453">
        <v>46023</v>
      </c>
      <c r="D268" t="s">
        <v>568</v>
      </c>
      <c r="E268">
        <v>20555</v>
      </c>
      <c r="F268" t="s">
        <v>3959</v>
      </c>
      <c r="G268">
        <v>0.9</v>
      </c>
      <c r="H268" t="s">
        <v>3892</v>
      </c>
      <c r="I268" t="s">
        <v>461</v>
      </c>
    </row>
    <row r="269" spans="1:9" x14ac:dyDescent="0.3">
      <c r="A269">
        <v>67331</v>
      </c>
      <c r="B269">
        <v>116</v>
      </c>
      <c r="C269" s="453">
        <v>46023</v>
      </c>
      <c r="D269" t="s">
        <v>568</v>
      </c>
      <c r="E269">
        <v>20242</v>
      </c>
      <c r="F269" t="s">
        <v>4120</v>
      </c>
      <c r="G269">
        <v>9</v>
      </c>
      <c r="H269" t="s">
        <v>3888</v>
      </c>
      <c r="I269" t="s">
        <v>461</v>
      </c>
    </row>
    <row r="270" spans="1:9" x14ac:dyDescent="0.3">
      <c r="A270">
        <v>67332</v>
      </c>
      <c r="B270">
        <v>116</v>
      </c>
      <c r="C270" s="453">
        <v>46023</v>
      </c>
      <c r="D270" t="s">
        <v>568</v>
      </c>
      <c r="E270">
        <v>20250</v>
      </c>
      <c r="F270" t="s">
        <v>4008</v>
      </c>
      <c r="G270">
        <v>1</v>
      </c>
      <c r="H270" t="s">
        <v>3888</v>
      </c>
      <c r="I270" t="s">
        <v>461</v>
      </c>
    </row>
    <row r="271" spans="1:9" x14ac:dyDescent="0.3">
      <c r="A271">
        <v>67333</v>
      </c>
      <c r="B271">
        <v>116</v>
      </c>
      <c r="C271" s="453">
        <v>46023</v>
      </c>
      <c r="D271" t="s">
        <v>568</v>
      </c>
      <c r="E271">
        <v>19649</v>
      </c>
      <c r="F271" t="s">
        <v>4015</v>
      </c>
      <c r="G271">
        <v>2.5</v>
      </c>
      <c r="H271" t="s">
        <v>3892</v>
      </c>
      <c r="I271" t="s">
        <v>461</v>
      </c>
    </row>
    <row r="272" spans="1:9" x14ac:dyDescent="0.3">
      <c r="A272">
        <v>67334</v>
      </c>
      <c r="B272">
        <v>116</v>
      </c>
      <c r="C272" s="453">
        <v>46023</v>
      </c>
      <c r="D272" t="s">
        <v>568</v>
      </c>
      <c r="E272">
        <v>20702</v>
      </c>
      <c r="F272" t="s">
        <v>4006</v>
      </c>
      <c r="G272">
        <v>2</v>
      </c>
      <c r="H272" t="s">
        <v>3966</v>
      </c>
      <c r="I272" t="s">
        <v>461</v>
      </c>
    </row>
    <row r="273" spans="1:9" x14ac:dyDescent="0.3">
      <c r="A273">
        <v>67335</v>
      </c>
      <c r="B273">
        <v>116</v>
      </c>
      <c r="C273" s="453">
        <v>46023</v>
      </c>
      <c r="D273" t="s">
        <v>568</v>
      </c>
      <c r="E273">
        <v>19984</v>
      </c>
      <c r="F273" t="s">
        <v>3904</v>
      </c>
      <c r="G273">
        <v>13</v>
      </c>
      <c r="H273" t="s">
        <v>3872</v>
      </c>
      <c r="I273" t="s">
        <v>461</v>
      </c>
    </row>
    <row r="274" spans="1:9" x14ac:dyDescent="0.3">
      <c r="A274">
        <v>67336</v>
      </c>
      <c r="B274">
        <v>116</v>
      </c>
      <c r="C274" s="453">
        <v>46023</v>
      </c>
      <c r="D274" t="s">
        <v>568</v>
      </c>
      <c r="E274">
        <v>23852</v>
      </c>
      <c r="F274" t="s">
        <v>4061</v>
      </c>
      <c r="G274">
        <v>1</v>
      </c>
      <c r="H274" t="s">
        <v>3892</v>
      </c>
      <c r="I274" t="s">
        <v>461</v>
      </c>
    </row>
    <row r="275" spans="1:9" x14ac:dyDescent="0.3">
      <c r="A275">
        <v>67337</v>
      </c>
      <c r="B275">
        <v>116</v>
      </c>
      <c r="C275" s="453">
        <v>46023</v>
      </c>
      <c r="D275" t="s">
        <v>568</v>
      </c>
      <c r="E275">
        <v>20458</v>
      </c>
      <c r="F275" t="s">
        <v>4121</v>
      </c>
      <c r="G275">
        <v>3.8</v>
      </c>
      <c r="H275" t="s">
        <v>3892</v>
      </c>
      <c r="I275" t="s">
        <v>461</v>
      </c>
    </row>
    <row r="276" spans="1:9" x14ac:dyDescent="0.3">
      <c r="A276">
        <v>67338</v>
      </c>
      <c r="B276">
        <v>116</v>
      </c>
      <c r="C276" s="453">
        <v>46023</v>
      </c>
      <c r="D276" t="s">
        <v>568</v>
      </c>
      <c r="E276">
        <v>20685</v>
      </c>
      <c r="F276" t="s">
        <v>4122</v>
      </c>
      <c r="G276">
        <v>12</v>
      </c>
      <c r="H276" t="s">
        <v>3872</v>
      </c>
      <c r="I276" t="s">
        <v>461</v>
      </c>
    </row>
    <row r="277" spans="1:9" x14ac:dyDescent="0.3">
      <c r="A277">
        <v>67339</v>
      </c>
      <c r="B277">
        <v>116</v>
      </c>
      <c r="C277" s="453">
        <v>46023</v>
      </c>
      <c r="D277" t="s">
        <v>568</v>
      </c>
      <c r="E277">
        <v>24185</v>
      </c>
      <c r="F277" t="s">
        <v>4040</v>
      </c>
      <c r="G277">
        <v>2</v>
      </c>
      <c r="H277" t="s">
        <v>3892</v>
      </c>
      <c r="I277" t="s">
        <v>461</v>
      </c>
    </row>
    <row r="278" spans="1:9" x14ac:dyDescent="0.3">
      <c r="A278">
        <v>67340</v>
      </c>
      <c r="B278">
        <v>116</v>
      </c>
      <c r="C278" s="453">
        <v>46023</v>
      </c>
      <c r="D278" t="s">
        <v>568</v>
      </c>
      <c r="E278">
        <v>23515</v>
      </c>
      <c r="F278" t="s">
        <v>3980</v>
      </c>
      <c r="G278">
        <v>3</v>
      </c>
      <c r="H278" t="s">
        <v>3872</v>
      </c>
      <c r="I278" t="s">
        <v>461</v>
      </c>
    </row>
    <row r="279" spans="1:9" x14ac:dyDescent="0.3">
      <c r="A279">
        <v>67341</v>
      </c>
      <c r="B279">
        <v>116</v>
      </c>
      <c r="C279" s="453">
        <v>46023</v>
      </c>
      <c r="D279" t="s">
        <v>568</v>
      </c>
      <c r="E279">
        <v>20231</v>
      </c>
      <c r="F279" t="s">
        <v>4123</v>
      </c>
      <c r="G279">
        <v>2</v>
      </c>
      <c r="H279" t="s">
        <v>3888</v>
      </c>
      <c r="I279" t="s">
        <v>461</v>
      </c>
    </row>
    <row r="280" spans="1:9" x14ac:dyDescent="0.3">
      <c r="A280">
        <v>67342</v>
      </c>
      <c r="B280">
        <v>116</v>
      </c>
      <c r="C280" s="453">
        <v>46023</v>
      </c>
      <c r="D280" t="s">
        <v>568</v>
      </c>
      <c r="E280">
        <v>26193</v>
      </c>
      <c r="F280" t="s">
        <v>3950</v>
      </c>
      <c r="G280">
        <v>6</v>
      </c>
      <c r="H280" t="s">
        <v>3872</v>
      </c>
      <c r="I280" t="s">
        <v>461</v>
      </c>
    </row>
    <row r="281" spans="1:9" x14ac:dyDescent="0.3">
      <c r="A281">
        <v>67343</v>
      </c>
      <c r="B281">
        <v>116</v>
      </c>
      <c r="C281" s="453">
        <v>46023</v>
      </c>
      <c r="D281" t="s">
        <v>568</v>
      </c>
      <c r="E281">
        <v>20682</v>
      </c>
      <c r="F281" t="s">
        <v>3929</v>
      </c>
      <c r="G281">
        <v>18</v>
      </c>
      <c r="H281" t="s">
        <v>3872</v>
      </c>
      <c r="I281" t="s">
        <v>461</v>
      </c>
    </row>
    <row r="282" spans="1:9" x14ac:dyDescent="0.3">
      <c r="A282">
        <v>67344</v>
      </c>
      <c r="B282">
        <v>116</v>
      </c>
      <c r="C282" s="453">
        <v>46023</v>
      </c>
      <c r="D282" t="s">
        <v>568</v>
      </c>
      <c r="E282">
        <v>20610</v>
      </c>
      <c r="F282" t="s">
        <v>4064</v>
      </c>
      <c r="G282">
        <v>2</v>
      </c>
      <c r="H282" t="s">
        <v>3884</v>
      </c>
      <c r="I282" t="s">
        <v>461</v>
      </c>
    </row>
    <row r="283" spans="1:9" x14ac:dyDescent="0.3">
      <c r="A283">
        <v>67345</v>
      </c>
      <c r="B283">
        <v>116</v>
      </c>
      <c r="C283" s="453">
        <v>46023</v>
      </c>
      <c r="D283" t="s">
        <v>568</v>
      </c>
      <c r="E283">
        <v>20949</v>
      </c>
      <c r="F283" t="s">
        <v>3983</v>
      </c>
      <c r="G283">
        <v>7</v>
      </c>
      <c r="H283" t="s">
        <v>3878</v>
      </c>
      <c r="I283" t="s">
        <v>461</v>
      </c>
    </row>
    <row r="284" spans="1:9" x14ac:dyDescent="0.3">
      <c r="A284">
        <v>67346</v>
      </c>
      <c r="B284">
        <v>116</v>
      </c>
      <c r="C284" s="453">
        <v>46023</v>
      </c>
      <c r="D284" t="s">
        <v>568</v>
      </c>
      <c r="E284">
        <v>23146</v>
      </c>
      <c r="F284" t="s">
        <v>4112</v>
      </c>
      <c r="G284">
        <v>0.15</v>
      </c>
      <c r="H284" t="s">
        <v>3892</v>
      </c>
      <c r="I284" t="s">
        <v>461</v>
      </c>
    </row>
    <row r="285" spans="1:9" x14ac:dyDescent="0.3">
      <c r="A285">
        <v>67347</v>
      </c>
      <c r="B285">
        <v>116</v>
      </c>
      <c r="C285" s="453">
        <v>46023</v>
      </c>
      <c r="D285" t="s">
        <v>568</v>
      </c>
      <c r="E285">
        <v>23505</v>
      </c>
      <c r="F285" t="s">
        <v>4124</v>
      </c>
      <c r="G285">
        <v>0.5</v>
      </c>
      <c r="H285" t="s">
        <v>3892</v>
      </c>
      <c r="I285" t="s">
        <v>461</v>
      </c>
    </row>
    <row r="286" spans="1:9" x14ac:dyDescent="0.3">
      <c r="A286">
        <v>67348</v>
      </c>
      <c r="B286">
        <v>116</v>
      </c>
      <c r="C286" s="453">
        <v>46023</v>
      </c>
      <c r="D286" t="s">
        <v>568</v>
      </c>
      <c r="E286">
        <v>20358</v>
      </c>
      <c r="F286" t="s">
        <v>3952</v>
      </c>
      <c r="G286">
        <v>8</v>
      </c>
      <c r="H286" t="s">
        <v>3888</v>
      </c>
      <c r="I286" t="s">
        <v>461</v>
      </c>
    </row>
    <row r="287" spans="1:9" x14ac:dyDescent="0.3">
      <c r="A287">
        <v>67349</v>
      </c>
      <c r="B287">
        <v>116</v>
      </c>
      <c r="C287" s="453">
        <v>46023</v>
      </c>
      <c r="D287" t="s">
        <v>568</v>
      </c>
      <c r="E287">
        <v>20326</v>
      </c>
      <c r="F287" t="s">
        <v>3953</v>
      </c>
      <c r="G287">
        <v>5</v>
      </c>
      <c r="H287" t="s">
        <v>3892</v>
      </c>
      <c r="I287" t="s">
        <v>461</v>
      </c>
    </row>
    <row r="288" spans="1:9" x14ac:dyDescent="0.3">
      <c r="A288">
        <v>67350</v>
      </c>
      <c r="B288">
        <v>116</v>
      </c>
      <c r="C288" s="453">
        <v>46023</v>
      </c>
      <c r="D288" t="s">
        <v>568</v>
      </c>
      <c r="E288">
        <v>27711</v>
      </c>
      <c r="F288" t="s">
        <v>3913</v>
      </c>
      <c r="G288">
        <v>3</v>
      </c>
      <c r="H288" t="s">
        <v>3872</v>
      </c>
      <c r="I288" t="s">
        <v>461</v>
      </c>
    </row>
    <row r="289" spans="1:9" x14ac:dyDescent="0.3">
      <c r="A289">
        <v>67351</v>
      </c>
      <c r="B289">
        <v>116</v>
      </c>
      <c r="C289" s="453">
        <v>46023</v>
      </c>
      <c r="D289" t="s">
        <v>568</v>
      </c>
      <c r="E289">
        <v>19498</v>
      </c>
      <c r="F289" t="s">
        <v>4065</v>
      </c>
      <c r="G289">
        <v>0.75</v>
      </c>
      <c r="H289" t="s">
        <v>3892</v>
      </c>
      <c r="I289" t="s">
        <v>461</v>
      </c>
    </row>
    <row r="290" spans="1:9" x14ac:dyDescent="0.3">
      <c r="A290">
        <v>67352</v>
      </c>
      <c r="B290">
        <v>116</v>
      </c>
      <c r="C290" s="453">
        <v>46023</v>
      </c>
      <c r="D290" t="s">
        <v>568</v>
      </c>
      <c r="E290">
        <v>20007</v>
      </c>
      <c r="F290" t="s">
        <v>4009</v>
      </c>
      <c r="G290">
        <v>3</v>
      </c>
      <c r="H290" t="s">
        <v>3966</v>
      </c>
      <c r="I290" t="s">
        <v>461</v>
      </c>
    </row>
    <row r="291" spans="1:9" x14ac:dyDescent="0.3">
      <c r="A291">
        <v>67353</v>
      </c>
      <c r="B291">
        <v>116</v>
      </c>
      <c r="C291" s="453">
        <v>46023</v>
      </c>
      <c r="D291" t="s">
        <v>568</v>
      </c>
      <c r="E291">
        <v>19973</v>
      </c>
      <c r="F291" t="s">
        <v>3981</v>
      </c>
      <c r="G291">
        <v>3</v>
      </c>
      <c r="H291" t="s">
        <v>3872</v>
      </c>
      <c r="I291" t="s">
        <v>461</v>
      </c>
    </row>
    <row r="292" spans="1:9" x14ac:dyDescent="0.3">
      <c r="A292">
        <v>67354</v>
      </c>
      <c r="B292">
        <v>116</v>
      </c>
      <c r="C292" s="453">
        <v>46023</v>
      </c>
      <c r="D292" t="s">
        <v>568</v>
      </c>
      <c r="E292">
        <v>25720</v>
      </c>
      <c r="F292" t="s">
        <v>3926</v>
      </c>
      <c r="G292">
        <v>12</v>
      </c>
      <c r="H292" t="s">
        <v>3892</v>
      </c>
      <c r="I292" t="s">
        <v>461</v>
      </c>
    </row>
    <row r="293" spans="1:9" x14ac:dyDescent="0.3">
      <c r="A293">
        <v>67355</v>
      </c>
      <c r="B293">
        <v>116</v>
      </c>
      <c r="C293" s="453">
        <v>46023</v>
      </c>
      <c r="D293" t="s">
        <v>568</v>
      </c>
      <c r="E293">
        <v>23760</v>
      </c>
      <c r="F293" t="s">
        <v>4007</v>
      </c>
      <c r="G293">
        <v>10</v>
      </c>
      <c r="H293" t="s">
        <v>3892</v>
      </c>
      <c r="I293" t="s">
        <v>461</v>
      </c>
    </row>
    <row r="294" spans="1:9" x14ac:dyDescent="0.3">
      <c r="A294">
        <v>67356</v>
      </c>
      <c r="B294">
        <v>116</v>
      </c>
      <c r="C294" s="453">
        <v>46023</v>
      </c>
      <c r="D294" t="s">
        <v>568</v>
      </c>
      <c r="E294">
        <v>20227</v>
      </c>
      <c r="F294" t="s">
        <v>3968</v>
      </c>
      <c r="G294">
        <v>13</v>
      </c>
      <c r="H294" t="s">
        <v>3888</v>
      </c>
      <c r="I294" t="s">
        <v>461</v>
      </c>
    </row>
    <row r="295" spans="1:9" x14ac:dyDescent="0.3">
      <c r="A295">
        <v>67357</v>
      </c>
      <c r="B295">
        <v>116</v>
      </c>
      <c r="C295" s="453">
        <v>46023</v>
      </c>
      <c r="D295" t="s">
        <v>568</v>
      </c>
      <c r="E295">
        <v>25196</v>
      </c>
      <c r="F295" t="s">
        <v>3873</v>
      </c>
      <c r="G295">
        <v>79</v>
      </c>
      <c r="H295" t="s">
        <v>3872</v>
      </c>
      <c r="I295" t="s">
        <v>461</v>
      </c>
    </row>
    <row r="296" spans="1:9" x14ac:dyDescent="0.3">
      <c r="A296">
        <v>67358</v>
      </c>
      <c r="B296">
        <v>116</v>
      </c>
      <c r="C296" s="453">
        <v>46023</v>
      </c>
      <c r="D296" t="s">
        <v>568</v>
      </c>
      <c r="E296">
        <v>20117</v>
      </c>
      <c r="F296" t="s">
        <v>4010</v>
      </c>
      <c r="G296">
        <v>1</v>
      </c>
      <c r="H296" t="s">
        <v>3872</v>
      </c>
      <c r="I296" t="s">
        <v>461</v>
      </c>
    </row>
    <row r="297" spans="1:9" x14ac:dyDescent="0.3">
      <c r="A297">
        <v>67359</v>
      </c>
      <c r="B297">
        <v>116</v>
      </c>
      <c r="C297" s="453">
        <v>46023</v>
      </c>
      <c r="D297" t="s">
        <v>568</v>
      </c>
      <c r="E297">
        <v>24351</v>
      </c>
      <c r="F297" t="s">
        <v>3912</v>
      </c>
      <c r="G297">
        <v>16.5</v>
      </c>
      <c r="H297" t="s">
        <v>3872</v>
      </c>
      <c r="I297" t="s">
        <v>461</v>
      </c>
    </row>
    <row r="298" spans="1:9" x14ac:dyDescent="0.3">
      <c r="A298">
        <v>67360</v>
      </c>
      <c r="B298">
        <v>116</v>
      </c>
      <c r="C298" s="453">
        <v>46023</v>
      </c>
      <c r="D298" t="s">
        <v>568</v>
      </c>
      <c r="E298">
        <v>20985</v>
      </c>
      <c r="F298" t="s">
        <v>3914</v>
      </c>
      <c r="G298">
        <v>12</v>
      </c>
      <c r="H298" t="s">
        <v>3872</v>
      </c>
      <c r="I298" t="s">
        <v>461</v>
      </c>
    </row>
    <row r="299" spans="1:9" x14ac:dyDescent="0.3">
      <c r="A299">
        <v>67361</v>
      </c>
      <c r="B299">
        <v>116</v>
      </c>
      <c r="C299" s="453">
        <v>46023</v>
      </c>
      <c r="D299" t="s">
        <v>568</v>
      </c>
      <c r="E299">
        <v>20519</v>
      </c>
      <c r="F299" t="s">
        <v>3902</v>
      </c>
      <c r="G299">
        <v>23.7</v>
      </c>
      <c r="H299" t="s">
        <v>3892</v>
      </c>
      <c r="I299" t="s">
        <v>461</v>
      </c>
    </row>
    <row r="300" spans="1:9" x14ac:dyDescent="0.3">
      <c r="A300">
        <v>67362</v>
      </c>
      <c r="B300">
        <v>116</v>
      </c>
      <c r="C300" s="453">
        <v>46023</v>
      </c>
      <c r="D300" t="s">
        <v>568</v>
      </c>
      <c r="E300">
        <v>19917</v>
      </c>
      <c r="F300" t="s">
        <v>3920</v>
      </c>
      <c r="G300">
        <v>12</v>
      </c>
      <c r="H300" t="s">
        <v>3888</v>
      </c>
      <c r="I300" t="s">
        <v>461</v>
      </c>
    </row>
    <row r="301" spans="1:9" x14ac:dyDescent="0.3">
      <c r="A301">
        <v>67363</v>
      </c>
      <c r="B301">
        <v>116</v>
      </c>
      <c r="C301" s="453">
        <v>46023</v>
      </c>
      <c r="D301" t="s">
        <v>568</v>
      </c>
      <c r="E301">
        <v>20457</v>
      </c>
      <c r="F301" t="s">
        <v>3999</v>
      </c>
      <c r="G301">
        <v>2.1</v>
      </c>
      <c r="H301" t="s">
        <v>3892</v>
      </c>
      <c r="I301" t="s">
        <v>461</v>
      </c>
    </row>
    <row r="302" spans="1:9" x14ac:dyDescent="0.3">
      <c r="A302">
        <v>67364</v>
      </c>
      <c r="B302">
        <v>116</v>
      </c>
      <c r="C302" s="453">
        <v>46023</v>
      </c>
      <c r="D302" t="s">
        <v>568</v>
      </c>
      <c r="E302">
        <v>24037</v>
      </c>
      <c r="F302" t="s">
        <v>4104</v>
      </c>
      <c r="G302">
        <v>0.7</v>
      </c>
      <c r="H302" t="s">
        <v>3892</v>
      </c>
      <c r="I302" t="s">
        <v>461</v>
      </c>
    </row>
    <row r="303" spans="1:9" x14ac:dyDescent="0.3">
      <c r="A303">
        <v>67365</v>
      </c>
      <c r="B303">
        <v>116</v>
      </c>
      <c r="C303" s="453">
        <v>46023</v>
      </c>
      <c r="D303" t="s">
        <v>568</v>
      </c>
      <c r="E303">
        <v>20621</v>
      </c>
      <c r="F303" t="s">
        <v>3885</v>
      </c>
      <c r="G303">
        <v>5</v>
      </c>
      <c r="H303" t="s">
        <v>3886</v>
      </c>
      <c r="I303" t="s">
        <v>461</v>
      </c>
    </row>
    <row r="304" spans="1:9" x14ac:dyDescent="0.3">
      <c r="A304">
        <v>67366</v>
      </c>
      <c r="B304">
        <v>116</v>
      </c>
      <c r="C304" s="453">
        <v>46023</v>
      </c>
      <c r="D304" t="s">
        <v>568</v>
      </c>
      <c r="E304">
        <v>20624</v>
      </c>
      <c r="F304" t="s">
        <v>3982</v>
      </c>
      <c r="G304">
        <v>1.5</v>
      </c>
      <c r="H304" t="s">
        <v>3966</v>
      </c>
      <c r="I304" t="s">
        <v>461</v>
      </c>
    </row>
    <row r="305" spans="1:9" x14ac:dyDescent="0.3">
      <c r="A305">
        <v>67367</v>
      </c>
      <c r="B305">
        <v>116</v>
      </c>
      <c r="C305" s="453">
        <v>46023</v>
      </c>
      <c r="D305" t="s">
        <v>568</v>
      </c>
      <c r="E305">
        <v>23897</v>
      </c>
      <c r="F305" t="s">
        <v>4058</v>
      </c>
      <c r="G305">
        <v>2</v>
      </c>
      <c r="H305" t="s">
        <v>3872</v>
      </c>
      <c r="I305" t="s">
        <v>461</v>
      </c>
    </row>
    <row r="306" spans="1:9" x14ac:dyDescent="0.3">
      <c r="A306">
        <v>67368</v>
      </c>
      <c r="B306">
        <v>116</v>
      </c>
      <c r="C306" s="453">
        <v>46023</v>
      </c>
      <c r="D306" t="s">
        <v>568</v>
      </c>
      <c r="E306">
        <v>20703</v>
      </c>
      <c r="F306" t="s">
        <v>3893</v>
      </c>
      <c r="G306">
        <v>22</v>
      </c>
      <c r="H306" t="s">
        <v>3886</v>
      </c>
      <c r="I306" t="s">
        <v>461</v>
      </c>
    </row>
    <row r="307" spans="1:9" x14ac:dyDescent="0.3">
      <c r="A307">
        <v>67369</v>
      </c>
      <c r="B307">
        <v>116</v>
      </c>
      <c r="C307" s="453">
        <v>46023</v>
      </c>
      <c r="D307" t="s">
        <v>568</v>
      </c>
      <c r="E307">
        <v>25768</v>
      </c>
      <c r="F307" t="s">
        <v>4012</v>
      </c>
      <c r="G307">
        <v>5</v>
      </c>
      <c r="H307" t="s">
        <v>3892</v>
      </c>
      <c r="I307" t="s">
        <v>461</v>
      </c>
    </row>
    <row r="308" spans="1:9" x14ac:dyDescent="0.3">
      <c r="A308">
        <v>67370</v>
      </c>
      <c r="B308">
        <v>116</v>
      </c>
      <c r="C308" s="453">
        <v>46023</v>
      </c>
      <c r="D308" t="s">
        <v>568</v>
      </c>
      <c r="E308">
        <v>25769</v>
      </c>
      <c r="F308" t="s">
        <v>4013</v>
      </c>
      <c r="G308">
        <v>2</v>
      </c>
      <c r="H308" t="s">
        <v>3892</v>
      </c>
      <c r="I308" t="s">
        <v>461</v>
      </c>
    </row>
    <row r="309" spans="1:9" x14ac:dyDescent="0.3">
      <c r="A309">
        <v>67371</v>
      </c>
      <c r="B309">
        <v>116</v>
      </c>
      <c r="C309" s="453">
        <v>46023</v>
      </c>
      <c r="D309" t="s">
        <v>568</v>
      </c>
      <c r="E309">
        <v>23393</v>
      </c>
      <c r="F309" t="s">
        <v>3940</v>
      </c>
      <c r="G309">
        <v>4.9000000000000004</v>
      </c>
      <c r="H309" t="s">
        <v>3892</v>
      </c>
      <c r="I309" t="s">
        <v>461</v>
      </c>
    </row>
    <row r="310" spans="1:9" x14ac:dyDescent="0.3">
      <c r="A310">
        <v>67372</v>
      </c>
      <c r="B310">
        <v>116</v>
      </c>
      <c r="C310" s="453">
        <v>46023</v>
      </c>
      <c r="D310" t="s">
        <v>568</v>
      </c>
      <c r="E310">
        <v>20213</v>
      </c>
      <c r="F310" t="s">
        <v>4059</v>
      </c>
      <c r="G310">
        <v>1</v>
      </c>
      <c r="H310" t="s">
        <v>3888</v>
      </c>
      <c r="I310" t="s">
        <v>461</v>
      </c>
    </row>
    <row r="311" spans="1:9" x14ac:dyDescent="0.3">
      <c r="A311">
        <v>67373</v>
      </c>
      <c r="B311">
        <v>116</v>
      </c>
      <c r="C311" s="453">
        <v>46023</v>
      </c>
      <c r="D311" t="s">
        <v>568</v>
      </c>
      <c r="E311">
        <v>23274</v>
      </c>
      <c r="F311" t="s">
        <v>4014</v>
      </c>
      <c r="G311">
        <v>1</v>
      </c>
      <c r="H311" t="s">
        <v>3892</v>
      </c>
      <c r="I311" t="s">
        <v>461</v>
      </c>
    </row>
    <row r="312" spans="1:9" x14ac:dyDescent="0.3">
      <c r="A312">
        <v>67374</v>
      </c>
      <c r="B312">
        <v>116</v>
      </c>
      <c r="C312" s="453">
        <v>46023</v>
      </c>
      <c r="D312" t="s">
        <v>568</v>
      </c>
      <c r="E312">
        <v>24331</v>
      </c>
      <c r="F312" t="s">
        <v>3960</v>
      </c>
      <c r="G312">
        <v>5.9</v>
      </c>
      <c r="H312" t="s">
        <v>3892</v>
      </c>
      <c r="I312" t="s">
        <v>461</v>
      </c>
    </row>
    <row r="313" spans="1:9" x14ac:dyDescent="0.3">
      <c r="A313">
        <v>67375</v>
      </c>
      <c r="B313">
        <v>116</v>
      </c>
      <c r="C313" s="453">
        <v>46023</v>
      </c>
      <c r="D313" t="s">
        <v>568</v>
      </c>
      <c r="E313">
        <v>19932</v>
      </c>
      <c r="F313" t="s">
        <v>4011</v>
      </c>
      <c r="G313">
        <v>0.7</v>
      </c>
      <c r="H313" t="s">
        <v>3872</v>
      </c>
      <c r="I313" t="s">
        <v>461</v>
      </c>
    </row>
    <row r="314" spans="1:9" x14ac:dyDescent="0.3">
      <c r="A314">
        <v>67376</v>
      </c>
      <c r="B314">
        <v>116</v>
      </c>
      <c r="C314" s="453">
        <v>46023</v>
      </c>
      <c r="D314" t="s">
        <v>568</v>
      </c>
      <c r="E314">
        <v>20466</v>
      </c>
      <c r="F314" t="s">
        <v>4098</v>
      </c>
      <c r="G314">
        <v>1.4</v>
      </c>
      <c r="H314" t="s">
        <v>3892</v>
      </c>
      <c r="I314" t="s">
        <v>461</v>
      </c>
    </row>
    <row r="315" spans="1:9" x14ac:dyDescent="0.3">
      <c r="A315">
        <v>67377</v>
      </c>
      <c r="B315">
        <v>116</v>
      </c>
      <c r="C315" s="453">
        <v>46023</v>
      </c>
      <c r="D315" t="s">
        <v>568</v>
      </c>
      <c r="E315">
        <v>20456</v>
      </c>
      <c r="F315" t="s">
        <v>4000</v>
      </c>
      <c r="G315">
        <v>2.8</v>
      </c>
      <c r="H315" t="s">
        <v>3892</v>
      </c>
      <c r="I315" t="s">
        <v>461</v>
      </c>
    </row>
    <row r="316" spans="1:9" x14ac:dyDescent="0.3">
      <c r="A316">
        <v>67378</v>
      </c>
      <c r="B316">
        <v>116</v>
      </c>
      <c r="C316" s="453">
        <v>46023</v>
      </c>
      <c r="D316" t="s">
        <v>568</v>
      </c>
      <c r="E316">
        <v>19647</v>
      </c>
      <c r="F316" t="s">
        <v>4066</v>
      </c>
      <c r="G316">
        <v>1.1000000000000001</v>
      </c>
      <c r="H316" t="s">
        <v>3892</v>
      </c>
      <c r="I316" t="s">
        <v>461</v>
      </c>
    </row>
    <row r="317" spans="1:9" x14ac:dyDescent="0.3">
      <c r="A317">
        <v>67379</v>
      </c>
      <c r="B317">
        <v>116</v>
      </c>
      <c r="C317" s="453">
        <v>46023</v>
      </c>
      <c r="D317" t="s">
        <v>568</v>
      </c>
      <c r="E317">
        <v>24392</v>
      </c>
      <c r="F317" t="s">
        <v>4041</v>
      </c>
      <c r="G317">
        <v>0.5</v>
      </c>
      <c r="H317" t="s">
        <v>3892</v>
      </c>
      <c r="I317" t="s">
        <v>461</v>
      </c>
    </row>
    <row r="318" spans="1:9" x14ac:dyDescent="0.3">
      <c r="A318">
        <v>67380</v>
      </c>
      <c r="B318">
        <v>116</v>
      </c>
      <c r="C318" s="453">
        <v>46023</v>
      </c>
      <c r="D318" t="s">
        <v>568</v>
      </c>
      <c r="E318">
        <v>20965</v>
      </c>
      <c r="F318" t="s">
        <v>3969</v>
      </c>
      <c r="G318">
        <v>4</v>
      </c>
      <c r="H318" t="s">
        <v>3872</v>
      </c>
      <c r="I318" t="s">
        <v>461</v>
      </c>
    </row>
    <row r="319" spans="1:9" x14ac:dyDescent="0.3">
      <c r="A319">
        <v>67381</v>
      </c>
      <c r="B319">
        <v>116</v>
      </c>
      <c r="C319" s="453">
        <v>46023</v>
      </c>
      <c r="D319" t="s">
        <v>568</v>
      </c>
      <c r="E319">
        <v>23732</v>
      </c>
      <c r="F319" t="s">
        <v>3973</v>
      </c>
      <c r="G319">
        <v>3.5</v>
      </c>
      <c r="H319" t="s">
        <v>3892</v>
      </c>
      <c r="I319" t="s">
        <v>461</v>
      </c>
    </row>
    <row r="320" spans="1:9" x14ac:dyDescent="0.3">
      <c r="A320">
        <v>67382</v>
      </c>
      <c r="B320">
        <v>116</v>
      </c>
      <c r="C320" s="453">
        <v>46023</v>
      </c>
      <c r="D320" t="s">
        <v>568</v>
      </c>
      <c r="E320">
        <v>25167</v>
      </c>
      <c r="F320" t="s">
        <v>3951</v>
      </c>
      <c r="G320">
        <v>24</v>
      </c>
      <c r="H320" t="s">
        <v>3892</v>
      </c>
      <c r="I320" t="s">
        <v>461</v>
      </c>
    </row>
    <row r="321" spans="1:9" x14ac:dyDescent="0.3">
      <c r="A321">
        <v>67383</v>
      </c>
      <c r="B321">
        <v>116</v>
      </c>
      <c r="C321" s="453">
        <v>46023</v>
      </c>
      <c r="D321" t="s">
        <v>568</v>
      </c>
      <c r="E321">
        <v>20359</v>
      </c>
      <c r="F321" t="s">
        <v>3917</v>
      </c>
      <c r="G321">
        <v>14.5</v>
      </c>
      <c r="H321" t="s">
        <v>3872</v>
      </c>
      <c r="I321" t="s">
        <v>461</v>
      </c>
    </row>
    <row r="322" spans="1:9" x14ac:dyDescent="0.3">
      <c r="A322">
        <v>67384</v>
      </c>
      <c r="B322">
        <v>116</v>
      </c>
      <c r="C322" s="453">
        <v>46023</v>
      </c>
      <c r="D322" t="s">
        <v>568</v>
      </c>
      <c r="E322">
        <v>20661</v>
      </c>
      <c r="F322" t="s">
        <v>3919</v>
      </c>
      <c r="G322">
        <v>6</v>
      </c>
      <c r="H322" t="s">
        <v>3872</v>
      </c>
      <c r="I322" t="s">
        <v>461</v>
      </c>
    </row>
    <row r="323" spans="1:9" x14ac:dyDescent="0.3">
      <c r="A323">
        <v>67385</v>
      </c>
      <c r="B323">
        <v>116</v>
      </c>
      <c r="C323" s="453">
        <v>46023</v>
      </c>
      <c r="D323" t="s">
        <v>568</v>
      </c>
      <c r="E323">
        <v>19642</v>
      </c>
      <c r="F323" t="s">
        <v>4067</v>
      </c>
      <c r="G323">
        <v>1</v>
      </c>
      <c r="H323" t="s">
        <v>3892</v>
      </c>
      <c r="I323" t="s">
        <v>461</v>
      </c>
    </row>
    <row r="324" spans="1:9" x14ac:dyDescent="0.3">
      <c r="A324">
        <v>67386</v>
      </c>
      <c r="B324">
        <v>116</v>
      </c>
      <c r="C324" s="453">
        <v>46023</v>
      </c>
      <c r="D324" t="s">
        <v>568</v>
      </c>
      <c r="E324">
        <v>23256</v>
      </c>
      <c r="F324" t="s">
        <v>4068</v>
      </c>
      <c r="G324">
        <v>2</v>
      </c>
      <c r="H324" t="s">
        <v>3892</v>
      </c>
      <c r="I324" t="s">
        <v>461</v>
      </c>
    </row>
    <row r="325" spans="1:9" x14ac:dyDescent="0.3">
      <c r="A325">
        <v>67387</v>
      </c>
      <c r="B325">
        <v>116</v>
      </c>
      <c r="C325" s="453">
        <v>46023</v>
      </c>
      <c r="D325" t="s">
        <v>568</v>
      </c>
      <c r="E325">
        <v>23250</v>
      </c>
      <c r="F325" t="s">
        <v>3906</v>
      </c>
      <c r="G325">
        <v>5</v>
      </c>
      <c r="H325" t="s">
        <v>3892</v>
      </c>
      <c r="I325" t="s">
        <v>461</v>
      </c>
    </row>
    <row r="326" spans="1:9" x14ac:dyDescent="0.3">
      <c r="A326">
        <v>67388</v>
      </c>
      <c r="B326">
        <v>116</v>
      </c>
      <c r="C326" s="453">
        <v>46023</v>
      </c>
      <c r="D326" t="s">
        <v>568</v>
      </c>
      <c r="E326">
        <v>24230</v>
      </c>
      <c r="F326" t="s">
        <v>4018</v>
      </c>
      <c r="G326">
        <v>2</v>
      </c>
      <c r="H326" t="s">
        <v>3892</v>
      </c>
      <c r="I326" t="s">
        <v>461</v>
      </c>
    </row>
    <row r="327" spans="1:9" x14ac:dyDescent="0.3">
      <c r="A327">
        <v>67389</v>
      </c>
      <c r="B327">
        <v>116</v>
      </c>
      <c r="C327" s="453">
        <v>46023</v>
      </c>
      <c r="D327" t="s">
        <v>568</v>
      </c>
      <c r="E327">
        <v>19607</v>
      </c>
      <c r="F327" t="s">
        <v>4105</v>
      </c>
      <c r="G327">
        <v>0.5</v>
      </c>
      <c r="H327" t="s">
        <v>3892</v>
      </c>
      <c r="I327" t="s">
        <v>461</v>
      </c>
    </row>
    <row r="328" spans="1:9" x14ac:dyDescent="0.3">
      <c r="A328">
        <v>67390</v>
      </c>
      <c r="B328">
        <v>116</v>
      </c>
      <c r="C328" s="453">
        <v>46023</v>
      </c>
      <c r="D328" t="s">
        <v>568</v>
      </c>
      <c r="E328">
        <v>23389</v>
      </c>
      <c r="F328" t="s">
        <v>4016</v>
      </c>
      <c r="G328">
        <v>3</v>
      </c>
      <c r="H328" t="s">
        <v>3892</v>
      </c>
      <c r="I328" t="s">
        <v>461</v>
      </c>
    </row>
    <row r="329" spans="1:9" x14ac:dyDescent="0.3">
      <c r="A329">
        <v>67391</v>
      </c>
      <c r="B329">
        <v>116</v>
      </c>
      <c r="C329" s="453">
        <v>46023</v>
      </c>
      <c r="D329" t="s">
        <v>568</v>
      </c>
      <c r="E329">
        <v>19779</v>
      </c>
      <c r="F329" t="s">
        <v>4069</v>
      </c>
      <c r="G329">
        <v>0.8</v>
      </c>
      <c r="H329" t="s">
        <v>3892</v>
      </c>
      <c r="I329" t="s">
        <v>461</v>
      </c>
    </row>
    <row r="330" spans="1:9" x14ac:dyDescent="0.3">
      <c r="A330">
        <v>67392</v>
      </c>
      <c r="B330">
        <v>116</v>
      </c>
      <c r="C330" s="453">
        <v>46023</v>
      </c>
      <c r="D330" t="s">
        <v>568</v>
      </c>
      <c r="E330">
        <v>19765</v>
      </c>
      <c r="F330" t="s">
        <v>4071</v>
      </c>
      <c r="G330">
        <v>0.6</v>
      </c>
      <c r="H330" t="s">
        <v>3892</v>
      </c>
      <c r="I330" t="s">
        <v>461</v>
      </c>
    </row>
    <row r="331" spans="1:9" x14ac:dyDescent="0.3">
      <c r="A331">
        <v>67393</v>
      </c>
      <c r="B331">
        <v>116</v>
      </c>
      <c r="C331" s="453">
        <v>46023</v>
      </c>
      <c r="D331" t="s">
        <v>568</v>
      </c>
      <c r="E331">
        <v>23244</v>
      </c>
      <c r="F331" t="s">
        <v>4125</v>
      </c>
      <c r="G331">
        <v>2</v>
      </c>
      <c r="H331" t="s">
        <v>3892</v>
      </c>
      <c r="I331" t="s">
        <v>461</v>
      </c>
    </row>
    <row r="332" spans="1:9" x14ac:dyDescent="0.3">
      <c r="A332">
        <v>67394</v>
      </c>
      <c r="B332">
        <v>116</v>
      </c>
      <c r="C332" s="453">
        <v>46023</v>
      </c>
      <c r="D332" t="s">
        <v>568</v>
      </c>
      <c r="E332">
        <v>23345</v>
      </c>
      <c r="F332" t="s">
        <v>3933</v>
      </c>
      <c r="G332">
        <v>4</v>
      </c>
      <c r="H332" t="s">
        <v>3892</v>
      </c>
      <c r="I332" t="s">
        <v>461</v>
      </c>
    </row>
    <row r="333" spans="1:9" x14ac:dyDescent="0.3">
      <c r="A333">
        <v>67395</v>
      </c>
      <c r="B333">
        <v>116</v>
      </c>
      <c r="C333" s="453">
        <v>46023</v>
      </c>
      <c r="D333" t="s">
        <v>568</v>
      </c>
      <c r="E333">
        <v>19494</v>
      </c>
      <c r="F333" t="s">
        <v>4126</v>
      </c>
      <c r="G333">
        <v>1.5</v>
      </c>
      <c r="H333" t="s">
        <v>3892</v>
      </c>
      <c r="I333" t="s">
        <v>461</v>
      </c>
    </row>
    <row r="334" spans="1:9" x14ac:dyDescent="0.3">
      <c r="A334">
        <v>67396</v>
      </c>
      <c r="B334">
        <v>116</v>
      </c>
      <c r="C334" s="453">
        <v>46023</v>
      </c>
      <c r="D334" t="s">
        <v>568</v>
      </c>
      <c r="E334">
        <v>23356</v>
      </c>
      <c r="F334" t="s">
        <v>4019</v>
      </c>
      <c r="G334">
        <v>2</v>
      </c>
      <c r="H334" t="s">
        <v>3892</v>
      </c>
      <c r="I334" t="s">
        <v>461</v>
      </c>
    </row>
    <row r="335" spans="1:9" x14ac:dyDescent="0.3">
      <c r="A335">
        <v>67397</v>
      </c>
      <c r="B335">
        <v>116</v>
      </c>
      <c r="C335" s="453">
        <v>46023</v>
      </c>
      <c r="D335" t="s">
        <v>568</v>
      </c>
      <c r="E335">
        <v>19623</v>
      </c>
      <c r="F335" t="s">
        <v>3984</v>
      </c>
      <c r="G335">
        <v>3</v>
      </c>
      <c r="H335" t="s">
        <v>3892</v>
      </c>
      <c r="I335" t="s">
        <v>461</v>
      </c>
    </row>
    <row r="336" spans="1:9" x14ac:dyDescent="0.3">
      <c r="A336">
        <v>67398</v>
      </c>
      <c r="B336">
        <v>116</v>
      </c>
      <c r="C336" s="453">
        <v>46023</v>
      </c>
      <c r="D336" t="s">
        <v>568</v>
      </c>
      <c r="E336">
        <v>24326</v>
      </c>
      <c r="F336" t="s">
        <v>3932</v>
      </c>
      <c r="G336">
        <v>4</v>
      </c>
      <c r="H336" t="s">
        <v>3892</v>
      </c>
      <c r="I336" t="s">
        <v>461</v>
      </c>
    </row>
    <row r="337" spans="1:9" x14ac:dyDescent="0.3">
      <c r="A337">
        <v>67399</v>
      </c>
      <c r="B337">
        <v>116</v>
      </c>
      <c r="C337" s="453">
        <v>46023</v>
      </c>
      <c r="D337" t="s">
        <v>568</v>
      </c>
      <c r="E337">
        <v>19730</v>
      </c>
      <c r="F337" t="s">
        <v>4075</v>
      </c>
      <c r="G337">
        <v>1</v>
      </c>
      <c r="H337" t="s">
        <v>3892</v>
      </c>
      <c r="I337" t="s">
        <v>461</v>
      </c>
    </row>
    <row r="338" spans="1:9" x14ac:dyDescent="0.3">
      <c r="A338">
        <v>67400</v>
      </c>
      <c r="B338">
        <v>116</v>
      </c>
      <c r="C338" s="453">
        <v>46023</v>
      </c>
      <c r="D338" t="s">
        <v>568</v>
      </c>
      <c r="E338">
        <v>23357</v>
      </c>
      <c r="F338" t="s">
        <v>4042</v>
      </c>
      <c r="G338">
        <v>1</v>
      </c>
      <c r="H338" t="s">
        <v>3892</v>
      </c>
      <c r="I338" t="s">
        <v>461</v>
      </c>
    </row>
    <row r="339" spans="1:9" x14ac:dyDescent="0.3">
      <c r="A339">
        <v>67401</v>
      </c>
      <c r="B339">
        <v>116</v>
      </c>
      <c r="C339" s="453">
        <v>46023</v>
      </c>
      <c r="D339" t="s">
        <v>568</v>
      </c>
      <c r="E339">
        <v>19478</v>
      </c>
      <c r="F339" t="s">
        <v>4072</v>
      </c>
      <c r="G339">
        <v>0.5</v>
      </c>
      <c r="H339" t="s">
        <v>3892</v>
      </c>
      <c r="I339" t="s">
        <v>461</v>
      </c>
    </row>
    <row r="340" spans="1:9" x14ac:dyDescent="0.3">
      <c r="A340">
        <v>67402</v>
      </c>
      <c r="B340">
        <v>116</v>
      </c>
      <c r="C340" s="453">
        <v>46023</v>
      </c>
      <c r="D340" t="s">
        <v>568</v>
      </c>
      <c r="E340">
        <v>23347</v>
      </c>
      <c r="F340" t="s">
        <v>4074</v>
      </c>
      <c r="G340">
        <v>1</v>
      </c>
      <c r="H340" t="s">
        <v>3892</v>
      </c>
      <c r="I340" t="s">
        <v>461</v>
      </c>
    </row>
    <row r="341" spans="1:9" x14ac:dyDescent="0.3">
      <c r="A341">
        <v>67403</v>
      </c>
      <c r="B341">
        <v>116</v>
      </c>
      <c r="C341" s="453">
        <v>46023</v>
      </c>
      <c r="D341" t="s">
        <v>568</v>
      </c>
      <c r="E341">
        <v>23096</v>
      </c>
      <c r="F341" t="s">
        <v>3876</v>
      </c>
      <c r="G341">
        <v>12</v>
      </c>
      <c r="H341" t="s">
        <v>3872</v>
      </c>
      <c r="I341" t="s">
        <v>461</v>
      </c>
    </row>
    <row r="342" spans="1:9" x14ac:dyDescent="0.3">
      <c r="A342">
        <v>67404</v>
      </c>
      <c r="B342">
        <v>116</v>
      </c>
      <c r="C342" s="453">
        <v>46023</v>
      </c>
      <c r="D342" t="s">
        <v>568</v>
      </c>
      <c r="E342">
        <v>19475</v>
      </c>
      <c r="F342" t="s">
        <v>4111</v>
      </c>
      <c r="G342">
        <v>0.2</v>
      </c>
      <c r="H342" t="s">
        <v>3892</v>
      </c>
      <c r="I342" t="s">
        <v>461</v>
      </c>
    </row>
    <row r="343" spans="1:9" x14ac:dyDescent="0.3">
      <c r="A343">
        <v>67405</v>
      </c>
      <c r="B343">
        <v>116</v>
      </c>
      <c r="C343" s="453">
        <v>46023</v>
      </c>
      <c r="D343" t="s">
        <v>568</v>
      </c>
      <c r="E343">
        <v>27079</v>
      </c>
      <c r="F343" t="s">
        <v>3891</v>
      </c>
      <c r="G343">
        <v>34</v>
      </c>
      <c r="H343" t="s">
        <v>3892</v>
      </c>
      <c r="I343" t="s">
        <v>461</v>
      </c>
    </row>
    <row r="344" spans="1:9" x14ac:dyDescent="0.3">
      <c r="A344">
        <v>67406</v>
      </c>
      <c r="B344">
        <v>116</v>
      </c>
      <c r="C344" s="453">
        <v>46023</v>
      </c>
      <c r="D344" t="s">
        <v>568</v>
      </c>
      <c r="E344">
        <v>23095</v>
      </c>
      <c r="F344" t="s">
        <v>3882</v>
      </c>
      <c r="G344">
        <v>20</v>
      </c>
      <c r="H344" t="s">
        <v>3872</v>
      </c>
      <c r="I344" t="s">
        <v>461</v>
      </c>
    </row>
    <row r="345" spans="1:9" x14ac:dyDescent="0.3">
      <c r="A345">
        <v>67407</v>
      </c>
      <c r="B345">
        <v>116</v>
      </c>
      <c r="C345" s="453">
        <v>46023</v>
      </c>
      <c r="D345" t="s">
        <v>568</v>
      </c>
      <c r="E345">
        <v>19689</v>
      </c>
      <c r="F345" t="s">
        <v>4073</v>
      </c>
      <c r="G345">
        <v>1.3</v>
      </c>
      <c r="H345" t="s">
        <v>3892</v>
      </c>
      <c r="I345" t="s">
        <v>461</v>
      </c>
    </row>
    <row r="346" spans="1:9" x14ac:dyDescent="0.3">
      <c r="A346">
        <v>67408</v>
      </c>
      <c r="B346">
        <v>116</v>
      </c>
      <c r="C346" s="453">
        <v>46023</v>
      </c>
      <c r="D346" t="s">
        <v>568</v>
      </c>
      <c r="E346">
        <v>19578</v>
      </c>
      <c r="F346" t="s">
        <v>3985</v>
      </c>
      <c r="G346">
        <v>2</v>
      </c>
      <c r="H346" t="s">
        <v>3892</v>
      </c>
      <c r="I346" t="s">
        <v>461</v>
      </c>
    </row>
    <row r="347" spans="1:9" x14ac:dyDescent="0.3">
      <c r="A347">
        <v>67409</v>
      </c>
      <c r="B347">
        <v>116</v>
      </c>
      <c r="C347" s="453">
        <v>46023</v>
      </c>
      <c r="D347" t="s">
        <v>568</v>
      </c>
      <c r="E347">
        <v>23212</v>
      </c>
      <c r="F347" t="s">
        <v>4077</v>
      </c>
      <c r="G347">
        <v>1</v>
      </c>
      <c r="H347" t="s">
        <v>3892</v>
      </c>
      <c r="I347" t="s">
        <v>461</v>
      </c>
    </row>
    <row r="348" spans="1:9" x14ac:dyDescent="0.3">
      <c r="A348">
        <v>67410</v>
      </c>
      <c r="B348">
        <v>116</v>
      </c>
      <c r="C348" s="453">
        <v>46023</v>
      </c>
      <c r="D348" t="s">
        <v>568</v>
      </c>
      <c r="E348">
        <v>19566</v>
      </c>
      <c r="F348" t="s">
        <v>3986</v>
      </c>
      <c r="G348">
        <v>2</v>
      </c>
      <c r="H348" t="s">
        <v>3892</v>
      </c>
      <c r="I348" t="s">
        <v>461</v>
      </c>
    </row>
    <row r="349" spans="1:9" x14ac:dyDescent="0.3">
      <c r="A349">
        <v>67411</v>
      </c>
      <c r="B349">
        <v>116</v>
      </c>
      <c r="C349" s="453">
        <v>46023</v>
      </c>
      <c r="D349" t="s">
        <v>568</v>
      </c>
      <c r="E349">
        <v>19415</v>
      </c>
      <c r="F349" t="s">
        <v>3941</v>
      </c>
      <c r="G349">
        <v>6</v>
      </c>
      <c r="H349" t="s">
        <v>3872</v>
      </c>
      <c r="I349" t="s">
        <v>461</v>
      </c>
    </row>
    <row r="350" spans="1:9" x14ac:dyDescent="0.3">
      <c r="A350">
        <v>67412</v>
      </c>
      <c r="B350">
        <v>116</v>
      </c>
      <c r="C350" s="453">
        <v>46023</v>
      </c>
      <c r="D350" t="s">
        <v>568</v>
      </c>
      <c r="E350">
        <v>19576</v>
      </c>
      <c r="F350" t="s">
        <v>4021</v>
      </c>
      <c r="G350">
        <v>2</v>
      </c>
      <c r="H350" t="s">
        <v>3892</v>
      </c>
      <c r="I350" t="s">
        <v>461</v>
      </c>
    </row>
    <row r="351" spans="1:9" x14ac:dyDescent="0.3">
      <c r="A351">
        <v>67413</v>
      </c>
      <c r="B351">
        <v>116</v>
      </c>
      <c r="C351" s="453">
        <v>46023</v>
      </c>
      <c r="D351" t="s">
        <v>568</v>
      </c>
      <c r="E351">
        <v>19579</v>
      </c>
      <c r="F351" t="s">
        <v>4020</v>
      </c>
      <c r="G351">
        <v>3</v>
      </c>
      <c r="H351" t="s">
        <v>3892</v>
      </c>
      <c r="I351" t="s">
        <v>461</v>
      </c>
    </row>
    <row r="352" spans="1:9" x14ac:dyDescent="0.3">
      <c r="A352">
        <v>67414</v>
      </c>
      <c r="B352">
        <v>116</v>
      </c>
      <c r="C352" s="453">
        <v>46023</v>
      </c>
      <c r="D352" t="s">
        <v>568</v>
      </c>
      <c r="E352">
        <v>22705</v>
      </c>
      <c r="F352" t="s">
        <v>3990</v>
      </c>
      <c r="G352">
        <v>10</v>
      </c>
      <c r="H352" t="s">
        <v>3892</v>
      </c>
      <c r="I352" t="s">
        <v>461</v>
      </c>
    </row>
    <row r="353" spans="1:9" x14ac:dyDescent="0.3">
      <c r="A353">
        <v>67415</v>
      </c>
      <c r="B353">
        <v>116</v>
      </c>
      <c r="C353" s="453">
        <v>46023</v>
      </c>
      <c r="D353" t="s">
        <v>568</v>
      </c>
      <c r="E353">
        <v>19572</v>
      </c>
      <c r="F353" t="s">
        <v>4023</v>
      </c>
      <c r="G353">
        <v>3</v>
      </c>
      <c r="H353" t="s">
        <v>3892</v>
      </c>
      <c r="I353" t="s">
        <v>461</v>
      </c>
    </row>
    <row r="354" spans="1:9" x14ac:dyDescent="0.3">
      <c r="A354">
        <v>67416</v>
      </c>
      <c r="B354">
        <v>116</v>
      </c>
      <c r="C354" s="453">
        <v>46023</v>
      </c>
      <c r="D354" t="s">
        <v>568</v>
      </c>
      <c r="E354">
        <v>23213</v>
      </c>
      <c r="F354" t="s">
        <v>4022</v>
      </c>
      <c r="G354">
        <v>2</v>
      </c>
      <c r="H354" t="s">
        <v>3892</v>
      </c>
      <c r="I354" t="s">
        <v>461</v>
      </c>
    </row>
    <row r="355" spans="1:9" x14ac:dyDescent="0.3">
      <c r="A355">
        <v>67417</v>
      </c>
      <c r="B355">
        <v>116</v>
      </c>
      <c r="C355" s="453">
        <v>46023</v>
      </c>
      <c r="D355" t="s">
        <v>568</v>
      </c>
      <c r="E355">
        <v>19583</v>
      </c>
      <c r="F355" t="s">
        <v>4076</v>
      </c>
      <c r="G355">
        <v>1</v>
      </c>
      <c r="H355" t="s">
        <v>3892</v>
      </c>
      <c r="I355" t="s">
        <v>461</v>
      </c>
    </row>
    <row r="356" spans="1:9" x14ac:dyDescent="0.3">
      <c r="A356">
        <v>67418</v>
      </c>
      <c r="B356">
        <v>116</v>
      </c>
      <c r="C356" s="453">
        <v>46023</v>
      </c>
      <c r="D356" t="s">
        <v>568</v>
      </c>
      <c r="E356">
        <v>19672</v>
      </c>
      <c r="F356" t="s">
        <v>4024</v>
      </c>
      <c r="G356">
        <v>3</v>
      </c>
      <c r="H356" t="s">
        <v>3892</v>
      </c>
      <c r="I356" t="s">
        <v>461</v>
      </c>
    </row>
    <row r="357" spans="1:9" x14ac:dyDescent="0.3">
      <c r="A357">
        <v>67419</v>
      </c>
      <c r="B357">
        <v>116</v>
      </c>
      <c r="C357" s="453">
        <v>46023</v>
      </c>
      <c r="D357" t="s">
        <v>568</v>
      </c>
      <c r="E357">
        <v>23184</v>
      </c>
      <c r="F357" t="s">
        <v>3894</v>
      </c>
      <c r="G357">
        <v>0.5</v>
      </c>
      <c r="H357" t="s">
        <v>3892</v>
      </c>
      <c r="I357" t="s">
        <v>461</v>
      </c>
    </row>
    <row r="358" spans="1:9" x14ac:dyDescent="0.3">
      <c r="A358">
        <v>67420</v>
      </c>
      <c r="B358">
        <v>116</v>
      </c>
      <c r="C358" s="453">
        <v>46023</v>
      </c>
      <c r="D358" t="s">
        <v>568</v>
      </c>
      <c r="E358">
        <v>19466</v>
      </c>
      <c r="F358" t="s">
        <v>4127</v>
      </c>
      <c r="G358">
        <v>1</v>
      </c>
      <c r="H358" t="s">
        <v>3892</v>
      </c>
      <c r="I358" t="s">
        <v>461</v>
      </c>
    </row>
    <row r="359" spans="1:9" x14ac:dyDescent="0.3">
      <c r="A359">
        <v>67421</v>
      </c>
      <c r="B359">
        <v>116</v>
      </c>
      <c r="C359" s="453">
        <v>46023</v>
      </c>
      <c r="D359" t="s">
        <v>568</v>
      </c>
      <c r="E359">
        <v>18764</v>
      </c>
      <c r="F359" t="s">
        <v>3907</v>
      </c>
      <c r="G359">
        <v>3.2</v>
      </c>
      <c r="H359" t="s">
        <v>3892</v>
      </c>
      <c r="I359" t="s">
        <v>461</v>
      </c>
    </row>
    <row r="360" spans="1:9" x14ac:dyDescent="0.3">
      <c r="A360">
        <v>67422</v>
      </c>
      <c r="B360">
        <v>116</v>
      </c>
      <c r="C360" s="453">
        <v>46023</v>
      </c>
      <c r="D360" t="s">
        <v>568</v>
      </c>
      <c r="E360">
        <v>24200</v>
      </c>
      <c r="F360" t="s">
        <v>3975</v>
      </c>
      <c r="G360">
        <v>6</v>
      </c>
      <c r="H360" t="s">
        <v>3892</v>
      </c>
      <c r="I360" t="s">
        <v>461</v>
      </c>
    </row>
    <row r="361" spans="1:9" x14ac:dyDescent="0.3">
      <c r="A361">
        <v>67423</v>
      </c>
      <c r="B361">
        <v>116</v>
      </c>
      <c r="C361" s="453">
        <v>46023</v>
      </c>
      <c r="D361" t="s">
        <v>568</v>
      </c>
      <c r="E361">
        <v>27884</v>
      </c>
      <c r="F361" t="s">
        <v>3910</v>
      </c>
      <c r="G361">
        <v>14.5</v>
      </c>
      <c r="H361" t="s">
        <v>3892</v>
      </c>
      <c r="I361" t="s">
        <v>461</v>
      </c>
    </row>
    <row r="362" spans="1:9" x14ac:dyDescent="0.3">
      <c r="A362">
        <v>67424</v>
      </c>
      <c r="B362">
        <v>116</v>
      </c>
      <c r="C362" s="453">
        <v>46023</v>
      </c>
      <c r="D362" t="s">
        <v>568</v>
      </c>
      <c r="E362">
        <v>17006</v>
      </c>
      <c r="F362" t="s">
        <v>4128</v>
      </c>
      <c r="G362">
        <v>3</v>
      </c>
      <c r="H362" t="s">
        <v>3892</v>
      </c>
      <c r="I362" t="s">
        <v>461</v>
      </c>
    </row>
    <row r="363" spans="1:9" x14ac:dyDescent="0.3">
      <c r="A363">
        <v>67425</v>
      </c>
      <c r="B363">
        <v>116</v>
      </c>
      <c r="C363" s="453">
        <v>46023</v>
      </c>
      <c r="D363" t="s">
        <v>568</v>
      </c>
      <c r="E363">
        <v>22701</v>
      </c>
      <c r="F363" t="s">
        <v>4129</v>
      </c>
      <c r="G363">
        <v>6.1</v>
      </c>
      <c r="H363" t="s">
        <v>3892</v>
      </c>
      <c r="I363" t="s">
        <v>461</v>
      </c>
    </row>
    <row r="364" spans="1:9" x14ac:dyDescent="0.3">
      <c r="A364">
        <v>67426</v>
      </c>
      <c r="B364">
        <v>116</v>
      </c>
      <c r="C364" s="453">
        <v>46023</v>
      </c>
      <c r="D364" t="s">
        <v>568</v>
      </c>
      <c r="E364">
        <v>18996</v>
      </c>
      <c r="F364" t="s">
        <v>3946</v>
      </c>
      <c r="G364">
        <v>2.5</v>
      </c>
      <c r="H364" t="s">
        <v>3892</v>
      </c>
      <c r="I364" t="s">
        <v>461</v>
      </c>
    </row>
    <row r="365" spans="1:9" x14ac:dyDescent="0.3">
      <c r="A365">
        <v>67427</v>
      </c>
      <c r="B365">
        <v>116</v>
      </c>
      <c r="C365" s="453">
        <v>46023</v>
      </c>
      <c r="D365" t="s">
        <v>568</v>
      </c>
      <c r="E365">
        <v>24388</v>
      </c>
      <c r="F365" t="s">
        <v>3915</v>
      </c>
      <c r="G365">
        <v>5</v>
      </c>
      <c r="H365" t="s">
        <v>3892</v>
      </c>
      <c r="I365" t="s">
        <v>461</v>
      </c>
    </row>
    <row r="366" spans="1:9" x14ac:dyDescent="0.3">
      <c r="A366">
        <v>67428</v>
      </c>
      <c r="B366">
        <v>116</v>
      </c>
      <c r="C366" s="453">
        <v>46023</v>
      </c>
      <c r="D366" t="s">
        <v>568</v>
      </c>
      <c r="E366">
        <v>27901</v>
      </c>
      <c r="F366" t="s">
        <v>3942</v>
      </c>
      <c r="G366">
        <v>6</v>
      </c>
      <c r="H366" t="s">
        <v>3892</v>
      </c>
      <c r="I366" t="s">
        <v>461</v>
      </c>
    </row>
    <row r="367" spans="1:9" x14ac:dyDescent="0.3">
      <c r="A367">
        <v>67429</v>
      </c>
      <c r="B367">
        <v>116</v>
      </c>
      <c r="C367" s="453">
        <v>46023</v>
      </c>
      <c r="D367" t="s">
        <v>568</v>
      </c>
      <c r="E367">
        <v>18832</v>
      </c>
      <c r="F367" t="s">
        <v>3900</v>
      </c>
      <c r="G367">
        <v>15</v>
      </c>
      <c r="H367" t="s">
        <v>3892</v>
      </c>
      <c r="I367" t="s">
        <v>461</v>
      </c>
    </row>
    <row r="368" spans="1:9" x14ac:dyDescent="0.3">
      <c r="A368">
        <v>67430</v>
      </c>
      <c r="B368">
        <v>116</v>
      </c>
      <c r="C368" s="453">
        <v>46023</v>
      </c>
      <c r="D368" t="s">
        <v>568</v>
      </c>
      <c r="E368">
        <v>19139</v>
      </c>
      <c r="F368" t="s">
        <v>3887</v>
      </c>
      <c r="G368">
        <v>5</v>
      </c>
      <c r="H368" t="s">
        <v>3888</v>
      </c>
      <c r="I368" t="s">
        <v>461</v>
      </c>
    </row>
    <row r="369" spans="1:9" x14ac:dyDescent="0.3">
      <c r="A369">
        <v>67431</v>
      </c>
      <c r="B369">
        <v>116</v>
      </c>
      <c r="C369" s="453">
        <v>46023</v>
      </c>
      <c r="D369" t="s">
        <v>568</v>
      </c>
      <c r="E369">
        <v>19710</v>
      </c>
      <c r="F369" t="s">
        <v>4106</v>
      </c>
      <c r="G369">
        <v>1</v>
      </c>
      <c r="H369" t="s">
        <v>3888</v>
      </c>
      <c r="I369" t="s">
        <v>461</v>
      </c>
    </row>
    <row r="370" spans="1:9" x14ac:dyDescent="0.3">
      <c r="A370">
        <v>67432</v>
      </c>
      <c r="B370">
        <v>116</v>
      </c>
      <c r="C370" s="453">
        <v>46023</v>
      </c>
      <c r="D370" t="s">
        <v>568</v>
      </c>
      <c r="E370">
        <v>24163</v>
      </c>
      <c r="F370" t="s">
        <v>4130</v>
      </c>
      <c r="G370">
        <v>12.3</v>
      </c>
      <c r="H370" t="s">
        <v>3892</v>
      </c>
      <c r="I370" t="s">
        <v>461</v>
      </c>
    </row>
    <row r="371" spans="1:9" x14ac:dyDescent="0.3">
      <c r="A371">
        <v>67433</v>
      </c>
      <c r="B371">
        <v>116</v>
      </c>
      <c r="C371" s="453">
        <v>46023</v>
      </c>
      <c r="D371" t="s">
        <v>568</v>
      </c>
      <c r="E371">
        <v>27313</v>
      </c>
      <c r="F371" t="s">
        <v>4131</v>
      </c>
      <c r="G371">
        <v>10.199999999999999</v>
      </c>
      <c r="H371" t="s">
        <v>3892</v>
      </c>
      <c r="I371" t="s">
        <v>461</v>
      </c>
    </row>
    <row r="372" spans="1:9" x14ac:dyDescent="0.3">
      <c r="A372">
        <v>67434</v>
      </c>
      <c r="B372">
        <v>116</v>
      </c>
      <c r="C372" s="453">
        <v>46023</v>
      </c>
      <c r="D372" t="s">
        <v>568</v>
      </c>
      <c r="E372">
        <v>19264</v>
      </c>
      <c r="F372" t="s">
        <v>4082</v>
      </c>
      <c r="G372">
        <v>1.5</v>
      </c>
      <c r="H372" t="s">
        <v>3888</v>
      </c>
      <c r="I372" t="s">
        <v>461</v>
      </c>
    </row>
    <row r="373" spans="1:9" x14ac:dyDescent="0.3">
      <c r="A373">
        <v>67435</v>
      </c>
      <c r="B373">
        <v>116</v>
      </c>
      <c r="C373" s="453">
        <v>46023</v>
      </c>
      <c r="D373" t="s">
        <v>568</v>
      </c>
      <c r="E373">
        <v>24072</v>
      </c>
      <c r="F373" t="s">
        <v>4002</v>
      </c>
      <c r="G373">
        <v>2.5</v>
      </c>
      <c r="H373" t="s">
        <v>3892</v>
      </c>
      <c r="I373" t="s">
        <v>461</v>
      </c>
    </row>
    <row r="374" spans="1:9" x14ac:dyDescent="0.3">
      <c r="A374">
        <v>67436</v>
      </c>
      <c r="B374">
        <v>116</v>
      </c>
      <c r="C374" s="453">
        <v>46023</v>
      </c>
      <c r="D374" t="s">
        <v>568</v>
      </c>
      <c r="E374">
        <v>18727</v>
      </c>
      <c r="F374" t="s">
        <v>3955</v>
      </c>
      <c r="G374">
        <v>7</v>
      </c>
      <c r="H374" t="s">
        <v>3892</v>
      </c>
      <c r="I374" t="s">
        <v>461</v>
      </c>
    </row>
    <row r="375" spans="1:9" x14ac:dyDescent="0.3">
      <c r="A375">
        <v>67437</v>
      </c>
      <c r="B375">
        <v>116</v>
      </c>
      <c r="C375" s="453">
        <v>46023</v>
      </c>
      <c r="D375" t="s">
        <v>568</v>
      </c>
      <c r="E375">
        <v>19553</v>
      </c>
      <c r="F375" t="s">
        <v>4078</v>
      </c>
      <c r="G375">
        <v>1</v>
      </c>
      <c r="H375" t="s">
        <v>3892</v>
      </c>
      <c r="I375" t="s">
        <v>461</v>
      </c>
    </row>
    <row r="376" spans="1:9" x14ac:dyDescent="0.3">
      <c r="A376">
        <v>67438</v>
      </c>
      <c r="B376">
        <v>116</v>
      </c>
      <c r="C376" s="453">
        <v>46023</v>
      </c>
      <c r="D376" t="s">
        <v>568</v>
      </c>
      <c r="E376">
        <v>18684</v>
      </c>
      <c r="F376" t="s">
        <v>3925</v>
      </c>
      <c r="G376">
        <v>46</v>
      </c>
      <c r="H376" t="s">
        <v>3892</v>
      </c>
      <c r="I376" t="s">
        <v>461</v>
      </c>
    </row>
    <row r="377" spans="1:9" x14ac:dyDescent="0.3">
      <c r="A377">
        <v>67439</v>
      </c>
      <c r="B377">
        <v>116</v>
      </c>
      <c r="C377" s="453">
        <v>46023</v>
      </c>
      <c r="D377" t="s">
        <v>568</v>
      </c>
      <c r="E377">
        <v>22704</v>
      </c>
      <c r="F377" t="s">
        <v>4039</v>
      </c>
      <c r="G377">
        <v>3</v>
      </c>
      <c r="H377" t="s">
        <v>3892</v>
      </c>
      <c r="I377" t="s">
        <v>461</v>
      </c>
    </row>
    <row r="378" spans="1:9" x14ac:dyDescent="0.3">
      <c r="A378">
        <v>67440</v>
      </c>
      <c r="B378">
        <v>116</v>
      </c>
      <c r="C378" s="453">
        <v>46023</v>
      </c>
      <c r="D378" t="s">
        <v>568</v>
      </c>
      <c r="E378">
        <v>19555</v>
      </c>
      <c r="F378" t="s">
        <v>4109</v>
      </c>
      <c r="G378">
        <v>0.3</v>
      </c>
      <c r="H378" t="s">
        <v>3892</v>
      </c>
      <c r="I378" t="s">
        <v>461</v>
      </c>
    </row>
    <row r="379" spans="1:9" x14ac:dyDescent="0.3">
      <c r="A379">
        <v>67441</v>
      </c>
      <c r="B379">
        <v>116</v>
      </c>
      <c r="C379" s="453">
        <v>46023</v>
      </c>
      <c r="D379" t="s">
        <v>568</v>
      </c>
      <c r="E379">
        <v>19297</v>
      </c>
      <c r="F379" t="s">
        <v>3949</v>
      </c>
      <c r="G379">
        <v>11.4</v>
      </c>
      <c r="H379" t="s">
        <v>3892</v>
      </c>
      <c r="I379" t="s">
        <v>461</v>
      </c>
    </row>
    <row r="380" spans="1:9" x14ac:dyDescent="0.3">
      <c r="A380">
        <v>67442</v>
      </c>
      <c r="B380">
        <v>116</v>
      </c>
      <c r="C380" s="453">
        <v>46023</v>
      </c>
      <c r="D380" t="s">
        <v>568</v>
      </c>
      <c r="E380">
        <v>23203</v>
      </c>
      <c r="F380" t="s">
        <v>3987</v>
      </c>
      <c r="G380">
        <v>2</v>
      </c>
      <c r="H380" t="s">
        <v>3892</v>
      </c>
      <c r="I380" t="s">
        <v>461</v>
      </c>
    </row>
    <row r="381" spans="1:9" x14ac:dyDescent="0.3">
      <c r="A381">
        <v>67443</v>
      </c>
      <c r="B381">
        <v>116</v>
      </c>
      <c r="C381" s="453">
        <v>46023</v>
      </c>
      <c r="D381" t="s">
        <v>568</v>
      </c>
      <c r="E381">
        <v>19324</v>
      </c>
      <c r="F381" t="s">
        <v>3937</v>
      </c>
      <c r="G381">
        <v>8.3000000000000007</v>
      </c>
      <c r="H381" t="s">
        <v>3892</v>
      </c>
      <c r="I381" t="s">
        <v>461</v>
      </c>
    </row>
    <row r="382" spans="1:9" x14ac:dyDescent="0.3">
      <c r="A382">
        <v>67444</v>
      </c>
      <c r="B382">
        <v>116</v>
      </c>
      <c r="C382" s="453">
        <v>46023</v>
      </c>
      <c r="D382" t="s">
        <v>568</v>
      </c>
      <c r="E382">
        <v>18666</v>
      </c>
      <c r="F382" t="s">
        <v>4003</v>
      </c>
      <c r="G382">
        <v>2</v>
      </c>
      <c r="H382" t="s">
        <v>3892</v>
      </c>
      <c r="I382" t="s">
        <v>461</v>
      </c>
    </row>
    <row r="383" spans="1:9" x14ac:dyDescent="0.3">
      <c r="A383">
        <v>67445</v>
      </c>
      <c r="B383">
        <v>116</v>
      </c>
      <c r="C383" s="453">
        <v>46023</v>
      </c>
      <c r="D383" t="s">
        <v>568</v>
      </c>
      <c r="E383">
        <v>19420</v>
      </c>
      <c r="F383" t="s">
        <v>3899</v>
      </c>
      <c r="G383">
        <v>10</v>
      </c>
      <c r="H383" t="s">
        <v>3872</v>
      </c>
      <c r="I383" t="s">
        <v>461</v>
      </c>
    </row>
    <row r="384" spans="1:9" x14ac:dyDescent="0.3">
      <c r="A384">
        <v>67446</v>
      </c>
      <c r="B384">
        <v>116</v>
      </c>
      <c r="C384" s="453">
        <v>46023</v>
      </c>
      <c r="D384" t="s">
        <v>568</v>
      </c>
      <c r="E384">
        <v>24259</v>
      </c>
      <c r="F384" t="s">
        <v>3895</v>
      </c>
      <c r="G384">
        <v>8.4</v>
      </c>
      <c r="H384" t="s">
        <v>3892</v>
      </c>
      <c r="I384" t="s">
        <v>461</v>
      </c>
    </row>
    <row r="385" spans="1:9" x14ac:dyDescent="0.3">
      <c r="A385">
        <v>67447</v>
      </c>
      <c r="B385">
        <v>116</v>
      </c>
      <c r="C385" s="453">
        <v>46023</v>
      </c>
      <c r="D385" t="s">
        <v>568</v>
      </c>
      <c r="E385">
        <v>23171</v>
      </c>
      <c r="F385" t="s">
        <v>4132</v>
      </c>
      <c r="G385">
        <v>3</v>
      </c>
      <c r="H385" t="s">
        <v>3892</v>
      </c>
      <c r="I385" t="s">
        <v>461</v>
      </c>
    </row>
    <row r="386" spans="1:9" x14ac:dyDescent="0.3">
      <c r="A386">
        <v>67448</v>
      </c>
      <c r="B386">
        <v>116</v>
      </c>
      <c r="C386" s="453">
        <v>46023</v>
      </c>
      <c r="D386" t="s">
        <v>568</v>
      </c>
      <c r="E386">
        <v>24116</v>
      </c>
      <c r="F386" t="s">
        <v>3963</v>
      </c>
      <c r="G386">
        <v>7</v>
      </c>
      <c r="H386" t="s">
        <v>3892</v>
      </c>
      <c r="I386" t="s">
        <v>461</v>
      </c>
    </row>
    <row r="387" spans="1:9" x14ac:dyDescent="0.3">
      <c r="A387">
        <v>67449</v>
      </c>
      <c r="B387">
        <v>116</v>
      </c>
      <c r="C387" s="453">
        <v>46023</v>
      </c>
      <c r="D387" t="s">
        <v>568</v>
      </c>
      <c r="E387">
        <v>19539</v>
      </c>
      <c r="F387" t="s">
        <v>4133</v>
      </c>
      <c r="G387">
        <v>18</v>
      </c>
      <c r="H387" t="s">
        <v>3892</v>
      </c>
      <c r="I387" t="s">
        <v>461</v>
      </c>
    </row>
    <row r="388" spans="1:9" x14ac:dyDescent="0.3">
      <c r="A388">
        <v>67450</v>
      </c>
      <c r="B388">
        <v>116</v>
      </c>
      <c r="C388" s="453">
        <v>46023</v>
      </c>
      <c r="D388" t="s">
        <v>568</v>
      </c>
      <c r="E388">
        <v>19405</v>
      </c>
      <c r="F388" t="s">
        <v>4097</v>
      </c>
      <c r="G388">
        <v>1</v>
      </c>
      <c r="H388" t="s">
        <v>3892</v>
      </c>
      <c r="I388" t="s">
        <v>461</v>
      </c>
    </row>
    <row r="389" spans="1:9" x14ac:dyDescent="0.3">
      <c r="A389">
        <v>67451</v>
      </c>
      <c r="B389">
        <v>116</v>
      </c>
      <c r="C389" s="453">
        <v>46023</v>
      </c>
      <c r="D389" t="s">
        <v>568</v>
      </c>
      <c r="E389">
        <v>19346</v>
      </c>
      <c r="F389" t="s">
        <v>3948</v>
      </c>
      <c r="G389">
        <v>6</v>
      </c>
      <c r="H389" t="s">
        <v>3892</v>
      </c>
      <c r="I389" t="s">
        <v>461</v>
      </c>
    </row>
    <row r="390" spans="1:9" x14ac:dyDescent="0.3">
      <c r="A390">
        <v>67452</v>
      </c>
      <c r="B390">
        <v>116</v>
      </c>
      <c r="C390" s="453">
        <v>46023</v>
      </c>
      <c r="D390" t="s">
        <v>568</v>
      </c>
      <c r="E390">
        <v>19465</v>
      </c>
      <c r="F390" t="s">
        <v>4080</v>
      </c>
      <c r="G390">
        <v>1</v>
      </c>
      <c r="H390" t="s">
        <v>3892</v>
      </c>
      <c r="I390" t="s">
        <v>461</v>
      </c>
    </row>
    <row r="391" spans="1:9" x14ac:dyDescent="0.3">
      <c r="A391">
        <v>67453</v>
      </c>
      <c r="B391">
        <v>116</v>
      </c>
      <c r="C391" s="453">
        <v>46023</v>
      </c>
      <c r="D391" t="s">
        <v>568</v>
      </c>
      <c r="E391">
        <v>19034</v>
      </c>
      <c r="F391" t="s">
        <v>3989</v>
      </c>
      <c r="G391">
        <v>3.7</v>
      </c>
      <c r="H391" t="s">
        <v>3892</v>
      </c>
      <c r="I391" t="s">
        <v>461</v>
      </c>
    </row>
    <row r="392" spans="1:9" x14ac:dyDescent="0.3">
      <c r="A392">
        <v>67454</v>
      </c>
      <c r="B392">
        <v>116</v>
      </c>
      <c r="C392" s="453">
        <v>46023</v>
      </c>
      <c r="D392" t="s">
        <v>568</v>
      </c>
      <c r="E392">
        <v>27312</v>
      </c>
      <c r="F392" t="s">
        <v>3927</v>
      </c>
      <c r="G392">
        <v>20.7</v>
      </c>
      <c r="H392" t="s">
        <v>3892</v>
      </c>
      <c r="I392" t="s">
        <v>461</v>
      </c>
    </row>
    <row r="393" spans="1:9" x14ac:dyDescent="0.3">
      <c r="A393">
        <v>67455</v>
      </c>
      <c r="B393">
        <v>116</v>
      </c>
      <c r="C393" s="453">
        <v>46023</v>
      </c>
      <c r="D393" t="s">
        <v>568</v>
      </c>
      <c r="E393">
        <v>22710</v>
      </c>
      <c r="F393" t="s">
        <v>3945</v>
      </c>
      <c r="G393">
        <v>6.1</v>
      </c>
      <c r="H393" t="s">
        <v>3892</v>
      </c>
      <c r="I393" t="s">
        <v>461</v>
      </c>
    </row>
    <row r="394" spans="1:9" x14ac:dyDescent="0.3">
      <c r="A394">
        <v>67456</v>
      </c>
      <c r="B394">
        <v>116</v>
      </c>
      <c r="C394" s="453">
        <v>46023</v>
      </c>
      <c r="D394" t="s">
        <v>568</v>
      </c>
      <c r="E394">
        <v>18702</v>
      </c>
      <c r="F394" t="s">
        <v>4043</v>
      </c>
      <c r="G394">
        <v>3.2</v>
      </c>
      <c r="H394" t="s">
        <v>3892</v>
      </c>
      <c r="I394" t="s">
        <v>461</v>
      </c>
    </row>
    <row r="395" spans="1:9" x14ac:dyDescent="0.3">
      <c r="A395">
        <v>67457</v>
      </c>
      <c r="B395">
        <v>116</v>
      </c>
      <c r="C395" s="453">
        <v>46023</v>
      </c>
      <c r="D395" t="s">
        <v>568</v>
      </c>
      <c r="E395">
        <v>22699</v>
      </c>
      <c r="F395" t="s">
        <v>4134</v>
      </c>
      <c r="G395">
        <v>3</v>
      </c>
      <c r="H395" t="s">
        <v>3881</v>
      </c>
      <c r="I395" t="s">
        <v>461</v>
      </c>
    </row>
    <row r="396" spans="1:9" x14ac:dyDescent="0.3">
      <c r="A396">
        <v>67458</v>
      </c>
      <c r="B396">
        <v>116</v>
      </c>
      <c r="C396" s="453">
        <v>46023</v>
      </c>
      <c r="D396" t="s">
        <v>568</v>
      </c>
      <c r="E396">
        <v>23322</v>
      </c>
      <c r="F396" t="s">
        <v>4135</v>
      </c>
      <c r="G396">
        <v>1</v>
      </c>
      <c r="H396" t="s">
        <v>3892</v>
      </c>
      <c r="I396" t="s">
        <v>461</v>
      </c>
    </row>
    <row r="397" spans="1:9" x14ac:dyDescent="0.3">
      <c r="A397">
        <v>67459</v>
      </c>
      <c r="B397">
        <v>116</v>
      </c>
      <c r="C397" s="453">
        <v>46023</v>
      </c>
      <c r="D397" t="s">
        <v>568</v>
      </c>
      <c r="E397">
        <v>22820</v>
      </c>
      <c r="F397" t="s">
        <v>3896</v>
      </c>
      <c r="G397">
        <v>8.3000000000000007</v>
      </c>
      <c r="H397" t="s">
        <v>3892</v>
      </c>
      <c r="I397" t="s">
        <v>461</v>
      </c>
    </row>
    <row r="398" spans="1:9" x14ac:dyDescent="0.3">
      <c r="A398">
        <v>67460</v>
      </c>
      <c r="B398">
        <v>116</v>
      </c>
      <c r="C398" s="453">
        <v>46023</v>
      </c>
      <c r="D398" t="s">
        <v>568</v>
      </c>
      <c r="E398">
        <v>23186</v>
      </c>
      <c r="F398" t="s">
        <v>3988</v>
      </c>
      <c r="G398">
        <v>2</v>
      </c>
      <c r="H398" t="s">
        <v>3892</v>
      </c>
      <c r="I398" t="s">
        <v>461</v>
      </c>
    </row>
    <row r="399" spans="1:9" x14ac:dyDescent="0.3">
      <c r="A399">
        <v>67461</v>
      </c>
      <c r="B399">
        <v>116</v>
      </c>
      <c r="C399" s="453">
        <v>46023</v>
      </c>
      <c r="D399" t="s">
        <v>568</v>
      </c>
      <c r="E399">
        <v>19287</v>
      </c>
      <c r="F399" t="s">
        <v>3974</v>
      </c>
      <c r="G399">
        <v>4.9000000000000004</v>
      </c>
      <c r="H399" t="s">
        <v>3892</v>
      </c>
      <c r="I399" t="s">
        <v>461</v>
      </c>
    </row>
    <row r="400" spans="1:9" x14ac:dyDescent="0.3">
      <c r="A400">
        <v>67462</v>
      </c>
      <c r="B400">
        <v>116</v>
      </c>
      <c r="C400" s="453">
        <v>46023</v>
      </c>
      <c r="D400" t="s">
        <v>568</v>
      </c>
      <c r="E400">
        <v>17093</v>
      </c>
      <c r="F400" t="s">
        <v>3993</v>
      </c>
      <c r="G400">
        <v>16</v>
      </c>
      <c r="H400" t="s">
        <v>3888</v>
      </c>
      <c r="I400" t="s">
        <v>461</v>
      </c>
    </row>
    <row r="401" spans="1:9" x14ac:dyDescent="0.3">
      <c r="A401">
        <v>67463</v>
      </c>
      <c r="B401">
        <v>116</v>
      </c>
      <c r="C401" s="453">
        <v>46023</v>
      </c>
      <c r="D401" t="s">
        <v>568</v>
      </c>
      <c r="E401">
        <v>24140</v>
      </c>
      <c r="F401" t="s">
        <v>3889</v>
      </c>
      <c r="G401">
        <v>0.5</v>
      </c>
      <c r="H401" t="s">
        <v>3872</v>
      </c>
      <c r="I401" t="s">
        <v>461</v>
      </c>
    </row>
    <row r="402" spans="1:9" x14ac:dyDescent="0.3">
      <c r="A402">
        <v>67464</v>
      </c>
      <c r="B402">
        <v>116</v>
      </c>
      <c r="C402" s="453">
        <v>46023</v>
      </c>
      <c r="D402" t="s">
        <v>568</v>
      </c>
      <c r="E402">
        <v>18545</v>
      </c>
      <c r="F402" t="s">
        <v>4099</v>
      </c>
      <c r="G402">
        <v>2</v>
      </c>
      <c r="H402" t="s">
        <v>3878</v>
      </c>
      <c r="I402" t="s">
        <v>461</v>
      </c>
    </row>
    <row r="403" spans="1:9" x14ac:dyDescent="0.3">
      <c r="A403">
        <v>67465</v>
      </c>
      <c r="B403">
        <v>116</v>
      </c>
      <c r="C403" s="453">
        <v>46023</v>
      </c>
      <c r="D403" t="s">
        <v>568</v>
      </c>
      <c r="E403">
        <v>18493</v>
      </c>
      <c r="F403" t="s">
        <v>3958</v>
      </c>
      <c r="G403">
        <v>6</v>
      </c>
      <c r="H403" t="s">
        <v>3878</v>
      </c>
      <c r="I403" t="s">
        <v>461</v>
      </c>
    </row>
    <row r="404" spans="1:9" x14ac:dyDescent="0.3">
      <c r="A404">
        <v>67466</v>
      </c>
      <c r="B404">
        <v>116</v>
      </c>
      <c r="C404" s="453">
        <v>46023</v>
      </c>
      <c r="D404" t="s">
        <v>568</v>
      </c>
      <c r="E404">
        <v>18475</v>
      </c>
      <c r="F404" t="s">
        <v>3918</v>
      </c>
      <c r="G404">
        <v>28</v>
      </c>
      <c r="H404" t="s">
        <v>3878</v>
      </c>
      <c r="I404" t="s">
        <v>461</v>
      </c>
    </row>
    <row r="405" spans="1:9" x14ac:dyDescent="0.3">
      <c r="A405">
        <v>67467</v>
      </c>
      <c r="B405">
        <v>116</v>
      </c>
      <c r="C405" s="453">
        <v>46023</v>
      </c>
      <c r="D405" t="s">
        <v>568</v>
      </c>
      <c r="E405">
        <v>18547</v>
      </c>
      <c r="F405" t="s">
        <v>3962</v>
      </c>
      <c r="G405">
        <v>4</v>
      </c>
      <c r="H405" t="s">
        <v>3878</v>
      </c>
      <c r="I405" t="s">
        <v>461</v>
      </c>
    </row>
    <row r="406" spans="1:9" x14ac:dyDescent="0.3">
      <c r="A406">
        <v>67468</v>
      </c>
      <c r="B406">
        <v>116</v>
      </c>
      <c r="C406" s="453">
        <v>46023</v>
      </c>
      <c r="D406" t="s">
        <v>568</v>
      </c>
      <c r="E406">
        <v>18636</v>
      </c>
      <c r="F406" t="s">
        <v>3921</v>
      </c>
      <c r="G406">
        <v>18</v>
      </c>
      <c r="H406" t="s">
        <v>3922</v>
      </c>
      <c r="I406" t="s">
        <v>461</v>
      </c>
    </row>
    <row r="407" spans="1:9" x14ac:dyDescent="0.3">
      <c r="A407">
        <v>67469</v>
      </c>
      <c r="B407">
        <v>116</v>
      </c>
      <c r="C407" s="453">
        <v>46023</v>
      </c>
      <c r="D407" t="s">
        <v>568</v>
      </c>
      <c r="E407">
        <v>24599</v>
      </c>
      <c r="F407" t="s">
        <v>3897</v>
      </c>
      <c r="G407">
        <v>1</v>
      </c>
      <c r="H407" t="s">
        <v>3888</v>
      </c>
      <c r="I407" t="s">
        <v>461</v>
      </c>
    </row>
    <row r="408" spans="1:9" x14ac:dyDescent="0.3">
      <c r="A408">
        <v>67470</v>
      </c>
      <c r="B408">
        <v>116</v>
      </c>
      <c r="C408" s="453">
        <v>46023</v>
      </c>
      <c r="D408" t="s">
        <v>568</v>
      </c>
      <c r="E408">
        <v>18395</v>
      </c>
      <c r="F408" t="s">
        <v>4085</v>
      </c>
      <c r="G408">
        <v>1</v>
      </c>
      <c r="H408" t="s">
        <v>3878</v>
      </c>
      <c r="I408" t="s">
        <v>461</v>
      </c>
    </row>
    <row r="409" spans="1:9" x14ac:dyDescent="0.3">
      <c r="A409">
        <v>67471</v>
      </c>
      <c r="B409">
        <v>116</v>
      </c>
      <c r="C409" s="453">
        <v>46023</v>
      </c>
      <c r="D409" t="s">
        <v>568</v>
      </c>
      <c r="E409">
        <v>18247</v>
      </c>
      <c r="F409" t="s">
        <v>3877</v>
      </c>
      <c r="G409">
        <v>37</v>
      </c>
      <c r="H409" t="s">
        <v>3878</v>
      </c>
      <c r="I409" t="s">
        <v>461</v>
      </c>
    </row>
    <row r="410" spans="1:9" x14ac:dyDescent="0.3">
      <c r="A410">
        <v>67472</v>
      </c>
      <c r="B410">
        <v>116</v>
      </c>
      <c r="C410" s="453">
        <v>46023</v>
      </c>
      <c r="D410" t="s">
        <v>568</v>
      </c>
      <c r="E410">
        <v>18200</v>
      </c>
      <c r="F410" t="s">
        <v>4032</v>
      </c>
      <c r="G410">
        <v>2</v>
      </c>
      <c r="H410" t="s">
        <v>3878</v>
      </c>
      <c r="I410" t="s">
        <v>461</v>
      </c>
    </row>
    <row r="411" spans="1:9" x14ac:dyDescent="0.3">
      <c r="A411">
        <v>67473</v>
      </c>
      <c r="B411">
        <v>116</v>
      </c>
      <c r="C411" s="453">
        <v>46023</v>
      </c>
      <c r="D411" t="s">
        <v>568</v>
      </c>
      <c r="E411">
        <v>18467</v>
      </c>
      <c r="F411" t="s">
        <v>4028</v>
      </c>
      <c r="G411">
        <v>2</v>
      </c>
      <c r="H411" t="s">
        <v>3878</v>
      </c>
      <c r="I411" t="s">
        <v>461</v>
      </c>
    </row>
    <row r="412" spans="1:9" x14ac:dyDescent="0.3">
      <c r="A412">
        <v>67474</v>
      </c>
      <c r="B412">
        <v>116</v>
      </c>
      <c r="C412" s="453">
        <v>46023</v>
      </c>
      <c r="D412" t="s">
        <v>568</v>
      </c>
      <c r="E412">
        <v>17886</v>
      </c>
      <c r="F412" t="s">
        <v>3935</v>
      </c>
      <c r="G412">
        <v>2</v>
      </c>
      <c r="H412" t="s">
        <v>3888</v>
      </c>
      <c r="I412" t="s">
        <v>461</v>
      </c>
    </row>
    <row r="413" spans="1:9" x14ac:dyDescent="0.3">
      <c r="A413">
        <v>67475</v>
      </c>
      <c r="B413">
        <v>116</v>
      </c>
      <c r="C413" s="453">
        <v>46023</v>
      </c>
      <c r="D413" t="s">
        <v>568</v>
      </c>
      <c r="E413">
        <v>18550</v>
      </c>
      <c r="F413" t="s">
        <v>4083</v>
      </c>
      <c r="G413">
        <v>1</v>
      </c>
      <c r="H413" t="s">
        <v>3878</v>
      </c>
      <c r="I413" t="s">
        <v>461</v>
      </c>
    </row>
    <row r="414" spans="1:9" x14ac:dyDescent="0.3">
      <c r="A414">
        <v>67476</v>
      </c>
      <c r="B414">
        <v>116</v>
      </c>
      <c r="C414" s="453">
        <v>46023</v>
      </c>
      <c r="D414" t="s">
        <v>568</v>
      </c>
      <c r="E414">
        <v>17878</v>
      </c>
      <c r="F414" t="s">
        <v>4096</v>
      </c>
      <c r="G414">
        <v>1</v>
      </c>
      <c r="H414" t="s">
        <v>3872</v>
      </c>
      <c r="I414" t="s">
        <v>461</v>
      </c>
    </row>
    <row r="415" spans="1:9" x14ac:dyDescent="0.3">
      <c r="A415">
        <v>67477</v>
      </c>
      <c r="B415">
        <v>116</v>
      </c>
      <c r="C415" s="453">
        <v>46023</v>
      </c>
      <c r="D415" t="s">
        <v>568</v>
      </c>
      <c r="E415">
        <v>18394</v>
      </c>
      <c r="F415" t="s">
        <v>4044</v>
      </c>
      <c r="G415">
        <v>1</v>
      </c>
      <c r="H415" t="s">
        <v>3878</v>
      </c>
      <c r="I415" t="s">
        <v>461</v>
      </c>
    </row>
    <row r="416" spans="1:9" x14ac:dyDescent="0.3">
      <c r="A416">
        <v>67478</v>
      </c>
      <c r="B416">
        <v>116</v>
      </c>
      <c r="C416" s="453">
        <v>46023</v>
      </c>
      <c r="D416" t="s">
        <v>568</v>
      </c>
      <c r="E416">
        <v>22042</v>
      </c>
      <c r="F416" t="s">
        <v>3901</v>
      </c>
      <c r="G416">
        <v>2</v>
      </c>
      <c r="H416" t="s">
        <v>3872</v>
      </c>
      <c r="I416" t="s">
        <v>461</v>
      </c>
    </row>
    <row r="417" spans="1:9" x14ac:dyDescent="0.3">
      <c r="A417">
        <v>67479</v>
      </c>
      <c r="B417">
        <v>116</v>
      </c>
      <c r="C417" s="453">
        <v>46023</v>
      </c>
      <c r="D417" t="s">
        <v>568</v>
      </c>
      <c r="E417">
        <v>18312</v>
      </c>
      <c r="F417" t="s">
        <v>4089</v>
      </c>
      <c r="G417">
        <v>1</v>
      </c>
      <c r="H417" t="s">
        <v>3878</v>
      </c>
      <c r="I417" t="s">
        <v>461</v>
      </c>
    </row>
    <row r="418" spans="1:9" x14ac:dyDescent="0.3">
      <c r="A418">
        <v>67480</v>
      </c>
      <c r="B418">
        <v>116</v>
      </c>
      <c r="C418" s="453">
        <v>46023</v>
      </c>
      <c r="D418" t="s">
        <v>568</v>
      </c>
      <c r="E418">
        <v>22515</v>
      </c>
      <c r="F418" t="s">
        <v>3883</v>
      </c>
      <c r="G418">
        <v>54</v>
      </c>
      <c r="H418" t="s">
        <v>3884</v>
      </c>
      <c r="I418" t="s">
        <v>461</v>
      </c>
    </row>
    <row r="419" spans="1:9" x14ac:dyDescent="0.3">
      <c r="A419">
        <v>67481</v>
      </c>
      <c r="B419">
        <v>116</v>
      </c>
      <c r="C419" s="453">
        <v>46023</v>
      </c>
      <c r="D419" t="s">
        <v>568</v>
      </c>
      <c r="E419">
        <v>22054</v>
      </c>
      <c r="F419" t="s">
        <v>3998</v>
      </c>
      <c r="G419">
        <v>18</v>
      </c>
      <c r="H419" t="s">
        <v>3872</v>
      </c>
      <c r="I419" t="s">
        <v>461</v>
      </c>
    </row>
    <row r="420" spans="1:9" x14ac:dyDescent="0.3">
      <c r="A420">
        <v>67482</v>
      </c>
      <c r="B420">
        <v>116</v>
      </c>
      <c r="C420" s="453">
        <v>46023</v>
      </c>
      <c r="D420" t="s">
        <v>568</v>
      </c>
      <c r="E420">
        <v>17881</v>
      </c>
      <c r="F420" t="s">
        <v>4095</v>
      </c>
      <c r="G420">
        <v>5</v>
      </c>
      <c r="H420" t="s">
        <v>3888</v>
      </c>
      <c r="I420" t="s">
        <v>461</v>
      </c>
    </row>
    <row r="421" spans="1:9" x14ac:dyDescent="0.3">
      <c r="A421">
        <v>67483</v>
      </c>
      <c r="B421">
        <v>116</v>
      </c>
      <c r="C421" s="453">
        <v>46023</v>
      </c>
      <c r="D421" t="s">
        <v>568</v>
      </c>
      <c r="E421">
        <v>21944</v>
      </c>
      <c r="F421" t="s">
        <v>3936</v>
      </c>
      <c r="G421">
        <v>10</v>
      </c>
      <c r="H421" t="s">
        <v>3878</v>
      </c>
      <c r="I421" t="s">
        <v>461</v>
      </c>
    </row>
    <row r="422" spans="1:9" x14ac:dyDescent="0.3">
      <c r="A422">
        <v>67484</v>
      </c>
      <c r="B422">
        <v>116</v>
      </c>
      <c r="C422" s="453">
        <v>46023</v>
      </c>
      <c r="D422" t="s">
        <v>568</v>
      </c>
      <c r="E422">
        <v>18538</v>
      </c>
      <c r="F422" t="s">
        <v>4026</v>
      </c>
      <c r="G422">
        <v>1</v>
      </c>
      <c r="H422" t="s">
        <v>3878</v>
      </c>
      <c r="I422" t="s">
        <v>461</v>
      </c>
    </row>
    <row r="423" spans="1:9" x14ac:dyDescent="0.3">
      <c r="A423">
        <v>67485</v>
      </c>
      <c r="B423">
        <v>116</v>
      </c>
      <c r="C423" s="453">
        <v>46023</v>
      </c>
      <c r="D423" t="s">
        <v>568</v>
      </c>
      <c r="E423">
        <v>24307</v>
      </c>
      <c r="F423" t="s">
        <v>3928</v>
      </c>
      <c r="G423">
        <v>13</v>
      </c>
      <c r="H423" t="s">
        <v>3872</v>
      </c>
      <c r="I423" t="s">
        <v>461</v>
      </c>
    </row>
    <row r="424" spans="1:9" x14ac:dyDescent="0.3">
      <c r="A424">
        <v>67486</v>
      </c>
      <c r="B424">
        <v>116</v>
      </c>
      <c r="C424" s="453">
        <v>46023</v>
      </c>
      <c r="D424" t="s">
        <v>568</v>
      </c>
      <c r="E424">
        <v>18447</v>
      </c>
      <c r="F424" t="s">
        <v>4027</v>
      </c>
      <c r="G424">
        <v>5</v>
      </c>
      <c r="H424" t="s">
        <v>3878</v>
      </c>
      <c r="I424" t="s">
        <v>461</v>
      </c>
    </row>
    <row r="425" spans="1:9" x14ac:dyDescent="0.3">
      <c r="A425">
        <v>67487</v>
      </c>
      <c r="B425">
        <v>116</v>
      </c>
      <c r="C425" s="453">
        <v>46023</v>
      </c>
      <c r="D425" t="s">
        <v>568</v>
      </c>
      <c r="E425">
        <v>22108</v>
      </c>
      <c r="F425" t="s">
        <v>3871</v>
      </c>
      <c r="G425">
        <v>146</v>
      </c>
      <c r="H425" t="s">
        <v>3872</v>
      </c>
      <c r="I425" t="s">
        <v>461</v>
      </c>
    </row>
    <row r="426" spans="1:9" x14ac:dyDescent="0.3">
      <c r="A426">
        <v>67488</v>
      </c>
      <c r="B426">
        <v>116</v>
      </c>
      <c r="C426" s="453">
        <v>46023</v>
      </c>
      <c r="D426" t="s">
        <v>568</v>
      </c>
      <c r="E426">
        <v>18359</v>
      </c>
      <c r="F426" t="s">
        <v>4029</v>
      </c>
      <c r="G426">
        <v>2</v>
      </c>
      <c r="H426" t="s">
        <v>3878</v>
      </c>
      <c r="I426" t="s">
        <v>461</v>
      </c>
    </row>
    <row r="427" spans="1:9" x14ac:dyDescent="0.3">
      <c r="A427">
        <v>67489</v>
      </c>
      <c r="B427">
        <v>116</v>
      </c>
      <c r="C427" s="453">
        <v>46023</v>
      </c>
      <c r="D427" t="s">
        <v>568</v>
      </c>
      <c r="E427">
        <v>24002</v>
      </c>
      <c r="F427" t="s">
        <v>3924</v>
      </c>
      <c r="G427">
        <v>3</v>
      </c>
      <c r="H427" t="s">
        <v>3872</v>
      </c>
      <c r="I427" t="s">
        <v>461</v>
      </c>
    </row>
    <row r="428" spans="1:9" x14ac:dyDescent="0.3">
      <c r="A428">
        <v>67490</v>
      </c>
      <c r="B428">
        <v>116</v>
      </c>
      <c r="C428" s="453">
        <v>46023</v>
      </c>
      <c r="D428" t="s">
        <v>568</v>
      </c>
      <c r="E428">
        <v>18586</v>
      </c>
      <c r="F428" t="s">
        <v>4107</v>
      </c>
      <c r="G428">
        <v>1</v>
      </c>
      <c r="H428" t="s">
        <v>3888</v>
      </c>
      <c r="I428" t="s">
        <v>461</v>
      </c>
    </row>
    <row r="429" spans="1:9" x14ac:dyDescent="0.3">
      <c r="A429">
        <v>67491</v>
      </c>
      <c r="B429">
        <v>116</v>
      </c>
      <c r="C429" s="453">
        <v>46023</v>
      </c>
      <c r="D429" t="s">
        <v>568</v>
      </c>
      <c r="E429">
        <v>18179</v>
      </c>
      <c r="F429" t="s">
        <v>3995</v>
      </c>
      <c r="G429">
        <v>3</v>
      </c>
      <c r="H429" t="s">
        <v>3878</v>
      </c>
      <c r="I429" t="s">
        <v>461</v>
      </c>
    </row>
    <row r="430" spans="1:9" x14ac:dyDescent="0.3">
      <c r="A430">
        <v>67492</v>
      </c>
      <c r="B430">
        <v>116</v>
      </c>
      <c r="C430" s="453">
        <v>46023</v>
      </c>
      <c r="D430" t="s">
        <v>568</v>
      </c>
      <c r="E430">
        <v>18327</v>
      </c>
      <c r="F430" t="s">
        <v>4087</v>
      </c>
      <c r="G430">
        <v>1</v>
      </c>
      <c r="H430" t="s">
        <v>3878</v>
      </c>
      <c r="I430" t="s">
        <v>461</v>
      </c>
    </row>
    <row r="431" spans="1:9" x14ac:dyDescent="0.3">
      <c r="A431">
        <v>67493</v>
      </c>
      <c r="B431">
        <v>116</v>
      </c>
      <c r="C431" s="453">
        <v>46023</v>
      </c>
      <c r="D431" t="s">
        <v>568</v>
      </c>
      <c r="E431">
        <v>17883</v>
      </c>
      <c r="F431" t="s">
        <v>4136</v>
      </c>
      <c r="G431">
        <v>2</v>
      </c>
      <c r="H431" t="s">
        <v>3888</v>
      </c>
      <c r="I431" t="s">
        <v>461</v>
      </c>
    </row>
    <row r="432" spans="1:9" x14ac:dyDescent="0.3">
      <c r="A432">
        <v>67494</v>
      </c>
      <c r="B432">
        <v>116</v>
      </c>
      <c r="C432" s="453">
        <v>46023</v>
      </c>
      <c r="D432" t="s">
        <v>568</v>
      </c>
      <c r="E432">
        <v>26195</v>
      </c>
      <c r="F432" t="s">
        <v>4037</v>
      </c>
      <c r="G432">
        <v>2</v>
      </c>
      <c r="H432" t="s">
        <v>3878</v>
      </c>
      <c r="I432" t="s">
        <v>461</v>
      </c>
    </row>
    <row r="433" spans="1:9" x14ac:dyDescent="0.3">
      <c r="A433">
        <v>67495</v>
      </c>
      <c r="B433">
        <v>116</v>
      </c>
      <c r="C433" s="453">
        <v>46023</v>
      </c>
      <c r="D433" t="s">
        <v>568</v>
      </c>
      <c r="E433">
        <v>17957</v>
      </c>
      <c r="F433" t="s">
        <v>3879</v>
      </c>
      <c r="G433">
        <v>192</v>
      </c>
      <c r="H433" t="s">
        <v>3872</v>
      </c>
      <c r="I433" t="s">
        <v>461</v>
      </c>
    </row>
    <row r="434" spans="1:9" x14ac:dyDescent="0.3">
      <c r="A434">
        <v>67496</v>
      </c>
      <c r="B434">
        <v>116</v>
      </c>
      <c r="C434" s="453">
        <v>46023</v>
      </c>
      <c r="D434" t="s">
        <v>568</v>
      </c>
      <c r="E434">
        <v>17914</v>
      </c>
      <c r="F434" t="s">
        <v>3997</v>
      </c>
      <c r="G434">
        <v>2</v>
      </c>
      <c r="H434" t="s">
        <v>3888</v>
      </c>
      <c r="I434" t="s">
        <v>461</v>
      </c>
    </row>
    <row r="435" spans="1:9" x14ac:dyDescent="0.3">
      <c r="A435">
        <v>67497</v>
      </c>
      <c r="B435">
        <v>116</v>
      </c>
      <c r="C435" s="453">
        <v>46023</v>
      </c>
      <c r="D435" t="s">
        <v>568</v>
      </c>
      <c r="E435">
        <v>17895</v>
      </c>
      <c r="F435" t="s">
        <v>4137</v>
      </c>
      <c r="G435">
        <v>6</v>
      </c>
      <c r="H435" t="s">
        <v>3888</v>
      </c>
      <c r="I435" t="s">
        <v>461</v>
      </c>
    </row>
    <row r="436" spans="1:9" x14ac:dyDescent="0.3">
      <c r="A436">
        <v>67498</v>
      </c>
      <c r="B436">
        <v>116</v>
      </c>
      <c r="C436" s="453">
        <v>46023</v>
      </c>
      <c r="D436" t="s">
        <v>568</v>
      </c>
      <c r="E436">
        <v>22053</v>
      </c>
      <c r="F436" t="s">
        <v>3970</v>
      </c>
      <c r="G436">
        <v>11</v>
      </c>
      <c r="H436" t="s">
        <v>3872</v>
      </c>
      <c r="I436" t="s">
        <v>461</v>
      </c>
    </row>
    <row r="437" spans="1:9" x14ac:dyDescent="0.3">
      <c r="A437">
        <v>67499</v>
      </c>
      <c r="B437">
        <v>116</v>
      </c>
      <c r="C437" s="453">
        <v>46023</v>
      </c>
      <c r="D437" t="s">
        <v>568</v>
      </c>
      <c r="E437">
        <v>18341</v>
      </c>
      <c r="F437" t="s">
        <v>4086</v>
      </c>
      <c r="G437">
        <v>1</v>
      </c>
      <c r="H437" t="s">
        <v>3878</v>
      </c>
      <c r="I437" t="s">
        <v>461</v>
      </c>
    </row>
    <row r="438" spans="1:9" x14ac:dyDescent="0.3">
      <c r="A438">
        <v>67500</v>
      </c>
      <c r="B438">
        <v>116</v>
      </c>
      <c r="C438" s="453">
        <v>46023</v>
      </c>
      <c r="D438" t="s">
        <v>568</v>
      </c>
      <c r="E438">
        <v>18111</v>
      </c>
      <c r="F438" t="s">
        <v>4047</v>
      </c>
      <c r="G438">
        <v>1</v>
      </c>
      <c r="H438" t="s">
        <v>3878</v>
      </c>
      <c r="I438" t="s">
        <v>461</v>
      </c>
    </row>
    <row r="439" spans="1:9" x14ac:dyDescent="0.3">
      <c r="A439">
        <v>67501</v>
      </c>
      <c r="B439">
        <v>116</v>
      </c>
      <c r="C439" s="453">
        <v>46023</v>
      </c>
      <c r="D439" t="s">
        <v>568</v>
      </c>
      <c r="E439">
        <v>18528</v>
      </c>
      <c r="F439" t="s">
        <v>4108</v>
      </c>
      <c r="G439">
        <v>1</v>
      </c>
      <c r="H439" t="s">
        <v>3878</v>
      </c>
      <c r="I439" t="s">
        <v>461</v>
      </c>
    </row>
    <row r="440" spans="1:9" x14ac:dyDescent="0.3">
      <c r="A440">
        <v>67502</v>
      </c>
      <c r="B440">
        <v>116</v>
      </c>
      <c r="C440" s="453">
        <v>46023</v>
      </c>
      <c r="D440" t="s">
        <v>568</v>
      </c>
      <c r="E440">
        <v>17903</v>
      </c>
      <c r="F440" t="s">
        <v>3971</v>
      </c>
      <c r="G440">
        <v>9</v>
      </c>
      <c r="H440" t="s">
        <v>3888</v>
      </c>
      <c r="I440" t="s">
        <v>461</v>
      </c>
    </row>
    <row r="441" spans="1:9" x14ac:dyDescent="0.3">
      <c r="A441">
        <v>67503</v>
      </c>
      <c r="B441">
        <v>116</v>
      </c>
      <c r="C441" s="453">
        <v>46023</v>
      </c>
      <c r="D441" t="s">
        <v>568</v>
      </c>
      <c r="E441">
        <v>18534</v>
      </c>
      <c r="F441" t="s">
        <v>4084</v>
      </c>
      <c r="G441">
        <v>1</v>
      </c>
      <c r="H441" t="s">
        <v>3878</v>
      </c>
      <c r="I441" t="s">
        <v>461</v>
      </c>
    </row>
    <row r="442" spans="1:9" x14ac:dyDescent="0.3">
      <c r="A442">
        <v>67504</v>
      </c>
      <c r="B442">
        <v>116</v>
      </c>
      <c r="C442" s="453">
        <v>46023</v>
      </c>
      <c r="D442" t="s">
        <v>568</v>
      </c>
      <c r="E442">
        <v>22034</v>
      </c>
      <c r="F442" t="s">
        <v>4036</v>
      </c>
      <c r="G442">
        <v>12</v>
      </c>
      <c r="H442" t="s">
        <v>3872</v>
      </c>
      <c r="I442" t="s">
        <v>461</v>
      </c>
    </row>
    <row r="443" spans="1:9" x14ac:dyDescent="0.3">
      <c r="A443">
        <v>67505</v>
      </c>
      <c r="B443">
        <v>116</v>
      </c>
      <c r="C443" s="453">
        <v>46023</v>
      </c>
      <c r="D443" t="s">
        <v>568</v>
      </c>
      <c r="E443">
        <v>18273</v>
      </c>
      <c r="F443" t="s">
        <v>4031</v>
      </c>
      <c r="G443">
        <v>4</v>
      </c>
      <c r="H443" t="s">
        <v>3878</v>
      </c>
      <c r="I443" t="s">
        <v>461</v>
      </c>
    </row>
    <row r="444" spans="1:9" x14ac:dyDescent="0.3">
      <c r="A444">
        <v>67506</v>
      </c>
      <c r="B444">
        <v>116</v>
      </c>
      <c r="C444" s="453">
        <v>46023</v>
      </c>
      <c r="D444" t="s">
        <v>568</v>
      </c>
      <c r="E444">
        <v>18172</v>
      </c>
      <c r="F444" t="s">
        <v>3923</v>
      </c>
      <c r="G444">
        <v>7</v>
      </c>
      <c r="H444" t="s">
        <v>3878</v>
      </c>
      <c r="I444" t="s">
        <v>461</v>
      </c>
    </row>
    <row r="445" spans="1:9" x14ac:dyDescent="0.3">
      <c r="A445">
        <v>67507</v>
      </c>
      <c r="B445">
        <v>116</v>
      </c>
      <c r="C445" s="453">
        <v>46023</v>
      </c>
      <c r="D445" t="s">
        <v>568</v>
      </c>
      <c r="E445">
        <v>18119</v>
      </c>
      <c r="F445" t="s">
        <v>4093</v>
      </c>
      <c r="G445">
        <v>1</v>
      </c>
      <c r="H445" t="s">
        <v>3878</v>
      </c>
      <c r="I445" t="s">
        <v>461</v>
      </c>
    </row>
    <row r="446" spans="1:9" x14ac:dyDescent="0.3">
      <c r="A446">
        <v>67508</v>
      </c>
      <c r="B446">
        <v>116</v>
      </c>
      <c r="C446" s="453">
        <v>46023</v>
      </c>
      <c r="D446" t="s">
        <v>568</v>
      </c>
      <c r="E446">
        <v>17896</v>
      </c>
      <c r="F446" t="s">
        <v>3972</v>
      </c>
      <c r="G446">
        <v>2</v>
      </c>
      <c r="H446" t="s">
        <v>3888</v>
      </c>
      <c r="I446" t="s">
        <v>461</v>
      </c>
    </row>
    <row r="447" spans="1:9" x14ac:dyDescent="0.3">
      <c r="A447">
        <v>67509</v>
      </c>
      <c r="B447">
        <v>116</v>
      </c>
      <c r="C447" s="453">
        <v>46023</v>
      </c>
      <c r="D447" t="s">
        <v>568</v>
      </c>
      <c r="E447">
        <v>18232</v>
      </c>
      <c r="F447" t="s">
        <v>4091</v>
      </c>
      <c r="G447">
        <v>1</v>
      </c>
      <c r="H447" t="s">
        <v>3878</v>
      </c>
      <c r="I447" t="s">
        <v>461</v>
      </c>
    </row>
    <row r="448" spans="1:9" x14ac:dyDescent="0.3">
      <c r="A448">
        <v>67510</v>
      </c>
      <c r="B448">
        <v>116</v>
      </c>
      <c r="C448" s="453">
        <v>46023</v>
      </c>
      <c r="D448" t="s">
        <v>568</v>
      </c>
      <c r="E448">
        <v>18317</v>
      </c>
      <c r="F448" t="s">
        <v>4045</v>
      </c>
      <c r="G448">
        <v>2</v>
      </c>
      <c r="H448" t="s">
        <v>3878</v>
      </c>
      <c r="I448" t="s">
        <v>461</v>
      </c>
    </row>
    <row r="449" spans="1:9" x14ac:dyDescent="0.3">
      <c r="A449">
        <v>67511</v>
      </c>
      <c r="B449">
        <v>116</v>
      </c>
      <c r="C449" s="453">
        <v>46023</v>
      </c>
      <c r="D449" t="s">
        <v>568</v>
      </c>
      <c r="E449">
        <v>17609</v>
      </c>
      <c r="F449" t="s">
        <v>4038</v>
      </c>
      <c r="G449">
        <v>2</v>
      </c>
      <c r="H449" t="s">
        <v>3878</v>
      </c>
      <c r="I449" t="s">
        <v>461</v>
      </c>
    </row>
    <row r="450" spans="1:9" x14ac:dyDescent="0.3">
      <c r="A450">
        <v>67512</v>
      </c>
      <c r="B450">
        <v>116</v>
      </c>
      <c r="C450" s="453">
        <v>46023</v>
      </c>
      <c r="D450" t="s">
        <v>568</v>
      </c>
      <c r="E450">
        <v>18233</v>
      </c>
      <c r="F450" t="s">
        <v>4090</v>
      </c>
      <c r="G450">
        <v>2</v>
      </c>
      <c r="H450" t="s">
        <v>3878</v>
      </c>
      <c r="I450" t="s">
        <v>461</v>
      </c>
    </row>
    <row r="451" spans="1:9" x14ac:dyDescent="0.3">
      <c r="A451">
        <v>67513</v>
      </c>
      <c r="B451">
        <v>116</v>
      </c>
      <c r="C451" s="453">
        <v>46023</v>
      </c>
      <c r="D451" t="s">
        <v>568</v>
      </c>
      <c r="E451">
        <v>24467</v>
      </c>
      <c r="F451" t="s">
        <v>3944</v>
      </c>
      <c r="G451">
        <v>8</v>
      </c>
      <c r="H451" t="s">
        <v>3872</v>
      </c>
      <c r="I451" t="s">
        <v>461</v>
      </c>
    </row>
    <row r="452" spans="1:9" x14ac:dyDescent="0.3">
      <c r="A452">
        <v>67514</v>
      </c>
      <c r="B452">
        <v>116</v>
      </c>
      <c r="C452" s="453">
        <v>46023</v>
      </c>
      <c r="D452" t="s">
        <v>568</v>
      </c>
      <c r="E452">
        <v>17710</v>
      </c>
      <c r="F452" t="s">
        <v>3905</v>
      </c>
      <c r="G452">
        <v>10</v>
      </c>
      <c r="H452" t="s">
        <v>3878</v>
      </c>
      <c r="I452" t="s">
        <v>461</v>
      </c>
    </row>
    <row r="453" spans="1:9" x14ac:dyDescent="0.3">
      <c r="A453">
        <v>67515</v>
      </c>
      <c r="B453">
        <v>116</v>
      </c>
      <c r="C453" s="453">
        <v>46023</v>
      </c>
      <c r="D453" t="s">
        <v>568</v>
      </c>
      <c r="E453">
        <v>17942</v>
      </c>
      <c r="F453" t="s">
        <v>4035</v>
      </c>
      <c r="G453">
        <v>2</v>
      </c>
      <c r="H453" t="s">
        <v>3872</v>
      </c>
      <c r="I453" t="s">
        <v>461</v>
      </c>
    </row>
    <row r="454" spans="1:9" x14ac:dyDescent="0.3">
      <c r="A454">
        <v>67516</v>
      </c>
      <c r="B454">
        <v>116</v>
      </c>
      <c r="C454" s="453">
        <v>46023</v>
      </c>
      <c r="D454" t="s">
        <v>568</v>
      </c>
      <c r="E454">
        <v>22127</v>
      </c>
      <c r="F454" t="s">
        <v>3875</v>
      </c>
      <c r="G454">
        <v>11</v>
      </c>
      <c r="H454" t="s">
        <v>3872</v>
      </c>
      <c r="I454" t="s">
        <v>461</v>
      </c>
    </row>
    <row r="455" spans="1:9" x14ac:dyDescent="0.3">
      <c r="A455">
        <v>67517</v>
      </c>
      <c r="B455">
        <v>116</v>
      </c>
      <c r="C455" s="453">
        <v>46023</v>
      </c>
      <c r="D455" t="s">
        <v>568</v>
      </c>
      <c r="E455">
        <v>17897</v>
      </c>
      <c r="F455" t="s">
        <v>4094</v>
      </c>
      <c r="G455">
        <v>2</v>
      </c>
      <c r="H455" t="s">
        <v>3888</v>
      </c>
      <c r="I455" t="s">
        <v>461</v>
      </c>
    </row>
    <row r="456" spans="1:9" x14ac:dyDescent="0.3">
      <c r="A456">
        <v>67518</v>
      </c>
      <c r="B456">
        <v>116</v>
      </c>
      <c r="C456" s="453">
        <v>46023</v>
      </c>
      <c r="D456" t="s">
        <v>568</v>
      </c>
      <c r="E456">
        <v>18006</v>
      </c>
      <c r="F456" t="s">
        <v>4138</v>
      </c>
      <c r="G456">
        <v>2</v>
      </c>
      <c r="H456" t="s">
        <v>3888</v>
      </c>
      <c r="I456" t="s">
        <v>461</v>
      </c>
    </row>
    <row r="457" spans="1:9" x14ac:dyDescent="0.3">
      <c r="A457">
        <v>67519</v>
      </c>
      <c r="B457">
        <v>116</v>
      </c>
      <c r="C457" s="453">
        <v>46023</v>
      </c>
      <c r="D457" t="s">
        <v>568</v>
      </c>
      <c r="E457">
        <v>17905</v>
      </c>
      <c r="F457" t="s">
        <v>4139</v>
      </c>
      <c r="G457">
        <v>12</v>
      </c>
      <c r="H457" t="s">
        <v>3888</v>
      </c>
      <c r="I457" t="s">
        <v>461</v>
      </c>
    </row>
    <row r="458" spans="1:9" x14ac:dyDescent="0.3">
      <c r="A458">
        <v>67520</v>
      </c>
      <c r="B458">
        <v>116</v>
      </c>
      <c r="C458" s="453">
        <v>46023</v>
      </c>
      <c r="D458" t="s">
        <v>568</v>
      </c>
      <c r="E458">
        <v>18004</v>
      </c>
      <c r="F458" t="s">
        <v>4140</v>
      </c>
      <c r="G458">
        <v>5</v>
      </c>
      <c r="H458" t="s">
        <v>3888</v>
      </c>
      <c r="I458" t="s">
        <v>461</v>
      </c>
    </row>
    <row r="459" spans="1:9" x14ac:dyDescent="0.3">
      <c r="A459">
        <v>67521</v>
      </c>
      <c r="B459">
        <v>116</v>
      </c>
      <c r="C459" s="453">
        <v>46023</v>
      </c>
      <c r="D459" t="s">
        <v>568</v>
      </c>
      <c r="E459">
        <v>24414</v>
      </c>
      <c r="F459" t="s">
        <v>3943</v>
      </c>
      <c r="G459">
        <v>28</v>
      </c>
      <c r="H459" t="s">
        <v>3872</v>
      </c>
      <c r="I459" t="s">
        <v>461</v>
      </c>
    </row>
    <row r="460" spans="1:9" x14ac:dyDescent="0.3">
      <c r="A460">
        <v>67522</v>
      </c>
      <c r="B460">
        <v>116</v>
      </c>
      <c r="C460" s="453">
        <v>46023</v>
      </c>
      <c r="D460" t="s">
        <v>568</v>
      </c>
      <c r="E460">
        <v>18030</v>
      </c>
      <c r="F460" t="s">
        <v>4033</v>
      </c>
      <c r="G460">
        <v>3</v>
      </c>
      <c r="H460" t="s">
        <v>3878</v>
      </c>
      <c r="I460" t="s">
        <v>461</v>
      </c>
    </row>
    <row r="461" spans="1:9" x14ac:dyDescent="0.3">
      <c r="A461">
        <v>67523</v>
      </c>
      <c r="B461">
        <v>116</v>
      </c>
      <c r="C461" s="453">
        <v>46023</v>
      </c>
      <c r="D461" t="s">
        <v>568</v>
      </c>
      <c r="E461">
        <v>18272</v>
      </c>
      <c r="F461" t="s">
        <v>4046</v>
      </c>
      <c r="G461">
        <v>3</v>
      </c>
      <c r="H461" t="s">
        <v>3878</v>
      </c>
      <c r="I461" t="s">
        <v>461</v>
      </c>
    </row>
    <row r="462" spans="1:9" x14ac:dyDescent="0.3">
      <c r="A462">
        <v>67524</v>
      </c>
      <c r="B462">
        <v>116</v>
      </c>
      <c r="C462" s="453">
        <v>46023</v>
      </c>
      <c r="D462" t="s">
        <v>568</v>
      </c>
      <c r="E462">
        <v>16974</v>
      </c>
      <c r="F462" t="s">
        <v>3996</v>
      </c>
      <c r="G462">
        <v>1</v>
      </c>
      <c r="H462" t="s">
        <v>3881</v>
      </c>
      <c r="I462" t="s">
        <v>461</v>
      </c>
    </row>
    <row r="463" spans="1:9" x14ac:dyDescent="0.3">
      <c r="A463">
        <v>67525</v>
      </c>
      <c r="B463">
        <v>116</v>
      </c>
      <c r="C463" s="453">
        <v>46023</v>
      </c>
      <c r="D463" t="s">
        <v>568</v>
      </c>
      <c r="E463">
        <v>18315</v>
      </c>
      <c r="F463" t="s">
        <v>4088</v>
      </c>
      <c r="G463">
        <v>1</v>
      </c>
      <c r="H463" t="s">
        <v>3878</v>
      </c>
      <c r="I463" t="s">
        <v>461</v>
      </c>
    </row>
    <row r="464" spans="1:9" x14ac:dyDescent="0.3">
      <c r="A464">
        <v>67526</v>
      </c>
      <c r="B464">
        <v>116</v>
      </c>
      <c r="C464" s="453">
        <v>46023</v>
      </c>
      <c r="D464" t="s">
        <v>568</v>
      </c>
      <c r="E464">
        <v>18491</v>
      </c>
      <c r="F464" t="s">
        <v>3934</v>
      </c>
      <c r="G464">
        <v>5</v>
      </c>
      <c r="H464" t="s">
        <v>3878</v>
      </c>
      <c r="I464" t="s">
        <v>461</v>
      </c>
    </row>
    <row r="465" spans="1:9" x14ac:dyDescent="0.3">
      <c r="A465">
        <v>67527</v>
      </c>
      <c r="B465">
        <v>116</v>
      </c>
      <c r="C465" s="453">
        <v>46023</v>
      </c>
      <c r="D465" t="s">
        <v>568</v>
      </c>
      <c r="E465">
        <v>18295</v>
      </c>
      <c r="F465" t="s">
        <v>4030</v>
      </c>
      <c r="G465">
        <v>2</v>
      </c>
      <c r="H465" t="s">
        <v>3878</v>
      </c>
      <c r="I465" t="s">
        <v>461</v>
      </c>
    </row>
    <row r="466" spans="1:9" x14ac:dyDescent="0.3">
      <c r="A466">
        <v>67528</v>
      </c>
      <c r="B466">
        <v>116</v>
      </c>
      <c r="C466" s="453">
        <v>46023</v>
      </c>
      <c r="D466" t="s">
        <v>568</v>
      </c>
      <c r="E466">
        <v>18129</v>
      </c>
      <c r="F466" t="s">
        <v>4092</v>
      </c>
      <c r="G466">
        <v>1</v>
      </c>
      <c r="H466" t="s">
        <v>3878</v>
      </c>
      <c r="I466" t="s">
        <v>461</v>
      </c>
    </row>
    <row r="467" spans="1:9" x14ac:dyDescent="0.3">
      <c r="A467">
        <v>67529</v>
      </c>
      <c r="B467">
        <v>116</v>
      </c>
      <c r="C467" s="453">
        <v>46023</v>
      </c>
      <c r="D467" t="s">
        <v>568</v>
      </c>
      <c r="E467">
        <v>18253</v>
      </c>
      <c r="F467" t="s">
        <v>3947</v>
      </c>
      <c r="G467">
        <v>4</v>
      </c>
      <c r="H467" t="s">
        <v>3878</v>
      </c>
      <c r="I467" t="s">
        <v>461</v>
      </c>
    </row>
    <row r="468" spans="1:9" x14ac:dyDescent="0.3">
      <c r="A468">
        <v>72803</v>
      </c>
      <c r="B468">
        <v>116</v>
      </c>
      <c r="C468" s="453">
        <v>46054</v>
      </c>
      <c r="D468" t="s">
        <v>568</v>
      </c>
      <c r="E468">
        <v>25767</v>
      </c>
      <c r="F468" t="s">
        <v>3976</v>
      </c>
      <c r="G468">
        <v>2.5</v>
      </c>
      <c r="H468" t="s">
        <v>3892</v>
      </c>
      <c r="I468" t="s">
        <v>462</v>
      </c>
    </row>
    <row r="469" spans="1:9" x14ac:dyDescent="0.3">
      <c r="A469">
        <v>72804</v>
      </c>
      <c r="B469">
        <v>116</v>
      </c>
      <c r="C469" s="453">
        <v>46054</v>
      </c>
      <c r="D469" t="s">
        <v>568</v>
      </c>
      <c r="E469">
        <v>17886</v>
      </c>
      <c r="F469" t="s">
        <v>3935</v>
      </c>
      <c r="G469">
        <v>30</v>
      </c>
      <c r="H469" t="s">
        <v>3888</v>
      </c>
      <c r="I469" t="s">
        <v>462</v>
      </c>
    </row>
    <row r="470" spans="1:9" x14ac:dyDescent="0.3">
      <c r="A470">
        <v>72805</v>
      </c>
      <c r="B470">
        <v>116</v>
      </c>
      <c r="C470" s="453">
        <v>46054</v>
      </c>
      <c r="D470" t="s">
        <v>568</v>
      </c>
      <c r="E470">
        <v>21123</v>
      </c>
      <c r="F470" t="s">
        <v>4115</v>
      </c>
      <c r="G470">
        <v>3</v>
      </c>
      <c r="H470" t="s">
        <v>3892</v>
      </c>
      <c r="I470" t="s">
        <v>462</v>
      </c>
    </row>
    <row r="471" spans="1:9" x14ac:dyDescent="0.3">
      <c r="A471">
        <v>72806</v>
      </c>
      <c r="B471">
        <v>116</v>
      </c>
      <c r="C471" s="453">
        <v>46054</v>
      </c>
      <c r="D471" t="s">
        <v>568</v>
      </c>
      <c r="E471">
        <v>17905</v>
      </c>
      <c r="F471" t="s">
        <v>4139</v>
      </c>
      <c r="G471">
        <v>26.92</v>
      </c>
      <c r="H471" t="s">
        <v>3888</v>
      </c>
      <c r="I471" t="s">
        <v>462</v>
      </c>
    </row>
    <row r="472" spans="1:9" x14ac:dyDescent="0.3">
      <c r="A472">
        <v>72807</v>
      </c>
      <c r="B472">
        <v>116</v>
      </c>
      <c r="C472" s="453">
        <v>46054</v>
      </c>
      <c r="D472" t="s">
        <v>568</v>
      </c>
      <c r="E472">
        <v>17895</v>
      </c>
      <c r="F472" t="s">
        <v>4137</v>
      </c>
      <c r="G472">
        <v>23</v>
      </c>
      <c r="H472" t="s">
        <v>3888</v>
      </c>
      <c r="I472" t="s">
        <v>462</v>
      </c>
    </row>
    <row r="473" spans="1:9" x14ac:dyDescent="0.3">
      <c r="A473">
        <v>72808</v>
      </c>
      <c r="B473">
        <v>116</v>
      </c>
      <c r="C473" s="453">
        <v>46054</v>
      </c>
      <c r="D473" t="s">
        <v>568</v>
      </c>
      <c r="E473">
        <v>17958</v>
      </c>
      <c r="F473" t="s">
        <v>4141</v>
      </c>
      <c r="G473">
        <v>19.920000000000002</v>
      </c>
      <c r="H473" t="s">
        <v>3888</v>
      </c>
      <c r="I473" t="s">
        <v>462</v>
      </c>
    </row>
    <row r="474" spans="1:9" x14ac:dyDescent="0.3">
      <c r="A474">
        <v>72809</v>
      </c>
      <c r="B474">
        <v>116</v>
      </c>
      <c r="C474" s="453">
        <v>46054</v>
      </c>
      <c r="D474" t="s">
        <v>568</v>
      </c>
      <c r="E474">
        <v>17983</v>
      </c>
      <c r="F474" t="s">
        <v>4142</v>
      </c>
      <c r="G474">
        <v>10.67</v>
      </c>
      <c r="H474" t="s">
        <v>3888</v>
      </c>
      <c r="I474" t="s">
        <v>462</v>
      </c>
    </row>
    <row r="475" spans="1:9" x14ac:dyDescent="0.3">
      <c r="A475">
        <v>72810</v>
      </c>
      <c r="B475">
        <v>116</v>
      </c>
      <c r="C475" s="453">
        <v>46054</v>
      </c>
      <c r="D475" t="s">
        <v>568</v>
      </c>
      <c r="E475">
        <v>25197</v>
      </c>
      <c r="F475" t="s">
        <v>4143</v>
      </c>
      <c r="G475">
        <v>84</v>
      </c>
      <c r="H475" t="s">
        <v>3872</v>
      </c>
      <c r="I475" t="s">
        <v>462</v>
      </c>
    </row>
    <row r="476" spans="1:9" x14ac:dyDescent="0.3">
      <c r="A476">
        <v>72811</v>
      </c>
      <c r="B476">
        <v>116</v>
      </c>
      <c r="C476" s="453">
        <v>46054</v>
      </c>
      <c r="D476" t="s">
        <v>568</v>
      </c>
      <c r="E476">
        <v>23095</v>
      </c>
      <c r="F476" t="s">
        <v>3882</v>
      </c>
      <c r="G476">
        <v>77</v>
      </c>
      <c r="H476" t="s">
        <v>3872</v>
      </c>
      <c r="I476" t="s">
        <v>462</v>
      </c>
    </row>
    <row r="477" spans="1:9" x14ac:dyDescent="0.3">
      <c r="A477">
        <v>72812</v>
      </c>
      <c r="B477">
        <v>116</v>
      </c>
      <c r="C477" s="453">
        <v>46054</v>
      </c>
      <c r="D477" t="s">
        <v>568</v>
      </c>
      <c r="E477">
        <v>18006</v>
      </c>
      <c r="F477" t="s">
        <v>4138</v>
      </c>
      <c r="G477">
        <v>5.25</v>
      </c>
      <c r="H477" t="s">
        <v>3888</v>
      </c>
      <c r="I477" t="s">
        <v>462</v>
      </c>
    </row>
    <row r="478" spans="1:9" x14ac:dyDescent="0.3">
      <c r="A478">
        <v>72813</v>
      </c>
      <c r="B478">
        <v>116</v>
      </c>
      <c r="C478" s="453">
        <v>46054</v>
      </c>
      <c r="D478" t="s">
        <v>568</v>
      </c>
      <c r="E478">
        <v>25196</v>
      </c>
      <c r="F478" t="s">
        <v>3873</v>
      </c>
      <c r="G478">
        <v>57</v>
      </c>
      <c r="H478" t="s">
        <v>3872</v>
      </c>
      <c r="I478" t="s">
        <v>462</v>
      </c>
    </row>
    <row r="479" spans="1:9" x14ac:dyDescent="0.3">
      <c r="A479">
        <v>72814</v>
      </c>
      <c r="B479">
        <v>116</v>
      </c>
      <c r="C479" s="453">
        <v>46054</v>
      </c>
      <c r="D479" t="s">
        <v>568</v>
      </c>
      <c r="E479">
        <v>23096</v>
      </c>
      <c r="F479" t="s">
        <v>3876</v>
      </c>
      <c r="G479">
        <v>55</v>
      </c>
      <c r="H479" t="s">
        <v>3872</v>
      </c>
      <c r="I479" t="s">
        <v>462</v>
      </c>
    </row>
    <row r="480" spans="1:9" x14ac:dyDescent="0.3">
      <c r="A480">
        <v>72815</v>
      </c>
      <c r="B480">
        <v>116</v>
      </c>
      <c r="C480" s="453">
        <v>46054</v>
      </c>
      <c r="D480" t="s">
        <v>568</v>
      </c>
      <c r="E480">
        <v>18004</v>
      </c>
      <c r="F480" t="s">
        <v>4140</v>
      </c>
      <c r="G480">
        <v>4.5</v>
      </c>
      <c r="H480" t="s">
        <v>3888</v>
      </c>
      <c r="I480" t="s">
        <v>462</v>
      </c>
    </row>
    <row r="481" spans="1:9" x14ac:dyDescent="0.3">
      <c r="A481">
        <v>72816</v>
      </c>
      <c r="B481">
        <v>116</v>
      </c>
      <c r="C481" s="453">
        <v>46054</v>
      </c>
      <c r="D481" t="s">
        <v>568</v>
      </c>
      <c r="E481">
        <v>26193</v>
      </c>
      <c r="F481" t="s">
        <v>3950</v>
      </c>
      <c r="G481">
        <v>36</v>
      </c>
      <c r="H481" t="s">
        <v>3872</v>
      </c>
      <c r="I481" t="s">
        <v>462</v>
      </c>
    </row>
    <row r="482" spans="1:9" x14ac:dyDescent="0.3">
      <c r="A482">
        <v>72817</v>
      </c>
      <c r="B482">
        <v>116</v>
      </c>
      <c r="C482" s="453">
        <v>46054</v>
      </c>
      <c r="D482" t="s">
        <v>568</v>
      </c>
      <c r="E482">
        <v>25195</v>
      </c>
      <c r="F482" t="s">
        <v>3874</v>
      </c>
      <c r="G482">
        <v>27</v>
      </c>
      <c r="H482" t="s">
        <v>3872</v>
      </c>
      <c r="I482" t="s">
        <v>462</v>
      </c>
    </row>
    <row r="483" spans="1:9" x14ac:dyDescent="0.3">
      <c r="A483">
        <v>72818</v>
      </c>
      <c r="B483">
        <v>116</v>
      </c>
      <c r="C483" s="453">
        <v>46054</v>
      </c>
      <c r="D483" t="s">
        <v>568</v>
      </c>
      <c r="E483">
        <v>19139</v>
      </c>
      <c r="F483" t="s">
        <v>3887</v>
      </c>
      <c r="G483">
        <v>26</v>
      </c>
      <c r="H483" t="s">
        <v>3888</v>
      </c>
      <c r="I483" t="s">
        <v>462</v>
      </c>
    </row>
    <row r="484" spans="1:9" x14ac:dyDescent="0.3">
      <c r="A484">
        <v>72819</v>
      </c>
      <c r="B484">
        <v>116</v>
      </c>
      <c r="C484" s="453">
        <v>46054</v>
      </c>
      <c r="D484" t="s">
        <v>568</v>
      </c>
      <c r="E484">
        <v>21030</v>
      </c>
      <c r="F484" t="s">
        <v>3890</v>
      </c>
      <c r="G484">
        <v>24</v>
      </c>
      <c r="H484" t="s">
        <v>3872</v>
      </c>
      <c r="I484" t="s">
        <v>462</v>
      </c>
    </row>
    <row r="485" spans="1:9" x14ac:dyDescent="0.3">
      <c r="A485">
        <v>72820</v>
      </c>
      <c r="B485">
        <v>116</v>
      </c>
      <c r="C485" s="453">
        <v>46054</v>
      </c>
      <c r="D485" t="s">
        <v>568</v>
      </c>
      <c r="E485">
        <v>20985</v>
      </c>
      <c r="F485" t="s">
        <v>3914</v>
      </c>
      <c r="G485">
        <v>18</v>
      </c>
      <c r="H485" t="s">
        <v>3872</v>
      </c>
      <c r="I485" t="s">
        <v>462</v>
      </c>
    </row>
    <row r="486" spans="1:9" x14ac:dyDescent="0.3">
      <c r="A486">
        <v>72821</v>
      </c>
      <c r="B486">
        <v>116</v>
      </c>
      <c r="C486" s="453">
        <v>46054</v>
      </c>
      <c r="D486" t="s">
        <v>568</v>
      </c>
      <c r="E486">
        <v>19420</v>
      </c>
      <c r="F486" t="s">
        <v>3899</v>
      </c>
      <c r="G486">
        <v>17</v>
      </c>
      <c r="H486" t="s">
        <v>3872</v>
      </c>
      <c r="I486" t="s">
        <v>462</v>
      </c>
    </row>
    <row r="487" spans="1:9" x14ac:dyDescent="0.3">
      <c r="A487">
        <v>72822</v>
      </c>
      <c r="B487">
        <v>116</v>
      </c>
      <c r="C487" s="453">
        <v>46054</v>
      </c>
      <c r="D487" t="s">
        <v>568</v>
      </c>
      <c r="E487">
        <v>21093</v>
      </c>
      <c r="F487" t="s">
        <v>3903</v>
      </c>
      <c r="G487">
        <v>16</v>
      </c>
      <c r="H487" t="s">
        <v>3892</v>
      </c>
      <c r="I487" t="s">
        <v>462</v>
      </c>
    </row>
    <row r="488" spans="1:9" x14ac:dyDescent="0.3">
      <c r="A488">
        <v>72823</v>
      </c>
      <c r="B488">
        <v>116</v>
      </c>
      <c r="C488" s="453">
        <v>46054</v>
      </c>
      <c r="D488" t="s">
        <v>568</v>
      </c>
      <c r="E488">
        <v>27711</v>
      </c>
      <c r="F488" t="s">
        <v>3913</v>
      </c>
      <c r="G488">
        <v>13</v>
      </c>
      <c r="H488" t="s">
        <v>3872</v>
      </c>
      <c r="I488" t="s">
        <v>462</v>
      </c>
    </row>
    <row r="489" spans="1:9" x14ac:dyDescent="0.3">
      <c r="A489">
        <v>72824</v>
      </c>
      <c r="B489">
        <v>116</v>
      </c>
      <c r="C489" s="453">
        <v>46054</v>
      </c>
      <c r="D489" t="s">
        <v>568</v>
      </c>
      <c r="E489">
        <v>20682</v>
      </c>
      <c r="F489" t="s">
        <v>3929</v>
      </c>
      <c r="G489">
        <v>12</v>
      </c>
      <c r="H489" t="s">
        <v>3872</v>
      </c>
      <c r="I489" t="s">
        <v>462</v>
      </c>
    </row>
    <row r="490" spans="1:9" x14ac:dyDescent="0.3">
      <c r="A490">
        <v>72825</v>
      </c>
      <c r="B490">
        <v>116</v>
      </c>
      <c r="C490" s="453">
        <v>46054</v>
      </c>
      <c r="D490" t="s">
        <v>568</v>
      </c>
      <c r="E490">
        <v>19984</v>
      </c>
      <c r="F490" t="s">
        <v>3904</v>
      </c>
      <c r="G490">
        <v>12</v>
      </c>
      <c r="H490" t="s">
        <v>3872</v>
      </c>
      <c r="I490" t="s">
        <v>462</v>
      </c>
    </row>
    <row r="491" spans="1:9" x14ac:dyDescent="0.3">
      <c r="A491">
        <v>72826</v>
      </c>
      <c r="B491">
        <v>116</v>
      </c>
      <c r="C491" s="453">
        <v>46054</v>
      </c>
      <c r="D491" t="s">
        <v>568</v>
      </c>
      <c r="E491">
        <v>24002</v>
      </c>
      <c r="F491" t="s">
        <v>3924</v>
      </c>
      <c r="G491">
        <v>10</v>
      </c>
      <c r="H491" t="s">
        <v>3872</v>
      </c>
      <c r="I491" t="s">
        <v>462</v>
      </c>
    </row>
    <row r="492" spans="1:9" x14ac:dyDescent="0.3">
      <c r="A492">
        <v>72827</v>
      </c>
      <c r="B492">
        <v>116</v>
      </c>
      <c r="C492" s="453">
        <v>46054</v>
      </c>
      <c r="D492" t="s">
        <v>568</v>
      </c>
      <c r="E492">
        <v>17883</v>
      </c>
      <c r="F492" t="s">
        <v>4136</v>
      </c>
      <c r="G492">
        <v>0.83</v>
      </c>
      <c r="H492" t="s">
        <v>3888</v>
      </c>
      <c r="I492" t="s">
        <v>462</v>
      </c>
    </row>
    <row r="493" spans="1:9" x14ac:dyDescent="0.3">
      <c r="A493">
        <v>72828</v>
      </c>
      <c r="B493">
        <v>116</v>
      </c>
      <c r="C493" s="453">
        <v>46054</v>
      </c>
      <c r="D493" t="s">
        <v>568</v>
      </c>
      <c r="E493">
        <v>24185</v>
      </c>
      <c r="F493" t="s">
        <v>4040</v>
      </c>
      <c r="G493">
        <v>2</v>
      </c>
      <c r="H493" t="s">
        <v>3892</v>
      </c>
      <c r="I493" t="s">
        <v>462</v>
      </c>
    </row>
    <row r="494" spans="1:9" x14ac:dyDescent="0.3">
      <c r="A494">
        <v>72829</v>
      </c>
      <c r="B494">
        <v>116</v>
      </c>
      <c r="C494" s="453">
        <v>46054</v>
      </c>
      <c r="D494" t="s">
        <v>568</v>
      </c>
      <c r="E494">
        <v>20555</v>
      </c>
      <c r="F494" t="s">
        <v>3959</v>
      </c>
      <c r="G494">
        <v>2.7</v>
      </c>
      <c r="H494" t="s">
        <v>3892</v>
      </c>
      <c r="I494" t="s">
        <v>462</v>
      </c>
    </row>
    <row r="495" spans="1:9" x14ac:dyDescent="0.3">
      <c r="A495">
        <v>72830</v>
      </c>
      <c r="B495">
        <v>116</v>
      </c>
      <c r="C495" s="453">
        <v>46054</v>
      </c>
      <c r="D495" t="s">
        <v>568</v>
      </c>
      <c r="E495">
        <v>23760</v>
      </c>
      <c r="F495" t="s">
        <v>4007</v>
      </c>
      <c r="G495">
        <v>16.2</v>
      </c>
      <c r="H495" t="s">
        <v>3892</v>
      </c>
      <c r="I495" t="s">
        <v>462</v>
      </c>
    </row>
    <row r="496" spans="1:9" x14ac:dyDescent="0.3">
      <c r="A496">
        <v>72831</v>
      </c>
      <c r="B496">
        <v>116</v>
      </c>
      <c r="C496" s="453">
        <v>46054</v>
      </c>
      <c r="D496" t="s">
        <v>568</v>
      </c>
      <c r="E496">
        <v>24212</v>
      </c>
      <c r="F496" t="s">
        <v>4056</v>
      </c>
      <c r="G496">
        <v>4</v>
      </c>
      <c r="H496" t="s">
        <v>3892</v>
      </c>
      <c r="I496" t="s">
        <v>462</v>
      </c>
    </row>
    <row r="497" spans="1:9" x14ac:dyDescent="0.3">
      <c r="A497">
        <v>72832</v>
      </c>
      <c r="B497">
        <v>116</v>
      </c>
      <c r="C497" s="453">
        <v>46054</v>
      </c>
      <c r="D497" t="s">
        <v>568</v>
      </c>
      <c r="E497">
        <v>20661</v>
      </c>
      <c r="F497" t="s">
        <v>3919</v>
      </c>
      <c r="G497">
        <v>9</v>
      </c>
      <c r="H497" t="s">
        <v>3872</v>
      </c>
      <c r="I497" t="s">
        <v>462</v>
      </c>
    </row>
    <row r="498" spans="1:9" x14ac:dyDescent="0.3">
      <c r="A498">
        <v>72833</v>
      </c>
      <c r="B498">
        <v>116</v>
      </c>
      <c r="C498" s="453">
        <v>46054</v>
      </c>
      <c r="D498" t="s">
        <v>568</v>
      </c>
      <c r="E498">
        <v>17917</v>
      </c>
      <c r="F498" t="s">
        <v>4144</v>
      </c>
      <c r="G498">
        <v>0.38</v>
      </c>
      <c r="H498" t="s">
        <v>3888</v>
      </c>
      <c r="I498" t="s">
        <v>462</v>
      </c>
    </row>
    <row r="499" spans="1:9" x14ac:dyDescent="0.3">
      <c r="A499">
        <v>72834</v>
      </c>
      <c r="B499">
        <v>116</v>
      </c>
      <c r="C499" s="453">
        <v>46054</v>
      </c>
      <c r="D499" t="s">
        <v>568</v>
      </c>
      <c r="E499">
        <v>25167</v>
      </c>
      <c r="F499" t="s">
        <v>3951</v>
      </c>
      <c r="G499">
        <v>20</v>
      </c>
      <c r="H499" t="s">
        <v>3892</v>
      </c>
      <c r="I499" t="s">
        <v>462</v>
      </c>
    </row>
    <row r="500" spans="1:9" x14ac:dyDescent="0.3">
      <c r="A500">
        <v>72835</v>
      </c>
      <c r="B500">
        <v>116</v>
      </c>
      <c r="C500" s="453">
        <v>46054</v>
      </c>
      <c r="D500" t="s">
        <v>568</v>
      </c>
      <c r="E500">
        <v>20500</v>
      </c>
      <c r="F500" t="s">
        <v>3954</v>
      </c>
      <c r="G500">
        <v>8.6</v>
      </c>
      <c r="H500" t="s">
        <v>3872</v>
      </c>
      <c r="I500" t="s">
        <v>462</v>
      </c>
    </row>
    <row r="501" spans="1:9" x14ac:dyDescent="0.3">
      <c r="A501">
        <v>72836</v>
      </c>
      <c r="B501">
        <v>116</v>
      </c>
      <c r="C501" s="453">
        <v>46054</v>
      </c>
      <c r="D501" t="s">
        <v>568</v>
      </c>
      <c r="E501">
        <v>25720</v>
      </c>
      <c r="F501" t="s">
        <v>3926</v>
      </c>
      <c r="G501">
        <v>6</v>
      </c>
      <c r="H501" t="s">
        <v>3892</v>
      </c>
      <c r="I501" t="s">
        <v>462</v>
      </c>
    </row>
    <row r="502" spans="1:9" x14ac:dyDescent="0.3">
      <c r="A502">
        <v>72837</v>
      </c>
      <c r="B502">
        <v>116</v>
      </c>
      <c r="C502" s="453">
        <v>46054</v>
      </c>
      <c r="D502" t="s">
        <v>568</v>
      </c>
      <c r="E502">
        <v>20278</v>
      </c>
      <c r="F502" t="s">
        <v>3939</v>
      </c>
      <c r="G502">
        <v>8</v>
      </c>
      <c r="H502" t="s">
        <v>3872</v>
      </c>
      <c r="I502" t="s">
        <v>462</v>
      </c>
    </row>
    <row r="503" spans="1:9" x14ac:dyDescent="0.3">
      <c r="A503">
        <v>72838</v>
      </c>
      <c r="B503">
        <v>116</v>
      </c>
      <c r="C503" s="453">
        <v>46054</v>
      </c>
      <c r="D503" t="s">
        <v>568</v>
      </c>
      <c r="E503">
        <v>20359</v>
      </c>
      <c r="F503" t="s">
        <v>3917</v>
      </c>
      <c r="G503">
        <v>8</v>
      </c>
      <c r="H503" t="s">
        <v>3872</v>
      </c>
      <c r="I503" t="s">
        <v>462</v>
      </c>
    </row>
    <row r="504" spans="1:9" x14ac:dyDescent="0.3">
      <c r="A504">
        <v>72839</v>
      </c>
      <c r="B504">
        <v>116</v>
      </c>
      <c r="C504" s="453">
        <v>46054</v>
      </c>
      <c r="D504" t="s">
        <v>568</v>
      </c>
      <c r="E504">
        <v>20242</v>
      </c>
      <c r="F504" t="s">
        <v>4120</v>
      </c>
      <c r="G504">
        <v>8</v>
      </c>
      <c r="H504" t="s">
        <v>3888</v>
      </c>
      <c r="I504" t="s">
        <v>462</v>
      </c>
    </row>
    <row r="505" spans="1:9" x14ac:dyDescent="0.3">
      <c r="A505">
        <v>72840</v>
      </c>
      <c r="B505">
        <v>116</v>
      </c>
      <c r="C505" s="453">
        <v>46054</v>
      </c>
      <c r="D505" t="s">
        <v>568</v>
      </c>
      <c r="E505">
        <v>18636</v>
      </c>
      <c r="F505" t="s">
        <v>3921</v>
      </c>
      <c r="G505">
        <v>7</v>
      </c>
      <c r="H505" t="s">
        <v>3922</v>
      </c>
      <c r="I505" t="s">
        <v>462</v>
      </c>
    </row>
    <row r="506" spans="1:9" x14ac:dyDescent="0.3">
      <c r="A506">
        <v>72841</v>
      </c>
      <c r="B506">
        <v>116</v>
      </c>
      <c r="C506" s="453">
        <v>46054</v>
      </c>
      <c r="D506" t="s">
        <v>568</v>
      </c>
      <c r="E506">
        <v>20358</v>
      </c>
      <c r="F506" t="s">
        <v>3952</v>
      </c>
      <c r="G506">
        <v>6</v>
      </c>
      <c r="H506" t="s">
        <v>3888</v>
      </c>
      <c r="I506" t="s">
        <v>462</v>
      </c>
    </row>
    <row r="507" spans="1:9" x14ac:dyDescent="0.3">
      <c r="A507">
        <v>72842</v>
      </c>
      <c r="B507">
        <v>116</v>
      </c>
      <c r="C507" s="453">
        <v>46054</v>
      </c>
      <c r="D507" t="s">
        <v>568</v>
      </c>
      <c r="E507">
        <v>20227</v>
      </c>
      <c r="F507" t="s">
        <v>3968</v>
      </c>
      <c r="G507">
        <v>6</v>
      </c>
      <c r="H507" t="s">
        <v>3888</v>
      </c>
      <c r="I507" t="s">
        <v>462</v>
      </c>
    </row>
    <row r="508" spans="1:9" x14ac:dyDescent="0.3">
      <c r="A508">
        <v>72843</v>
      </c>
      <c r="B508">
        <v>116</v>
      </c>
      <c r="C508" s="453">
        <v>46054</v>
      </c>
      <c r="D508" t="s">
        <v>568</v>
      </c>
      <c r="E508">
        <v>20234</v>
      </c>
      <c r="F508" t="s">
        <v>3979</v>
      </c>
      <c r="G508">
        <v>4</v>
      </c>
      <c r="H508" t="s">
        <v>3892</v>
      </c>
      <c r="I508" t="s">
        <v>462</v>
      </c>
    </row>
    <row r="509" spans="1:9" x14ac:dyDescent="0.3">
      <c r="A509">
        <v>72844</v>
      </c>
      <c r="B509">
        <v>116</v>
      </c>
      <c r="C509" s="453">
        <v>46054</v>
      </c>
      <c r="D509" t="s">
        <v>568</v>
      </c>
      <c r="E509">
        <v>20326</v>
      </c>
      <c r="F509" t="s">
        <v>3953</v>
      </c>
      <c r="G509">
        <v>3</v>
      </c>
      <c r="H509" t="s">
        <v>3892</v>
      </c>
      <c r="I509" t="s">
        <v>462</v>
      </c>
    </row>
    <row r="510" spans="1:9" x14ac:dyDescent="0.3">
      <c r="A510">
        <v>72845</v>
      </c>
      <c r="B510">
        <v>116</v>
      </c>
      <c r="C510" s="453">
        <v>46054</v>
      </c>
      <c r="D510" t="s">
        <v>568</v>
      </c>
      <c r="E510">
        <v>19415</v>
      </c>
      <c r="F510" t="s">
        <v>3941</v>
      </c>
      <c r="G510">
        <v>6</v>
      </c>
      <c r="H510" t="s">
        <v>3872</v>
      </c>
      <c r="I510" t="s">
        <v>462</v>
      </c>
    </row>
    <row r="511" spans="1:9" x14ac:dyDescent="0.3">
      <c r="A511">
        <v>72846</v>
      </c>
      <c r="B511">
        <v>116</v>
      </c>
      <c r="C511" s="453">
        <v>46054</v>
      </c>
      <c r="D511" t="s">
        <v>568</v>
      </c>
      <c r="E511">
        <v>17093</v>
      </c>
      <c r="F511" t="s">
        <v>3993</v>
      </c>
      <c r="G511">
        <v>6</v>
      </c>
      <c r="H511" t="s">
        <v>3888</v>
      </c>
      <c r="I511" t="s">
        <v>462</v>
      </c>
    </row>
    <row r="512" spans="1:9" x14ac:dyDescent="0.3">
      <c r="A512">
        <v>72847</v>
      </c>
      <c r="B512">
        <v>116</v>
      </c>
      <c r="C512" s="453">
        <v>46054</v>
      </c>
      <c r="D512" t="s">
        <v>568</v>
      </c>
      <c r="E512">
        <v>17915</v>
      </c>
      <c r="F512" t="s">
        <v>4145</v>
      </c>
      <c r="G512">
        <v>0.25</v>
      </c>
      <c r="H512" t="s">
        <v>3888</v>
      </c>
      <c r="I512" t="s">
        <v>462</v>
      </c>
    </row>
    <row r="513" spans="1:9" x14ac:dyDescent="0.3">
      <c r="A513">
        <v>72848</v>
      </c>
      <c r="B513">
        <v>116</v>
      </c>
      <c r="C513" s="453">
        <v>46054</v>
      </c>
      <c r="D513" t="s">
        <v>568</v>
      </c>
      <c r="E513">
        <v>20539</v>
      </c>
      <c r="F513" t="s">
        <v>3908</v>
      </c>
      <c r="G513">
        <v>6</v>
      </c>
      <c r="H513" t="s">
        <v>3892</v>
      </c>
      <c r="I513" t="s">
        <v>462</v>
      </c>
    </row>
    <row r="514" spans="1:9" x14ac:dyDescent="0.3">
      <c r="A514">
        <v>72849</v>
      </c>
      <c r="B514">
        <v>116</v>
      </c>
      <c r="C514" s="453">
        <v>46054</v>
      </c>
      <c r="D514" t="s">
        <v>568</v>
      </c>
      <c r="E514">
        <v>24331</v>
      </c>
      <c r="F514" t="s">
        <v>3960</v>
      </c>
      <c r="G514">
        <v>1.7</v>
      </c>
      <c r="H514" t="s">
        <v>3892</v>
      </c>
      <c r="I514" t="s">
        <v>462</v>
      </c>
    </row>
    <row r="515" spans="1:9" x14ac:dyDescent="0.3">
      <c r="A515">
        <v>72850</v>
      </c>
      <c r="B515">
        <v>116</v>
      </c>
      <c r="C515" s="453">
        <v>46054</v>
      </c>
      <c r="D515" t="s">
        <v>568</v>
      </c>
      <c r="E515">
        <v>20519</v>
      </c>
      <c r="F515" t="s">
        <v>3902</v>
      </c>
      <c r="G515">
        <v>12.5</v>
      </c>
      <c r="H515" t="s">
        <v>3892</v>
      </c>
      <c r="I515" t="s">
        <v>462</v>
      </c>
    </row>
    <row r="516" spans="1:9" x14ac:dyDescent="0.3">
      <c r="A516">
        <v>72851</v>
      </c>
      <c r="B516">
        <v>116</v>
      </c>
      <c r="C516" s="453">
        <v>46054</v>
      </c>
      <c r="D516" t="s">
        <v>568</v>
      </c>
      <c r="E516">
        <v>23739</v>
      </c>
      <c r="F516" t="s">
        <v>4119</v>
      </c>
      <c r="G516">
        <v>4.0999999999999996</v>
      </c>
      <c r="H516" t="s">
        <v>3892</v>
      </c>
      <c r="I516" t="s">
        <v>462</v>
      </c>
    </row>
    <row r="517" spans="1:9" x14ac:dyDescent="0.3">
      <c r="A517">
        <v>72852</v>
      </c>
      <c r="B517">
        <v>116</v>
      </c>
      <c r="C517" s="453">
        <v>46054</v>
      </c>
      <c r="D517" t="s">
        <v>568</v>
      </c>
      <c r="E517">
        <v>20685</v>
      </c>
      <c r="F517" t="s">
        <v>4122</v>
      </c>
      <c r="G517">
        <v>5</v>
      </c>
      <c r="H517" t="s">
        <v>3872</v>
      </c>
      <c r="I517" t="s">
        <v>462</v>
      </c>
    </row>
    <row r="518" spans="1:9" x14ac:dyDescent="0.3">
      <c r="A518">
        <v>72853</v>
      </c>
      <c r="B518">
        <v>116</v>
      </c>
      <c r="C518" s="453">
        <v>46054</v>
      </c>
      <c r="D518" t="s">
        <v>568</v>
      </c>
      <c r="E518">
        <v>17881</v>
      </c>
      <c r="F518" t="s">
        <v>4095</v>
      </c>
      <c r="G518">
        <v>0.42</v>
      </c>
      <c r="H518" t="s">
        <v>3888</v>
      </c>
      <c r="I518" t="s">
        <v>462</v>
      </c>
    </row>
    <row r="519" spans="1:9" x14ac:dyDescent="0.3">
      <c r="A519">
        <v>72854</v>
      </c>
      <c r="B519">
        <v>116</v>
      </c>
      <c r="C519" s="453">
        <v>46054</v>
      </c>
      <c r="D519" t="s">
        <v>568</v>
      </c>
      <c r="E519">
        <v>24351</v>
      </c>
      <c r="F519" t="s">
        <v>3912</v>
      </c>
      <c r="G519">
        <v>28</v>
      </c>
      <c r="H519" t="s">
        <v>3872</v>
      </c>
      <c r="I519" t="s">
        <v>462</v>
      </c>
    </row>
    <row r="520" spans="1:9" x14ac:dyDescent="0.3">
      <c r="A520">
        <v>72855</v>
      </c>
      <c r="B520">
        <v>116</v>
      </c>
      <c r="C520" s="453">
        <v>46054</v>
      </c>
      <c r="D520" t="s">
        <v>568</v>
      </c>
      <c r="E520">
        <v>27472</v>
      </c>
      <c r="F520" t="s">
        <v>4146</v>
      </c>
      <c r="G520">
        <v>4</v>
      </c>
      <c r="H520" t="s">
        <v>3872</v>
      </c>
      <c r="I520" t="s">
        <v>462</v>
      </c>
    </row>
    <row r="521" spans="1:9" x14ac:dyDescent="0.3">
      <c r="A521">
        <v>72856</v>
      </c>
      <c r="B521">
        <v>116</v>
      </c>
      <c r="C521" s="453">
        <v>46054</v>
      </c>
      <c r="D521" t="s">
        <v>568</v>
      </c>
      <c r="E521">
        <v>23852</v>
      </c>
      <c r="F521" t="s">
        <v>4061</v>
      </c>
      <c r="G521">
        <v>1.5</v>
      </c>
      <c r="H521" t="s">
        <v>3892</v>
      </c>
      <c r="I521" t="s">
        <v>462</v>
      </c>
    </row>
    <row r="522" spans="1:9" x14ac:dyDescent="0.3">
      <c r="A522">
        <v>72857</v>
      </c>
      <c r="B522">
        <v>116</v>
      </c>
      <c r="C522" s="453">
        <v>46054</v>
      </c>
      <c r="D522" t="s">
        <v>568</v>
      </c>
      <c r="E522">
        <v>20729</v>
      </c>
      <c r="F522" t="s">
        <v>3965</v>
      </c>
      <c r="G522">
        <v>4</v>
      </c>
      <c r="H522" t="s">
        <v>3966</v>
      </c>
      <c r="I522" t="s">
        <v>462</v>
      </c>
    </row>
    <row r="523" spans="1:9" x14ac:dyDescent="0.3">
      <c r="A523">
        <v>72858</v>
      </c>
      <c r="B523">
        <v>116</v>
      </c>
      <c r="C523" s="453">
        <v>46054</v>
      </c>
      <c r="D523" t="s">
        <v>568</v>
      </c>
      <c r="E523">
        <v>23515</v>
      </c>
      <c r="F523" t="s">
        <v>3980</v>
      </c>
      <c r="G523">
        <v>4</v>
      </c>
      <c r="H523" t="s">
        <v>3872</v>
      </c>
      <c r="I523" t="s">
        <v>462</v>
      </c>
    </row>
    <row r="524" spans="1:9" x14ac:dyDescent="0.3">
      <c r="A524">
        <v>72859</v>
      </c>
      <c r="B524">
        <v>116</v>
      </c>
      <c r="C524" s="453">
        <v>46054</v>
      </c>
      <c r="D524" t="s">
        <v>568</v>
      </c>
      <c r="E524">
        <v>18594</v>
      </c>
      <c r="F524" t="s">
        <v>4147</v>
      </c>
      <c r="G524">
        <v>0.17</v>
      </c>
      <c r="H524" t="s">
        <v>3888</v>
      </c>
      <c r="I524" t="s">
        <v>462</v>
      </c>
    </row>
    <row r="525" spans="1:9" x14ac:dyDescent="0.3">
      <c r="A525">
        <v>72860</v>
      </c>
      <c r="B525">
        <v>116</v>
      </c>
      <c r="C525" s="453">
        <v>46054</v>
      </c>
      <c r="D525" t="s">
        <v>568</v>
      </c>
      <c r="E525">
        <v>20057</v>
      </c>
      <c r="F525" t="s">
        <v>3967</v>
      </c>
      <c r="G525">
        <v>3</v>
      </c>
      <c r="H525" t="s">
        <v>3872</v>
      </c>
      <c r="I525" t="s">
        <v>462</v>
      </c>
    </row>
    <row r="526" spans="1:9" x14ac:dyDescent="0.3">
      <c r="A526">
        <v>72861</v>
      </c>
      <c r="B526">
        <v>116</v>
      </c>
      <c r="C526" s="453">
        <v>46054</v>
      </c>
      <c r="D526" t="s">
        <v>568</v>
      </c>
      <c r="E526">
        <v>20703</v>
      </c>
      <c r="F526" t="s">
        <v>3893</v>
      </c>
      <c r="G526">
        <v>3</v>
      </c>
      <c r="H526" t="s">
        <v>3886</v>
      </c>
      <c r="I526" t="s">
        <v>462</v>
      </c>
    </row>
    <row r="527" spans="1:9" x14ac:dyDescent="0.3">
      <c r="A527">
        <v>72862</v>
      </c>
      <c r="B527">
        <v>116</v>
      </c>
      <c r="C527" s="453">
        <v>46054</v>
      </c>
      <c r="D527" t="s">
        <v>568</v>
      </c>
      <c r="E527">
        <v>20117</v>
      </c>
      <c r="F527" t="s">
        <v>4010</v>
      </c>
      <c r="G527">
        <v>3</v>
      </c>
      <c r="H527" t="s">
        <v>3872</v>
      </c>
      <c r="I527" t="s">
        <v>462</v>
      </c>
    </row>
    <row r="528" spans="1:9" x14ac:dyDescent="0.3">
      <c r="A528">
        <v>72863</v>
      </c>
      <c r="B528">
        <v>116</v>
      </c>
      <c r="C528" s="453">
        <v>46054</v>
      </c>
      <c r="D528" t="s">
        <v>568</v>
      </c>
      <c r="E528">
        <v>19973</v>
      </c>
      <c r="F528" t="s">
        <v>3981</v>
      </c>
      <c r="G528">
        <v>3</v>
      </c>
      <c r="H528" t="s">
        <v>3872</v>
      </c>
      <c r="I528" t="s">
        <v>462</v>
      </c>
    </row>
    <row r="529" spans="1:9" x14ac:dyDescent="0.3">
      <c r="A529">
        <v>72864</v>
      </c>
      <c r="B529">
        <v>116</v>
      </c>
      <c r="C529" s="453">
        <v>46054</v>
      </c>
      <c r="D529" t="s">
        <v>568</v>
      </c>
      <c r="E529">
        <v>23505</v>
      </c>
      <c r="F529" t="s">
        <v>4124</v>
      </c>
      <c r="G529">
        <v>0.5</v>
      </c>
      <c r="H529" t="s">
        <v>3892</v>
      </c>
      <c r="I529" t="s">
        <v>462</v>
      </c>
    </row>
    <row r="530" spans="1:9" x14ac:dyDescent="0.3">
      <c r="A530">
        <v>72865</v>
      </c>
      <c r="B530">
        <v>116</v>
      </c>
      <c r="C530" s="453">
        <v>46054</v>
      </c>
      <c r="D530" t="s">
        <v>568</v>
      </c>
      <c r="E530">
        <v>20976</v>
      </c>
      <c r="F530" t="s">
        <v>4062</v>
      </c>
      <c r="G530">
        <v>0.5</v>
      </c>
      <c r="H530" t="s">
        <v>3884</v>
      </c>
      <c r="I530" t="s">
        <v>462</v>
      </c>
    </row>
    <row r="531" spans="1:9" x14ac:dyDescent="0.3">
      <c r="A531">
        <v>72866</v>
      </c>
      <c r="B531">
        <v>116</v>
      </c>
      <c r="C531" s="453">
        <v>46054</v>
      </c>
      <c r="D531" t="s">
        <v>568</v>
      </c>
      <c r="E531">
        <v>18640</v>
      </c>
      <c r="F531" t="s">
        <v>3994</v>
      </c>
      <c r="G531">
        <v>3</v>
      </c>
      <c r="H531" t="s">
        <v>3922</v>
      </c>
      <c r="I531" t="s">
        <v>462</v>
      </c>
    </row>
    <row r="532" spans="1:9" x14ac:dyDescent="0.3">
      <c r="A532">
        <v>72867</v>
      </c>
      <c r="B532">
        <v>116</v>
      </c>
      <c r="C532" s="453">
        <v>46054</v>
      </c>
      <c r="D532" t="s">
        <v>568</v>
      </c>
      <c r="E532">
        <v>24392</v>
      </c>
      <c r="F532" t="s">
        <v>4041</v>
      </c>
      <c r="G532">
        <v>1.5</v>
      </c>
      <c r="H532" t="s">
        <v>3892</v>
      </c>
      <c r="I532" t="s">
        <v>462</v>
      </c>
    </row>
    <row r="533" spans="1:9" x14ac:dyDescent="0.3">
      <c r="A533">
        <v>72868</v>
      </c>
      <c r="B533">
        <v>116</v>
      </c>
      <c r="C533" s="453">
        <v>46054</v>
      </c>
      <c r="D533" t="s">
        <v>568</v>
      </c>
      <c r="E533">
        <v>17913</v>
      </c>
      <c r="F533" t="s">
        <v>4148</v>
      </c>
      <c r="G533">
        <v>0.12</v>
      </c>
      <c r="H533" t="s">
        <v>3888</v>
      </c>
      <c r="I533" t="s">
        <v>462</v>
      </c>
    </row>
    <row r="534" spans="1:9" x14ac:dyDescent="0.3">
      <c r="A534">
        <v>72869</v>
      </c>
      <c r="B534">
        <v>116</v>
      </c>
      <c r="C534" s="453">
        <v>46054</v>
      </c>
      <c r="D534" t="s">
        <v>568</v>
      </c>
      <c r="E534">
        <v>21166</v>
      </c>
      <c r="F534" t="s">
        <v>4001</v>
      </c>
      <c r="G534">
        <v>2.5</v>
      </c>
      <c r="H534" t="s">
        <v>3872</v>
      </c>
      <c r="I534" t="s">
        <v>462</v>
      </c>
    </row>
    <row r="535" spans="1:9" x14ac:dyDescent="0.3">
      <c r="A535">
        <v>72870</v>
      </c>
      <c r="B535">
        <v>116</v>
      </c>
      <c r="C535" s="453">
        <v>46054</v>
      </c>
      <c r="D535" t="s">
        <v>568</v>
      </c>
      <c r="E535">
        <v>24400</v>
      </c>
      <c r="F535" t="s">
        <v>4149</v>
      </c>
      <c r="G535">
        <v>1</v>
      </c>
      <c r="H535" t="s">
        <v>3872</v>
      </c>
      <c r="I535" t="s">
        <v>462</v>
      </c>
    </row>
    <row r="536" spans="1:9" x14ac:dyDescent="0.3">
      <c r="A536">
        <v>72871</v>
      </c>
      <c r="B536">
        <v>116</v>
      </c>
      <c r="C536" s="453">
        <v>46054</v>
      </c>
      <c r="D536" t="s">
        <v>568</v>
      </c>
      <c r="E536">
        <v>23500</v>
      </c>
      <c r="F536" t="s">
        <v>4116</v>
      </c>
      <c r="G536">
        <v>1</v>
      </c>
      <c r="H536" t="s">
        <v>3892</v>
      </c>
      <c r="I536" t="s">
        <v>462</v>
      </c>
    </row>
    <row r="537" spans="1:9" x14ac:dyDescent="0.3">
      <c r="A537">
        <v>72872</v>
      </c>
      <c r="B537">
        <v>116</v>
      </c>
      <c r="C537" s="453">
        <v>46054</v>
      </c>
      <c r="D537" t="s">
        <v>568</v>
      </c>
      <c r="E537">
        <v>21126</v>
      </c>
      <c r="F537" t="s">
        <v>4004</v>
      </c>
      <c r="G537">
        <v>2</v>
      </c>
      <c r="H537" t="s">
        <v>3888</v>
      </c>
      <c r="I537" t="s">
        <v>462</v>
      </c>
    </row>
    <row r="538" spans="1:9" x14ac:dyDescent="0.3">
      <c r="A538">
        <v>72873</v>
      </c>
      <c r="B538">
        <v>116</v>
      </c>
      <c r="C538" s="453">
        <v>46054</v>
      </c>
      <c r="D538" t="s">
        <v>568</v>
      </c>
      <c r="E538">
        <v>25768</v>
      </c>
      <c r="F538" t="s">
        <v>4012</v>
      </c>
      <c r="G538">
        <v>3</v>
      </c>
      <c r="H538" t="s">
        <v>3892</v>
      </c>
      <c r="I538" t="s">
        <v>462</v>
      </c>
    </row>
    <row r="539" spans="1:9" x14ac:dyDescent="0.3">
      <c r="A539">
        <v>72874</v>
      </c>
      <c r="B539">
        <v>116</v>
      </c>
      <c r="C539" s="453">
        <v>46054</v>
      </c>
      <c r="D539" t="s">
        <v>568</v>
      </c>
      <c r="E539">
        <v>20466</v>
      </c>
      <c r="F539" t="s">
        <v>4098</v>
      </c>
      <c r="G539">
        <v>1.4</v>
      </c>
      <c r="H539" t="s">
        <v>3892</v>
      </c>
      <c r="I539" t="s">
        <v>462</v>
      </c>
    </row>
    <row r="540" spans="1:9" x14ac:dyDescent="0.3">
      <c r="A540">
        <v>72875</v>
      </c>
      <c r="B540">
        <v>116</v>
      </c>
      <c r="C540" s="453">
        <v>46054</v>
      </c>
      <c r="D540" t="s">
        <v>568</v>
      </c>
      <c r="E540">
        <v>20458</v>
      </c>
      <c r="F540" t="s">
        <v>4121</v>
      </c>
      <c r="G540">
        <v>2.5</v>
      </c>
      <c r="H540" t="s">
        <v>3892</v>
      </c>
      <c r="I540" t="s">
        <v>462</v>
      </c>
    </row>
    <row r="541" spans="1:9" x14ac:dyDescent="0.3">
      <c r="A541">
        <v>72876</v>
      </c>
      <c r="B541">
        <v>116</v>
      </c>
      <c r="C541" s="453">
        <v>46054</v>
      </c>
      <c r="D541" t="s">
        <v>568</v>
      </c>
      <c r="E541">
        <v>20457</v>
      </c>
      <c r="F541" t="s">
        <v>3999</v>
      </c>
      <c r="G541">
        <v>2.2999999999999998</v>
      </c>
      <c r="H541" t="s">
        <v>3892</v>
      </c>
      <c r="I541" t="s">
        <v>462</v>
      </c>
    </row>
    <row r="542" spans="1:9" x14ac:dyDescent="0.3">
      <c r="A542">
        <v>72877</v>
      </c>
      <c r="B542">
        <v>116</v>
      </c>
      <c r="C542" s="453">
        <v>46054</v>
      </c>
      <c r="D542" t="s">
        <v>568</v>
      </c>
      <c r="E542">
        <v>20456</v>
      </c>
      <c r="F542" t="s">
        <v>4000</v>
      </c>
      <c r="G542">
        <v>2.2000000000000002</v>
      </c>
      <c r="H542" t="s">
        <v>3892</v>
      </c>
      <c r="I542" t="s">
        <v>462</v>
      </c>
    </row>
    <row r="543" spans="1:9" x14ac:dyDescent="0.3">
      <c r="A543">
        <v>72878</v>
      </c>
      <c r="B543">
        <v>116</v>
      </c>
      <c r="C543" s="453">
        <v>46054</v>
      </c>
      <c r="D543" t="s">
        <v>568</v>
      </c>
      <c r="E543">
        <v>25769</v>
      </c>
      <c r="F543" t="s">
        <v>4013</v>
      </c>
      <c r="G543">
        <v>1.5</v>
      </c>
      <c r="H543" t="s">
        <v>3892</v>
      </c>
      <c r="I543" t="s">
        <v>462</v>
      </c>
    </row>
    <row r="544" spans="1:9" x14ac:dyDescent="0.3">
      <c r="A544">
        <v>72879</v>
      </c>
      <c r="B544">
        <v>116</v>
      </c>
      <c r="C544" s="453">
        <v>46054</v>
      </c>
      <c r="D544" t="s">
        <v>568</v>
      </c>
      <c r="E544">
        <v>20287</v>
      </c>
      <c r="F544" t="s">
        <v>4053</v>
      </c>
      <c r="G544">
        <v>2</v>
      </c>
      <c r="H544" t="s">
        <v>3888</v>
      </c>
      <c r="I544" t="s">
        <v>462</v>
      </c>
    </row>
    <row r="545" spans="1:9" x14ac:dyDescent="0.3">
      <c r="A545">
        <v>72880</v>
      </c>
      <c r="B545">
        <v>116</v>
      </c>
      <c r="C545" s="453">
        <v>46054</v>
      </c>
      <c r="D545" t="s">
        <v>568</v>
      </c>
      <c r="E545">
        <v>23622</v>
      </c>
      <c r="F545" t="s">
        <v>4150</v>
      </c>
      <c r="G545">
        <v>0.8</v>
      </c>
      <c r="H545" t="s">
        <v>3892</v>
      </c>
      <c r="I545" t="s">
        <v>462</v>
      </c>
    </row>
    <row r="546" spans="1:9" x14ac:dyDescent="0.3">
      <c r="A546">
        <v>72881</v>
      </c>
      <c r="B546">
        <v>116</v>
      </c>
      <c r="C546" s="453">
        <v>46054</v>
      </c>
      <c r="D546" t="s">
        <v>568</v>
      </c>
      <c r="E546">
        <v>20949</v>
      </c>
      <c r="F546" t="s">
        <v>3983</v>
      </c>
      <c r="G546">
        <v>9</v>
      </c>
      <c r="H546" t="s">
        <v>3878</v>
      </c>
      <c r="I546" t="s">
        <v>462</v>
      </c>
    </row>
    <row r="547" spans="1:9" x14ac:dyDescent="0.3">
      <c r="A547">
        <v>72882</v>
      </c>
      <c r="B547">
        <v>116</v>
      </c>
      <c r="C547" s="453">
        <v>46054</v>
      </c>
      <c r="D547" t="s">
        <v>568</v>
      </c>
      <c r="E547">
        <v>23393</v>
      </c>
      <c r="F547" t="s">
        <v>3940</v>
      </c>
      <c r="G547">
        <v>6</v>
      </c>
      <c r="H547" t="s">
        <v>3892</v>
      </c>
      <c r="I547" t="s">
        <v>462</v>
      </c>
    </row>
    <row r="548" spans="1:9" x14ac:dyDescent="0.3">
      <c r="A548">
        <v>72883</v>
      </c>
      <c r="B548">
        <v>116</v>
      </c>
      <c r="C548" s="453">
        <v>46054</v>
      </c>
      <c r="D548" t="s">
        <v>568</v>
      </c>
      <c r="E548">
        <v>23146</v>
      </c>
      <c r="F548" t="s">
        <v>4112</v>
      </c>
      <c r="G548">
        <v>0.2</v>
      </c>
      <c r="H548" t="s">
        <v>3892</v>
      </c>
      <c r="I548" t="s">
        <v>462</v>
      </c>
    </row>
    <row r="549" spans="1:9" x14ac:dyDescent="0.3">
      <c r="A549">
        <v>72884</v>
      </c>
      <c r="B549">
        <v>116</v>
      </c>
      <c r="C549" s="453">
        <v>46054</v>
      </c>
      <c r="D549" t="s">
        <v>568</v>
      </c>
      <c r="E549">
        <v>19505</v>
      </c>
      <c r="F549" t="s">
        <v>4101</v>
      </c>
      <c r="G549">
        <v>0.8</v>
      </c>
      <c r="H549" t="s">
        <v>3892</v>
      </c>
      <c r="I549" t="s">
        <v>462</v>
      </c>
    </row>
    <row r="550" spans="1:9" x14ac:dyDescent="0.3">
      <c r="A550">
        <v>72885</v>
      </c>
      <c r="B550">
        <v>116</v>
      </c>
      <c r="C550" s="453">
        <v>46054</v>
      </c>
      <c r="D550" t="s">
        <v>568</v>
      </c>
      <c r="E550">
        <v>23142</v>
      </c>
      <c r="F550" t="s">
        <v>4151</v>
      </c>
      <c r="G550">
        <v>0.4</v>
      </c>
      <c r="H550" t="s">
        <v>3892</v>
      </c>
      <c r="I550" t="s">
        <v>462</v>
      </c>
    </row>
    <row r="551" spans="1:9" x14ac:dyDescent="0.3">
      <c r="A551">
        <v>72886</v>
      </c>
      <c r="B551">
        <v>116</v>
      </c>
      <c r="C551" s="453">
        <v>46054</v>
      </c>
      <c r="D551" t="s">
        <v>568</v>
      </c>
      <c r="E551">
        <v>19498</v>
      </c>
      <c r="F551" t="s">
        <v>4065</v>
      </c>
      <c r="G551">
        <v>1</v>
      </c>
      <c r="H551" t="s">
        <v>3892</v>
      </c>
      <c r="I551" t="s">
        <v>462</v>
      </c>
    </row>
    <row r="552" spans="1:9" x14ac:dyDescent="0.3">
      <c r="A552">
        <v>72887</v>
      </c>
      <c r="B552">
        <v>116</v>
      </c>
      <c r="C552" s="453">
        <v>46054</v>
      </c>
      <c r="D552" t="s">
        <v>568</v>
      </c>
      <c r="E552">
        <v>23274</v>
      </c>
      <c r="F552" t="s">
        <v>4014</v>
      </c>
      <c r="G552">
        <v>1</v>
      </c>
      <c r="H552" t="s">
        <v>3892</v>
      </c>
      <c r="I552" t="s">
        <v>462</v>
      </c>
    </row>
    <row r="553" spans="1:9" x14ac:dyDescent="0.3">
      <c r="A553">
        <v>72888</v>
      </c>
      <c r="B553">
        <v>116</v>
      </c>
      <c r="C553" s="453">
        <v>46054</v>
      </c>
      <c r="D553" t="s">
        <v>568</v>
      </c>
      <c r="E553">
        <v>19649</v>
      </c>
      <c r="F553" t="s">
        <v>4015</v>
      </c>
      <c r="G553">
        <v>3</v>
      </c>
      <c r="H553" t="s">
        <v>3892</v>
      </c>
      <c r="I553" t="s">
        <v>462</v>
      </c>
    </row>
    <row r="554" spans="1:9" x14ac:dyDescent="0.3">
      <c r="A554">
        <v>72889</v>
      </c>
      <c r="B554">
        <v>116</v>
      </c>
      <c r="C554" s="453">
        <v>46054</v>
      </c>
      <c r="D554" t="s">
        <v>568</v>
      </c>
      <c r="E554">
        <v>19647</v>
      </c>
      <c r="F554" t="s">
        <v>4066</v>
      </c>
      <c r="G554">
        <v>1.5</v>
      </c>
      <c r="H554" t="s">
        <v>3892</v>
      </c>
      <c r="I554" t="s">
        <v>462</v>
      </c>
    </row>
    <row r="555" spans="1:9" x14ac:dyDescent="0.3">
      <c r="A555">
        <v>72890</v>
      </c>
      <c r="B555">
        <v>116</v>
      </c>
      <c r="C555" s="453">
        <v>46054</v>
      </c>
      <c r="D555" t="s">
        <v>568</v>
      </c>
      <c r="E555">
        <v>24037</v>
      </c>
      <c r="F555" t="s">
        <v>4104</v>
      </c>
      <c r="G555">
        <v>2</v>
      </c>
      <c r="H555" t="s">
        <v>3892</v>
      </c>
      <c r="I555" t="s">
        <v>462</v>
      </c>
    </row>
    <row r="556" spans="1:9" x14ac:dyDescent="0.3">
      <c r="A556">
        <v>72891</v>
      </c>
      <c r="B556">
        <v>116</v>
      </c>
      <c r="C556" s="453">
        <v>46054</v>
      </c>
      <c r="D556" t="s">
        <v>568</v>
      </c>
      <c r="E556">
        <v>23389</v>
      </c>
      <c r="F556" t="s">
        <v>4016</v>
      </c>
      <c r="G556">
        <v>2</v>
      </c>
      <c r="H556" t="s">
        <v>3892</v>
      </c>
      <c r="I556" t="s">
        <v>462</v>
      </c>
    </row>
    <row r="557" spans="1:9" x14ac:dyDescent="0.3">
      <c r="A557">
        <v>72892</v>
      </c>
      <c r="B557">
        <v>116</v>
      </c>
      <c r="C557" s="453">
        <v>46054</v>
      </c>
      <c r="D557" t="s">
        <v>568</v>
      </c>
      <c r="E557">
        <v>24083</v>
      </c>
      <c r="F557" t="s">
        <v>3898</v>
      </c>
      <c r="G557">
        <v>11</v>
      </c>
      <c r="H557" t="s">
        <v>3892</v>
      </c>
      <c r="I557" t="s">
        <v>462</v>
      </c>
    </row>
    <row r="558" spans="1:9" x14ac:dyDescent="0.3">
      <c r="A558">
        <v>72893</v>
      </c>
      <c r="B558">
        <v>116</v>
      </c>
      <c r="C558" s="453">
        <v>46054</v>
      </c>
      <c r="D558" t="s">
        <v>568</v>
      </c>
      <c r="E558">
        <v>19642</v>
      </c>
      <c r="F558" t="s">
        <v>4067</v>
      </c>
      <c r="G558">
        <v>1</v>
      </c>
      <c r="H558" t="s">
        <v>3892</v>
      </c>
      <c r="I558" t="s">
        <v>462</v>
      </c>
    </row>
    <row r="559" spans="1:9" x14ac:dyDescent="0.3">
      <c r="A559">
        <v>72894</v>
      </c>
      <c r="B559">
        <v>116</v>
      </c>
      <c r="C559" s="453">
        <v>46054</v>
      </c>
      <c r="D559" t="s">
        <v>568</v>
      </c>
      <c r="E559">
        <v>19634</v>
      </c>
      <c r="F559" t="s">
        <v>4068</v>
      </c>
      <c r="G559">
        <v>2</v>
      </c>
      <c r="H559" t="s">
        <v>3892</v>
      </c>
      <c r="I559" t="s">
        <v>462</v>
      </c>
    </row>
    <row r="560" spans="1:9" x14ac:dyDescent="0.3">
      <c r="A560">
        <v>72895</v>
      </c>
      <c r="B560">
        <v>116</v>
      </c>
      <c r="C560" s="453">
        <v>46054</v>
      </c>
      <c r="D560" t="s">
        <v>568</v>
      </c>
      <c r="E560">
        <v>19494</v>
      </c>
      <c r="F560" t="s">
        <v>4126</v>
      </c>
      <c r="G560">
        <v>2</v>
      </c>
      <c r="H560" t="s">
        <v>3892</v>
      </c>
      <c r="I560" t="s">
        <v>462</v>
      </c>
    </row>
    <row r="561" spans="1:9" x14ac:dyDescent="0.3">
      <c r="A561">
        <v>72896</v>
      </c>
      <c r="B561">
        <v>116</v>
      </c>
      <c r="C561" s="453">
        <v>46054</v>
      </c>
      <c r="D561" t="s">
        <v>568</v>
      </c>
      <c r="E561">
        <v>23385</v>
      </c>
      <c r="F561" t="s">
        <v>4069</v>
      </c>
      <c r="G561">
        <v>1</v>
      </c>
      <c r="H561" t="s">
        <v>3892</v>
      </c>
      <c r="I561" t="s">
        <v>462</v>
      </c>
    </row>
    <row r="562" spans="1:9" x14ac:dyDescent="0.3">
      <c r="A562">
        <v>72897</v>
      </c>
      <c r="B562">
        <v>116</v>
      </c>
      <c r="C562" s="453">
        <v>46054</v>
      </c>
      <c r="D562" t="s">
        <v>568</v>
      </c>
      <c r="E562">
        <v>24509</v>
      </c>
      <c r="F562" t="s">
        <v>3906</v>
      </c>
      <c r="G562">
        <v>20</v>
      </c>
      <c r="H562" t="s">
        <v>3892</v>
      </c>
      <c r="I562" t="s">
        <v>462</v>
      </c>
    </row>
    <row r="563" spans="1:9" x14ac:dyDescent="0.3">
      <c r="A563">
        <v>72898</v>
      </c>
      <c r="B563">
        <v>116</v>
      </c>
      <c r="C563" s="453">
        <v>46054</v>
      </c>
      <c r="D563" t="s">
        <v>568</v>
      </c>
      <c r="E563">
        <v>19623</v>
      </c>
      <c r="F563" t="s">
        <v>3984</v>
      </c>
      <c r="G563">
        <v>1.6</v>
      </c>
      <c r="H563" t="s">
        <v>3892</v>
      </c>
      <c r="I563" t="s">
        <v>462</v>
      </c>
    </row>
    <row r="564" spans="1:9" x14ac:dyDescent="0.3">
      <c r="A564">
        <v>72899</v>
      </c>
      <c r="B564">
        <v>116</v>
      </c>
      <c r="C564" s="453">
        <v>46054</v>
      </c>
      <c r="D564" t="s">
        <v>568</v>
      </c>
      <c r="E564">
        <v>19621</v>
      </c>
      <c r="F564" t="s">
        <v>4125</v>
      </c>
      <c r="G564">
        <v>2.1</v>
      </c>
      <c r="H564" t="s">
        <v>3892</v>
      </c>
      <c r="I564" t="s">
        <v>462</v>
      </c>
    </row>
    <row r="565" spans="1:9" x14ac:dyDescent="0.3">
      <c r="A565">
        <v>72900</v>
      </c>
      <c r="B565">
        <v>116</v>
      </c>
      <c r="C565" s="453">
        <v>46054</v>
      </c>
      <c r="D565" t="s">
        <v>568</v>
      </c>
      <c r="E565">
        <v>23236</v>
      </c>
      <c r="F565" t="s">
        <v>4017</v>
      </c>
      <c r="G565">
        <v>2.9</v>
      </c>
      <c r="H565" t="s">
        <v>3892</v>
      </c>
      <c r="I565" t="s">
        <v>462</v>
      </c>
    </row>
    <row r="566" spans="1:9" x14ac:dyDescent="0.3">
      <c r="A566">
        <v>72901</v>
      </c>
      <c r="B566">
        <v>116</v>
      </c>
      <c r="C566" s="453">
        <v>46054</v>
      </c>
      <c r="D566" t="s">
        <v>568</v>
      </c>
      <c r="E566">
        <v>23234</v>
      </c>
      <c r="F566" t="s">
        <v>4018</v>
      </c>
      <c r="G566">
        <v>3</v>
      </c>
      <c r="H566" t="s">
        <v>3892</v>
      </c>
      <c r="I566" t="s">
        <v>462</v>
      </c>
    </row>
    <row r="567" spans="1:9" x14ac:dyDescent="0.3">
      <c r="A567">
        <v>72902</v>
      </c>
      <c r="B567">
        <v>116</v>
      </c>
      <c r="C567" s="453">
        <v>46054</v>
      </c>
      <c r="D567" t="s">
        <v>568</v>
      </c>
      <c r="E567">
        <v>19765</v>
      </c>
      <c r="F567" t="s">
        <v>4071</v>
      </c>
      <c r="G567">
        <v>1</v>
      </c>
      <c r="H567" t="s">
        <v>3892</v>
      </c>
      <c r="I567" t="s">
        <v>462</v>
      </c>
    </row>
    <row r="568" spans="1:9" x14ac:dyDescent="0.3">
      <c r="A568">
        <v>72903</v>
      </c>
      <c r="B568">
        <v>116</v>
      </c>
      <c r="C568" s="453">
        <v>46054</v>
      </c>
      <c r="D568" t="s">
        <v>568</v>
      </c>
      <c r="E568">
        <v>19607</v>
      </c>
      <c r="F568" t="s">
        <v>4105</v>
      </c>
      <c r="G568">
        <v>1</v>
      </c>
      <c r="H568" t="s">
        <v>3892</v>
      </c>
      <c r="I568" t="s">
        <v>462</v>
      </c>
    </row>
    <row r="569" spans="1:9" x14ac:dyDescent="0.3">
      <c r="A569">
        <v>72904</v>
      </c>
      <c r="B569">
        <v>116</v>
      </c>
      <c r="C569" s="453">
        <v>46054</v>
      </c>
      <c r="D569" t="s">
        <v>568</v>
      </c>
      <c r="E569">
        <v>27079</v>
      </c>
      <c r="F569" t="s">
        <v>3891</v>
      </c>
      <c r="G569">
        <v>25</v>
      </c>
      <c r="H569" t="s">
        <v>3892</v>
      </c>
      <c r="I569" t="s">
        <v>462</v>
      </c>
    </row>
    <row r="570" spans="1:9" x14ac:dyDescent="0.3">
      <c r="A570">
        <v>72905</v>
      </c>
      <c r="B570">
        <v>116</v>
      </c>
      <c r="C570" s="453">
        <v>46054</v>
      </c>
      <c r="D570" t="s">
        <v>568</v>
      </c>
      <c r="E570">
        <v>23357</v>
      </c>
      <c r="F570" t="s">
        <v>4042</v>
      </c>
      <c r="G570">
        <v>1</v>
      </c>
      <c r="H570" t="s">
        <v>3892</v>
      </c>
      <c r="I570" t="s">
        <v>462</v>
      </c>
    </row>
    <row r="571" spans="1:9" x14ac:dyDescent="0.3">
      <c r="A571">
        <v>72906</v>
      </c>
      <c r="B571">
        <v>116</v>
      </c>
      <c r="C571" s="453">
        <v>46054</v>
      </c>
      <c r="D571" t="s">
        <v>568</v>
      </c>
      <c r="E571">
        <v>23356</v>
      </c>
      <c r="F571" t="s">
        <v>4019</v>
      </c>
      <c r="G571">
        <v>2</v>
      </c>
      <c r="H571" t="s">
        <v>3892</v>
      </c>
      <c r="I571" t="s">
        <v>462</v>
      </c>
    </row>
    <row r="572" spans="1:9" x14ac:dyDescent="0.3">
      <c r="A572">
        <v>72907</v>
      </c>
      <c r="B572">
        <v>116</v>
      </c>
      <c r="C572" s="453">
        <v>46054</v>
      </c>
      <c r="D572" t="s">
        <v>568</v>
      </c>
      <c r="E572">
        <v>24326</v>
      </c>
      <c r="F572" t="s">
        <v>3932</v>
      </c>
      <c r="G572">
        <v>3</v>
      </c>
      <c r="H572" t="s">
        <v>3892</v>
      </c>
      <c r="I572" t="s">
        <v>462</v>
      </c>
    </row>
    <row r="573" spans="1:9" x14ac:dyDescent="0.3">
      <c r="A573">
        <v>72908</v>
      </c>
      <c r="B573">
        <v>116</v>
      </c>
      <c r="C573" s="453">
        <v>46054</v>
      </c>
      <c r="D573" t="s">
        <v>568</v>
      </c>
      <c r="E573">
        <v>19478</v>
      </c>
      <c r="F573" t="s">
        <v>4072</v>
      </c>
      <c r="G573">
        <v>1</v>
      </c>
      <c r="H573" t="s">
        <v>3892</v>
      </c>
      <c r="I573" t="s">
        <v>462</v>
      </c>
    </row>
    <row r="574" spans="1:9" x14ac:dyDescent="0.3">
      <c r="A574">
        <v>72909</v>
      </c>
      <c r="B574">
        <v>116</v>
      </c>
      <c r="C574" s="453">
        <v>46054</v>
      </c>
      <c r="D574" t="s">
        <v>568</v>
      </c>
      <c r="E574">
        <v>19743</v>
      </c>
      <c r="F574" t="s">
        <v>4152</v>
      </c>
      <c r="G574">
        <v>2</v>
      </c>
      <c r="H574" t="s">
        <v>3892</v>
      </c>
      <c r="I574" t="s">
        <v>462</v>
      </c>
    </row>
    <row r="575" spans="1:9" x14ac:dyDescent="0.3">
      <c r="A575">
        <v>72910</v>
      </c>
      <c r="B575">
        <v>116</v>
      </c>
      <c r="C575" s="453">
        <v>46054</v>
      </c>
      <c r="D575" t="s">
        <v>568</v>
      </c>
      <c r="E575">
        <v>19689</v>
      </c>
      <c r="F575" t="s">
        <v>4073</v>
      </c>
      <c r="G575">
        <v>1</v>
      </c>
      <c r="H575" t="s">
        <v>3892</v>
      </c>
      <c r="I575" t="s">
        <v>462</v>
      </c>
    </row>
    <row r="576" spans="1:9" x14ac:dyDescent="0.3">
      <c r="A576">
        <v>72911</v>
      </c>
      <c r="B576">
        <v>116</v>
      </c>
      <c r="C576" s="453">
        <v>46054</v>
      </c>
      <c r="D576" t="s">
        <v>568</v>
      </c>
      <c r="E576">
        <v>19742</v>
      </c>
      <c r="F576" t="s">
        <v>4074</v>
      </c>
      <c r="G576">
        <v>1</v>
      </c>
      <c r="H576" t="s">
        <v>3892</v>
      </c>
      <c r="I576" t="s">
        <v>462</v>
      </c>
    </row>
    <row r="577" spans="1:9" x14ac:dyDescent="0.3">
      <c r="A577">
        <v>72912</v>
      </c>
      <c r="B577">
        <v>116</v>
      </c>
      <c r="C577" s="453">
        <v>46054</v>
      </c>
      <c r="D577" t="s">
        <v>568</v>
      </c>
      <c r="E577">
        <v>19475</v>
      </c>
      <c r="F577" t="s">
        <v>4111</v>
      </c>
      <c r="G577">
        <v>0.2</v>
      </c>
      <c r="H577" t="s">
        <v>3892</v>
      </c>
      <c r="I577" t="s">
        <v>462</v>
      </c>
    </row>
    <row r="578" spans="1:9" x14ac:dyDescent="0.3">
      <c r="A578">
        <v>72913</v>
      </c>
      <c r="B578">
        <v>116</v>
      </c>
      <c r="C578" s="453">
        <v>46054</v>
      </c>
      <c r="D578" t="s">
        <v>568</v>
      </c>
      <c r="E578">
        <v>23345</v>
      </c>
      <c r="F578" t="s">
        <v>3933</v>
      </c>
      <c r="G578">
        <v>5</v>
      </c>
      <c r="H578" t="s">
        <v>3892</v>
      </c>
      <c r="I578" t="s">
        <v>462</v>
      </c>
    </row>
    <row r="579" spans="1:9" x14ac:dyDescent="0.3">
      <c r="A579">
        <v>72914</v>
      </c>
      <c r="B579">
        <v>116</v>
      </c>
      <c r="C579" s="453">
        <v>46054</v>
      </c>
      <c r="D579" t="s">
        <v>568</v>
      </c>
      <c r="E579">
        <v>23335</v>
      </c>
      <c r="F579" t="s">
        <v>4075</v>
      </c>
      <c r="G579">
        <v>1</v>
      </c>
      <c r="H579" t="s">
        <v>3892</v>
      </c>
      <c r="I579" t="s">
        <v>462</v>
      </c>
    </row>
    <row r="580" spans="1:9" x14ac:dyDescent="0.3">
      <c r="A580">
        <v>72915</v>
      </c>
      <c r="B580">
        <v>116</v>
      </c>
      <c r="C580" s="453">
        <v>46054</v>
      </c>
      <c r="D580" t="s">
        <v>568</v>
      </c>
      <c r="E580">
        <v>20250</v>
      </c>
      <c r="F580" t="s">
        <v>4008</v>
      </c>
      <c r="G580">
        <v>2</v>
      </c>
      <c r="H580" t="s">
        <v>3888</v>
      </c>
      <c r="I580" t="s">
        <v>462</v>
      </c>
    </row>
    <row r="581" spans="1:9" x14ac:dyDescent="0.3">
      <c r="A581">
        <v>72916</v>
      </c>
      <c r="B581">
        <v>116</v>
      </c>
      <c r="C581" s="453">
        <v>46054</v>
      </c>
      <c r="D581" t="s">
        <v>568</v>
      </c>
      <c r="E581">
        <v>20007</v>
      </c>
      <c r="F581" t="s">
        <v>4009</v>
      </c>
      <c r="G581">
        <v>2</v>
      </c>
      <c r="H581" t="s">
        <v>3966</v>
      </c>
      <c r="I581" t="s">
        <v>462</v>
      </c>
    </row>
    <row r="582" spans="1:9" x14ac:dyDescent="0.3">
      <c r="A582">
        <v>72917</v>
      </c>
      <c r="B582">
        <v>116</v>
      </c>
      <c r="C582" s="453">
        <v>46054</v>
      </c>
      <c r="D582" t="s">
        <v>568</v>
      </c>
      <c r="E582">
        <v>19589</v>
      </c>
      <c r="F582" t="s">
        <v>4153</v>
      </c>
      <c r="G582">
        <v>2</v>
      </c>
      <c r="H582" t="s">
        <v>3892</v>
      </c>
      <c r="I582" t="s">
        <v>462</v>
      </c>
    </row>
    <row r="583" spans="1:9" x14ac:dyDescent="0.3">
      <c r="A583">
        <v>72918</v>
      </c>
      <c r="B583">
        <v>116</v>
      </c>
      <c r="C583" s="453">
        <v>46054</v>
      </c>
      <c r="D583" t="s">
        <v>568</v>
      </c>
      <c r="E583">
        <v>19583</v>
      </c>
      <c r="F583" t="s">
        <v>4076</v>
      </c>
      <c r="G583">
        <v>1</v>
      </c>
      <c r="H583" t="s">
        <v>3892</v>
      </c>
      <c r="I583" t="s">
        <v>462</v>
      </c>
    </row>
    <row r="584" spans="1:9" x14ac:dyDescent="0.3">
      <c r="A584">
        <v>72919</v>
      </c>
      <c r="B584">
        <v>116</v>
      </c>
      <c r="C584" s="453">
        <v>46054</v>
      </c>
      <c r="D584" t="s">
        <v>568</v>
      </c>
      <c r="E584">
        <v>19578</v>
      </c>
      <c r="F584" t="s">
        <v>3985</v>
      </c>
      <c r="G584">
        <v>2</v>
      </c>
      <c r="H584" t="s">
        <v>3892</v>
      </c>
      <c r="I584" t="s">
        <v>462</v>
      </c>
    </row>
    <row r="585" spans="1:9" x14ac:dyDescent="0.3">
      <c r="A585">
        <v>72920</v>
      </c>
      <c r="B585">
        <v>116</v>
      </c>
      <c r="C585" s="453">
        <v>46054</v>
      </c>
      <c r="D585" t="s">
        <v>568</v>
      </c>
      <c r="E585">
        <v>19579</v>
      </c>
      <c r="F585" t="s">
        <v>4020</v>
      </c>
      <c r="G585">
        <v>2</v>
      </c>
      <c r="H585" t="s">
        <v>3892</v>
      </c>
      <c r="I585" t="s">
        <v>462</v>
      </c>
    </row>
    <row r="586" spans="1:9" x14ac:dyDescent="0.3">
      <c r="A586">
        <v>72921</v>
      </c>
      <c r="B586">
        <v>116</v>
      </c>
      <c r="C586" s="453">
        <v>46054</v>
      </c>
      <c r="D586" t="s">
        <v>568</v>
      </c>
      <c r="E586">
        <v>19576</v>
      </c>
      <c r="F586" t="s">
        <v>4021</v>
      </c>
      <c r="G586">
        <v>2</v>
      </c>
      <c r="H586" t="s">
        <v>3892</v>
      </c>
      <c r="I586" t="s">
        <v>462</v>
      </c>
    </row>
    <row r="587" spans="1:9" x14ac:dyDescent="0.3">
      <c r="A587">
        <v>72922</v>
      </c>
      <c r="B587">
        <v>116</v>
      </c>
      <c r="C587" s="453">
        <v>46054</v>
      </c>
      <c r="D587" t="s">
        <v>568</v>
      </c>
      <c r="E587">
        <v>19566</v>
      </c>
      <c r="F587" t="s">
        <v>3986</v>
      </c>
      <c r="G587">
        <v>2</v>
      </c>
      <c r="H587" t="s">
        <v>3892</v>
      </c>
      <c r="I587" t="s">
        <v>462</v>
      </c>
    </row>
    <row r="588" spans="1:9" x14ac:dyDescent="0.3">
      <c r="A588">
        <v>72923</v>
      </c>
      <c r="B588">
        <v>116</v>
      </c>
      <c r="C588" s="453">
        <v>46054</v>
      </c>
      <c r="D588" t="s">
        <v>568</v>
      </c>
      <c r="E588">
        <v>23203</v>
      </c>
      <c r="F588" t="s">
        <v>3987</v>
      </c>
      <c r="G588">
        <v>2</v>
      </c>
      <c r="H588" t="s">
        <v>3892</v>
      </c>
      <c r="I588" t="s">
        <v>462</v>
      </c>
    </row>
    <row r="589" spans="1:9" x14ac:dyDescent="0.3">
      <c r="A589">
        <v>72924</v>
      </c>
      <c r="B589">
        <v>116</v>
      </c>
      <c r="C589" s="453">
        <v>46054</v>
      </c>
      <c r="D589" t="s">
        <v>568</v>
      </c>
      <c r="E589">
        <v>19555</v>
      </c>
      <c r="F589" t="s">
        <v>4109</v>
      </c>
      <c r="G589">
        <v>0.3</v>
      </c>
      <c r="H589" t="s">
        <v>3892</v>
      </c>
      <c r="I589" t="s">
        <v>462</v>
      </c>
    </row>
    <row r="590" spans="1:9" x14ac:dyDescent="0.3">
      <c r="A590">
        <v>72925</v>
      </c>
      <c r="B590">
        <v>116</v>
      </c>
      <c r="C590" s="453">
        <v>46054</v>
      </c>
      <c r="D590" t="s">
        <v>568</v>
      </c>
      <c r="E590">
        <v>19553</v>
      </c>
      <c r="F590" t="s">
        <v>4078</v>
      </c>
      <c r="G590">
        <v>1</v>
      </c>
      <c r="H590" t="s">
        <v>3892</v>
      </c>
      <c r="I590" t="s">
        <v>462</v>
      </c>
    </row>
    <row r="591" spans="1:9" x14ac:dyDescent="0.3">
      <c r="A591">
        <v>72926</v>
      </c>
      <c r="B591">
        <v>116</v>
      </c>
      <c r="C591" s="453">
        <v>46054</v>
      </c>
      <c r="D591" t="s">
        <v>568</v>
      </c>
      <c r="E591">
        <v>23113</v>
      </c>
      <c r="F591" t="s">
        <v>4079</v>
      </c>
      <c r="G591">
        <v>1</v>
      </c>
      <c r="H591" t="s">
        <v>3892</v>
      </c>
      <c r="I591" t="s">
        <v>462</v>
      </c>
    </row>
    <row r="592" spans="1:9" x14ac:dyDescent="0.3">
      <c r="A592">
        <v>72927</v>
      </c>
      <c r="B592">
        <v>116</v>
      </c>
      <c r="C592" s="453">
        <v>46054</v>
      </c>
      <c r="D592" t="s">
        <v>568</v>
      </c>
      <c r="E592">
        <v>19465</v>
      </c>
      <c r="F592" t="s">
        <v>4080</v>
      </c>
      <c r="G592">
        <v>1.5</v>
      </c>
      <c r="H592" t="s">
        <v>3892</v>
      </c>
      <c r="I592" t="s">
        <v>462</v>
      </c>
    </row>
    <row r="593" spans="1:9" x14ac:dyDescent="0.3">
      <c r="A593">
        <v>72928</v>
      </c>
      <c r="B593">
        <v>116</v>
      </c>
      <c r="C593" s="453">
        <v>46054</v>
      </c>
      <c r="D593" t="s">
        <v>568</v>
      </c>
      <c r="E593">
        <v>19672</v>
      </c>
      <c r="F593" t="s">
        <v>4024</v>
      </c>
      <c r="G593">
        <v>1.4</v>
      </c>
      <c r="H593" t="s">
        <v>3892</v>
      </c>
      <c r="I593" t="s">
        <v>462</v>
      </c>
    </row>
    <row r="594" spans="1:9" x14ac:dyDescent="0.3">
      <c r="A594">
        <v>72929</v>
      </c>
      <c r="B594">
        <v>116</v>
      </c>
      <c r="C594" s="453">
        <v>46054</v>
      </c>
      <c r="D594" t="s">
        <v>568</v>
      </c>
      <c r="E594">
        <v>23186</v>
      </c>
      <c r="F594" t="s">
        <v>3988</v>
      </c>
      <c r="G594">
        <v>3</v>
      </c>
      <c r="H594" t="s">
        <v>3892</v>
      </c>
      <c r="I594" t="s">
        <v>462</v>
      </c>
    </row>
    <row r="595" spans="1:9" x14ac:dyDescent="0.3">
      <c r="A595">
        <v>72930</v>
      </c>
      <c r="B595">
        <v>116</v>
      </c>
      <c r="C595" s="453">
        <v>46054</v>
      </c>
      <c r="D595" t="s">
        <v>568</v>
      </c>
      <c r="E595">
        <v>23184</v>
      </c>
      <c r="F595" t="s">
        <v>3894</v>
      </c>
      <c r="G595">
        <v>0.5</v>
      </c>
      <c r="H595" t="s">
        <v>3892</v>
      </c>
      <c r="I595" t="s">
        <v>462</v>
      </c>
    </row>
    <row r="596" spans="1:9" x14ac:dyDescent="0.3">
      <c r="A596">
        <v>72931</v>
      </c>
      <c r="B596">
        <v>116</v>
      </c>
      <c r="C596" s="453">
        <v>46054</v>
      </c>
      <c r="D596" t="s">
        <v>568</v>
      </c>
      <c r="E596">
        <v>19539</v>
      </c>
      <c r="F596" t="s">
        <v>4133</v>
      </c>
      <c r="G596">
        <v>18</v>
      </c>
      <c r="H596" t="s">
        <v>3892</v>
      </c>
      <c r="I596" t="s">
        <v>462</v>
      </c>
    </row>
    <row r="597" spans="1:9" x14ac:dyDescent="0.3">
      <c r="A597">
        <v>72932</v>
      </c>
      <c r="B597">
        <v>116</v>
      </c>
      <c r="C597" s="453">
        <v>46054</v>
      </c>
      <c r="D597" t="s">
        <v>568</v>
      </c>
      <c r="E597">
        <v>23171</v>
      </c>
      <c r="F597" t="s">
        <v>4132</v>
      </c>
      <c r="G597">
        <v>3</v>
      </c>
      <c r="H597" t="s">
        <v>3892</v>
      </c>
      <c r="I597" t="s">
        <v>462</v>
      </c>
    </row>
    <row r="598" spans="1:9" x14ac:dyDescent="0.3">
      <c r="A598">
        <v>72933</v>
      </c>
      <c r="B598">
        <v>116</v>
      </c>
      <c r="C598" s="453">
        <v>46054</v>
      </c>
      <c r="D598" t="s">
        <v>568</v>
      </c>
      <c r="E598">
        <v>24484</v>
      </c>
      <c r="F598" t="s">
        <v>4154</v>
      </c>
      <c r="G598">
        <v>0.5</v>
      </c>
      <c r="H598" t="s">
        <v>3892</v>
      </c>
      <c r="I598" t="s">
        <v>462</v>
      </c>
    </row>
    <row r="599" spans="1:9" x14ac:dyDescent="0.3">
      <c r="A599">
        <v>72934</v>
      </c>
      <c r="B599">
        <v>116</v>
      </c>
      <c r="C599" s="453">
        <v>46054</v>
      </c>
      <c r="D599" t="s">
        <v>568</v>
      </c>
      <c r="E599">
        <v>17066</v>
      </c>
      <c r="F599" t="s">
        <v>4155</v>
      </c>
      <c r="G599">
        <v>1</v>
      </c>
      <c r="H599" t="s">
        <v>3892</v>
      </c>
      <c r="I599" t="s">
        <v>462</v>
      </c>
    </row>
    <row r="600" spans="1:9" x14ac:dyDescent="0.3">
      <c r="A600">
        <v>72935</v>
      </c>
      <c r="B600">
        <v>116</v>
      </c>
      <c r="C600" s="453">
        <v>46054</v>
      </c>
      <c r="D600" t="s">
        <v>568</v>
      </c>
      <c r="E600">
        <v>20624</v>
      </c>
      <c r="F600" t="s">
        <v>3982</v>
      </c>
      <c r="G600">
        <v>2</v>
      </c>
      <c r="H600" t="s">
        <v>3966</v>
      </c>
      <c r="I600" t="s">
        <v>462</v>
      </c>
    </row>
    <row r="601" spans="1:9" x14ac:dyDescent="0.3">
      <c r="A601">
        <v>72936</v>
      </c>
      <c r="B601">
        <v>116</v>
      </c>
      <c r="C601" s="453">
        <v>46054</v>
      </c>
      <c r="D601" t="s">
        <v>568</v>
      </c>
      <c r="E601">
        <v>19405</v>
      </c>
      <c r="F601" t="s">
        <v>4097</v>
      </c>
      <c r="G601">
        <v>5</v>
      </c>
      <c r="H601" t="s">
        <v>3892</v>
      </c>
      <c r="I601" t="s">
        <v>462</v>
      </c>
    </row>
    <row r="602" spans="1:9" x14ac:dyDescent="0.3">
      <c r="A602">
        <v>72937</v>
      </c>
      <c r="B602">
        <v>116</v>
      </c>
      <c r="C602" s="453">
        <v>46054</v>
      </c>
      <c r="D602" t="s">
        <v>568</v>
      </c>
      <c r="E602">
        <v>18586</v>
      </c>
      <c r="F602" t="s">
        <v>4107</v>
      </c>
      <c r="G602">
        <v>2</v>
      </c>
      <c r="H602" t="s">
        <v>3888</v>
      </c>
      <c r="I602" t="s">
        <v>462</v>
      </c>
    </row>
    <row r="603" spans="1:9" x14ac:dyDescent="0.3">
      <c r="A603">
        <v>72938</v>
      </c>
      <c r="B603">
        <v>116</v>
      </c>
      <c r="C603" s="453">
        <v>46054</v>
      </c>
      <c r="D603" t="s">
        <v>568</v>
      </c>
      <c r="E603">
        <v>19346</v>
      </c>
      <c r="F603" t="s">
        <v>3948</v>
      </c>
      <c r="G603">
        <v>2.9</v>
      </c>
      <c r="H603" t="s">
        <v>3892</v>
      </c>
      <c r="I603" t="s">
        <v>462</v>
      </c>
    </row>
    <row r="604" spans="1:9" x14ac:dyDescent="0.3">
      <c r="A604">
        <v>72939</v>
      </c>
      <c r="B604">
        <v>116</v>
      </c>
      <c r="C604" s="453">
        <v>46054</v>
      </c>
      <c r="D604" t="s">
        <v>568</v>
      </c>
      <c r="E604">
        <v>19324</v>
      </c>
      <c r="F604" t="s">
        <v>3937</v>
      </c>
      <c r="G604">
        <v>8.6999999999999993</v>
      </c>
      <c r="H604" t="s">
        <v>3892</v>
      </c>
      <c r="I604" t="s">
        <v>462</v>
      </c>
    </row>
    <row r="605" spans="1:9" x14ac:dyDescent="0.3">
      <c r="A605">
        <v>72940</v>
      </c>
      <c r="B605">
        <v>116</v>
      </c>
      <c r="C605" s="453">
        <v>46054</v>
      </c>
      <c r="D605" t="s">
        <v>568</v>
      </c>
      <c r="E605">
        <v>19297</v>
      </c>
      <c r="F605" t="s">
        <v>3949</v>
      </c>
      <c r="G605">
        <v>9.3000000000000007</v>
      </c>
      <c r="H605" t="s">
        <v>3892</v>
      </c>
      <c r="I605" t="s">
        <v>462</v>
      </c>
    </row>
    <row r="606" spans="1:9" x14ac:dyDescent="0.3">
      <c r="A606">
        <v>72941</v>
      </c>
      <c r="B606">
        <v>116</v>
      </c>
      <c r="C606" s="453">
        <v>46054</v>
      </c>
      <c r="D606" t="s">
        <v>568</v>
      </c>
      <c r="E606">
        <v>19287</v>
      </c>
      <c r="F606" t="s">
        <v>3974</v>
      </c>
      <c r="G606">
        <v>9.1</v>
      </c>
      <c r="H606" t="s">
        <v>3892</v>
      </c>
      <c r="I606" t="s">
        <v>462</v>
      </c>
    </row>
    <row r="607" spans="1:9" x14ac:dyDescent="0.3">
      <c r="A607">
        <v>72942</v>
      </c>
      <c r="B607">
        <v>116</v>
      </c>
      <c r="C607" s="453">
        <v>46054</v>
      </c>
      <c r="D607" t="s">
        <v>568</v>
      </c>
      <c r="E607">
        <v>16974</v>
      </c>
      <c r="F607" t="s">
        <v>3996</v>
      </c>
      <c r="G607">
        <v>2</v>
      </c>
      <c r="H607" t="s">
        <v>3881</v>
      </c>
      <c r="I607" t="s">
        <v>462</v>
      </c>
    </row>
    <row r="608" spans="1:9" x14ac:dyDescent="0.3">
      <c r="A608">
        <v>72943</v>
      </c>
      <c r="B608">
        <v>116</v>
      </c>
      <c r="C608" s="453">
        <v>46054</v>
      </c>
      <c r="D608" t="s">
        <v>568</v>
      </c>
      <c r="E608">
        <v>17942</v>
      </c>
      <c r="F608" t="s">
        <v>4035</v>
      </c>
      <c r="G608">
        <v>2</v>
      </c>
      <c r="H608" t="s">
        <v>3872</v>
      </c>
      <c r="I608" t="s">
        <v>462</v>
      </c>
    </row>
    <row r="609" spans="1:9" x14ac:dyDescent="0.3">
      <c r="A609">
        <v>72944</v>
      </c>
      <c r="B609">
        <v>116</v>
      </c>
      <c r="C609" s="453">
        <v>46054</v>
      </c>
      <c r="D609" t="s">
        <v>568</v>
      </c>
      <c r="E609">
        <v>22734</v>
      </c>
      <c r="F609" t="s">
        <v>3955</v>
      </c>
      <c r="G609">
        <v>5</v>
      </c>
      <c r="H609" t="s">
        <v>3892</v>
      </c>
      <c r="I609" t="s">
        <v>462</v>
      </c>
    </row>
    <row r="610" spans="1:9" x14ac:dyDescent="0.3">
      <c r="A610">
        <v>72945</v>
      </c>
      <c r="B610">
        <v>116</v>
      </c>
      <c r="C610" s="453">
        <v>46054</v>
      </c>
      <c r="D610" t="s">
        <v>568</v>
      </c>
      <c r="E610">
        <v>24072</v>
      </c>
      <c r="F610" t="s">
        <v>4002</v>
      </c>
      <c r="G610">
        <v>3</v>
      </c>
      <c r="H610" t="s">
        <v>3892</v>
      </c>
      <c r="I610" t="s">
        <v>462</v>
      </c>
    </row>
    <row r="611" spans="1:9" x14ac:dyDescent="0.3">
      <c r="A611">
        <v>72946</v>
      </c>
      <c r="B611">
        <v>116</v>
      </c>
      <c r="C611" s="453">
        <v>46054</v>
      </c>
      <c r="D611" t="s">
        <v>568</v>
      </c>
      <c r="E611">
        <v>18702</v>
      </c>
      <c r="F611" t="s">
        <v>4043</v>
      </c>
      <c r="G611">
        <v>2.5</v>
      </c>
      <c r="H611" t="s">
        <v>3892</v>
      </c>
      <c r="I611" t="s">
        <v>462</v>
      </c>
    </row>
    <row r="612" spans="1:9" x14ac:dyDescent="0.3">
      <c r="A612">
        <v>72947</v>
      </c>
      <c r="B612">
        <v>116</v>
      </c>
      <c r="C612" s="453">
        <v>46054</v>
      </c>
      <c r="D612" t="s">
        <v>568</v>
      </c>
      <c r="E612">
        <v>28212</v>
      </c>
      <c r="F612" t="s">
        <v>4156</v>
      </c>
      <c r="G612">
        <v>4.0999999999999996</v>
      </c>
      <c r="H612" t="s">
        <v>3892</v>
      </c>
      <c r="I612" t="s">
        <v>462</v>
      </c>
    </row>
    <row r="613" spans="1:9" x14ac:dyDescent="0.3">
      <c r="A613">
        <v>72948</v>
      </c>
      <c r="B613">
        <v>116</v>
      </c>
      <c r="C613" s="453">
        <v>46054</v>
      </c>
      <c r="D613" t="s">
        <v>568</v>
      </c>
      <c r="E613">
        <v>24163</v>
      </c>
      <c r="F613" t="s">
        <v>4130</v>
      </c>
      <c r="G613">
        <v>7.9</v>
      </c>
      <c r="H613" t="s">
        <v>3892</v>
      </c>
      <c r="I613" t="s">
        <v>462</v>
      </c>
    </row>
    <row r="614" spans="1:9" x14ac:dyDescent="0.3">
      <c r="A614">
        <v>72949</v>
      </c>
      <c r="B614">
        <v>116</v>
      </c>
      <c r="C614" s="453">
        <v>46054</v>
      </c>
      <c r="D614" t="s">
        <v>568</v>
      </c>
      <c r="E614">
        <v>24200</v>
      </c>
      <c r="F614" t="s">
        <v>3975</v>
      </c>
      <c r="G614">
        <v>5</v>
      </c>
      <c r="H614" t="s">
        <v>3892</v>
      </c>
      <c r="I614" t="s">
        <v>462</v>
      </c>
    </row>
    <row r="615" spans="1:9" x14ac:dyDescent="0.3">
      <c r="A615">
        <v>72950</v>
      </c>
      <c r="B615">
        <v>116</v>
      </c>
      <c r="C615" s="453">
        <v>46054</v>
      </c>
      <c r="D615" t="s">
        <v>568</v>
      </c>
      <c r="E615">
        <v>18764</v>
      </c>
      <c r="F615" t="s">
        <v>3907</v>
      </c>
      <c r="G615">
        <v>12</v>
      </c>
      <c r="H615" t="s">
        <v>3892</v>
      </c>
      <c r="I615" t="s">
        <v>462</v>
      </c>
    </row>
    <row r="616" spans="1:9" x14ac:dyDescent="0.3">
      <c r="A616">
        <v>72951</v>
      </c>
      <c r="B616">
        <v>116</v>
      </c>
      <c r="C616" s="453">
        <v>46054</v>
      </c>
      <c r="D616" t="s">
        <v>568</v>
      </c>
      <c r="E616">
        <v>24259</v>
      </c>
      <c r="F616" t="s">
        <v>3895</v>
      </c>
      <c r="G616">
        <v>22.7</v>
      </c>
      <c r="H616" t="s">
        <v>3892</v>
      </c>
      <c r="I616" t="s">
        <v>462</v>
      </c>
    </row>
    <row r="617" spans="1:9" x14ac:dyDescent="0.3">
      <c r="A617">
        <v>72952</v>
      </c>
      <c r="B617">
        <v>116</v>
      </c>
      <c r="C617" s="453">
        <v>46054</v>
      </c>
      <c r="D617" t="s">
        <v>568</v>
      </c>
      <c r="E617">
        <v>27901</v>
      </c>
      <c r="F617" t="s">
        <v>3942</v>
      </c>
      <c r="G617">
        <v>2.4</v>
      </c>
      <c r="H617" t="s">
        <v>3892</v>
      </c>
      <c r="I617" t="s">
        <v>462</v>
      </c>
    </row>
    <row r="618" spans="1:9" x14ac:dyDescent="0.3">
      <c r="A618">
        <v>72953</v>
      </c>
      <c r="B618">
        <v>116</v>
      </c>
      <c r="C618" s="453">
        <v>46054</v>
      </c>
      <c r="D618" t="s">
        <v>568</v>
      </c>
      <c r="E618">
        <v>17006</v>
      </c>
      <c r="F618" t="s">
        <v>4128</v>
      </c>
      <c r="G618">
        <v>6.3</v>
      </c>
      <c r="H618" t="s">
        <v>3892</v>
      </c>
      <c r="I618" t="s">
        <v>462</v>
      </c>
    </row>
    <row r="619" spans="1:9" x14ac:dyDescent="0.3">
      <c r="A619">
        <v>72954</v>
      </c>
      <c r="B619">
        <v>116</v>
      </c>
      <c r="C619" s="453">
        <v>46054</v>
      </c>
      <c r="D619" t="s">
        <v>568</v>
      </c>
      <c r="E619">
        <v>18685</v>
      </c>
      <c r="F619" t="s">
        <v>3945</v>
      </c>
      <c r="G619">
        <v>6.2</v>
      </c>
      <c r="H619" t="s">
        <v>3892</v>
      </c>
      <c r="I619" t="s">
        <v>462</v>
      </c>
    </row>
    <row r="620" spans="1:9" x14ac:dyDescent="0.3">
      <c r="A620">
        <v>72955</v>
      </c>
      <c r="B620">
        <v>116</v>
      </c>
      <c r="C620" s="453">
        <v>46054</v>
      </c>
      <c r="D620" t="s">
        <v>568</v>
      </c>
      <c r="E620">
        <v>18684</v>
      </c>
      <c r="F620" t="s">
        <v>3925</v>
      </c>
      <c r="G620">
        <v>11.7</v>
      </c>
      <c r="H620" t="s">
        <v>3892</v>
      </c>
      <c r="I620" t="s">
        <v>462</v>
      </c>
    </row>
    <row r="621" spans="1:9" x14ac:dyDescent="0.3">
      <c r="A621">
        <v>72956</v>
      </c>
      <c r="B621">
        <v>116</v>
      </c>
      <c r="C621" s="453">
        <v>46054</v>
      </c>
      <c r="D621" t="s">
        <v>568</v>
      </c>
      <c r="E621">
        <v>27312</v>
      </c>
      <c r="F621" t="s">
        <v>3927</v>
      </c>
      <c r="G621">
        <v>7.9</v>
      </c>
      <c r="H621" t="s">
        <v>3892</v>
      </c>
      <c r="I621" t="s">
        <v>462</v>
      </c>
    </row>
    <row r="622" spans="1:9" x14ac:dyDescent="0.3">
      <c r="A622">
        <v>72957</v>
      </c>
      <c r="B622">
        <v>116</v>
      </c>
      <c r="C622" s="453">
        <v>46054</v>
      </c>
      <c r="D622" t="s">
        <v>568</v>
      </c>
      <c r="E622">
        <v>27884</v>
      </c>
      <c r="F622" t="s">
        <v>3910</v>
      </c>
      <c r="G622">
        <v>6.4</v>
      </c>
      <c r="H622" t="s">
        <v>3892</v>
      </c>
      <c r="I622" t="s">
        <v>462</v>
      </c>
    </row>
    <row r="623" spans="1:9" x14ac:dyDescent="0.3">
      <c r="A623">
        <v>72958</v>
      </c>
      <c r="B623">
        <v>116</v>
      </c>
      <c r="C623" s="453">
        <v>46054</v>
      </c>
      <c r="D623" t="s">
        <v>568</v>
      </c>
      <c r="E623">
        <v>22705</v>
      </c>
      <c r="F623" t="s">
        <v>3990</v>
      </c>
      <c r="G623">
        <v>3</v>
      </c>
      <c r="H623" t="s">
        <v>3892</v>
      </c>
      <c r="I623" t="s">
        <v>462</v>
      </c>
    </row>
    <row r="624" spans="1:9" x14ac:dyDescent="0.3">
      <c r="A624">
        <v>72959</v>
      </c>
      <c r="B624">
        <v>116</v>
      </c>
      <c r="C624" s="453">
        <v>46054</v>
      </c>
      <c r="D624" t="s">
        <v>568</v>
      </c>
      <c r="E624">
        <v>24388</v>
      </c>
      <c r="F624" t="s">
        <v>3915</v>
      </c>
      <c r="G624">
        <v>4.7</v>
      </c>
      <c r="H624" t="s">
        <v>3892</v>
      </c>
      <c r="I624" t="s">
        <v>462</v>
      </c>
    </row>
    <row r="625" spans="1:9" x14ac:dyDescent="0.3">
      <c r="A625">
        <v>72960</v>
      </c>
      <c r="B625">
        <v>116</v>
      </c>
      <c r="C625" s="453">
        <v>46054</v>
      </c>
      <c r="D625" t="s">
        <v>568</v>
      </c>
      <c r="E625">
        <v>22704</v>
      </c>
      <c r="F625" t="s">
        <v>4039</v>
      </c>
      <c r="G625">
        <v>1.7</v>
      </c>
      <c r="H625" t="s">
        <v>3892</v>
      </c>
      <c r="I625" t="s">
        <v>462</v>
      </c>
    </row>
    <row r="626" spans="1:9" x14ac:dyDescent="0.3">
      <c r="A626">
        <v>72961</v>
      </c>
      <c r="B626">
        <v>116</v>
      </c>
      <c r="C626" s="453">
        <v>46054</v>
      </c>
      <c r="D626" t="s">
        <v>568</v>
      </c>
      <c r="E626">
        <v>22701</v>
      </c>
      <c r="F626" t="s">
        <v>4129</v>
      </c>
      <c r="G626">
        <v>11.2</v>
      </c>
      <c r="H626" t="s">
        <v>3892</v>
      </c>
      <c r="I626" t="s">
        <v>462</v>
      </c>
    </row>
    <row r="627" spans="1:9" x14ac:dyDescent="0.3">
      <c r="A627">
        <v>72962</v>
      </c>
      <c r="B627">
        <v>116</v>
      </c>
      <c r="C627" s="453">
        <v>46054</v>
      </c>
      <c r="D627" t="s">
        <v>568</v>
      </c>
      <c r="E627">
        <v>24402</v>
      </c>
      <c r="F627" t="s">
        <v>3896</v>
      </c>
      <c r="G627">
        <v>12.3</v>
      </c>
      <c r="H627" t="s">
        <v>3892</v>
      </c>
      <c r="I627" t="s">
        <v>462</v>
      </c>
    </row>
    <row r="628" spans="1:9" x14ac:dyDescent="0.3">
      <c r="A628">
        <v>72963</v>
      </c>
      <c r="B628">
        <v>116</v>
      </c>
      <c r="C628" s="453">
        <v>46054</v>
      </c>
      <c r="D628" t="s">
        <v>568</v>
      </c>
      <c r="E628">
        <v>18832</v>
      </c>
      <c r="F628" t="s">
        <v>3900</v>
      </c>
      <c r="G628">
        <v>15</v>
      </c>
      <c r="H628" t="s">
        <v>3892</v>
      </c>
      <c r="I628" t="s">
        <v>462</v>
      </c>
    </row>
    <row r="629" spans="1:9" x14ac:dyDescent="0.3">
      <c r="A629">
        <v>72964</v>
      </c>
      <c r="B629">
        <v>116</v>
      </c>
      <c r="C629" s="453">
        <v>46054</v>
      </c>
      <c r="D629" t="s">
        <v>568</v>
      </c>
      <c r="E629">
        <v>22699</v>
      </c>
      <c r="F629" t="s">
        <v>4134</v>
      </c>
      <c r="G629">
        <v>2.6</v>
      </c>
      <c r="H629" t="s">
        <v>3881</v>
      </c>
      <c r="I629" t="s">
        <v>462</v>
      </c>
    </row>
    <row r="630" spans="1:9" x14ac:dyDescent="0.3">
      <c r="A630">
        <v>72965</v>
      </c>
      <c r="B630">
        <v>116</v>
      </c>
      <c r="C630" s="453">
        <v>46054</v>
      </c>
      <c r="D630" t="s">
        <v>568</v>
      </c>
      <c r="E630">
        <v>18996</v>
      </c>
      <c r="F630" t="s">
        <v>3946</v>
      </c>
      <c r="G630">
        <v>1.8</v>
      </c>
      <c r="H630" t="s">
        <v>3892</v>
      </c>
      <c r="I630" t="s">
        <v>462</v>
      </c>
    </row>
    <row r="631" spans="1:9" x14ac:dyDescent="0.3">
      <c r="A631">
        <v>72966</v>
      </c>
      <c r="B631">
        <v>116</v>
      </c>
      <c r="C631" s="453">
        <v>46054</v>
      </c>
      <c r="D631" t="s">
        <v>568</v>
      </c>
      <c r="E631">
        <v>18682</v>
      </c>
      <c r="F631" t="s">
        <v>4025</v>
      </c>
      <c r="G631">
        <v>7.3</v>
      </c>
      <c r="H631" t="s">
        <v>3892</v>
      </c>
      <c r="I631" t="s">
        <v>462</v>
      </c>
    </row>
    <row r="632" spans="1:9" x14ac:dyDescent="0.3">
      <c r="A632">
        <v>72967</v>
      </c>
      <c r="B632">
        <v>116</v>
      </c>
      <c r="C632" s="453">
        <v>46054</v>
      </c>
      <c r="D632" t="s">
        <v>568</v>
      </c>
      <c r="E632">
        <v>27313</v>
      </c>
      <c r="F632" t="s">
        <v>4131</v>
      </c>
      <c r="G632">
        <v>15</v>
      </c>
      <c r="H632" t="s">
        <v>3892</v>
      </c>
      <c r="I632" t="s">
        <v>462</v>
      </c>
    </row>
    <row r="633" spans="1:9" x14ac:dyDescent="0.3">
      <c r="A633">
        <v>72968</v>
      </c>
      <c r="B633">
        <v>116</v>
      </c>
      <c r="C633" s="453">
        <v>46054</v>
      </c>
      <c r="D633" t="s">
        <v>568</v>
      </c>
      <c r="E633">
        <v>18666</v>
      </c>
      <c r="F633" t="s">
        <v>4003</v>
      </c>
      <c r="G633">
        <v>3.7</v>
      </c>
      <c r="H633" t="s">
        <v>3892</v>
      </c>
      <c r="I633" t="s">
        <v>462</v>
      </c>
    </row>
    <row r="634" spans="1:9" x14ac:dyDescent="0.3">
      <c r="A634">
        <v>72969</v>
      </c>
      <c r="B634">
        <v>116</v>
      </c>
      <c r="C634" s="453">
        <v>46054</v>
      </c>
      <c r="D634" t="s">
        <v>568</v>
      </c>
      <c r="E634">
        <v>17897</v>
      </c>
      <c r="F634" t="s">
        <v>4094</v>
      </c>
      <c r="G634">
        <v>0.17</v>
      </c>
      <c r="H634" t="s">
        <v>3888</v>
      </c>
      <c r="I634" t="s">
        <v>462</v>
      </c>
    </row>
    <row r="635" spans="1:9" x14ac:dyDescent="0.3">
      <c r="A635">
        <v>72970</v>
      </c>
      <c r="B635">
        <v>116</v>
      </c>
      <c r="C635" s="453">
        <v>46054</v>
      </c>
      <c r="D635" t="s">
        <v>568</v>
      </c>
      <c r="E635">
        <v>23982</v>
      </c>
      <c r="F635" t="s">
        <v>3977</v>
      </c>
      <c r="G635">
        <v>1.5</v>
      </c>
      <c r="H635" t="s">
        <v>3978</v>
      </c>
      <c r="I635" t="s">
        <v>462</v>
      </c>
    </row>
    <row r="636" spans="1:9" x14ac:dyDescent="0.3">
      <c r="A636">
        <v>72971</v>
      </c>
      <c r="B636">
        <v>116</v>
      </c>
      <c r="C636" s="453">
        <v>46054</v>
      </c>
      <c r="D636" t="s">
        <v>568</v>
      </c>
      <c r="E636">
        <v>20702</v>
      </c>
      <c r="F636" t="s">
        <v>4006</v>
      </c>
      <c r="G636">
        <v>1.5</v>
      </c>
      <c r="H636" t="s">
        <v>3966</v>
      </c>
      <c r="I636" t="s">
        <v>462</v>
      </c>
    </row>
    <row r="637" spans="1:9" x14ac:dyDescent="0.3">
      <c r="A637">
        <v>72972</v>
      </c>
      <c r="B637">
        <v>116</v>
      </c>
      <c r="C637" s="453">
        <v>46054</v>
      </c>
      <c r="D637" t="s">
        <v>568</v>
      </c>
      <c r="E637">
        <v>23897</v>
      </c>
      <c r="F637" t="s">
        <v>4058</v>
      </c>
      <c r="G637">
        <v>1.5</v>
      </c>
      <c r="H637" t="s">
        <v>3872</v>
      </c>
      <c r="I637" t="s">
        <v>462</v>
      </c>
    </row>
    <row r="638" spans="1:9" x14ac:dyDescent="0.3">
      <c r="A638">
        <v>72973</v>
      </c>
      <c r="B638">
        <v>116</v>
      </c>
      <c r="C638" s="453">
        <v>46054</v>
      </c>
      <c r="D638" t="s">
        <v>568</v>
      </c>
      <c r="E638">
        <v>19932</v>
      </c>
      <c r="F638" t="s">
        <v>4011</v>
      </c>
      <c r="G638">
        <v>1.5</v>
      </c>
      <c r="H638" t="s">
        <v>3872</v>
      </c>
      <c r="I638" t="s">
        <v>462</v>
      </c>
    </row>
    <row r="639" spans="1:9" x14ac:dyDescent="0.3">
      <c r="A639">
        <v>72974</v>
      </c>
      <c r="B639">
        <v>116</v>
      </c>
      <c r="C639" s="453">
        <v>46054</v>
      </c>
      <c r="D639" t="s">
        <v>568</v>
      </c>
      <c r="E639">
        <v>19264</v>
      </c>
      <c r="F639" t="s">
        <v>4082</v>
      </c>
      <c r="G639">
        <v>1.5</v>
      </c>
      <c r="H639" t="s">
        <v>3888</v>
      </c>
      <c r="I639" t="s">
        <v>462</v>
      </c>
    </row>
    <row r="640" spans="1:9" x14ac:dyDescent="0.3">
      <c r="A640">
        <v>72975</v>
      </c>
      <c r="B640">
        <v>116</v>
      </c>
      <c r="C640" s="453">
        <v>46054</v>
      </c>
      <c r="D640" t="s">
        <v>568</v>
      </c>
      <c r="E640">
        <v>18547</v>
      </c>
      <c r="F640" t="s">
        <v>3962</v>
      </c>
      <c r="G640">
        <v>3.4</v>
      </c>
      <c r="H640" t="s">
        <v>3878</v>
      </c>
      <c r="I640" t="s">
        <v>462</v>
      </c>
    </row>
    <row r="641" spans="1:9" x14ac:dyDescent="0.3">
      <c r="A641">
        <v>72976</v>
      </c>
      <c r="B641">
        <v>116</v>
      </c>
      <c r="C641" s="453">
        <v>46054</v>
      </c>
      <c r="D641" t="s">
        <v>568</v>
      </c>
      <c r="E641">
        <v>18528</v>
      </c>
      <c r="F641" t="s">
        <v>4108</v>
      </c>
      <c r="G641">
        <v>1</v>
      </c>
      <c r="H641" t="s">
        <v>3878</v>
      </c>
      <c r="I641" t="s">
        <v>462</v>
      </c>
    </row>
    <row r="642" spans="1:9" x14ac:dyDescent="0.3">
      <c r="A642">
        <v>72977</v>
      </c>
      <c r="B642">
        <v>116</v>
      </c>
      <c r="C642" s="453">
        <v>46054</v>
      </c>
      <c r="D642" t="s">
        <v>568</v>
      </c>
      <c r="E642">
        <v>18545</v>
      </c>
      <c r="F642" t="s">
        <v>4099</v>
      </c>
      <c r="G642">
        <v>2.5</v>
      </c>
      <c r="H642" t="s">
        <v>3878</v>
      </c>
      <c r="I642" t="s">
        <v>462</v>
      </c>
    </row>
    <row r="643" spans="1:9" x14ac:dyDescent="0.3">
      <c r="A643">
        <v>72978</v>
      </c>
      <c r="B643">
        <v>116</v>
      </c>
      <c r="C643" s="453">
        <v>46054</v>
      </c>
      <c r="D643" t="s">
        <v>568</v>
      </c>
      <c r="E643">
        <v>18538</v>
      </c>
      <c r="F643" t="s">
        <v>4026</v>
      </c>
      <c r="G643">
        <v>1.5</v>
      </c>
      <c r="H643" t="s">
        <v>3878</v>
      </c>
      <c r="I643" t="s">
        <v>462</v>
      </c>
    </row>
    <row r="644" spans="1:9" x14ac:dyDescent="0.3">
      <c r="A644">
        <v>72979</v>
      </c>
      <c r="B644">
        <v>116</v>
      </c>
      <c r="C644" s="453">
        <v>46054</v>
      </c>
      <c r="D644" t="s">
        <v>568</v>
      </c>
      <c r="E644">
        <v>18534</v>
      </c>
      <c r="F644" t="s">
        <v>4084</v>
      </c>
      <c r="G644">
        <v>1</v>
      </c>
      <c r="H644" t="s">
        <v>3878</v>
      </c>
      <c r="I644" t="s">
        <v>462</v>
      </c>
    </row>
    <row r="645" spans="1:9" x14ac:dyDescent="0.3">
      <c r="A645">
        <v>72980</v>
      </c>
      <c r="B645">
        <v>116</v>
      </c>
      <c r="C645" s="453">
        <v>46054</v>
      </c>
      <c r="D645" t="s">
        <v>568</v>
      </c>
      <c r="E645">
        <v>22515</v>
      </c>
      <c r="F645" t="s">
        <v>3883</v>
      </c>
      <c r="G645">
        <v>35.299999999999997</v>
      </c>
      <c r="H645" t="s">
        <v>3884</v>
      </c>
      <c r="I645" t="s">
        <v>462</v>
      </c>
    </row>
    <row r="646" spans="1:9" x14ac:dyDescent="0.3">
      <c r="A646">
        <v>72981</v>
      </c>
      <c r="B646">
        <v>116</v>
      </c>
      <c r="C646" s="453">
        <v>46054</v>
      </c>
      <c r="D646" t="s">
        <v>568</v>
      </c>
      <c r="E646">
        <v>18493</v>
      </c>
      <c r="F646" t="s">
        <v>3958</v>
      </c>
      <c r="G646">
        <v>3</v>
      </c>
      <c r="H646" t="s">
        <v>3878</v>
      </c>
      <c r="I646" t="s">
        <v>462</v>
      </c>
    </row>
    <row r="647" spans="1:9" x14ac:dyDescent="0.3">
      <c r="A647">
        <v>72982</v>
      </c>
      <c r="B647">
        <v>116</v>
      </c>
      <c r="C647" s="453">
        <v>46054</v>
      </c>
      <c r="D647" t="s">
        <v>568</v>
      </c>
      <c r="E647">
        <v>18491</v>
      </c>
      <c r="F647" t="s">
        <v>3934</v>
      </c>
      <c r="G647">
        <v>4</v>
      </c>
      <c r="H647" t="s">
        <v>3878</v>
      </c>
      <c r="I647" t="s">
        <v>462</v>
      </c>
    </row>
    <row r="648" spans="1:9" x14ac:dyDescent="0.3">
      <c r="A648">
        <v>72983</v>
      </c>
      <c r="B648">
        <v>116</v>
      </c>
      <c r="C648" s="453">
        <v>46054</v>
      </c>
      <c r="D648" t="s">
        <v>568</v>
      </c>
      <c r="E648">
        <v>18475</v>
      </c>
      <c r="F648" t="s">
        <v>3918</v>
      </c>
      <c r="G648">
        <v>19</v>
      </c>
      <c r="H648" t="s">
        <v>3878</v>
      </c>
      <c r="I648" t="s">
        <v>462</v>
      </c>
    </row>
    <row r="649" spans="1:9" x14ac:dyDescent="0.3">
      <c r="A649">
        <v>72984</v>
      </c>
      <c r="B649">
        <v>116</v>
      </c>
      <c r="C649" s="453">
        <v>46054</v>
      </c>
      <c r="D649" t="s">
        <v>568</v>
      </c>
      <c r="E649">
        <v>18447</v>
      </c>
      <c r="F649" t="s">
        <v>4027</v>
      </c>
      <c r="G649">
        <v>7</v>
      </c>
      <c r="H649" t="s">
        <v>3878</v>
      </c>
      <c r="I649" t="s">
        <v>462</v>
      </c>
    </row>
    <row r="650" spans="1:9" x14ac:dyDescent="0.3">
      <c r="A650">
        <v>72985</v>
      </c>
      <c r="B650">
        <v>116</v>
      </c>
      <c r="C650" s="453">
        <v>46054</v>
      </c>
      <c r="D650" t="s">
        <v>568</v>
      </c>
      <c r="E650">
        <v>18467</v>
      </c>
      <c r="F650" t="s">
        <v>4028</v>
      </c>
      <c r="G650">
        <v>3</v>
      </c>
      <c r="H650" t="s">
        <v>3878</v>
      </c>
      <c r="I650" t="s">
        <v>462</v>
      </c>
    </row>
    <row r="651" spans="1:9" x14ac:dyDescent="0.3">
      <c r="A651">
        <v>72986</v>
      </c>
      <c r="B651">
        <v>116</v>
      </c>
      <c r="C651" s="453">
        <v>46054</v>
      </c>
      <c r="D651" t="s">
        <v>568</v>
      </c>
      <c r="E651">
        <v>18395</v>
      </c>
      <c r="F651" t="s">
        <v>4085</v>
      </c>
      <c r="G651">
        <v>1.5</v>
      </c>
      <c r="H651" t="s">
        <v>3878</v>
      </c>
      <c r="I651" t="s">
        <v>462</v>
      </c>
    </row>
    <row r="652" spans="1:9" x14ac:dyDescent="0.3">
      <c r="A652">
        <v>72987</v>
      </c>
      <c r="B652">
        <v>116</v>
      </c>
      <c r="C652" s="453">
        <v>46054</v>
      </c>
      <c r="D652" t="s">
        <v>568</v>
      </c>
      <c r="E652">
        <v>18394</v>
      </c>
      <c r="F652" t="s">
        <v>4044</v>
      </c>
      <c r="G652">
        <v>1.4</v>
      </c>
      <c r="H652" t="s">
        <v>3878</v>
      </c>
      <c r="I652" t="s">
        <v>462</v>
      </c>
    </row>
    <row r="653" spans="1:9" x14ac:dyDescent="0.3">
      <c r="A653">
        <v>72988</v>
      </c>
      <c r="B653">
        <v>116</v>
      </c>
      <c r="C653" s="453">
        <v>46054</v>
      </c>
      <c r="D653" t="s">
        <v>568</v>
      </c>
      <c r="E653">
        <v>18341</v>
      </c>
      <c r="F653" t="s">
        <v>4086</v>
      </c>
      <c r="G653">
        <v>1</v>
      </c>
      <c r="H653" t="s">
        <v>3878</v>
      </c>
      <c r="I653" t="s">
        <v>462</v>
      </c>
    </row>
    <row r="654" spans="1:9" x14ac:dyDescent="0.3">
      <c r="A654">
        <v>72989</v>
      </c>
      <c r="B654">
        <v>116</v>
      </c>
      <c r="C654" s="453">
        <v>46054</v>
      </c>
      <c r="D654" t="s">
        <v>568</v>
      </c>
      <c r="E654">
        <v>18359</v>
      </c>
      <c r="F654" t="s">
        <v>4029</v>
      </c>
      <c r="G654">
        <v>2.2999999999999998</v>
      </c>
      <c r="H654" t="s">
        <v>3878</v>
      </c>
      <c r="I654" t="s">
        <v>462</v>
      </c>
    </row>
    <row r="655" spans="1:9" x14ac:dyDescent="0.3">
      <c r="A655">
        <v>72990</v>
      </c>
      <c r="B655">
        <v>116</v>
      </c>
      <c r="C655" s="453">
        <v>46054</v>
      </c>
      <c r="D655" t="s">
        <v>568</v>
      </c>
      <c r="E655">
        <v>18327</v>
      </c>
      <c r="F655" t="s">
        <v>4087</v>
      </c>
      <c r="G655">
        <v>1</v>
      </c>
      <c r="H655" t="s">
        <v>3878</v>
      </c>
      <c r="I655" t="s">
        <v>462</v>
      </c>
    </row>
    <row r="656" spans="1:9" x14ac:dyDescent="0.3">
      <c r="A656">
        <v>72991</v>
      </c>
      <c r="B656">
        <v>116</v>
      </c>
      <c r="C656" s="453">
        <v>46054</v>
      </c>
      <c r="D656" t="s">
        <v>568</v>
      </c>
      <c r="E656">
        <v>18317</v>
      </c>
      <c r="F656" t="s">
        <v>4045</v>
      </c>
      <c r="G656">
        <v>1</v>
      </c>
      <c r="H656" t="s">
        <v>3878</v>
      </c>
      <c r="I656" t="s">
        <v>462</v>
      </c>
    </row>
    <row r="657" spans="1:9" x14ac:dyDescent="0.3">
      <c r="A657">
        <v>72992</v>
      </c>
      <c r="B657">
        <v>116</v>
      </c>
      <c r="C657" s="453">
        <v>46054</v>
      </c>
      <c r="D657" t="s">
        <v>568</v>
      </c>
      <c r="E657">
        <v>18315</v>
      </c>
      <c r="F657" t="s">
        <v>4088</v>
      </c>
      <c r="G657">
        <v>2</v>
      </c>
      <c r="H657" t="s">
        <v>3878</v>
      </c>
      <c r="I657" t="s">
        <v>462</v>
      </c>
    </row>
    <row r="658" spans="1:9" x14ac:dyDescent="0.3">
      <c r="A658">
        <v>72993</v>
      </c>
      <c r="B658">
        <v>116</v>
      </c>
      <c r="C658" s="453">
        <v>46054</v>
      </c>
      <c r="D658" t="s">
        <v>568</v>
      </c>
      <c r="E658">
        <v>18312</v>
      </c>
      <c r="F658" t="s">
        <v>4089</v>
      </c>
      <c r="G658">
        <v>1</v>
      </c>
      <c r="H658" t="s">
        <v>3878</v>
      </c>
      <c r="I658" t="s">
        <v>462</v>
      </c>
    </row>
    <row r="659" spans="1:9" x14ac:dyDescent="0.3">
      <c r="A659">
        <v>72994</v>
      </c>
      <c r="B659">
        <v>116</v>
      </c>
      <c r="C659" s="453">
        <v>46054</v>
      </c>
      <c r="D659" t="s">
        <v>568</v>
      </c>
      <c r="E659">
        <v>18295</v>
      </c>
      <c r="F659" t="s">
        <v>4030</v>
      </c>
      <c r="G659">
        <v>2</v>
      </c>
      <c r="H659" t="s">
        <v>3878</v>
      </c>
      <c r="I659" t="s">
        <v>462</v>
      </c>
    </row>
    <row r="660" spans="1:9" x14ac:dyDescent="0.3">
      <c r="A660">
        <v>72995</v>
      </c>
      <c r="B660">
        <v>116</v>
      </c>
      <c r="C660" s="453">
        <v>46054</v>
      </c>
      <c r="D660" t="s">
        <v>568</v>
      </c>
      <c r="E660">
        <v>18273</v>
      </c>
      <c r="F660" t="s">
        <v>4031</v>
      </c>
      <c r="G660">
        <v>4</v>
      </c>
      <c r="H660" t="s">
        <v>3878</v>
      </c>
      <c r="I660" t="s">
        <v>462</v>
      </c>
    </row>
    <row r="661" spans="1:9" x14ac:dyDescent="0.3">
      <c r="A661">
        <v>72996</v>
      </c>
      <c r="B661">
        <v>116</v>
      </c>
      <c r="C661" s="453">
        <v>46054</v>
      </c>
      <c r="D661" t="s">
        <v>568</v>
      </c>
      <c r="E661">
        <v>18272</v>
      </c>
      <c r="F661" t="s">
        <v>4046</v>
      </c>
      <c r="G661">
        <v>2.5</v>
      </c>
      <c r="H661" t="s">
        <v>3878</v>
      </c>
      <c r="I661" t="s">
        <v>462</v>
      </c>
    </row>
    <row r="662" spans="1:9" x14ac:dyDescent="0.3">
      <c r="A662">
        <v>72997</v>
      </c>
      <c r="B662">
        <v>116</v>
      </c>
      <c r="C662" s="453">
        <v>46054</v>
      </c>
      <c r="D662" t="s">
        <v>568</v>
      </c>
      <c r="E662">
        <v>18253</v>
      </c>
      <c r="F662" t="s">
        <v>3947</v>
      </c>
      <c r="G662">
        <v>3.5</v>
      </c>
      <c r="H662" t="s">
        <v>3878</v>
      </c>
      <c r="I662" t="s">
        <v>462</v>
      </c>
    </row>
    <row r="663" spans="1:9" x14ac:dyDescent="0.3">
      <c r="A663">
        <v>72998</v>
      </c>
      <c r="B663">
        <v>116</v>
      </c>
      <c r="C663" s="453">
        <v>46054</v>
      </c>
      <c r="D663" t="s">
        <v>568</v>
      </c>
      <c r="E663">
        <v>18247</v>
      </c>
      <c r="F663" t="s">
        <v>3877</v>
      </c>
      <c r="G663">
        <v>29</v>
      </c>
      <c r="H663" t="s">
        <v>3878</v>
      </c>
      <c r="I663" t="s">
        <v>462</v>
      </c>
    </row>
    <row r="664" spans="1:9" x14ac:dyDescent="0.3">
      <c r="A664">
        <v>72999</v>
      </c>
      <c r="B664">
        <v>116</v>
      </c>
      <c r="C664" s="453">
        <v>46054</v>
      </c>
      <c r="D664" t="s">
        <v>568</v>
      </c>
      <c r="E664">
        <v>18233</v>
      </c>
      <c r="F664" t="s">
        <v>4090</v>
      </c>
      <c r="G664">
        <v>2</v>
      </c>
      <c r="H664" t="s">
        <v>3878</v>
      </c>
      <c r="I664" t="s">
        <v>462</v>
      </c>
    </row>
    <row r="665" spans="1:9" x14ac:dyDescent="0.3">
      <c r="A665">
        <v>73000</v>
      </c>
      <c r="B665">
        <v>116</v>
      </c>
      <c r="C665" s="453">
        <v>46054</v>
      </c>
      <c r="D665" t="s">
        <v>568</v>
      </c>
      <c r="E665">
        <v>18232</v>
      </c>
      <c r="F665" t="s">
        <v>4091</v>
      </c>
      <c r="G665">
        <v>2</v>
      </c>
      <c r="H665" t="s">
        <v>3878</v>
      </c>
      <c r="I665" t="s">
        <v>462</v>
      </c>
    </row>
    <row r="666" spans="1:9" x14ac:dyDescent="0.3">
      <c r="A666">
        <v>73001</v>
      </c>
      <c r="B666">
        <v>116</v>
      </c>
      <c r="C666" s="453">
        <v>46054</v>
      </c>
      <c r="D666" t="s">
        <v>568</v>
      </c>
      <c r="E666">
        <v>18200</v>
      </c>
      <c r="F666" t="s">
        <v>4032</v>
      </c>
      <c r="G666">
        <v>1.5</v>
      </c>
      <c r="H666" t="s">
        <v>3878</v>
      </c>
      <c r="I666" t="s">
        <v>462</v>
      </c>
    </row>
    <row r="667" spans="1:9" x14ac:dyDescent="0.3">
      <c r="A667">
        <v>73002</v>
      </c>
      <c r="B667">
        <v>116</v>
      </c>
      <c r="C667" s="453">
        <v>46054</v>
      </c>
      <c r="D667" t="s">
        <v>568</v>
      </c>
      <c r="E667">
        <v>18179</v>
      </c>
      <c r="F667" t="s">
        <v>3995</v>
      </c>
      <c r="G667">
        <v>2</v>
      </c>
      <c r="H667" t="s">
        <v>3878</v>
      </c>
      <c r="I667" t="s">
        <v>462</v>
      </c>
    </row>
    <row r="668" spans="1:9" x14ac:dyDescent="0.3">
      <c r="A668">
        <v>73003</v>
      </c>
      <c r="B668">
        <v>116</v>
      </c>
      <c r="C668" s="453">
        <v>46054</v>
      </c>
      <c r="D668" t="s">
        <v>568</v>
      </c>
      <c r="E668">
        <v>18172</v>
      </c>
      <c r="F668" t="s">
        <v>3923</v>
      </c>
      <c r="G668">
        <v>9</v>
      </c>
      <c r="H668" t="s">
        <v>3878</v>
      </c>
      <c r="I668" t="s">
        <v>462</v>
      </c>
    </row>
    <row r="669" spans="1:9" x14ac:dyDescent="0.3">
      <c r="A669">
        <v>73004</v>
      </c>
      <c r="B669">
        <v>116</v>
      </c>
      <c r="C669" s="453">
        <v>46054</v>
      </c>
      <c r="D669" t="s">
        <v>568</v>
      </c>
      <c r="E669">
        <v>18129</v>
      </c>
      <c r="F669" t="s">
        <v>4092</v>
      </c>
      <c r="G669">
        <v>0.7</v>
      </c>
      <c r="H669" t="s">
        <v>3878</v>
      </c>
      <c r="I669" t="s">
        <v>462</v>
      </c>
    </row>
    <row r="670" spans="1:9" x14ac:dyDescent="0.3">
      <c r="A670">
        <v>73005</v>
      </c>
      <c r="B670">
        <v>116</v>
      </c>
      <c r="C670" s="453">
        <v>46054</v>
      </c>
      <c r="D670" t="s">
        <v>568</v>
      </c>
      <c r="E670">
        <v>18119</v>
      </c>
      <c r="F670" t="s">
        <v>4093</v>
      </c>
      <c r="G670">
        <v>1.3</v>
      </c>
      <c r="H670" t="s">
        <v>3878</v>
      </c>
      <c r="I670" t="s">
        <v>462</v>
      </c>
    </row>
    <row r="671" spans="1:9" x14ac:dyDescent="0.3">
      <c r="A671">
        <v>73006</v>
      </c>
      <c r="B671">
        <v>116</v>
      </c>
      <c r="C671" s="453">
        <v>46054</v>
      </c>
      <c r="D671" t="s">
        <v>568</v>
      </c>
      <c r="E671">
        <v>18111</v>
      </c>
      <c r="F671" t="s">
        <v>4047</v>
      </c>
      <c r="G671">
        <v>1.1000000000000001</v>
      </c>
      <c r="H671" t="s">
        <v>3878</v>
      </c>
      <c r="I671" t="s">
        <v>462</v>
      </c>
    </row>
    <row r="672" spans="1:9" x14ac:dyDescent="0.3">
      <c r="A672">
        <v>73007</v>
      </c>
      <c r="B672">
        <v>116</v>
      </c>
      <c r="C672" s="453">
        <v>46054</v>
      </c>
      <c r="D672" t="s">
        <v>568</v>
      </c>
      <c r="E672">
        <v>18030</v>
      </c>
      <c r="F672" t="s">
        <v>4033</v>
      </c>
      <c r="G672">
        <v>3</v>
      </c>
      <c r="H672" t="s">
        <v>3878</v>
      </c>
      <c r="I672" t="s">
        <v>462</v>
      </c>
    </row>
    <row r="673" spans="1:9" x14ac:dyDescent="0.3">
      <c r="A673">
        <v>73008</v>
      </c>
      <c r="B673">
        <v>116</v>
      </c>
      <c r="C673" s="453">
        <v>46054</v>
      </c>
      <c r="D673" t="s">
        <v>568</v>
      </c>
      <c r="E673">
        <v>21085</v>
      </c>
      <c r="F673" t="s">
        <v>4114</v>
      </c>
      <c r="G673">
        <v>1</v>
      </c>
      <c r="H673" t="s">
        <v>3881</v>
      </c>
      <c r="I673" t="s">
        <v>462</v>
      </c>
    </row>
    <row r="674" spans="1:9" x14ac:dyDescent="0.3">
      <c r="A674">
        <v>73009</v>
      </c>
      <c r="B674">
        <v>116</v>
      </c>
      <c r="C674" s="453">
        <v>46054</v>
      </c>
      <c r="D674" t="s">
        <v>568</v>
      </c>
      <c r="E674">
        <v>21078</v>
      </c>
      <c r="F674" t="s">
        <v>4049</v>
      </c>
      <c r="G674">
        <v>1</v>
      </c>
      <c r="H674" t="s">
        <v>3881</v>
      </c>
      <c r="I674" t="s">
        <v>462</v>
      </c>
    </row>
    <row r="675" spans="1:9" x14ac:dyDescent="0.3">
      <c r="A675">
        <v>73010</v>
      </c>
      <c r="B675">
        <v>116</v>
      </c>
      <c r="C675" s="453">
        <v>46054</v>
      </c>
      <c r="D675" t="s">
        <v>568</v>
      </c>
      <c r="E675">
        <v>20757</v>
      </c>
      <c r="F675" t="s">
        <v>4050</v>
      </c>
      <c r="G675">
        <v>1</v>
      </c>
      <c r="H675" t="s">
        <v>3966</v>
      </c>
      <c r="I675" t="s">
        <v>462</v>
      </c>
    </row>
    <row r="676" spans="1:9" x14ac:dyDescent="0.3">
      <c r="A676">
        <v>73011</v>
      </c>
      <c r="B676">
        <v>116</v>
      </c>
      <c r="C676" s="453">
        <v>46054</v>
      </c>
      <c r="D676" t="s">
        <v>568</v>
      </c>
      <c r="E676">
        <v>20429</v>
      </c>
      <c r="F676" t="s">
        <v>4051</v>
      </c>
      <c r="G676">
        <v>1</v>
      </c>
      <c r="H676" t="s">
        <v>3872</v>
      </c>
      <c r="I676" t="s">
        <v>462</v>
      </c>
    </row>
    <row r="677" spans="1:9" x14ac:dyDescent="0.3">
      <c r="A677">
        <v>73012</v>
      </c>
      <c r="B677">
        <v>116</v>
      </c>
      <c r="C677" s="453">
        <v>46054</v>
      </c>
      <c r="D677" t="s">
        <v>568</v>
      </c>
      <c r="E677">
        <v>20755</v>
      </c>
      <c r="F677" t="s">
        <v>4052</v>
      </c>
      <c r="G677">
        <v>1</v>
      </c>
      <c r="H677" t="s">
        <v>3966</v>
      </c>
      <c r="I677" t="s">
        <v>462</v>
      </c>
    </row>
    <row r="678" spans="1:9" x14ac:dyDescent="0.3">
      <c r="A678">
        <v>73013</v>
      </c>
      <c r="B678">
        <v>116</v>
      </c>
      <c r="C678" s="453">
        <v>46054</v>
      </c>
      <c r="D678" t="s">
        <v>568</v>
      </c>
      <c r="E678">
        <v>20752</v>
      </c>
      <c r="F678" t="s">
        <v>3964</v>
      </c>
      <c r="G678">
        <v>1</v>
      </c>
      <c r="H678" t="s">
        <v>3886</v>
      </c>
      <c r="I678" t="s">
        <v>462</v>
      </c>
    </row>
    <row r="679" spans="1:9" x14ac:dyDescent="0.3">
      <c r="A679">
        <v>73014</v>
      </c>
      <c r="B679">
        <v>116</v>
      </c>
      <c r="C679" s="453">
        <v>46054</v>
      </c>
      <c r="D679" t="s">
        <v>568</v>
      </c>
      <c r="E679">
        <v>20809</v>
      </c>
      <c r="F679" t="s">
        <v>4005</v>
      </c>
      <c r="G679">
        <v>1</v>
      </c>
      <c r="H679" t="s">
        <v>3888</v>
      </c>
      <c r="I679" t="s">
        <v>462</v>
      </c>
    </row>
    <row r="680" spans="1:9" x14ac:dyDescent="0.3">
      <c r="A680">
        <v>73015</v>
      </c>
      <c r="B680">
        <v>116</v>
      </c>
      <c r="C680" s="453">
        <v>46054</v>
      </c>
      <c r="D680" t="s">
        <v>568</v>
      </c>
      <c r="E680">
        <v>20077</v>
      </c>
      <c r="F680" t="s">
        <v>4054</v>
      </c>
      <c r="G680">
        <v>1</v>
      </c>
      <c r="H680" t="s">
        <v>3888</v>
      </c>
      <c r="I680" t="s">
        <v>462</v>
      </c>
    </row>
    <row r="681" spans="1:9" x14ac:dyDescent="0.3">
      <c r="A681">
        <v>73016</v>
      </c>
      <c r="B681">
        <v>116</v>
      </c>
      <c r="C681" s="453">
        <v>46054</v>
      </c>
      <c r="D681" t="s">
        <v>568</v>
      </c>
      <c r="E681">
        <v>20717</v>
      </c>
      <c r="F681" t="s">
        <v>4055</v>
      </c>
      <c r="G681">
        <v>1</v>
      </c>
      <c r="H681" t="s">
        <v>3872</v>
      </c>
      <c r="I681" t="s">
        <v>462</v>
      </c>
    </row>
    <row r="682" spans="1:9" x14ac:dyDescent="0.3">
      <c r="A682">
        <v>73017</v>
      </c>
      <c r="B682">
        <v>116</v>
      </c>
      <c r="C682" s="453">
        <v>46054</v>
      </c>
      <c r="D682" t="s">
        <v>568</v>
      </c>
      <c r="E682">
        <v>20395</v>
      </c>
      <c r="F682" t="s">
        <v>4057</v>
      </c>
      <c r="G682">
        <v>1</v>
      </c>
      <c r="H682" t="s">
        <v>3872</v>
      </c>
      <c r="I682" t="s">
        <v>462</v>
      </c>
    </row>
    <row r="683" spans="1:9" x14ac:dyDescent="0.3">
      <c r="A683">
        <v>73018</v>
      </c>
      <c r="B683">
        <v>116</v>
      </c>
      <c r="C683" s="453">
        <v>46054</v>
      </c>
      <c r="D683" t="s">
        <v>568</v>
      </c>
      <c r="E683">
        <v>20231</v>
      </c>
      <c r="F683" t="s">
        <v>4123</v>
      </c>
      <c r="G683">
        <v>1</v>
      </c>
      <c r="H683" t="s">
        <v>3888</v>
      </c>
      <c r="I683" t="s">
        <v>462</v>
      </c>
    </row>
    <row r="684" spans="1:9" x14ac:dyDescent="0.3">
      <c r="A684">
        <v>73019</v>
      </c>
      <c r="B684">
        <v>116</v>
      </c>
      <c r="C684" s="453">
        <v>46054</v>
      </c>
      <c r="D684" t="s">
        <v>568</v>
      </c>
      <c r="E684">
        <v>20213</v>
      </c>
      <c r="F684" t="s">
        <v>4059</v>
      </c>
      <c r="G684">
        <v>1</v>
      </c>
      <c r="H684" t="s">
        <v>3888</v>
      </c>
      <c r="I684" t="s">
        <v>462</v>
      </c>
    </row>
    <row r="685" spans="1:9" x14ac:dyDescent="0.3">
      <c r="A685">
        <v>73020</v>
      </c>
      <c r="B685">
        <v>116</v>
      </c>
      <c r="C685" s="453">
        <v>46054</v>
      </c>
      <c r="D685" t="s">
        <v>568</v>
      </c>
      <c r="E685">
        <v>19967</v>
      </c>
      <c r="F685" t="s">
        <v>3930</v>
      </c>
      <c r="G685">
        <v>1</v>
      </c>
      <c r="H685" t="s">
        <v>3931</v>
      </c>
      <c r="I685" t="s">
        <v>462</v>
      </c>
    </row>
    <row r="686" spans="1:9" x14ac:dyDescent="0.3">
      <c r="A686">
        <v>73021</v>
      </c>
      <c r="B686">
        <v>116</v>
      </c>
      <c r="C686" s="453">
        <v>46054</v>
      </c>
      <c r="D686" t="s">
        <v>568</v>
      </c>
      <c r="E686">
        <v>20597</v>
      </c>
      <c r="F686" t="s">
        <v>4157</v>
      </c>
      <c r="G686">
        <v>1</v>
      </c>
      <c r="H686" t="s">
        <v>3872</v>
      </c>
      <c r="I686" t="s">
        <v>462</v>
      </c>
    </row>
    <row r="687" spans="1:9" x14ac:dyDescent="0.3">
      <c r="A687">
        <v>73022</v>
      </c>
      <c r="B687">
        <v>116</v>
      </c>
      <c r="C687" s="453">
        <v>46054</v>
      </c>
      <c r="D687" t="s">
        <v>568</v>
      </c>
      <c r="E687">
        <v>24599</v>
      </c>
      <c r="F687" t="s">
        <v>3897</v>
      </c>
      <c r="G687">
        <v>1</v>
      </c>
      <c r="H687" t="s">
        <v>3888</v>
      </c>
      <c r="I687" t="s">
        <v>462</v>
      </c>
    </row>
    <row r="688" spans="1:9" x14ac:dyDescent="0.3">
      <c r="A688">
        <v>73023</v>
      </c>
      <c r="B688">
        <v>116</v>
      </c>
      <c r="C688" s="453">
        <v>46054</v>
      </c>
      <c r="D688" t="s">
        <v>568</v>
      </c>
      <c r="E688">
        <v>17896</v>
      </c>
      <c r="F688" t="s">
        <v>3972</v>
      </c>
      <c r="G688">
        <v>1</v>
      </c>
      <c r="H688" t="s">
        <v>3888</v>
      </c>
      <c r="I688" t="s">
        <v>462</v>
      </c>
    </row>
    <row r="689" spans="1:9" x14ac:dyDescent="0.3">
      <c r="A689">
        <v>73024</v>
      </c>
      <c r="B689">
        <v>116</v>
      </c>
      <c r="C689" s="453">
        <v>46054</v>
      </c>
      <c r="D689" t="s">
        <v>568</v>
      </c>
      <c r="E689">
        <v>17878</v>
      </c>
      <c r="F689" t="s">
        <v>4096</v>
      </c>
      <c r="G689">
        <v>1</v>
      </c>
      <c r="H689" t="s">
        <v>3872</v>
      </c>
      <c r="I689" t="s">
        <v>462</v>
      </c>
    </row>
    <row r="690" spans="1:9" x14ac:dyDescent="0.3">
      <c r="A690">
        <v>73025</v>
      </c>
      <c r="B690">
        <v>116</v>
      </c>
      <c r="C690" s="453">
        <v>46054</v>
      </c>
      <c r="D690" t="s">
        <v>568</v>
      </c>
      <c r="E690">
        <v>20304</v>
      </c>
      <c r="F690" t="s">
        <v>3938</v>
      </c>
      <c r="G690">
        <v>0.5</v>
      </c>
      <c r="H690" t="s">
        <v>3888</v>
      </c>
      <c r="I690" t="s">
        <v>462</v>
      </c>
    </row>
    <row r="691" spans="1:9" x14ac:dyDescent="0.3">
      <c r="A691">
        <v>73026</v>
      </c>
      <c r="B691">
        <v>116</v>
      </c>
      <c r="C691" s="453">
        <v>46054</v>
      </c>
      <c r="D691" t="s">
        <v>568</v>
      </c>
      <c r="E691">
        <v>21944</v>
      </c>
      <c r="F691" t="s">
        <v>3936</v>
      </c>
      <c r="G691">
        <v>8</v>
      </c>
      <c r="H691" t="s">
        <v>3878</v>
      </c>
      <c r="I691" t="s">
        <v>462</v>
      </c>
    </row>
    <row r="692" spans="1:9" x14ac:dyDescent="0.3">
      <c r="A692">
        <v>73027</v>
      </c>
      <c r="B692">
        <v>116</v>
      </c>
      <c r="C692" s="453">
        <v>46054</v>
      </c>
      <c r="D692" t="s">
        <v>568</v>
      </c>
      <c r="E692">
        <v>26195</v>
      </c>
      <c r="F692" t="s">
        <v>4037</v>
      </c>
      <c r="G692">
        <v>1</v>
      </c>
      <c r="H692" t="s">
        <v>3878</v>
      </c>
      <c r="I692" t="s">
        <v>462</v>
      </c>
    </row>
    <row r="693" spans="1:9" x14ac:dyDescent="0.3">
      <c r="A693">
        <v>73028</v>
      </c>
      <c r="B693">
        <v>116</v>
      </c>
      <c r="C693" s="453">
        <v>46054</v>
      </c>
      <c r="D693" t="s">
        <v>568</v>
      </c>
      <c r="E693">
        <v>17609</v>
      </c>
      <c r="F693" t="s">
        <v>4038</v>
      </c>
      <c r="G693">
        <v>2</v>
      </c>
      <c r="H693" t="s">
        <v>3878</v>
      </c>
      <c r="I693" t="s">
        <v>462</v>
      </c>
    </row>
    <row r="694" spans="1:9" x14ac:dyDescent="0.3">
      <c r="A694">
        <v>73029</v>
      </c>
      <c r="B694">
        <v>116</v>
      </c>
      <c r="C694" s="453">
        <v>46054</v>
      </c>
      <c r="D694" t="s">
        <v>568</v>
      </c>
      <c r="E694">
        <v>17710</v>
      </c>
      <c r="F694" t="s">
        <v>3905</v>
      </c>
      <c r="G694">
        <v>14</v>
      </c>
      <c r="H694" t="s">
        <v>3878</v>
      </c>
      <c r="I694" t="s">
        <v>462</v>
      </c>
    </row>
    <row r="695" spans="1:9" x14ac:dyDescent="0.3">
      <c r="A695">
        <v>73030</v>
      </c>
      <c r="B695">
        <v>116</v>
      </c>
      <c r="C695" s="453">
        <v>46054</v>
      </c>
      <c r="D695" t="s">
        <v>568</v>
      </c>
      <c r="E695">
        <v>28468</v>
      </c>
      <c r="F695" t="s">
        <v>4158</v>
      </c>
      <c r="G695">
        <v>22</v>
      </c>
      <c r="H695" t="s">
        <v>3892</v>
      </c>
      <c r="I695" t="s">
        <v>462</v>
      </c>
    </row>
    <row r="696" spans="1:9" x14ac:dyDescent="0.3">
      <c r="A696">
        <v>73031</v>
      </c>
      <c r="B696">
        <v>116</v>
      </c>
      <c r="C696" s="453">
        <v>46054</v>
      </c>
      <c r="D696" t="s">
        <v>568</v>
      </c>
      <c r="E696">
        <v>28537</v>
      </c>
      <c r="F696" t="s">
        <v>4159</v>
      </c>
      <c r="G696">
        <v>15</v>
      </c>
      <c r="H696" t="s">
        <v>3872</v>
      </c>
      <c r="I696" t="s">
        <v>462</v>
      </c>
    </row>
    <row r="697" spans="1:9" x14ac:dyDescent="0.3">
      <c r="A697">
        <v>75894</v>
      </c>
      <c r="B697">
        <v>116</v>
      </c>
      <c r="C697" s="453">
        <v>46082</v>
      </c>
      <c r="D697" t="s">
        <v>568</v>
      </c>
      <c r="E697">
        <v>18586</v>
      </c>
      <c r="F697" t="s">
        <v>4107</v>
      </c>
      <c r="G697">
        <v>3.08</v>
      </c>
      <c r="H697" t="s">
        <v>3888</v>
      </c>
      <c r="I697" t="s">
        <v>463</v>
      </c>
    </row>
    <row r="698" spans="1:9" x14ac:dyDescent="0.3">
      <c r="A698">
        <v>75895</v>
      </c>
      <c r="B698">
        <v>116</v>
      </c>
      <c r="C698" s="453">
        <v>46082</v>
      </c>
      <c r="D698" t="s">
        <v>568</v>
      </c>
      <c r="E698">
        <v>22515</v>
      </c>
      <c r="F698" t="s">
        <v>3883</v>
      </c>
      <c r="G698">
        <v>71</v>
      </c>
      <c r="H698" t="s">
        <v>3884</v>
      </c>
      <c r="I698" t="s">
        <v>463</v>
      </c>
    </row>
    <row r="699" spans="1:9" x14ac:dyDescent="0.3">
      <c r="A699">
        <v>75896</v>
      </c>
      <c r="B699">
        <v>116</v>
      </c>
      <c r="C699" s="453">
        <v>46082</v>
      </c>
      <c r="D699" t="s">
        <v>568</v>
      </c>
      <c r="E699">
        <v>25197</v>
      </c>
      <c r="F699" t="s">
        <v>4143</v>
      </c>
      <c r="G699">
        <v>61</v>
      </c>
      <c r="H699" t="s">
        <v>3872</v>
      </c>
      <c r="I699" t="s">
        <v>463</v>
      </c>
    </row>
    <row r="700" spans="1:9" x14ac:dyDescent="0.3">
      <c r="A700">
        <v>75897</v>
      </c>
      <c r="B700">
        <v>116</v>
      </c>
      <c r="C700" s="453">
        <v>46082</v>
      </c>
      <c r="D700" t="s">
        <v>568</v>
      </c>
      <c r="E700">
        <v>20985</v>
      </c>
      <c r="F700" t="s">
        <v>3914</v>
      </c>
      <c r="G700">
        <v>50</v>
      </c>
      <c r="H700" t="s">
        <v>3872</v>
      </c>
      <c r="I700" t="s">
        <v>463</v>
      </c>
    </row>
    <row r="701" spans="1:9" x14ac:dyDescent="0.3">
      <c r="A701">
        <v>75898</v>
      </c>
      <c r="B701">
        <v>116</v>
      </c>
      <c r="C701" s="453">
        <v>46082</v>
      </c>
      <c r="D701" t="s">
        <v>568</v>
      </c>
      <c r="E701">
        <v>25196</v>
      </c>
      <c r="F701" t="s">
        <v>3873</v>
      </c>
      <c r="G701">
        <v>47</v>
      </c>
      <c r="H701" t="s">
        <v>3872</v>
      </c>
      <c r="I701" t="s">
        <v>463</v>
      </c>
    </row>
    <row r="702" spans="1:9" x14ac:dyDescent="0.3">
      <c r="A702">
        <v>75899</v>
      </c>
      <c r="B702">
        <v>116</v>
      </c>
      <c r="C702" s="453">
        <v>46082</v>
      </c>
      <c r="D702" t="s">
        <v>568</v>
      </c>
      <c r="E702">
        <v>20703</v>
      </c>
      <c r="F702" t="s">
        <v>3893</v>
      </c>
      <c r="G702">
        <v>43</v>
      </c>
      <c r="H702" t="s">
        <v>3886</v>
      </c>
      <c r="I702" t="s">
        <v>463</v>
      </c>
    </row>
    <row r="703" spans="1:9" x14ac:dyDescent="0.3">
      <c r="A703">
        <v>75900</v>
      </c>
      <c r="B703">
        <v>116</v>
      </c>
      <c r="C703" s="453">
        <v>46082</v>
      </c>
      <c r="D703" t="s">
        <v>568</v>
      </c>
      <c r="E703">
        <v>26193</v>
      </c>
      <c r="F703" t="s">
        <v>3950</v>
      </c>
      <c r="G703">
        <v>41</v>
      </c>
      <c r="H703" t="s">
        <v>3872</v>
      </c>
      <c r="I703" t="s">
        <v>463</v>
      </c>
    </row>
    <row r="704" spans="1:9" x14ac:dyDescent="0.3">
      <c r="A704">
        <v>75901</v>
      </c>
      <c r="B704">
        <v>116</v>
      </c>
      <c r="C704" s="453">
        <v>46082</v>
      </c>
      <c r="D704" t="s">
        <v>568</v>
      </c>
      <c r="E704">
        <v>23096</v>
      </c>
      <c r="F704" t="s">
        <v>3876</v>
      </c>
      <c r="G704">
        <v>38</v>
      </c>
      <c r="H704" t="s">
        <v>3872</v>
      </c>
      <c r="I704" t="s">
        <v>463</v>
      </c>
    </row>
    <row r="705" spans="1:9" x14ac:dyDescent="0.3">
      <c r="A705">
        <v>75902</v>
      </c>
      <c r="B705">
        <v>116</v>
      </c>
      <c r="C705" s="453">
        <v>46082</v>
      </c>
      <c r="D705" t="s">
        <v>568</v>
      </c>
      <c r="E705">
        <v>21030</v>
      </c>
      <c r="F705" t="s">
        <v>3890</v>
      </c>
      <c r="G705">
        <v>33</v>
      </c>
      <c r="H705" t="s">
        <v>3872</v>
      </c>
      <c r="I705" t="s">
        <v>463</v>
      </c>
    </row>
    <row r="706" spans="1:9" x14ac:dyDescent="0.3">
      <c r="A706">
        <v>75903</v>
      </c>
      <c r="B706">
        <v>116</v>
      </c>
      <c r="C706" s="453">
        <v>46082</v>
      </c>
      <c r="D706" t="s">
        <v>568</v>
      </c>
      <c r="E706">
        <v>18247</v>
      </c>
      <c r="F706" t="s">
        <v>3877</v>
      </c>
      <c r="G706">
        <v>30.5</v>
      </c>
      <c r="H706" t="s">
        <v>3878</v>
      </c>
      <c r="I706" t="s">
        <v>463</v>
      </c>
    </row>
    <row r="707" spans="1:9" x14ac:dyDescent="0.3">
      <c r="A707">
        <v>75904</v>
      </c>
      <c r="B707">
        <v>116</v>
      </c>
      <c r="C707" s="453">
        <v>46082</v>
      </c>
      <c r="D707" t="s">
        <v>568</v>
      </c>
      <c r="E707">
        <v>25195</v>
      </c>
      <c r="F707" t="s">
        <v>3874</v>
      </c>
      <c r="G707">
        <v>24</v>
      </c>
      <c r="H707" t="s">
        <v>3872</v>
      </c>
      <c r="I707" t="s">
        <v>463</v>
      </c>
    </row>
    <row r="708" spans="1:9" x14ac:dyDescent="0.3">
      <c r="A708">
        <v>75905</v>
      </c>
      <c r="B708">
        <v>116</v>
      </c>
      <c r="C708" s="453">
        <v>46082</v>
      </c>
      <c r="D708" t="s">
        <v>568</v>
      </c>
      <c r="E708">
        <v>20519</v>
      </c>
      <c r="F708" t="s">
        <v>3902</v>
      </c>
      <c r="G708">
        <v>22.5</v>
      </c>
      <c r="H708" t="s">
        <v>3892</v>
      </c>
      <c r="I708" t="s">
        <v>463</v>
      </c>
    </row>
    <row r="709" spans="1:9" x14ac:dyDescent="0.3">
      <c r="A709">
        <v>75906</v>
      </c>
      <c r="B709">
        <v>116</v>
      </c>
      <c r="C709" s="453">
        <v>46082</v>
      </c>
      <c r="D709" t="s">
        <v>568</v>
      </c>
      <c r="E709">
        <v>27079</v>
      </c>
      <c r="F709" t="s">
        <v>3891</v>
      </c>
      <c r="G709">
        <v>22</v>
      </c>
      <c r="H709" t="s">
        <v>3892</v>
      </c>
      <c r="I709" t="s">
        <v>463</v>
      </c>
    </row>
    <row r="710" spans="1:9" x14ac:dyDescent="0.3">
      <c r="A710">
        <v>75907</v>
      </c>
      <c r="B710">
        <v>116</v>
      </c>
      <c r="C710" s="453">
        <v>46082</v>
      </c>
      <c r="D710" t="s">
        <v>568</v>
      </c>
      <c r="E710">
        <v>18684</v>
      </c>
      <c r="F710" t="s">
        <v>3925</v>
      </c>
      <c r="G710">
        <v>22</v>
      </c>
      <c r="H710" t="s">
        <v>3892</v>
      </c>
      <c r="I710" t="s">
        <v>463</v>
      </c>
    </row>
    <row r="711" spans="1:9" x14ac:dyDescent="0.3">
      <c r="A711">
        <v>75908</v>
      </c>
      <c r="B711">
        <v>116</v>
      </c>
      <c r="C711" s="453">
        <v>46082</v>
      </c>
      <c r="D711" t="s">
        <v>568</v>
      </c>
      <c r="E711">
        <v>17958</v>
      </c>
      <c r="F711" t="s">
        <v>4141</v>
      </c>
      <c r="G711">
        <v>22</v>
      </c>
      <c r="H711" t="s">
        <v>3888</v>
      </c>
      <c r="I711" t="s">
        <v>463</v>
      </c>
    </row>
    <row r="712" spans="1:9" x14ac:dyDescent="0.3">
      <c r="A712">
        <v>75909</v>
      </c>
      <c r="B712">
        <v>116</v>
      </c>
      <c r="C712" s="453">
        <v>46082</v>
      </c>
      <c r="D712" t="s">
        <v>568</v>
      </c>
      <c r="E712">
        <v>17905</v>
      </c>
      <c r="F712" t="s">
        <v>4139</v>
      </c>
      <c r="G712">
        <v>20.5</v>
      </c>
      <c r="H712" t="s">
        <v>3888</v>
      </c>
      <c r="I712" t="s">
        <v>463</v>
      </c>
    </row>
    <row r="713" spans="1:9" x14ac:dyDescent="0.3">
      <c r="A713">
        <v>75910</v>
      </c>
      <c r="B713">
        <v>116</v>
      </c>
      <c r="C713" s="453">
        <v>46082</v>
      </c>
      <c r="D713" t="s">
        <v>568</v>
      </c>
      <c r="E713">
        <v>25167</v>
      </c>
      <c r="F713" t="s">
        <v>3951</v>
      </c>
      <c r="G713">
        <v>20</v>
      </c>
      <c r="H713" t="s">
        <v>3892</v>
      </c>
      <c r="I713" t="s">
        <v>463</v>
      </c>
    </row>
    <row r="714" spans="1:9" x14ac:dyDescent="0.3">
      <c r="A714">
        <v>75911</v>
      </c>
      <c r="B714">
        <v>116</v>
      </c>
      <c r="C714" s="453">
        <v>46082</v>
      </c>
      <c r="D714" t="s">
        <v>568</v>
      </c>
      <c r="E714">
        <v>24351</v>
      </c>
      <c r="F714" t="s">
        <v>3912</v>
      </c>
      <c r="G714">
        <v>20</v>
      </c>
      <c r="H714" t="s">
        <v>3872</v>
      </c>
      <c r="I714" t="s">
        <v>463</v>
      </c>
    </row>
    <row r="715" spans="1:9" x14ac:dyDescent="0.3">
      <c r="A715">
        <v>75912</v>
      </c>
      <c r="B715">
        <v>116</v>
      </c>
      <c r="C715" s="453">
        <v>46082</v>
      </c>
      <c r="D715" t="s">
        <v>568</v>
      </c>
      <c r="E715">
        <v>17895</v>
      </c>
      <c r="F715" t="s">
        <v>4137</v>
      </c>
      <c r="G715">
        <v>18</v>
      </c>
      <c r="H715" t="s">
        <v>3888</v>
      </c>
      <c r="I715" t="s">
        <v>463</v>
      </c>
    </row>
    <row r="716" spans="1:9" x14ac:dyDescent="0.3">
      <c r="A716">
        <v>75913</v>
      </c>
      <c r="B716">
        <v>116</v>
      </c>
      <c r="C716" s="453">
        <v>46082</v>
      </c>
      <c r="D716" t="s">
        <v>568</v>
      </c>
      <c r="E716">
        <v>23095</v>
      </c>
      <c r="F716" t="s">
        <v>3882</v>
      </c>
      <c r="G716">
        <v>17</v>
      </c>
      <c r="H716" t="s">
        <v>3872</v>
      </c>
      <c r="I716" t="s">
        <v>463</v>
      </c>
    </row>
    <row r="717" spans="1:9" x14ac:dyDescent="0.3">
      <c r="A717">
        <v>75914</v>
      </c>
      <c r="B717">
        <v>116</v>
      </c>
      <c r="C717" s="453">
        <v>46082</v>
      </c>
      <c r="D717" t="s">
        <v>568</v>
      </c>
      <c r="E717">
        <v>24599</v>
      </c>
      <c r="F717" t="s">
        <v>3897</v>
      </c>
      <c r="G717">
        <v>0.71</v>
      </c>
      <c r="H717" t="s">
        <v>3888</v>
      </c>
      <c r="I717" t="s">
        <v>463</v>
      </c>
    </row>
    <row r="718" spans="1:9" x14ac:dyDescent="0.3">
      <c r="A718">
        <v>75915</v>
      </c>
      <c r="B718">
        <v>116</v>
      </c>
      <c r="C718" s="453">
        <v>46082</v>
      </c>
      <c r="D718" t="s">
        <v>568</v>
      </c>
      <c r="E718">
        <v>20246</v>
      </c>
      <c r="F718" t="s">
        <v>3911</v>
      </c>
      <c r="G718">
        <v>15</v>
      </c>
      <c r="H718" t="s">
        <v>3872</v>
      </c>
      <c r="I718" t="s">
        <v>463</v>
      </c>
    </row>
    <row r="719" spans="1:9" x14ac:dyDescent="0.3">
      <c r="A719">
        <v>75916</v>
      </c>
      <c r="B719">
        <v>116</v>
      </c>
      <c r="C719" s="453">
        <v>46082</v>
      </c>
      <c r="D719" t="s">
        <v>568</v>
      </c>
      <c r="E719">
        <v>19420</v>
      </c>
      <c r="F719" t="s">
        <v>3899</v>
      </c>
      <c r="G719">
        <v>15</v>
      </c>
      <c r="H719" t="s">
        <v>3872</v>
      </c>
      <c r="I719" t="s">
        <v>463</v>
      </c>
    </row>
    <row r="720" spans="1:9" x14ac:dyDescent="0.3">
      <c r="A720">
        <v>75917</v>
      </c>
      <c r="B720">
        <v>116</v>
      </c>
      <c r="C720" s="453">
        <v>46082</v>
      </c>
      <c r="D720" t="s">
        <v>568</v>
      </c>
      <c r="E720">
        <v>18636</v>
      </c>
      <c r="F720" t="s">
        <v>3921</v>
      </c>
      <c r="G720">
        <v>15</v>
      </c>
      <c r="H720" t="s">
        <v>3922</v>
      </c>
      <c r="I720" t="s">
        <v>463</v>
      </c>
    </row>
    <row r="721" spans="1:9" x14ac:dyDescent="0.3">
      <c r="A721">
        <v>75918</v>
      </c>
      <c r="B721">
        <v>116</v>
      </c>
      <c r="C721" s="453">
        <v>46082</v>
      </c>
      <c r="D721" t="s">
        <v>568</v>
      </c>
      <c r="E721">
        <v>17710</v>
      </c>
      <c r="F721" t="s">
        <v>3905</v>
      </c>
      <c r="G721">
        <v>14</v>
      </c>
      <c r="H721" t="s">
        <v>3878</v>
      </c>
      <c r="I721" t="s">
        <v>463</v>
      </c>
    </row>
    <row r="722" spans="1:9" x14ac:dyDescent="0.3">
      <c r="A722">
        <v>75919</v>
      </c>
      <c r="B722">
        <v>116</v>
      </c>
      <c r="C722" s="453">
        <v>46082</v>
      </c>
      <c r="D722" t="s">
        <v>568</v>
      </c>
      <c r="E722">
        <v>19984</v>
      </c>
      <c r="F722" t="s">
        <v>3904</v>
      </c>
      <c r="G722">
        <v>13</v>
      </c>
      <c r="H722" t="s">
        <v>3872</v>
      </c>
      <c r="I722" t="s">
        <v>463</v>
      </c>
    </row>
    <row r="723" spans="1:9" x14ac:dyDescent="0.3">
      <c r="A723">
        <v>75920</v>
      </c>
      <c r="B723">
        <v>116</v>
      </c>
      <c r="C723" s="453">
        <v>46082</v>
      </c>
      <c r="D723" t="s">
        <v>568</v>
      </c>
      <c r="E723">
        <v>18475</v>
      </c>
      <c r="F723" t="s">
        <v>3918</v>
      </c>
      <c r="G723">
        <v>13</v>
      </c>
      <c r="H723" t="s">
        <v>3878</v>
      </c>
      <c r="I723" t="s">
        <v>463</v>
      </c>
    </row>
    <row r="724" spans="1:9" x14ac:dyDescent="0.3">
      <c r="A724">
        <v>75921</v>
      </c>
      <c r="B724">
        <v>116</v>
      </c>
      <c r="C724" s="453">
        <v>46082</v>
      </c>
      <c r="D724" t="s">
        <v>568</v>
      </c>
      <c r="E724">
        <v>24320</v>
      </c>
      <c r="F724" t="s">
        <v>4160</v>
      </c>
      <c r="G724">
        <v>12.2</v>
      </c>
      <c r="H724" t="s">
        <v>3892</v>
      </c>
      <c r="I724" t="s">
        <v>463</v>
      </c>
    </row>
    <row r="725" spans="1:9" x14ac:dyDescent="0.3">
      <c r="A725">
        <v>75922</v>
      </c>
      <c r="B725">
        <v>116</v>
      </c>
      <c r="C725" s="453">
        <v>46082</v>
      </c>
      <c r="D725" t="s">
        <v>568</v>
      </c>
      <c r="E725">
        <v>18447</v>
      </c>
      <c r="F725" t="s">
        <v>4027</v>
      </c>
      <c r="G725">
        <v>12</v>
      </c>
      <c r="H725" t="s">
        <v>3878</v>
      </c>
      <c r="I725" t="s">
        <v>463</v>
      </c>
    </row>
    <row r="726" spans="1:9" x14ac:dyDescent="0.3">
      <c r="A726">
        <v>75923</v>
      </c>
      <c r="B726">
        <v>116</v>
      </c>
      <c r="C726" s="453">
        <v>46082</v>
      </c>
      <c r="D726" t="s">
        <v>568</v>
      </c>
      <c r="E726">
        <v>24002</v>
      </c>
      <c r="F726" t="s">
        <v>3924</v>
      </c>
      <c r="G726">
        <v>12</v>
      </c>
      <c r="H726" t="s">
        <v>3872</v>
      </c>
      <c r="I726" t="s">
        <v>463</v>
      </c>
    </row>
    <row r="727" spans="1:9" x14ac:dyDescent="0.3">
      <c r="A727">
        <v>75924</v>
      </c>
      <c r="B727">
        <v>116</v>
      </c>
      <c r="C727" s="453">
        <v>46082</v>
      </c>
      <c r="D727" t="s">
        <v>568</v>
      </c>
      <c r="E727">
        <v>19297</v>
      </c>
      <c r="F727" t="s">
        <v>3949</v>
      </c>
      <c r="G727">
        <v>11.1</v>
      </c>
      <c r="H727" t="s">
        <v>3892</v>
      </c>
      <c r="I727" t="s">
        <v>463</v>
      </c>
    </row>
    <row r="728" spans="1:9" x14ac:dyDescent="0.3">
      <c r="A728">
        <v>75925</v>
      </c>
      <c r="B728">
        <v>116</v>
      </c>
      <c r="C728" s="453">
        <v>46082</v>
      </c>
      <c r="D728" t="s">
        <v>568</v>
      </c>
      <c r="E728">
        <v>27313</v>
      </c>
      <c r="F728" t="s">
        <v>4131</v>
      </c>
      <c r="G728">
        <v>11</v>
      </c>
      <c r="H728" t="s">
        <v>3892</v>
      </c>
      <c r="I728" t="s">
        <v>463</v>
      </c>
    </row>
    <row r="729" spans="1:9" x14ac:dyDescent="0.3">
      <c r="A729">
        <v>75926</v>
      </c>
      <c r="B729">
        <v>116</v>
      </c>
      <c r="C729" s="453">
        <v>46082</v>
      </c>
      <c r="D729" t="s">
        <v>568</v>
      </c>
      <c r="E729">
        <v>17983</v>
      </c>
      <c r="F729" t="s">
        <v>4142</v>
      </c>
      <c r="G729">
        <v>11</v>
      </c>
      <c r="H729" t="s">
        <v>3888</v>
      </c>
      <c r="I729" t="s">
        <v>463</v>
      </c>
    </row>
    <row r="730" spans="1:9" x14ac:dyDescent="0.3">
      <c r="A730">
        <v>75927</v>
      </c>
      <c r="B730">
        <v>116</v>
      </c>
      <c r="C730" s="453">
        <v>46082</v>
      </c>
      <c r="D730" t="s">
        <v>568</v>
      </c>
      <c r="E730">
        <v>24388</v>
      </c>
      <c r="F730" t="s">
        <v>3915</v>
      </c>
      <c r="G730">
        <v>10.5</v>
      </c>
      <c r="H730" t="s">
        <v>3892</v>
      </c>
      <c r="I730" t="s">
        <v>463</v>
      </c>
    </row>
    <row r="731" spans="1:9" x14ac:dyDescent="0.3">
      <c r="A731">
        <v>75928</v>
      </c>
      <c r="B731">
        <v>116</v>
      </c>
      <c r="C731" s="453">
        <v>46082</v>
      </c>
      <c r="D731" t="s">
        <v>568</v>
      </c>
      <c r="E731">
        <v>19287</v>
      </c>
      <c r="F731" t="s">
        <v>3974</v>
      </c>
      <c r="G731">
        <v>10.4</v>
      </c>
      <c r="H731" t="s">
        <v>3892</v>
      </c>
      <c r="I731" t="s">
        <v>463</v>
      </c>
    </row>
    <row r="732" spans="1:9" x14ac:dyDescent="0.3">
      <c r="A732">
        <v>75929</v>
      </c>
      <c r="B732">
        <v>116</v>
      </c>
      <c r="C732" s="453">
        <v>46082</v>
      </c>
      <c r="D732" t="s">
        <v>568</v>
      </c>
      <c r="E732">
        <v>24083</v>
      </c>
      <c r="F732" t="s">
        <v>3898</v>
      </c>
      <c r="G732">
        <v>10</v>
      </c>
      <c r="H732" t="s">
        <v>3892</v>
      </c>
      <c r="I732" t="s">
        <v>463</v>
      </c>
    </row>
    <row r="733" spans="1:9" x14ac:dyDescent="0.3">
      <c r="A733">
        <v>75930</v>
      </c>
      <c r="B733">
        <v>116</v>
      </c>
      <c r="C733" s="453">
        <v>46082</v>
      </c>
      <c r="D733" t="s">
        <v>568</v>
      </c>
      <c r="E733">
        <v>18832</v>
      </c>
      <c r="F733" t="s">
        <v>3900</v>
      </c>
      <c r="G733">
        <v>10</v>
      </c>
      <c r="H733" t="s">
        <v>3892</v>
      </c>
      <c r="I733" t="s">
        <v>463</v>
      </c>
    </row>
    <row r="734" spans="1:9" x14ac:dyDescent="0.3">
      <c r="A734">
        <v>75931</v>
      </c>
      <c r="B734">
        <v>116</v>
      </c>
      <c r="C734" s="453">
        <v>46082</v>
      </c>
      <c r="D734" t="s">
        <v>568</v>
      </c>
      <c r="E734">
        <v>20539</v>
      </c>
      <c r="F734" t="s">
        <v>3908</v>
      </c>
      <c r="G734">
        <v>9.5</v>
      </c>
      <c r="H734" t="s">
        <v>3892</v>
      </c>
      <c r="I734" t="s">
        <v>463</v>
      </c>
    </row>
    <row r="735" spans="1:9" x14ac:dyDescent="0.3">
      <c r="A735">
        <v>75932</v>
      </c>
      <c r="B735">
        <v>116</v>
      </c>
      <c r="C735" s="453">
        <v>46082</v>
      </c>
      <c r="D735" t="s">
        <v>568</v>
      </c>
      <c r="E735">
        <v>18764</v>
      </c>
      <c r="F735" t="s">
        <v>3907</v>
      </c>
      <c r="G735">
        <v>9.5</v>
      </c>
      <c r="H735" t="s">
        <v>3892</v>
      </c>
      <c r="I735" t="s">
        <v>463</v>
      </c>
    </row>
    <row r="736" spans="1:9" x14ac:dyDescent="0.3">
      <c r="A736">
        <v>75933</v>
      </c>
      <c r="B736">
        <v>116</v>
      </c>
      <c r="C736" s="453">
        <v>46082</v>
      </c>
      <c r="D736" t="s">
        <v>568</v>
      </c>
      <c r="E736">
        <v>17903</v>
      </c>
      <c r="F736" t="s">
        <v>3971</v>
      </c>
      <c r="G736">
        <v>9</v>
      </c>
      <c r="H736" t="s">
        <v>3888</v>
      </c>
      <c r="I736" t="s">
        <v>463</v>
      </c>
    </row>
    <row r="737" spans="1:9" x14ac:dyDescent="0.3">
      <c r="A737">
        <v>75934</v>
      </c>
      <c r="B737">
        <v>116</v>
      </c>
      <c r="C737" s="453">
        <v>46082</v>
      </c>
      <c r="D737" t="s">
        <v>568</v>
      </c>
      <c r="E737">
        <v>17886</v>
      </c>
      <c r="F737" t="s">
        <v>3935</v>
      </c>
      <c r="G737">
        <v>9</v>
      </c>
      <c r="H737" t="s">
        <v>3888</v>
      </c>
      <c r="I737" t="s">
        <v>463</v>
      </c>
    </row>
    <row r="738" spans="1:9" x14ac:dyDescent="0.3">
      <c r="A738">
        <v>75935</v>
      </c>
      <c r="B738">
        <v>116</v>
      </c>
      <c r="C738" s="453">
        <v>46082</v>
      </c>
      <c r="D738" t="s">
        <v>568</v>
      </c>
      <c r="E738">
        <v>22734</v>
      </c>
      <c r="F738" t="s">
        <v>3955</v>
      </c>
      <c r="G738">
        <v>8.9</v>
      </c>
      <c r="H738" t="s">
        <v>3892</v>
      </c>
      <c r="I738" t="s">
        <v>463</v>
      </c>
    </row>
    <row r="739" spans="1:9" x14ac:dyDescent="0.3">
      <c r="A739">
        <v>75936</v>
      </c>
      <c r="B739">
        <v>116</v>
      </c>
      <c r="C739" s="453">
        <v>46082</v>
      </c>
      <c r="D739" t="s">
        <v>568</v>
      </c>
      <c r="E739">
        <v>18172</v>
      </c>
      <c r="F739" t="s">
        <v>3923</v>
      </c>
      <c r="G739">
        <v>8.5</v>
      </c>
      <c r="H739" t="s">
        <v>3878</v>
      </c>
      <c r="I739" t="s">
        <v>463</v>
      </c>
    </row>
    <row r="740" spans="1:9" x14ac:dyDescent="0.3">
      <c r="A740">
        <v>75937</v>
      </c>
      <c r="B740">
        <v>116</v>
      </c>
      <c r="C740" s="453">
        <v>46082</v>
      </c>
      <c r="D740" t="s">
        <v>568</v>
      </c>
      <c r="E740">
        <v>21085</v>
      </c>
      <c r="F740" t="s">
        <v>4114</v>
      </c>
      <c r="G740">
        <v>8</v>
      </c>
      <c r="H740" t="s">
        <v>3881</v>
      </c>
      <c r="I740" t="s">
        <v>463</v>
      </c>
    </row>
    <row r="741" spans="1:9" x14ac:dyDescent="0.3">
      <c r="A741">
        <v>75938</v>
      </c>
      <c r="B741">
        <v>116</v>
      </c>
      <c r="C741" s="453">
        <v>46082</v>
      </c>
      <c r="D741" t="s">
        <v>568</v>
      </c>
      <c r="E741">
        <v>20661</v>
      </c>
      <c r="F741" t="s">
        <v>3919</v>
      </c>
      <c r="G741">
        <v>8</v>
      </c>
      <c r="H741" t="s">
        <v>3872</v>
      </c>
      <c r="I741" t="s">
        <v>463</v>
      </c>
    </row>
    <row r="742" spans="1:9" x14ac:dyDescent="0.3">
      <c r="A742">
        <v>75939</v>
      </c>
      <c r="B742">
        <v>116</v>
      </c>
      <c r="C742" s="453">
        <v>46082</v>
      </c>
      <c r="D742" t="s">
        <v>568</v>
      </c>
      <c r="E742">
        <v>27711</v>
      </c>
      <c r="F742" t="s">
        <v>3913</v>
      </c>
      <c r="G742">
        <v>8</v>
      </c>
      <c r="H742" t="s">
        <v>3872</v>
      </c>
      <c r="I742" t="s">
        <v>463</v>
      </c>
    </row>
    <row r="743" spans="1:9" x14ac:dyDescent="0.3">
      <c r="A743">
        <v>75940</v>
      </c>
      <c r="B743">
        <v>116</v>
      </c>
      <c r="C743" s="453">
        <v>46082</v>
      </c>
      <c r="D743" t="s">
        <v>568</v>
      </c>
      <c r="E743">
        <v>24517</v>
      </c>
      <c r="F743" t="s">
        <v>3991</v>
      </c>
      <c r="G743">
        <v>8</v>
      </c>
      <c r="H743" t="s">
        <v>3892</v>
      </c>
      <c r="I743" t="s">
        <v>463</v>
      </c>
    </row>
    <row r="744" spans="1:9" x14ac:dyDescent="0.3">
      <c r="A744">
        <v>75941</v>
      </c>
      <c r="B744">
        <v>116</v>
      </c>
      <c r="C744" s="453">
        <v>46082</v>
      </c>
      <c r="D744" t="s">
        <v>568</v>
      </c>
      <c r="E744">
        <v>21944</v>
      </c>
      <c r="F744" t="s">
        <v>3936</v>
      </c>
      <c r="G744">
        <v>8</v>
      </c>
      <c r="H744" t="s">
        <v>3878</v>
      </c>
      <c r="I744" t="s">
        <v>463</v>
      </c>
    </row>
    <row r="745" spans="1:9" x14ac:dyDescent="0.3">
      <c r="A745">
        <v>75942</v>
      </c>
      <c r="B745">
        <v>116</v>
      </c>
      <c r="C745" s="453">
        <v>46082</v>
      </c>
      <c r="D745" t="s">
        <v>568</v>
      </c>
      <c r="E745">
        <v>23760</v>
      </c>
      <c r="F745" t="s">
        <v>4007</v>
      </c>
      <c r="G745">
        <v>7.5</v>
      </c>
      <c r="H745" t="s">
        <v>3892</v>
      </c>
      <c r="I745" t="s">
        <v>463</v>
      </c>
    </row>
    <row r="746" spans="1:9" x14ac:dyDescent="0.3">
      <c r="A746">
        <v>75943</v>
      </c>
      <c r="B746">
        <v>116</v>
      </c>
      <c r="C746" s="453">
        <v>46082</v>
      </c>
      <c r="D746" t="s">
        <v>568</v>
      </c>
      <c r="E746">
        <v>27884</v>
      </c>
      <c r="F746" t="s">
        <v>3910</v>
      </c>
      <c r="G746">
        <v>7.5</v>
      </c>
      <c r="H746" t="s">
        <v>3892</v>
      </c>
      <c r="I746" t="s">
        <v>463</v>
      </c>
    </row>
    <row r="747" spans="1:9" x14ac:dyDescent="0.3">
      <c r="A747">
        <v>75944</v>
      </c>
      <c r="B747">
        <v>116</v>
      </c>
      <c r="C747" s="453">
        <v>46082</v>
      </c>
      <c r="D747" t="s">
        <v>568</v>
      </c>
      <c r="E747">
        <v>18253</v>
      </c>
      <c r="F747" t="s">
        <v>3947</v>
      </c>
      <c r="G747">
        <v>7.3</v>
      </c>
      <c r="H747" t="s">
        <v>3878</v>
      </c>
      <c r="I747" t="s">
        <v>463</v>
      </c>
    </row>
    <row r="748" spans="1:9" x14ac:dyDescent="0.3">
      <c r="A748">
        <v>75945</v>
      </c>
      <c r="B748">
        <v>116</v>
      </c>
      <c r="C748" s="453">
        <v>46082</v>
      </c>
      <c r="D748" t="s">
        <v>568</v>
      </c>
      <c r="E748">
        <v>20301</v>
      </c>
      <c r="F748" t="s">
        <v>4161</v>
      </c>
      <c r="G748">
        <v>7</v>
      </c>
      <c r="H748" t="s">
        <v>3888</v>
      </c>
      <c r="I748" t="s">
        <v>463</v>
      </c>
    </row>
    <row r="749" spans="1:9" x14ac:dyDescent="0.3">
      <c r="A749">
        <v>75946</v>
      </c>
      <c r="B749">
        <v>116</v>
      </c>
      <c r="C749" s="453">
        <v>46082</v>
      </c>
      <c r="D749" t="s">
        <v>568</v>
      </c>
      <c r="E749">
        <v>20682</v>
      </c>
      <c r="F749" t="s">
        <v>3929</v>
      </c>
      <c r="G749">
        <v>7</v>
      </c>
      <c r="H749" t="s">
        <v>3872</v>
      </c>
      <c r="I749" t="s">
        <v>463</v>
      </c>
    </row>
    <row r="750" spans="1:9" x14ac:dyDescent="0.3">
      <c r="A750">
        <v>75947</v>
      </c>
      <c r="B750">
        <v>116</v>
      </c>
      <c r="C750" s="453">
        <v>46082</v>
      </c>
      <c r="D750" t="s">
        <v>568</v>
      </c>
      <c r="E750">
        <v>20458</v>
      </c>
      <c r="F750" t="s">
        <v>4121</v>
      </c>
      <c r="G750">
        <v>6.3</v>
      </c>
      <c r="H750" t="s">
        <v>3892</v>
      </c>
      <c r="I750" t="s">
        <v>463</v>
      </c>
    </row>
    <row r="751" spans="1:9" x14ac:dyDescent="0.3">
      <c r="A751">
        <v>75948</v>
      </c>
      <c r="B751">
        <v>116</v>
      </c>
      <c r="C751" s="453">
        <v>46082</v>
      </c>
      <c r="D751" t="s">
        <v>568</v>
      </c>
      <c r="E751">
        <v>19324</v>
      </c>
      <c r="F751" t="s">
        <v>3937</v>
      </c>
      <c r="G751">
        <v>6.2</v>
      </c>
      <c r="H751" t="s">
        <v>3892</v>
      </c>
      <c r="I751" t="s">
        <v>463</v>
      </c>
    </row>
    <row r="752" spans="1:9" x14ac:dyDescent="0.3">
      <c r="A752">
        <v>75949</v>
      </c>
      <c r="B752">
        <v>116</v>
      </c>
      <c r="C752" s="453">
        <v>46082</v>
      </c>
      <c r="D752" t="s">
        <v>568</v>
      </c>
      <c r="E752">
        <v>20227</v>
      </c>
      <c r="F752" t="s">
        <v>3968</v>
      </c>
      <c r="G752">
        <v>6</v>
      </c>
      <c r="H752" t="s">
        <v>3888</v>
      </c>
      <c r="I752" t="s">
        <v>463</v>
      </c>
    </row>
    <row r="753" spans="1:9" x14ac:dyDescent="0.3">
      <c r="A753">
        <v>75950</v>
      </c>
      <c r="B753">
        <v>116</v>
      </c>
      <c r="C753" s="453">
        <v>46082</v>
      </c>
      <c r="D753" t="s">
        <v>568</v>
      </c>
      <c r="E753">
        <v>19415</v>
      </c>
      <c r="F753" t="s">
        <v>3941</v>
      </c>
      <c r="G753">
        <v>6</v>
      </c>
      <c r="H753" t="s">
        <v>3872</v>
      </c>
      <c r="I753" t="s">
        <v>463</v>
      </c>
    </row>
    <row r="754" spans="1:9" x14ac:dyDescent="0.3">
      <c r="A754">
        <v>75951</v>
      </c>
      <c r="B754">
        <v>116</v>
      </c>
      <c r="C754" s="453">
        <v>46082</v>
      </c>
      <c r="D754" t="s">
        <v>568</v>
      </c>
      <c r="E754">
        <v>19139</v>
      </c>
      <c r="F754" t="s">
        <v>3887</v>
      </c>
      <c r="G754">
        <v>6</v>
      </c>
      <c r="H754" t="s">
        <v>3888</v>
      </c>
      <c r="I754" t="s">
        <v>463</v>
      </c>
    </row>
    <row r="755" spans="1:9" x14ac:dyDescent="0.3">
      <c r="A755">
        <v>75952</v>
      </c>
      <c r="B755">
        <v>116</v>
      </c>
      <c r="C755" s="453">
        <v>46082</v>
      </c>
      <c r="D755" t="s">
        <v>568</v>
      </c>
      <c r="E755">
        <v>17093</v>
      </c>
      <c r="F755" t="s">
        <v>3993</v>
      </c>
      <c r="G755">
        <v>6</v>
      </c>
      <c r="H755" t="s">
        <v>3888</v>
      </c>
      <c r="I755" t="s">
        <v>463</v>
      </c>
    </row>
    <row r="756" spans="1:9" x14ac:dyDescent="0.3">
      <c r="A756">
        <v>75953</v>
      </c>
      <c r="B756">
        <v>116</v>
      </c>
      <c r="C756" s="453">
        <v>46082</v>
      </c>
      <c r="D756" t="s">
        <v>568</v>
      </c>
      <c r="E756">
        <v>22857</v>
      </c>
      <c r="F756" t="s">
        <v>4130</v>
      </c>
      <c r="G756">
        <v>5.9</v>
      </c>
      <c r="H756" t="s">
        <v>3892</v>
      </c>
      <c r="I756" t="s">
        <v>463</v>
      </c>
    </row>
    <row r="757" spans="1:9" x14ac:dyDescent="0.3">
      <c r="A757">
        <v>75954</v>
      </c>
      <c r="B757">
        <v>116</v>
      </c>
      <c r="C757" s="453">
        <v>46082</v>
      </c>
      <c r="D757" t="s">
        <v>568</v>
      </c>
      <c r="E757">
        <v>18696</v>
      </c>
      <c r="F757" t="s">
        <v>3956</v>
      </c>
      <c r="G757">
        <v>5.5</v>
      </c>
      <c r="H757" t="s">
        <v>3892</v>
      </c>
      <c r="I757" t="s">
        <v>463</v>
      </c>
    </row>
    <row r="758" spans="1:9" x14ac:dyDescent="0.3">
      <c r="A758">
        <v>75955</v>
      </c>
      <c r="B758">
        <v>116</v>
      </c>
      <c r="C758" s="453">
        <v>46082</v>
      </c>
      <c r="D758" t="s">
        <v>568</v>
      </c>
      <c r="E758">
        <v>18493</v>
      </c>
      <c r="F758" t="s">
        <v>3958</v>
      </c>
      <c r="G758">
        <v>5.5</v>
      </c>
      <c r="H758" t="s">
        <v>3878</v>
      </c>
      <c r="I758" t="s">
        <v>463</v>
      </c>
    </row>
    <row r="759" spans="1:9" x14ac:dyDescent="0.3">
      <c r="A759">
        <v>75956</v>
      </c>
      <c r="B759">
        <v>116</v>
      </c>
      <c r="C759" s="453">
        <v>46082</v>
      </c>
      <c r="D759" t="s">
        <v>568</v>
      </c>
      <c r="E759">
        <v>24259</v>
      </c>
      <c r="F759" t="s">
        <v>3895</v>
      </c>
      <c r="G759">
        <v>5.2</v>
      </c>
      <c r="H759" t="s">
        <v>3892</v>
      </c>
      <c r="I759" t="s">
        <v>463</v>
      </c>
    </row>
    <row r="760" spans="1:9" x14ac:dyDescent="0.3">
      <c r="A760">
        <v>75957</v>
      </c>
      <c r="B760">
        <v>116</v>
      </c>
      <c r="C760" s="453">
        <v>46082</v>
      </c>
      <c r="D760" t="s">
        <v>568</v>
      </c>
      <c r="E760">
        <v>20395</v>
      </c>
      <c r="F760" t="s">
        <v>4057</v>
      </c>
      <c r="G760">
        <v>5</v>
      </c>
      <c r="H760" t="s">
        <v>3872</v>
      </c>
      <c r="I760" t="s">
        <v>463</v>
      </c>
    </row>
    <row r="761" spans="1:9" x14ac:dyDescent="0.3">
      <c r="A761">
        <v>75958</v>
      </c>
      <c r="B761">
        <v>116</v>
      </c>
      <c r="C761" s="453">
        <v>46082</v>
      </c>
      <c r="D761" t="s">
        <v>568</v>
      </c>
      <c r="E761">
        <v>20234</v>
      </c>
      <c r="F761" t="s">
        <v>3979</v>
      </c>
      <c r="G761">
        <v>5</v>
      </c>
      <c r="H761" t="s">
        <v>3892</v>
      </c>
      <c r="I761" t="s">
        <v>463</v>
      </c>
    </row>
    <row r="762" spans="1:9" x14ac:dyDescent="0.3">
      <c r="A762">
        <v>75959</v>
      </c>
      <c r="B762">
        <v>116</v>
      </c>
      <c r="C762" s="453">
        <v>46082</v>
      </c>
      <c r="D762" t="s">
        <v>568</v>
      </c>
      <c r="E762">
        <v>20949</v>
      </c>
      <c r="F762" t="s">
        <v>3983</v>
      </c>
      <c r="G762">
        <v>5</v>
      </c>
      <c r="H762" t="s">
        <v>3878</v>
      </c>
      <c r="I762" t="s">
        <v>463</v>
      </c>
    </row>
    <row r="763" spans="1:9" x14ac:dyDescent="0.3">
      <c r="A763">
        <v>75960</v>
      </c>
      <c r="B763">
        <v>116</v>
      </c>
      <c r="C763" s="453">
        <v>46082</v>
      </c>
      <c r="D763" t="s">
        <v>568</v>
      </c>
      <c r="E763">
        <v>18006</v>
      </c>
      <c r="F763" t="s">
        <v>4138</v>
      </c>
      <c r="G763">
        <v>5</v>
      </c>
      <c r="H763" t="s">
        <v>3888</v>
      </c>
      <c r="I763" t="s">
        <v>463</v>
      </c>
    </row>
    <row r="764" spans="1:9" x14ac:dyDescent="0.3">
      <c r="A764">
        <v>75961</v>
      </c>
      <c r="B764">
        <v>116</v>
      </c>
      <c r="C764" s="453">
        <v>46082</v>
      </c>
      <c r="D764" t="s">
        <v>568</v>
      </c>
      <c r="E764">
        <v>18200</v>
      </c>
      <c r="F764" t="s">
        <v>4032</v>
      </c>
      <c r="G764">
        <v>4.5</v>
      </c>
      <c r="H764" t="s">
        <v>3878</v>
      </c>
      <c r="I764" t="s">
        <v>463</v>
      </c>
    </row>
    <row r="765" spans="1:9" x14ac:dyDescent="0.3">
      <c r="A765">
        <v>75962</v>
      </c>
      <c r="B765">
        <v>116</v>
      </c>
      <c r="C765" s="453">
        <v>46082</v>
      </c>
      <c r="D765" t="s">
        <v>568</v>
      </c>
      <c r="E765">
        <v>17883</v>
      </c>
      <c r="F765" t="s">
        <v>4136</v>
      </c>
      <c r="G765">
        <v>4.5</v>
      </c>
      <c r="H765" t="s">
        <v>3888</v>
      </c>
      <c r="I765" t="s">
        <v>463</v>
      </c>
    </row>
    <row r="766" spans="1:9" x14ac:dyDescent="0.3">
      <c r="A766">
        <v>75963</v>
      </c>
      <c r="B766">
        <v>116</v>
      </c>
      <c r="C766" s="453">
        <v>46082</v>
      </c>
      <c r="D766" t="s">
        <v>568</v>
      </c>
      <c r="E766">
        <v>28212</v>
      </c>
      <c r="F766" t="s">
        <v>4156</v>
      </c>
      <c r="G766">
        <v>4.4000000000000004</v>
      </c>
      <c r="H766" t="s">
        <v>3892</v>
      </c>
      <c r="I766" t="s">
        <v>463</v>
      </c>
    </row>
    <row r="767" spans="1:9" x14ac:dyDescent="0.3">
      <c r="A767">
        <v>75964</v>
      </c>
      <c r="B767">
        <v>116</v>
      </c>
      <c r="C767" s="453">
        <v>46082</v>
      </c>
      <c r="D767" t="s">
        <v>568</v>
      </c>
      <c r="E767">
        <v>18545</v>
      </c>
      <c r="F767" t="s">
        <v>4099</v>
      </c>
      <c r="G767">
        <v>4.2</v>
      </c>
      <c r="H767" t="s">
        <v>3878</v>
      </c>
      <c r="I767" t="s">
        <v>463</v>
      </c>
    </row>
    <row r="768" spans="1:9" x14ac:dyDescent="0.3">
      <c r="A768">
        <v>75965</v>
      </c>
      <c r="B768">
        <v>116</v>
      </c>
      <c r="C768" s="453">
        <v>46082</v>
      </c>
      <c r="D768" t="s">
        <v>568</v>
      </c>
      <c r="E768">
        <v>19405</v>
      </c>
      <c r="F768" t="s">
        <v>4097</v>
      </c>
      <c r="G768">
        <v>1.22</v>
      </c>
      <c r="H768" t="s">
        <v>3892</v>
      </c>
      <c r="I768" t="s">
        <v>463</v>
      </c>
    </row>
    <row r="769" spans="1:9" x14ac:dyDescent="0.3">
      <c r="A769">
        <v>75966</v>
      </c>
      <c r="B769">
        <v>116</v>
      </c>
      <c r="C769" s="453">
        <v>46082</v>
      </c>
      <c r="D769" t="s">
        <v>568</v>
      </c>
      <c r="E769">
        <v>21123</v>
      </c>
      <c r="F769" t="s">
        <v>4115</v>
      </c>
      <c r="G769">
        <v>4</v>
      </c>
      <c r="H769" t="s">
        <v>3892</v>
      </c>
      <c r="I769" t="s">
        <v>463</v>
      </c>
    </row>
    <row r="770" spans="1:9" x14ac:dyDescent="0.3">
      <c r="A770">
        <v>75967</v>
      </c>
      <c r="B770">
        <v>116</v>
      </c>
      <c r="C770" s="453">
        <v>46082</v>
      </c>
      <c r="D770" t="s">
        <v>568</v>
      </c>
      <c r="E770">
        <v>27475</v>
      </c>
      <c r="F770" t="s">
        <v>4162</v>
      </c>
      <c r="G770">
        <v>4</v>
      </c>
      <c r="H770" t="s">
        <v>3872</v>
      </c>
      <c r="I770" t="s">
        <v>463</v>
      </c>
    </row>
    <row r="771" spans="1:9" x14ac:dyDescent="0.3">
      <c r="A771">
        <v>75968</v>
      </c>
      <c r="B771">
        <v>116</v>
      </c>
      <c r="C771" s="453">
        <v>46082</v>
      </c>
      <c r="D771" t="s">
        <v>568</v>
      </c>
      <c r="E771">
        <v>20685</v>
      </c>
      <c r="F771" t="s">
        <v>4122</v>
      </c>
      <c r="G771">
        <v>4</v>
      </c>
      <c r="H771" t="s">
        <v>3872</v>
      </c>
      <c r="I771" t="s">
        <v>463</v>
      </c>
    </row>
    <row r="772" spans="1:9" x14ac:dyDescent="0.3">
      <c r="A772">
        <v>75969</v>
      </c>
      <c r="B772">
        <v>116</v>
      </c>
      <c r="C772" s="453">
        <v>46082</v>
      </c>
      <c r="D772" t="s">
        <v>568</v>
      </c>
      <c r="E772">
        <v>25720</v>
      </c>
      <c r="F772" t="s">
        <v>3926</v>
      </c>
      <c r="G772">
        <v>4</v>
      </c>
      <c r="H772" t="s">
        <v>3892</v>
      </c>
      <c r="I772" t="s">
        <v>463</v>
      </c>
    </row>
    <row r="773" spans="1:9" x14ac:dyDescent="0.3">
      <c r="A773">
        <v>75970</v>
      </c>
      <c r="B773">
        <v>116</v>
      </c>
      <c r="C773" s="453">
        <v>46082</v>
      </c>
      <c r="D773" t="s">
        <v>568</v>
      </c>
      <c r="E773">
        <v>20358</v>
      </c>
      <c r="F773" t="s">
        <v>3952</v>
      </c>
      <c r="G773">
        <v>4</v>
      </c>
      <c r="H773" t="s">
        <v>3888</v>
      </c>
      <c r="I773" t="s">
        <v>463</v>
      </c>
    </row>
    <row r="774" spans="1:9" x14ac:dyDescent="0.3">
      <c r="A774">
        <v>75971</v>
      </c>
      <c r="B774">
        <v>116</v>
      </c>
      <c r="C774" s="453">
        <v>46082</v>
      </c>
      <c r="D774" t="s">
        <v>568</v>
      </c>
      <c r="E774">
        <v>20326</v>
      </c>
      <c r="F774" t="s">
        <v>3953</v>
      </c>
      <c r="G774">
        <v>4</v>
      </c>
      <c r="H774" t="s">
        <v>3892</v>
      </c>
      <c r="I774" t="s">
        <v>463</v>
      </c>
    </row>
    <row r="775" spans="1:9" x14ac:dyDescent="0.3">
      <c r="A775">
        <v>75972</v>
      </c>
      <c r="B775">
        <v>116</v>
      </c>
      <c r="C775" s="453">
        <v>46082</v>
      </c>
      <c r="D775" t="s">
        <v>568</v>
      </c>
      <c r="E775">
        <v>20007</v>
      </c>
      <c r="F775" t="s">
        <v>4009</v>
      </c>
      <c r="G775">
        <v>4</v>
      </c>
      <c r="H775" t="s">
        <v>3966</v>
      </c>
      <c r="I775" t="s">
        <v>463</v>
      </c>
    </row>
    <row r="776" spans="1:9" x14ac:dyDescent="0.3">
      <c r="A776">
        <v>75973</v>
      </c>
      <c r="B776">
        <v>116</v>
      </c>
      <c r="C776" s="453">
        <v>46082</v>
      </c>
      <c r="D776" t="s">
        <v>568</v>
      </c>
      <c r="E776">
        <v>23515</v>
      </c>
      <c r="F776" t="s">
        <v>3980</v>
      </c>
      <c r="G776">
        <v>4</v>
      </c>
      <c r="H776" t="s">
        <v>3872</v>
      </c>
      <c r="I776" t="s">
        <v>463</v>
      </c>
    </row>
    <row r="777" spans="1:9" x14ac:dyDescent="0.3">
      <c r="A777">
        <v>75974</v>
      </c>
      <c r="B777">
        <v>116</v>
      </c>
      <c r="C777" s="453">
        <v>46082</v>
      </c>
      <c r="D777" t="s">
        <v>568</v>
      </c>
      <c r="E777">
        <v>19740</v>
      </c>
      <c r="F777" t="s">
        <v>3933</v>
      </c>
      <c r="G777">
        <v>4</v>
      </c>
      <c r="H777" t="s">
        <v>3892</v>
      </c>
      <c r="I777" t="s">
        <v>463</v>
      </c>
    </row>
    <row r="778" spans="1:9" x14ac:dyDescent="0.3">
      <c r="A778">
        <v>75975</v>
      </c>
      <c r="B778">
        <v>116</v>
      </c>
      <c r="C778" s="453">
        <v>46082</v>
      </c>
      <c r="D778" t="s">
        <v>568</v>
      </c>
      <c r="E778">
        <v>23186</v>
      </c>
      <c r="F778" t="s">
        <v>3988</v>
      </c>
      <c r="G778">
        <v>4</v>
      </c>
      <c r="H778" t="s">
        <v>3892</v>
      </c>
      <c r="I778" t="s">
        <v>463</v>
      </c>
    </row>
    <row r="779" spans="1:9" x14ac:dyDescent="0.3">
      <c r="A779">
        <v>75976</v>
      </c>
      <c r="B779">
        <v>116</v>
      </c>
      <c r="C779" s="453">
        <v>46082</v>
      </c>
      <c r="D779" t="s">
        <v>568</v>
      </c>
      <c r="E779">
        <v>18685</v>
      </c>
      <c r="F779" t="s">
        <v>3945</v>
      </c>
      <c r="G779">
        <v>4</v>
      </c>
      <c r="H779" t="s">
        <v>3892</v>
      </c>
      <c r="I779" t="s">
        <v>463</v>
      </c>
    </row>
    <row r="780" spans="1:9" x14ac:dyDescent="0.3">
      <c r="A780">
        <v>75977</v>
      </c>
      <c r="B780">
        <v>116</v>
      </c>
      <c r="C780" s="453">
        <v>46082</v>
      </c>
      <c r="D780" t="s">
        <v>568</v>
      </c>
      <c r="E780">
        <v>18594</v>
      </c>
      <c r="F780" t="s">
        <v>4147</v>
      </c>
      <c r="G780">
        <v>4</v>
      </c>
      <c r="H780" t="s">
        <v>3888</v>
      </c>
      <c r="I780" t="s">
        <v>463</v>
      </c>
    </row>
    <row r="781" spans="1:9" x14ac:dyDescent="0.3">
      <c r="A781">
        <v>75978</v>
      </c>
      <c r="B781">
        <v>116</v>
      </c>
      <c r="C781" s="453">
        <v>46082</v>
      </c>
      <c r="D781" t="s">
        <v>568</v>
      </c>
      <c r="E781">
        <v>18491</v>
      </c>
      <c r="F781" t="s">
        <v>3934</v>
      </c>
      <c r="G781">
        <v>4</v>
      </c>
      <c r="H781" t="s">
        <v>3878</v>
      </c>
      <c r="I781" t="s">
        <v>463</v>
      </c>
    </row>
    <row r="782" spans="1:9" x14ac:dyDescent="0.3">
      <c r="A782">
        <v>75979</v>
      </c>
      <c r="B782">
        <v>116</v>
      </c>
      <c r="C782" s="453">
        <v>46082</v>
      </c>
      <c r="D782" t="s">
        <v>568</v>
      </c>
      <c r="E782">
        <v>18004</v>
      </c>
      <c r="F782" t="s">
        <v>4140</v>
      </c>
      <c r="G782">
        <v>4</v>
      </c>
      <c r="H782" t="s">
        <v>3888</v>
      </c>
      <c r="I782" t="s">
        <v>463</v>
      </c>
    </row>
    <row r="783" spans="1:9" x14ac:dyDescent="0.3">
      <c r="A783">
        <v>75980</v>
      </c>
      <c r="B783">
        <v>116</v>
      </c>
      <c r="C783" s="453">
        <v>46082</v>
      </c>
      <c r="D783" t="s">
        <v>568</v>
      </c>
      <c r="E783">
        <v>20832</v>
      </c>
      <c r="F783" t="s">
        <v>4060</v>
      </c>
      <c r="G783">
        <v>4</v>
      </c>
      <c r="H783" t="s">
        <v>3886</v>
      </c>
      <c r="I783" t="s">
        <v>463</v>
      </c>
    </row>
    <row r="784" spans="1:9" x14ac:dyDescent="0.3">
      <c r="A784">
        <v>75981</v>
      </c>
      <c r="B784">
        <v>116</v>
      </c>
      <c r="C784" s="453">
        <v>46082</v>
      </c>
      <c r="D784" t="s">
        <v>568</v>
      </c>
      <c r="E784">
        <v>18272</v>
      </c>
      <c r="F784" t="s">
        <v>4046</v>
      </c>
      <c r="G784">
        <v>3.6</v>
      </c>
      <c r="H784" t="s">
        <v>3878</v>
      </c>
      <c r="I784" t="s">
        <v>463</v>
      </c>
    </row>
    <row r="785" spans="1:9" x14ac:dyDescent="0.3">
      <c r="A785">
        <v>75982</v>
      </c>
      <c r="B785">
        <v>116</v>
      </c>
      <c r="C785" s="453">
        <v>46082</v>
      </c>
      <c r="D785" t="s">
        <v>568</v>
      </c>
      <c r="E785">
        <v>20456</v>
      </c>
      <c r="F785" t="s">
        <v>4000</v>
      </c>
      <c r="G785">
        <v>3.5</v>
      </c>
      <c r="H785" t="s">
        <v>3892</v>
      </c>
      <c r="I785" t="s">
        <v>463</v>
      </c>
    </row>
    <row r="786" spans="1:9" x14ac:dyDescent="0.3">
      <c r="A786">
        <v>75983</v>
      </c>
      <c r="B786">
        <v>116</v>
      </c>
      <c r="C786" s="453">
        <v>46082</v>
      </c>
      <c r="D786" t="s">
        <v>568</v>
      </c>
      <c r="E786">
        <v>19034</v>
      </c>
      <c r="F786" t="s">
        <v>3989</v>
      </c>
      <c r="G786">
        <v>3.5</v>
      </c>
      <c r="H786" t="s">
        <v>3892</v>
      </c>
      <c r="I786" t="s">
        <v>463</v>
      </c>
    </row>
    <row r="787" spans="1:9" x14ac:dyDescent="0.3">
      <c r="A787">
        <v>75984</v>
      </c>
      <c r="B787">
        <v>116</v>
      </c>
      <c r="C787" s="453">
        <v>46082</v>
      </c>
      <c r="D787" t="s">
        <v>568</v>
      </c>
      <c r="E787">
        <v>24402</v>
      </c>
      <c r="F787" t="s">
        <v>3896</v>
      </c>
      <c r="G787">
        <v>3.5</v>
      </c>
      <c r="H787" t="s">
        <v>3892</v>
      </c>
      <c r="I787" t="s">
        <v>463</v>
      </c>
    </row>
    <row r="788" spans="1:9" x14ac:dyDescent="0.3">
      <c r="A788">
        <v>75985</v>
      </c>
      <c r="B788">
        <v>116</v>
      </c>
      <c r="C788" s="453">
        <v>46082</v>
      </c>
      <c r="D788" t="s">
        <v>568</v>
      </c>
      <c r="E788">
        <v>18547</v>
      </c>
      <c r="F788" t="s">
        <v>3962</v>
      </c>
      <c r="G788">
        <v>3.5</v>
      </c>
      <c r="H788" t="s">
        <v>3878</v>
      </c>
      <c r="I788" t="s">
        <v>463</v>
      </c>
    </row>
    <row r="789" spans="1:9" x14ac:dyDescent="0.3">
      <c r="A789">
        <v>75986</v>
      </c>
      <c r="B789">
        <v>116</v>
      </c>
      <c r="C789" s="453">
        <v>46082</v>
      </c>
      <c r="D789" t="s">
        <v>568</v>
      </c>
      <c r="E789">
        <v>18273</v>
      </c>
      <c r="F789" t="s">
        <v>4031</v>
      </c>
      <c r="G789">
        <v>3.5</v>
      </c>
      <c r="H789" t="s">
        <v>3878</v>
      </c>
      <c r="I789" t="s">
        <v>463</v>
      </c>
    </row>
    <row r="790" spans="1:9" x14ac:dyDescent="0.3">
      <c r="A790">
        <v>75987</v>
      </c>
      <c r="B790">
        <v>116</v>
      </c>
      <c r="C790" s="453">
        <v>46082</v>
      </c>
      <c r="D790" t="s">
        <v>568</v>
      </c>
      <c r="E790">
        <v>18295</v>
      </c>
      <c r="F790" t="s">
        <v>4030</v>
      </c>
      <c r="G790">
        <v>3.3</v>
      </c>
      <c r="H790" t="s">
        <v>3878</v>
      </c>
      <c r="I790" t="s">
        <v>463</v>
      </c>
    </row>
    <row r="791" spans="1:9" x14ac:dyDescent="0.3">
      <c r="A791">
        <v>75988</v>
      </c>
      <c r="B791">
        <v>116</v>
      </c>
      <c r="C791" s="453">
        <v>46082</v>
      </c>
      <c r="D791" t="s">
        <v>568</v>
      </c>
      <c r="E791">
        <v>24331</v>
      </c>
      <c r="F791" t="s">
        <v>3960</v>
      </c>
      <c r="G791">
        <v>3.2</v>
      </c>
      <c r="H791" t="s">
        <v>3892</v>
      </c>
      <c r="I791" t="s">
        <v>463</v>
      </c>
    </row>
    <row r="792" spans="1:9" x14ac:dyDescent="0.3">
      <c r="A792">
        <v>75989</v>
      </c>
      <c r="B792">
        <v>116</v>
      </c>
      <c r="C792" s="453">
        <v>46082</v>
      </c>
      <c r="D792" t="s">
        <v>568</v>
      </c>
      <c r="E792">
        <v>19346</v>
      </c>
      <c r="F792" t="s">
        <v>3948</v>
      </c>
      <c r="G792">
        <v>3.2</v>
      </c>
      <c r="H792" t="s">
        <v>3892</v>
      </c>
      <c r="I792" t="s">
        <v>463</v>
      </c>
    </row>
    <row r="793" spans="1:9" x14ac:dyDescent="0.3">
      <c r="A793">
        <v>75990</v>
      </c>
      <c r="B793">
        <v>116</v>
      </c>
      <c r="C793" s="453">
        <v>46082</v>
      </c>
      <c r="D793" t="s">
        <v>568</v>
      </c>
      <c r="E793">
        <v>25767</v>
      </c>
      <c r="F793" t="s">
        <v>3976</v>
      </c>
      <c r="G793">
        <v>3</v>
      </c>
      <c r="H793" t="s">
        <v>3892</v>
      </c>
      <c r="I793" t="s">
        <v>463</v>
      </c>
    </row>
    <row r="794" spans="1:9" x14ac:dyDescent="0.3">
      <c r="A794">
        <v>75991</v>
      </c>
      <c r="B794">
        <v>116</v>
      </c>
      <c r="C794" s="453">
        <v>46082</v>
      </c>
      <c r="D794" t="s">
        <v>568</v>
      </c>
      <c r="E794">
        <v>20752</v>
      </c>
      <c r="F794" t="s">
        <v>3964</v>
      </c>
      <c r="G794">
        <v>3</v>
      </c>
      <c r="H794" t="s">
        <v>3886</v>
      </c>
      <c r="I794" t="s">
        <v>463</v>
      </c>
    </row>
    <row r="795" spans="1:9" x14ac:dyDescent="0.3">
      <c r="A795">
        <v>75992</v>
      </c>
      <c r="B795">
        <v>116</v>
      </c>
      <c r="C795" s="453">
        <v>46082</v>
      </c>
      <c r="D795" t="s">
        <v>568</v>
      </c>
      <c r="E795">
        <v>19973</v>
      </c>
      <c r="F795" t="s">
        <v>3981</v>
      </c>
      <c r="G795">
        <v>3</v>
      </c>
      <c r="H795" t="s">
        <v>3872</v>
      </c>
      <c r="I795" t="s">
        <v>463</v>
      </c>
    </row>
    <row r="796" spans="1:9" x14ac:dyDescent="0.3">
      <c r="A796">
        <v>75993</v>
      </c>
      <c r="B796">
        <v>116</v>
      </c>
      <c r="C796" s="453">
        <v>46082</v>
      </c>
      <c r="D796" t="s">
        <v>568</v>
      </c>
      <c r="E796">
        <v>19787</v>
      </c>
      <c r="F796" t="s">
        <v>3940</v>
      </c>
      <c r="G796">
        <v>3</v>
      </c>
      <c r="H796" t="s">
        <v>3892</v>
      </c>
      <c r="I796" t="s">
        <v>463</v>
      </c>
    </row>
    <row r="797" spans="1:9" x14ac:dyDescent="0.3">
      <c r="A797">
        <v>75994</v>
      </c>
      <c r="B797">
        <v>116</v>
      </c>
      <c r="C797" s="453">
        <v>46082</v>
      </c>
      <c r="D797" t="s">
        <v>568</v>
      </c>
      <c r="E797">
        <v>19649</v>
      </c>
      <c r="F797" t="s">
        <v>4015</v>
      </c>
      <c r="G797">
        <v>3</v>
      </c>
      <c r="H797" t="s">
        <v>3892</v>
      </c>
      <c r="I797" t="s">
        <v>463</v>
      </c>
    </row>
    <row r="798" spans="1:9" x14ac:dyDescent="0.3">
      <c r="A798">
        <v>75995</v>
      </c>
      <c r="B798">
        <v>116</v>
      </c>
      <c r="C798" s="453">
        <v>46082</v>
      </c>
      <c r="D798" t="s">
        <v>568</v>
      </c>
      <c r="E798">
        <v>24509</v>
      </c>
      <c r="F798" t="s">
        <v>3906</v>
      </c>
      <c r="G798">
        <v>3</v>
      </c>
      <c r="H798" t="s">
        <v>3892</v>
      </c>
      <c r="I798" t="s">
        <v>463</v>
      </c>
    </row>
    <row r="799" spans="1:9" x14ac:dyDescent="0.3">
      <c r="A799">
        <v>75996</v>
      </c>
      <c r="B799">
        <v>116</v>
      </c>
      <c r="C799" s="453">
        <v>46082</v>
      </c>
      <c r="D799" t="s">
        <v>568</v>
      </c>
      <c r="E799">
        <v>24326</v>
      </c>
      <c r="F799" t="s">
        <v>3932</v>
      </c>
      <c r="G799">
        <v>3</v>
      </c>
      <c r="H799" t="s">
        <v>3892</v>
      </c>
      <c r="I799" t="s">
        <v>463</v>
      </c>
    </row>
    <row r="800" spans="1:9" x14ac:dyDescent="0.3">
      <c r="A800">
        <v>75997</v>
      </c>
      <c r="B800">
        <v>116</v>
      </c>
      <c r="C800" s="453">
        <v>46082</v>
      </c>
      <c r="D800" t="s">
        <v>568</v>
      </c>
      <c r="E800">
        <v>19578</v>
      </c>
      <c r="F800" t="s">
        <v>3985</v>
      </c>
      <c r="G800">
        <v>3</v>
      </c>
      <c r="H800" t="s">
        <v>3892</v>
      </c>
      <c r="I800" t="s">
        <v>463</v>
      </c>
    </row>
    <row r="801" spans="1:9" x14ac:dyDescent="0.3">
      <c r="A801">
        <v>75998</v>
      </c>
      <c r="B801">
        <v>116</v>
      </c>
      <c r="C801" s="453">
        <v>46082</v>
      </c>
      <c r="D801" t="s">
        <v>568</v>
      </c>
      <c r="E801">
        <v>19579</v>
      </c>
      <c r="F801" t="s">
        <v>4020</v>
      </c>
      <c r="G801">
        <v>3</v>
      </c>
      <c r="H801" t="s">
        <v>3892</v>
      </c>
      <c r="I801" t="s">
        <v>463</v>
      </c>
    </row>
    <row r="802" spans="1:9" x14ac:dyDescent="0.3">
      <c r="A802">
        <v>75999</v>
      </c>
      <c r="B802">
        <v>116</v>
      </c>
      <c r="C802" s="453">
        <v>46082</v>
      </c>
      <c r="D802" t="s">
        <v>568</v>
      </c>
      <c r="E802">
        <v>19576</v>
      </c>
      <c r="F802" t="s">
        <v>4021</v>
      </c>
      <c r="G802">
        <v>3</v>
      </c>
      <c r="H802" t="s">
        <v>3892</v>
      </c>
      <c r="I802" t="s">
        <v>463</v>
      </c>
    </row>
    <row r="803" spans="1:9" x14ac:dyDescent="0.3">
      <c r="A803">
        <v>76000</v>
      </c>
      <c r="B803">
        <v>116</v>
      </c>
      <c r="C803" s="453">
        <v>46082</v>
      </c>
      <c r="D803" t="s">
        <v>568</v>
      </c>
      <c r="E803">
        <v>19574</v>
      </c>
      <c r="F803" t="s">
        <v>4077</v>
      </c>
      <c r="G803">
        <v>3</v>
      </c>
      <c r="H803" t="s">
        <v>3892</v>
      </c>
      <c r="I803" t="s">
        <v>463</v>
      </c>
    </row>
    <row r="804" spans="1:9" x14ac:dyDescent="0.3">
      <c r="A804">
        <v>76001</v>
      </c>
      <c r="B804">
        <v>116</v>
      </c>
      <c r="C804" s="453">
        <v>46082</v>
      </c>
      <c r="D804" t="s">
        <v>568</v>
      </c>
      <c r="E804">
        <v>19573</v>
      </c>
      <c r="F804" t="s">
        <v>4163</v>
      </c>
      <c r="G804">
        <v>3</v>
      </c>
      <c r="H804" t="s">
        <v>3892</v>
      </c>
      <c r="I804" t="s">
        <v>463</v>
      </c>
    </row>
    <row r="805" spans="1:9" x14ac:dyDescent="0.3">
      <c r="A805">
        <v>76002</v>
      </c>
      <c r="B805">
        <v>116</v>
      </c>
      <c r="C805" s="453">
        <v>46082</v>
      </c>
      <c r="D805" t="s">
        <v>568</v>
      </c>
      <c r="E805">
        <v>19572</v>
      </c>
      <c r="F805" t="s">
        <v>4023</v>
      </c>
      <c r="G805">
        <v>3</v>
      </c>
      <c r="H805" t="s">
        <v>3892</v>
      </c>
      <c r="I805" t="s">
        <v>463</v>
      </c>
    </row>
    <row r="806" spans="1:9" x14ac:dyDescent="0.3">
      <c r="A806">
        <v>76003</v>
      </c>
      <c r="B806">
        <v>116</v>
      </c>
      <c r="C806" s="453">
        <v>46082</v>
      </c>
      <c r="D806" t="s">
        <v>568</v>
      </c>
      <c r="E806">
        <v>19566</v>
      </c>
      <c r="F806" t="s">
        <v>3986</v>
      </c>
      <c r="G806">
        <v>3</v>
      </c>
      <c r="H806" t="s">
        <v>3892</v>
      </c>
      <c r="I806" t="s">
        <v>463</v>
      </c>
    </row>
    <row r="807" spans="1:9" x14ac:dyDescent="0.3">
      <c r="A807">
        <v>76004</v>
      </c>
      <c r="B807">
        <v>116</v>
      </c>
      <c r="C807" s="453">
        <v>46082</v>
      </c>
      <c r="D807" t="s">
        <v>568</v>
      </c>
      <c r="E807">
        <v>23203</v>
      </c>
      <c r="F807" t="s">
        <v>3987</v>
      </c>
      <c r="G807">
        <v>3</v>
      </c>
      <c r="H807" t="s">
        <v>3892</v>
      </c>
      <c r="I807" t="s">
        <v>463</v>
      </c>
    </row>
    <row r="808" spans="1:9" x14ac:dyDescent="0.3">
      <c r="A808">
        <v>76005</v>
      </c>
      <c r="B808">
        <v>116</v>
      </c>
      <c r="C808" s="453">
        <v>46082</v>
      </c>
      <c r="D808" t="s">
        <v>568</v>
      </c>
      <c r="E808">
        <v>19565</v>
      </c>
      <c r="F808" t="s">
        <v>3987</v>
      </c>
      <c r="G808">
        <v>3</v>
      </c>
      <c r="H808" t="s">
        <v>3892</v>
      </c>
      <c r="I808" t="s">
        <v>463</v>
      </c>
    </row>
    <row r="809" spans="1:9" x14ac:dyDescent="0.3">
      <c r="A809">
        <v>76006</v>
      </c>
      <c r="B809">
        <v>116</v>
      </c>
      <c r="C809" s="453">
        <v>46082</v>
      </c>
      <c r="D809" t="s">
        <v>568</v>
      </c>
      <c r="E809">
        <v>18682</v>
      </c>
      <c r="F809" t="s">
        <v>4025</v>
      </c>
      <c r="G809">
        <v>3</v>
      </c>
      <c r="H809" t="s">
        <v>3892</v>
      </c>
      <c r="I809" t="s">
        <v>463</v>
      </c>
    </row>
    <row r="810" spans="1:9" x14ac:dyDescent="0.3">
      <c r="A810">
        <v>76007</v>
      </c>
      <c r="B810">
        <v>116</v>
      </c>
      <c r="C810" s="453">
        <v>46082</v>
      </c>
      <c r="D810" t="s">
        <v>568</v>
      </c>
      <c r="E810">
        <v>18111</v>
      </c>
      <c r="F810" t="s">
        <v>4047</v>
      </c>
      <c r="G810">
        <v>3</v>
      </c>
      <c r="H810" t="s">
        <v>3878</v>
      </c>
      <c r="I810" t="s">
        <v>463</v>
      </c>
    </row>
    <row r="811" spans="1:9" x14ac:dyDescent="0.3">
      <c r="A811">
        <v>76008</v>
      </c>
      <c r="B811">
        <v>116</v>
      </c>
      <c r="C811" s="453">
        <v>46082</v>
      </c>
      <c r="D811" t="s">
        <v>568</v>
      </c>
      <c r="E811">
        <v>17914</v>
      </c>
      <c r="F811" t="s">
        <v>3997</v>
      </c>
      <c r="G811">
        <v>3</v>
      </c>
      <c r="H811" t="s">
        <v>3888</v>
      </c>
      <c r="I811" t="s">
        <v>463</v>
      </c>
    </row>
    <row r="812" spans="1:9" x14ac:dyDescent="0.3">
      <c r="A812">
        <v>76009</v>
      </c>
      <c r="B812">
        <v>116</v>
      </c>
      <c r="C812" s="453">
        <v>46082</v>
      </c>
      <c r="D812" t="s">
        <v>568</v>
      </c>
      <c r="E812">
        <v>25237</v>
      </c>
      <c r="F812" t="s">
        <v>4164</v>
      </c>
      <c r="G812">
        <v>2.5</v>
      </c>
      <c r="H812" t="s">
        <v>3872</v>
      </c>
      <c r="I812" t="s">
        <v>463</v>
      </c>
    </row>
    <row r="813" spans="1:9" x14ac:dyDescent="0.3">
      <c r="A813">
        <v>76010</v>
      </c>
      <c r="B813">
        <v>116</v>
      </c>
      <c r="C813" s="453">
        <v>46082</v>
      </c>
      <c r="D813" t="s">
        <v>568</v>
      </c>
      <c r="E813">
        <v>18702</v>
      </c>
      <c r="F813" t="s">
        <v>4043</v>
      </c>
      <c r="G813">
        <v>2.5</v>
      </c>
      <c r="H813" t="s">
        <v>3892</v>
      </c>
      <c r="I813" t="s">
        <v>463</v>
      </c>
    </row>
    <row r="814" spans="1:9" x14ac:dyDescent="0.3">
      <c r="A814">
        <v>76011</v>
      </c>
      <c r="B814">
        <v>116</v>
      </c>
      <c r="C814" s="453">
        <v>46082</v>
      </c>
      <c r="D814" t="s">
        <v>568</v>
      </c>
      <c r="E814">
        <v>18467</v>
      </c>
      <c r="F814" t="s">
        <v>4028</v>
      </c>
      <c r="G814">
        <v>2.5</v>
      </c>
      <c r="H814" t="s">
        <v>3878</v>
      </c>
      <c r="I814" t="s">
        <v>463</v>
      </c>
    </row>
    <row r="815" spans="1:9" x14ac:dyDescent="0.3">
      <c r="A815">
        <v>76012</v>
      </c>
      <c r="B815">
        <v>116</v>
      </c>
      <c r="C815" s="453">
        <v>46082</v>
      </c>
      <c r="D815" t="s">
        <v>568</v>
      </c>
      <c r="E815">
        <v>16974</v>
      </c>
      <c r="F815" t="s">
        <v>3996</v>
      </c>
      <c r="G815">
        <v>2.5</v>
      </c>
      <c r="H815" t="s">
        <v>3881</v>
      </c>
      <c r="I815" t="s">
        <v>463</v>
      </c>
    </row>
    <row r="816" spans="1:9" x14ac:dyDescent="0.3">
      <c r="A816">
        <v>76013</v>
      </c>
      <c r="B816">
        <v>116</v>
      </c>
      <c r="C816" s="453">
        <v>46082</v>
      </c>
      <c r="D816" t="s">
        <v>568</v>
      </c>
      <c r="E816">
        <v>24200</v>
      </c>
      <c r="F816" t="s">
        <v>3975</v>
      </c>
      <c r="G816">
        <v>2.2999999999999998</v>
      </c>
      <c r="H816" t="s">
        <v>3892</v>
      </c>
      <c r="I816" t="s">
        <v>463</v>
      </c>
    </row>
    <row r="817" spans="1:9" x14ac:dyDescent="0.3">
      <c r="A817">
        <v>76014</v>
      </c>
      <c r="B817">
        <v>116</v>
      </c>
      <c r="C817" s="453">
        <v>46082</v>
      </c>
      <c r="D817" t="s">
        <v>568</v>
      </c>
      <c r="E817">
        <v>20555</v>
      </c>
      <c r="F817" t="s">
        <v>3959</v>
      </c>
      <c r="G817">
        <v>2.29</v>
      </c>
      <c r="H817" t="s">
        <v>3892</v>
      </c>
      <c r="I817" t="s">
        <v>463</v>
      </c>
    </row>
    <row r="818" spans="1:9" x14ac:dyDescent="0.3">
      <c r="A818">
        <v>76015</v>
      </c>
      <c r="B818">
        <v>116</v>
      </c>
      <c r="C818" s="453">
        <v>46082</v>
      </c>
      <c r="D818" t="s">
        <v>568</v>
      </c>
      <c r="E818">
        <v>18359</v>
      </c>
      <c r="F818" t="s">
        <v>4029</v>
      </c>
      <c r="G818">
        <v>2.2000000000000002</v>
      </c>
      <c r="H818" t="s">
        <v>3878</v>
      </c>
      <c r="I818" t="s">
        <v>463</v>
      </c>
    </row>
    <row r="819" spans="1:9" x14ac:dyDescent="0.3">
      <c r="A819">
        <v>76016</v>
      </c>
      <c r="B819">
        <v>116</v>
      </c>
      <c r="C819" s="453">
        <v>46082</v>
      </c>
      <c r="D819" t="s">
        <v>568</v>
      </c>
      <c r="E819">
        <v>27472</v>
      </c>
      <c r="F819" t="s">
        <v>4146</v>
      </c>
      <c r="G819">
        <v>2</v>
      </c>
      <c r="H819" t="s">
        <v>3872</v>
      </c>
      <c r="I819" t="s">
        <v>463</v>
      </c>
    </row>
    <row r="820" spans="1:9" x14ac:dyDescent="0.3">
      <c r="A820">
        <v>76017</v>
      </c>
      <c r="B820">
        <v>116</v>
      </c>
      <c r="C820" s="453">
        <v>46082</v>
      </c>
      <c r="D820" t="s">
        <v>568</v>
      </c>
      <c r="E820">
        <v>20729</v>
      </c>
      <c r="F820" t="s">
        <v>3965</v>
      </c>
      <c r="G820">
        <v>2</v>
      </c>
      <c r="H820" t="s">
        <v>3966</v>
      </c>
      <c r="I820" t="s">
        <v>463</v>
      </c>
    </row>
    <row r="821" spans="1:9" x14ac:dyDescent="0.3">
      <c r="A821">
        <v>76018</v>
      </c>
      <c r="B821">
        <v>116</v>
      </c>
      <c r="C821" s="453">
        <v>46082</v>
      </c>
      <c r="D821" t="s">
        <v>568</v>
      </c>
      <c r="E821">
        <v>20278</v>
      </c>
      <c r="F821" t="s">
        <v>3939</v>
      </c>
      <c r="G821">
        <v>2</v>
      </c>
      <c r="H821" t="s">
        <v>3872</v>
      </c>
      <c r="I821" t="s">
        <v>463</v>
      </c>
    </row>
    <row r="822" spans="1:9" x14ac:dyDescent="0.3">
      <c r="A822">
        <v>76019</v>
      </c>
      <c r="B822">
        <v>116</v>
      </c>
      <c r="C822" s="453">
        <v>46082</v>
      </c>
      <c r="D822" t="s">
        <v>568</v>
      </c>
      <c r="E822">
        <v>20077</v>
      </c>
      <c r="F822" t="s">
        <v>4054</v>
      </c>
      <c r="G822">
        <v>2</v>
      </c>
      <c r="H822" t="s">
        <v>3888</v>
      </c>
      <c r="I822" t="s">
        <v>463</v>
      </c>
    </row>
    <row r="823" spans="1:9" x14ac:dyDescent="0.3">
      <c r="A823">
        <v>76020</v>
      </c>
      <c r="B823">
        <v>116</v>
      </c>
      <c r="C823" s="453">
        <v>46082</v>
      </c>
      <c r="D823" t="s">
        <v>568</v>
      </c>
      <c r="E823">
        <v>24185</v>
      </c>
      <c r="F823" t="s">
        <v>4040</v>
      </c>
      <c r="G823">
        <v>2</v>
      </c>
      <c r="H823" t="s">
        <v>3892</v>
      </c>
      <c r="I823" t="s">
        <v>463</v>
      </c>
    </row>
    <row r="824" spans="1:9" x14ac:dyDescent="0.3">
      <c r="A824">
        <v>76021</v>
      </c>
      <c r="B824">
        <v>116</v>
      </c>
      <c r="C824" s="453">
        <v>46082</v>
      </c>
      <c r="D824" t="s">
        <v>568</v>
      </c>
      <c r="E824">
        <v>20250</v>
      </c>
      <c r="F824" t="s">
        <v>4008</v>
      </c>
      <c r="G824">
        <v>2</v>
      </c>
      <c r="H824" t="s">
        <v>3888</v>
      </c>
      <c r="I824" t="s">
        <v>463</v>
      </c>
    </row>
    <row r="825" spans="1:9" x14ac:dyDescent="0.3">
      <c r="A825">
        <v>76022</v>
      </c>
      <c r="B825">
        <v>116</v>
      </c>
      <c r="C825" s="453">
        <v>46082</v>
      </c>
      <c r="D825" t="s">
        <v>568</v>
      </c>
      <c r="E825">
        <v>20231</v>
      </c>
      <c r="F825" t="s">
        <v>4123</v>
      </c>
      <c r="G825">
        <v>2</v>
      </c>
      <c r="H825" t="s">
        <v>3888</v>
      </c>
      <c r="I825" t="s">
        <v>463</v>
      </c>
    </row>
    <row r="826" spans="1:9" x14ac:dyDescent="0.3">
      <c r="A826">
        <v>76023</v>
      </c>
      <c r="B826">
        <v>116</v>
      </c>
      <c r="C826" s="453">
        <v>46082</v>
      </c>
      <c r="D826" t="s">
        <v>568</v>
      </c>
      <c r="E826">
        <v>24400</v>
      </c>
      <c r="F826" t="s">
        <v>4149</v>
      </c>
      <c r="G826">
        <v>2</v>
      </c>
      <c r="H826" t="s">
        <v>3872</v>
      </c>
      <c r="I826" t="s">
        <v>463</v>
      </c>
    </row>
    <row r="827" spans="1:9" x14ac:dyDescent="0.3">
      <c r="A827">
        <v>76024</v>
      </c>
      <c r="B827">
        <v>116</v>
      </c>
      <c r="C827" s="453">
        <v>46082</v>
      </c>
      <c r="D827" t="s">
        <v>568</v>
      </c>
      <c r="E827">
        <v>25768</v>
      </c>
      <c r="F827" t="s">
        <v>4012</v>
      </c>
      <c r="G827">
        <v>2</v>
      </c>
      <c r="H827" t="s">
        <v>3892</v>
      </c>
      <c r="I827" t="s">
        <v>463</v>
      </c>
    </row>
    <row r="828" spans="1:9" x14ac:dyDescent="0.3">
      <c r="A828">
        <v>76025</v>
      </c>
      <c r="B828">
        <v>116</v>
      </c>
      <c r="C828" s="453">
        <v>46082</v>
      </c>
      <c r="D828" t="s">
        <v>568</v>
      </c>
      <c r="E828">
        <v>25769</v>
      </c>
      <c r="F828" t="s">
        <v>4013</v>
      </c>
      <c r="G828">
        <v>2</v>
      </c>
      <c r="H828" t="s">
        <v>3892</v>
      </c>
      <c r="I828" t="s">
        <v>463</v>
      </c>
    </row>
    <row r="829" spans="1:9" x14ac:dyDescent="0.3">
      <c r="A829">
        <v>76026</v>
      </c>
      <c r="B829">
        <v>116</v>
      </c>
      <c r="C829" s="453">
        <v>46082</v>
      </c>
      <c r="D829" t="s">
        <v>568</v>
      </c>
      <c r="E829">
        <v>23389</v>
      </c>
      <c r="F829" t="s">
        <v>4016</v>
      </c>
      <c r="G829">
        <v>2</v>
      </c>
      <c r="H829" t="s">
        <v>3892</v>
      </c>
      <c r="I829" t="s">
        <v>463</v>
      </c>
    </row>
    <row r="830" spans="1:9" x14ac:dyDescent="0.3">
      <c r="A830">
        <v>76027</v>
      </c>
      <c r="B830">
        <v>116</v>
      </c>
      <c r="C830" s="453">
        <v>46082</v>
      </c>
      <c r="D830" t="s">
        <v>568</v>
      </c>
      <c r="E830">
        <v>23236</v>
      </c>
      <c r="F830" t="s">
        <v>4017</v>
      </c>
      <c r="G830">
        <v>2</v>
      </c>
      <c r="H830" t="s">
        <v>3892</v>
      </c>
      <c r="I830" t="s">
        <v>463</v>
      </c>
    </row>
    <row r="831" spans="1:9" x14ac:dyDescent="0.3">
      <c r="A831">
        <v>76028</v>
      </c>
      <c r="B831">
        <v>116</v>
      </c>
      <c r="C831" s="453">
        <v>46082</v>
      </c>
      <c r="D831" t="s">
        <v>568</v>
      </c>
      <c r="E831">
        <v>23356</v>
      </c>
      <c r="F831" t="s">
        <v>4019</v>
      </c>
      <c r="G831">
        <v>2</v>
      </c>
      <c r="H831" t="s">
        <v>3892</v>
      </c>
      <c r="I831" t="s">
        <v>463</v>
      </c>
    </row>
    <row r="832" spans="1:9" x14ac:dyDescent="0.3">
      <c r="A832">
        <v>76029</v>
      </c>
      <c r="B832">
        <v>116</v>
      </c>
      <c r="C832" s="453">
        <v>46082</v>
      </c>
      <c r="D832" t="s">
        <v>568</v>
      </c>
      <c r="E832">
        <v>19672</v>
      </c>
      <c r="F832" t="s">
        <v>4024</v>
      </c>
      <c r="G832">
        <v>2</v>
      </c>
      <c r="H832" t="s">
        <v>3892</v>
      </c>
      <c r="I832" t="s">
        <v>463</v>
      </c>
    </row>
    <row r="833" spans="1:9" x14ac:dyDescent="0.3">
      <c r="A833">
        <v>76030</v>
      </c>
      <c r="B833">
        <v>116</v>
      </c>
      <c r="C833" s="453">
        <v>46082</v>
      </c>
      <c r="D833" t="s">
        <v>568</v>
      </c>
      <c r="E833">
        <v>24343</v>
      </c>
      <c r="F833" t="s">
        <v>3990</v>
      </c>
      <c r="G833">
        <v>2</v>
      </c>
      <c r="H833" t="s">
        <v>3892</v>
      </c>
      <c r="I833" t="s">
        <v>463</v>
      </c>
    </row>
    <row r="834" spans="1:9" x14ac:dyDescent="0.3">
      <c r="A834">
        <v>76031</v>
      </c>
      <c r="B834">
        <v>116</v>
      </c>
      <c r="C834" s="453">
        <v>46082</v>
      </c>
      <c r="D834" t="s">
        <v>568</v>
      </c>
      <c r="E834">
        <v>17942</v>
      </c>
      <c r="F834" t="s">
        <v>4035</v>
      </c>
      <c r="G834">
        <v>2</v>
      </c>
      <c r="H834" t="s">
        <v>3872</v>
      </c>
      <c r="I834" t="s">
        <v>463</v>
      </c>
    </row>
    <row r="835" spans="1:9" x14ac:dyDescent="0.3">
      <c r="A835">
        <v>76032</v>
      </c>
      <c r="B835">
        <v>116</v>
      </c>
      <c r="C835" s="453">
        <v>46082</v>
      </c>
      <c r="D835" t="s">
        <v>568</v>
      </c>
      <c r="E835">
        <v>17896</v>
      </c>
      <c r="F835" t="s">
        <v>3972</v>
      </c>
      <c r="G835">
        <v>2</v>
      </c>
      <c r="H835" t="s">
        <v>3888</v>
      </c>
      <c r="I835" t="s">
        <v>463</v>
      </c>
    </row>
    <row r="836" spans="1:9" x14ac:dyDescent="0.3">
      <c r="A836">
        <v>76033</v>
      </c>
      <c r="B836">
        <v>116</v>
      </c>
      <c r="C836" s="453">
        <v>46082</v>
      </c>
      <c r="D836" t="s">
        <v>568</v>
      </c>
      <c r="E836">
        <v>17609</v>
      </c>
      <c r="F836" t="s">
        <v>4038</v>
      </c>
      <c r="G836">
        <v>2</v>
      </c>
      <c r="H836" t="s">
        <v>3878</v>
      </c>
      <c r="I836" t="s">
        <v>463</v>
      </c>
    </row>
    <row r="837" spans="1:9" x14ac:dyDescent="0.3">
      <c r="A837">
        <v>76034</v>
      </c>
      <c r="B837">
        <v>116</v>
      </c>
      <c r="C837" s="453">
        <v>46082</v>
      </c>
      <c r="D837" t="s">
        <v>568</v>
      </c>
      <c r="E837">
        <v>24339</v>
      </c>
      <c r="F837" t="s">
        <v>4119</v>
      </c>
      <c r="G837">
        <v>1.9</v>
      </c>
      <c r="H837" t="s">
        <v>3892</v>
      </c>
      <c r="I837" t="s">
        <v>463</v>
      </c>
    </row>
    <row r="838" spans="1:9" x14ac:dyDescent="0.3">
      <c r="A838">
        <v>76035</v>
      </c>
      <c r="B838">
        <v>116</v>
      </c>
      <c r="C838" s="453">
        <v>46082</v>
      </c>
      <c r="D838" t="s">
        <v>568</v>
      </c>
      <c r="E838">
        <v>20457</v>
      </c>
      <c r="F838" t="s">
        <v>3999</v>
      </c>
      <c r="G838">
        <v>1.9</v>
      </c>
      <c r="H838" t="s">
        <v>3892</v>
      </c>
      <c r="I838" t="s">
        <v>463</v>
      </c>
    </row>
    <row r="839" spans="1:9" x14ac:dyDescent="0.3">
      <c r="A839">
        <v>76036</v>
      </c>
      <c r="B839">
        <v>116</v>
      </c>
      <c r="C839" s="453">
        <v>46082</v>
      </c>
      <c r="D839" t="s">
        <v>568</v>
      </c>
      <c r="E839">
        <v>21400</v>
      </c>
      <c r="F839" t="s">
        <v>4165</v>
      </c>
      <c r="G839">
        <v>1.8</v>
      </c>
      <c r="H839" t="s">
        <v>3892</v>
      </c>
      <c r="I839" t="s">
        <v>463</v>
      </c>
    </row>
    <row r="840" spans="1:9" x14ac:dyDescent="0.3">
      <c r="A840">
        <v>76037</v>
      </c>
      <c r="B840">
        <v>116</v>
      </c>
      <c r="C840" s="453">
        <v>46082</v>
      </c>
      <c r="D840" t="s">
        <v>568</v>
      </c>
      <c r="E840">
        <v>19623</v>
      </c>
      <c r="F840" t="s">
        <v>3984</v>
      </c>
      <c r="G840">
        <v>1.7</v>
      </c>
      <c r="H840" t="s">
        <v>3892</v>
      </c>
      <c r="I840" t="s">
        <v>463</v>
      </c>
    </row>
    <row r="841" spans="1:9" x14ac:dyDescent="0.3">
      <c r="A841">
        <v>76038</v>
      </c>
      <c r="B841">
        <v>116</v>
      </c>
      <c r="C841" s="453">
        <v>46082</v>
      </c>
      <c r="D841" t="s">
        <v>568</v>
      </c>
      <c r="E841">
        <v>24072</v>
      </c>
      <c r="F841" t="s">
        <v>4002</v>
      </c>
      <c r="G841">
        <v>1.7</v>
      </c>
      <c r="H841" t="s">
        <v>3892</v>
      </c>
      <c r="I841" t="s">
        <v>463</v>
      </c>
    </row>
    <row r="842" spans="1:9" x14ac:dyDescent="0.3">
      <c r="A842">
        <v>76039</v>
      </c>
      <c r="B842">
        <v>116</v>
      </c>
      <c r="C842" s="453">
        <v>46082</v>
      </c>
      <c r="D842" t="s">
        <v>568</v>
      </c>
      <c r="E842">
        <v>18996</v>
      </c>
      <c r="F842" t="s">
        <v>3946</v>
      </c>
      <c r="G842">
        <v>1.6</v>
      </c>
      <c r="H842" t="s">
        <v>3892</v>
      </c>
      <c r="I842" t="s">
        <v>463</v>
      </c>
    </row>
    <row r="843" spans="1:9" x14ac:dyDescent="0.3">
      <c r="A843">
        <v>76040</v>
      </c>
      <c r="B843">
        <v>116</v>
      </c>
      <c r="C843" s="453">
        <v>46082</v>
      </c>
      <c r="D843" t="s">
        <v>568</v>
      </c>
      <c r="E843">
        <v>20287</v>
      </c>
      <c r="F843" t="s">
        <v>4053</v>
      </c>
      <c r="G843">
        <v>1.5</v>
      </c>
      <c r="H843" t="s">
        <v>3888</v>
      </c>
      <c r="I843" t="s">
        <v>463</v>
      </c>
    </row>
    <row r="844" spans="1:9" x14ac:dyDescent="0.3">
      <c r="A844">
        <v>76041</v>
      </c>
      <c r="B844">
        <v>116</v>
      </c>
      <c r="C844" s="453">
        <v>46082</v>
      </c>
      <c r="D844" t="s">
        <v>568</v>
      </c>
      <c r="E844">
        <v>20057</v>
      </c>
      <c r="F844" t="s">
        <v>3967</v>
      </c>
      <c r="G844">
        <v>1.5</v>
      </c>
      <c r="H844" t="s">
        <v>3872</v>
      </c>
      <c r="I844" t="s">
        <v>463</v>
      </c>
    </row>
    <row r="845" spans="1:9" x14ac:dyDescent="0.3">
      <c r="A845">
        <v>76042</v>
      </c>
      <c r="B845">
        <v>116</v>
      </c>
      <c r="C845" s="453">
        <v>46082</v>
      </c>
      <c r="D845" t="s">
        <v>568</v>
      </c>
      <c r="E845">
        <v>20624</v>
      </c>
      <c r="F845" t="s">
        <v>3982</v>
      </c>
      <c r="G845">
        <v>1.5</v>
      </c>
      <c r="H845" t="s">
        <v>3966</v>
      </c>
      <c r="I845" t="s">
        <v>463</v>
      </c>
    </row>
    <row r="846" spans="1:9" x14ac:dyDescent="0.3">
      <c r="A846">
        <v>76043</v>
      </c>
      <c r="B846">
        <v>116</v>
      </c>
      <c r="C846" s="453">
        <v>46082</v>
      </c>
      <c r="D846" t="s">
        <v>568</v>
      </c>
      <c r="E846">
        <v>23274</v>
      </c>
      <c r="F846" t="s">
        <v>4014</v>
      </c>
      <c r="G846">
        <v>1.5</v>
      </c>
      <c r="H846" t="s">
        <v>3892</v>
      </c>
      <c r="I846" t="s">
        <v>463</v>
      </c>
    </row>
    <row r="847" spans="1:9" x14ac:dyDescent="0.3">
      <c r="A847">
        <v>76044</v>
      </c>
      <c r="B847">
        <v>116</v>
      </c>
      <c r="C847" s="453">
        <v>46082</v>
      </c>
      <c r="D847" t="s">
        <v>568</v>
      </c>
      <c r="E847">
        <v>19689</v>
      </c>
      <c r="F847" t="s">
        <v>4073</v>
      </c>
      <c r="G847">
        <v>1.5</v>
      </c>
      <c r="H847" t="s">
        <v>3892</v>
      </c>
      <c r="I847" t="s">
        <v>463</v>
      </c>
    </row>
    <row r="848" spans="1:9" x14ac:dyDescent="0.3">
      <c r="A848">
        <v>76045</v>
      </c>
      <c r="B848">
        <v>116</v>
      </c>
      <c r="C848" s="453">
        <v>46082</v>
      </c>
      <c r="D848" t="s">
        <v>568</v>
      </c>
      <c r="E848">
        <v>18538</v>
      </c>
      <c r="F848" t="s">
        <v>4026</v>
      </c>
      <c r="G848">
        <v>1.5</v>
      </c>
      <c r="H848" t="s">
        <v>3878</v>
      </c>
      <c r="I848" t="s">
        <v>463</v>
      </c>
    </row>
    <row r="849" spans="1:9" x14ac:dyDescent="0.3">
      <c r="A849">
        <v>76046</v>
      </c>
      <c r="B849">
        <v>116</v>
      </c>
      <c r="C849" s="453">
        <v>46082</v>
      </c>
      <c r="D849" t="s">
        <v>568</v>
      </c>
      <c r="E849">
        <v>18395</v>
      </c>
      <c r="F849" t="s">
        <v>4085</v>
      </c>
      <c r="G849">
        <v>1.5</v>
      </c>
      <c r="H849" t="s">
        <v>3878</v>
      </c>
      <c r="I849" t="s">
        <v>463</v>
      </c>
    </row>
    <row r="850" spans="1:9" x14ac:dyDescent="0.3">
      <c r="A850">
        <v>76047</v>
      </c>
      <c r="B850">
        <v>116</v>
      </c>
      <c r="C850" s="453">
        <v>46082</v>
      </c>
      <c r="D850" t="s">
        <v>568</v>
      </c>
      <c r="E850">
        <v>18394</v>
      </c>
      <c r="F850" t="s">
        <v>4044</v>
      </c>
      <c r="G850">
        <v>1.5</v>
      </c>
      <c r="H850" t="s">
        <v>3878</v>
      </c>
      <c r="I850" t="s">
        <v>463</v>
      </c>
    </row>
    <row r="851" spans="1:9" x14ac:dyDescent="0.3">
      <c r="A851">
        <v>76048</v>
      </c>
      <c r="B851">
        <v>116</v>
      </c>
      <c r="C851" s="453">
        <v>46082</v>
      </c>
      <c r="D851" t="s">
        <v>568</v>
      </c>
      <c r="E851">
        <v>18317</v>
      </c>
      <c r="F851" t="s">
        <v>4045</v>
      </c>
      <c r="G851">
        <v>1.5</v>
      </c>
      <c r="H851" t="s">
        <v>3878</v>
      </c>
      <c r="I851" t="s">
        <v>463</v>
      </c>
    </row>
    <row r="852" spans="1:9" x14ac:dyDescent="0.3">
      <c r="A852">
        <v>76049</v>
      </c>
      <c r="B852">
        <v>116</v>
      </c>
      <c r="C852" s="453">
        <v>46082</v>
      </c>
      <c r="D852" t="s">
        <v>568</v>
      </c>
      <c r="E852">
        <v>18233</v>
      </c>
      <c r="F852" t="s">
        <v>4090</v>
      </c>
      <c r="G852">
        <v>1.5</v>
      </c>
      <c r="H852" t="s">
        <v>3878</v>
      </c>
      <c r="I852" t="s">
        <v>463</v>
      </c>
    </row>
    <row r="853" spans="1:9" x14ac:dyDescent="0.3">
      <c r="A853">
        <v>76050</v>
      </c>
      <c r="B853">
        <v>116</v>
      </c>
      <c r="C853" s="453">
        <v>46082</v>
      </c>
      <c r="D853" t="s">
        <v>568</v>
      </c>
      <c r="E853">
        <v>20717</v>
      </c>
      <c r="F853" t="s">
        <v>4055</v>
      </c>
      <c r="G853">
        <v>1.4</v>
      </c>
      <c r="H853" t="s">
        <v>3872</v>
      </c>
      <c r="I853" t="s">
        <v>463</v>
      </c>
    </row>
    <row r="854" spans="1:9" x14ac:dyDescent="0.3">
      <c r="A854">
        <v>76051</v>
      </c>
      <c r="B854">
        <v>116</v>
      </c>
      <c r="C854" s="453">
        <v>46082</v>
      </c>
      <c r="D854" t="s">
        <v>568</v>
      </c>
      <c r="E854">
        <v>20757</v>
      </c>
      <c r="F854" t="s">
        <v>4050</v>
      </c>
      <c r="G854">
        <v>1.3</v>
      </c>
      <c r="H854" t="s">
        <v>3966</v>
      </c>
      <c r="I854" t="s">
        <v>463</v>
      </c>
    </row>
    <row r="855" spans="1:9" x14ac:dyDescent="0.3">
      <c r="A855">
        <v>76052</v>
      </c>
      <c r="B855">
        <v>116</v>
      </c>
      <c r="C855" s="453">
        <v>46082</v>
      </c>
      <c r="D855" t="s">
        <v>568</v>
      </c>
      <c r="E855">
        <v>18315</v>
      </c>
      <c r="F855" t="s">
        <v>4088</v>
      </c>
      <c r="G855">
        <v>1.3</v>
      </c>
      <c r="H855" t="s">
        <v>3878</v>
      </c>
      <c r="I855" t="s">
        <v>463</v>
      </c>
    </row>
    <row r="856" spans="1:9" x14ac:dyDescent="0.3">
      <c r="A856">
        <v>76053</v>
      </c>
      <c r="B856">
        <v>116</v>
      </c>
      <c r="C856" s="453">
        <v>46082</v>
      </c>
      <c r="D856" t="s">
        <v>568</v>
      </c>
      <c r="E856">
        <v>18232</v>
      </c>
      <c r="F856" t="s">
        <v>4091</v>
      </c>
      <c r="G856">
        <v>1.3</v>
      </c>
      <c r="H856" t="s">
        <v>3878</v>
      </c>
      <c r="I856" t="s">
        <v>463</v>
      </c>
    </row>
    <row r="857" spans="1:9" x14ac:dyDescent="0.3">
      <c r="A857">
        <v>76054</v>
      </c>
      <c r="B857">
        <v>116</v>
      </c>
      <c r="C857" s="453">
        <v>46082</v>
      </c>
      <c r="D857" t="s">
        <v>568</v>
      </c>
      <c r="E857">
        <v>23982</v>
      </c>
      <c r="F857" t="s">
        <v>3977</v>
      </c>
      <c r="G857">
        <v>1.2</v>
      </c>
      <c r="H857" t="s">
        <v>3978</v>
      </c>
      <c r="I857" t="s">
        <v>463</v>
      </c>
    </row>
    <row r="858" spans="1:9" x14ac:dyDescent="0.3">
      <c r="A858">
        <v>76055</v>
      </c>
      <c r="B858">
        <v>116</v>
      </c>
      <c r="C858" s="453">
        <v>46082</v>
      </c>
      <c r="D858" t="s">
        <v>568</v>
      </c>
      <c r="E858">
        <v>20702</v>
      </c>
      <c r="F858" t="s">
        <v>4006</v>
      </c>
      <c r="G858">
        <v>1.2</v>
      </c>
      <c r="H858" t="s">
        <v>3966</v>
      </c>
      <c r="I858" t="s">
        <v>463</v>
      </c>
    </row>
    <row r="859" spans="1:9" x14ac:dyDescent="0.3">
      <c r="A859">
        <v>76056</v>
      </c>
      <c r="B859">
        <v>116</v>
      </c>
      <c r="C859" s="453">
        <v>46082</v>
      </c>
      <c r="D859" t="s">
        <v>568</v>
      </c>
      <c r="E859">
        <v>23503</v>
      </c>
      <c r="F859" t="s">
        <v>4041</v>
      </c>
      <c r="G859">
        <v>1.1000000000000001</v>
      </c>
      <c r="H859" t="s">
        <v>3892</v>
      </c>
      <c r="I859" t="s">
        <v>463</v>
      </c>
    </row>
    <row r="860" spans="1:9" x14ac:dyDescent="0.3">
      <c r="A860">
        <v>76057</v>
      </c>
      <c r="B860">
        <v>116</v>
      </c>
      <c r="C860" s="453">
        <v>46082</v>
      </c>
      <c r="D860" t="s">
        <v>568</v>
      </c>
      <c r="E860">
        <v>21126</v>
      </c>
      <c r="F860" t="s">
        <v>4004</v>
      </c>
      <c r="G860">
        <v>1</v>
      </c>
      <c r="H860" t="s">
        <v>3888</v>
      </c>
      <c r="I860" t="s">
        <v>463</v>
      </c>
    </row>
    <row r="861" spans="1:9" x14ac:dyDescent="0.3">
      <c r="A861">
        <v>76058</v>
      </c>
      <c r="B861">
        <v>116</v>
      </c>
      <c r="C861" s="453">
        <v>46082</v>
      </c>
      <c r="D861" t="s">
        <v>568</v>
      </c>
      <c r="E861">
        <v>21166</v>
      </c>
      <c r="F861" t="s">
        <v>4001</v>
      </c>
      <c r="G861">
        <v>1</v>
      </c>
      <c r="H861" t="s">
        <v>3872</v>
      </c>
      <c r="I861" t="s">
        <v>463</v>
      </c>
    </row>
    <row r="862" spans="1:9" x14ac:dyDescent="0.3">
      <c r="A862">
        <v>76059</v>
      </c>
      <c r="B862">
        <v>116</v>
      </c>
      <c r="C862" s="453">
        <v>46082</v>
      </c>
      <c r="D862" t="s">
        <v>568</v>
      </c>
      <c r="E862">
        <v>21078</v>
      </c>
      <c r="F862" t="s">
        <v>4049</v>
      </c>
      <c r="G862">
        <v>1</v>
      </c>
      <c r="H862" t="s">
        <v>3881</v>
      </c>
      <c r="I862" t="s">
        <v>463</v>
      </c>
    </row>
    <row r="863" spans="1:9" x14ac:dyDescent="0.3">
      <c r="A863">
        <v>76060</v>
      </c>
      <c r="B863">
        <v>116</v>
      </c>
      <c r="C863" s="453">
        <v>46082</v>
      </c>
      <c r="D863" t="s">
        <v>568</v>
      </c>
      <c r="E863">
        <v>20429</v>
      </c>
      <c r="F863" t="s">
        <v>4051</v>
      </c>
      <c r="G863">
        <v>1</v>
      </c>
      <c r="H863" t="s">
        <v>3872</v>
      </c>
      <c r="I863" t="s">
        <v>463</v>
      </c>
    </row>
    <row r="864" spans="1:9" x14ac:dyDescent="0.3">
      <c r="A864">
        <v>76061</v>
      </c>
      <c r="B864">
        <v>116</v>
      </c>
      <c r="C864" s="453">
        <v>46082</v>
      </c>
      <c r="D864" t="s">
        <v>568</v>
      </c>
      <c r="E864">
        <v>20809</v>
      </c>
      <c r="F864" t="s">
        <v>4005</v>
      </c>
      <c r="G864">
        <v>1</v>
      </c>
      <c r="H864" t="s">
        <v>3888</v>
      </c>
      <c r="I864" t="s">
        <v>463</v>
      </c>
    </row>
    <row r="865" spans="1:9" x14ac:dyDescent="0.3">
      <c r="A865">
        <v>76062</v>
      </c>
      <c r="B865">
        <v>116</v>
      </c>
      <c r="C865" s="453">
        <v>46082</v>
      </c>
      <c r="D865" t="s">
        <v>568</v>
      </c>
      <c r="E865">
        <v>24212</v>
      </c>
      <c r="F865" t="s">
        <v>4056</v>
      </c>
      <c r="G865">
        <v>1</v>
      </c>
      <c r="H865" t="s">
        <v>3892</v>
      </c>
      <c r="I865" t="s">
        <v>463</v>
      </c>
    </row>
    <row r="866" spans="1:9" x14ac:dyDescent="0.3">
      <c r="A866">
        <v>76063</v>
      </c>
      <c r="B866">
        <v>116</v>
      </c>
      <c r="C866" s="453">
        <v>46082</v>
      </c>
      <c r="D866" t="s">
        <v>568</v>
      </c>
      <c r="E866">
        <v>23897</v>
      </c>
      <c r="F866" t="s">
        <v>4058</v>
      </c>
      <c r="G866">
        <v>1</v>
      </c>
      <c r="H866" t="s">
        <v>3872</v>
      </c>
      <c r="I866" t="s">
        <v>463</v>
      </c>
    </row>
    <row r="867" spans="1:9" x14ac:dyDescent="0.3">
      <c r="A867">
        <v>76064</v>
      </c>
      <c r="B867">
        <v>116</v>
      </c>
      <c r="C867" s="453">
        <v>46082</v>
      </c>
      <c r="D867" t="s">
        <v>568</v>
      </c>
      <c r="E867">
        <v>20213</v>
      </c>
      <c r="F867" t="s">
        <v>4059</v>
      </c>
      <c r="G867">
        <v>1</v>
      </c>
      <c r="H867" t="s">
        <v>3888</v>
      </c>
      <c r="I867" t="s">
        <v>463</v>
      </c>
    </row>
    <row r="868" spans="1:9" x14ac:dyDescent="0.3">
      <c r="A868">
        <v>76065</v>
      </c>
      <c r="B868">
        <v>116</v>
      </c>
      <c r="C868" s="453">
        <v>46082</v>
      </c>
      <c r="D868" t="s">
        <v>568</v>
      </c>
      <c r="E868">
        <v>20500</v>
      </c>
      <c r="F868" t="s">
        <v>3954</v>
      </c>
      <c r="G868">
        <v>1</v>
      </c>
      <c r="H868" t="s">
        <v>3872</v>
      </c>
      <c r="I868" t="s">
        <v>463</v>
      </c>
    </row>
    <row r="869" spans="1:9" x14ac:dyDescent="0.3">
      <c r="A869">
        <v>76066</v>
      </c>
      <c r="B869">
        <v>116</v>
      </c>
      <c r="C869" s="453">
        <v>46082</v>
      </c>
      <c r="D869" t="s">
        <v>568</v>
      </c>
      <c r="E869">
        <v>20117</v>
      </c>
      <c r="F869" t="s">
        <v>4010</v>
      </c>
      <c r="G869">
        <v>1</v>
      </c>
      <c r="H869" t="s">
        <v>3872</v>
      </c>
      <c r="I869" t="s">
        <v>463</v>
      </c>
    </row>
    <row r="870" spans="1:9" x14ac:dyDescent="0.3">
      <c r="A870">
        <v>76067</v>
      </c>
      <c r="B870">
        <v>116</v>
      </c>
      <c r="C870" s="453">
        <v>46082</v>
      </c>
      <c r="D870" t="s">
        <v>568</v>
      </c>
      <c r="E870">
        <v>23852</v>
      </c>
      <c r="F870" t="s">
        <v>4061</v>
      </c>
      <c r="G870">
        <v>1</v>
      </c>
      <c r="H870" t="s">
        <v>3892</v>
      </c>
      <c r="I870" t="s">
        <v>463</v>
      </c>
    </row>
    <row r="871" spans="1:9" x14ac:dyDescent="0.3">
      <c r="A871">
        <v>76068</v>
      </c>
      <c r="B871">
        <v>116</v>
      </c>
      <c r="C871" s="453">
        <v>46082</v>
      </c>
      <c r="D871" t="s">
        <v>568</v>
      </c>
      <c r="E871">
        <v>19932</v>
      </c>
      <c r="F871" t="s">
        <v>4011</v>
      </c>
      <c r="G871">
        <v>1</v>
      </c>
      <c r="H871" t="s">
        <v>3872</v>
      </c>
      <c r="I871" t="s">
        <v>463</v>
      </c>
    </row>
    <row r="872" spans="1:9" x14ac:dyDescent="0.3">
      <c r="A872">
        <v>76069</v>
      </c>
      <c r="B872">
        <v>116</v>
      </c>
      <c r="C872" s="453">
        <v>46082</v>
      </c>
      <c r="D872" t="s">
        <v>568</v>
      </c>
      <c r="E872">
        <v>23500</v>
      </c>
      <c r="F872" t="s">
        <v>4116</v>
      </c>
      <c r="G872">
        <v>1</v>
      </c>
      <c r="H872" t="s">
        <v>3892</v>
      </c>
      <c r="I872" t="s">
        <v>463</v>
      </c>
    </row>
    <row r="873" spans="1:9" x14ac:dyDescent="0.3">
      <c r="A873">
        <v>76070</v>
      </c>
      <c r="B873">
        <v>116</v>
      </c>
      <c r="C873" s="453">
        <v>46082</v>
      </c>
      <c r="D873" t="s">
        <v>568</v>
      </c>
      <c r="E873">
        <v>20597</v>
      </c>
      <c r="F873" t="s">
        <v>4157</v>
      </c>
      <c r="G873">
        <v>1</v>
      </c>
      <c r="H873" t="s">
        <v>3872</v>
      </c>
      <c r="I873" t="s">
        <v>463</v>
      </c>
    </row>
    <row r="874" spans="1:9" x14ac:dyDescent="0.3">
      <c r="A874">
        <v>76071</v>
      </c>
      <c r="B874">
        <v>116</v>
      </c>
      <c r="C874" s="453">
        <v>46082</v>
      </c>
      <c r="D874" t="s">
        <v>568</v>
      </c>
      <c r="E874">
        <v>23622</v>
      </c>
      <c r="F874" t="s">
        <v>4150</v>
      </c>
      <c r="G874">
        <v>1</v>
      </c>
      <c r="H874" t="s">
        <v>3892</v>
      </c>
      <c r="I874" t="s">
        <v>463</v>
      </c>
    </row>
    <row r="875" spans="1:9" x14ac:dyDescent="0.3">
      <c r="A875">
        <v>76072</v>
      </c>
      <c r="B875">
        <v>116</v>
      </c>
      <c r="C875" s="453">
        <v>46082</v>
      </c>
      <c r="D875" t="s">
        <v>568</v>
      </c>
      <c r="E875">
        <v>19647</v>
      </c>
      <c r="F875" t="s">
        <v>4066</v>
      </c>
      <c r="G875">
        <v>1</v>
      </c>
      <c r="H875" t="s">
        <v>3892</v>
      </c>
      <c r="I875" t="s">
        <v>463</v>
      </c>
    </row>
    <row r="876" spans="1:9" x14ac:dyDescent="0.3">
      <c r="A876">
        <v>76073</v>
      </c>
      <c r="B876">
        <v>116</v>
      </c>
      <c r="C876" s="453">
        <v>46082</v>
      </c>
      <c r="D876" t="s">
        <v>568</v>
      </c>
      <c r="E876">
        <v>24037</v>
      </c>
      <c r="F876" t="s">
        <v>4104</v>
      </c>
      <c r="G876">
        <v>1</v>
      </c>
      <c r="H876" t="s">
        <v>3892</v>
      </c>
      <c r="I876" t="s">
        <v>463</v>
      </c>
    </row>
    <row r="877" spans="1:9" x14ac:dyDescent="0.3">
      <c r="A877">
        <v>76074</v>
      </c>
      <c r="B877">
        <v>116</v>
      </c>
      <c r="C877" s="453">
        <v>46082</v>
      </c>
      <c r="D877" t="s">
        <v>568</v>
      </c>
      <c r="E877">
        <v>19642</v>
      </c>
      <c r="F877" t="s">
        <v>4067</v>
      </c>
      <c r="G877">
        <v>1</v>
      </c>
      <c r="H877" t="s">
        <v>3892</v>
      </c>
      <c r="I877" t="s">
        <v>463</v>
      </c>
    </row>
    <row r="878" spans="1:9" x14ac:dyDescent="0.3">
      <c r="A878">
        <v>76075</v>
      </c>
      <c r="B878">
        <v>116</v>
      </c>
      <c r="C878" s="453">
        <v>46082</v>
      </c>
      <c r="D878" t="s">
        <v>568</v>
      </c>
      <c r="E878">
        <v>19634</v>
      </c>
      <c r="F878" t="s">
        <v>4068</v>
      </c>
      <c r="G878">
        <v>1</v>
      </c>
      <c r="H878" t="s">
        <v>3892</v>
      </c>
      <c r="I878" t="s">
        <v>463</v>
      </c>
    </row>
    <row r="879" spans="1:9" x14ac:dyDescent="0.3">
      <c r="A879">
        <v>76076</v>
      </c>
      <c r="B879">
        <v>116</v>
      </c>
      <c r="C879" s="453">
        <v>46082</v>
      </c>
      <c r="D879" t="s">
        <v>568</v>
      </c>
      <c r="E879">
        <v>19494</v>
      </c>
      <c r="F879" t="s">
        <v>4126</v>
      </c>
      <c r="G879">
        <v>1</v>
      </c>
      <c r="H879" t="s">
        <v>3892</v>
      </c>
      <c r="I879" t="s">
        <v>463</v>
      </c>
    </row>
    <row r="880" spans="1:9" x14ac:dyDescent="0.3">
      <c r="A880">
        <v>76077</v>
      </c>
      <c r="B880">
        <v>116</v>
      </c>
      <c r="C880" s="453">
        <v>46082</v>
      </c>
      <c r="D880" t="s">
        <v>568</v>
      </c>
      <c r="E880">
        <v>23385</v>
      </c>
      <c r="F880" t="s">
        <v>4069</v>
      </c>
      <c r="G880">
        <v>1</v>
      </c>
      <c r="H880" t="s">
        <v>3892</v>
      </c>
      <c r="I880" t="s">
        <v>463</v>
      </c>
    </row>
    <row r="881" spans="1:9" x14ac:dyDescent="0.3">
      <c r="A881">
        <v>76078</v>
      </c>
      <c r="B881">
        <v>116</v>
      </c>
      <c r="C881" s="453">
        <v>46082</v>
      </c>
      <c r="D881" t="s">
        <v>568</v>
      </c>
      <c r="E881">
        <v>19621</v>
      </c>
      <c r="F881" t="s">
        <v>4125</v>
      </c>
      <c r="G881">
        <v>1</v>
      </c>
      <c r="H881" t="s">
        <v>3892</v>
      </c>
      <c r="I881" t="s">
        <v>463</v>
      </c>
    </row>
    <row r="882" spans="1:9" x14ac:dyDescent="0.3">
      <c r="A882">
        <v>76079</v>
      </c>
      <c r="B882">
        <v>116</v>
      </c>
      <c r="C882" s="453">
        <v>46082</v>
      </c>
      <c r="D882" t="s">
        <v>568</v>
      </c>
      <c r="E882">
        <v>23234</v>
      </c>
      <c r="F882" t="s">
        <v>4018</v>
      </c>
      <c r="G882">
        <v>1</v>
      </c>
      <c r="H882" t="s">
        <v>3892</v>
      </c>
      <c r="I882" t="s">
        <v>463</v>
      </c>
    </row>
    <row r="883" spans="1:9" x14ac:dyDescent="0.3">
      <c r="A883">
        <v>76080</v>
      </c>
      <c r="B883">
        <v>116</v>
      </c>
      <c r="C883" s="453">
        <v>46082</v>
      </c>
      <c r="D883" t="s">
        <v>568</v>
      </c>
      <c r="E883">
        <v>24598</v>
      </c>
      <c r="F883" t="s">
        <v>4166</v>
      </c>
      <c r="G883">
        <v>1</v>
      </c>
      <c r="H883" t="s">
        <v>3892</v>
      </c>
      <c r="I883" t="s">
        <v>463</v>
      </c>
    </row>
    <row r="884" spans="1:9" x14ac:dyDescent="0.3">
      <c r="A884">
        <v>76081</v>
      </c>
      <c r="B884">
        <v>116</v>
      </c>
      <c r="C884" s="453">
        <v>46082</v>
      </c>
      <c r="D884" t="s">
        <v>568</v>
      </c>
      <c r="E884">
        <v>19765</v>
      </c>
      <c r="F884" t="s">
        <v>4071</v>
      </c>
      <c r="G884">
        <v>1</v>
      </c>
      <c r="H884" t="s">
        <v>3892</v>
      </c>
      <c r="I884" t="s">
        <v>463</v>
      </c>
    </row>
    <row r="885" spans="1:9" x14ac:dyDescent="0.3">
      <c r="A885">
        <v>76082</v>
      </c>
      <c r="B885">
        <v>116</v>
      </c>
      <c r="C885" s="453">
        <v>46082</v>
      </c>
      <c r="D885" t="s">
        <v>568</v>
      </c>
      <c r="E885">
        <v>23357</v>
      </c>
      <c r="F885" t="s">
        <v>4042</v>
      </c>
      <c r="G885">
        <v>1</v>
      </c>
      <c r="H885" t="s">
        <v>3892</v>
      </c>
      <c r="I885" t="s">
        <v>463</v>
      </c>
    </row>
    <row r="886" spans="1:9" x14ac:dyDescent="0.3">
      <c r="A886">
        <v>76083</v>
      </c>
      <c r="B886">
        <v>116</v>
      </c>
      <c r="C886" s="453">
        <v>46082</v>
      </c>
      <c r="D886" t="s">
        <v>568</v>
      </c>
      <c r="E886">
        <v>19478</v>
      </c>
      <c r="F886" t="s">
        <v>4072</v>
      </c>
      <c r="G886">
        <v>1</v>
      </c>
      <c r="H886" t="s">
        <v>3892</v>
      </c>
      <c r="I886" t="s">
        <v>463</v>
      </c>
    </row>
    <row r="887" spans="1:9" x14ac:dyDescent="0.3">
      <c r="A887">
        <v>76084</v>
      </c>
      <c r="B887">
        <v>116</v>
      </c>
      <c r="C887" s="453">
        <v>46082</v>
      </c>
      <c r="D887" t="s">
        <v>568</v>
      </c>
      <c r="E887">
        <v>19742</v>
      </c>
      <c r="F887" t="s">
        <v>4074</v>
      </c>
      <c r="G887">
        <v>1</v>
      </c>
      <c r="H887" t="s">
        <v>3892</v>
      </c>
      <c r="I887" t="s">
        <v>463</v>
      </c>
    </row>
    <row r="888" spans="1:9" x14ac:dyDescent="0.3">
      <c r="A888">
        <v>76085</v>
      </c>
      <c r="B888">
        <v>116</v>
      </c>
      <c r="C888" s="453">
        <v>46082</v>
      </c>
      <c r="D888" t="s">
        <v>568</v>
      </c>
      <c r="E888">
        <v>23335</v>
      </c>
      <c r="F888" t="s">
        <v>4075</v>
      </c>
      <c r="G888">
        <v>1</v>
      </c>
      <c r="H888" t="s">
        <v>3892</v>
      </c>
      <c r="I888" t="s">
        <v>463</v>
      </c>
    </row>
    <row r="889" spans="1:9" x14ac:dyDescent="0.3">
      <c r="A889">
        <v>76086</v>
      </c>
      <c r="B889">
        <v>116</v>
      </c>
      <c r="C889" s="453">
        <v>46082</v>
      </c>
      <c r="D889" t="s">
        <v>568</v>
      </c>
      <c r="E889">
        <v>19589</v>
      </c>
      <c r="F889" t="s">
        <v>4153</v>
      </c>
      <c r="G889">
        <v>1</v>
      </c>
      <c r="H889" t="s">
        <v>3892</v>
      </c>
      <c r="I889" t="s">
        <v>463</v>
      </c>
    </row>
    <row r="890" spans="1:9" x14ac:dyDescent="0.3">
      <c r="A890">
        <v>76087</v>
      </c>
      <c r="B890">
        <v>116</v>
      </c>
      <c r="C890" s="453">
        <v>46082</v>
      </c>
      <c r="D890" t="s">
        <v>568</v>
      </c>
      <c r="E890">
        <v>19583</v>
      </c>
      <c r="F890" t="s">
        <v>4076</v>
      </c>
      <c r="G890">
        <v>1</v>
      </c>
      <c r="H890" t="s">
        <v>3892</v>
      </c>
      <c r="I890" t="s">
        <v>463</v>
      </c>
    </row>
    <row r="891" spans="1:9" x14ac:dyDescent="0.3">
      <c r="A891">
        <v>76088</v>
      </c>
      <c r="B891">
        <v>116</v>
      </c>
      <c r="C891" s="453">
        <v>46082</v>
      </c>
      <c r="D891" t="s">
        <v>568</v>
      </c>
      <c r="E891">
        <v>23198</v>
      </c>
      <c r="F891" t="s">
        <v>4167</v>
      </c>
      <c r="G891">
        <v>1</v>
      </c>
      <c r="H891" t="s">
        <v>3892</v>
      </c>
      <c r="I891" t="s">
        <v>463</v>
      </c>
    </row>
    <row r="892" spans="1:9" x14ac:dyDescent="0.3">
      <c r="A892">
        <v>76089</v>
      </c>
      <c r="B892">
        <v>116</v>
      </c>
      <c r="C892" s="453">
        <v>46082</v>
      </c>
      <c r="D892" t="s">
        <v>568</v>
      </c>
      <c r="E892">
        <v>19553</v>
      </c>
      <c r="F892" t="s">
        <v>4078</v>
      </c>
      <c r="G892">
        <v>1</v>
      </c>
      <c r="H892" t="s">
        <v>3892</v>
      </c>
      <c r="I892" t="s">
        <v>463</v>
      </c>
    </row>
    <row r="893" spans="1:9" x14ac:dyDescent="0.3">
      <c r="A893">
        <v>76090</v>
      </c>
      <c r="B893">
        <v>116</v>
      </c>
      <c r="C893" s="453">
        <v>46082</v>
      </c>
      <c r="D893" t="s">
        <v>568</v>
      </c>
      <c r="E893">
        <v>19465</v>
      </c>
      <c r="F893" t="s">
        <v>4080</v>
      </c>
      <c r="G893">
        <v>1</v>
      </c>
      <c r="H893" t="s">
        <v>3892</v>
      </c>
      <c r="I893" t="s">
        <v>463</v>
      </c>
    </row>
    <row r="894" spans="1:9" x14ac:dyDescent="0.3">
      <c r="A894">
        <v>76091</v>
      </c>
      <c r="B894">
        <v>116</v>
      </c>
      <c r="C894" s="453">
        <v>46082</v>
      </c>
      <c r="D894" t="s">
        <v>568</v>
      </c>
      <c r="E894">
        <v>17066</v>
      </c>
      <c r="F894" t="s">
        <v>4155</v>
      </c>
      <c r="G894">
        <v>1</v>
      </c>
      <c r="H894" t="s">
        <v>3892</v>
      </c>
      <c r="I894" t="s">
        <v>463</v>
      </c>
    </row>
    <row r="895" spans="1:9" x14ac:dyDescent="0.3">
      <c r="A895">
        <v>76092</v>
      </c>
      <c r="B895">
        <v>116</v>
      </c>
      <c r="C895" s="453">
        <v>46082</v>
      </c>
      <c r="D895" t="s">
        <v>568</v>
      </c>
      <c r="E895">
        <v>19264</v>
      </c>
      <c r="F895" t="s">
        <v>4082</v>
      </c>
      <c r="G895">
        <v>1</v>
      </c>
      <c r="H895" t="s">
        <v>3888</v>
      </c>
      <c r="I895" t="s">
        <v>463</v>
      </c>
    </row>
    <row r="896" spans="1:9" x14ac:dyDescent="0.3">
      <c r="A896">
        <v>76093</v>
      </c>
      <c r="B896">
        <v>116</v>
      </c>
      <c r="C896" s="453">
        <v>46082</v>
      </c>
      <c r="D896" t="s">
        <v>568</v>
      </c>
      <c r="E896">
        <v>24403</v>
      </c>
      <c r="F896" t="s">
        <v>3992</v>
      </c>
      <c r="G896">
        <v>1</v>
      </c>
      <c r="H896" t="s">
        <v>3892</v>
      </c>
      <c r="I896" t="s">
        <v>463</v>
      </c>
    </row>
    <row r="897" spans="1:9" x14ac:dyDescent="0.3">
      <c r="A897">
        <v>76094</v>
      </c>
      <c r="B897">
        <v>116</v>
      </c>
      <c r="C897" s="453">
        <v>46082</v>
      </c>
      <c r="D897" t="s">
        <v>568</v>
      </c>
      <c r="E897">
        <v>18528</v>
      </c>
      <c r="F897" t="s">
        <v>4108</v>
      </c>
      <c r="G897">
        <v>1</v>
      </c>
      <c r="H897" t="s">
        <v>3878</v>
      </c>
      <c r="I897" t="s">
        <v>463</v>
      </c>
    </row>
    <row r="898" spans="1:9" x14ac:dyDescent="0.3">
      <c r="A898">
        <v>76095</v>
      </c>
      <c r="B898">
        <v>116</v>
      </c>
      <c r="C898" s="453">
        <v>46082</v>
      </c>
      <c r="D898" t="s">
        <v>568</v>
      </c>
      <c r="E898">
        <v>18534</v>
      </c>
      <c r="F898" t="s">
        <v>4084</v>
      </c>
      <c r="G898">
        <v>1</v>
      </c>
      <c r="H898" t="s">
        <v>3878</v>
      </c>
      <c r="I898" t="s">
        <v>463</v>
      </c>
    </row>
    <row r="899" spans="1:9" x14ac:dyDescent="0.3">
      <c r="A899">
        <v>76096</v>
      </c>
      <c r="B899">
        <v>116</v>
      </c>
      <c r="C899" s="453">
        <v>46082</v>
      </c>
      <c r="D899" t="s">
        <v>568</v>
      </c>
      <c r="E899">
        <v>18341</v>
      </c>
      <c r="F899" t="s">
        <v>4086</v>
      </c>
      <c r="G899">
        <v>1</v>
      </c>
      <c r="H899" t="s">
        <v>3878</v>
      </c>
      <c r="I899" t="s">
        <v>463</v>
      </c>
    </row>
    <row r="900" spans="1:9" x14ac:dyDescent="0.3">
      <c r="A900">
        <v>76097</v>
      </c>
      <c r="B900">
        <v>116</v>
      </c>
      <c r="C900" s="453">
        <v>46082</v>
      </c>
      <c r="D900" t="s">
        <v>568</v>
      </c>
      <c r="E900">
        <v>18327</v>
      </c>
      <c r="F900" t="s">
        <v>4087</v>
      </c>
      <c r="G900">
        <v>1</v>
      </c>
      <c r="H900" t="s">
        <v>3878</v>
      </c>
      <c r="I900" t="s">
        <v>463</v>
      </c>
    </row>
    <row r="901" spans="1:9" x14ac:dyDescent="0.3">
      <c r="A901">
        <v>76098</v>
      </c>
      <c r="B901">
        <v>116</v>
      </c>
      <c r="C901" s="453">
        <v>46082</v>
      </c>
      <c r="D901" t="s">
        <v>568</v>
      </c>
      <c r="E901">
        <v>18312</v>
      </c>
      <c r="F901" t="s">
        <v>4089</v>
      </c>
      <c r="G901">
        <v>1</v>
      </c>
      <c r="H901" t="s">
        <v>3878</v>
      </c>
      <c r="I901" t="s">
        <v>463</v>
      </c>
    </row>
    <row r="902" spans="1:9" x14ac:dyDescent="0.3">
      <c r="A902">
        <v>76099</v>
      </c>
      <c r="B902">
        <v>116</v>
      </c>
      <c r="C902" s="453">
        <v>46082</v>
      </c>
      <c r="D902" t="s">
        <v>568</v>
      </c>
      <c r="E902">
        <v>18129</v>
      </c>
      <c r="F902" t="s">
        <v>4092</v>
      </c>
      <c r="G902">
        <v>1</v>
      </c>
      <c r="H902" t="s">
        <v>3878</v>
      </c>
      <c r="I902" t="s">
        <v>463</v>
      </c>
    </row>
    <row r="903" spans="1:9" x14ac:dyDescent="0.3">
      <c r="A903">
        <v>76100</v>
      </c>
      <c r="B903">
        <v>116</v>
      </c>
      <c r="C903" s="453">
        <v>46082</v>
      </c>
      <c r="D903" t="s">
        <v>568</v>
      </c>
      <c r="E903">
        <v>18119</v>
      </c>
      <c r="F903" t="s">
        <v>4093</v>
      </c>
      <c r="G903">
        <v>1</v>
      </c>
      <c r="H903" t="s">
        <v>3878</v>
      </c>
      <c r="I903" t="s">
        <v>463</v>
      </c>
    </row>
    <row r="904" spans="1:9" x14ac:dyDescent="0.3">
      <c r="A904">
        <v>76101</v>
      </c>
      <c r="B904">
        <v>116</v>
      </c>
      <c r="C904" s="453">
        <v>46082</v>
      </c>
      <c r="D904" t="s">
        <v>568</v>
      </c>
      <c r="E904">
        <v>18030</v>
      </c>
      <c r="F904" t="s">
        <v>4033</v>
      </c>
      <c r="G904">
        <v>1</v>
      </c>
      <c r="H904" t="s">
        <v>3878</v>
      </c>
      <c r="I904" t="s">
        <v>463</v>
      </c>
    </row>
    <row r="905" spans="1:9" x14ac:dyDescent="0.3">
      <c r="A905">
        <v>76102</v>
      </c>
      <c r="B905">
        <v>116</v>
      </c>
      <c r="C905" s="453">
        <v>46082</v>
      </c>
      <c r="D905" t="s">
        <v>568</v>
      </c>
      <c r="E905">
        <v>17897</v>
      </c>
      <c r="F905" t="s">
        <v>4094</v>
      </c>
      <c r="G905">
        <v>1</v>
      </c>
      <c r="H905" t="s">
        <v>3888</v>
      </c>
      <c r="I905" t="s">
        <v>463</v>
      </c>
    </row>
    <row r="906" spans="1:9" x14ac:dyDescent="0.3">
      <c r="A906">
        <v>76103</v>
      </c>
      <c r="B906">
        <v>116</v>
      </c>
      <c r="C906" s="453">
        <v>46082</v>
      </c>
      <c r="D906" t="s">
        <v>568</v>
      </c>
      <c r="E906">
        <v>17881</v>
      </c>
      <c r="F906" t="s">
        <v>4095</v>
      </c>
      <c r="G906">
        <v>1</v>
      </c>
      <c r="H906" t="s">
        <v>3888</v>
      </c>
      <c r="I906" t="s">
        <v>463</v>
      </c>
    </row>
    <row r="907" spans="1:9" x14ac:dyDescent="0.3">
      <c r="A907">
        <v>76104</v>
      </c>
      <c r="B907">
        <v>116</v>
      </c>
      <c r="C907" s="453">
        <v>46082</v>
      </c>
      <c r="D907" t="s">
        <v>568</v>
      </c>
      <c r="E907">
        <v>17878</v>
      </c>
      <c r="F907" t="s">
        <v>4096</v>
      </c>
      <c r="G907">
        <v>1</v>
      </c>
      <c r="H907" t="s">
        <v>3872</v>
      </c>
      <c r="I907" t="s">
        <v>463</v>
      </c>
    </row>
    <row r="908" spans="1:9" x14ac:dyDescent="0.3">
      <c r="A908">
        <v>76105</v>
      </c>
      <c r="B908">
        <v>116</v>
      </c>
      <c r="C908" s="453">
        <v>46082</v>
      </c>
      <c r="D908" t="s">
        <v>568</v>
      </c>
      <c r="E908">
        <v>26195</v>
      </c>
      <c r="F908" t="s">
        <v>4037</v>
      </c>
      <c r="G908">
        <v>1</v>
      </c>
      <c r="H908" t="s">
        <v>3878</v>
      </c>
      <c r="I908" t="s">
        <v>463</v>
      </c>
    </row>
    <row r="909" spans="1:9" x14ac:dyDescent="0.3">
      <c r="A909">
        <v>76106</v>
      </c>
      <c r="B909">
        <v>116</v>
      </c>
      <c r="C909" s="453">
        <v>46082</v>
      </c>
      <c r="D909" t="s">
        <v>568</v>
      </c>
      <c r="E909">
        <v>23142</v>
      </c>
      <c r="F909" t="s">
        <v>4151</v>
      </c>
      <c r="G909">
        <v>0.9</v>
      </c>
      <c r="H909" t="s">
        <v>3892</v>
      </c>
      <c r="I909" t="s">
        <v>463</v>
      </c>
    </row>
    <row r="910" spans="1:9" x14ac:dyDescent="0.3">
      <c r="A910">
        <v>76107</v>
      </c>
      <c r="B910">
        <v>116</v>
      </c>
      <c r="C910" s="453">
        <v>46082</v>
      </c>
      <c r="D910" t="s">
        <v>568</v>
      </c>
      <c r="E910">
        <v>19498</v>
      </c>
      <c r="F910" t="s">
        <v>4065</v>
      </c>
      <c r="G910">
        <v>0.8</v>
      </c>
      <c r="H910" t="s">
        <v>3892</v>
      </c>
      <c r="I910" t="s">
        <v>463</v>
      </c>
    </row>
    <row r="911" spans="1:9" x14ac:dyDescent="0.3">
      <c r="A911">
        <v>76108</v>
      </c>
      <c r="B911">
        <v>116</v>
      </c>
      <c r="C911" s="453">
        <v>46082</v>
      </c>
      <c r="D911" t="s">
        <v>568</v>
      </c>
      <c r="E911">
        <v>20466</v>
      </c>
      <c r="F911" t="s">
        <v>4098</v>
      </c>
      <c r="G911">
        <v>0.75</v>
      </c>
      <c r="H911" t="s">
        <v>3892</v>
      </c>
      <c r="I911" t="s">
        <v>463</v>
      </c>
    </row>
    <row r="912" spans="1:9" x14ac:dyDescent="0.3">
      <c r="A912">
        <v>76109</v>
      </c>
      <c r="B912">
        <v>116</v>
      </c>
      <c r="C912" s="453">
        <v>46082</v>
      </c>
      <c r="D912" t="s">
        <v>568</v>
      </c>
      <c r="E912">
        <v>18179</v>
      </c>
      <c r="F912" t="s">
        <v>3995</v>
      </c>
      <c r="G912">
        <v>0.7</v>
      </c>
      <c r="H912" t="s">
        <v>3878</v>
      </c>
      <c r="I912" t="s">
        <v>463</v>
      </c>
    </row>
    <row r="913" spans="1:9" x14ac:dyDescent="0.3">
      <c r="A913">
        <v>76110</v>
      </c>
      <c r="B913">
        <v>116</v>
      </c>
      <c r="C913" s="453">
        <v>46082</v>
      </c>
      <c r="D913" t="s">
        <v>568</v>
      </c>
      <c r="E913">
        <v>23113</v>
      </c>
      <c r="F913" t="s">
        <v>4079</v>
      </c>
      <c r="G913">
        <v>0.6</v>
      </c>
      <c r="H913" t="s">
        <v>3892</v>
      </c>
      <c r="I913" t="s">
        <v>463</v>
      </c>
    </row>
    <row r="914" spans="1:9" x14ac:dyDescent="0.3">
      <c r="A914">
        <v>76111</v>
      </c>
      <c r="B914">
        <v>116</v>
      </c>
      <c r="C914" s="453">
        <v>46082</v>
      </c>
      <c r="D914" t="s">
        <v>568</v>
      </c>
      <c r="E914">
        <v>24484</v>
      </c>
      <c r="F914" t="s">
        <v>4154</v>
      </c>
      <c r="G914">
        <v>0.6</v>
      </c>
      <c r="H914" t="s">
        <v>3892</v>
      </c>
      <c r="I914" t="s">
        <v>463</v>
      </c>
    </row>
    <row r="915" spans="1:9" x14ac:dyDescent="0.3">
      <c r="A915">
        <v>76112</v>
      </c>
      <c r="B915">
        <v>116</v>
      </c>
      <c r="C915" s="453">
        <v>46082</v>
      </c>
      <c r="D915" t="s">
        <v>568</v>
      </c>
      <c r="E915">
        <v>20755</v>
      </c>
      <c r="F915" t="s">
        <v>4052</v>
      </c>
      <c r="G915">
        <v>0.5</v>
      </c>
      <c r="H915" t="s">
        <v>3966</v>
      </c>
      <c r="I915" t="s">
        <v>463</v>
      </c>
    </row>
    <row r="916" spans="1:9" x14ac:dyDescent="0.3">
      <c r="A916">
        <v>76113</v>
      </c>
      <c r="B916">
        <v>116</v>
      </c>
      <c r="C916" s="453">
        <v>46082</v>
      </c>
      <c r="D916" t="s">
        <v>568</v>
      </c>
      <c r="E916">
        <v>23505</v>
      </c>
      <c r="F916" t="s">
        <v>4124</v>
      </c>
      <c r="G916">
        <v>0.5</v>
      </c>
      <c r="H916" t="s">
        <v>3892</v>
      </c>
      <c r="I916" t="s">
        <v>463</v>
      </c>
    </row>
    <row r="917" spans="1:9" x14ac:dyDescent="0.3">
      <c r="A917">
        <v>76114</v>
      </c>
      <c r="B917">
        <v>116</v>
      </c>
      <c r="C917" s="453">
        <v>46082</v>
      </c>
      <c r="D917" t="s">
        <v>568</v>
      </c>
      <c r="E917">
        <v>19773</v>
      </c>
      <c r="F917" t="s">
        <v>4168</v>
      </c>
      <c r="G917">
        <v>0.5</v>
      </c>
      <c r="H917" t="s">
        <v>3892</v>
      </c>
      <c r="I917" t="s">
        <v>463</v>
      </c>
    </row>
    <row r="918" spans="1:9" x14ac:dyDescent="0.3">
      <c r="A918">
        <v>76115</v>
      </c>
      <c r="B918">
        <v>116</v>
      </c>
      <c r="C918" s="453">
        <v>46082</v>
      </c>
      <c r="D918" t="s">
        <v>568</v>
      </c>
      <c r="E918">
        <v>19555</v>
      </c>
      <c r="F918" t="s">
        <v>4109</v>
      </c>
      <c r="G918">
        <v>0.5</v>
      </c>
      <c r="H918" t="s">
        <v>3892</v>
      </c>
      <c r="I918" t="s">
        <v>463</v>
      </c>
    </row>
    <row r="919" spans="1:9" x14ac:dyDescent="0.3">
      <c r="A919">
        <v>76116</v>
      </c>
      <c r="B919">
        <v>116</v>
      </c>
      <c r="C919" s="453">
        <v>46082</v>
      </c>
      <c r="D919" t="s">
        <v>568</v>
      </c>
      <c r="E919">
        <v>17917</v>
      </c>
      <c r="F919" t="s">
        <v>4144</v>
      </c>
      <c r="G919">
        <v>0.5</v>
      </c>
      <c r="H919" t="s">
        <v>3888</v>
      </c>
      <c r="I919" t="s">
        <v>463</v>
      </c>
    </row>
    <row r="920" spans="1:9" x14ac:dyDescent="0.3">
      <c r="A920">
        <v>76117</v>
      </c>
      <c r="B920">
        <v>116</v>
      </c>
      <c r="C920" s="453">
        <v>46082</v>
      </c>
      <c r="D920" t="s">
        <v>568</v>
      </c>
      <c r="E920">
        <v>19505</v>
      </c>
      <c r="F920" t="s">
        <v>4101</v>
      </c>
      <c r="G920">
        <v>0.4</v>
      </c>
      <c r="H920" t="s">
        <v>3892</v>
      </c>
      <c r="I920" t="s">
        <v>463</v>
      </c>
    </row>
    <row r="921" spans="1:9" x14ac:dyDescent="0.3">
      <c r="A921">
        <v>76118</v>
      </c>
      <c r="B921">
        <v>116</v>
      </c>
      <c r="C921" s="453">
        <v>46082</v>
      </c>
      <c r="D921" t="s">
        <v>568</v>
      </c>
      <c r="E921">
        <v>23146</v>
      </c>
      <c r="F921" t="s">
        <v>4112</v>
      </c>
      <c r="G921">
        <v>0.2</v>
      </c>
      <c r="H921" t="s">
        <v>3892</v>
      </c>
      <c r="I921" t="s">
        <v>463</v>
      </c>
    </row>
    <row r="922" spans="1:9" x14ac:dyDescent="0.3">
      <c r="A922">
        <v>76119</v>
      </c>
      <c r="B922">
        <v>116</v>
      </c>
      <c r="C922" s="453">
        <v>46082</v>
      </c>
      <c r="D922" t="s">
        <v>568</v>
      </c>
      <c r="E922">
        <v>19475</v>
      </c>
      <c r="F922" t="s">
        <v>4111</v>
      </c>
      <c r="G922">
        <v>0.2</v>
      </c>
      <c r="H922" t="s">
        <v>3892</v>
      </c>
      <c r="I922" t="s">
        <v>463</v>
      </c>
    </row>
    <row r="923" spans="1:9" x14ac:dyDescent="0.3">
      <c r="A923">
        <v>76120</v>
      </c>
      <c r="B923">
        <v>116</v>
      </c>
      <c r="C923" s="453">
        <v>46082</v>
      </c>
      <c r="D923" t="s">
        <v>568</v>
      </c>
      <c r="E923">
        <v>19607</v>
      </c>
      <c r="F923" t="s">
        <v>4105</v>
      </c>
      <c r="G923">
        <v>0.1</v>
      </c>
      <c r="H923" t="s">
        <v>3892</v>
      </c>
      <c r="I923" t="s">
        <v>463</v>
      </c>
    </row>
    <row r="924" spans="1:9" x14ac:dyDescent="0.3">
      <c r="A924">
        <v>76121</v>
      </c>
      <c r="B924">
        <v>116</v>
      </c>
      <c r="C924" s="453">
        <v>46082</v>
      </c>
      <c r="D924" t="s">
        <v>568</v>
      </c>
      <c r="E924">
        <v>19480</v>
      </c>
      <c r="F924" t="s">
        <v>4113</v>
      </c>
      <c r="G924">
        <v>0.1</v>
      </c>
      <c r="H924" t="s">
        <v>3892</v>
      </c>
      <c r="I924" t="s">
        <v>463</v>
      </c>
    </row>
    <row r="925" spans="1:9" x14ac:dyDescent="0.3">
      <c r="A925">
        <v>79502</v>
      </c>
      <c r="B925">
        <v>116</v>
      </c>
      <c r="C925" s="453">
        <v>46113</v>
      </c>
      <c r="D925" t="s">
        <v>568</v>
      </c>
      <c r="E925">
        <v>23095</v>
      </c>
      <c r="F925" t="s">
        <v>3882</v>
      </c>
      <c r="G925">
        <v>70</v>
      </c>
      <c r="H925" t="s">
        <v>3872</v>
      </c>
      <c r="I925" t="s">
        <v>464</v>
      </c>
    </row>
    <row r="926" spans="1:9" x14ac:dyDescent="0.3">
      <c r="A926">
        <v>79503</v>
      </c>
      <c r="B926">
        <v>116</v>
      </c>
      <c r="C926" s="453">
        <v>46113</v>
      </c>
      <c r="D926" t="s">
        <v>568</v>
      </c>
      <c r="E926">
        <v>22515</v>
      </c>
      <c r="F926" t="s">
        <v>3883</v>
      </c>
      <c r="G926">
        <v>52</v>
      </c>
      <c r="H926" t="s">
        <v>3884</v>
      </c>
      <c r="I926" t="s">
        <v>464</v>
      </c>
    </row>
    <row r="927" spans="1:9" x14ac:dyDescent="0.3">
      <c r="A927">
        <v>79504</v>
      </c>
      <c r="B927">
        <v>116</v>
      </c>
      <c r="C927" s="453">
        <v>46113</v>
      </c>
      <c r="D927" t="s">
        <v>568</v>
      </c>
      <c r="E927">
        <v>25196</v>
      </c>
      <c r="F927" t="s">
        <v>3873</v>
      </c>
      <c r="G927">
        <v>47</v>
      </c>
      <c r="H927" t="s">
        <v>3872</v>
      </c>
      <c r="I927" t="s">
        <v>464</v>
      </c>
    </row>
    <row r="928" spans="1:9" x14ac:dyDescent="0.3">
      <c r="A928">
        <v>79505</v>
      </c>
      <c r="B928">
        <v>116</v>
      </c>
      <c r="C928" s="453">
        <v>46113</v>
      </c>
      <c r="D928" t="s">
        <v>568</v>
      </c>
      <c r="E928">
        <v>26193</v>
      </c>
      <c r="F928" t="s">
        <v>3950</v>
      </c>
      <c r="G928">
        <v>38</v>
      </c>
      <c r="H928" t="s">
        <v>3872</v>
      </c>
      <c r="I928" t="s">
        <v>464</v>
      </c>
    </row>
    <row r="929" spans="1:9" x14ac:dyDescent="0.3">
      <c r="A929">
        <v>79506</v>
      </c>
      <c r="B929">
        <v>116</v>
      </c>
      <c r="C929" s="453">
        <v>46113</v>
      </c>
      <c r="D929" t="s">
        <v>568</v>
      </c>
      <c r="E929">
        <v>27079</v>
      </c>
      <c r="F929" t="s">
        <v>3891</v>
      </c>
      <c r="G929">
        <v>37</v>
      </c>
      <c r="H929" t="s">
        <v>3892</v>
      </c>
      <c r="I929" t="s">
        <v>464</v>
      </c>
    </row>
    <row r="930" spans="1:9" x14ac:dyDescent="0.3">
      <c r="A930">
        <v>79507</v>
      </c>
      <c r="B930">
        <v>116</v>
      </c>
      <c r="C930" s="453">
        <v>46113</v>
      </c>
      <c r="D930" t="s">
        <v>568</v>
      </c>
      <c r="E930">
        <v>23096</v>
      </c>
      <c r="F930" t="s">
        <v>3876</v>
      </c>
      <c r="G930">
        <v>35</v>
      </c>
      <c r="H930" t="s">
        <v>3872</v>
      </c>
      <c r="I930" t="s">
        <v>464</v>
      </c>
    </row>
    <row r="931" spans="1:9" x14ac:dyDescent="0.3">
      <c r="A931">
        <v>79508</v>
      </c>
      <c r="B931">
        <v>116</v>
      </c>
      <c r="C931" s="453">
        <v>46113</v>
      </c>
      <c r="D931" t="s">
        <v>568</v>
      </c>
      <c r="E931">
        <v>25197</v>
      </c>
      <c r="F931" t="s">
        <v>4143</v>
      </c>
      <c r="G931">
        <v>34</v>
      </c>
      <c r="H931" t="s">
        <v>3872</v>
      </c>
      <c r="I931" t="s">
        <v>464</v>
      </c>
    </row>
    <row r="932" spans="1:9" x14ac:dyDescent="0.3">
      <c r="A932">
        <v>79509</v>
      </c>
      <c r="B932">
        <v>116</v>
      </c>
      <c r="C932" s="453">
        <v>46113</v>
      </c>
      <c r="D932" t="s">
        <v>568</v>
      </c>
      <c r="E932">
        <v>20703</v>
      </c>
      <c r="F932" t="s">
        <v>3893</v>
      </c>
      <c r="G932">
        <v>32</v>
      </c>
      <c r="H932" t="s">
        <v>3886</v>
      </c>
      <c r="I932" t="s">
        <v>464</v>
      </c>
    </row>
    <row r="933" spans="1:9" x14ac:dyDescent="0.3">
      <c r="A933">
        <v>79510</v>
      </c>
      <c r="B933">
        <v>116</v>
      </c>
      <c r="C933" s="453">
        <v>46113</v>
      </c>
      <c r="D933" t="s">
        <v>568</v>
      </c>
      <c r="E933">
        <v>21030</v>
      </c>
      <c r="F933" t="s">
        <v>3890</v>
      </c>
      <c r="G933">
        <v>28</v>
      </c>
      <c r="H933" t="s">
        <v>3872</v>
      </c>
      <c r="I933" t="s">
        <v>464</v>
      </c>
    </row>
    <row r="934" spans="1:9" x14ac:dyDescent="0.3">
      <c r="A934">
        <v>79511</v>
      </c>
      <c r="B934">
        <v>116</v>
      </c>
      <c r="C934" s="453">
        <v>46113</v>
      </c>
      <c r="D934" t="s">
        <v>568</v>
      </c>
      <c r="E934">
        <v>18832</v>
      </c>
      <c r="F934" t="s">
        <v>3900</v>
      </c>
      <c r="G934">
        <v>25</v>
      </c>
      <c r="H934" t="s">
        <v>3892</v>
      </c>
      <c r="I934" t="s">
        <v>464</v>
      </c>
    </row>
    <row r="935" spans="1:9" x14ac:dyDescent="0.3">
      <c r="A935">
        <v>79512</v>
      </c>
      <c r="B935">
        <v>116</v>
      </c>
      <c r="C935" s="453">
        <v>46113</v>
      </c>
      <c r="D935" t="s">
        <v>568</v>
      </c>
      <c r="E935">
        <v>25195</v>
      </c>
      <c r="F935" t="s">
        <v>3874</v>
      </c>
      <c r="G935">
        <v>23</v>
      </c>
      <c r="H935" t="s">
        <v>3872</v>
      </c>
      <c r="I935" t="s">
        <v>464</v>
      </c>
    </row>
    <row r="936" spans="1:9" x14ac:dyDescent="0.3">
      <c r="A936">
        <v>79513</v>
      </c>
      <c r="B936">
        <v>116</v>
      </c>
      <c r="C936" s="453">
        <v>46113</v>
      </c>
      <c r="D936" t="s">
        <v>568</v>
      </c>
      <c r="E936">
        <v>18247</v>
      </c>
      <c r="F936" t="s">
        <v>3877</v>
      </c>
      <c r="G936">
        <v>22</v>
      </c>
      <c r="H936" t="s">
        <v>3878</v>
      </c>
      <c r="I936" t="s">
        <v>464</v>
      </c>
    </row>
    <row r="937" spans="1:9" x14ac:dyDescent="0.3">
      <c r="A937">
        <v>79514</v>
      </c>
      <c r="B937">
        <v>116</v>
      </c>
      <c r="C937" s="453">
        <v>46113</v>
      </c>
      <c r="D937" t="s">
        <v>568</v>
      </c>
      <c r="E937">
        <v>24259</v>
      </c>
      <c r="F937" t="s">
        <v>3895</v>
      </c>
      <c r="G937">
        <v>21.8</v>
      </c>
      <c r="H937" t="s">
        <v>3892</v>
      </c>
      <c r="I937" t="s">
        <v>464</v>
      </c>
    </row>
    <row r="938" spans="1:9" x14ac:dyDescent="0.3">
      <c r="A938">
        <v>79515</v>
      </c>
      <c r="B938">
        <v>116</v>
      </c>
      <c r="C938" s="453">
        <v>46113</v>
      </c>
      <c r="D938" t="s">
        <v>568</v>
      </c>
      <c r="E938">
        <v>19428</v>
      </c>
      <c r="F938" t="s">
        <v>4169</v>
      </c>
      <c r="G938">
        <v>21</v>
      </c>
      <c r="H938" t="s">
        <v>3872</v>
      </c>
      <c r="I938" t="s">
        <v>464</v>
      </c>
    </row>
    <row r="939" spans="1:9" x14ac:dyDescent="0.3">
      <c r="A939">
        <v>79516</v>
      </c>
      <c r="B939">
        <v>116</v>
      </c>
      <c r="C939" s="453">
        <v>46113</v>
      </c>
      <c r="D939" t="s">
        <v>568</v>
      </c>
      <c r="E939">
        <v>21093</v>
      </c>
      <c r="F939" t="s">
        <v>3903</v>
      </c>
      <c r="G939">
        <v>21</v>
      </c>
      <c r="H939" t="s">
        <v>3892</v>
      </c>
      <c r="I939" t="s">
        <v>464</v>
      </c>
    </row>
    <row r="940" spans="1:9" x14ac:dyDescent="0.3">
      <c r="A940">
        <v>79517</v>
      </c>
      <c r="B940">
        <v>116</v>
      </c>
      <c r="C940" s="453">
        <v>46113</v>
      </c>
      <c r="D940" t="s">
        <v>568</v>
      </c>
      <c r="E940">
        <v>25167</v>
      </c>
      <c r="F940" t="s">
        <v>3951</v>
      </c>
      <c r="G940">
        <v>20</v>
      </c>
      <c r="H940" t="s">
        <v>3892</v>
      </c>
      <c r="I940" t="s">
        <v>464</v>
      </c>
    </row>
    <row r="941" spans="1:9" x14ac:dyDescent="0.3">
      <c r="A941">
        <v>79518</v>
      </c>
      <c r="B941">
        <v>116</v>
      </c>
      <c r="C941" s="453">
        <v>46113</v>
      </c>
      <c r="D941" t="s">
        <v>568</v>
      </c>
      <c r="E941">
        <v>17950</v>
      </c>
      <c r="F941" t="s">
        <v>4170</v>
      </c>
      <c r="G941">
        <v>18</v>
      </c>
      <c r="H941" t="s">
        <v>3888</v>
      </c>
      <c r="I941" t="s">
        <v>464</v>
      </c>
    </row>
    <row r="942" spans="1:9" x14ac:dyDescent="0.3">
      <c r="A942">
        <v>79519</v>
      </c>
      <c r="B942">
        <v>116</v>
      </c>
      <c r="C942" s="453">
        <v>46113</v>
      </c>
      <c r="D942" t="s">
        <v>568</v>
      </c>
      <c r="E942">
        <v>19539</v>
      </c>
      <c r="F942" t="s">
        <v>4133</v>
      </c>
      <c r="G942">
        <v>18</v>
      </c>
      <c r="H942" t="s">
        <v>3892</v>
      </c>
      <c r="I942" t="s">
        <v>464</v>
      </c>
    </row>
    <row r="943" spans="1:9" x14ac:dyDescent="0.3">
      <c r="A943">
        <v>79520</v>
      </c>
      <c r="B943">
        <v>116</v>
      </c>
      <c r="C943" s="453">
        <v>46113</v>
      </c>
      <c r="D943" t="s">
        <v>568</v>
      </c>
      <c r="E943">
        <v>24402</v>
      </c>
      <c r="F943" t="s">
        <v>3896</v>
      </c>
      <c r="G943">
        <v>17.45</v>
      </c>
      <c r="H943" t="s">
        <v>3892</v>
      </c>
      <c r="I943" t="s">
        <v>464</v>
      </c>
    </row>
    <row r="944" spans="1:9" x14ac:dyDescent="0.3">
      <c r="A944">
        <v>79521</v>
      </c>
      <c r="B944">
        <v>116</v>
      </c>
      <c r="C944" s="453">
        <v>46113</v>
      </c>
      <c r="D944" t="s">
        <v>568</v>
      </c>
      <c r="E944">
        <v>18636</v>
      </c>
      <c r="F944" t="s">
        <v>3921</v>
      </c>
      <c r="G944">
        <v>17</v>
      </c>
      <c r="H944" t="s">
        <v>3922</v>
      </c>
      <c r="I944" t="s">
        <v>464</v>
      </c>
    </row>
    <row r="945" spans="1:9" x14ac:dyDescent="0.3">
      <c r="A945">
        <v>79522</v>
      </c>
      <c r="B945">
        <v>116</v>
      </c>
      <c r="C945" s="453">
        <v>46113</v>
      </c>
      <c r="D945" t="s">
        <v>568</v>
      </c>
      <c r="E945">
        <v>19139</v>
      </c>
      <c r="F945" t="s">
        <v>3887</v>
      </c>
      <c r="G945">
        <v>17</v>
      </c>
      <c r="H945" t="s">
        <v>3888</v>
      </c>
      <c r="I945" t="s">
        <v>464</v>
      </c>
    </row>
    <row r="946" spans="1:9" x14ac:dyDescent="0.3">
      <c r="A946">
        <v>79523</v>
      </c>
      <c r="B946">
        <v>116</v>
      </c>
      <c r="C946" s="453">
        <v>46113</v>
      </c>
      <c r="D946" t="s">
        <v>568</v>
      </c>
      <c r="E946">
        <v>24320</v>
      </c>
      <c r="F946" t="s">
        <v>4160</v>
      </c>
      <c r="G946">
        <v>16.5</v>
      </c>
      <c r="H946" t="s">
        <v>3892</v>
      </c>
      <c r="I946" t="s">
        <v>464</v>
      </c>
    </row>
    <row r="947" spans="1:9" x14ac:dyDescent="0.3">
      <c r="A947">
        <v>79524</v>
      </c>
      <c r="B947">
        <v>116</v>
      </c>
      <c r="C947" s="453">
        <v>46113</v>
      </c>
      <c r="D947" t="s">
        <v>568</v>
      </c>
      <c r="E947">
        <v>17905</v>
      </c>
      <c r="F947" t="s">
        <v>4139</v>
      </c>
      <c r="G947">
        <v>16</v>
      </c>
      <c r="H947" t="s">
        <v>3888</v>
      </c>
      <c r="I947" t="s">
        <v>464</v>
      </c>
    </row>
    <row r="948" spans="1:9" x14ac:dyDescent="0.3">
      <c r="A948">
        <v>79525</v>
      </c>
      <c r="B948">
        <v>116</v>
      </c>
      <c r="C948" s="453">
        <v>46113</v>
      </c>
      <c r="D948" t="s">
        <v>568</v>
      </c>
      <c r="E948">
        <v>20539</v>
      </c>
      <c r="F948" t="s">
        <v>3908</v>
      </c>
      <c r="G948">
        <v>15.3</v>
      </c>
      <c r="H948" t="s">
        <v>3892</v>
      </c>
      <c r="I948" t="s">
        <v>464</v>
      </c>
    </row>
    <row r="949" spans="1:9" x14ac:dyDescent="0.3">
      <c r="A949">
        <v>79526</v>
      </c>
      <c r="B949">
        <v>116</v>
      </c>
      <c r="C949" s="453">
        <v>46113</v>
      </c>
      <c r="D949" t="s">
        <v>568</v>
      </c>
      <c r="E949">
        <v>20985</v>
      </c>
      <c r="F949" t="s">
        <v>3914</v>
      </c>
      <c r="G949">
        <v>15</v>
      </c>
      <c r="H949" t="s">
        <v>3872</v>
      </c>
      <c r="I949" t="s">
        <v>464</v>
      </c>
    </row>
    <row r="950" spans="1:9" x14ac:dyDescent="0.3">
      <c r="A950">
        <v>79527</v>
      </c>
      <c r="B950">
        <v>116</v>
      </c>
      <c r="C950" s="453">
        <v>46113</v>
      </c>
      <c r="D950" t="s">
        <v>568</v>
      </c>
      <c r="E950">
        <v>22734</v>
      </c>
      <c r="F950" t="s">
        <v>3955</v>
      </c>
      <c r="G950">
        <v>15</v>
      </c>
      <c r="H950" t="s">
        <v>3892</v>
      </c>
      <c r="I950" t="s">
        <v>464</v>
      </c>
    </row>
    <row r="951" spans="1:9" x14ac:dyDescent="0.3">
      <c r="A951">
        <v>79528</v>
      </c>
      <c r="B951">
        <v>116</v>
      </c>
      <c r="C951" s="453">
        <v>46113</v>
      </c>
      <c r="D951" t="s">
        <v>568</v>
      </c>
      <c r="E951">
        <v>19984</v>
      </c>
      <c r="F951" t="s">
        <v>3904</v>
      </c>
      <c r="G951">
        <v>14</v>
      </c>
      <c r="H951" t="s">
        <v>3872</v>
      </c>
      <c r="I951" t="s">
        <v>464</v>
      </c>
    </row>
    <row r="952" spans="1:9" x14ac:dyDescent="0.3">
      <c r="A952">
        <v>79529</v>
      </c>
      <c r="B952">
        <v>116</v>
      </c>
      <c r="C952" s="453">
        <v>46113</v>
      </c>
      <c r="D952" t="s">
        <v>568</v>
      </c>
      <c r="E952">
        <v>24083</v>
      </c>
      <c r="F952" t="s">
        <v>3898</v>
      </c>
      <c r="G952">
        <v>14</v>
      </c>
      <c r="H952" t="s">
        <v>3892</v>
      </c>
      <c r="I952" t="s">
        <v>464</v>
      </c>
    </row>
    <row r="953" spans="1:9" x14ac:dyDescent="0.3">
      <c r="A953">
        <v>79530</v>
      </c>
      <c r="B953">
        <v>116</v>
      </c>
      <c r="C953" s="453">
        <v>46113</v>
      </c>
      <c r="D953" t="s">
        <v>568</v>
      </c>
      <c r="E953">
        <v>25237</v>
      </c>
      <c r="F953" t="s">
        <v>4164</v>
      </c>
      <c r="G953">
        <v>14</v>
      </c>
      <c r="H953" t="s">
        <v>3872</v>
      </c>
      <c r="I953" t="s">
        <v>464</v>
      </c>
    </row>
    <row r="954" spans="1:9" x14ac:dyDescent="0.3">
      <c r="A954">
        <v>79531</v>
      </c>
      <c r="B954">
        <v>116</v>
      </c>
      <c r="C954" s="453">
        <v>46113</v>
      </c>
      <c r="D954" t="s">
        <v>568</v>
      </c>
      <c r="E954">
        <v>18684</v>
      </c>
      <c r="F954" t="s">
        <v>3925</v>
      </c>
      <c r="G954">
        <v>13.9</v>
      </c>
      <c r="H954" t="s">
        <v>3892</v>
      </c>
      <c r="I954" t="s">
        <v>464</v>
      </c>
    </row>
    <row r="955" spans="1:9" x14ac:dyDescent="0.3">
      <c r="A955">
        <v>79532</v>
      </c>
      <c r="B955">
        <v>116</v>
      </c>
      <c r="C955" s="453">
        <v>46113</v>
      </c>
      <c r="D955" t="s">
        <v>568</v>
      </c>
      <c r="E955">
        <v>17983</v>
      </c>
      <c r="F955" t="s">
        <v>4142</v>
      </c>
      <c r="G955">
        <v>13</v>
      </c>
      <c r="H955" t="s">
        <v>3888</v>
      </c>
      <c r="I955" t="s">
        <v>464</v>
      </c>
    </row>
    <row r="956" spans="1:9" x14ac:dyDescent="0.3">
      <c r="A956">
        <v>79533</v>
      </c>
      <c r="B956">
        <v>116</v>
      </c>
      <c r="C956" s="453">
        <v>46113</v>
      </c>
      <c r="D956" t="s">
        <v>568</v>
      </c>
      <c r="E956">
        <v>18475</v>
      </c>
      <c r="F956" t="s">
        <v>3918</v>
      </c>
      <c r="G956">
        <v>13</v>
      </c>
      <c r="H956" t="s">
        <v>3878</v>
      </c>
      <c r="I956" t="s">
        <v>464</v>
      </c>
    </row>
    <row r="957" spans="1:9" x14ac:dyDescent="0.3">
      <c r="A957">
        <v>79534</v>
      </c>
      <c r="B957">
        <v>116</v>
      </c>
      <c r="C957" s="453">
        <v>46113</v>
      </c>
      <c r="D957" t="s">
        <v>568</v>
      </c>
      <c r="E957">
        <v>20278</v>
      </c>
      <c r="F957" t="s">
        <v>3939</v>
      </c>
      <c r="G957">
        <v>13</v>
      </c>
      <c r="H957" t="s">
        <v>3872</v>
      </c>
      <c r="I957" t="s">
        <v>464</v>
      </c>
    </row>
    <row r="958" spans="1:9" x14ac:dyDescent="0.3">
      <c r="A958">
        <v>79535</v>
      </c>
      <c r="B958">
        <v>116</v>
      </c>
      <c r="C958" s="453">
        <v>46113</v>
      </c>
      <c r="D958" t="s">
        <v>568</v>
      </c>
      <c r="E958">
        <v>20661</v>
      </c>
      <c r="F958" t="s">
        <v>3919</v>
      </c>
      <c r="G958">
        <v>13</v>
      </c>
      <c r="H958" t="s">
        <v>3872</v>
      </c>
      <c r="I958" t="s">
        <v>464</v>
      </c>
    </row>
    <row r="959" spans="1:9" x14ac:dyDescent="0.3">
      <c r="A959">
        <v>79536</v>
      </c>
      <c r="B959">
        <v>116</v>
      </c>
      <c r="C959" s="453">
        <v>46113</v>
      </c>
      <c r="D959" t="s">
        <v>568</v>
      </c>
      <c r="E959">
        <v>20519</v>
      </c>
      <c r="F959" t="s">
        <v>3902</v>
      </c>
      <c r="G959">
        <v>12.75</v>
      </c>
      <c r="H959" t="s">
        <v>3892</v>
      </c>
      <c r="I959" t="s">
        <v>464</v>
      </c>
    </row>
    <row r="960" spans="1:9" x14ac:dyDescent="0.3">
      <c r="A960">
        <v>79537</v>
      </c>
      <c r="B960">
        <v>116</v>
      </c>
      <c r="C960" s="453">
        <v>46113</v>
      </c>
      <c r="D960" t="s">
        <v>568</v>
      </c>
      <c r="E960">
        <v>20246</v>
      </c>
      <c r="F960" t="s">
        <v>3911</v>
      </c>
      <c r="G960">
        <v>12</v>
      </c>
      <c r="H960" t="s">
        <v>3872</v>
      </c>
      <c r="I960" t="s">
        <v>464</v>
      </c>
    </row>
    <row r="961" spans="1:9" x14ac:dyDescent="0.3">
      <c r="A961">
        <v>79538</v>
      </c>
      <c r="B961">
        <v>116</v>
      </c>
      <c r="C961" s="453">
        <v>46113</v>
      </c>
      <c r="D961" t="s">
        <v>568</v>
      </c>
      <c r="E961">
        <v>23359</v>
      </c>
      <c r="F961" t="s">
        <v>3932</v>
      </c>
      <c r="G961">
        <v>12</v>
      </c>
      <c r="H961" t="s">
        <v>3892</v>
      </c>
      <c r="I961" t="s">
        <v>464</v>
      </c>
    </row>
    <row r="962" spans="1:9" x14ac:dyDescent="0.3">
      <c r="A962">
        <v>79539</v>
      </c>
      <c r="B962">
        <v>116</v>
      </c>
      <c r="C962" s="453">
        <v>46113</v>
      </c>
      <c r="D962" t="s">
        <v>568</v>
      </c>
      <c r="E962">
        <v>24517</v>
      </c>
      <c r="F962" t="s">
        <v>3991</v>
      </c>
      <c r="G962">
        <v>12</v>
      </c>
      <c r="H962" t="s">
        <v>3892</v>
      </c>
      <c r="I962" t="s">
        <v>464</v>
      </c>
    </row>
    <row r="963" spans="1:9" x14ac:dyDescent="0.3">
      <c r="A963">
        <v>79540</v>
      </c>
      <c r="B963">
        <v>116</v>
      </c>
      <c r="C963" s="453">
        <v>46113</v>
      </c>
      <c r="D963" t="s">
        <v>568</v>
      </c>
      <c r="E963">
        <v>19297</v>
      </c>
      <c r="F963" t="s">
        <v>3949</v>
      </c>
      <c r="G963">
        <v>11.4</v>
      </c>
      <c r="H963" t="s">
        <v>3892</v>
      </c>
      <c r="I963" t="s">
        <v>464</v>
      </c>
    </row>
    <row r="964" spans="1:9" x14ac:dyDescent="0.3">
      <c r="A964">
        <v>79541</v>
      </c>
      <c r="B964">
        <v>116</v>
      </c>
      <c r="C964" s="453">
        <v>46113</v>
      </c>
      <c r="D964" t="s">
        <v>568</v>
      </c>
      <c r="E964">
        <v>24509</v>
      </c>
      <c r="F964" t="s">
        <v>3906</v>
      </c>
      <c r="G964">
        <v>11.4</v>
      </c>
      <c r="H964" t="s">
        <v>3892</v>
      </c>
      <c r="I964" t="s">
        <v>464</v>
      </c>
    </row>
    <row r="965" spans="1:9" x14ac:dyDescent="0.3">
      <c r="A965">
        <v>79542</v>
      </c>
      <c r="B965">
        <v>116</v>
      </c>
      <c r="C965" s="453">
        <v>46113</v>
      </c>
      <c r="D965" t="s">
        <v>568</v>
      </c>
      <c r="E965">
        <v>22857</v>
      </c>
      <c r="F965" t="s">
        <v>4130</v>
      </c>
      <c r="G965">
        <v>11.2</v>
      </c>
      <c r="H965" t="s">
        <v>3892</v>
      </c>
      <c r="I965" t="s">
        <v>464</v>
      </c>
    </row>
    <row r="966" spans="1:9" x14ac:dyDescent="0.3">
      <c r="A966">
        <v>79543</v>
      </c>
      <c r="B966">
        <v>116</v>
      </c>
      <c r="C966" s="453">
        <v>46113</v>
      </c>
      <c r="D966" t="s">
        <v>568</v>
      </c>
      <c r="E966">
        <v>19906</v>
      </c>
      <c r="F966" t="s">
        <v>4171</v>
      </c>
      <c r="G966">
        <v>1.1000000000000001</v>
      </c>
      <c r="H966" t="s">
        <v>3888</v>
      </c>
      <c r="I966" t="s">
        <v>464</v>
      </c>
    </row>
    <row r="967" spans="1:9" x14ac:dyDescent="0.3">
      <c r="A967">
        <v>79544</v>
      </c>
      <c r="B967">
        <v>116</v>
      </c>
      <c r="C967" s="453">
        <v>46113</v>
      </c>
      <c r="D967" t="s">
        <v>568</v>
      </c>
      <c r="E967">
        <v>27313</v>
      </c>
      <c r="F967" t="s">
        <v>4131</v>
      </c>
      <c r="G967">
        <v>11</v>
      </c>
      <c r="H967" t="s">
        <v>3892</v>
      </c>
      <c r="I967" t="s">
        <v>464</v>
      </c>
    </row>
    <row r="968" spans="1:9" x14ac:dyDescent="0.3">
      <c r="A968">
        <v>79545</v>
      </c>
      <c r="B968">
        <v>116</v>
      </c>
      <c r="C968" s="453">
        <v>46113</v>
      </c>
      <c r="D968" t="s">
        <v>568</v>
      </c>
      <c r="E968">
        <v>23760</v>
      </c>
      <c r="F968" t="s">
        <v>4007</v>
      </c>
      <c r="G968">
        <v>10.9</v>
      </c>
      <c r="H968" t="s">
        <v>3892</v>
      </c>
      <c r="I968" t="s">
        <v>464</v>
      </c>
    </row>
    <row r="969" spans="1:9" x14ac:dyDescent="0.3">
      <c r="A969">
        <v>79546</v>
      </c>
      <c r="B969">
        <v>116</v>
      </c>
      <c r="C969" s="453">
        <v>46113</v>
      </c>
      <c r="D969" t="s">
        <v>568</v>
      </c>
      <c r="E969">
        <v>18172</v>
      </c>
      <c r="F969" t="s">
        <v>3923</v>
      </c>
      <c r="G969">
        <v>10.7</v>
      </c>
      <c r="H969" t="s">
        <v>3878</v>
      </c>
      <c r="I969" t="s">
        <v>464</v>
      </c>
    </row>
    <row r="970" spans="1:9" x14ac:dyDescent="0.3">
      <c r="A970">
        <v>79547</v>
      </c>
      <c r="B970">
        <v>116</v>
      </c>
      <c r="C970" s="453">
        <v>46113</v>
      </c>
      <c r="D970" t="s">
        <v>568</v>
      </c>
      <c r="E970">
        <v>18682</v>
      </c>
      <c r="F970" t="s">
        <v>4025</v>
      </c>
      <c r="G970">
        <v>10.6</v>
      </c>
      <c r="H970" t="s">
        <v>3892</v>
      </c>
      <c r="I970" t="s">
        <v>464</v>
      </c>
    </row>
    <row r="971" spans="1:9" x14ac:dyDescent="0.3">
      <c r="A971">
        <v>79548</v>
      </c>
      <c r="B971">
        <v>116</v>
      </c>
      <c r="C971" s="453">
        <v>46113</v>
      </c>
      <c r="D971" t="s">
        <v>568</v>
      </c>
      <c r="E971">
        <v>19415</v>
      </c>
      <c r="F971" t="s">
        <v>3941</v>
      </c>
      <c r="G971">
        <v>10</v>
      </c>
      <c r="H971" t="s">
        <v>3872</v>
      </c>
      <c r="I971" t="s">
        <v>464</v>
      </c>
    </row>
    <row r="972" spans="1:9" x14ac:dyDescent="0.3">
      <c r="A972">
        <v>79549</v>
      </c>
      <c r="B972">
        <v>116</v>
      </c>
      <c r="C972" s="453">
        <v>46113</v>
      </c>
      <c r="D972" t="s">
        <v>568</v>
      </c>
      <c r="E972">
        <v>24331</v>
      </c>
      <c r="F972" t="s">
        <v>3960</v>
      </c>
      <c r="G972">
        <v>10</v>
      </c>
      <c r="H972" t="s">
        <v>3892</v>
      </c>
      <c r="I972" t="s">
        <v>464</v>
      </c>
    </row>
    <row r="973" spans="1:9" x14ac:dyDescent="0.3">
      <c r="A973">
        <v>79550</v>
      </c>
      <c r="B973">
        <v>116</v>
      </c>
      <c r="C973" s="453">
        <v>46113</v>
      </c>
      <c r="D973" t="s">
        <v>568</v>
      </c>
      <c r="E973">
        <v>19324</v>
      </c>
      <c r="F973" t="s">
        <v>3937</v>
      </c>
      <c r="G973">
        <v>9.8000000000000007</v>
      </c>
      <c r="H973" t="s">
        <v>3892</v>
      </c>
      <c r="I973" t="s">
        <v>464</v>
      </c>
    </row>
    <row r="974" spans="1:9" x14ac:dyDescent="0.3">
      <c r="A974">
        <v>79551</v>
      </c>
      <c r="B974">
        <v>116</v>
      </c>
      <c r="C974" s="453">
        <v>46113</v>
      </c>
      <c r="D974" t="s">
        <v>568</v>
      </c>
      <c r="E974">
        <v>20301</v>
      </c>
      <c r="F974" t="s">
        <v>4161</v>
      </c>
      <c r="G974">
        <v>9.5</v>
      </c>
      <c r="H974" t="s">
        <v>3888</v>
      </c>
      <c r="I974" t="s">
        <v>464</v>
      </c>
    </row>
    <row r="975" spans="1:9" x14ac:dyDescent="0.3">
      <c r="A975">
        <v>79552</v>
      </c>
      <c r="B975">
        <v>116</v>
      </c>
      <c r="C975" s="453">
        <v>46113</v>
      </c>
      <c r="D975" t="s">
        <v>568</v>
      </c>
      <c r="E975">
        <v>24351</v>
      </c>
      <c r="F975" t="s">
        <v>3912</v>
      </c>
      <c r="G975">
        <v>9</v>
      </c>
      <c r="H975" t="s">
        <v>3872</v>
      </c>
      <c r="I975" t="s">
        <v>464</v>
      </c>
    </row>
    <row r="976" spans="1:9" x14ac:dyDescent="0.3">
      <c r="A976">
        <v>79553</v>
      </c>
      <c r="B976">
        <v>116</v>
      </c>
      <c r="C976" s="453">
        <v>46113</v>
      </c>
      <c r="D976" t="s">
        <v>568</v>
      </c>
      <c r="E976">
        <v>25720</v>
      </c>
      <c r="F976" t="s">
        <v>3926</v>
      </c>
      <c r="G976">
        <v>9</v>
      </c>
      <c r="H976" t="s">
        <v>3892</v>
      </c>
      <c r="I976" t="s">
        <v>464</v>
      </c>
    </row>
    <row r="977" spans="1:9" x14ac:dyDescent="0.3">
      <c r="A977">
        <v>79554</v>
      </c>
      <c r="B977">
        <v>116</v>
      </c>
      <c r="C977" s="453">
        <v>46113</v>
      </c>
      <c r="D977" t="s">
        <v>568</v>
      </c>
      <c r="E977">
        <v>20227</v>
      </c>
      <c r="F977" t="s">
        <v>3968</v>
      </c>
      <c r="G977">
        <v>8</v>
      </c>
      <c r="H977" t="s">
        <v>3888</v>
      </c>
      <c r="I977" t="s">
        <v>464</v>
      </c>
    </row>
    <row r="978" spans="1:9" x14ac:dyDescent="0.3">
      <c r="A978">
        <v>79555</v>
      </c>
      <c r="B978">
        <v>116</v>
      </c>
      <c r="C978" s="453">
        <v>46113</v>
      </c>
      <c r="D978" t="s">
        <v>568</v>
      </c>
      <c r="E978">
        <v>20685</v>
      </c>
      <c r="F978" t="s">
        <v>4122</v>
      </c>
      <c r="G978">
        <v>8</v>
      </c>
      <c r="H978" t="s">
        <v>3872</v>
      </c>
      <c r="I978" t="s">
        <v>464</v>
      </c>
    </row>
    <row r="979" spans="1:9" x14ac:dyDescent="0.3">
      <c r="A979">
        <v>79556</v>
      </c>
      <c r="B979">
        <v>116</v>
      </c>
      <c r="C979" s="453">
        <v>46113</v>
      </c>
      <c r="D979" t="s">
        <v>568</v>
      </c>
      <c r="E979">
        <v>20949</v>
      </c>
      <c r="F979" t="s">
        <v>3983</v>
      </c>
      <c r="G979">
        <v>8</v>
      </c>
      <c r="H979" t="s">
        <v>3878</v>
      </c>
      <c r="I979" t="s">
        <v>464</v>
      </c>
    </row>
    <row r="980" spans="1:9" x14ac:dyDescent="0.3">
      <c r="A980">
        <v>79557</v>
      </c>
      <c r="B980">
        <v>116</v>
      </c>
      <c r="C980" s="453">
        <v>46113</v>
      </c>
      <c r="D980" t="s">
        <v>568</v>
      </c>
      <c r="E980">
        <v>18493</v>
      </c>
      <c r="F980" t="s">
        <v>3958</v>
      </c>
      <c r="G980">
        <v>7.5</v>
      </c>
      <c r="H980" t="s">
        <v>3878</v>
      </c>
      <c r="I980" t="s">
        <v>464</v>
      </c>
    </row>
    <row r="981" spans="1:9" x14ac:dyDescent="0.3">
      <c r="A981">
        <v>79558</v>
      </c>
      <c r="B981">
        <v>116</v>
      </c>
      <c r="C981" s="453">
        <v>46113</v>
      </c>
      <c r="D981" t="s">
        <v>568</v>
      </c>
      <c r="E981">
        <v>19017</v>
      </c>
      <c r="F981" t="s">
        <v>4172</v>
      </c>
      <c r="G981">
        <v>7.5</v>
      </c>
      <c r="H981" t="s">
        <v>3892</v>
      </c>
      <c r="I981" t="s">
        <v>464</v>
      </c>
    </row>
    <row r="982" spans="1:9" x14ac:dyDescent="0.3">
      <c r="A982">
        <v>79559</v>
      </c>
      <c r="B982">
        <v>116</v>
      </c>
      <c r="C982" s="453">
        <v>46113</v>
      </c>
      <c r="D982" t="s">
        <v>568</v>
      </c>
      <c r="E982">
        <v>19740</v>
      </c>
      <c r="F982" t="s">
        <v>3933</v>
      </c>
      <c r="G982">
        <v>7</v>
      </c>
      <c r="H982" t="s">
        <v>3892</v>
      </c>
      <c r="I982" t="s">
        <v>464</v>
      </c>
    </row>
    <row r="983" spans="1:9" x14ac:dyDescent="0.3">
      <c r="A983">
        <v>79560</v>
      </c>
      <c r="B983">
        <v>116</v>
      </c>
      <c r="C983" s="453">
        <v>46113</v>
      </c>
      <c r="D983" t="s">
        <v>568</v>
      </c>
      <c r="E983">
        <v>18685</v>
      </c>
      <c r="F983" t="s">
        <v>3945</v>
      </c>
      <c r="G983">
        <v>6.8</v>
      </c>
      <c r="H983" t="s">
        <v>3892</v>
      </c>
      <c r="I983" t="s">
        <v>464</v>
      </c>
    </row>
    <row r="984" spans="1:9" x14ac:dyDescent="0.3">
      <c r="A984">
        <v>79561</v>
      </c>
      <c r="B984">
        <v>116</v>
      </c>
      <c r="C984" s="453">
        <v>46113</v>
      </c>
      <c r="D984" t="s">
        <v>568</v>
      </c>
      <c r="E984">
        <v>19287</v>
      </c>
      <c r="F984" t="s">
        <v>3974</v>
      </c>
      <c r="G984">
        <v>6.4</v>
      </c>
      <c r="H984" t="s">
        <v>3892</v>
      </c>
      <c r="I984" t="s">
        <v>464</v>
      </c>
    </row>
    <row r="985" spans="1:9" x14ac:dyDescent="0.3">
      <c r="A985">
        <v>79562</v>
      </c>
      <c r="B985">
        <v>116</v>
      </c>
      <c r="C985" s="453">
        <v>46113</v>
      </c>
      <c r="D985" t="s">
        <v>568</v>
      </c>
      <c r="E985">
        <v>19787</v>
      </c>
      <c r="F985" t="s">
        <v>3940</v>
      </c>
      <c r="G985">
        <v>6</v>
      </c>
      <c r="H985" t="s">
        <v>3892</v>
      </c>
      <c r="I985" t="s">
        <v>464</v>
      </c>
    </row>
    <row r="986" spans="1:9" x14ac:dyDescent="0.3">
      <c r="A986">
        <v>79563</v>
      </c>
      <c r="B986">
        <v>116</v>
      </c>
      <c r="C986" s="453">
        <v>46113</v>
      </c>
      <c r="D986" t="s">
        <v>568</v>
      </c>
      <c r="E986">
        <v>20231</v>
      </c>
      <c r="F986" t="s">
        <v>4123</v>
      </c>
      <c r="G986">
        <v>6</v>
      </c>
      <c r="H986" t="s">
        <v>3888</v>
      </c>
      <c r="I986" t="s">
        <v>464</v>
      </c>
    </row>
    <row r="987" spans="1:9" x14ac:dyDescent="0.3">
      <c r="A987">
        <v>79564</v>
      </c>
      <c r="B987">
        <v>116</v>
      </c>
      <c r="C987" s="453">
        <v>46113</v>
      </c>
      <c r="D987" t="s">
        <v>568</v>
      </c>
      <c r="E987">
        <v>20234</v>
      </c>
      <c r="F987" t="s">
        <v>3979</v>
      </c>
      <c r="G987">
        <v>6</v>
      </c>
      <c r="H987" t="s">
        <v>3892</v>
      </c>
      <c r="I987" t="s">
        <v>464</v>
      </c>
    </row>
    <row r="988" spans="1:9" x14ac:dyDescent="0.3">
      <c r="A988">
        <v>79565</v>
      </c>
      <c r="B988">
        <v>116</v>
      </c>
      <c r="C988" s="453">
        <v>46113</v>
      </c>
      <c r="D988" t="s">
        <v>568</v>
      </c>
      <c r="E988">
        <v>21944</v>
      </c>
      <c r="F988" t="s">
        <v>3936</v>
      </c>
      <c r="G988">
        <v>6</v>
      </c>
      <c r="H988" t="s">
        <v>3878</v>
      </c>
      <c r="I988" t="s">
        <v>464</v>
      </c>
    </row>
    <row r="989" spans="1:9" x14ac:dyDescent="0.3">
      <c r="A989">
        <v>79566</v>
      </c>
      <c r="B989">
        <v>116</v>
      </c>
      <c r="C989" s="453">
        <v>46113</v>
      </c>
      <c r="D989" t="s">
        <v>568</v>
      </c>
      <c r="E989">
        <v>24002</v>
      </c>
      <c r="F989" t="s">
        <v>3924</v>
      </c>
      <c r="G989">
        <v>6</v>
      </c>
      <c r="H989" t="s">
        <v>3872</v>
      </c>
      <c r="I989" t="s">
        <v>464</v>
      </c>
    </row>
    <row r="990" spans="1:9" x14ac:dyDescent="0.3">
      <c r="A990">
        <v>79567</v>
      </c>
      <c r="B990">
        <v>116</v>
      </c>
      <c r="C990" s="453">
        <v>46113</v>
      </c>
      <c r="D990" t="s">
        <v>568</v>
      </c>
      <c r="E990">
        <v>19346</v>
      </c>
      <c r="F990" t="s">
        <v>3948</v>
      </c>
      <c r="G990">
        <v>5.7</v>
      </c>
      <c r="H990" t="s">
        <v>3892</v>
      </c>
      <c r="I990" t="s">
        <v>464</v>
      </c>
    </row>
    <row r="991" spans="1:9" x14ac:dyDescent="0.3">
      <c r="A991">
        <v>79568</v>
      </c>
      <c r="B991">
        <v>116</v>
      </c>
      <c r="C991" s="453">
        <v>46113</v>
      </c>
      <c r="D991" t="s">
        <v>568</v>
      </c>
      <c r="E991">
        <v>18764</v>
      </c>
      <c r="F991" t="s">
        <v>3907</v>
      </c>
      <c r="G991">
        <v>5.3</v>
      </c>
      <c r="H991" t="s">
        <v>3892</v>
      </c>
      <c r="I991" t="s">
        <v>464</v>
      </c>
    </row>
    <row r="992" spans="1:9" x14ac:dyDescent="0.3">
      <c r="A992">
        <v>79569</v>
      </c>
      <c r="B992">
        <v>116</v>
      </c>
      <c r="C992" s="453">
        <v>46113</v>
      </c>
      <c r="D992" t="s">
        <v>568</v>
      </c>
      <c r="E992">
        <v>18702</v>
      </c>
      <c r="F992" t="s">
        <v>4043</v>
      </c>
      <c r="G992">
        <v>5.0999999999999996</v>
      </c>
      <c r="H992" t="s">
        <v>3892</v>
      </c>
      <c r="I992" t="s">
        <v>464</v>
      </c>
    </row>
    <row r="993" spans="1:9" x14ac:dyDescent="0.3">
      <c r="A993">
        <v>79570</v>
      </c>
      <c r="B993">
        <v>116</v>
      </c>
      <c r="C993" s="453">
        <v>46113</v>
      </c>
      <c r="D993" t="s">
        <v>568</v>
      </c>
      <c r="E993">
        <v>19034</v>
      </c>
      <c r="F993" t="s">
        <v>3989</v>
      </c>
      <c r="G993">
        <v>5.0999999999999996</v>
      </c>
      <c r="H993" t="s">
        <v>3892</v>
      </c>
      <c r="I993" t="s">
        <v>464</v>
      </c>
    </row>
    <row r="994" spans="1:9" x14ac:dyDescent="0.3">
      <c r="A994">
        <v>79571</v>
      </c>
      <c r="B994">
        <v>116</v>
      </c>
      <c r="C994" s="453">
        <v>46113</v>
      </c>
      <c r="D994" t="s">
        <v>568</v>
      </c>
      <c r="E994">
        <v>20555</v>
      </c>
      <c r="F994" t="s">
        <v>3959</v>
      </c>
      <c r="G994">
        <v>5.0999999999999996</v>
      </c>
      <c r="H994" t="s">
        <v>3892</v>
      </c>
      <c r="I994" t="s">
        <v>464</v>
      </c>
    </row>
    <row r="995" spans="1:9" x14ac:dyDescent="0.3">
      <c r="A995">
        <v>79572</v>
      </c>
      <c r="B995">
        <v>116</v>
      </c>
      <c r="C995" s="453">
        <v>46113</v>
      </c>
      <c r="D995" t="s">
        <v>568</v>
      </c>
      <c r="E995">
        <v>17710</v>
      </c>
      <c r="F995" t="s">
        <v>3905</v>
      </c>
      <c r="G995">
        <v>5</v>
      </c>
      <c r="H995" t="s">
        <v>3878</v>
      </c>
      <c r="I995" t="s">
        <v>464</v>
      </c>
    </row>
    <row r="996" spans="1:9" x14ac:dyDescent="0.3">
      <c r="A996">
        <v>79573</v>
      </c>
      <c r="B996">
        <v>116</v>
      </c>
      <c r="C996" s="453">
        <v>46113</v>
      </c>
      <c r="D996" t="s">
        <v>568</v>
      </c>
      <c r="E996">
        <v>17903</v>
      </c>
      <c r="F996" t="s">
        <v>3971</v>
      </c>
      <c r="G996">
        <v>5</v>
      </c>
      <c r="H996" t="s">
        <v>3888</v>
      </c>
      <c r="I996" t="s">
        <v>464</v>
      </c>
    </row>
    <row r="997" spans="1:9" x14ac:dyDescent="0.3">
      <c r="A997">
        <v>79574</v>
      </c>
      <c r="B997">
        <v>116</v>
      </c>
      <c r="C997" s="453">
        <v>46113</v>
      </c>
      <c r="D997" t="s">
        <v>568</v>
      </c>
      <c r="E997">
        <v>18447</v>
      </c>
      <c r="F997" t="s">
        <v>4027</v>
      </c>
      <c r="G997">
        <v>5</v>
      </c>
      <c r="H997" t="s">
        <v>3878</v>
      </c>
      <c r="I997" t="s">
        <v>464</v>
      </c>
    </row>
    <row r="998" spans="1:9" x14ac:dyDescent="0.3">
      <c r="A998">
        <v>79575</v>
      </c>
      <c r="B998">
        <v>116</v>
      </c>
      <c r="C998" s="453">
        <v>46113</v>
      </c>
      <c r="D998" t="s">
        <v>568</v>
      </c>
      <c r="E998">
        <v>20500</v>
      </c>
      <c r="F998" t="s">
        <v>3954</v>
      </c>
      <c r="G998">
        <v>5</v>
      </c>
      <c r="H998" t="s">
        <v>3872</v>
      </c>
      <c r="I998" t="s">
        <v>464</v>
      </c>
    </row>
    <row r="999" spans="1:9" x14ac:dyDescent="0.3">
      <c r="A999">
        <v>79576</v>
      </c>
      <c r="B999">
        <v>116</v>
      </c>
      <c r="C999" s="453">
        <v>46113</v>
      </c>
      <c r="D999" t="s">
        <v>568</v>
      </c>
      <c r="E999">
        <v>23389</v>
      </c>
      <c r="F999" t="s">
        <v>4016</v>
      </c>
      <c r="G999">
        <v>5</v>
      </c>
      <c r="H999" t="s">
        <v>3892</v>
      </c>
      <c r="I999" t="s">
        <v>464</v>
      </c>
    </row>
    <row r="1000" spans="1:9" x14ac:dyDescent="0.3">
      <c r="A1000">
        <v>79577</v>
      </c>
      <c r="B1000">
        <v>116</v>
      </c>
      <c r="C1000" s="453">
        <v>46113</v>
      </c>
      <c r="D1000" t="s">
        <v>568</v>
      </c>
      <c r="E1000">
        <v>25768</v>
      </c>
      <c r="F1000" t="s">
        <v>4012</v>
      </c>
      <c r="G1000">
        <v>5</v>
      </c>
      <c r="H1000" t="s">
        <v>3892</v>
      </c>
      <c r="I1000" t="s">
        <v>464</v>
      </c>
    </row>
    <row r="1001" spans="1:9" x14ac:dyDescent="0.3">
      <c r="A1001">
        <v>79578</v>
      </c>
      <c r="B1001">
        <v>116</v>
      </c>
      <c r="C1001" s="453">
        <v>46113</v>
      </c>
      <c r="D1001" t="s">
        <v>568</v>
      </c>
      <c r="E1001">
        <v>27475</v>
      </c>
      <c r="F1001" t="s">
        <v>4162</v>
      </c>
      <c r="G1001">
        <v>5</v>
      </c>
      <c r="H1001" t="s">
        <v>3872</v>
      </c>
      <c r="I1001" t="s">
        <v>464</v>
      </c>
    </row>
    <row r="1002" spans="1:9" x14ac:dyDescent="0.3">
      <c r="A1002">
        <v>79579</v>
      </c>
      <c r="B1002">
        <v>116</v>
      </c>
      <c r="C1002" s="453">
        <v>46113</v>
      </c>
      <c r="D1002" t="s">
        <v>568</v>
      </c>
      <c r="E1002">
        <v>27711</v>
      </c>
      <c r="F1002" t="s">
        <v>3913</v>
      </c>
      <c r="G1002">
        <v>5</v>
      </c>
      <c r="H1002" t="s">
        <v>3872</v>
      </c>
      <c r="I1002" t="s">
        <v>464</v>
      </c>
    </row>
    <row r="1003" spans="1:9" x14ac:dyDescent="0.3">
      <c r="A1003">
        <v>79580</v>
      </c>
      <c r="B1003">
        <v>116</v>
      </c>
      <c r="C1003" s="453">
        <v>46113</v>
      </c>
      <c r="D1003" t="s">
        <v>568</v>
      </c>
      <c r="E1003">
        <v>18666</v>
      </c>
      <c r="F1003" t="s">
        <v>4003</v>
      </c>
      <c r="G1003">
        <v>4.5999999999999996</v>
      </c>
      <c r="H1003" t="s">
        <v>3892</v>
      </c>
      <c r="I1003" t="s">
        <v>464</v>
      </c>
    </row>
    <row r="1004" spans="1:9" x14ac:dyDescent="0.3">
      <c r="A1004">
        <v>79581</v>
      </c>
      <c r="B1004">
        <v>116</v>
      </c>
      <c r="C1004" s="453">
        <v>46113</v>
      </c>
      <c r="D1004" t="s">
        <v>568</v>
      </c>
      <c r="E1004">
        <v>18467</v>
      </c>
      <c r="F1004" t="s">
        <v>4028</v>
      </c>
      <c r="G1004">
        <v>4.5</v>
      </c>
      <c r="H1004" t="s">
        <v>3878</v>
      </c>
      <c r="I1004" t="s">
        <v>464</v>
      </c>
    </row>
    <row r="1005" spans="1:9" x14ac:dyDescent="0.3">
      <c r="A1005">
        <v>79582</v>
      </c>
      <c r="B1005">
        <v>116</v>
      </c>
      <c r="C1005" s="453">
        <v>46113</v>
      </c>
      <c r="D1005" t="s">
        <v>568</v>
      </c>
      <c r="E1005">
        <v>20458</v>
      </c>
      <c r="F1005" t="s">
        <v>4121</v>
      </c>
      <c r="G1005">
        <v>4.5</v>
      </c>
      <c r="H1005" t="s">
        <v>3892</v>
      </c>
      <c r="I1005" t="s">
        <v>464</v>
      </c>
    </row>
    <row r="1006" spans="1:9" x14ac:dyDescent="0.3">
      <c r="A1006">
        <v>79583</v>
      </c>
      <c r="B1006">
        <v>116</v>
      </c>
      <c r="C1006" s="453">
        <v>46113</v>
      </c>
      <c r="D1006" t="s">
        <v>568</v>
      </c>
      <c r="E1006">
        <v>20729</v>
      </c>
      <c r="F1006" t="s">
        <v>3965</v>
      </c>
      <c r="G1006">
        <v>4.5</v>
      </c>
      <c r="H1006" t="s">
        <v>3966</v>
      </c>
      <c r="I1006" t="s">
        <v>464</v>
      </c>
    </row>
    <row r="1007" spans="1:9" x14ac:dyDescent="0.3">
      <c r="A1007">
        <v>79584</v>
      </c>
      <c r="B1007">
        <v>116</v>
      </c>
      <c r="C1007" s="453">
        <v>46113</v>
      </c>
      <c r="D1007" t="s">
        <v>568</v>
      </c>
      <c r="E1007">
        <v>17093</v>
      </c>
      <c r="F1007" t="s">
        <v>3993</v>
      </c>
      <c r="G1007">
        <v>4</v>
      </c>
      <c r="H1007" t="s">
        <v>3888</v>
      </c>
      <c r="I1007" t="s">
        <v>464</v>
      </c>
    </row>
    <row r="1008" spans="1:9" x14ac:dyDescent="0.3">
      <c r="A1008">
        <v>79585</v>
      </c>
      <c r="B1008">
        <v>116</v>
      </c>
      <c r="C1008" s="453">
        <v>46113</v>
      </c>
      <c r="D1008" t="s">
        <v>568</v>
      </c>
      <c r="E1008">
        <v>17895</v>
      </c>
      <c r="F1008" t="s">
        <v>4137</v>
      </c>
      <c r="G1008">
        <v>4</v>
      </c>
      <c r="H1008" t="s">
        <v>3888</v>
      </c>
      <c r="I1008" t="s">
        <v>464</v>
      </c>
    </row>
    <row r="1009" spans="1:9" x14ac:dyDescent="0.3">
      <c r="A1009">
        <v>79586</v>
      </c>
      <c r="B1009">
        <v>116</v>
      </c>
      <c r="C1009" s="453">
        <v>46113</v>
      </c>
      <c r="D1009" t="s">
        <v>568</v>
      </c>
      <c r="E1009">
        <v>18200</v>
      </c>
      <c r="F1009" t="s">
        <v>4032</v>
      </c>
      <c r="G1009">
        <v>4</v>
      </c>
      <c r="H1009" t="s">
        <v>3878</v>
      </c>
      <c r="I1009" t="s">
        <v>464</v>
      </c>
    </row>
    <row r="1010" spans="1:9" x14ac:dyDescent="0.3">
      <c r="A1010">
        <v>79587</v>
      </c>
      <c r="B1010">
        <v>116</v>
      </c>
      <c r="C1010" s="453">
        <v>46113</v>
      </c>
      <c r="D1010" t="s">
        <v>568</v>
      </c>
      <c r="E1010">
        <v>18295</v>
      </c>
      <c r="F1010" t="s">
        <v>4030</v>
      </c>
      <c r="G1010">
        <v>4</v>
      </c>
      <c r="H1010" t="s">
        <v>3878</v>
      </c>
      <c r="I1010" t="s">
        <v>464</v>
      </c>
    </row>
    <row r="1011" spans="1:9" x14ac:dyDescent="0.3">
      <c r="A1011">
        <v>79588</v>
      </c>
      <c r="B1011">
        <v>116</v>
      </c>
      <c r="C1011" s="453">
        <v>46113</v>
      </c>
      <c r="D1011" t="s">
        <v>568</v>
      </c>
      <c r="E1011">
        <v>18640</v>
      </c>
      <c r="F1011" t="s">
        <v>3994</v>
      </c>
      <c r="G1011">
        <v>4</v>
      </c>
      <c r="H1011" t="s">
        <v>3922</v>
      </c>
      <c r="I1011" t="s">
        <v>464</v>
      </c>
    </row>
    <row r="1012" spans="1:9" x14ac:dyDescent="0.3">
      <c r="A1012">
        <v>79589</v>
      </c>
      <c r="B1012">
        <v>116</v>
      </c>
      <c r="C1012" s="453">
        <v>46113</v>
      </c>
      <c r="D1012" t="s">
        <v>568</v>
      </c>
      <c r="E1012">
        <v>19576</v>
      </c>
      <c r="F1012" t="s">
        <v>4021</v>
      </c>
      <c r="G1012">
        <v>4</v>
      </c>
      <c r="H1012" t="s">
        <v>3892</v>
      </c>
      <c r="I1012" t="s">
        <v>464</v>
      </c>
    </row>
    <row r="1013" spans="1:9" x14ac:dyDescent="0.3">
      <c r="A1013">
        <v>79590</v>
      </c>
      <c r="B1013">
        <v>116</v>
      </c>
      <c r="C1013" s="453">
        <v>46113</v>
      </c>
      <c r="D1013" t="s">
        <v>568</v>
      </c>
      <c r="E1013">
        <v>20007</v>
      </c>
      <c r="F1013" t="s">
        <v>4009</v>
      </c>
      <c r="G1013">
        <v>4</v>
      </c>
      <c r="H1013" t="s">
        <v>3966</v>
      </c>
      <c r="I1013" t="s">
        <v>464</v>
      </c>
    </row>
    <row r="1014" spans="1:9" x14ac:dyDescent="0.3">
      <c r="A1014">
        <v>79591</v>
      </c>
      <c r="B1014">
        <v>116</v>
      </c>
      <c r="C1014" s="453">
        <v>46113</v>
      </c>
      <c r="D1014" t="s">
        <v>568</v>
      </c>
      <c r="E1014">
        <v>20752</v>
      </c>
      <c r="F1014" t="s">
        <v>3964</v>
      </c>
      <c r="G1014">
        <v>4</v>
      </c>
      <c r="H1014" t="s">
        <v>3886</v>
      </c>
      <c r="I1014" t="s">
        <v>464</v>
      </c>
    </row>
    <row r="1015" spans="1:9" x14ac:dyDescent="0.3">
      <c r="A1015">
        <v>79592</v>
      </c>
      <c r="B1015">
        <v>116</v>
      </c>
      <c r="C1015" s="453">
        <v>46113</v>
      </c>
      <c r="D1015" t="s">
        <v>568</v>
      </c>
      <c r="E1015">
        <v>20809</v>
      </c>
      <c r="F1015" t="s">
        <v>4005</v>
      </c>
      <c r="G1015">
        <v>4</v>
      </c>
      <c r="H1015" t="s">
        <v>3888</v>
      </c>
      <c r="I1015" t="s">
        <v>464</v>
      </c>
    </row>
    <row r="1016" spans="1:9" x14ac:dyDescent="0.3">
      <c r="A1016">
        <v>79593</v>
      </c>
      <c r="B1016">
        <v>116</v>
      </c>
      <c r="C1016" s="453">
        <v>46113</v>
      </c>
      <c r="D1016" t="s">
        <v>568</v>
      </c>
      <c r="E1016">
        <v>23186</v>
      </c>
      <c r="F1016" t="s">
        <v>3988</v>
      </c>
      <c r="G1016">
        <v>4</v>
      </c>
      <c r="H1016" t="s">
        <v>3892</v>
      </c>
      <c r="I1016" t="s">
        <v>464</v>
      </c>
    </row>
    <row r="1017" spans="1:9" x14ac:dyDescent="0.3">
      <c r="A1017">
        <v>79594</v>
      </c>
      <c r="B1017">
        <v>116</v>
      </c>
      <c r="C1017" s="453">
        <v>46113</v>
      </c>
      <c r="D1017" t="s">
        <v>568</v>
      </c>
      <c r="E1017">
        <v>23515</v>
      </c>
      <c r="F1017" t="s">
        <v>3980</v>
      </c>
      <c r="G1017">
        <v>4</v>
      </c>
      <c r="H1017" t="s">
        <v>3872</v>
      </c>
      <c r="I1017" t="s">
        <v>464</v>
      </c>
    </row>
    <row r="1018" spans="1:9" x14ac:dyDescent="0.3">
      <c r="A1018">
        <v>79595</v>
      </c>
      <c r="B1018">
        <v>116</v>
      </c>
      <c r="C1018" s="453">
        <v>46113</v>
      </c>
      <c r="D1018" t="s">
        <v>568</v>
      </c>
      <c r="E1018">
        <v>24200</v>
      </c>
      <c r="F1018" t="s">
        <v>3975</v>
      </c>
      <c r="G1018">
        <v>4</v>
      </c>
      <c r="H1018" t="s">
        <v>3892</v>
      </c>
      <c r="I1018" t="s">
        <v>464</v>
      </c>
    </row>
    <row r="1019" spans="1:9" x14ac:dyDescent="0.3">
      <c r="A1019">
        <v>79596</v>
      </c>
      <c r="B1019">
        <v>116</v>
      </c>
      <c r="C1019" s="453">
        <v>46113</v>
      </c>
      <c r="D1019" t="s">
        <v>568</v>
      </c>
      <c r="E1019">
        <v>25767</v>
      </c>
      <c r="F1019" t="s">
        <v>3976</v>
      </c>
      <c r="G1019">
        <v>4</v>
      </c>
      <c r="H1019" t="s">
        <v>3892</v>
      </c>
      <c r="I1019" t="s">
        <v>464</v>
      </c>
    </row>
    <row r="1020" spans="1:9" x14ac:dyDescent="0.3">
      <c r="A1020">
        <v>79597</v>
      </c>
      <c r="B1020">
        <v>116</v>
      </c>
      <c r="C1020" s="453">
        <v>46113</v>
      </c>
      <c r="D1020" t="s">
        <v>568</v>
      </c>
      <c r="E1020">
        <v>18547</v>
      </c>
      <c r="F1020" t="s">
        <v>3962</v>
      </c>
      <c r="G1020">
        <v>3.7</v>
      </c>
      <c r="H1020" t="s">
        <v>3878</v>
      </c>
      <c r="I1020" t="s">
        <v>464</v>
      </c>
    </row>
    <row r="1021" spans="1:9" x14ac:dyDescent="0.3">
      <c r="A1021">
        <v>79598</v>
      </c>
      <c r="B1021">
        <v>116</v>
      </c>
      <c r="C1021" s="453">
        <v>46113</v>
      </c>
      <c r="D1021" t="s">
        <v>568</v>
      </c>
      <c r="E1021">
        <v>24403</v>
      </c>
      <c r="F1021" t="s">
        <v>3992</v>
      </c>
      <c r="G1021">
        <v>3.7</v>
      </c>
      <c r="H1021" t="s">
        <v>3892</v>
      </c>
      <c r="I1021" t="s">
        <v>464</v>
      </c>
    </row>
    <row r="1022" spans="1:9" x14ac:dyDescent="0.3">
      <c r="A1022">
        <v>79599</v>
      </c>
      <c r="B1022">
        <v>116</v>
      </c>
      <c r="C1022" s="453">
        <v>46113</v>
      </c>
      <c r="D1022" t="s">
        <v>568</v>
      </c>
      <c r="E1022">
        <v>18545</v>
      </c>
      <c r="F1022" t="s">
        <v>4099</v>
      </c>
      <c r="G1022">
        <v>3.6</v>
      </c>
      <c r="H1022" t="s">
        <v>3878</v>
      </c>
      <c r="I1022" t="s">
        <v>464</v>
      </c>
    </row>
    <row r="1023" spans="1:9" x14ac:dyDescent="0.3">
      <c r="A1023">
        <v>79600</v>
      </c>
      <c r="B1023">
        <v>116</v>
      </c>
      <c r="C1023" s="453">
        <v>46113</v>
      </c>
      <c r="D1023" t="s">
        <v>568</v>
      </c>
      <c r="E1023">
        <v>17886</v>
      </c>
      <c r="F1023" t="s">
        <v>3935</v>
      </c>
      <c r="G1023">
        <v>3.5</v>
      </c>
      <c r="H1023" t="s">
        <v>3888</v>
      </c>
      <c r="I1023" t="s">
        <v>464</v>
      </c>
    </row>
    <row r="1024" spans="1:9" x14ac:dyDescent="0.3">
      <c r="A1024">
        <v>79601</v>
      </c>
      <c r="B1024">
        <v>116</v>
      </c>
      <c r="C1024" s="453">
        <v>46113</v>
      </c>
      <c r="D1024" t="s">
        <v>568</v>
      </c>
      <c r="E1024">
        <v>18272</v>
      </c>
      <c r="F1024" t="s">
        <v>4046</v>
      </c>
      <c r="G1024">
        <v>3.5</v>
      </c>
      <c r="H1024" t="s">
        <v>3878</v>
      </c>
      <c r="I1024" t="s">
        <v>464</v>
      </c>
    </row>
    <row r="1025" spans="1:9" x14ac:dyDescent="0.3">
      <c r="A1025">
        <v>79602</v>
      </c>
      <c r="B1025">
        <v>116</v>
      </c>
      <c r="C1025" s="453">
        <v>46113</v>
      </c>
      <c r="D1025" t="s">
        <v>568</v>
      </c>
      <c r="E1025">
        <v>18273</v>
      </c>
      <c r="F1025" t="s">
        <v>4031</v>
      </c>
      <c r="G1025">
        <v>3.5</v>
      </c>
      <c r="H1025" t="s">
        <v>3878</v>
      </c>
      <c r="I1025" t="s">
        <v>464</v>
      </c>
    </row>
    <row r="1026" spans="1:9" x14ac:dyDescent="0.3">
      <c r="A1026">
        <v>79603</v>
      </c>
      <c r="B1026">
        <v>116</v>
      </c>
      <c r="C1026" s="453">
        <v>46113</v>
      </c>
      <c r="D1026" t="s">
        <v>568</v>
      </c>
      <c r="E1026">
        <v>18538</v>
      </c>
      <c r="F1026" t="s">
        <v>4026</v>
      </c>
      <c r="G1026">
        <v>3.2</v>
      </c>
      <c r="H1026" t="s">
        <v>3878</v>
      </c>
      <c r="I1026" t="s">
        <v>464</v>
      </c>
    </row>
    <row r="1027" spans="1:9" x14ac:dyDescent="0.3">
      <c r="A1027">
        <v>79604</v>
      </c>
      <c r="B1027">
        <v>116</v>
      </c>
      <c r="C1027" s="453">
        <v>46113</v>
      </c>
      <c r="D1027" t="s">
        <v>568</v>
      </c>
      <c r="E1027">
        <v>17609</v>
      </c>
      <c r="F1027" t="s">
        <v>4038</v>
      </c>
      <c r="G1027">
        <v>3</v>
      </c>
      <c r="H1027" t="s">
        <v>3878</v>
      </c>
      <c r="I1027" t="s">
        <v>464</v>
      </c>
    </row>
    <row r="1028" spans="1:9" x14ac:dyDescent="0.3">
      <c r="A1028">
        <v>79605</v>
      </c>
      <c r="B1028">
        <v>116</v>
      </c>
      <c r="C1028" s="453">
        <v>46113</v>
      </c>
      <c r="D1028" t="s">
        <v>568</v>
      </c>
      <c r="E1028">
        <v>17881</v>
      </c>
      <c r="F1028" t="s">
        <v>4095</v>
      </c>
      <c r="G1028">
        <v>3</v>
      </c>
      <c r="H1028" t="s">
        <v>3888</v>
      </c>
      <c r="I1028" t="s">
        <v>464</v>
      </c>
    </row>
    <row r="1029" spans="1:9" x14ac:dyDescent="0.3">
      <c r="A1029">
        <v>79606</v>
      </c>
      <c r="B1029">
        <v>116</v>
      </c>
      <c r="C1029" s="453">
        <v>46113</v>
      </c>
      <c r="D1029" t="s">
        <v>568</v>
      </c>
      <c r="E1029">
        <v>17883</v>
      </c>
      <c r="F1029" t="s">
        <v>4136</v>
      </c>
      <c r="G1029">
        <v>3</v>
      </c>
      <c r="H1029" t="s">
        <v>3888</v>
      </c>
      <c r="I1029" t="s">
        <v>464</v>
      </c>
    </row>
    <row r="1030" spans="1:9" x14ac:dyDescent="0.3">
      <c r="A1030">
        <v>79607</v>
      </c>
      <c r="B1030">
        <v>116</v>
      </c>
      <c r="C1030" s="453">
        <v>46113</v>
      </c>
      <c r="D1030" t="s">
        <v>568</v>
      </c>
      <c r="E1030">
        <v>19566</v>
      </c>
      <c r="F1030" t="s">
        <v>3986</v>
      </c>
      <c r="G1030">
        <v>3</v>
      </c>
      <c r="H1030" t="s">
        <v>3892</v>
      </c>
      <c r="I1030" t="s">
        <v>464</v>
      </c>
    </row>
    <row r="1031" spans="1:9" x14ac:dyDescent="0.3">
      <c r="A1031">
        <v>79608</v>
      </c>
      <c r="B1031">
        <v>116</v>
      </c>
      <c r="C1031" s="453">
        <v>46113</v>
      </c>
      <c r="D1031" t="s">
        <v>568</v>
      </c>
      <c r="E1031">
        <v>19572</v>
      </c>
      <c r="F1031" t="s">
        <v>4023</v>
      </c>
      <c r="G1031">
        <v>3</v>
      </c>
      <c r="H1031" t="s">
        <v>3892</v>
      </c>
      <c r="I1031" t="s">
        <v>464</v>
      </c>
    </row>
    <row r="1032" spans="1:9" x14ac:dyDescent="0.3">
      <c r="A1032">
        <v>79609</v>
      </c>
      <c r="B1032">
        <v>116</v>
      </c>
      <c r="C1032" s="453">
        <v>46113</v>
      </c>
      <c r="D1032" t="s">
        <v>568</v>
      </c>
      <c r="E1032">
        <v>19578</v>
      </c>
      <c r="F1032" t="s">
        <v>3985</v>
      </c>
      <c r="G1032">
        <v>3</v>
      </c>
      <c r="H1032" t="s">
        <v>3892</v>
      </c>
      <c r="I1032" t="s">
        <v>464</v>
      </c>
    </row>
    <row r="1033" spans="1:9" x14ac:dyDescent="0.3">
      <c r="A1033">
        <v>79610</v>
      </c>
      <c r="B1033">
        <v>116</v>
      </c>
      <c r="C1033" s="453">
        <v>46113</v>
      </c>
      <c r="D1033" t="s">
        <v>568</v>
      </c>
      <c r="E1033">
        <v>19579</v>
      </c>
      <c r="F1033" t="s">
        <v>4020</v>
      </c>
      <c r="G1033">
        <v>3</v>
      </c>
      <c r="H1033" t="s">
        <v>3892</v>
      </c>
      <c r="I1033" t="s">
        <v>464</v>
      </c>
    </row>
    <row r="1034" spans="1:9" x14ac:dyDescent="0.3">
      <c r="A1034">
        <v>79611</v>
      </c>
      <c r="B1034">
        <v>116</v>
      </c>
      <c r="C1034" s="453">
        <v>46113</v>
      </c>
      <c r="D1034" t="s">
        <v>568</v>
      </c>
      <c r="E1034">
        <v>19623</v>
      </c>
      <c r="F1034" t="s">
        <v>3984</v>
      </c>
      <c r="G1034">
        <v>3</v>
      </c>
      <c r="H1034" t="s">
        <v>3892</v>
      </c>
      <c r="I1034" t="s">
        <v>464</v>
      </c>
    </row>
    <row r="1035" spans="1:9" x14ac:dyDescent="0.3">
      <c r="A1035">
        <v>79612</v>
      </c>
      <c r="B1035">
        <v>116</v>
      </c>
      <c r="C1035" s="453">
        <v>46113</v>
      </c>
      <c r="D1035" t="s">
        <v>568</v>
      </c>
      <c r="E1035">
        <v>20057</v>
      </c>
      <c r="F1035" t="s">
        <v>3967</v>
      </c>
      <c r="G1035">
        <v>3</v>
      </c>
      <c r="H1035" t="s">
        <v>3872</v>
      </c>
      <c r="I1035" t="s">
        <v>464</v>
      </c>
    </row>
    <row r="1036" spans="1:9" x14ac:dyDescent="0.3">
      <c r="A1036">
        <v>79613</v>
      </c>
      <c r="B1036">
        <v>116</v>
      </c>
      <c r="C1036" s="453">
        <v>46113</v>
      </c>
      <c r="D1036" t="s">
        <v>568</v>
      </c>
      <c r="E1036">
        <v>20213</v>
      </c>
      <c r="F1036" t="s">
        <v>4059</v>
      </c>
      <c r="G1036">
        <v>3</v>
      </c>
      <c r="H1036" t="s">
        <v>3888</v>
      </c>
      <c r="I1036" t="s">
        <v>464</v>
      </c>
    </row>
    <row r="1037" spans="1:9" x14ac:dyDescent="0.3">
      <c r="A1037">
        <v>79614</v>
      </c>
      <c r="B1037">
        <v>116</v>
      </c>
      <c r="C1037" s="453">
        <v>46113</v>
      </c>
      <c r="D1037" t="s">
        <v>568</v>
      </c>
      <c r="E1037">
        <v>20326</v>
      </c>
      <c r="F1037" t="s">
        <v>3953</v>
      </c>
      <c r="G1037">
        <v>3</v>
      </c>
      <c r="H1037" t="s">
        <v>3892</v>
      </c>
      <c r="I1037" t="s">
        <v>464</v>
      </c>
    </row>
    <row r="1038" spans="1:9" x14ac:dyDescent="0.3">
      <c r="A1038">
        <v>79615</v>
      </c>
      <c r="B1038">
        <v>116</v>
      </c>
      <c r="C1038" s="453">
        <v>46113</v>
      </c>
      <c r="D1038" t="s">
        <v>568</v>
      </c>
      <c r="E1038">
        <v>20358</v>
      </c>
      <c r="F1038" t="s">
        <v>3952</v>
      </c>
      <c r="G1038">
        <v>3</v>
      </c>
      <c r="H1038" t="s">
        <v>3888</v>
      </c>
      <c r="I1038" t="s">
        <v>464</v>
      </c>
    </row>
    <row r="1039" spans="1:9" x14ac:dyDescent="0.3">
      <c r="A1039">
        <v>79616</v>
      </c>
      <c r="B1039">
        <v>116</v>
      </c>
      <c r="C1039" s="453">
        <v>46113</v>
      </c>
      <c r="D1039" t="s">
        <v>568</v>
      </c>
      <c r="E1039">
        <v>21123</v>
      </c>
      <c r="F1039" t="s">
        <v>4115</v>
      </c>
      <c r="G1039">
        <v>3</v>
      </c>
      <c r="H1039" t="s">
        <v>3892</v>
      </c>
      <c r="I1039" t="s">
        <v>464</v>
      </c>
    </row>
    <row r="1040" spans="1:9" x14ac:dyDescent="0.3">
      <c r="A1040">
        <v>79617</v>
      </c>
      <c r="B1040">
        <v>116</v>
      </c>
      <c r="C1040" s="453">
        <v>46113</v>
      </c>
      <c r="D1040" t="s">
        <v>568</v>
      </c>
      <c r="E1040">
        <v>21166</v>
      </c>
      <c r="F1040" t="s">
        <v>4001</v>
      </c>
      <c r="G1040">
        <v>3</v>
      </c>
      <c r="H1040" t="s">
        <v>3872</v>
      </c>
      <c r="I1040" t="s">
        <v>464</v>
      </c>
    </row>
    <row r="1041" spans="1:9" x14ac:dyDescent="0.3">
      <c r="A1041">
        <v>79618</v>
      </c>
      <c r="B1041">
        <v>116</v>
      </c>
      <c r="C1041" s="453">
        <v>46113</v>
      </c>
      <c r="D1041" t="s">
        <v>568</v>
      </c>
      <c r="E1041">
        <v>23236</v>
      </c>
      <c r="F1041" t="s">
        <v>4017</v>
      </c>
      <c r="G1041">
        <v>3</v>
      </c>
      <c r="H1041" t="s">
        <v>3892</v>
      </c>
      <c r="I1041" t="s">
        <v>464</v>
      </c>
    </row>
    <row r="1042" spans="1:9" x14ac:dyDescent="0.3">
      <c r="A1042">
        <v>79619</v>
      </c>
      <c r="B1042">
        <v>116</v>
      </c>
      <c r="C1042" s="453">
        <v>46113</v>
      </c>
      <c r="D1042" t="s">
        <v>568</v>
      </c>
      <c r="E1042">
        <v>23349</v>
      </c>
      <c r="F1042" t="s">
        <v>4173</v>
      </c>
      <c r="G1042">
        <v>3</v>
      </c>
      <c r="H1042" t="s">
        <v>3892</v>
      </c>
      <c r="I1042" t="s">
        <v>464</v>
      </c>
    </row>
    <row r="1043" spans="1:9" x14ac:dyDescent="0.3">
      <c r="A1043">
        <v>79620</v>
      </c>
      <c r="B1043">
        <v>116</v>
      </c>
      <c r="C1043" s="453">
        <v>46113</v>
      </c>
      <c r="D1043" t="s">
        <v>568</v>
      </c>
      <c r="E1043">
        <v>23897</v>
      </c>
      <c r="F1043" t="s">
        <v>4058</v>
      </c>
      <c r="G1043">
        <v>3</v>
      </c>
      <c r="H1043" t="s">
        <v>3872</v>
      </c>
      <c r="I1043" t="s">
        <v>464</v>
      </c>
    </row>
    <row r="1044" spans="1:9" x14ac:dyDescent="0.3">
      <c r="A1044">
        <v>79621</v>
      </c>
      <c r="B1044">
        <v>116</v>
      </c>
      <c r="C1044" s="453">
        <v>46113</v>
      </c>
      <c r="D1044" t="s">
        <v>568</v>
      </c>
      <c r="E1044">
        <v>24116</v>
      </c>
      <c r="F1044" t="s">
        <v>3963</v>
      </c>
      <c r="G1044">
        <v>3</v>
      </c>
      <c r="H1044" t="s">
        <v>3892</v>
      </c>
      <c r="I1044" t="s">
        <v>464</v>
      </c>
    </row>
    <row r="1045" spans="1:9" x14ac:dyDescent="0.3">
      <c r="A1045">
        <v>79622</v>
      </c>
      <c r="B1045">
        <v>116</v>
      </c>
      <c r="C1045" s="453">
        <v>46113</v>
      </c>
      <c r="D1045" t="s">
        <v>568</v>
      </c>
      <c r="E1045">
        <v>24185</v>
      </c>
      <c r="F1045" t="s">
        <v>4040</v>
      </c>
      <c r="G1045">
        <v>3</v>
      </c>
      <c r="H1045" t="s">
        <v>3892</v>
      </c>
      <c r="I1045" t="s">
        <v>464</v>
      </c>
    </row>
    <row r="1046" spans="1:9" x14ac:dyDescent="0.3">
      <c r="A1046">
        <v>79623</v>
      </c>
      <c r="B1046">
        <v>116</v>
      </c>
      <c r="C1046" s="453">
        <v>46113</v>
      </c>
      <c r="D1046" t="s">
        <v>568</v>
      </c>
      <c r="E1046">
        <v>26195</v>
      </c>
      <c r="F1046" t="s">
        <v>4037</v>
      </c>
      <c r="G1046">
        <v>3</v>
      </c>
      <c r="H1046" t="s">
        <v>3878</v>
      </c>
      <c r="I1046" t="s">
        <v>464</v>
      </c>
    </row>
    <row r="1047" spans="1:9" x14ac:dyDescent="0.3">
      <c r="A1047">
        <v>79624</v>
      </c>
      <c r="B1047">
        <v>116</v>
      </c>
      <c r="C1047" s="453">
        <v>46113</v>
      </c>
      <c r="D1047" t="s">
        <v>568</v>
      </c>
      <c r="E1047">
        <v>18179</v>
      </c>
      <c r="F1047" t="s">
        <v>3995</v>
      </c>
      <c r="G1047">
        <v>2.8</v>
      </c>
      <c r="H1047" t="s">
        <v>3878</v>
      </c>
      <c r="I1047" t="s">
        <v>464</v>
      </c>
    </row>
    <row r="1048" spans="1:9" x14ac:dyDescent="0.3">
      <c r="A1048">
        <v>79625</v>
      </c>
      <c r="B1048">
        <v>116</v>
      </c>
      <c r="C1048" s="453">
        <v>46113</v>
      </c>
      <c r="D1048" t="s">
        <v>568</v>
      </c>
      <c r="E1048">
        <v>20456</v>
      </c>
      <c r="F1048" t="s">
        <v>4000</v>
      </c>
      <c r="G1048">
        <v>2.8</v>
      </c>
      <c r="H1048" t="s">
        <v>3892</v>
      </c>
      <c r="I1048" t="s">
        <v>464</v>
      </c>
    </row>
    <row r="1049" spans="1:9" x14ac:dyDescent="0.3">
      <c r="A1049">
        <v>79626</v>
      </c>
      <c r="B1049">
        <v>116</v>
      </c>
      <c r="C1049" s="453">
        <v>46113</v>
      </c>
      <c r="D1049" t="s">
        <v>568</v>
      </c>
      <c r="E1049">
        <v>18696</v>
      </c>
      <c r="F1049" t="s">
        <v>3956</v>
      </c>
      <c r="G1049">
        <v>2.7</v>
      </c>
      <c r="H1049" t="s">
        <v>3892</v>
      </c>
      <c r="I1049" t="s">
        <v>464</v>
      </c>
    </row>
    <row r="1050" spans="1:9" x14ac:dyDescent="0.3">
      <c r="A1050">
        <v>79627</v>
      </c>
      <c r="B1050">
        <v>116</v>
      </c>
      <c r="C1050" s="453">
        <v>46113</v>
      </c>
      <c r="D1050" t="s">
        <v>568</v>
      </c>
      <c r="E1050">
        <v>18491</v>
      </c>
      <c r="F1050" t="s">
        <v>3934</v>
      </c>
      <c r="G1050">
        <v>2.5</v>
      </c>
      <c r="H1050" t="s">
        <v>3878</v>
      </c>
      <c r="I1050" t="s">
        <v>464</v>
      </c>
    </row>
    <row r="1051" spans="1:9" x14ac:dyDescent="0.3">
      <c r="A1051">
        <v>79628</v>
      </c>
      <c r="B1051">
        <v>116</v>
      </c>
      <c r="C1051" s="453">
        <v>46113</v>
      </c>
      <c r="D1051" t="s">
        <v>568</v>
      </c>
      <c r="E1051">
        <v>19973</v>
      </c>
      <c r="F1051" t="s">
        <v>3981</v>
      </c>
      <c r="G1051">
        <v>2.5</v>
      </c>
      <c r="H1051" t="s">
        <v>3872</v>
      </c>
      <c r="I1051" t="s">
        <v>464</v>
      </c>
    </row>
    <row r="1052" spans="1:9" x14ac:dyDescent="0.3">
      <c r="A1052">
        <v>79629</v>
      </c>
      <c r="B1052">
        <v>116</v>
      </c>
      <c r="C1052" s="453">
        <v>46113</v>
      </c>
      <c r="D1052" t="s">
        <v>568</v>
      </c>
      <c r="E1052">
        <v>24339</v>
      </c>
      <c r="F1052" t="s">
        <v>4119</v>
      </c>
      <c r="G1052">
        <v>2.5</v>
      </c>
      <c r="H1052" t="s">
        <v>3892</v>
      </c>
      <c r="I1052" t="s">
        <v>464</v>
      </c>
    </row>
    <row r="1053" spans="1:9" x14ac:dyDescent="0.3">
      <c r="A1053">
        <v>79630</v>
      </c>
      <c r="B1053">
        <v>116</v>
      </c>
      <c r="C1053" s="453">
        <v>46113</v>
      </c>
      <c r="D1053" t="s">
        <v>568</v>
      </c>
      <c r="E1053">
        <v>24343</v>
      </c>
      <c r="F1053" t="s">
        <v>3990</v>
      </c>
      <c r="G1053">
        <v>2.5</v>
      </c>
      <c r="H1053" t="s">
        <v>3892</v>
      </c>
      <c r="I1053" t="s">
        <v>464</v>
      </c>
    </row>
    <row r="1054" spans="1:9" x14ac:dyDescent="0.3">
      <c r="A1054">
        <v>79631</v>
      </c>
      <c r="B1054">
        <v>116</v>
      </c>
      <c r="C1054" s="453">
        <v>46113</v>
      </c>
      <c r="D1054" t="s">
        <v>568</v>
      </c>
      <c r="E1054">
        <v>18111</v>
      </c>
      <c r="F1054" t="s">
        <v>4047</v>
      </c>
      <c r="G1054">
        <v>2.2999999999999998</v>
      </c>
      <c r="H1054" t="s">
        <v>3878</v>
      </c>
      <c r="I1054" t="s">
        <v>464</v>
      </c>
    </row>
    <row r="1055" spans="1:9" x14ac:dyDescent="0.3">
      <c r="A1055">
        <v>79632</v>
      </c>
      <c r="B1055">
        <v>116</v>
      </c>
      <c r="C1055" s="453">
        <v>46113</v>
      </c>
      <c r="D1055" t="s">
        <v>568</v>
      </c>
      <c r="E1055">
        <v>16974</v>
      </c>
      <c r="F1055" t="s">
        <v>3996</v>
      </c>
      <c r="G1055">
        <v>2</v>
      </c>
      <c r="H1055" t="s">
        <v>3881</v>
      </c>
      <c r="I1055" t="s">
        <v>464</v>
      </c>
    </row>
    <row r="1056" spans="1:9" x14ac:dyDescent="0.3">
      <c r="A1056">
        <v>79633</v>
      </c>
      <c r="B1056">
        <v>116</v>
      </c>
      <c r="C1056" s="453">
        <v>46113</v>
      </c>
      <c r="D1056" t="s">
        <v>568</v>
      </c>
      <c r="E1056">
        <v>17896</v>
      </c>
      <c r="F1056" t="s">
        <v>3972</v>
      </c>
      <c r="G1056">
        <v>2</v>
      </c>
      <c r="H1056" t="s">
        <v>3888</v>
      </c>
      <c r="I1056" t="s">
        <v>464</v>
      </c>
    </row>
    <row r="1057" spans="1:9" x14ac:dyDescent="0.3">
      <c r="A1057">
        <v>79634</v>
      </c>
      <c r="B1057">
        <v>116</v>
      </c>
      <c r="C1057" s="453">
        <v>46113</v>
      </c>
      <c r="D1057" t="s">
        <v>568</v>
      </c>
      <c r="E1057">
        <v>17914</v>
      </c>
      <c r="F1057" t="s">
        <v>3997</v>
      </c>
      <c r="G1057">
        <v>2</v>
      </c>
      <c r="H1057" t="s">
        <v>3888</v>
      </c>
      <c r="I1057" t="s">
        <v>464</v>
      </c>
    </row>
    <row r="1058" spans="1:9" x14ac:dyDescent="0.3">
      <c r="A1058">
        <v>79635</v>
      </c>
      <c r="B1058">
        <v>116</v>
      </c>
      <c r="C1058" s="453">
        <v>46113</v>
      </c>
      <c r="D1058" t="s">
        <v>568</v>
      </c>
      <c r="E1058">
        <v>17942</v>
      </c>
      <c r="F1058" t="s">
        <v>4035</v>
      </c>
      <c r="G1058">
        <v>2</v>
      </c>
      <c r="H1058" t="s">
        <v>3872</v>
      </c>
      <c r="I1058" t="s">
        <v>464</v>
      </c>
    </row>
    <row r="1059" spans="1:9" x14ac:dyDescent="0.3">
      <c r="A1059">
        <v>79636</v>
      </c>
      <c r="B1059">
        <v>116</v>
      </c>
      <c r="C1059" s="453">
        <v>46113</v>
      </c>
      <c r="D1059" t="s">
        <v>568</v>
      </c>
      <c r="E1059">
        <v>18004</v>
      </c>
      <c r="F1059" t="s">
        <v>4140</v>
      </c>
      <c r="G1059">
        <v>2</v>
      </c>
      <c r="H1059" t="s">
        <v>3888</v>
      </c>
      <c r="I1059" t="s">
        <v>464</v>
      </c>
    </row>
    <row r="1060" spans="1:9" x14ac:dyDescent="0.3">
      <c r="A1060">
        <v>79637</v>
      </c>
      <c r="B1060">
        <v>116</v>
      </c>
      <c r="C1060" s="453">
        <v>46113</v>
      </c>
      <c r="D1060" t="s">
        <v>568</v>
      </c>
      <c r="E1060">
        <v>18006</v>
      </c>
      <c r="F1060" t="s">
        <v>4138</v>
      </c>
      <c r="G1060">
        <v>2</v>
      </c>
      <c r="H1060" t="s">
        <v>3888</v>
      </c>
      <c r="I1060" t="s">
        <v>464</v>
      </c>
    </row>
    <row r="1061" spans="1:9" x14ac:dyDescent="0.3">
      <c r="A1061">
        <v>79638</v>
      </c>
      <c r="B1061">
        <v>116</v>
      </c>
      <c r="C1061" s="453">
        <v>46113</v>
      </c>
      <c r="D1061" t="s">
        <v>568</v>
      </c>
      <c r="E1061">
        <v>18315</v>
      </c>
      <c r="F1061" t="s">
        <v>4088</v>
      </c>
      <c r="G1061">
        <v>2</v>
      </c>
      <c r="H1061" t="s">
        <v>3878</v>
      </c>
      <c r="I1061" t="s">
        <v>464</v>
      </c>
    </row>
    <row r="1062" spans="1:9" x14ac:dyDescent="0.3">
      <c r="A1062">
        <v>79639</v>
      </c>
      <c r="B1062">
        <v>116</v>
      </c>
      <c r="C1062" s="453">
        <v>46113</v>
      </c>
      <c r="D1062" t="s">
        <v>568</v>
      </c>
      <c r="E1062">
        <v>18586</v>
      </c>
      <c r="F1062" t="s">
        <v>4107</v>
      </c>
      <c r="G1062">
        <v>2</v>
      </c>
      <c r="H1062" t="s">
        <v>3888</v>
      </c>
      <c r="I1062" t="s">
        <v>464</v>
      </c>
    </row>
    <row r="1063" spans="1:9" x14ac:dyDescent="0.3">
      <c r="A1063">
        <v>79640</v>
      </c>
      <c r="B1063">
        <v>116</v>
      </c>
      <c r="C1063" s="453">
        <v>46113</v>
      </c>
      <c r="D1063" t="s">
        <v>568</v>
      </c>
      <c r="E1063">
        <v>19494</v>
      </c>
      <c r="F1063" t="s">
        <v>4126</v>
      </c>
      <c r="G1063">
        <v>2</v>
      </c>
      <c r="H1063" t="s">
        <v>3892</v>
      </c>
      <c r="I1063" t="s">
        <v>464</v>
      </c>
    </row>
    <row r="1064" spans="1:9" x14ac:dyDescent="0.3">
      <c r="A1064">
        <v>79641</v>
      </c>
      <c r="B1064">
        <v>116</v>
      </c>
      <c r="C1064" s="453">
        <v>46113</v>
      </c>
      <c r="D1064" t="s">
        <v>568</v>
      </c>
      <c r="E1064">
        <v>19573</v>
      </c>
      <c r="F1064" t="s">
        <v>4163</v>
      </c>
      <c r="G1064">
        <v>2</v>
      </c>
      <c r="H1064" t="s">
        <v>3892</v>
      </c>
      <c r="I1064" t="s">
        <v>464</v>
      </c>
    </row>
    <row r="1065" spans="1:9" x14ac:dyDescent="0.3">
      <c r="A1065">
        <v>79642</v>
      </c>
      <c r="B1065">
        <v>116</v>
      </c>
      <c r="C1065" s="453">
        <v>46113</v>
      </c>
      <c r="D1065" t="s">
        <v>568</v>
      </c>
      <c r="E1065">
        <v>19589</v>
      </c>
      <c r="F1065" t="s">
        <v>4153</v>
      </c>
      <c r="G1065">
        <v>2</v>
      </c>
      <c r="H1065" t="s">
        <v>3892</v>
      </c>
      <c r="I1065" t="s">
        <v>464</v>
      </c>
    </row>
    <row r="1066" spans="1:9" x14ac:dyDescent="0.3">
      <c r="A1066">
        <v>79643</v>
      </c>
      <c r="B1066">
        <v>116</v>
      </c>
      <c r="C1066" s="453">
        <v>46113</v>
      </c>
      <c r="D1066" t="s">
        <v>568</v>
      </c>
      <c r="E1066">
        <v>19621</v>
      </c>
      <c r="F1066" t="s">
        <v>4125</v>
      </c>
      <c r="G1066">
        <v>2</v>
      </c>
      <c r="H1066" t="s">
        <v>3892</v>
      </c>
      <c r="I1066" t="s">
        <v>464</v>
      </c>
    </row>
    <row r="1067" spans="1:9" x14ac:dyDescent="0.3">
      <c r="A1067">
        <v>79644</v>
      </c>
      <c r="B1067">
        <v>116</v>
      </c>
      <c r="C1067" s="453">
        <v>46113</v>
      </c>
      <c r="D1067" t="s">
        <v>568</v>
      </c>
      <c r="E1067">
        <v>19634</v>
      </c>
      <c r="F1067" t="s">
        <v>4068</v>
      </c>
      <c r="G1067">
        <v>2</v>
      </c>
      <c r="H1067" t="s">
        <v>3892</v>
      </c>
      <c r="I1067" t="s">
        <v>464</v>
      </c>
    </row>
    <row r="1068" spans="1:9" x14ac:dyDescent="0.3">
      <c r="A1068">
        <v>79645</v>
      </c>
      <c r="B1068">
        <v>116</v>
      </c>
      <c r="C1068" s="453">
        <v>46113</v>
      </c>
      <c r="D1068" t="s">
        <v>568</v>
      </c>
      <c r="E1068">
        <v>19649</v>
      </c>
      <c r="F1068" t="s">
        <v>4015</v>
      </c>
      <c r="G1068">
        <v>2</v>
      </c>
      <c r="H1068" t="s">
        <v>3892</v>
      </c>
      <c r="I1068" t="s">
        <v>464</v>
      </c>
    </row>
    <row r="1069" spans="1:9" x14ac:dyDescent="0.3">
      <c r="A1069">
        <v>79646</v>
      </c>
      <c r="B1069">
        <v>116</v>
      </c>
      <c r="C1069" s="453">
        <v>46113</v>
      </c>
      <c r="D1069" t="s">
        <v>568</v>
      </c>
      <c r="E1069">
        <v>19652</v>
      </c>
      <c r="F1069" t="s">
        <v>4014</v>
      </c>
      <c r="G1069">
        <v>2</v>
      </c>
      <c r="H1069" t="s">
        <v>3892</v>
      </c>
      <c r="I1069" t="s">
        <v>464</v>
      </c>
    </row>
    <row r="1070" spans="1:9" x14ac:dyDescent="0.3">
      <c r="A1070">
        <v>79647</v>
      </c>
      <c r="B1070">
        <v>116</v>
      </c>
      <c r="C1070" s="453">
        <v>46113</v>
      </c>
      <c r="D1070" t="s">
        <v>568</v>
      </c>
      <c r="E1070">
        <v>19672</v>
      </c>
      <c r="F1070" t="s">
        <v>4024</v>
      </c>
      <c r="G1070">
        <v>2</v>
      </c>
      <c r="H1070" t="s">
        <v>3892</v>
      </c>
      <c r="I1070" t="s">
        <v>464</v>
      </c>
    </row>
    <row r="1071" spans="1:9" x14ac:dyDescent="0.3">
      <c r="A1071">
        <v>79648</v>
      </c>
      <c r="B1071">
        <v>116</v>
      </c>
      <c r="C1071" s="453">
        <v>46113</v>
      </c>
      <c r="D1071" t="s">
        <v>568</v>
      </c>
      <c r="E1071">
        <v>19751</v>
      </c>
      <c r="F1071" t="s">
        <v>4019</v>
      </c>
      <c r="G1071">
        <v>2</v>
      </c>
      <c r="H1071" t="s">
        <v>3892</v>
      </c>
      <c r="I1071" t="s">
        <v>464</v>
      </c>
    </row>
    <row r="1072" spans="1:9" x14ac:dyDescent="0.3">
      <c r="A1072">
        <v>79649</v>
      </c>
      <c r="B1072">
        <v>116</v>
      </c>
      <c r="C1072" s="453">
        <v>46113</v>
      </c>
      <c r="D1072" t="s">
        <v>568</v>
      </c>
      <c r="E1072">
        <v>20077</v>
      </c>
      <c r="F1072" t="s">
        <v>4054</v>
      </c>
      <c r="G1072">
        <v>2</v>
      </c>
      <c r="H1072" t="s">
        <v>3888</v>
      </c>
      <c r="I1072" t="s">
        <v>464</v>
      </c>
    </row>
    <row r="1073" spans="1:9" x14ac:dyDescent="0.3">
      <c r="A1073">
        <v>79650</v>
      </c>
      <c r="B1073">
        <v>116</v>
      </c>
      <c r="C1073" s="453">
        <v>46113</v>
      </c>
      <c r="D1073" t="s">
        <v>568</v>
      </c>
      <c r="E1073">
        <v>20117</v>
      </c>
      <c r="F1073" t="s">
        <v>4010</v>
      </c>
      <c r="G1073">
        <v>2</v>
      </c>
      <c r="H1073" t="s">
        <v>3872</v>
      </c>
      <c r="I1073" t="s">
        <v>464</v>
      </c>
    </row>
    <row r="1074" spans="1:9" x14ac:dyDescent="0.3">
      <c r="A1074">
        <v>79651</v>
      </c>
      <c r="B1074">
        <v>116</v>
      </c>
      <c r="C1074" s="453">
        <v>46113</v>
      </c>
      <c r="D1074" t="s">
        <v>568</v>
      </c>
      <c r="E1074">
        <v>20624</v>
      </c>
      <c r="F1074" t="s">
        <v>3982</v>
      </c>
      <c r="G1074">
        <v>2</v>
      </c>
      <c r="H1074" t="s">
        <v>3966</v>
      </c>
      <c r="I1074" t="s">
        <v>464</v>
      </c>
    </row>
    <row r="1075" spans="1:9" x14ac:dyDescent="0.3">
      <c r="A1075">
        <v>79652</v>
      </c>
      <c r="B1075">
        <v>116</v>
      </c>
      <c r="C1075" s="453">
        <v>46113</v>
      </c>
      <c r="D1075" t="s">
        <v>568</v>
      </c>
      <c r="E1075">
        <v>20832</v>
      </c>
      <c r="F1075" t="s">
        <v>4060</v>
      </c>
      <c r="G1075">
        <v>2</v>
      </c>
      <c r="H1075" t="s">
        <v>3886</v>
      </c>
      <c r="I1075" t="s">
        <v>464</v>
      </c>
    </row>
    <row r="1076" spans="1:9" x14ac:dyDescent="0.3">
      <c r="A1076">
        <v>79653</v>
      </c>
      <c r="B1076">
        <v>116</v>
      </c>
      <c r="C1076" s="453">
        <v>46113</v>
      </c>
      <c r="D1076" t="s">
        <v>568</v>
      </c>
      <c r="E1076">
        <v>21126</v>
      </c>
      <c r="F1076" t="s">
        <v>4004</v>
      </c>
      <c r="G1076">
        <v>2</v>
      </c>
      <c r="H1076" t="s">
        <v>3888</v>
      </c>
      <c r="I1076" t="s">
        <v>464</v>
      </c>
    </row>
    <row r="1077" spans="1:9" x14ac:dyDescent="0.3">
      <c r="A1077">
        <v>79654</v>
      </c>
      <c r="B1077">
        <v>116</v>
      </c>
      <c r="C1077" s="453">
        <v>46113</v>
      </c>
      <c r="D1077" t="s">
        <v>568</v>
      </c>
      <c r="E1077">
        <v>23234</v>
      </c>
      <c r="F1077" t="s">
        <v>4018</v>
      </c>
      <c r="G1077">
        <v>2</v>
      </c>
      <c r="H1077" t="s">
        <v>3892</v>
      </c>
      <c r="I1077" t="s">
        <v>464</v>
      </c>
    </row>
    <row r="1078" spans="1:9" x14ac:dyDescent="0.3">
      <c r="A1078">
        <v>79655</v>
      </c>
      <c r="B1078">
        <v>116</v>
      </c>
      <c r="C1078" s="453">
        <v>46113</v>
      </c>
      <c r="D1078" t="s">
        <v>568</v>
      </c>
      <c r="E1078">
        <v>24072</v>
      </c>
      <c r="F1078" t="s">
        <v>4002</v>
      </c>
      <c r="G1078">
        <v>2</v>
      </c>
      <c r="H1078" t="s">
        <v>3892</v>
      </c>
      <c r="I1078" t="s">
        <v>464</v>
      </c>
    </row>
    <row r="1079" spans="1:9" x14ac:dyDescent="0.3">
      <c r="A1079">
        <v>79656</v>
      </c>
      <c r="B1079">
        <v>116</v>
      </c>
      <c r="C1079" s="453">
        <v>46113</v>
      </c>
      <c r="D1079" t="s">
        <v>568</v>
      </c>
      <c r="E1079">
        <v>24212</v>
      </c>
      <c r="F1079" t="s">
        <v>4056</v>
      </c>
      <c r="G1079">
        <v>2</v>
      </c>
      <c r="H1079" t="s">
        <v>3892</v>
      </c>
      <c r="I1079" t="s">
        <v>464</v>
      </c>
    </row>
    <row r="1080" spans="1:9" x14ac:dyDescent="0.3">
      <c r="A1080">
        <v>79657</v>
      </c>
      <c r="B1080">
        <v>116</v>
      </c>
      <c r="C1080" s="453">
        <v>46113</v>
      </c>
      <c r="D1080" t="s">
        <v>568</v>
      </c>
      <c r="E1080">
        <v>24393</v>
      </c>
      <c r="F1080" t="s">
        <v>4039</v>
      </c>
      <c r="G1080">
        <v>2</v>
      </c>
      <c r="H1080" t="s">
        <v>3892</v>
      </c>
      <c r="I1080" t="s">
        <v>464</v>
      </c>
    </row>
    <row r="1081" spans="1:9" x14ac:dyDescent="0.3">
      <c r="A1081">
        <v>79658</v>
      </c>
      <c r="B1081">
        <v>116</v>
      </c>
      <c r="C1081" s="453">
        <v>46113</v>
      </c>
      <c r="D1081" t="s">
        <v>568</v>
      </c>
      <c r="E1081">
        <v>25769</v>
      </c>
      <c r="F1081" t="s">
        <v>4013</v>
      </c>
      <c r="G1081">
        <v>2</v>
      </c>
      <c r="H1081" t="s">
        <v>3892</v>
      </c>
      <c r="I1081" t="s">
        <v>464</v>
      </c>
    </row>
    <row r="1082" spans="1:9" x14ac:dyDescent="0.3">
      <c r="A1082">
        <v>79659</v>
      </c>
      <c r="B1082">
        <v>116</v>
      </c>
      <c r="C1082" s="453">
        <v>46113</v>
      </c>
      <c r="D1082" t="s">
        <v>568</v>
      </c>
      <c r="E1082">
        <v>21400</v>
      </c>
      <c r="F1082" t="s">
        <v>4165</v>
      </c>
      <c r="G1082">
        <v>1.9</v>
      </c>
      <c r="H1082" t="s">
        <v>3892</v>
      </c>
      <c r="I1082" t="s">
        <v>464</v>
      </c>
    </row>
    <row r="1083" spans="1:9" x14ac:dyDescent="0.3">
      <c r="A1083">
        <v>79660</v>
      </c>
      <c r="B1083">
        <v>116</v>
      </c>
      <c r="C1083" s="453">
        <v>46113</v>
      </c>
      <c r="D1083" t="s">
        <v>568</v>
      </c>
      <c r="E1083">
        <v>18253</v>
      </c>
      <c r="F1083" t="s">
        <v>3947</v>
      </c>
      <c r="G1083">
        <v>1.8</v>
      </c>
      <c r="H1083" t="s">
        <v>3878</v>
      </c>
      <c r="I1083" t="s">
        <v>464</v>
      </c>
    </row>
    <row r="1084" spans="1:9" x14ac:dyDescent="0.3">
      <c r="A1084">
        <v>79661</v>
      </c>
      <c r="B1084">
        <v>116</v>
      </c>
      <c r="C1084" s="453">
        <v>46113</v>
      </c>
      <c r="D1084" t="s">
        <v>568</v>
      </c>
      <c r="E1084">
        <v>18359</v>
      </c>
      <c r="F1084" t="s">
        <v>4029</v>
      </c>
      <c r="G1084">
        <v>1.8</v>
      </c>
      <c r="H1084" t="s">
        <v>3878</v>
      </c>
      <c r="I1084" t="s">
        <v>464</v>
      </c>
    </row>
    <row r="1085" spans="1:9" x14ac:dyDescent="0.3">
      <c r="A1085">
        <v>79662</v>
      </c>
      <c r="B1085">
        <v>116</v>
      </c>
      <c r="C1085" s="453">
        <v>46113</v>
      </c>
      <c r="D1085" t="s">
        <v>568</v>
      </c>
      <c r="E1085">
        <v>20457</v>
      </c>
      <c r="F1085" t="s">
        <v>3999</v>
      </c>
      <c r="G1085">
        <v>1.8</v>
      </c>
      <c r="H1085" t="s">
        <v>3892</v>
      </c>
      <c r="I1085" t="s">
        <v>464</v>
      </c>
    </row>
    <row r="1086" spans="1:9" x14ac:dyDescent="0.3">
      <c r="A1086">
        <v>79663</v>
      </c>
      <c r="B1086">
        <v>116</v>
      </c>
      <c r="C1086" s="453">
        <v>46113</v>
      </c>
      <c r="D1086" t="s">
        <v>568</v>
      </c>
      <c r="E1086">
        <v>18232</v>
      </c>
      <c r="F1086" t="s">
        <v>4091</v>
      </c>
      <c r="G1086">
        <v>1.6</v>
      </c>
      <c r="H1086" t="s">
        <v>3878</v>
      </c>
      <c r="I1086" t="s">
        <v>464</v>
      </c>
    </row>
    <row r="1087" spans="1:9" x14ac:dyDescent="0.3">
      <c r="A1087">
        <v>79664</v>
      </c>
      <c r="B1087">
        <v>116</v>
      </c>
      <c r="C1087" s="453">
        <v>46113</v>
      </c>
      <c r="D1087" t="s">
        <v>568</v>
      </c>
      <c r="E1087">
        <v>19505</v>
      </c>
      <c r="F1087" t="s">
        <v>4101</v>
      </c>
      <c r="G1087">
        <v>1.5</v>
      </c>
      <c r="H1087" t="s">
        <v>3892</v>
      </c>
      <c r="I1087" t="s">
        <v>464</v>
      </c>
    </row>
    <row r="1088" spans="1:9" x14ac:dyDescent="0.3">
      <c r="A1088">
        <v>79665</v>
      </c>
      <c r="B1088">
        <v>116</v>
      </c>
      <c r="C1088" s="453">
        <v>46113</v>
      </c>
      <c r="D1088" t="s">
        <v>568</v>
      </c>
      <c r="E1088">
        <v>19553</v>
      </c>
      <c r="F1088" t="s">
        <v>4078</v>
      </c>
      <c r="G1088">
        <v>1.5</v>
      </c>
      <c r="H1088" t="s">
        <v>3892</v>
      </c>
      <c r="I1088" t="s">
        <v>464</v>
      </c>
    </row>
    <row r="1089" spans="1:9" x14ac:dyDescent="0.3">
      <c r="A1089">
        <v>79666</v>
      </c>
      <c r="B1089">
        <v>116</v>
      </c>
      <c r="C1089" s="453">
        <v>46113</v>
      </c>
      <c r="D1089" t="s">
        <v>568</v>
      </c>
      <c r="E1089">
        <v>19932</v>
      </c>
      <c r="F1089" t="s">
        <v>4011</v>
      </c>
      <c r="G1089">
        <v>1.5</v>
      </c>
      <c r="H1089" t="s">
        <v>3872</v>
      </c>
      <c r="I1089" t="s">
        <v>464</v>
      </c>
    </row>
    <row r="1090" spans="1:9" x14ac:dyDescent="0.3">
      <c r="A1090">
        <v>79667</v>
      </c>
      <c r="B1090">
        <v>116</v>
      </c>
      <c r="C1090" s="453">
        <v>46113</v>
      </c>
      <c r="D1090" t="s">
        <v>568</v>
      </c>
      <c r="E1090">
        <v>20287</v>
      </c>
      <c r="F1090" t="s">
        <v>4053</v>
      </c>
      <c r="G1090">
        <v>1.5</v>
      </c>
      <c r="H1090" t="s">
        <v>3888</v>
      </c>
      <c r="I1090" t="s">
        <v>464</v>
      </c>
    </row>
    <row r="1091" spans="1:9" x14ac:dyDescent="0.3">
      <c r="A1091">
        <v>79668</v>
      </c>
      <c r="B1091">
        <v>116</v>
      </c>
      <c r="C1091" s="453">
        <v>46113</v>
      </c>
      <c r="D1091" t="s">
        <v>568</v>
      </c>
      <c r="E1091">
        <v>20466</v>
      </c>
      <c r="F1091" t="s">
        <v>4098</v>
      </c>
      <c r="G1091">
        <v>1.5</v>
      </c>
      <c r="H1091" t="s">
        <v>3892</v>
      </c>
      <c r="I1091" t="s">
        <v>464</v>
      </c>
    </row>
    <row r="1092" spans="1:9" x14ac:dyDescent="0.3">
      <c r="A1092">
        <v>79669</v>
      </c>
      <c r="B1092">
        <v>116</v>
      </c>
      <c r="C1092" s="453">
        <v>46113</v>
      </c>
      <c r="D1092" t="s">
        <v>568</v>
      </c>
      <c r="E1092">
        <v>20717</v>
      </c>
      <c r="F1092" t="s">
        <v>4055</v>
      </c>
      <c r="G1092">
        <v>1.5</v>
      </c>
      <c r="H1092" t="s">
        <v>3872</v>
      </c>
      <c r="I1092" t="s">
        <v>464</v>
      </c>
    </row>
    <row r="1093" spans="1:9" x14ac:dyDescent="0.3">
      <c r="A1093">
        <v>79670</v>
      </c>
      <c r="B1093">
        <v>116</v>
      </c>
      <c r="C1093" s="453">
        <v>46113</v>
      </c>
      <c r="D1093" t="s">
        <v>568</v>
      </c>
      <c r="E1093">
        <v>20755</v>
      </c>
      <c r="F1093" t="s">
        <v>4052</v>
      </c>
      <c r="G1093">
        <v>1.5</v>
      </c>
      <c r="H1093" t="s">
        <v>3966</v>
      </c>
      <c r="I1093" t="s">
        <v>464</v>
      </c>
    </row>
    <row r="1094" spans="1:9" x14ac:dyDescent="0.3">
      <c r="A1094">
        <v>79671</v>
      </c>
      <c r="B1094">
        <v>116</v>
      </c>
      <c r="C1094" s="453">
        <v>46113</v>
      </c>
      <c r="D1094" t="s">
        <v>568</v>
      </c>
      <c r="E1094">
        <v>20757</v>
      </c>
      <c r="F1094" t="s">
        <v>4050</v>
      </c>
      <c r="G1094">
        <v>1.5</v>
      </c>
      <c r="H1094" t="s">
        <v>3966</v>
      </c>
      <c r="I1094" t="s">
        <v>464</v>
      </c>
    </row>
    <row r="1095" spans="1:9" x14ac:dyDescent="0.3">
      <c r="A1095">
        <v>79672</v>
      </c>
      <c r="B1095">
        <v>116</v>
      </c>
      <c r="C1095" s="453">
        <v>46113</v>
      </c>
      <c r="D1095" t="s">
        <v>568</v>
      </c>
      <c r="E1095">
        <v>23113</v>
      </c>
      <c r="F1095" t="s">
        <v>4079</v>
      </c>
      <c r="G1095">
        <v>1.5</v>
      </c>
      <c r="H1095" t="s">
        <v>3892</v>
      </c>
      <c r="I1095" t="s">
        <v>464</v>
      </c>
    </row>
    <row r="1096" spans="1:9" x14ac:dyDescent="0.3">
      <c r="A1096">
        <v>79673</v>
      </c>
      <c r="B1096">
        <v>116</v>
      </c>
      <c r="C1096" s="453">
        <v>46113</v>
      </c>
      <c r="D1096" t="s">
        <v>568</v>
      </c>
      <c r="E1096">
        <v>23852</v>
      </c>
      <c r="F1096" t="s">
        <v>4061</v>
      </c>
      <c r="G1096">
        <v>1.5</v>
      </c>
      <c r="H1096" t="s">
        <v>3892</v>
      </c>
      <c r="I1096" t="s">
        <v>464</v>
      </c>
    </row>
    <row r="1097" spans="1:9" x14ac:dyDescent="0.3">
      <c r="A1097">
        <v>79674</v>
      </c>
      <c r="B1097">
        <v>116</v>
      </c>
      <c r="C1097" s="453">
        <v>46113</v>
      </c>
      <c r="D1097" t="s">
        <v>568</v>
      </c>
      <c r="E1097">
        <v>23982</v>
      </c>
      <c r="F1097" t="s">
        <v>3977</v>
      </c>
      <c r="G1097">
        <v>1.5</v>
      </c>
      <c r="H1097" t="s">
        <v>3978</v>
      </c>
      <c r="I1097" t="s">
        <v>464</v>
      </c>
    </row>
    <row r="1098" spans="1:9" x14ac:dyDescent="0.3">
      <c r="A1098">
        <v>79675</v>
      </c>
      <c r="B1098">
        <v>116</v>
      </c>
      <c r="C1098" s="453">
        <v>46113</v>
      </c>
      <c r="D1098" t="s">
        <v>568</v>
      </c>
      <c r="E1098">
        <v>19264</v>
      </c>
      <c r="F1098" t="s">
        <v>4082</v>
      </c>
      <c r="G1098">
        <v>1.4</v>
      </c>
      <c r="H1098" t="s">
        <v>3888</v>
      </c>
      <c r="I1098" t="s">
        <v>464</v>
      </c>
    </row>
    <row r="1099" spans="1:9" x14ac:dyDescent="0.3">
      <c r="A1099">
        <v>79676</v>
      </c>
      <c r="B1099">
        <v>116</v>
      </c>
      <c r="C1099" s="453">
        <v>46113</v>
      </c>
      <c r="D1099" t="s">
        <v>568</v>
      </c>
      <c r="E1099">
        <v>19465</v>
      </c>
      <c r="F1099" t="s">
        <v>4080</v>
      </c>
      <c r="G1099">
        <v>1.3</v>
      </c>
      <c r="H1099" t="s">
        <v>3892</v>
      </c>
      <c r="I1099" t="s">
        <v>464</v>
      </c>
    </row>
    <row r="1100" spans="1:9" x14ac:dyDescent="0.3">
      <c r="A1100">
        <v>79677</v>
      </c>
      <c r="B1100">
        <v>116</v>
      </c>
      <c r="C1100" s="453">
        <v>46113</v>
      </c>
      <c r="D1100" t="s">
        <v>568</v>
      </c>
      <c r="E1100">
        <v>23502</v>
      </c>
      <c r="F1100" t="s">
        <v>4174</v>
      </c>
      <c r="G1100">
        <v>1.3</v>
      </c>
      <c r="H1100" t="s">
        <v>3872</v>
      </c>
      <c r="I1100" t="s">
        <v>464</v>
      </c>
    </row>
    <row r="1101" spans="1:9" x14ac:dyDescent="0.3">
      <c r="A1101">
        <v>79678</v>
      </c>
      <c r="B1101">
        <v>116</v>
      </c>
      <c r="C1101" s="453">
        <v>46113</v>
      </c>
      <c r="D1101" t="s">
        <v>568</v>
      </c>
      <c r="E1101">
        <v>18233</v>
      </c>
      <c r="F1101" t="s">
        <v>4090</v>
      </c>
      <c r="G1101">
        <v>1.2</v>
      </c>
      <c r="H1101" t="s">
        <v>3878</v>
      </c>
      <c r="I1101" t="s">
        <v>464</v>
      </c>
    </row>
    <row r="1102" spans="1:9" x14ac:dyDescent="0.3">
      <c r="A1102">
        <v>79679</v>
      </c>
      <c r="B1102">
        <v>116</v>
      </c>
      <c r="C1102" s="453">
        <v>46113</v>
      </c>
      <c r="D1102" t="s">
        <v>568</v>
      </c>
      <c r="E1102">
        <v>23270</v>
      </c>
      <c r="F1102" t="s">
        <v>4103</v>
      </c>
      <c r="G1102">
        <v>1.2</v>
      </c>
      <c r="H1102" t="s">
        <v>3892</v>
      </c>
      <c r="I1102" t="s">
        <v>464</v>
      </c>
    </row>
    <row r="1103" spans="1:9" x14ac:dyDescent="0.3">
      <c r="A1103">
        <v>79680</v>
      </c>
      <c r="B1103">
        <v>116</v>
      </c>
      <c r="C1103" s="453">
        <v>46113</v>
      </c>
      <c r="D1103" t="s">
        <v>568</v>
      </c>
      <c r="E1103">
        <v>23335</v>
      </c>
      <c r="F1103" t="s">
        <v>4075</v>
      </c>
      <c r="G1103">
        <v>1.2</v>
      </c>
      <c r="H1103" t="s">
        <v>3892</v>
      </c>
      <c r="I1103" t="s">
        <v>464</v>
      </c>
    </row>
    <row r="1104" spans="1:9" x14ac:dyDescent="0.3">
      <c r="A1104">
        <v>79681</v>
      </c>
      <c r="B1104">
        <v>116</v>
      </c>
      <c r="C1104" s="453">
        <v>46113</v>
      </c>
      <c r="D1104" t="s">
        <v>568</v>
      </c>
      <c r="E1104">
        <v>23503</v>
      </c>
      <c r="F1104" t="s">
        <v>4041</v>
      </c>
      <c r="G1104">
        <v>1.2</v>
      </c>
      <c r="H1104" t="s">
        <v>3892</v>
      </c>
      <c r="I1104" t="s">
        <v>464</v>
      </c>
    </row>
    <row r="1105" spans="1:9" x14ac:dyDescent="0.3">
      <c r="A1105">
        <v>79682</v>
      </c>
      <c r="B1105">
        <v>116</v>
      </c>
      <c r="C1105" s="453">
        <v>46113</v>
      </c>
      <c r="D1105" t="s">
        <v>568</v>
      </c>
      <c r="E1105">
        <v>17066</v>
      </c>
      <c r="F1105" t="s">
        <v>4155</v>
      </c>
      <c r="G1105">
        <v>1</v>
      </c>
      <c r="H1105" t="s">
        <v>3892</v>
      </c>
      <c r="I1105" t="s">
        <v>464</v>
      </c>
    </row>
    <row r="1106" spans="1:9" x14ac:dyDescent="0.3">
      <c r="A1106">
        <v>79683</v>
      </c>
      <c r="B1106">
        <v>116</v>
      </c>
      <c r="C1106" s="453">
        <v>46113</v>
      </c>
      <c r="D1106" t="s">
        <v>568</v>
      </c>
      <c r="E1106">
        <v>17878</v>
      </c>
      <c r="F1106" t="s">
        <v>4096</v>
      </c>
      <c r="G1106">
        <v>1</v>
      </c>
      <c r="H1106" t="s">
        <v>3872</v>
      </c>
      <c r="I1106" t="s">
        <v>464</v>
      </c>
    </row>
    <row r="1107" spans="1:9" x14ac:dyDescent="0.3">
      <c r="A1107">
        <v>79684</v>
      </c>
      <c r="B1107">
        <v>116</v>
      </c>
      <c r="C1107" s="453">
        <v>46113</v>
      </c>
      <c r="D1107" t="s">
        <v>568</v>
      </c>
      <c r="E1107">
        <v>17897</v>
      </c>
      <c r="F1107" t="s">
        <v>4094</v>
      </c>
      <c r="G1107">
        <v>1</v>
      </c>
      <c r="H1107" t="s">
        <v>3888</v>
      </c>
      <c r="I1107" t="s">
        <v>464</v>
      </c>
    </row>
    <row r="1108" spans="1:9" x14ac:dyDescent="0.3">
      <c r="A1108">
        <v>79685</v>
      </c>
      <c r="B1108">
        <v>116</v>
      </c>
      <c r="C1108" s="453">
        <v>46113</v>
      </c>
      <c r="D1108" t="s">
        <v>568</v>
      </c>
      <c r="E1108">
        <v>18030</v>
      </c>
      <c r="F1108" t="s">
        <v>4033</v>
      </c>
      <c r="G1108">
        <v>1</v>
      </c>
      <c r="H1108" t="s">
        <v>3878</v>
      </c>
      <c r="I1108" t="s">
        <v>464</v>
      </c>
    </row>
    <row r="1109" spans="1:9" x14ac:dyDescent="0.3">
      <c r="A1109">
        <v>79686</v>
      </c>
      <c r="B1109">
        <v>116</v>
      </c>
      <c r="C1109" s="453">
        <v>46113</v>
      </c>
      <c r="D1109" t="s">
        <v>568</v>
      </c>
      <c r="E1109">
        <v>18119</v>
      </c>
      <c r="F1109" t="s">
        <v>4093</v>
      </c>
      <c r="G1109">
        <v>1</v>
      </c>
      <c r="H1109" t="s">
        <v>3878</v>
      </c>
      <c r="I1109" t="s">
        <v>464</v>
      </c>
    </row>
    <row r="1110" spans="1:9" x14ac:dyDescent="0.3">
      <c r="A1110">
        <v>79687</v>
      </c>
      <c r="B1110">
        <v>116</v>
      </c>
      <c r="C1110" s="453">
        <v>46113</v>
      </c>
      <c r="D1110" t="s">
        <v>568</v>
      </c>
      <c r="E1110">
        <v>18129</v>
      </c>
      <c r="F1110" t="s">
        <v>4092</v>
      </c>
      <c r="G1110">
        <v>1</v>
      </c>
      <c r="H1110" t="s">
        <v>3878</v>
      </c>
      <c r="I1110" t="s">
        <v>464</v>
      </c>
    </row>
    <row r="1111" spans="1:9" x14ac:dyDescent="0.3">
      <c r="A1111">
        <v>79688</v>
      </c>
      <c r="B1111">
        <v>116</v>
      </c>
      <c r="C1111" s="453">
        <v>46113</v>
      </c>
      <c r="D1111" t="s">
        <v>568</v>
      </c>
      <c r="E1111">
        <v>18312</v>
      </c>
      <c r="F1111" t="s">
        <v>4089</v>
      </c>
      <c r="G1111">
        <v>1</v>
      </c>
      <c r="H1111" t="s">
        <v>3878</v>
      </c>
      <c r="I1111" t="s">
        <v>464</v>
      </c>
    </row>
    <row r="1112" spans="1:9" x14ac:dyDescent="0.3">
      <c r="A1112">
        <v>79689</v>
      </c>
      <c r="B1112">
        <v>116</v>
      </c>
      <c r="C1112" s="453">
        <v>46113</v>
      </c>
      <c r="D1112" t="s">
        <v>568</v>
      </c>
      <c r="E1112">
        <v>18317</v>
      </c>
      <c r="F1112" t="s">
        <v>4045</v>
      </c>
      <c r="G1112">
        <v>1</v>
      </c>
      <c r="H1112" t="s">
        <v>3878</v>
      </c>
      <c r="I1112" t="s">
        <v>464</v>
      </c>
    </row>
    <row r="1113" spans="1:9" x14ac:dyDescent="0.3">
      <c r="A1113">
        <v>79690</v>
      </c>
      <c r="B1113">
        <v>116</v>
      </c>
      <c r="C1113" s="453">
        <v>46113</v>
      </c>
      <c r="D1113" t="s">
        <v>568</v>
      </c>
      <c r="E1113">
        <v>18327</v>
      </c>
      <c r="F1113" t="s">
        <v>4087</v>
      </c>
      <c r="G1113">
        <v>1</v>
      </c>
      <c r="H1113" t="s">
        <v>3878</v>
      </c>
      <c r="I1113" t="s">
        <v>464</v>
      </c>
    </row>
    <row r="1114" spans="1:9" x14ac:dyDescent="0.3">
      <c r="A1114">
        <v>79691</v>
      </c>
      <c r="B1114">
        <v>116</v>
      </c>
      <c r="C1114" s="453">
        <v>46113</v>
      </c>
      <c r="D1114" t="s">
        <v>568</v>
      </c>
      <c r="E1114">
        <v>18341</v>
      </c>
      <c r="F1114" t="s">
        <v>4086</v>
      </c>
      <c r="G1114">
        <v>1</v>
      </c>
      <c r="H1114" t="s">
        <v>3878</v>
      </c>
      <c r="I1114" t="s">
        <v>464</v>
      </c>
    </row>
    <row r="1115" spans="1:9" x14ac:dyDescent="0.3">
      <c r="A1115">
        <v>79692</v>
      </c>
      <c r="B1115">
        <v>116</v>
      </c>
      <c r="C1115" s="453">
        <v>46113</v>
      </c>
      <c r="D1115" t="s">
        <v>568</v>
      </c>
      <c r="E1115">
        <v>18394</v>
      </c>
      <c r="F1115" t="s">
        <v>4044</v>
      </c>
      <c r="G1115">
        <v>1</v>
      </c>
      <c r="H1115" t="s">
        <v>3878</v>
      </c>
      <c r="I1115" t="s">
        <v>464</v>
      </c>
    </row>
    <row r="1116" spans="1:9" x14ac:dyDescent="0.3">
      <c r="A1116">
        <v>79693</v>
      </c>
      <c r="B1116">
        <v>116</v>
      </c>
      <c r="C1116" s="453">
        <v>46113</v>
      </c>
      <c r="D1116" t="s">
        <v>568</v>
      </c>
      <c r="E1116">
        <v>18395</v>
      </c>
      <c r="F1116" t="s">
        <v>4085</v>
      </c>
      <c r="G1116">
        <v>1</v>
      </c>
      <c r="H1116" t="s">
        <v>3878</v>
      </c>
      <c r="I1116" t="s">
        <v>464</v>
      </c>
    </row>
    <row r="1117" spans="1:9" x14ac:dyDescent="0.3">
      <c r="A1117">
        <v>79694</v>
      </c>
      <c r="B1117">
        <v>116</v>
      </c>
      <c r="C1117" s="453">
        <v>46113</v>
      </c>
      <c r="D1117" t="s">
        <v>568</v>
      </c>
      <c r="E1117">
        <v>18534</v>
      </c>
      <c r="F1117" t="s">
        <v>4084</v>
      </c>
      <c r="G1117">
        <v>1</v>
      </c>
      <c r="H1117" t="s">
        <v>3878</v>
      </c>
      <c r="I1117" t="s">
        <v>464</v>
      </c>
    </row>
    <row r="1118" spans="1:9" x14ac:dyDescent="0.3">
      <c r="A1118">
        <v>79695</v>
      </c>
      <c r="B1118">
        <v>116</v>
      </c>
      <c r="C1118" s="453">
        <v>46113</v>
      </c>
      <c r="D1118" t="s">
        <v>568</v>
      </c>
      <c r="E1118">
        <v>19498</v>
      </c>
      <c r="F1118" t="s">
        <v>4065</v>
      </c>
      <c r="G1118">
        <v>1</v>
      </c>
      <c r="H1118" t="s">
        <v>3892</v>
      </c>
      <c r="I1118" t="s">
        <v>464</v>
      </c>
    </row>
    <row r="1119" spans="1:9" x14ac:dyDescent="0.3">
      <c r="A1119">
        <v>79696</v>
      </c>
      <c r="B1119">
        <v>116</v>
      </c>
      <c r="C1119" s="453">
        <v>46113</v>
      </c>
      <c r="D1119" t="s">
        <v>568</v>
      </c>
      <c r="E1119">
        <v>19574</v>
      </c>
      <c r="F1119" t="s">
        <v>4077</v>
      </c>
      <c r="G1119">
        <v>1</v>
      </c>
      <c r="H1119" t="s">
        <v>3892</v>
      </c>
      <c r="I1119" t="s">
        <v>464</v>
      </c>
    </row>
    <row r="1120" spans="1:9" x14ac:dyDescent="0.3">
      <c r="A1120">
        <v>79697</v>
      </c>
      <c r="B1120">
        <v>116</v>
      </c>
      <c r="C1120" s="453">
        <v>46113</v>
      </c>
      <c r="D1120" t="s">
        <v>568</v>
      </c>
      <c r="E1120">
        <v>19583</v>
      </c>
      <c r="F1120" t="s">
        <v>4076</v>
      </c>
      <c r="G1120">
        <v>1</v>
      </c>
      <c r="H1120" t="s">
        <v>3892</v>
      </c>
      <c r="I1120" t="s">
        <v>464</v>
      </c>
    </row>
    <row r="1121" spans="1:9" x14ac:dyDescent="0.3">
      <c r="A1121">
        <v>79698</v>
      </c>
      <c r="B1121">
        <v>116</v>
      </c>
      <c r="C1121" s="453">
        <v>46113</v>
      </c>
      <c r="D1121" t="s">
        <v>568</v>
      </c>
      <c r="E1121">
        <v>19642</v>
      </c>
      <c r="F1121" t="s">
        <v>4067</v>
      </c>
      <c r="G1121">
        <v>1</v>
      </c>
      <c r="H1121" t="s">
        <v>3892</v>
      </c>
      <c r="I1121" t="s">
        <v>464</v>
      </c>
    </row>
    <row r="1122" spans="1:9" x14ac:dyDescent="0.3">
      <c r="A1122">
        <v>79699</v>
      </c>
      <c r="B1122">
        <v>116</v>
      </c>
      <c r="C1122" s="453">
        <v>46113</v>
      </c>
      <c r="D1122" t="s">
        <v>568</v>
      </c>
      <c r="E1122">
        <v>19647</v>
      </c>
      <c r="F1122" t="s">
        <v>4066</v>
      </c>
      <c r="G1122">
        <v>1</v>
      </c>
      <c r="H1122" t="s">
        <v>3892</v>
      </c>
      <c r="I1122" t="s">
        <v>464</v>
      </c>
    </row>
    <row r="1123" spans="1:9" x14ac:dyDescent="0.3">
      <c r="A1123">
        <v>79700</v>
      </c>
      <c r="B1123">
        <v>116</v>
      </c>
      <c r="C1123" s="453">
        <v>46113</v>
      </c>
      <c r="D1123" t="s">
        <v>568</v>
      </c>
      <c r="E1123">
        <v>19689</v>
      </c>
      <c r="F1123" t="s">
        <v>4073</v>
      </c>
      <c r="G1123">
        <v>1</v>
      </c>
      <c r="H1123" t="s">
        <v>3892</v>
      </c>
      <c r="I1123" t="s">
        <v>464</v>
      </c>
    </row>
    <row r="1124" spans="1:9" x14ac:dyDescent="0.3">
      <c r="A1124">
        <v>79701</v>
      </c>
      <c r="B1124">
        <v>116</v>
      </c>
      <c r="C1124" s="453">
        <v>46113</v>
      </c>
      <c r="D1124" t="s">
        <v>568</v>
      </c>
      <c r="E1124">
        <v>19742</v>
      </c>
      <c r="F1124" t="s">
        <v>4074</v>
      </c>
      <c r="G1124">
        <v>1</v>
      </c>
      <c r="H1124" t="s">
        <v>3892</v>
      </c>
      <c r="I1124" t="s">
        <v>464</v>
      </c>
    </row>
    <row r="1125" spans="1:9" x14ac:dyDescent="0.3">
      <c r="A1125">
        <v>79702</v>
      </c>
      <c r="B1125">
        <v>116</v>
      </c>
      <c r="C1125" s="453">
        <v>46113</v>
      </c>
      <c r="D1125" t="s">
        <v>568</v>
      </c>
      <c r="E1125">
        <v>19752</v>
      </c>
      <c r="F1125" t="s">
        <v>4042</v>
      </c>
      <c r="G1125">
        <v>1</v>
      </c>
      <c r="H1125" t="s">
        <v>3892</v>
      </c>
      <c r="I1125" t="s">
        <v>464</v>
      </c>
    </row>
    <row r="1126" spans="1:9" x14ac:dyDescent="0.3">
      <c r="A1126">
        <v>79703</v>
      </c>
      <c r="B1126">
        <v>116</v>
      </c>
      <c r="C1126" s="453">
        <v>46113</v>
      </c>
      <c r="D1126" t="s">
        <v>568</v>
      </c>
      <c r="E1126">
        <v>19765</v>
      </c>
      <c r="F1126" t="s">
        <v>4071</v>
      </c>
      <c r="G1126">
        <v>1</v>
      </c>
      <c r="H1126" t="s">
        <v>3892</v>
      </c>
      <c r="I1126" t="s">
        <v>464</v>
      </c>
    </row>
    <row r="1127" spans="1:9" x14ac:dyDescent="0.3">
      <c r="A1127">
        <v>79704</v>
      </c>
      <c r="B1127">
        <v>116</v>
      </c>
      <c r="C1127" s="453">
        <v>46113</v>
      </c>
      <c r="D1127" t="s">
        <v>568</v>
      </c>
      <c r="E1127">
        <v>20250</v>
      </c>
      <c r="F1127" t="s">
        <v>4008</v>
      </c>
      <c r="G1127">
        <v>1</v>
      </c>
      <c r="H1127" t="s">
        <v>3888</v>
      </c>
      <c r="I1127" t="s">
        <v>464</v>
      </c>
    </row>
    <row r="1128" spans="1:9" x14ac:dyDescent="0.3">
      <c r="A1128">
        <v>79705</v>
      </c>
      <c r="B1128">
        <v>116</v>
      </c>
      <c r="C1128" s="453">
        <v>46113</v>
      </c>
      <c r="D1128" t="s">
        <v>568</v>
      </c>
      <c r="E1128">
        <v>20395</v>
      </c>
      <c r="F1128" t="s">
        <v>4057</v>
      </c>
      <c r="G1128">
        <v>1</v>
      </c>
      <c r="H1128" t="s">
        <v>3872</v>
      </c>
      <c r="I1128" t="s">
        <v>464</v>
      </c>
    </row>
    <row r="1129" spans="1:9" x14ac:dyDescent="0.3">
      <c r="A1129">
        <v>79706</v>
      </c>
      <c r="B1129">
        <v>116</v>
      </c>
      <c r="C1129" s="453">
        <v>46113</v>
      </c>
      <c r="D1129" t="s">
        <v>568</v>
      </c>
      <c r="E1129">
        <v>20429</v>
      </c>
      <c r="F1129" t="s">
        <v>4051</v>
      </c>
      <c r="G1129">
        <v>1</v>
      </c>
      <c r="H1129" t="s">
        <v>3872</v>
      </c>
      <c r="I1129" t="s">
        <v>464</v>
      </c>
    </row>
    <row r="1130" spans="1:9" x14ac:dyDescent="0.3">
      <c r="A1130">
        <v>79707</v>
      </c>
      <c r="B1130">
        <v>116</v>
      </c>
      <c r="C1130" s="453">
        <v>46113</v>
      </c>
      <c r="D1130" t="s">
        <v>568</v>
      </c>
      <c r="E1130">
        <v>20597</v>
      </c>
      <c r="F1130" t="s">
        <v>4157</v>
      </c>
      <c r="G1130">
        <v>1</v>
      </c>
      <c r="H1130" t="s">
        <v>3872</v>
      </c>
      <c r="I1130" t="s">
        <v>464</v>
      </c>
    </row>
    <row r="1131" spans="1:9" x14ac:dyDescent="0.3">
      <c r="A1131">
        <v>79708</v>
      </c>
      <c r="B1131">
        <v>116</v>
      </c>
      <c r="C1131" s="453">
        <v>46113</v>
      </c>
      <c r="D1131" t="s">
        <v>568</v>
      </c>
      <c r="E1131">
        <v>20702</v>
      </c>
      <c r="F1131" t="s">
        <v>4006</v>
      </c>
      <c r="G1131">
        <v>1</v>
      </c>
      <c r="H1131" t="s">
        <v>3966</v>
      </c>
      <c r="I1131" t="s">
        <v>464</v>
      </c>
    </row>
    <row r="1132" spans="1:9" x14ac:dyDescent="0.3">
      <c r="A1132">
        <v>79709</v>
      </c>
      <c r="B1132">
        <v>116</v>
      </c>
      <c r="C1132" s="453">
        <v>46113</v>
      </c>
      <c r="D1132" t="s">
        <v>568</v>
      </c>
      <c r="E1132">
        <v>21078</v>
      </c>
      <c r="F1132" t="s">
        <v>4049</v>
      </c>
      <c r="G1132">
        <v>1</v>
      </c>
      <c r="H1132" t="s">
        <v>3881</v>
      </c>
      <c r="I1132" t="s">
        <v>464</v>
      </c>
    </row>
    <row r="1133" spans="1:9" x14ac:dyDescent="0.3">
      <c r="A1133">
        <v>79710</v>
      </c>
      <c r="B1133">
        <v>116</v>
      </c>
      <c r="C1133" s="453">
        <v>46113</v>
      </c>
      <c r="D1133" t="s">
        <v>568</v>
      </c>
      <c r="E1133">
        <v>21085</v>
      </c>
      <c r="F1133" t="s">
        <v>4114</v>
      </c>
      <c r="G1133">
        <v>1</v>
      </c>
      <c r="H1133" t="s">
        <v>3881</v>
      </c>
      <c r="I1133" t="s">
        <v>464</v>
      </c>
    </row>
    <row r="1134" spans="1:9" x14ac:dyDescent="0.3">
      <c r="A1134">
        <v>79711</v>
      </c>
      <c r="B1134">
        <v>116</v>
      </c>
      <c r="C1134" s="453">
        <v>46113</v>
      </c>
      <c r="D1134" t="s">
        <v>568</v>
      </c>
      <c r="E1134">
        <v>23142</v>
      </c>
      <c r="F1134" t="s">
        <v>4151</v>
      </c>
      <c r="G1134">
        <v>1</v>
      </c>
      <c r="H1134" t="s">
        <v>3892</v>
      </c>
      <c r="I1134" t="s">
        <v>464</v>
      </c>
    </row>
    <row r="1135" spans="1:9" x14ac:dyDescent="0.3">
      <c r="A1135">
        <v>79712</v>
      </c>
      <c r="B1135">
        <v>116</v>
      </c>
      <c r="C1135" s="453">
        <v>46113</v>
      </c>
      <c r="D1135" t="s">
        <v>568</v>
      </c>
      <c r="E1135">
        <v>24400</v>
      </c>
      <c r="F1135" t="s">
        <v>4149</v>
      </c>
      <c r="G1135">
        <v>1</v>
      </c>
      <c r="H1135" t="s">
        <v>3872</v>
      </c>
      <c r="I1135" t="s">
        <v>464</v>
      </c>
    </row>
    <row r="1136" spans="1:9" x14ac:dyDescent="0.3">
      <c r="A1136">
        <v>79713</v>
      </c>
      <c r="B1136">
        <v>116</v>
      </c>
      <c r="C1136" s="453">
        <v>46113</v>
      </c>
      <c r="D1136" t="s">
        <v>568</v>
      </c>
      <c r="E1136">
        <v>24599</v>
      </c>
      <c r="F1136" t="s">
        <v>3897</v>
      </c>
      <c r="G1136">
        <v>1</v>
      </c>
      <c r="H1136" t="s">
        <v>3888</v>
      </c>
      <c r="I1136" t="s">
        <v>464</v>
      </c>
    </row>
    <row r="1137" spans="1:9" x14ac:dyDescent="0.3">
      <c r="A1137">
        <v>79714</v>
      </c>
      <c r="B1137">
        <v>116</v>
      </c>
      <c r="C1137" s="453">
        <v>46113</v>
      </c>
      <c r="D1137" t="s">
        <v>568</v>
      </c>
      <c r="E1137">
        <v>19405</v>
      </c>
      <c r="F1137" t="s">
        <v>4097</v>
      </c>
      <c r="G1137">
        <v>0.9</v>
      </c>
      <c r="H1137" t="s">
        <v>3892</v>
      </c>
      <c r="I1137" t="s">
        <v>464</v>
      </c>
    </row>
    <row r="1138" spans="1:9" x14ac:dyDescent="0.3">
      <c r="A1138">
        <v>79715</v>
      </c>
      <c r="B1138">
        <v>116</v>
      </c>
      <c r="C1138" s="453">
        <v>46113</v>
      </c>
      <c r="D1138" t="s">
        <v>568</v>
      </c>
      <c r="E1138">
        <v>23385</v>
      </c>
      <c r="F1138" t="s">
        <v>4069</v>
      </c>
      <c r="G1138">
        <v>0.9</v>
      </c>
      <c r="H1138" t="s">
        <v>3892</v>
      </c>
      <c r="I1138" t="s">
        <v>464</v>
      </c>
    </row>
    <row r="1139" spans="1:9" x14ac:dyDescent="0.3">
      <c r="A1139">
        <v>79716</v>
      </c>
      <c r="B1139">
        <v>116</v>
      </c>
      <c r="C1139" s="453">
        <v>46113</v>
      </c>
      <c r="D1139" t="s">
        <v>568</v>
      </c>
      <c r="E1139">
        <v>19478</v>
      </c>
      <c r="F1139" t="s">
        <v>4072</v>
      </c>
      <c r="G1139">
        <v>0.8</v>
      </c>
      <c r="H1139" t="s">
        <v>3892</v>
      </c>
      <c r="I1139" t="s">
        <v>464</v>
      </c>
    </row>
    <row r="1140" spans="1:9" x14ac:dyDescent="0.3">
      <c r="A1140">
        <v>79717</v>
      </c>
      <c r="B1140">
        <v>116</v>
      </c>
      <c r="C1140" s="453">
        <v>46113</v>
      </c>
      <c r="D1140" t="s">
        <v>568</v>
      </c>
      <c r="E1140">
        <v>19607</v>
      </c>
      <c r="F1140" t="s">
        <v>4105</v>
      </c>
      <c r="G1140">
        <v>0.7</v>
      </c>
      <c r="H1140" t="s">
        <v>3892</v>
      </c>
      <c r="I1140" t="s">
        <v>464</v>
      </c>
    </row>
    <row r="1141" spans="1:9" x14ac:dyDescent="0.3">
      <c r="A1141">
        <v>79718</v>
      </c>
      <c r="B1141">
        <v>116</v>
      </c>
      <c r="C1141" s="453">
        <v>46113</v>
      </c>
      <c r="D1141" t="s">
        <v>568</v>
      </c>
      <c r="E1141">
        <v>24484</v>
      </c>
      <c r="F1141" t="s">
        <v>4154</v>
      </c>
      <c r="G1141">
        <v>0.6</v>
      </c>
      <c r="H1141" t="s">
        <v>3892</v>
      </c>
      <c r="I1141" t="s">
        <v>464</v>
      </c>
    </row>
    <row r="1142" spans="1:9" x14ac:dyDescent="0.3">
      <c r="A1142">
        <v>79719</v>
      </c>
      <c r="B1142">
        <v>116</v>
      </c>
      <c r="C1142" s="453">
        <v>46113</v>
      </c>
      <c r="D1142" t="s">
        <v>568</v>
      </c>
      <c r="E1142">
        <v>17917</v>
      </c>
      <c r="F1142" t="s">
        <v>4144</v>
      </c>
      <c r="G1142">
        <v>0.5</v>
      </c>
      <c r="H1142" t="s">
        <v>3888</v>
      </c>
      <c r="I1142" t="s">
        <v>464</v>
      </c>
    </row>
    <row r="1143" spans="1:9" x14ac:dyDescent="0.3">
      <c r="A1143">
        <v>79720</v>
      </c>
      <c r="B1143">
        <v>116</v>
      </c>
      <c r="C1143" s="453">
        <v>46113</v>
      </c>
      <c r="D1143" t="s">
        <v>568</v>
      </c>
      <c r="E1143">
        <v>19555</v>
      </c>
      <c r="F1143" t="s">
        <v>4109</v>
      </c>
      <c r="G1143">
        <v>0.5</v>
      </c>
      <c r="H1143" t="s">
        <v>3892</v>
      </c>
      <c r="I1143" t="s">
        <v>464</v>
      </c>
    </row>
    <row r="1144" spans="1:9" x14ac:dyDescent="0.3">
      <c r="A1144">
        <v>79721</v>
      </c>
      <c r="B1144">
        <v>116</v>
      </c>
      <c r="C1144" s="453">
        <v>46113</v>
      </c>
      <c r="D1144" t="s">
        <v>568</v>
      </c>
      <c r="E1144">
        <v>19617</v>
      </c>
      <c r="F1144" t="s">
        <v>4110</v>
      </c>
      <c r="G1144">
        <v>0.5</v>
      </c>
      <c r="H1144" t="s">
        <v>3892</v>
      </c>
      <c r="I1144" t="s">
        <v>464</v>
      </c>
    </row>
    <row r="1145" spans="1:9" x14ac:dyDescent="0.3">
      <c r="A1145">
        <v>79722</v>
      </c>
      <c r="B1145">
        <v>116</v>
      </c>
      <c r="C1145" s="453">
        <v>46113</v>
      </c>
      <c r="D1145" t="s">
        <v>568</v>
      </c>
      <c r="E1145">
        <v>19773</v>
      </c>
      <c r="F1145" t="s">
        <v>4168</v>
      </c>
      <c r="G1145">
        <v>0.5</v>
      </c>
      <c r="H1145" t="s">
        <v>3892</v>
      </c>
      <c r="I1145" t="s">
        <v>464</v>
      </c>
    </row>
    <row r="1146" spans="1:9" x14ac:dyDescent="0.3">
      <c r="A1146">
        <v>79723</v>
      </c>
      <c r="B1146">
        <v>116</v>
      </c>
      <c r="C1146" s="453">
        <v>46113</v>
      </c>
      <c r="D1146" t="s">
        <v>568</v>
      </c>
      <c r="E1146">
        <v>23505</v>
      </c>
      <c r="F1146" t="s">
        <v>4124</v>
      </c>
      <c r="G1146">
        <v>0.5</v>
      </c>
      <c r="H1146" t="s">
        <v>3892</v>
      </c>
      <c r="I1146" t="s">
        <v>464</v>
      </c>
    </row>
    <row r="1147" spans="1:9" x14ac:dyDescent="0.3">
      <c r="A1147">
        <v>79724</v>
      </c>
      <c r="B1147">
        <v>116</v>
      </c>
      <c r="C1147" s="453">
        <v>46113</v>
      </c>
      <c r="D1147" t="s">
        <v>568</v>
      </c>
      <c r="E1147">
        <v>23622</v>
      </c>
      <c r="F1147" t="s">
        <v>4150</v>
      </c>
      <c r="G1147">
        <v>0.5</v>
      </c>
      <c r="H1147" t="s">
        <v>3892</v>
      </c>
      <c r="I1147" t="s">
        <v>464</v>
      </c>
    </row>
    <row r="1148" spans="1:9" x14ac:dyDescent="0.3">
      <c r="A1148">
        <v>79725</v>
      </c>
      <c r="B1148">
        <v>116</v>
      </c>
      <c r="C1148" s="453">
        <v>46113</v>
      </c>
      <c r="D1148" t="s">
        <v>568</v>
      </c>
      <c r="E1148">
        <v>24037</v>
      </c>
      <c r="F1148" t="s">
        <v>4104</v>
      </c>
      <c r="G1148">
        <v>0.5</v>
      </c>
      <c r="H1148" t="s">
        <v>3892</v>
      </c>
      <c r="I1148" t="s">
        <v>464</v>
      </c>
    </row>
    <row r="1149" spans="1:9" x14ac:dyDescent="0.3">
      <c r="A1149">
        <v>79726</v>
      </c>
      <c r="B1149">
        <v>116</v>
      </c>
      <c r="C1149" s="453">
        <v>46113</v>
      </c>
      <c r="D1149" t="s">
        <v>568</v>
      </c>
      <c r="E1149">
        <v>23120</v>
      </c>
      <c r="F1149" t="s">
        <v>4111</v>
      </c>
      <c r="G1149">
        <v>0.3</v>
      </c>
      <c r="H1149" t="s">
        <v>3892</v>
      </c>
      <c r="I1149" t="s">
        <v>464</v>
      </c>
    </row>
    <row r="1150" spans="1:9" x14ac:dyDescent="0.3">
      <c r="A1150">
        <v>79727</v>
      </c>
      <c r="B1150">
        <v>116</v>
      </c>
      <c r="C1150" s="453">
        <v>46113</v>
      </c>
      <c r="D1150" t="s">
        <v>568</v>
      </c>
      <c r="E1150">
        <v>19480</v>
      </c>
      <c r="F1150" t="s">
        <v>4113</v>
      </c>
      <c r="G1150">
        <v>0.2</v>
      </c>
      <c r="H1150" t="s">
        <v>3892</v>
      </c>
      <c r="I1150" t="s">
        <v>464</v>
      </c>
    </row>
    <row r="1151" spans="1:9" x14ac:dyDescent="0.3">
      <c r="A1151">
        <v>79728</v>
      </c>
      <c r="B1151">
        <v>116</v>
      </c>
      <c r="C1151" s="453">
        <v>46113</v>
      </c>
      <c r="D1151" t="s">
        <v>568</v>
      </c>
      <c r="E1151">
        <v>19506</v>
      </c>
      <c r="F1151" t="s">
        <v>4112</v>
      </c>
      <c r="G1151">
        <v>0.2</v>
      </c>
      <c r="H1151" t="s">
        <v>3892</v>
      </c>
      <c r="I1151" t="s">
        <v>464</v>
      </c>
    </row>
    <row r="1152" spans="1:9" x14ac:dyDescent="0.3">
      <c r="A1152">
        <v>85774</v>
      </c>
      <c r="B1152">
        <v>116</v>
      </c>
      <c r="C1152" s="453">
        <v>46143</v>
      </c>
      <c r="D1152" t="s">
        <v>568</v>
      </c>
      <c r="E1152">
        <v>18636</v>
      </c>
      <c r="F1152" t="s">
        <v>3921</v>
      </c>
      <c r="G1152">
        <v>13.5</v>
      </c>
      <c r="H1152" t="s">
        <v>3922</v>
      </c>
      <c r="I1152" t="s">
        <v>465</v>
      </c>
    </row>
    <row r="1153" spans="1:9" x14ac:dyDescent="0.3">
      <c r="A1153">
        <v>85775</v>
      </c>
      <c r="B1153">
        <v>116</v>
      </c>
      <c r="C1153" s="453">
        <v>46143</v>
      </c>
      <c r="D1153" t="s">
        <v>568</v>
      </c>
      <c r="E1153">
        <v>19297</v>
      </c>
      <c r="F1153" t="s">
        <v>3949</v>
      </c>
      <c r="G1153">
        <v>35.799999999999997</v>
      </c>
      <c r="H1153" t="s">
        <v>3892</v>
      </c>
      <c r="I1153" t="s">
        <v>465</v>
      </c>
    </row>
    <row r="1154" spans="1:9" x14ac:dyDescent="0.3">
      <c r="A1154">
        <v>85776</v>
      </c>
      <c r="B1154">
        <v>116</v>
      </c>
      <c r="C1154" s="453">
        <v>46143</v>
      </c>
      <c r="D1154" t="s">
        <v>568</v>
      </c>
      <c r="E1154">
        <v>22734</v>
      </c>
      <c r="F1154" t="s">
        <v>3955</v>
      </c>
      <c r="G1154">
        <v>17.2</v>
      </c>
      <c r="H1154" t="s">
        <v>3892</v>
      </c>
      <c r="I1154" t="s">
        <v>465</v>
      </c>
    </row>
    <row r="1155" spans="1:9" x14ac:dyDescent="0.3">
      <c r="A1155">
        <v>85777</v>
      </c>
      <c r="B1155">
        <v>116</v>
      </c>
      <c r="C1155" s="453">
        <v>46143</v>
      </c>
      <c r="D1155" t="s">
        <v>568</v>
      </c>
      <c r="E1155">
        <v>18640</v>
      </c>
      <c r="F1155" t="s">
        <v>3994</v>
      </c>
      <c r="G1155">
        <v>4.5</v>
      </c>
      <c r="H1155" t="s">
        <v>3922</v>
      </c>
      <c r="I1155" t="s">
        <v>465</v>
      </c>
    </row>
    <row r="1156" spans="1:9" x14ac:dyDescent="0.3">
      <c r="A1156">
        <v>85778</v>
      </c>
      <c r="B1156">
        <v>116</v>
      </c>
      <c r="C1156" s="453">
        <v>46143</v>
      </c>
      <c r="D1156" t="s">
        <v>568</v>
      </c>
      <c r="E1156">
        <v>22515</v>
      </c>
      <c r="F1156" t="s">
        <v>3883</v>
      </c>
      <c r="G1156">
        <v>30.5</v>
      </c>
      <c r="H1156" t="s">
        <v>3884</v>
      </c>
      <c r="I1156" t="s">
        <v>465</v>
      </c>
    </row>
    <row r="1157" spans="1:9" x14ac:dyDescent="0.3">
      <c r="A1157">
        <v>85779</v>
      </c>
      <c r="B1157">
        <v>116</v>
      </c>
      <c r="C1157" s="453">
        <v>46143</v>
      </c>
      <c r="D1157" t="s">
        <v>568</v>
      </c>
      <c r="E1157">
        <v>18764</v>
      </c>
      <c r="F1157" t="s">
        <v>3907</v>
      </c>
      <c r="G1157">
        <v>13.4</v>
      </c>
      <c r="H1157" t="s">
        <v>3892</v>
      </c>
      <c r="I1157" t="s">
        <v>465</v>
      </c>
    </row>
    <row r="1158" spans="1:9" x14ac:dyDescent="0.3">
      <c r="A1158">
        <v>85780</v>
      </c>
      <c r="B1158">
        <v>116</v>
      </c>
      <c r="C1158" s="453">
        <v>46143</v>
      </c>
      <c r="D1158" t="s">
        <v>568</v>
      </c>
      <c r="E1158">
        <v>22857</v>
      </c>
      <c r="F1158" t="s">
        <v>4130</v>
      </c>
      <c r="G1158">
        <v>16.5</v>
      </c>
      <c r="H1158" t="s">
        <v>3892</v>
      </c>
      <c r="I1158" t="s">
        <v>465</v>
      </c>
    </row>
    <row r="1159" spans="1:9" x14ac:dyDescent="0.3">
      <c r="A1159">
        <v>85781</v>
      </c>
      <c r="B1159">
        <v>116</v>
      </c>
      <c r="C1159" s="453">
        <v>46143</v>
      </c>
      <c r="D1159" t="s">
        <v>568</v>
      </c>
      <c r="E1159">
        <v>18247</v>
      </c>
      <c r="F1159" t="s">
        <v>3877</v>
      </c>
      <c r="G1159">
        <v>16</v>
      </c>
      <c r="H1159" t="s">
        <v>3878</v>
      </c>
      <c r="I1159" t="s">
        <v>465</v>
      </c>
    </row>
    <row r="1160" spans="1:9" x14ac:dyDescent="0.3">
      <c r="A1160">
        <v>85782</v>
      </c>
      <c r="B1160">
        <v>116</v>
      </c>
      <c r="C1160" s="453">
        <v>46143</v>
      </c>
      <c r="D1160" t="s">
        <v>568</v>
      </c>
      <c r="E1160">
        <v>24599</v>
      </c>
      <c r="F1160" t="s">
        <v>3897</v>
      </c>
      <c r="G1160">
        <v>0.38</v>
      </c>
      <c r="H1160" t="s">
        <v>3888</v>
      </c>
      <c r="I1160" t="s">
        <v>465</v>
      </c>
    </row>
    <row r="1161" spans="1:9" x14ac:dyDescent="0.3">
      <c r="A1161">
        <v>85783</v>
      </c>
      <c r="B1161">
        <v>116</v>
      </c>
      <c r="C1161" s="453">
        <v>46143</v>
      </c>
      <c r="D1161" t="s">
        <v>568</v>
      </c>
      <c r="E1161">
        <v>18832</v>
      </c>
      <c r="F1161" t="s">
        <v>3900</v>
      </c>
      <c r="G1161">
        <v>25</v>
      </c>
      <c r="H1161" t="s">
        <v>3892</v>
      </c>
      <c r="I1161" t="s">
        <v>465</v>
      </c>
    </row>
    <row r="1162" spans="1:9" x14ac:dyDescent="0.3">
      <c r="A1162">
        <v>85784</v>
      </c>
      <c r="B1162">
        <v>116</v>
      </c>
      <c r="C1162" s="453">
        <v>46143</v>
      </c>
      <c r="D1162" t="s">
        <v>568</v>
      </c>
      <c r="E1162">
        <v>23982</v>
      </c>
      <c r="F1162" t="s">
        <v>3977</v>
      </c>
      <c r="G1162">
        <v>4</v>
      </c>
      <c r="H1162" t="s">
        <v>3978</v>
      </c>
      <c r="I1162" t="s">
        <v>465</v>
      </c>
    </row>
    <row r="1163" spans="1:9" x14ac:dyDescent="0.3">
      <c r="A1163">
        <v>85785</v>
      </c>
      <c r="B1163">
        <v>116</v>
      </c>
      <c r="C1163" s="453">
        <v>46143</v>
      </c>
      <c r="D1163" t="s">
        <v>568</v>
      </c>
      <c r="E1163">
        <v>24259</v>
      </c>
      <c r="F1163" t="s">
        <v>3895</v>
      </c>
      <c r="G1163">
        <v>11.8</v>
      </c>
      <c r="H1163" t="s">
        <v>3892</v>
      </c>
      <c r="I1163" t="s">
        <v>465</v>
      </c>
    </row>
    <row r="1164" spans="1:9" x14ac:dyDescent="0.3">
      <c r="A1164">
        <v>85786</v>
      </c>
      <c r="B1164">
        <v>116</v>
      </c>
      <c r="C1164" s="453">
        <v>46143</v>
      </c>
      <c r="D1164" t="s">
        <v>568</v>
      </c>
      <c r="E1164">
        <v>20519</v>
      </c>
      <c r="F1164" t="s">
        <v>3902</v>
      </c>
      <c r="G1164">
        <v>17.3</v>
      </c>
      <c r="H1164" t="s">
        <v>3892</v>
      </c>
      <c r="I1164" t="s">
        <v>465</v>
      </c>
    </row>
    <row r="1165" spans="1:9" x14ac:dyDescent="0.3">
      <c r="A1165">
        <v>85787</v>
      </c>
      <c r="B1165">
        <v>116</v>
      </c>
      <c r="C1165" s="453">
        <v>46143</v>
      </c>
      <c r="D1165" t="s">
        <v>568</v>
      </c>
      <c r="E1165">
        <v>18475</v>
      </c>
      <c r="F1165" t="s">
        <v>3918</v>
      </c>
      <c r="G1165">
        <v>24.2</v>
      </c>
      <c r="H1165" t="s">
        <v>3878</v>
      </c>
      <c r="I1165" t="s">
        <v>465</v>
      </c>
    </row>
    <row r="1166" spans="1:9" x14ac:dyDescent="0.3">
      <c r="A1166">
        <v>85788</v>
      </c>
      <c r="B1166">
        <v>116</v>
      </c>
      <c r="C1166" s="453">
        <v>46143</v>
      </c>
      <c r="D1166" t="s">
        <v>568</v>
      </c>
      <c r="E1166">
        <v>24002</v>
      </c>
      <c r="F1166" t="s">
        <v>3924</v>
      </c>
      <c r="G1166">
        <v>9</v>
      </c>
      <c r="H1166" t="s">
        <v>3872</v>
      </c>
      <c r="I1166" t="s">
        <v>465</v>
      </c>
    </row>
    <row r="1167" spans="1:9" x14ac:dyDescent="0.3">
      <c r="A1167">
        <v>85789</v>
      </c>
      <c r="B1167">
        <v>116</v>
      </c>
      <c r="C1167" s="453">
        <v>46143</v>
      </c>
      <c r="D1167" t="s">
        <v>568</v>
      </c>
      <c r="E1167">
        <v>24072</v>
      </c>
      <c r="F1167" t="s">
        <v>4002</v>
      </c>
      <c r="G1167">
        <v>3.1</v>
      </c>
      <c r="H1167" t="s">
        <v>3892</v>
      </c>
      <c r="I1167" t="s">
        <v>465</v>
      </c>
    </row>
    <row r="1168" spans="1:9" x14ac:dyDescent="0.3">
      <c r="A1168">
        <v>85790</v>
      </c>
      <c r="B1168">
        <v>116</v>
      </c>
      <c r="C1168" s="453">
        <v>46143</v>
      </c>
      <c r="D1168" t="s">
        <v>568</v>
      </c>
      <c r="E1168">
        <v>19906</v>
      </c>
      <c r="F1168" t="s">
        <v>4171</v>
      </c>
      <c r="G1168">
        <v>1.7</v>
      </c>
      <c r="H1168" t="s">
        <v>3888</v>
      </c>
      <c r="I1168" t="s">
        <v>465</v>
      </c>
    </row>
    <row r="1169" spans="1:9" x14ac:dyDescent="0.3">
      <c r="A1169">
        <v>85791</v>
      </c>
      <c r="B1169">
        <v>116</v>
      </c>
      <c r="C1169" s="453">
        <v>46143</v>
      </c>
      <c r="D1169" t="s">
        <v>568</v>
      </c>
      <c r="E1169">
        <v>20703</v>
      </c>
      <c r="F1169" t="s">
        <v>3893</v>
      </c>
      <c r="G1169">
        <v>45</v>
      </c>
      <c r="H1169" t="s">
        <v>3886</v>
      </c>
      <c r="I1169" t="s">
        <v>465</v>
      </c>
    </row>
    <row r="1170" spans="1:9" x14ac:dyDescent="0.3">
      <c r="A1170">
        <v>85792</v>
      </c>
      <c r="B1170">
        <v>116</v>
      </c>
      <c r="C1170" s="453">
        <v>46143</v>
      </c>
      <c r="D1170" t="s">
        <v>568</v>
      </c>
      <c r="E1170">
        <v>18295</v>
      </c>
      <c r="F1170" t="s">
        <v>4030</v>
      </c>
      <c r="G1170">
        <v>4</v>
      </c>
      <c r="H1170" t="s">
        <v>3878</v>
      </c>
      <c r="I1170" t="s">
        <v>465</v>
      </c>
    </row>
    <row r="1171" spans="1:9" x14ac:dyDescent="0.3">
      <c r="A1171">
        <v>85793</v>
      </c>
      <c r="B1171">
        <v>116</v>
      </c>
      <c r="C1171" s="453">
        <v>46143</v>
      </c>
      <c r="D1171" t="s">
        <v>568</v>
      </c>
      <c r="E1171">
        <v>21030</v>
      </c>
      <c r="F1171" t="s">
        <v>3890</v>
      </c>
      <c r="G1171">
        <v>25</v>
      </c>
      <c r="H1171" t="s">
        <v>3872</v>
      </c>
      <c r="I1171" t="s">
        <v>465</v>
      </c>
    </row>
    <row r="1172" spans="1:9" x14ac:dyDescent="0.3">
      <c r="A1172">
        <v>85794</v>
      </c>
      <c r="B1172">
        <v>116</v>
      </c>
      <c r="C1172" s="453">
        <v>46143</v>
      </c>
      <c r="D1172" t="s">
        <v>568</v>
      </c>
      <c r="E1172">
        <v>24402</v>
      </c>
      <c r="F1172" t="s">
        <v>3896</v>
      </c>
      <c r="G1172">
        <v>12.5</v>
      </c>
      <c r="H1172" t="s">
        <v>3892</v>
      </c>
      <c r="I1172" t="s">
        <v>465</v>
      </c>
    </row>
    <row r="1173" spans="1:9" x14ac:dyDescent="0.3">
      <c r="A1173">
        <v>85795</v>
      </c>
      <c r="B1173">
        <v>116</v>
      </c>
      <c r="C1173" s="453">
        <v>46143</v>
      </c>
      <c r="D1173" t="s">
        <v>568</v>
      </c>
      <c r="E1173">
        <v>17917</v>
      </c>
      <c r="F1173" t="s">
        <v>4144</v>
      </c>
      <c r="G1173">
        <v>0.12</v>
      </c>
      <c r="H1173" t="s">
        <v>3888</v>
      </c>
      <c r="I1173" t="s">
        <v>465</v>
      </c>
    </row>
    <row r="1174" spans="1:9" x14ac:dyDescent="0.3">
      <c r="A1174">
        <v>85796</v>
      </c>
      <c r="B1174">
        <v>116</v>
      </c>
      <c r="C1174" s="453">
        <v>46143</v>
      </c>
      <c r="D1174" t="s">
        <v>568</v>
      </c>
      <c r="E1174">
        <v>18493</v>
      </c>
      <c r="F1174" t="s">
        <v>3958</v>
      </c>
      <c r="G1174">
        <v>6.2</v>
      </c>
      <c r="H1174" t="s">
        <v>3878</v>
      </c>
      <c r="I1174" t="s">
        <v>465</v>
      </c>
    </row>
    <row r="1175" spans="1:9" x14ac:dyDescent="0.3">
      <c r="A1175">
        <v>85797</v>
      </c>
      <c r="B1175">
        <v>116</v>
      </c>
      <c r="C1175" s="453">
        <v>46143</v>
      </c>
      <c r="D1175" t="s">
        <v>568</v>
      </c>
      <c r="E1175">
        <v>19324</v>
      </c>
      <c r="F1175" t="s">
        <v>3937</v>
      </c>
      <c r="G1175">
        <v>11.7</v>
      </c>
      <c r="H1175" t="s">
        <v>3892</v>
      </c>
      <c r="I1175" t="s">
        <v>465</v>
      </c>
    </row>
    <row r="1176" spans="1:9" x14ac:dyDescent="0.3">
      <c r="A1176">
        <v>85798</v>
      </c>
      <c r="B1176">
        <v>116</v>
      </c>
      <c r="C1176" s="453">
        <v>46143</v>
      </c>
      <c r="D1176" t="s">
        <v>568</v>
      </c>
      <c r="E1176">
        <v>20985</v>
      </c>
      <c r="F1176" t="s">
        <v>3914</v>
      </c>
      <c r="G1176">
        <v>52</v>
      </c>
      <c r="H1176" t="s">
        <v>3872</v>
      </c>
      <c r="I1176" t="s">
        <v>465</v>
      </c>
    </row>
    <row r="1177" spans="1:9" x14ac:dyDescent="0.3">
      <c r="A1177">
        <v>85799</v>
      </c>
      <c r="B1177">
        <v>116</v>
      </c>
      <c r="C1177" s="453">
        <v>46143</v>
      </c>
      <c r="D1177" t="s">
        <v>568</v>
      </c>
      <c r="E1177">
        <v>18684</v>
      </c>
      <c r="F1177" t="s">
        <v>3925</v>
      </c>
      <c r="G1177">
        <v>11</v>
      </c>
      <c r="H1177" t="s">
        <v>3892</v>
      </c>
      <c r="I1177" t="s">
        <v>465</v>
      </c>
    </row>
    <row r="1178" spans="1:9" x14ac:dyDescent="0.3">
      <c r="A1178">
        <v>85800</v>
      </c>
      <c r="B1178">
        <v>116</v>
      </c>
      <c r="C1178" s="453">
        <v>46143</v>
      </c>
      <c r="D1178" t="s">
        <v>568</v>
      </c>
      <c r="E1178">
        <v>17895</v>
      </c>
      <c r="F1178" t="s">
        <v>4137</v>
      </c>
      <c r="G1178">
        <v>13</v>
      </c>
      <c r="H1178" t="s">
        <v>3888</v>
      </c>
      <c r="I1178" t="s">
        <v>465</v>
      </c>
    </row>
    <row r="1179" spans="1:9" x14ac:dyDescent="0.3">
      <c r="A1179">
        <v>85801</v>
      </c>
      <c r="B1179">
        <v>116</v>
      </c>
      <c r="C1179" s="453">
        <v>46143</v>
      </c>
      <c r="D1179" t="s">
        <v>568</v>
      </c>
      <c r="E1179">
        <v>21944</v>
      </c>
      <c r="F1179" t="s">
        <v>3936</v>
      </c>
      <c r="G1179">
        <v>9</v>
      </c>
      <c r="H1179" t="s">
        <v>3878</v>
      </c>
      <c r="I1179" t="s">
        <v>465</v>
      </c>
    </row>
    <row r="1180" spans="1:9" x14ac:dyDescent="0.3">
      <c r="A1180">
        <v>85802</v>
      </c>
      <c r="B1180">
        <v>116</v>
      </c>
      <c r="C1180" s="453">
        <v>46143</v>
      </c>
      <c r="D1180" t="s">
        <v>568</v>
      </c>
      <c r="E1180">
        <v>18172</v>
      </c>
      <c r="F1180" t="s">
        <v>3923</v>
      </c>
      <c r="G1180">
        <v>10.5</v>
      </c>
      <c r="H1180" t="s">
        <v>3878</v>
      </c>
      <c r="I1180" t="s">
        <v>465</v>
      </c>
    </row>
    <row r="1181" spans="1:9" x14ac:dyDescent="0.3">
      <c r="A1181">
        <v>85803</v>
      </c>
      <c r="B1181">
        <v>116</v>
      </c>
      <c r="C1181" s="453">
        <v>46143</v>
      </c>
      <c r="D1181" t="s">
        <v>568</v>
      </c>
      <c r="E1181">
        <v>18685</v>
      </c>
      <c r="F1181" t="s">
        <v>3945</v>
      </c>
      <c r="G1181">
        <v>8.3000000000000007</v>
      </c>
      <c r="H1181" t="s">
        <v>3892</v>
      </c>
      <c r="I1181" t="s">
        <v>465</v>
      </c>
    </row>
    <row r="1182" spans="1:9" x14ac:dyDescent="0.3">
      <c r="A1182">
        <v>85804</v>
      </c>
      <c r="B1182">
        <v>116</v>
      </c>
      <c r="C1182" s="453">
        <v>46143</v>
      </c>
      <c r="D1182" t="s">
        <v>568</v>
      </c>
      <c r="E1182">
        <v>19578</v>
      </c>
      <c r="F1182" t="s">
        <v>3985</v>
      </c>
      <c r="G1182">
        <v>4</v>
      </c>
      <c r="H1182" t="s">
        <v>3892</v>
      </c>
      <c r="I1182" t="s">
        <v>465</v>
      </c>
    </row>
    <row r="1183" spans="1:9" x14ac:dyDescent="0.3">
      <c r="A1183">
        <v>85805</v>
      </c>
      <c r="B1183">
        <v>116</v>
      </c>
      <c r="C1183" s="453">
        <v>46143</v>
      </c>
      <c r="D1183" t="s">
        <v>568</v>
      </c>
      <c r="E1183">
        <v>17905</v>
      </c>
      <c r="F1183" t="s">
        <v>4139</v>
      </c>
      <c r="G1183">
        <v>1</v>
      </c>
      <c r="H1183" t="s">
        <v>3888</v>
      </c>
      <c r="I1183" t="s">
        <v>465</v>
      </c>
    </row>
    <row r="1184" spans="1:9" x14ac:dyDescent="0.3">
      <c r="A1184">
        <v>85806</v>
      </c>
      <c r="B1184">
        <v>116</v>
      </c>
      <c r="C1184" s="453">
        <v>46143</v>
      </c>
      <c r="D1184" t="s">
        <v>568</v>
      </c>
      <c r="E1184">
        <v>19346</v>
      </c>
      <c r="F1184" t="s">
        <v>3948</v>
      </c>
      <c r="G1184">
        <v>5.3</v>
      </c>
      <c r="H1184" t="s">
        <v>3892</v>
      </c>
      <c r="I1184" t="s">
        <v>465</v>
      </c>
    </row>
    <row r="1185" spans="1:9" x14ac:dyDescent="0.3">
      <c r="A1185">
        <v>85807</v>
      </c>
      <c r="B1185">
        <v>116</v>
      </c>
      <c r="C1185" s="453">
        <v>46143</v>
      </c>
      <c r="D1185" t="s">
        <v>568</v>
      </c>
      <c r="E1185">
        <v>20752</v>
      </c>
      <c r="F1185" t="s">
        <v>3964</v>
      </c>
      <c r="G1185">
        <v>3</v>
      </c>
      <c r="H1185" t="s">
        <v>3886</v>
      </c>
      <c r="I1185" t="s">
        <v>465</v>
      </c>
    </row>
    <row r="1186" spans="1:9" x14ac:dyDescent="0.3">
      <c r="A1186">
        <v>85808</v>
      </c>
      <c r="B1186">
        <v>116</v>
      </c>
      <c r="C1186" s="453">
        <v>46143</v>
      </c>
      <c r="D1186" t="s">
        <v>568</v>
      </c>
      <c r="E1186">
        <v>20278</v>
      </c>
      <c r="F1186" t="s">
        <v>3939</v>
      </c>
      <c r="G1186">
        <v>9</v>
      </c>
      <c r="H1186" t="s">
        <v>3872</v>
      </c>
      <c r="I1186" t="s">
        <v>465</v>
      </c>
    </row>
    <row r="1187" spans="1:9" x14ac:dyDescent="0.3">
      <c r="A1187">
        <v>85809</v>
      </c>
      <c r="B1187">
        <v>116</v>
      </c>
      <c r="C1187" s="453">
        <v>46143</v>
      </c>
      <c r="D1187" t="s">
        <v>568</v>
      </c>
      <c r="E1187">
        <v>19984</v>
      </c>
      <c r="F1187" t="s">
        <v>3904</v>
      </c>
      <c r="G1187">
        <v>15</v>
      </c>
      <c r="H1187" t="s">
        <v>3872</v>
      </c>
      <c r="I1187" t="s">
        <v>465</v>
      </c>
    </row>
    <row r="1188" spans="1:9" x14ac:dyDescent="0.3">
      <c r="A1188">
        <v>85810</v>
      </c>
      <c r="B1188">
        <v>116</v>
      </c>
      <c r="C1188" s="453">
        <v>46143</v>
      </c>
      <c r="D1188" t="s">
        <v>568</v>
      </c>
      <c r="E1188">
        <v>18359</v>
      </c>
      <c r="F1188" t="s">
        <v>4029</v>
      </c>
      <c r="G1188">
        <v>2.9</v>
      </c>
      <c r="H1188" t="s">
        <v>3878</v>
      </c>
      <c r="I1188" t="s">
        <v>465</v>
      </c>
    </row>
    <row r="1189" spans="1:9" x14ac:dyDescent="0.3">
      <c r="A1189">
        <v>85811</v>
      </c>
      <c r="B1189">
        <v>116</v>
      </c>
      <c r="C1189" s="453">
        <v>46143</v>
      </c>
      <c r="D1189" t="s">
        <v>568</v>
      </c>
      <c r="E1189">
        <v>18538</v>
      </c>
      <c r="F1189" t="s">
        <v>4026</v>
      </c>
      <c r="G1189">
        <v>2.7</v>
      </c>
      <c r="H1189" t="s">
        <v>3878</v>
      </c>
      <c r="I1189" t="s">
        <v>465</v>
      </c>
    </row>
    <row r="1190" spans="1:9" x14ac:dyDescent="0.3">
      <c r="A1190">
        <v>85812</v>
      </c>
      <c r="B1190">
        <v>116</v>
      </c>
      <c r="C1190" s="453">
        <v>46143</v>
      </c>
      <c r="D1190" t="s">
        <v>568</v>
      </c>
      <c r="E1190">
        <v>25196</v>
      </c>
      <c r="F1190" t="s">
        <v>3873</v>
      </c>
      <c r="G1190">
        <v>51</v>
      </c>
      <c r="H1190" t="s">
        <v>3872</v>
      </c>
      <c r="I1190" t="s">
        <v>465</v>
      </c>
    </row>
    <row r="1191" spans="1:9" x14ac:dyDescent="0.3">
      <c r="A1191">
        <v>85813</v>
      </c>
      <c r="B1191">
        <v>116</v>
      </c>
      <c r="C1191" s="453">
        <v>46143</v>
      </c>
      <c r="D1191" t="s">
        <v>568</v>
      </c>
      <c r="E1191">
        <v>18179</v>
      </c>
      <c r="F1191" t="s">
        <v>3995</v>
      </c>
      <c r="G1191">
        <v>2.5</v>
      </c>
      <c r="H1191" t="s">
        <v>3878</v>
      </c>
      <c r="I1191" t="s">
        <v>465</v>
      </c>
    </row>
    <row r="1192" spans="1:9" x14ac:dyDescent="0.3">
      <c r="A1192">
        <v>85814</v>
      </c>
      <c r="B1192">
        <v>116</v>
      </c>
      <c r="C1192" s="453">
        <v>46143</v>
      </c>
      <c r="D1192" t="s">
        <v>568</v>
      </c>
      <c r="E1192">
        <v>20555</v>
      </c>
      <c r="F1192" t="s">
        <v>3959</v>
      </c>
      <c r="G1192">
        <v>3.5</v>
      </c>
      <c r="H1192" t="s">
        <v>3892</v>
      </c>
      <c r="I1192" t="s">
        <v>465</v>
      </c>
    </row>
    <row r="1193" spans="1:9" x14ac:dyDescent="0.3">
      <c r="A1193">
        <v>85815</v>
      </c>
      <c r="B1193">
        <v>116</v>
      </c>
      <c r="C1193" s="453">
        <v>46143</v>
      </c>
      <c r="D1193" t="s">
        <v>568</v>
      </c>
      <c r="E1193">
        <v>16974</v>
      </c>
      <c r="F1193" t="s">
        <v>3996</v>
      </c>
      <c r="G1193">
        <v>2</v>
      </c>
      <c r="H1193" t="s">
        <v>3881</v>
      </c>
      <c r="I1193" t="s">
        <v>465</v>
      </c>
    </row>
    <row r="1194" spans="1:9" x14ac:dyDescent="0.3">
      <c r="A1194">
        <v>85816</v>
      </c>
      <c r="B1194">
        <v>116</v>
      </c>
      <c r="C1194" s="453">
        <v>46143</v>
      </c>
      <c r="D1194" t="s">
        <v>568</v>
      </c>
      <c r="E1194">
        <v>18586</v>
      </c>
      <c r="F1194" t="s">
        <v>4107</v>
      </c>
      <c r="G1194">
        <v>0.08</v>
      </c>
      <c r="H1194" t="s">
        <v>3888</v>
      </c>
      <c r="I1194" t="s">
        <v>465</v>
      </c>
    </row>
    <row r="1195" spans="1:9" x14ac:dyDescent="0.3">
      <c r="A1195">
        <v>85817</v>
      </c>
      <c r="B1195">
        <v>116</v>
      </c>
      <c r="C1195" s="453">
        <v>46143</v>
      </c>
      <c r="D1195" t="s">
        <v>568</v>
      </c>
      <c r="E1195">
        <v>19287</v>
      </c>
      <c r="F1195" t="s">
        <v>3974</v>
      </c>
      <c r="G1195">
        <v>6.6</v>
      </c>
      <c r="H1195" t="s">
        <v>3892</v>
      </c>
      <c r="I1195" t="s">
        <v>465</v>
      </c>
    </row>
    <row r="1196" spans="1:9" x14ac:dyDescent="0.3">
      <c r="A1196">
        <v>85818</v>
      </c>
      <c r="B1196">
        <v>116</v>
      </c>
      <c r="C1196" s="453">
        <v>46143</v>
      </c>
      <c r="D1196" t="s">
        <v>568</v>
      </c>
      <c r="E1196">
        <v>20729</v>
      </c>
      <c r="F1196" t="s">
        <v>3965</v>
      </c>
      <c r="G1196">
        <v>4</v>
      </c>
      <c r="H1196" t="s">
        <v>3966</v>
      </c>
      <c r="I1196" t="s">
        <v>465</v>
      </c>
    </row>
    <row r="1197" spans="1:9" x14ac:dyDescent="0.3">
      <c r="A1197">
        <v>85819</v>
      </c>
      <c r="B1197">
        <v>116</v>
      </c>
      <c r="C1197" s="453">
        <v>46143</v>
      </c>
      <c r="D1197" t="s">
        <v>568</v>
      </c>
      <c r="E1197">
        <v>20458</v>
      </c>
      <c r="F1197" t="s">
        <v>4121</v>
      </c>
      <c r="G1197">
        <v>8</v>
      </c>
      <c r="H1197" t="s">
        <v>3892</v>
      </c>
      <c r="I1197" t="s">
        <v>465</v>
      </c>
    </row>
    <row r="1198" spans="1:9" x14ac:dyDescent="0.3">
      <c r="A1198">
        <v>85820</v>
      </c>
      <c r="B1198">
        <v>116</v>
      </c>
      <c r="C1198" s="453">
        <v>46143</v>
      </c>
      <c r="D1198" t="s">
        <v>568</v>
      </c>
      <c r="E1198">
        <v>17903</v>
      </c>
      <c r="F1198" t="s">
        <v>3971</v>
      </c>
      <c r="G1198">
        <v>10</v>
      </c>
      <c r="H1198" t="s">
        <v>3888</v>
      </c>
      <c r="I1198" t="s">
        <v>465</v>
      </c>
    </row>
    <row r="1199" spans="1:9" x14ac:dyDescent="0.3">
      <c r="A1199">
        <v>85821</v>
      </c>
      <c r="B1199">
        <v>116</v>
      </c>
      <c r="C1199" s="453">
        <v>46143</v>
      </c>
      <c r="D1199" t="s">
        <v>568</v>
      </c>
      <c r="E1199">
        <v>25767</v>
      </c>
      <c r="F1199" t="s">
        <v>3976</v>
      </c>
      <c r="G1199">
        <v>3</v>
      </c>
      <c r="H1199" t="s">
        <v>3892</v>
      </c>
      <c r="I1199" t="s">
        <v>465</v>
      </c>
    </row>
    <row r="1200" spans="1:9" x14ac:dyDescent="0.3">
      <c r="A1200">
        <v>85822</v>
      </c>
      <c r="B1200">
        <v>116</v>
      </c>
      <c r="C1200" s="453">
        <v>46143</v>
      </c>
      <c r="D1200" t="s">
        <v>568</v>
      </c>
      <c r="E1200">
        <v>20755</v>
      </c>
      <c r="F1200" t="s">
        <v>4052</v>
      </c>
      <c r="G1200">
        <v>2</v>
      </c>
      <c r="H1200" t="s">
        <v>3966</v>
      </c>
      <c r="I1200" t="s">
        <v>465</v>
      </c>
    </row>
    <row r="1201" spans="1:9" x14ac:dyDescent="0.3">
      <c r="A1201">
        <v>85823</v>
      </c>
      <c r="B1201">
        <v>116</v>
      </c>
      <c r="C1201" s="453">
        <v>46143</v>
      </c>
      <c r="D1201" t="s">
        <v>568</v>
      </c>
      <c r="E1201">
        <v>19264</v>
      </c>
      <c r="F1201" t="s">
        <v>4082</v>
      </c>
      <c r="G1201">
        <v>3.5</v>
      </c>
      <c r="H1201" t="s">
        <v>3888</v>
      </c>
      <c r="I1201" t="s">
        <v>465</v>
      </c>
    </row>
    <row r="1202" spans="1:9" x14ac:dyDescent="0.3">
      <c r="A1202">
        <v>85824</v>
      </c>
      <c r="B1202">
        <v>116</v>
      </c>
      <c r="C1202" s="453">
        <v>46143</v>
      </c>
      <c r="D1202" t="s">
        <v>568</v>
      </c>
      <c r="E1202">
        <v>18467</v>
      </c>
      <c r="F1202" t="s">
        <v>4028</v>
      </c>
      <c r="G1202">
        <v>3</v>
      </c>
      <c r="H1202" t="s">
        <v>3878</v>
      </c>
      <c r="I1202" t="s">
        <v>465</v>
      </c>
    </row>
    <row r="1203" spans="1:9" x14ac:dyDescent="0.3">
      <c r="A1203">
        <v>85825</v>
      </c>
      <c r="B1203">
        <v>116</v>
      </c>
      <c r="C1203" s="453">
        <v>46143</v>
      </c>
      <c r="D1203" t="s">
        <v>568</v>
      </c>
      <c r="E1203">
        <v>17710</v>
      </c>
      <c r="F1203" t="s">
        <v>3905</v>
      </c>
      <c r="G1203">
        <v>6</v>
      </c>
      <c r="H1203" t="s">
        <v>3878</v>
      </c>
      <c r="I1203" t="s">
        <v>465</v>
      </c>
    </row>
    <row r="1204" spans="1:9" x14ac:dyDescent="0.3">
      <c r="A1204">
        <v>85826</v>
      </c>
      <c r="B1204">
        <v>116</v>
      </c>
      <c r="C1204" s="453">
        <v>46143</v>
      </c>
      <c r="D1204" t="s">
        <v>568</v>
      </c>
      <c r="E1204">
        <v>20301</v>
      </c>
      <c r="F1204" t="s">
        <v>4161</v>
      </c>
      <c r="G1204">
        <v>12</v>
      </c>
      <c r="H1204" t="s">
        <v>3888</v>
      </c>
      <c r="I1204" t="s">
        <v>465</v>
      </c>
    </row>
    <row r="1205" spans="1:9" x14ac:dyDescent="0.3">
      <c r="A1205">
        <v>85827</v>
      </c>
      <c r="B1205">
        <v>116</v>
      </c>
      <c r="C1205" s="453">
        <v>46143</v>
      </c>
      <c r="D1205" t="s">
        <v>568</v>
      </c>
      <c r="E1205">
        <v>24517</v>
      </c>
      <c r="F1205" t="s">
        <v>3991</v>
      </c>
      <c r="G1205">
        <v>7.9</v>
      </c>
      <c r="H1205" t="s">
        <v>3892</v>
      </c>
      <c r="I1205" t="s">
        <v>465</v>
      </c>
    </row>
    <row r="1206" spans="1:9" x14ac:dyDescent="0.3">
      <c r="A1206">
        <v>85828</v>
      </c>
      <c r="B1206">
        <v>116</v>
      </c>
      <c r="C1206" s="453">
        <v>46143</v>
      </c>
      <c r="D1206" t="s">
        <v>568</v>
      </c>
      <c r="E1206">
        <v>18004</v>
      </c>
      <c r="F1206" t="s">
        <v>4140</v>
      </c>
      <c r="G1206">
        <v>7</v>
      </c>
      <c r="H1206" t="s">
        <v>3888</v>
      </c>
      <c r="I1206" t="s">
        <v>465</v>
      </c>
    </row>
    <row r="1207" spans="1:9" x14ac:dyDescent="0.3">
      <c r="A1207">
        <v>85829</v>
      </c>
      <c r="B1207">
        <v>116</v>
      </c>
      <c r="C1207" s="453">
        <v>46143</v>
      </c>
      <c r="D1207" t="s">
        <v>568</v>
      </c>
      <c r="E1207">
        <v>24351</v>
      </c>
      <c r="F1207" t="s">
        <v>3912</v>
      </c>
      <c r="G1207">
        <v>17</v>
      </c>
      <c r="H1207" t="s">
        <v>3872</v>
      </c>
      <c r="I1207" t="s">
        <v>465</v>
      </c>
    </row>
    <row r="1208" spans="1:9" x14ac:dyDescent="0.3">
      <c r="A1208">
        <v>85830</v>
      </c>
      <c r="B1208">
        <v>116</v>
      </c>
      <c r="C1208" s="453">
        <v>46143</v>
      </c>
      <c r="D1208" t="s">
        <v>568</v>
      </c>
      <c r="E1208">
        <v>18394</v>
      </c>
      <c r="F1208" t="s">
        <v>4044</v>
      </c>
      <c r="G1208">
        <v>1.4</v>
      </c>
      <c r="H1208" t="s">
        <v>3878</v>
      </c>
      <c r="I1208" t="s">
        <v>465</v>
      </c>
    </row>
    <row r="1209" spans="1:9" x14ac:dyDescent="0.3">
      <c r="A1209">
        <v>85831</v>
      </c>
      <c r="B1209">
        <v>116</v>
      </c>
      <c r="C1209" s="453">
        <v>46143</v>
      </c>
      <c r="D1209" t="s">
        <v>568</v>
      </c>
      <c r="E1209">
        <v>18111</v>
      </c>
      <c r="F1209" t="s">
        <v>4047</v>
      </c>
      <c r="G1209">
        <v>2</v>
      </c>
      <c r="H1209" t="s">
        <v>3878</v>
      </c>
      <c r="I1209" t="s">
        <v>465</v>
      </c>
    </row>
    <row r="1210" spans="1:9" x14ac:dyDescent="0.3">
      <c r="A1210">
        <v>85832</v>
      </c>
      <c r="B1210">
        <v>116</v>
      </c>
      <c r="C1210" s="453">
        <v>46143</v>
      </c>
      <c r="D1210" t="s">
        <v>568</v>
      </c>
      <c r="E1210">
        <v>18119</v>
      </c>
      <c r="F1210" t="s">
        <v>4093</v>
      </c>
      <c r="G1210">
        <v>1</v>
      </c>
      <c r="H1210" t="s">
        <v>3878</v>
      </c>
      <c r="I1210" t="s">
        <v>465</v>
      </c>
    </row>
    <row r="1211" spans="1:9" x14ac:dyDescent="0.3">
      <c r="A1211">
        <v>85833</v>
      </c>
      <c r="B1211">
        <v>116</v>
      </c>
      <c r="C1211" s="453">
        <v>46143</v>
      </c>
      <c r="D1211" t="s">
        <v>568</v>
      </c>
      <c r="E1211">
        <v>18491</v>
      </c>
      <c r="F1211" t="s">
        <v>3934</v>
      </c>
      <c r="G1211">
        <v>5.3</v>
      </c>
      <c r="H1211" t="s">
        <v>3878</v>
      </c>
      <c r="I1211" t="s">
        <v>465</v>
      </c>
    </row>
    <row r="1212" spans="1:9" x14ac:dyDescent="0.3">
      <c r="A1212">
        <v>85834</v>
      </c>
      <c r="B1212">
        <v>116</v>
      </c>
      <c r="C1212" s="453">
        <v>46143</v>
      </c>
      <c r="D1212" t="s">
        <v>568</v>
      </c>
      <c r="E1212">
        <v>18006</v>
      </c>
      <c r="F1212" t="s">
        <v>4138</v>
      </c>
      <c r="G1212">
        <v>6</v>
      </c>
      <c r="H1212" t="s">
        <v>3888</v>
      </c>
      <c r="I1212" t="s">
        <v>465</v>
      </c>
    </row>
    <row r="1213" spans="1:9" x14ac:dyDescent="0.3">
      <c r="A1213">
        <v>85835</v>
      </c>
      <c r="B1213">
        <v>116</v>
      </c>
      <c r="C1213" s="453">
        <v>46143</v>
      </c>
      <c r="D1213" t="s">
        <v>568</v>
      </c>
      <c r="E1213">
        <v>24339</v>
      </c>
      <c r="F1213" t="s">
        <v>4119</v>
      </c>
      <c r="G1213">
        <v>5.3</v>
      </c>
      <c r="H1213" t="s">
        <v>3892</v>
      </c>
      <c r="I1213" t="s">
        <v>465</v>
      </c>
    </row>
    <row r="1214" spans="1:9" x14ac:dyDescent="0.3">
      <c r="A1214">
        <v>85836</v>
      </c>
      <c r="B1214">
        <v>116</v>
      </c>
      <c r="C1214" s="453">
        <v>46143</v>
      </c>
      <c r="D1214" t="s">
        <v>568</v>
      </c>
      <c r="E1214">
        <v>20624</v>
      </c>
      <c r="F1214" t="s">
        <v>3982</v>
      </c>
      <c r="G1214">
        <v>2.5</v>
      </c>
      <c r="H1214" t="s">
        <v>3966</v>
      </c>
      <c r="I1214" t="s">
        <v>465</v>
      </c>
    </row>
    <row r="1215" spans="1:9" x14ac:dyDescent="0.3">
      <c r="A1215">
        <v>85837</v>
      </c>
      <c r="B1215">
        <v>116</v>
      </c>
      <c r="C1215" s="453">
        <v>46143</v>
      </c>
      <c r="D1215" t="s">
        <v>568</v>
      </c>
      <c r="E1215">
        <v>18253</v>
      </c>
      <c r="F1215" t="s">
        <v>3947</v>
      </c>
      <c r="G1215">
        <v>6</v>
      </c>
      <c r="H1215" t="s">
        <v>3878</v>
      </c>
      <c r="I1215" t="s">
        <v>465</v>
      </c>
    </row>
    <row r="1216" spans="1:9" x14ac:dyDescent="0.3">
      <c r="A1216">
        <v>85838</v>
      </c>
      <c r="B1216">
        <v>116</v>
      </c>
      <c r="C1216" s="453">
        <v>46143</v>
      </c>
      <c r="D1216" t="s">
        <v>568</v>
      </c>
      <c r="E1216">
        <v>18545</v>
      </c>
      <c r="F1216" t="s">
        <v>4099</v>
      </c>
      <c r="G1216">
        <v>3.5</v>
      </c>
      <c r="H1216" t="s">
        <v>3878</v>
      </c>
      <c r="I1216" t="s">
        <v>465</v>
      </c>
    </row>
    <row r="1217" spans="1:9" x14ac:dyDescent="0.3">
      <c r="A1217">
        <v>85839</v>
      </c>
      <c r="B1217">
        <v>116</v>
      </c>
      <c r="C1217" s="453">
        <v>46143</v>
      </c>
      <c r="D1217" t="s">
        <v>568</v>
      </c>
      <c r="E1217">
        <v>19579</v>
      </c>
      <c r="F1217" t="s">
        <v>4020</v>
      </c>
      <c r="G1217">
        <v>3</v>
      </c>
      <c r="H1217" t="s">
        <v>3892</v>
      </c>
      <c r="I1217" t="s">
        <v>465</v>
      </c>
    </row>
    <row r="1218" spans="1:9" x14ac:dyDescent="0.3">
      <c r="A1218">
        <v>85840</v>
      </c>
      <c r="B1218">
        <v>116</v>
      </c>
      <c r="C1218" s="453">
        <v>46143</v>
      </c>
      <c r="D1218" t="s">
        <v>568</v>
      </c>
      <c r="E1218">
        <v>20246</v>
      </c>
      <c r="F1218" t="s">
        <v>3911</v>
      </c>
      <c r="G1218">
        <v>18</v>
      </c>
      <c r="H1218" t="s">
        <v>3872</v>
      </c>
      <c r="I1218" t="s">
        <v>465</v>
      </c>
    </row>
    <row r="1219" spans="1:9" x14ac:dyDescent="0.3">
      <c r="A1219">
        <v>85841</v>
      </c>
      <c r="B1219">
        <v>116</v>
      </c>
      <c r="C1219" s="453">
        <v>46143</v>
      </c>
      <c r="D1219" t="s">
        <v>568</v>
      </c>
      <c r="E1219">
        <v>24200</v>
      </c>
      <c r="F1219" t="s">
        <v>3975</v>
      </c>
      <c r="G1219">
        <v>5</v>
      </c>
      <c r="H1219" t="s">
        <v>3892</v>
      </c>
      <c r="I1219" t="s">
        <v>465</v>
      </c>
    </row>
    <row r="1220" spans="1:9" x14ac:dyDescent="0.3">
      <c r="A1220">
        <v>85842</v>
      </c>
      <c r="B1220">
        <v>116</v>
      </c>
      <c r="C1220" s="453">
        <v>46143</v>
      </c>
      <c r="D1220" t="s">
        <v>568</v>
      </c>
      <c r="E1220">
        <v>23760</v>
      </c>
      <c r="F1220" t="s">
        <v>4007</v>
      </c>
      <c r="G1220">
        <v>7</v>
      </c>
      <c r="H1220" t="s">
        <v>3892</v>
      </c>
      <c r="I1220" t="s">
        <v>465</v>
      </c>
    </row>
    <row r="1221" spans="1:9" x14ac:dyDescent="0.3">
      <c r="A1221">
        <v>85843</v>
      </c>
      <c r="B1221">
        <v>116</v>
      </c>
      <c r="C1221" s="453">
        <v>46143</v>
      </c>
      <c r="D1221" t="s">
        <v>568</v>
      </c>
      <c r="E1221">
        <v>20007</v>
      </c>
      <c r="F1221" t="s">
        <v>4009</v>
      </c>
      <c r="G1221">
        <v>3</v>
      </c>
      <c r="H1221" t="s">
        <v>3966</v>
      </c>
      <c r="I1221" t="s">
        <v>465</v>
      </c>
    </row>
    <row r="1222" spans="1:9" x14ac:dyDescent="0.3">
      <c r="A1222">
        <v>85844</v>
      </c>
      <c r="B1222">
        <v>116</v>
      </c>
      <c r="C1222" s="453">
        <v>46143</v>
      </c>
      <c r="D1222" t="s">
        <v>568</v>
      </c>
      <c r="E1222">
        <v>19566</v>
      </c>
      <c r="F1222" t="s">
        <v>3986</v>
      </c>
      <c r="G1222">
        <v>3</v>
      </c>
      <c r="H1222" t="s">
        <v>3892</v>
      </c>
      <c r="I1222" t="s">
        <v>465</v>
      </c>
    </row>
    <row r="1223" spans="1:9" x14ac:dyDescent="0.3">
      <c r="A1223">
        <v>85845</v>
      </c>
      <c r="B1223">
        <v>116</v>
      </c>
      <c r="C1223" s="453">
        <v>46143</v>
      </c>
      <c r="D1223" t="s">
        <v>568</v>
      </c>
      <c r="E1223">
        <v>20466</v>
      </c>
      <c r="F1223" t="s">
        <v>4098</v>
      </c>
      <c r="G1223">
        <v>2.2000000000000002</v>
      </c>
      <c r="H1223" t="s">
        <v>3892</v>
      </c>
      <c r="I1223" t="s">
        <v>465</v>
      </c>
    </row>
    <row r="1224" spans="1:9" x14ac:dyDescent="0.3">
      <c r="A1224">
        <v>85846</v>
      </c>
      <c r="B1224">
        <v>116</v>
      </c>
      <c r="C1224" s="453">
        <v>46143</v>
      </c>
      <c r="D1224" t="s">
        <v>568</v>
      </c>
      <c r="E1224">
        <v>18200</v>
      </c>
      <c r="F1224" t="s">
        <v>4032</v>
      </c>
      <c r="G1224">
        <v>4</v>
      </c>
      <c r="H1224" t="s">
        <v>3878</v>
      </c>
      <c r="I1224" t="s">
        <v>465</v>
      </c>
    </row>
    <row r="1225" spans="1:9" x14ac:dyDescent="0.3">
      <c r="A1225">
        <v>85847</v>
      </c>
      <c r="B1225">
        <v>116</v>
      </c>
      <c r="C1225" s="453">
        <v>46143</v>
      </c>
      <c r="D1225" t="s">
        <v>568</v>
      </c>
      <c r="E1225">
        <v>18232</v>
      </c>
      <c r="F1225" t="s">
        <v>4091</v>
      </c>
      <c r="G1225">
        <v>1.4</v>
      </c>
      <c r="H1225" t="s">
        <v>3878</v>
      </c>
      <c r="I1225" t="s">
        <v>465</v>
      </c>
    </row>
    <row r="1226" spans="1:9" x14ac:dyDescent="0.3">
      <c r="A1226">
        <v>85848</v>
      </c>
      <c r="B1226">
        <v>116</v>
      </c>
      <c r="C1226" s="453">
        <v>46143</v>
      </c>
      <c r="D1226" t="s">
        <v>568</v>
      </c>
      <c r="E1226">
        <v>19573</v>
      </c>
      <c r="F1226" t="s">
        <v>4163</v>
      </c>
      <c r="G1226">
        <v>3</v>
      </c>
      <c r="H1226" t="s">
        <v>3892</v>
      </c>
      <c r="I1226" t="s">
        <v>465</v>
      </c>
    </row>
    <row r="1227" spans="1:9" x14ac:dyDescent="0.3">
      <c r="A1227">
        <v>85849</v>
      </c>
      <c r="B1227">
        <v>116</v>
      </c>
      <c r="C1227" s="453">
        <v>46143</v>
      </c>
      <c r="D1227" t="s">
        <v>568</v>
      </c>
      <c r="E1227">
        <v>25195</v>
      </c>
      <c r="F1227" t="s">
        <v>3874</v>
      </c>
      <c r="G1227">
        <v>22</v>
      </c>
      <c r="H1227" t="s">
        <v>3872</v>
      </c>
      <c r="I1227" t="s">
        <v>465</v>
      </c>
    </row>
    <row r="1228" spans="1:9" x14ac:dyDescent="0.3">
      <c r="A1228">
        <v>85850</v>
      </c>
      <c r="B1228">
        <v>116</v>
      </c>
      <c r="C1228" s="453">
        <v>46143</v>
      </c>
      <c r="D1228" t="s">
        <v>568</v>
      </c>
      <c r="E1228">
        <v>17886</v>
      </c>
      <c r="F1228" t="s">
        <v>3935</v>
      </c>
      <c r="G1228">
        <v>4</v>
      </c>
      <c r="H1228" t="s">
        <v>3888</v>
      </c>
      <c r="I1228" t="s">
        <v>465</v>
      </c>
    </row>
    <row r="1229" spans="1:9" x14ac:dyDescent="0.3">
      <c r="A1229">
        <v>85851</v>
      </c>
      <c r="B1229">
        <v>116</v>
      </c>
      <c r="C1229" s="453">
        <v>46143</v>
      </c>
      <c r="D1229" t="s">
        <v>568</v>
      </c>
      <c r="E1229">
        <v>24393</v>
      </c>
      <c r="F1229" t="s">
        <v>4039</v>
      </c>
      <c r="G1229">
        <v>9</v>
      </c>
      <c r="H1229" t="s">
        <v>3892</v>
      </c>
      <c r="I1229" t="s">
        <v>465</v>
      </c>
    </row>
    <row r="1230" spans="1:9" x14ac:dyDescent="0.3">
      <c r="A1230">
        <v>85852</v>
      </c>
      <c r="B1230">
        <v>116</v>
      </c>
      <c r="C1230" s="453">
        <v>46143</v>
      </c>
      <c r="D1230" t="s">
        <v>568</v>
      </c>
      <c r="E1230">
        <v>20500</v>
      </c>
      <c r="F1230" t="s">
        <v>3954</v>
      </c>
      <c r="G1230">
        <v>6</v>
      </c>
      <c r="H1230" t="s">
        <v>3872</v>
      </c>
      <c r="I1230" t="s">
        <v>465</v>
      </c>
    </row>
    <row r="1231" spans="1:9" x14ac:dyDescent="0.3">
      <c r="A1231">
        <v>85853</v>
      </c>
      <c r="B1231">
        <v>116</v>
      </c>
      <c r="C1231" s="453">
        <v>46143</v>
      </c>
      <c r="D1231" t="s">
        <v>568</v>
      </c>
      <c r="E1231">
        <v>18315</v>
      </c>
      <c r="F1231" t="s">
        <v>4088</v>
      </c>
      <c r="G1231">
        <v>1</v>
      </c>
      <c r="H1231" t="s">
        <v>3878</v>
      </c>
      <c r="I1231" t="s">
        <v>465</v>
      </c>
    </row>
    <row r="1232" spans="1:9" x14ac:dyDescent="0.3">
      <c r="A1232">
        <v>85854</v>
      </c>
      <c r="B1232">
        <v>116</v>
      </c>
      <c r="C1232" s="453">
        <v>46143</v>
      </c>
      <c r="D1232" t="s">
        <v>568</v>
      </c>
      <c r="E1232">
        <v>19539</v>
      </c>
      <c r="F1232" t="s">
        <v>4133</v>
      </c>
      <c r="G1232">
        <v>18</v>
      </c>
      <c r="H1232" t="s">
        <v>3892</v>
      </c>
      <c r="I1232" t="s">
        <v>465</v>
      </c>
    </row>
    <row r="1233" spans="1:9" x14ac:dyDescent="0.3">
      <c r="A1233">
        <v>85855</v>
      </c>
      <c r="B1233">
        <v>116</v>
      </c>
      <c r="C1233" s="453">
        <v>46143</v>
      </c>
      <c r="D1233" t="s">
        <v>568</v>
      </c>
      <c r="E1233">
        <v>18129</v>
      </c>
      <c r="F1233" t="s">
        <v>4092</v>
      </c>
      <c r="G1233">
        <v>1</v>
      </c>
      <c r="H1233" t="s">
        <v>3878</v>
      </c>
      <c r="I1233" t="s">
        <v>465</v>
      </c>
    </row>
    <row r="1234" spans="1:9" x14ac:dyDescent="0.3">
      <c r="A1234">
        <v>85856</v>
      </c>
      <c r="B1234">
        <v>116</v>
      </c>
      <c r="C1234" s="453">
        <v>46143</v>
      </c>
      <c r="D1234" t="s">
        <v>568</v>
      </c>
      <c r="E1234">
        <v>18696</v>
      </c>
      <c r="F1234" t="s">
        <v>3956</v>
      </c>
      <c r="G1234">
        <v>6.8</v>
      </c>
      <c r="H1234" t="s">
        <v>3892</v>
      </c>
      <c r="I1234" t="s">
        <v>465</v>
      </c>
    </row>
    <row r="1235" spans="1:9" x14ac:dyDescent="0.3">
      <c r="A1235">
        <v>85857</v>
      </c>
      <c r="B1235">
        <v>116</v>
      </c>
      <c r="C1235" s="453">
        <v>46143</v>
      </c>
      <c r="D1235" t="s">
        <v>568</v>
      </c>
      <c r="E1235">
        <v>25167</v>
      </c>
      <c r="F1235" t="s">
        <v>3951</v>
      </c>
      <c r="G1235">
        <v>15</v>
      </c>
      <c r="H1235" t="s">
        <v>3892</v>
      </c>
      <c r="I1235" t="s">
        <v>465</v>
      </c>
    </row>
    <row r="1236" spans="1:9" x14ac:dyDescent="0.3">
      <c r="A1236">
        <v>85858</v>
      </c>
      <c r="B1236">
        <v>116</v>
      </c>
      <c r="C1236" s="453">
        <v>46143</v>
      </c>
      <c r="D1236" t="s">
        <v>568</v>
      </c>
      <c r="E1236">
        <v>18547</v>
      </c>
      <c r="F1236" t="s">
        <v>3962</v>
      </c>
      <c r="G1236">
        <v>3.4</v>
      </c>
      <c r="H1236" t="s">
        <v>3878</v>
      </c>
      <c r="I1236" t="s">
        <v>465</v>
      </c>
    </row>
    <row r="1237" spans="1:9" x14ac:dyDescent="0.3">
      <c r="A1237">
        <v>85859</v>
      </c>
      <c r="B1237">
        <v>116</v>
      </c>
      <c r="C1237" s="453">
        <v>46143</v>
      </c>
      <c r="D1237" t="s">
        <v>568</v>
      </c>
      <c r="E1237">
        <v>20457</v>
      </c>
      <c r="F1237" t="s">
        <v>3999</v>
      </c>
      <c r="G1237">
        <v>3</v>
      </c>
      <c r="H1237" t="s">
        <v>3892</v>
      </c>
      <c r="I1237" t="s">
        <v>465</v>
      </c>
    </row>
    <row r="1238" spans="1:9" x14ac:dyDescent="0.3">
      <c r="A1238">
        <v>85860</v>
      </c>
      <c r="B1238">
        <v>116</v>
      </c>
      <c r="C1238" s="453">
        <v>46143</v>
      </c>
      <c r="D1238" t="s">
        <v>568</v>
      </c>
      <c r="E1238">
        <v>20757</v>
      </c>
      <c r="F1238" t="s">
        <v>4050</v>
      </c>
      <c r="G1238">
        <v>1.5</v>
      </c>
      <c r="H1238" t="s">
        <v>3966</v>
      </c>
      <c r="I1238" t="s">
        <v>465</v>
      </c>
    </row>
    <row r="1239" spans="1:9" x14ac:dyDescent="0.3">
      <c r="A1239">
        <v>85861</v>
      </c>
      <c r="B1239">
        <v>116</v>
      </c>
      <c r="C1239" s="453">
        <v>46143</v>
      </c>
      <c r="D1239" t="s">
        <v>568</v>
      </c>
      <c r="E1239">
        <v>18702</v>
      </c>
      <c r="F1239" t="s">
        <v>4043</v>
      </c>
      <c r="G1239">
        <v>3.9</v>
      </c>
      <c r="H1239" t="s">
        <v>3892</v>
      </c>
      <c r="I1239" t="s">
        <v>465</v>
      </c>
    </row>
    <row r="1240" spans="1:9" x14ac:dyDescent="0.3">
      <c r="A1240">
        <v>85862</v>
      </c>
      <c r="B1240">
        <v>116</v>
      </c>
      <c r="C1240" s="453">
        <v>46143</v>
      </c>
      <c r="D1240" t="s">
        <v>568</v>
      </c>
      <c r="E1240">
        <v>18273</v>
      </c>
      <c r="F1240" t="s">
        <v>4031</v>
      </c>
      <c r="G1240">
        <v>3</v>
      </c>
      <c r="H1240" t="s">
        <v>3878</v>
      </c>
      <c r="I1240" t="s">
        <v>465</v>
      </c>
    </row>
    <row r="1241" spans="1:9" x14ac:dyDescent="0.3">
      <c r="A1241">
        <v>85863</v>
      </c>
      <c r="B1241">
        <v>116</v>
      </c>
      <c r="C1241" s="453">
        <v>46143</v>
      </c>
      <c r="D1241" t="s">
        <v>568</v>
      </c>
      <c r="E1241">
        <v>20456</v>
      </c>
      <c r="F1241" t="s">
        <v>4000</v>
      </c>
      <c r="G1241">
        <v>2.8</v>
      </c>
      <c r="H1241" t="s">
        <v>3892</v>
      </c>
      <c r="I1241" t="s">
        <v>465</v>
      </c>
    </row>
    <row r="1242" spans="1:9" x14ac:dyDescent="0.3">
      <c r="A1242">
        <v>85864</v>
      </c>
      <c r="B1242">
        <v>116</v>
      </c>
      <c r="C1242" s="453">
        <v>46143</v>
      </c>
      <c r="D1242" t="s">
        <v>568</v>
      </c>
      <c r="E1242">
        <v>20809</v>
      </c>
      <c r="F1242" t="s">
        <v>4005</v>
      </c>
      <c r="G1242">
        <v>3.5</v>
      </c>
      <c r="H1242" t="s">
        <v>3888</v>
      </c>
      <c r="I1242" t="s">
        <v>465</v>
      </c>
    </row>
    <row r="1243" spans="1:9" x14ac:dyDescent="0.3">
      <c r="A1243">
        <v>85865</v>
      </c>
      <c r="B1243">
        <v>116</v>
      </c>
      <c r="C1243" s="453">
        <v>46143</v>
      </c>
      <c r="D1243" t="s">
        <v>568</v>
      </c>
      <c r="E1243">
        <v>21166</v>
      </c>
      <c r="F1243" t="s">
        <v>4001</v>
      </c>
      <c r="G1243">
        <v>3</v>
      </c>
      <c r="H1243" t="s">
        <v>3872</v>
      </c>
      <c r="I1243" t="s">
        <v>465</v>
      </c>
    </row>
    <row r="1244" spans="1:9" x14ac:dyDescent="0.3">
      <c r="A1244">
        <v>85866</v>
      </c>
      <c r="B1244">
        <v>116</v>
      </c>
      <c r="C1244" s="453">
        <v>46143</v>
      </c>
      <c r="D1244" t="s">
        <v>568</v>
      </c>
      <c r="E1244">
        <v>18312</v>
      </c>
      <c r="F1244" t="s">
        <v>4089</v>
      </c>
      <c r="G1244">
        <v>1</v>
      </c>
      <c r="H1244" t="s">
        <v>3878</v>
      </c>
      <c r="I1244" t="s">
        <v>465</v>
      </c>
    </row>
    <row r="1245" spans="1:9" x14ac:dyDescent="0.3">
      <c r="A1245">
        <v>85867</v>
      </c>
      <c r="B1245">
        <v>116</v>
      </c>
      <c r="C1245" s="453">
        <v>46143</v>
      </c>
      <c r="D1245" t="s">
        <v>568</v>
      </c>
      <c r="E1245">
        <v>18327</v>
      </c>
      <c r="F1245" t="s">
        <v>4087</v>
      </c>
      <c r="G1245">
        <v>1</v>
      </c>
      <c r="H1245" t="s">
        <v>3878</v>
      </c>
      <c r="I1245" t="s">
        <v>465</v>
      </c>
    </row>
    <row r="1246" spans="1:9" x14ac:dyDescent="0.3">
      <c r="A1246">
        <v>85868</v>
      </c>
      <c r="B1246">
        <v>116</v>
      </c>
      <c r="C1246" s="453">
        <v>46143</v>
      </c>
      <c r="D1246" t="s">
        <v>568</v>
      </c>
      <c r="E1246">
        <v>25197</v>
      </c>
      <c r="F1246" t="s">
        <v>4143</v>
      </c>
      <c r="G1246">
        <v>11</v>
      </c>
      <c r="H1246" t="s">
        <v>3872</v>
      </c>
      <c r="I1246" t="s">
        <v>465</v>
      </c>
    </row>
    <row r="1247" spans="1:9" x14ac:dyDescent="0.3">
      <c r="A1247">
        <v>85869</v>
      </c>
      <c r="B1247">
        <v>116</v>
      </c>
      <c r="C1247" s="453">
        <v>46143</v>
      </c>
      <c r="D1247" t="s">
        <v>568</v>
      </c>
      <c r="E1247">
        <v>24343</v>
      </c>
      <c r="F1247" t="s">
        <v>3990</v>
      </c>
      <c r="G1247">
        <v>5.2</v>
      </c>
      <c r="H1247" t="s">
        <v>3892</v>
      </c>
      <c r="I1247" t="s">
        <v>465</v>
      </c>
    </row>
    <row r="1248" spans="1:9" x14ac:dyDescent="0.3">
      <c r="A1248">
        <v>85870</v>
      </c>
      <c r="B1248">
        <v>116</v>
      </c>
      <c r="C1248" s="453">
        <v>46143</v>
      </c>
      <c r="D1248" t="s">
        <v>568</v>
      </c>
      <c r="E1248">
        <v>27711</v>
      </c>
      <c r="F1248" t="s">
        <v>3913</v>
      </c>
      <c r="G1248">
        <v>3</v>
      </c>
      <c r="H1248" t="s">
        <v>3872</v>
      </c>
      <c r="I1248" t="s">
        <v>465</v>
      </c>
    </row>
    <row r="1249" spans="1:9" x14ac:dyDescent="0.3">
      <c r="A1249">
        <v>85871</v>
      </c>
      <c r="B1249">
        <v>116</v>
      </c>
      <c r="C1249" s="453">
        <v>46143</v>
      </c>
      <c r="D1249" t="s">
        <v>568</v>
      </c>
      <c r="E1249">
        <v>25720</v>
      </c>
      <c r="F1249" t="s">
        <v>3926</v>
      </c>
      <c r="G1249">
        <v>6</v>
      </c>
      <c r="H1249" t="s">
        <v>3892</v>
      </c>
      <c r="I1249" t="s">
        <v>465</v>
      </c>
    </row>
    <row r="1250" spans="1:9" x14ac:dyDescent="0.3">
      <c r="A1250">
        <v>85872</v>
      </c>
      <c r="B1250">
        <v>116</v>
      </c>
      <c r="C1250" s="453">
        <v>46143</v>
      </c>
      <c r="D1250" t="s">
        <v>568</v>
      </c>
      <c r="E1250">
        <v>18272</v>
      </c>
      <c r="F1250" t="s">
        <v>4046</v>
      </c>
      <c r="G1250">
        <v>2.7</v>
      </c>
      <c r="H1250" t="s">
        <v>3878</v>
      </c>
      <c r="I1250" t="s">
        <v>465</v>
      </c>
    </row>
    <row r="1251" spans="1:9" x14ac:dyDescent="0.3">
      <c r="A1251">
        <v>85873</v>
      </c>
      <c r="B1251">
        <v>116</v>
      </c>
      <c r="C1251" s="453">
        <v>46143</v>
      </c>
      <c r="D1251" t="s">
        <v>568</v>
      </c>
      <c r="E1251">
        <v>18233</v>
      </c>
      <c r="F1251" t="s">
        <v>4090</v>
      </c>
      <c r="G1251">
        <v>1</v>
      </c>
      <c r="H1251" t="s">
        <v>3878</v>
      </c>
      <c r="I1251" t="s">
        <v>465</v>
      </c>
    </row>
    <row r="1252" spans="1:9" x14ac:dyDescent="0.3">
      <c r="A1252">
        <v>85874</v>
      </c>
      <c r="B1252">
        <v>116</v>
      </c>
      <c r="C1252" s="453">
        <v>46143</v>
      </c>
      <c r="D1252" t="s">
        <v>568</v>
      </c>
      <c r="E1252">
        <v>17914</v>
      </c>
      <c r="F1252" t="s">
        <v>3997</v>
      </c>
      <c r="G1252">
        <v>3</v>
      </c>
      <c r="H1252" t="s">
        <v>3888</v>
      </c>
      <c r="I1252" t="s">
        <v>465</v>
      </c>
    </row>
    <row r="1253" spans="1:9" x14ac:dyDescent="0.3">
      <c r="A1253">
        <v>85875</v>
      </c>
      <c r="B1253">
        <v>116</v>
      </c>
      <c r="C1253" s="453">
        <v>46143</v>
      </c>
      <c r="D1253" t="s">
        <v>568</v>
      </c>
      <c r="E1253">
        <v>17883</v>
      </c>
      <c r="F1253" t="s">
        <v>4136</v>
      </c>
      <c r="G1253">
        <v>4</v>
      </c>
      <c r="H1253" t="s">
        <v>3888</v>
      </c>
      <c r="I1253" t="s">
        <v>465</v>
      </c>
    </row>
    <row r="1254" spans="1:9" x14ac:dyDescent="0.3">
      <c r="A1254">
        <v>85876</v>
      </c>
      <c r="B1254">
        <v>116</v>
      </c>
      <c r="C1254" s="453">
        <v>46143</v>
      </c>
      <c r="D1254" t="s">
        <v>568</v>
      </c>
      <c r="E1254">
        <v>19405</v>
      </c>
      <c r="F1254" t="s">
        <v>4097</v>
      </c>
      <c r="G1254">
        <v>0.6</v>
      </c>
      <c r="H1254" t="s">
        <v>3892</v>
      </c>
      <c r="I1254" t="s">
        <v>465</v>
      </c>
    </row>
    <row r="1255" spans="1:9" x14ac:dyDescent="0.3">
      <c r="A1255">
        <v>85877</v>
      </c>
      <c r="B1255">
        <v>116</v>
      </c>
      <c r="C1255" s="453">
        <v>46143</v>
      </c>
      <c r="D1255" t="s">
        <v>568</v>
      </c>
      <c r="E1255">
        <v>19574</v>
      </c>
      <c r="F1255" t="s">
        <v>4077</v>
      </c>
      <c r="G1255">
        <v>1</v>
      </c>
      <c r="H1255" t="s">
        <v>3892</v>
      </c>
      <c r="I1255" t="s">
        <v>465</v>
      </c>
    </row>
    <row r="1256" spans="1:9" x14ac:dyDescent="0.3">
      <c r="A1256">
        <v>85878</v>
      </c>
      <c r="B1256">
        <v>116</v>
      </c>
      <c r="C1256" s="453">
        <v>46143</v>
      </c>
      <c r="D1256" t="s">
        <v>568</v>
      </c>
      <c r="E1256">
        <v>19017</v>
      </c>
      <c r="F1256" t="s">
        <v>4172</v>
      </c>
      <c r="G1256">
        <v>6</v>
      </c>
      <c r="H1256" t="s">
        <v>3892</v>
      </c>
      <c r="I1256" t="s">
        <v>465</v>
      </c>
    </row>
    <row r="1257" spans="1:9" x14ac:dyDescent="0.3">
      <c r="A1257">
        <v>85879</v>
      </c>
      <c r="B1257">
        <v>116</v>
      </c>
      <c r="C1257" s="453">
        <v>46143</v>
      </c>
      <c r="D1257" t="s">
        <v>568</v>
      </c>
      <c r="E1257">
        <v>19415</v>
      </c>
      <c r="F1257" t="s">
        <v>3941</v>
      </c>
      <c r="G1257">
        <v>10</v>
      </c>
      <c r="H1257" t="s">
        <v>3872</v>
      </c>
      <c r="I1257" t="s">
        <v>465</v>
      </c>
    </row>
    <row r="1258" spans="1:9" x14ac:dyDescent="0.3">
      <c r="A1258">
        <v>85880</v>
      </c>
      <c r="B1258">
        <v>116</v>
      </c>
      <c r="C1258" s="453">
        <v>46143</v>
      </c>
      <c r="D1258" t="s">
        <v>568</v>
      </c>
      <c r="E1258">
        <v>19649</v>
      </c>
      <c r="F1258" t="s">
        <v>4015</v>
      </c>
      <c r="G1258">
        <v>3</v>
      </c>
      <c r="H1258" t="s">
        <v>3892</v>
      </c>
      <c r="I1258" t="s">
        <v>465</v>
      </c>
    </row>
    <row r="1259" spans="1:9" x14ac:dyDescent="0.3">
      <c r="A1259">
        <v>85881</v>
      </c>
      <c r="B1259">
        <v>116</v>
      </c>
      <c r="C1259" s="453">
        <v>46143</v>
      </c>
      <c r="D1259" t="s">
        <v>568</v>
      </c>
      <c r="E1259">
        <v>18534</v>
      </c>
      <c r="F1259" t="s">
        <v>4084</v>
      </c>
      <c r="G1259">
        <v>1</v>
      </c>
      <c r="H1259" t="s">
        <v>3878</v>
      </c>
      <c r="I1259" t="s">
        <v>465</v>
      </c>
    </row>
    <row r="1260" spans="1:9" x14ac:dyDescent="0.3">
      <c r="A1260">
        <v>85882</v>
      </c>
      <c r="B1260">
        <v>116</v>
      </c>
      <c r="C1260" s="453">
        <v>46143</v>
      </c>
      <c r="D1260" t="s">
        <v>568</v>
      </c>
      <c r="E1260">
        <v>18666</v>
      </c>
      <c r="F1260" t="s">
        <v>4003</v>
      </c>
      <c r="G1260">
        <v>3.5</v>
      </c>
      <c r="H1260" t="s">
        <v>3892</v>
      </c>
      <c r="I1260" t="s">
        <v>465</v>
      </c>
    </row>
    <row r="1261" spans="1:9" x14ac:dyDescent="0.3">
      <c r="A1261">
        <v>85883</v>
      </c>
      <c r="B1261">
        <v>116</v>
      </c>
      <c r="C1261" s="453">
        <v>46143</v>
      </c>
      <c r="D1261" t="s">
        <v>568</v>
      </c>
      <c r="E1261">
        <v>21400</v>
      </c>
      <c r="F1261" t="s">
        <v>4165</v>
      </c>
      <c r="G1261">
        <v>2.9</v>
      </c>
      <c r="H1261" t="s">
        <v>3892</v>
      </c>
      <c r="I1261" t="s">
        <v>465</v>
      </c>
    </row>
    <row r="1262" spans="1:9" x14ac:dyDescent="0.3">
      <c r="A1262">
        <v>85884</v>
      </c>
      <c r="B1262">
        <v>116</v>
      </c>
      <c r="C1262" s="453">
        <v>46143</v>
      </c>
      <c r="D1262" t="s">
        <v>568</v>
      </c>
      <c r="E1262">
        <v>23095</v>
      </c>
      <c r="F1262" t="s">
        <v>3882</v>
      </c>
      <c r="G1262">
        <v>60</v>
      </c>
      <c r="H1262" t="s">
        <v>3872</v>
      </c>
      <c r="I1262" t="s">
        <v>465</v>
      </c>
    </row>
    <row r="1263" spans="1:9" x14ac:dyDescent="0.3">
      <c r="A1263">
        <v>85885</v>
      </c>
      <c r="B1263">
        <v>116</v>
      </c>
      <c r="C1263" s="453">
        <v>46143</v>
      </c>
      <c r="D1263" t="s">
        <v>568</v>
      </c>
      <c r="E1263">
        <v>18682</v>
      </c>
      <c r="F1263" t="s">
        <v>4025</v>
      </c>
      <c r="G1263">
        <v>2.8</v>
      </c>
      <c r="H1263" t="s">
        <v>3892</v>
      </c>
      <c r="I1263" t="s">
        <v>465</v>
      </c>
    </row>
    <row r="1264" spans="1:9" x14ac:dyDescent="0.3">
      <c r="A1264">
        <v>85886</v>
      </c>
      <c r="B1264">
        <v>116</v>
      </c>
      <c r="C1264" s="453">
        <v>46143</v>
      </c>
      <c r="D1264" t="s">
        <v>568</v>
      </c>
      <c r="E1264">
        <v>24331</v>
      </c>
      <c r="F1264" t="s">
        <v>3960</v>
      </c>
      <c r="G1264">
        <v>3.2</v>
      </c>
      <c r="H1264" t="s">
        <v>3892</v>
      </c>
      <c r="I1264" t="s">
        <v>465</v>
      </c>
    </row>
    <row r="1265" spans="1:9" x14ac:dyDescent="0.3">
      <c r="A1265">
        <v>85887</v>
      </c>
      <c r="B1265">
        <v>116</v>
      </c>
      <c r="C1265" s="453">
        <v>46143</v>
      </c>
      <c r="D1265" t="s">
        <v>568</v>
      </c>
      <c r="E1265">
        <v>21093</v>
      </c>
      <c r="F1265" t="s">
        <v>3903</v>
      </c>
      <c r="G1265">
        <v>17</v>
      </c>
      <c r="H1265" t="s">
        <v>3892</v>
      </c>
      <c r="I1265" t="s">
        <v>465</v>
      </c>
    </row>
    <row r="1266" spans="1:9" x14ac:dyDescent="0.3">
      <c r="A1266">
        <v>85888</v>
      </c>
      <c r="B1266">
        <v>116</v>
      </c>
      <c r="C1266" s="453">
        <v>46143</v>
      </c>
      <c r="D1266" t="s">
        <v>568</v>
      </c>
      <c r="E1266">
        <v>27079</v>
      </c>
      <c r="F1266" t="s">
        <v>3891</v>
      </c>
      <c r="G1266">
        <v>22</v>
      </c>
      <c r="H1266" t="s">
        <v>3892</v>
      </c>
      <c r="I1266" t="s">
        <v>465</v>
      </c>
    </row>
    <row r="1267" spans="1:9" x14ac:dyDescent="0.3">
      <c r="A1267">
        <v>85889</v>
      </c>
      <c r="B1267">
        <v>116</v>
      </c>
      <c r="C1267" s="453">
        <v>46143</v>
      </c>
      <c r="D1267" t="s">
        <v>568</v>
      </c>
      <c r="E1267">
        <v>20661</v>
      </c>
      <c r="F1267" t="s">
        <v>3919</v>
      </c>
      <c r="G1267">
        <v>8</v>
      </c>
      <c r="H1267" t="s">
        <v>3872</v>
      </c>
      <c r="I1267" t="s">
        <v>465</v>
      </c>
    </row>
    <row r="1268" spans="1:9" x14ac:dyDescent="0.3">
      <c r="A1268">
        <v>85890</v>
      </c>
      <c r="B1268">
        <v>116</v>
      </c>
      <c r="C1268" s="453">
        <v>46143</v>
      </c>
      <c r="D1268" t="s">
        <v>568</v>
      </c>
      <c r="E1268">
        <v>27475</v>
      </c>
      <c r="F1268" t="s">
        <v>4162</v>
      </c>
      <c r="G1268">
        <v>4</v>
      </c>
      <c r="H1268" t="s">
        <v>3872</v>
      </c>
      <c r="I1268" t="s">
        <v>465</v>
      </c>
    </row>
    <row r="1269" spans="1:9" x14ac:dyDescent="0.3">
      <c r="A1269">
        <v>85891</v>
      </c>
      <c r="B1269">
        <v>116</v>
      </c>
      <c r="C1269" s="453">
        <v>46143</v>
      </c>
      <c r="D1269" t="s">
        <v>568</v>
      </c>
      <c r="E1269">
        <v>20702</v>
      </c>
      <c r="F1269" t="s">
        <v>4006</v>
      </c>
      <c r="G1269">
        <v>1.5</v>
      </c>
      <c r="H1269" t="s">
        <v>3966</v>
      </c>
      <c r="I1269" t="s">
        <v>465</v>
      </c>
    </row>
    <row r="1270" spans="1:9" x14ac:dyDescent="0.3">
      <c r="A1270">
        <v>85892</v>
      </c>
      <c r="B1270">
        <v>116</v>
      </c>
      <c r="C1270" s="453">
        <v>46143</v>
      </c>
      <c r="D1270" t="s">
        <v>568</v>
      </c>
      <c r="E1270">
        <v>20234</v>
      </c>
      <c r="F1270" t="s">
        <v>3979</v>
      </c>
      <c r="G1270">
        <v>3</v>
      </c>
      <c r="H1270" t="s">
        <v>3892</v>
      </c>
      <c r="I1270" t="s">
        <v>465</v>
      </c>
    </row>
    <row r="1271" spans="1:9" x14ac:dyDescent="0.3">
      <c r="A1271">
        <v>85893</v>
      </c>
      <c r="B1271">
        <v>116</v>
      </c>
      <c r="C1271" s="453">
        <v>46143</v>
      </c>
      <c r="D1271" t="s">
        <v>568</v>
      </c>
      <c r="E1271">
        <v>19478</v>
      </c>
      <c r="F1271" t="s">
        <v>4072</v>
      </c>
      <c r="G1271">
        <v>1</v>
      </c>
      <c r="H1271" t="s">
        <v>3892</v>
      </c>
      <c r="I1271" t="s">
        <v>465</v>
      </c>
    </row>
    <row r="1272" spans="1:9" x14ac:dyDescent="0.3">
      <c r="A1272">
        <v>85894</v>
      </c>
      <c r="B1272">
        <v>116</v>
      </c>
      <c r="C1272" s="453">
        <v>46143</v>
      </c>
      <c r="D1272" t="s">
        <v>568</v>
      </c>
      <c r="E1272">
        <v>20358</v>
      </c>
      <c r="F1272" t="s">
        <v>3952</v>
      </c>
      <c r="G1272">
        <v>4.5</v>
      </c>
      <c r="H1272" t="s">
        <v>3888</v>
      </c>
      <c r="I1272" t="s">
        <v>465</v>
      </c>
    </row>
    <row r="1273" spans="1:9" x14ac:dyDescent="0.3">
      <c r="A1273">
        <v>85895</v>
      </c>
      <c r="B1273">
        <v>116</v>
      </c>
      <c r="C1273" s="453">
        <v>46143</v>
      </c>
      <c r="D1273" t="s">
        <v>568</v>
      </c>
      <c r="E1273">
        <v>17093</v>
      </c>
      <c r="F1273" t="s">
        <v>3993</v>
      </c>
      <c r="G1273">
        <v>8</v>
      </c>
      <c r="H1273" t="s">
        <v>3888</v>
      </c>
      <c r="I1273" t="s">
        <v>465</v>
      </c>
    </row>
    <row r="1274" spans="1:9" x14ac:dyDescent="0.3">
      <c r="A1274">
        <v>85896</v>
      </c>
      <c r="B1274">
        <v>116</v>
      </c>
      <c r="C1274" s="453">
        <v>46143</v>
      </c>
      <c r="D1274" t="s">
        <v>568</v>
      </c>
      <c r="E1274">
        <v>20213</v>
      </c>
      <c r="F1274" t="s">
        <v>4059</v>
      </c>
      <c r="G1274">
        <v>2</v>
      </c>
      <c r="H1274" t="s">
        <v>3888</v>
      </c>
      <c r="I1274" t="s">
        <v>465</v>
      </c>
    </row>
    <row r="1275" spans="1:9" x14ac:dyDescent="0.3">
      <c r="A1275">
        <v>85897</v>
      </c>
      <c r="B1275">
        <v>116</v>
      </c>
      <c r="C1275" s="453">
        <v>46143</v>
      </c>
      <c r="D1275" t="s">
        <v>568</v>
      </c>
      <c r="E1275">
        <v>20227</v>
      </c>
      <c r="F1275" t="s">
        <v>3968</v>
      </c>
      <c r="G1275">
        <v>5</v>
      </c>
      <c r="H1275" t="s">
        <v>3888</v>
      </c>
      <c r="I1275" t="s">
        <v>465</v>
      </c>
    </row>
    <row r="1276" spans="1:9" x14ac:dyDescent="0.3">
      <c r="A1276">
        <v>85898</v>
      </c>
      <c r="B1276">
        <v>116</v>
      </c>
      <c r="C1276" s="453">
        <v>46143</v>
      </c>
      <c r="D1276" t="s">
        <v>568</v>
      </c>
      <c r="E1276">
        <v>20250</v>
      </c>
      <c r="F1276" t="s">
        <v>4008</v>
      </c>
      <c r="G1276">
        <v>1.5</v>
      </c>
      <c r="H1276" t="s">
        <v>3888</v>
      </c>
      <c r="I1276" t="s">
        <v>465</v>
      </c>
    </row>
    <row r="1277" spans="1:9" x14ac:dyDescent="0.3">
      <c r="A1277">
        <v>85899</v>
      </c>
      <c r="B1277">
        <v>116</v>
      </c>
      <c r="C1277" s="453">
        <v>46143</v>
      </c>
      <c r="D1277" t="s">
        <v>568</v>
      </c>
      <c r="E1277">
        <v>20117</v>
      </c>
      <c r="F1277" t="s">
        <v>4010</v>
      </c>
      <c r="G1277">
        <v>1.5</v>
      </c>
      <c r="H1277" t="s">
        <v>3872</v>
      </c>
      <c r="I1277" t="s">
        <v>465</v>
      </c>
    </row>
    <row r="1278" spans="1:9" x14ac:dyDescent="0.3">
      <c r="A1278">
        <v>85900</v>
      </c>
      <c r="B1278">
        <v>116</v>
      </c>
      <c r="C1278" s="453">
        <v>46143</v>
      </c>
      <c r="D1278" t="s">
        <v>568</v>
      </c>
      <c r="E1278">
        <v>19428</v>
      </c>
      <c r="F1278" t="s">
        <v>4169</v>
      </c>
      <c r="G1278">
        <v>10</v>
      </c>
      <c r="H1278" t="s">
        <v>3872</v>
      </c>
      <c r="I1278" t="s">
        <v>465</v>
      </c>
    </row>
    <row r="1279" spans="1:9" x14ac:dyDescent="0.3">
      <c r="A1279">
        <v>85901</v>
      </c>
      <c r="B1279">
        <v>116</v>
      </c>
      <c r="C1279" s="453">
        <v>46143</v>
      </c>
      <c r="D1279" t="s">
        <v>568</v>
      </c>
      <c r="E1279">
        <v>21123</v>
      </c>
      <c r="F1279" t="s">
        <v>4115</v>
      </c>
      <c r="G1279">
        <v>3</v>
      </c>
      <c r="H1279" t="s">
        <v>3892</v>
      </c>
      <c r="I1279" t="s">
        <v>465</v>
      </c>
    </row>
    <row r="1280" spans="1:9" x14ac:dyDescent="0.3">
      <c r="A1280">
        <v>85902</v>
      </c>
      <c r="B1280">
        <v>116</v>
      </c>
      <c r="C1280" s="453">
        <v>46143</v>
      </c>
      <c r="D1280" t="s">
        <v>568</v>
      </c>
      <c r="E1280">
        <v>19740</v>
      </c>
      <c r="F1280" t="s">
        <v>3933</v>
      </c>
      <c r="G1280">
        <v>5</v>
      </c>
      <c r="H1280" t="s">
        <v>3892</v>
      </c>
      <c r="I1280" t="s">
        <v>465</v>
      </c>
    </row>
    <row r="1281" spans="1:9" x14ac:dyDescent="0.3">
      <c r="A1281">
        <v>85903</v>
      </c>
      <c r="B1281">
        <v>116</v>
      </c>
      <c r="C1281" s="453">
        <v>46143</v>
      </c>
      <c r="D1281" t="s">
        <v>568</v>
      </c>
      <c r="E1281">
        <v>17881</v>
      </c>
      <c r="F1281" t="s">
        <v>4095</v>
      </c>
      <c r="G1281">
        <v>2</v>
      </c>
      <c r="H1281" t="s">
        <v>3888</v>
      </c>
      <c r="I1281" t="s">
        <v>465</v>
      </c>
    </row>
    <row r="1282" spans="1:9" x14ac:dyDescent="0.3">
      <c r="A1282">
        <v>85904</v>
      </c>
      <c r="B1282">
        <v>116</v>
      </c>
      <c r="C1282" s="453">
        <v>46143</v>
      </c>
      <c r="D1282" t="s">
        <v>568</v>
      </c>
      <c r="E1282">
        <v>18447</v>
      </c>
      <c r="F1282" t="s">
        <v>4027</v>
      </c>
      <c r="G1282">
        <v>4</v>
      </c>
      <c r="H1282" t="s">
        <v>3878</v>
      </c>
      <c r="I1282" t="s">
        <v>465</v>
      </c>
    </row>
    <row r="1283" spans="1:9" x14ac:dyDescent="0.3">
      <c r="A1283">
        <v>85905</v>
      </c>
      <c r="B1283">
        <v>116</v>
      </c>
      <c r="C1283" s="453">
        <v>46143</v>
      </c>
      <c r="D1283" t="s">
        <v>568</v>
      </c>
      <c r="E1283">
        <v>21078</v>
      </c>
      <c r="F1283" t="s">
        <v>4049</v>
      </c>
      <c r="G1283">
        <v>1</v>
      </c>
      <c r="H1283" t="s">
        <v>3881</v>
      </c>
      <c r="I1283" t="s">
        <v>465</v>
      </c>
    </row>
    <row r="1284" spans="1:9" x14ac:dyDescent="0.3">
      <c r="A1284">
        <v>85906</v>
      </c>
      <c r="B1284">
        <v>116</v>
      </c>
      <c r="C1284" s="453">
        <v>46143</v>
      </c>
      <c r="D1284" t="s">
        <v>568</v>
      </c>
      <c r="E1284">
        <v>20287</v>
      </c>
      <c r="F1284" t="s">
        <v>4053</v>
      </c>
      <c r="G1284">
        <v>2</v>
      </c>
      <c r="H1284" t="s">
        <v>3888</v>
      </c>
      <c r="I1284" t="s">
        <v>465</v>
      </c>
    </row>
    <row r="1285" spans="1:9" x14ac:dyDescent="0.3">
      <c r="A1285">
        <v>85907</v>
      </c>
      <c r="B1285">
        <v>116</v>
      </c>
      <c r="C1285" s="453">
        <v>46143</v>
      </c>
      <c r="D1285" t="s">
        <v>568</v>
      </c>
      <c r="E1285">
        <v>19583</v>
      </c>
      <c r="F1285" t="s">
        <v>4076</v>
      </c>
      <c r="G1285">
        <v>1</v>
      </c>
      <c r="H1285" t="s">
        <v>3892</v>
      </c>
      <c r="I1285" t="s">
        <v>465</v>
      </c>
    </row>
    <row r="1286" spans="1:9" x14ac:dyDescent="0.3">
      <c r="A1286">
        <v>85908</v>
      </c>
      <c r="B1286">
        <v>116</v>
      </c>
      <c r="C1286" s="453">
        <v>46143</v>
      </c>
      <c r="D1286" t="s">
        <v>568</v>
      </c>
      <c r="E1286">
        <v>20231</v>
      </c>
      <c r="F1286" t="s">
        <v>4123</v>
      </c>
      <c r="G1286">
        <v>3</v>
      </c>
      <c r="H1286" t="s">
        <v>3888</v>
      </c>
      <c r="I1286" t="s">
        <v>465</v>
      </c>
    </row>
    <row r="1287" spans="1:9" x14ac:dyDescent="0.3">
      <c r="A1287">
        <v>85909</v>
      </c>
      <c r="B1287">
        <v>116</v>
      </c>
      <c r="C1287" s="453">
        <v>46143</v>
      </c>
      <c r="D1287" t="s">
        <v>568</v>
      </c>
      <c r="E1287">
        <v>19034</v>
      </c>
      <c r="F1287" t="s">
        <v>3989</v>
      </c>
      <c r="G1287">
        <v>5.4</v>
      </c>
      <c r="H1287" t="s">
        <v>3892</v>
      </c>
      <c r="I1287" t="s">
        <v>465</v>
      </c>
    </row>
    <row r="1288" spans="1:9" x14ac:dyDescent="0.3">
      <c r="A1288">
        <v>85910</v>
      </c>
      <c r="B1288">
        <v>116</v>
      </c>
      <c r="C1288" s="453">
        <v>46143</v>
      </c>
      <c r="D1288" t="s">
        <v>568</v>
      </c>
      <c r="E1288">
        <v>19572</v>
      </c>
      <c r="F1288" t="s">
        <v>4023</v>
      </c>
      <c r="G1288">
        <v>3</v>
      </c>
      <c r="H1288" t="s">
        <v>3892</v>
      </c>
      <c r="I1288" t="s">
        <v>465</v>
      </c>
    </row>
    <row r="1289" spans="1:9" x14ac:dyDescent="0.3">
      <c r="A1289">
        <v>85911</v>
      </c>
      <c r="B1289">
        <v>116</v>
      </c>
      <c r="C1289" s="453">
        <v>46143</v>
      </c>
      <c r="D1289" t="s">
        <v>568</v>
      </c>
      <c r="E1289">
        <v>23234</v>
      </c>
      <c r="F1289" t="s">
        <v>4018</v>
      </c>
      <c r="G1289">
        <v>2</v>
      </c>
      <c r="H1289" t="s">
        <v>3892</v>
      </c>
      <c r="I1289" t="s">
        <v>465</v>
      </c>
    </row>
    <row r="1290" spans="1:9" x14ac:dyDescent="0.3">
      <c r="A1290">
        <v>85912</v>
      </c>
      <c r="B1290">
        <v>116</v>
      </c>
      <c r="C1290" s="453">
        <v>46143</v>
      </c>
      <c r="D1290" t="s">
        <v>568</v>
      </c>
      <c r="E1290">
        <v>24185</v>
      </c>
      <c r="F1290" t="s">
        <v>4040</v>
      </c>
      <c r="G1290">
        <v>2</v>
      </c>
      <c r="H1290" t="s">
        <v>3892</v>
      </c>
      <c r="I1290" t="s">
        <v>465</v>
      </c>
    </row>
    <row r="1291" spans="1:9" x14ac:dyDescent="0.3">
      <c r="A1291">
        <v>85913</v>
      </c>
      <c r="B1291">
        <v>116</v>
      </c>
      <c r="C1291" s="453">
        <v>46143</v>
      </c>
      <c r="D1291" t="s">
        <v>568</v>
      </c>
      <c r="E1291">
        <v>19973</v>
      </c>
      <c r="F1291" t="s">
        <v>3981</v>
      </c>
      <c r="G1291">
        <v>3</v>
      </c>
      <c r="H1291" t="s">
        <v>3872</v>
      </c>
      <c r="I1291" t="s">
        <v>465</v>
      </c>
    </row>
    <row r="1292" spans="1:9" x14ac:dyDescent="0.3">
      <c r="A1292">
        <v>85914</v>
      </c>
      <c r="B1292">
        <v>116</v>
      </c>
      <c r="C1292" s="453">
        <v>46143</v>
      </c>
      <c r="D1292" t="s">
        <v>568</v>
      </c>
      <c r="E1292">
        <v>21085</v>
      </c>
      <c r="F1292" t="s">
        <v>4114</v>
      </c>
      <c r="G1292">
        <v>1</v>
      </c>
      <c r="H1292" t="s">
        <v>3881</v>
      </c>
      <c r="I1292" t="s">
        <v>465</v>
      </c>
    </row>
    <row r="1293" spans="1:9" x14ac:dyDescent="0.3">
      <c r="A1293">
        <v>85915</v>
      </c>
      <c r="B1293">
        <v>116</v>
      </c>
      <c r="C1293" s="453">
        <v>46143</v>
      </c>
      <c r="D1293" t="s">
        <v>568</v>
      </c>
      <c r="E1293">
        <v>19576</v>
      </c>
      <c r="F1293" t="s">
        <v>4021</v>
      </c>
      <c r="G1293">
        <v>3</v>
      </c>
      <c r="H1293" t="s">
        <v>3892</v>
      </c>
      <c r="I1293" t="s">
        <v>465</v>
      </c>
    </row>
    <row r="1294" spans="1:9" x14ac:dyDescent="0.3">
      <c r="A1294">
        <v>85916</v>
      </c>
      <c r="B1294">
        <v>116</v>
      </c>
      <c r="C1294" s="453">
        <v>46143</v>
      </c>
      <c r="D1294" t="s">
        <v>568</v>
      </c>
      <c r="E1294">
        <v>25237</v>
      </c>
      <c r="F1294" t="s">
        <v>4164</v>
      </c>
      <c r="G1294">
        <v>8</v>
      </c>
      <c r="H1294" t="s">
        <v>3872</v>
      </c>
      <c r="I1294" t="s">
        <v>465</v>
      </c>
    </row>
    <row r="1295" spans="1:9" x14ac:dyDescent="0.3">
      <c r="A1295">
        <v>85917</v>
      </c>
      <c r="B1295">
        <v>116</v>
      </c>
      <c r="C1295" s="453">
        <v>46143</v>
      </c>
      <c r="D1295" t="s">
        <v>568</v>
      </c>
      <c r="E1295">
        <v>23505</v>
      </c>
      <c r="F1295" t="s">
        <v>4124</v>
      </c>
      <c r="G1295">
        <v>0.5</v>
      </c>
      <c r="H1295" t="s">
        <v>3892</v>
      </c>
      <c r="I1295" t="s">
        <v>465</v>
      </c>
    </row>
    <row r="1296" spans="1:9" x14ac:dyDescent="0.3">
      <c r="A1296">
        <v>85918</v>
      </c>
      <c r="B1296">
        <v>116</v>
      </c>
      <c r="C1296" s="453">
        <v>46143</v>
      </c>
      <c r="D1296" t="s">
        <v>568</v>
      </c>
      <c r="E1296">
        <v>17896</v>
      </c>
      <c r="F1296" t="s">
        <v>3972</v>
      </c>
      <c r="G1296">
        <v>1</v>
      </c>
      <c r="H1296" t="s">
        <v>3888</v>
      </c>
      <c r="I1296" t="s">
        <v>465</v>
      </c>
    </row>
    <row r="1297" spans="1:9" x14ac:dyDescent="0.3">
      <c r="A1297">
        <v>85919</v>
      </c>
      <c r="B1297">
        <v>116</v>
      </c>
      <c r="C1297" s="453">
        <v>46143</v>
      </c>
      <c r="D1297" t="s">
        <v>568</v>
      </c>
      <c r="E1297">
        <v>17897</v>
      </c>
      <c r="F1297" t="s">
        <v>4094</v>
      </c>
      <c r="G1297">
        <v>1</v>
      </c>
      <c r="H1297" t="s">
        <v>3888</v>
      </c>
      <c r="I1297" t="s">
        <v>465</v>
      </c>
    </row>
    <row r="1298" spans="1:9" x14ac:dyDescent="0.3">
      <c r="A1298">
        <v>85920</v>
      </c>
      <c r="B1298">
        <v>116</v>
      </c>
      <c r="C1298" s="453">
        <v>46143</v>
      </c>
      <c r="D1298" t="s">
        <v>568</v>
      </c>
      <c r="E1298">
        <v>25769</v>
      </c>
      <c r="F1298" t="s">
        <v>4013</v>
      </c>
      <c r="G1298">
        <v>3</v>
      </c>
      <c r="H1298" t="s">
        <v>3892</v>
      </c>
      <c r="I1298" t="s">
        <v>465</v>
      </c>
    </row>
    <row r="1299" spans="1:9" x14ac:dyDescent="0.3">
      <c r="A1299">
        <v>85921</v>
      </c>
      <c r="B1299">
        <v>116</v>
      </c>
      <c r="C1299" s="453">
        <v>46143</v>
      </c>
      <c r="D1299" t="s">
        <v>568</v>
      </c>
      <c r="E1299">
        <v>24403</v>
      </c>
      <c r="F1299" t="s">
        <v>3992</v>
      </c>
      <c r="G1299">
        <v>3</v>
      </c>
      <c r="H1299" t="s">
        <v>3892</v>
      </c>
      <c r="I1299" t="s">
        <v>465</v>
      </c>
    </row>
    <row r="1300" spans="1:9" x14ac:dyDescent="0.3">
      <c r="A1300">
        <v>85922</v>
      </c>
      <c r="B1300">
        <v>116</v>
      </c>
      <c r="C1300" s="453">
        <v>46143</v>
      </c>
      <c r="D1300" t="s">
        <v>568</v>
      </c>
      <c r="E1300">
        <v>18395</v>
      </c>
      <c r="F1300" t="s">
        <v>4085</v>
      </c>
      <c r="G1300">
        <v>1.2</v>
      </c>
      <c r="H1300" t="s">
        <v>3878</v>
      </c>
      <c r="I1300" t="s">
        <v>465</v>
      </c>
    </row>
    <row r="1301" spans="1:9" x14ac:dyDescent="0.3">
      <c r="A1301">
        <v>85923</v>
      </c>
      <c r="B1301">
        <v>116</v>
      </c>
      <c r="C1301" s="453">
        <v>46143</v>
      </c>
      <c r="D1301" t="s">
        <v>568</v>
      </c>
      <c r="E1301">
        <v>23515</v>
      </c>
      <c r="F1301" t="s">
        <v>3980</v>
      </c>
      <c r="G1301">
        <v>2</v>
      </c>
      <c r="H1301" t="s">
        <v>3872</v>
      </c>
      <c r="I1301" t="s">
        <v>465</v>
      </c>
    </row>
    <row r="1302" spans="1:9" x14ac:dyDescent="0.3">
      <c r="A1302">
        <v>85924</v>
      </c>
      <c r="B1302">
        <v>116</v>
      </c>
      <c r="C1302" s="453">
        <v>46143</v>
      </c>
      <c r="D1302" t="s">
        <v>568</v>
      </c>
      <c r="E1302">
        <v>18341</v>
      </c>
      <c r="F1302" t="s">
        <v>4086</v>
      </c>
      <c r="G1302">
        <v>1</v>
      </c>
      <c r="H1302" t="s">
        <v>3878</v>
      </c>
      <c r="I1302" t="s">
        <v>465</v>
      </c>
    </row>
    <row r="1303" spans="1:9" x14ac:dyDescent="0.3">
      <c r="A1303">
        <v>85925</v>
      </c>
      <c r="B1303">
        <v>116</v>
      </c>
      <c r="C1303" s="453">
        <v>46143</v>
      </c>
      <c r="D1303" t="s">
        <v>568</v>
      </c>
      <c r="E1303">
        <v>18317</v>
      </c>
      <c r="F1303" t="s">
        <v>4045</v>
      </c>
      <c r="G1303">
        <v>1</v>
      </c>
      <c r="H1303" t="s">
        <v>3878</v>
      </c>
      <c r="I1303" t="s">
        <v>465</v>
      </c>
    </row>
    <row r="1304" spans="1:9" x14ac:dyDescent="0.3">
      <c r="A1304">
        <v>85926</v>
      </c>
      <c r="B1304">
        <v>116</v>
      </c>
      <c r="C1304" s="453">
        <v>46143</v>
      </c>
      <c r="D1304" t="s">
        <v>568</v>
      </c>
      <c r="E1304">
        <v>19494</v>
      </c>
      <c r="F1304" t="s">
        <v>4126</v>
      </c>
      <c r="G1304">
        <v>2</v>
      </c>
      <c r="H1304" t="s">
        <v>3892</v>
      </c>
      <c r="I1304" t="s">
        <v>465</v>
      </c>
    </row>
    <row r="1305" spans="1:9" x14ac:dyDescent="0.3">
      <c r="A1305">
        <v>85927</v>
      </c>
      <c r="B1305">
        <v>116</v>
      </c>
      <c r="C1305" s="453">
        <v>46143</v>
      </c>
      <c r="D1305" t="s">
        <v>568</v>
      </c>
      <c r="E1305">
        <v>23503</v>
      </c>
      <c r="F1305" t="s">
        <v>4041</v>
      </c>
      <c r="G1305">
        <v>1.5</v>
      </c>
      <c r="H1305" t="s">
        <v>3892</v>
      </c>
      <c r="I1305" t="s">
        <v>465</v>
      </c>
    </row>
    <row r="1306" spans="1:9" x14ac:dyDescent="0.3">
      <c r="A1306">
        <v>85928</v>
      </c>
      <c r="B1306">
        <v>116</v>
      </c>
      <c r="C1306" s="453">
        <v>46143</v>
      </c>
      <c r="D1306" t="s">
        <v>568</v>
      </c>
      <c r="E1306">
        <v>19652</v>
      </c>
      <c r="F1306" t="s">
        <v>4014</v>
      </c>
      <c r="G1306">
        <v>1.7</v>
      </c>
      <c r="H1306" t="s">
        <v>3892</v>
      </c>
      <c r="I1306" t="s">
        <v>465</v>
      </c>
    </row>
    <row r="1307" spans="1:9" x14ac:dyDescent="0.3">
      <c r="A1307">
        <v>85929</v>
      </c>
      <c r="B1307">
        <v>116</v>
      </c>
      <c r="C1307" s="453">
        <v>46143</v>
      </c>
      <c r="D1307" t="s">
        <v>568</v>
      </c>
      <c r="E1307">
        <v>26193</v>
      </c>
      <c r="F1307" t="s">
        <v>3950</v>
      </c>
      <c r="G1307">
        <v>2.5</v>
      </c>
      <c r="H1307" t="s">
        <v>3872</v>
      </c>
      <c r="I1307" t="s">
        <v>465</v>
      </c>
    </row>
    <row r="1308" spans="1:9" x14ac:dyDescent="0.3">
      <c r="A1308">
        <v>85930</v>
      </c>
      <c r="B1308">
        <v>116</v>
      </c>
      <c r="C1308" s="453">
        <v>46143</v>
      </c>
      <c r="D1308" t="s">
        <v>568</v>
      </c>
      <c r="E1308">
        <v>19765</v>
      </c>
      <c r="F1308" t="s">
        <v>4071</v>
      </c>
      <c r="G1308">
        <v>1</v>
      </c>
      <c r="H1308" t="s">
        <v>3892</v>
      </c>
      <c r="I1308" t="s">
        <v>465</v>
      </c>
    </row>
    <row r="1309" spans="1:9" x14ac:dyDescent="0.3">
      <c r="A1309">
        <v>85931</v>
      </c>
      <c r="B1309">
        <v>116</v>
      </c>
      <c r="C1309" s="453">
        <v>46143</v>
      </c>
      <c r="D1309" t="s">
        <v>568</v>
      </c>
      <c r="E1309">
        <v>20832</v>
      </c>
      <c r="F1309" t="s">
        <v>4060</v>
      </c>
      <c r="G1309">
        <v>1</v>
      </c>
      <c r="H1309" t="s">
        <v>3886</v>
      </c>
      <c r="I1309" t="s">
        <v>465</v>
      </c>
    </row>
    <row r="1310" spans="1:9" x14ac:dyDescent="0.3">
      <c r="A1310">
        <v>85932</v>
      </c>
      <c r="B1310">
        <v>116</v>
      </c>
      <c r="C1310" s="453">
        <v>46143</v>
      </c>
      <c r="D1310" t="s">
        <v>568</v>
      </c>
      <c r="E1310">
        <v>20077</v>
      </c>
      <c r="F1310" t="s">
        <v>4054</v>
      </c>
      <c r="G1310">
        <v>2</v>
      </c>
      <c r="H1310" t="s">
        <v>3888</v>
      </c>
      <c r="I1310" t="s">
        <v>465</v>
      </c>
    </row>
    <row r="1311" spans="1:9" x14ac:dyDescent="0.3">
      <c r="A1311">
        <v>85933</v>
      </c>
      <c r="B1311">
        <v>116</v>
      </c>
      <c r="C1311" s="453">
        <v>46143</v>
      </c>
      <c r="D1311" t="s">
        <v>568</v>
      </c>
      <c r="E1311">
        <v>20949</v>
      </c>
      <c r="F1311" t="s">
        <v>3983</v>
      </c>
      <c r="G1311">
        <v>4</v>
      </c>
      <c r="H1311" t="s">
        <v>3878</v>
      </c>
      <c r="I1311" t="s">
        <v>465</v>
      </c>
    </row>
    <row r="1312" spans="1:9" x14ac:dyDescent="0.3">
      <c r="A1312">
        <v>85934</v>
      </c>
      <c r="B1312">
        <v>116</v>
      </c>
      <c r="C1312" s="453">
        <v>46143</v>
      </c>
      <c r="D1312" t="s">
        <v>568</v>
      </c>
      <c r="E1312">
        <v>25768</v>
      </c>
      <c r="F1312" t="s">
        <v>4012</v>
      </c>
      <c r="G1312">
        <v>3</v>
      </c>
      <c r="H1312" t="s">
        <v>3892</v>
      </c>
      <c r="I1312" t="s">
        <v>465</v>
      </c>
    </row>
    <row r="1313" spans="1:9" x14ac:dyDescent="0.3">
      <c r="A1313">
        <v>85935</v>
      </c>
      <c r="B1313">
        <v>116</v>
      </c>
      <c r="C1313" s="453">
        <v>46143</v>
      </c>
      <c r="D1313" t="s">
        <v>568</v>
      </c>
      <c r="E1313">
        <v>23096</v>
      </c>
      <c r="F1313" t="s">
        <v>3876</v>
      </c>
      <c r="G1313">
        <v>40</v>
      </c>
      <c r="H1313" t="s">
        <v>3872</v>
      </c>
      <c r="I1313" t="s">
        <v>465</v>
      </c>
    </row>
    <row r="1314" spans="1:9" x14ac:dyDescent="0.3">
      <c r="A1314">
        <v>85936</v>
      </c>
      <c r="B1314">
        <v>116</v>
      </c>
      <c r="C1314" s="453">
        <v>46143</v>
      </c>
      <c r="D1314" t="s">
        <v>568</v>
      </c>
      <c r="E1314">
        <v>23385</v>
      </c>
      <c r="F1314" t="s">
        <v>4069</v>
      </c>
      <c r="G1314">
        <v>0.5</v>
      </c>
      <c r="H1314" t="s">
        <v>3892</v>
      </c>
      <c r="I1314" t="s">
        <v>465</v>
      </c>
    </row>
    <row r="1315" spans="1:9" x14ac:dyDescent="0.3">
      <c r="A1315">
        <v>85937</v>
      </c>
      <c r="B1315">
        <v>116</v>
      </c>
      <c r="C1315" s="453">
        <v>46143</v>
      </c>
      <c r="D1315" t="s">
        <v>568</v>
      </c>
      <c r="E1315">
        <v>19787</v>
      </c>
      <c r="F1315" t="s">
        <v>3940</v>
      </c>
      <c r="G1315">
        <v>5.4</v>
      </c>
      <c r="H1315" t="s">
        <v>3892</v>
      </c>
      <c r="I1315" t="s">
        <v>465</v>
      </c>
    </row>
    <row r="1316" spans="1:9" x14ac:dyDescent="0.3">
      <c r="A1316">
        <v>85938</v>
      </c>
      <c r="B1316">
        <v>116</v>
      </c>
      <c r="C1316" s="453">
        <v>46143</v>
      </c>
      <c r="D1316" t="s">
        <v>568</v>
      </c>
      <c r="E1316">
        <v>18030</v>
      </c>
      <c r="F1316" t="s">
        <v>4033</v>
      </c>
      <c r="G1316">
        <v>1</v>
      </c>
      <c r="H1316" t="s">
        <v>3878</v>
      </c>
      <c r="I1316" t="s">
        <v>465</v>
      </c>
    </row>
    <row r="1317" spans="1:9" x14ac:dyDescent="0.3">
      <c r="A1317">
        <v>85939</v>
      </c>
      <c r="B1317">
        <v>116</v>
      </c>
      <c r="C1317" s="453">
        <v>46143</v>
      </c>
      <c r="D1317" t="s">
        <v>568</v>
      </c>
      <c r="E1317">
        <v>24083</v>
      </c>
      <c r="F1317" t="s">
        <v>3898</v>
      </c>
      <c r="G1317">
        <v>5</v>
      </c>
      <c r="H1317" t="s">
        <v>3892</v>
      </c>
      <c r="I1317" t="s">
        <v>465</v>
      </c>
    </row>
    <row r="1318" spans="1:9" x14ac:dyDescent="0.3">
      <c r="A1318">
        <v>85940</v>
      </c>
      <c r="B1318">
        <v>116</v>
      </c>
      <c r="C1318" s="453">
        <v>46143</v>
      </c>
      <c r="D1318" t="s">
        <v>568</v>
      </c>
      <c r="E1318">
        <v>19751</v>
      </c>
      <c r="F1318" t="s">
        <v>4019</v>
      </c>
      <c r="G1318">
        <v>2</v>
      </c>
      <c r="H1318" t="s">
        <v>3892</v>
      </c>
      <c r="I1318" t="s">
        <v>465</v>
      </c>
    </row>
    <row r="1319" spans="1:9" x14ac:dyDescent="0.3">
      <c r="A1319">
        <v>85941</v>
      </c>
      <c r="B1319">
        <v>116</v>
      </c>
      <c r="C1319" s="453">
        <v>46143</v>
      </c>
      <c r="D1319" t="s">
        <v>568</v>
      </c>
      <c r="E1319">
        <v>19498</v>
      </c>
      <c r="F1319" t="s">
        <v>4065</v>
      </c>
      <c r="G1319">
        <v>1.5</v>
      </c>
      <c r="H1319" t="s">
        <v>3892</v>
      </c>
      <c r="I1319" t="s">
        <v>465</v>
      </c>
    </row>
    <row r="1320" spans="1:9" x14ac:dyDescent="0.3">
      <c r="A1320">
        <v>85942</v>
      </c>
      <c r="B1320">
        <v>116</v>
      </c>
      <c r="C1320" s="453">
        <v>46143</v>
      </c>
      <c r="D1320" t="s">
        <v>568</v>
      </c>
      <c r="E1320">
        <v>20395</v>
      </c>
      <c r="F1320" t="s">
        <v>4057</v>
      </c>
      <c r="G1320">
        <v>1</v>
      </c>
      <c r="H1320" t="s">
        <v>3872</v>
      </c>
      <c r="I1320" t="s">
        <v>465</v>
      </c>
    </row>
    <row r="1321" spans="1:9" x14ac:dyDescent="0.3">
      <c r="A1321">
        <v>85943</v>
      </c>
      <c r="B1321">
        <v>116</v>
      </c>
      <c r="C1321" s="453">
        <v>46143</v>
      </c>
      <c r="D1321" t="s">
        <v>568</v>
      </c>
      <c r="E1321">
        <v>17942</v>
      </c>
      <c r="F1321" t="s">
        <v>4035</v>
      </c>
      <c r="G1321">
        <v>2</v>
      </c>
      <c r="H1321" t="s">
        <v>3872</v>
      </c>
      <c r="I1321" t="s">
        <v>465</v>
      </c>
    </row>
    <row r="1322" spans="1:9" x14ac:dyDescent="0.3">
      <c r="A1322">
        <v>85944</v>
      </c>
      <c r="B1322">
        <v>116</v>
      </c>
      <c r="C1322" s="453">
        <v>46143</v>
      </c>
      <c r="D1322" t="s">
        <v>568</v>
      </c>
      <c r="E1322">
        <v>20597</v>
      </c>
      <c r="F1322" t="s">
        <v>4157</v>
      </c>
      <c r="G1322">
        <v>1</v>
      </c>
      <c r="H1322" t="s">
        <v>3872</v>
      </c>
      <c r="I1322" t="s">
        <v>465</v>
      </c>
    </row>
    <row r="1323" spans="1:9" x14ac:dyDescent="0.3">
      <c r="A1323">
        <v>85945</v>
      </c>
      <c r="B1323">
        <v>116</v>
      </c>
      <c r="C1323" s="453">
        <v>46143</v>
      </c>
      <c r="D1323" t="s">
        <v>568</v>
      </c>
      <c r="E1323">
        <v>17878</v>
      </c>
      <c r="F1323" t="s">
        <v>4096</v>
      </c>
      <c r="G1323">
        <v>1</v>
      </c>
      <c r="H1323" t="s">
        <v>3872</v>
      </c>
      <c r="I1323" t="s">
        <v>465</v>
      </c>
    </row>
    <row r="1324" spans="1:9" x14ac:dyDescent="0.3">
      <c r="A1324">
        <v>85946</v>
      </c>
      <c r="B1324">
        <v>116</v>
      </c>
      <c r="C1324" s="453">
        <v>46143</v>
      </c>
      <c r="D1324" t="s">
        <v>568</v>
      </c>
      <c r="E1324">
        <v>23142</v>
      </c>
      <c r="F1324" t="s">
        <v>4151</v>
      </c>
      <c r="G1324">
        <v>1</v>
      </c>
      <c r="H1324" t="s">
        <v>3892</v>
      </c>
      <c r="I1324" t="s">
        <v>465</v>
      </c>
    </row>
    <row r="1325" spans="1:9" x14ac:dyDescent="0.3">
      <c r="A1325">
        <v>85947</v>
      </c>
      <c r="B1325">
        <v>116</v>
      </c>
      <c r="C1325" s="453">
        <v>46143</v>
      </c>
      <c r="D1325" t="s">
        <v>568</v>
      </c>
      <c r="E1325">
        <v>23622</v>
      </c>
      <c r="F1325" t="s">
        <v>4150</v>
      </c>
      <c r="G1325">
        <v>1</v>
      </c>
      <c r="H1325" t="s">
        <v>3892</v>
      </c>
      <c r="I1325" t="s">
        <v>465</v>
      </c>
    </row>
    <row r="1326" spans="1:9" x14ac:dyDescent="0.3">
      <c r="A1326">
        <v>85948</v>
      </c>
      <c r="B1326">
        <v>116</v>
      </c>
      <c r="C1326" s="453">
        <v>46143</v>
      </c>
      <c r="D1326" t="s">
        <v>568</v>
      </c>
      <c r="E1326">
        <v>20717</v>
      </c>
      <c r="F1326" t="s">
        <v>4055</v>
      </c>
      <c r="G1326">
        <v>0.5</v>
      </c>
      <c r="H1326" t="s">
        <v>3872</v>
      </c>
      <c r="I1326" t="s">
        <v>465</v>
      </c>
    </row>
    <row r="1327" spans="1:9" x14ac:dyDescent="0.3">
      <c r="A1327">
        <v>85949</v>
      </c>
      <c r="B1327">
        <v>116</v>
      </c>
      <c r="C1327" s="453">
        <v>46143</v>
      </c>
      <c r="D1327" t="s">
        <v>568</v>
      </c>
      <c r="E1327">
        <v>20685</v>
      </c>
      <c r="F1327" t="s">
        <v>4122</v>
      </c>
      <c r="G1327">
        <v>6</v>
      </c>
      <c r="H1327" t="s">
        <v>3872</v>
      </c>
      <c r="I1327" t="s">
        <v>465</v>
      </c>
    </row>
    <row r="1328" spans="1:9" x14ac:dyDescent="0.3">
      <c r="A1328">
        <v>85950</v>
      </c>
      <c r="B1328">
        <v>116</v>
      </c>
      <c r="C1328" s="453">
        <v>46143</v>
      </c>
      <c r="D1328" t="s">
        <v>568</v>
      </c>
      <c r="E1328">
        <v>23270</v>
      </c>
      <c r="F1328" t="s">
        <v>4103</v>
      </c>
      <c r="G1328">
        <v>1</v>
      </c>
      <c r="H1328" t="s">
        <v>3892</v>
      </c>
      <c r="I1328" t="s">
        <v>465</v>
      </c>
    </row>
    <row r="1329" spans="1:9" x14ac:dyDescent="0.3">
      <c r="A1329">
        <v>85951</v>
      </c>
      <c r="B1329">
        <v>116</v>
      </c>
      <c r="C1329" s="453">
        <v>46143</v>
      </c>
      <c r="D1329" t="s">
        <v>568</v>
      </c>
      <c r="E1329">
        <v>19634</v>
      </c>
      <c r="F1329" t="s">
        <v>4068</v>
      </c>
      <c r="G1329">
        <v>2</v>
      </c>
      <c r="H1329" t="s">
        <v>3892</v>
      </c>
      <c r="I1329" t="s">
        <v>465</v>
      </c>
    </row>
    <row r="1330" spans="1:9" x14ac:dyDescent="0.3">
      <c r="A1330">
        <v>85952</v>
      </c>
      <c r="B1330">
        <v>116</v>
      </c>
      <c r="C1330" s="453">
        <v>46143</v>
      </c>
      <c r="D1330" t="s">
        <v>568</v>
      </c>
      <c r="E1330">
        <v>17066</v>
      </c>
      <c r="F1330" t="s">
        <v>4155</v>
      </c>
      <c r="G1330">
        <v>1</v>
      </c>
      <c r="H1330" t="s">
        <v>3892</v>
      </c>
      <c r="I1330" t="s">
        <v>465</v>
      </c>
    </row>
    <row r="1331" spans="1:9" x14ac:dyDescent="0.3">
      <c r="A1331">
        <v>85953</v>
      </c>
      <c r="B1331">
        <v>116</v>
      </c>
      <c r="C1331" s="453">
        <v>46143</v>
      </c>
      <c r="D1331" t="s">
        <v>568</v>
      </c>
      <c r="E1331">
        <v>23120</v>
      </c>
      <c r="F1331" t="s">
        <v>4111</v>
      </c>
      <c r="G1331">
        <v>0.3</v>
      </c>
      <c r="H1331" t="s">
        <v>3892</v>
      </c>
      <c r="I1331" t="s">
        <v>465</v>
      </c>
    </row>
    <row r="1332" spans="1:9" x14ac:dyDescent="0.3">
      <c r="A1332">
        <v>85954</v>
      </c>
      <c r="B1332">
        <v>116</v>
      </c>
      <c r="C1332" s="453">
        <v>46143</v>
      </c>
      <c r="D1332" t="s">
        <v>568</v>
      </c>
      <c r="E1332">
        <v>19672</v>
      </c>
      <c r="F1332" t="s">
        <v>4024</v>
      </c>
      <c r="G1332">
        <v>1.5</v>
      </c>
      <c r="H1332" t="s">
        <v>3892</v>
      </c>
      <c r="I1332" t="s">
        <v>465</v>
      </c>
    </row>
    <row r="1333" spans="1:9" x14ac:dyDescent="0.3">
      <c r="A1333">
        <v>85955</v>
      </c>
      <c r="B1333">
        <v>116</v>
      </c>
      <c r="C1333" s="453">
        <v>46143</v>
      </c>
      <c r="D1333" t="s">
        <v>568</v>
      </c>
      <c r="E1333">
        <v>23349</v>
      </c>
      <c r="F1333" t="s">
        <v>4173</v>
      </c>
      <c r="G1333">
        <v>2</v>
      </c>
      <c r="H1333" t="s">
        <v>3892</v>
      </c>
      <c r="I1333" t="s">
        <v>465</v>
      </c>
    </row>
    <row r="1334" spans="1:9" x14ac:dyDescent="0.3">
      <c r="A1334">
        <v>85956</v>
      </c>
      <c r="B1334">
        <v>116</v>
      </c>
      <c r="C1334" s="453">
        <v>46143</v>
      </c>
      <c r="D1334" t="s">
        <v>568</v>
      </c>
      <c r="E1334">
        <v>23359</v>
      </c>
      <c r="F1334" t="s">
        <v>3932</v>
      </c>
      <c r="G1334">
        <v>6</v>
      </c>
      <c r="H1334" t="s">
        <v>3892</v>
      </c>
      <c r="I1334" t="s">
        <v>465</v>
      </c>
    </row>
    <row r="1335" spans="1:9" x14ac:dyDescent="0.3">
      <c r="A1335">
        <v>85957</v>
      </c>
      <c r="B1335">
        <v>116</v>
      </c>
      <c r="C1335" s="453">
        <v>46143</v>
      </c>
      <c r="D1335" t="s">
        <v>568</v>
      </c>
      <c r="E1335">
        <v>21126</v>
      </c>
      <c r="F1335" t="s">
        <v>4004</v>
      </c>
      <c r="G1335">
        <v>2</v>
      </c>
      <c r="H1335" t="s">
        <v>3888</v>
      </c>
      <c r="I1335" t="s">
        <v>465</v>
      </c>
    </row>
    <row r="1336" spans="1:9" x14ac:dyDescent="0.3">
      <c r="A1336">
        <v>85958</v>
      </c>
      <c r="B1336">
        <v>116</v>
      </c>
      <c r="C1336" s="453">
        <v>46143</v>
      </c>
      <c r="D1336" t="s">
        <v>568</v>
      </c>
      <c r="E1336">
        <v>19689</v>
      </c>
      <c r="F1336" t="s">
        <v>4073</v>
      </c>
      <c r="G1336">
        <v>2</v>
      </c>
      <c r="H1336" t="s">
        <v>3892</v>
      </c>
      <c r="I1336" t="s">
        <v>465</v>
      </c>
    </row>
    <row r="1337" spans="1:9" x14ac:dyDescent="0.3">
      <c r="A1337">
        <v>85959</v>
      </c>
      <c r="B1337">
        <v>116</v>
      </c>
      <c r="C1337" s="453">
        <v>46143</v>
      </c>
      <c r="D1337" t="s">
        <v>568</v>
      </c>
      <c r="E1337">
        <v>23502</v>
      </c>
      <c r="F1337" t="s">
        <v>4174</v>
      </c>
      <c r="G1337">
        <v>1</v>
      </c>
      <c r="H1337" t="s">
        <v>3872</v>
      </c>
      <c r="I1337" t="s">
        <v>465</v>
      </c>
    </row>
    <row r="1338" spans="1:9" x14ac:dyDescent="0.3">
      <c r="A1338">
        <v>85960</v>
      </c>
      <c r="B1338">
        <v>116</v>
      </c>
      <c r="C1338" s="453">
        <v>46143</v>
      </c>
      <c r="D1338" t="s">
        <v>568</v>
      </c>
      <c r="E1338">
        <v>19647</v>
      </c>
      <c r="F1338" t="s">
        <v>4066</v>
      </c>
      <c r="G1338">
        <v>1</v>
      </c>
      <c r="H1338" t="s">
        <v>3892</v>
      </c>
      <c r="I1338" t="s">
        <v>465</v>
      </c>
    </row>
    <row r="1339" spans="1:9" x14ac:dyDescent="0.3">
      <c r="A1339">
        <v>85961</v>
      </c>
      <c r="B1339">
        <v>116</v>
      </c>
      <c r="C1339" s="453">
        <v>46143</v>
      </c>
      <c r="D1339" t="s">
        <v>568</v>
      </c>
      <c r="E1339">
        <v>24509</v>
      </c>
      <c r="F1339" t="s">
        <v>3906</v>
      </c>
      <c r="G1339">
        <v>4</v>
      </c>
      <c r="H1339" t="s">
        <v>3892</v>
      </c>
      <c r="I1339" t="s">
        <v>465</v>
      </c>
    </row>
    <row r="1340" spans="1:9" x14ac:dyDescent="0.3">
      <c r="A1340">
        <v>85962</v>
      </c>
      <c r="B1340">
        <v>116</v>
      </c>
      <c r="C1340" s="453">
        <v>46143</v>
      </c>
      <c r="D1340" t="s">
        <v>568</v>
      </c>
      <c r="E1340">
        <v>19505</v>
      </c>
      <c r="F1340" t="s">
        <v>4101</v>
      </c>
      <c r="G1340">
        <v>1</v>
      </c>
      <c r="H1340" t="s">
        <v>3892</v>
      </c>
      <c r="I1340" t="s">
        <v>465</v>
      </c>
    </row>
    <row r="1341" spans="1:9" x14ac:dyDescent="0.3">
      <c r="A1341">
        <v>85963</v>
      </c>
      <c r="B1341">
        <v>116</v>
      </c>
      <c r="C1341" s="453">
        <v>46143</v>
      </c>
      <c r="D1341" t="s">
        <v>568</v>
      </c>
      <c r="E1341">
        <v>24212</v>
      </c>
      <c r="F1341" t="s">
        <v>4056</v>
      </c>
      <c r="G1341">
        <v>1</v>
      </c>
      <c r="H1341" t="s">
        <v>3892</v>
      </c>
      <c r="I1341" t="s">
        <v>465</v>
      </c>
    </row>
    <row r="1342" spans="1:9" x14ac:dyDescent="0.3">
      <c r="A1342">
        <v>85964</v>
      </c>
      <c r="B1342">
        <v>116</v>
      </c>
      <c r="C1342" s="453">
        <v>46143</v>
      </c>
      <c r="D1342" t="s">
        <v>568</v>
      </c>
      <c r="E1342">
        <v>23852</v>
      </c>
      <c r="F1342" t="s">
        <v>4061</v>
      </c>
      <c r="G1342">
        <v>1</v>
      </c>
      <c r="H1342" t="s">
        <v>3892</v>
      </c>
      <c r="I1342" t="s">
        <v>465</v>
      </c>
    </row>
    <row r="1343" spans="1:9" x14ac:dyDescent="0.3">
      <c r="A1343">
        <v>85965</v>
      </c>
      <c r="B1343">
        <v>116</v>
      </c>
      <c r="C1343" s="453">
        <v>46143</v>
      </c>
      <c r="D1343" t="s">
        <v>568</v>
      </c>
      <c r="E1343">
        <v>19555</v>
      </c>
      <c r="F1343" t="s">
        <v>4109</v>
      </c>
      <c r="G1343">
        <v>0.5</v>
      </c>
      <c r="H1343" t="s">
        <v>3892</v>
      </c>
      <c r="I1343" t="s">
        <v>465</v>
      </c>
    </row>
    <row r="1344" spans="1:9" x14ac:dyDescent="0.3">
      <c r="A1344">
        <v>85966</v>
      </c>
      <c r="B1344">
        <v>116</v>
      </c>
      <c r="C1344" s="453">
        <v>46143</v>
      </c>
      <c r="D1344" t="s">
        <v>568</v>
      </c>
      <c r="E1344">
        <v>19742</v>
      </c>
      <c r="F1344" t="s">
        <v>4074</v>
      </c>
      <c r="G1344">
        <v>1</v>
      </c>
      <c r="H1344" t="s">
        <v>3892</v>
      </c>
      <c r="I1344" t="s">
        <v>465</v>
      </c>
    </row>
    <row r="1345" spans="1:9" x14ac:dyDescent="0.3">
      <c r="A1345">
        <v>85967</v>
      </c>
      <c r="B1345">
        <v>116</v>
      </c>
      <c r="C1345" s="453">
        <v>46143</v>
      </c>
      <c r="D1345" t="s">
        <v>568</v>
      </c>
      <c r="E1345">
        <v>23186</v>
      </c>
      <c r="F1345" t="s">
        <v>3988</v>
      </c>
      <c r="G1345">
        <v>2</v>
      </c>
      <c r="H1345" t="s">
        <v>3892</v>
      </c>
      <c r="I1345" t="s">
        <v>465</v>
      </c>
    </row>
    <row r="1346" spans="1:9" x14ac:dyDescent="0.3">
      <c r="A1346">
        <v>85968</v>
      </c>
      <c r="B1346">
        <v>116</v>
      </c>
      <c r="C1346" s="453">
        <v>46143</v>
      </c>
      <c r="D1346" t="s">
        <v>568</v>
      </c>
      <c r="E1346">
        <v>23113</v>
      </c>
      <c r="F1346" t="s">
        <v>4079</v>
      </c>
      <c r="G1346">
        <v>1</v>
      </c>
      <c r="H1346" t="s">
        <v>3892</v>
      </c>
      <c r="I1346" t="s">
        <v>465</v>
      </c>
    </row>
    <row r="1347" spans="1:9" x14ac:dyDescent="0.3">
      <c r="A1347">
        <v>85969</v>
      </c>
      <c r="B1347">
        <v>116</v>
      </c>
      <c r="C1347" s="453">
        <v>46143</v>
      </c>
      <c r="D1347" t="s">
        <v>568</v>
      </c>
      <c r="E1347">
        <v>19506</v>
      </c>
      <c r="F1347" t="s">
        <v>4112</v>
      </c>
      <c r="G1347">
        <v>0.2</v>
      </c>
      <c r="H1347" t="s">
        <v>3892</v>
      </c>
      <c r="I1347" t="s">
        <v>465</v>
      </c>
    </row>
    <row r="1348" spans="1:9" x14ac:dyDescent="0.3">
      <c r="A1348">
        <v>85970</v>
      </c>
      <c r="B1348">
        <v>116</v>
      </c>
      <c r="C1348" s="453">
        <v>46143</v>
      </c>
      <c r="D1348" t="s">
        <v>568</v>
      </c>
      <c r="E1348">
        <v>19465</v>
      </c>
      <c r="F1348" t="s">
        <v>4080</v>
      </c>
      <c r="G1348">
        <v>1.5</v>
      </c>
      <c r="H1348" t="s">
        <v>3892</v>
      </c>
      <c r="I1348" t="s">
        <v>465</v>
      </c>
    </row>
    <row r="1349" spans="1:9" x14ac:dyDescent="0.3">
      <c r="A1349">
        <v>85971</v>
      </c>
      <c r="B1349">
        <v>116</v>
      </c>
      <c r="C1349" s="453">
        <v>46143</v>
      </c>
      <c r="D1349" t="s">
        <v>568</v>
      </c>
      <c r="E1349">
        <v>19752</v>
      </c>
      <c r="F1349" t="s">
        <v>4042</v>
      </c>
      <c r="G1349">
        <v>1</v>
      </c>
      <c r="H1349" t="s">
        <v>3892</v>
      </c>
      <c r="I1349" t="s">
        <v>465</v>
      </c>
    </row>
    <row r="1350" spans="1:9" x14ac:dyDescent="0.3">
      <c r="A1350">
        <v>85972</v>
      </c>
      <c r="B1350">
        <v>116</v>
      </c>
      <c r="C1350" s="453">
        <v>46143</v>
      </c>
      <c r="D1350" t="s">
        <v>568</v>
      </c>
      <c r="E1350">
        <v>19621</v>
      </c>
      <c r="F1350" t="s">
        <v>4125</v>
      </c>
      <c r="G1350">
        <v>2</v>
      </c>
      <c r="H1350" t="s">
        <v>3892</v>
      </c>
      <c r="I1350" t="s">
        <v>465</v>
      </c>
    </row>
    <row r="1351" spans="1:9" x14ac:dyDescent="0.3">
      <c r="A1351">
        <v>85973</v>
      </c>
      <c r="B1351">
        <v>116</v>
      </c>
      <c r="C1351" s="453">
        <v>46143</v>
      </c>
      <c r="D1351" t="s">
        <v>568</v>
      </c>
      <c r="E1351">
        <v>19589</v>
      </c>
      <c r="F1351" t="s">
        <v>4153</v>
      </c>
      <c r="G1351">
        <v>2</v>
      </c>
      <c r="H1351" t="s">
        <v>3892</v>
      </c>
      <c r="I1351" t="s">
        <v>465</v>
      </c>
    </row>
    <row r="1352" spans="1:9" x14ac:dyDescent="0.3">
      <c r="A1352">
        <v>85974</v>
      </c>
      <c r="B1352">
        <v>116</v>
      </c>
      <c r="C1352" s="453">
        <v>46143</v>
      </c>
      <c r="D1352" t="s">
        <v>568</v>
      </c>
      <c r="E1352">
        <v>23236</v>
      </c>
      <c r="F1352" t="s">
        <v>4017</v>
      </c>
      <c r="G1352">
        <v>1</v>
      </c>
      <c r="H1352" t="s">
        <v>3892</v>
      </c>
      <c r="I1352" t="s">
        <v>465</v>
      </c>
    </row>
    <row r="1353" spans="1:9" x14ac:dyDescent="0.3">
      <c r="A1353">
        <v>85975</v>
      </c>
      <c r="B1353">
        <v>116</v>
      </c>
      <c r="C1353" s="453">
        <v>46143</v>
      </c>
      <c r="D1353" t="s">
        <v>568</v>
      </c>
      <c r="E1353">
        <v>19607</v>
      </c>
      <c r="F1353" t="s">
        <v>4105</v>
      </c>
      <c r="G1353">
        <v>0.5</v>
      </c>
      <c r="H1353" t="s">
        <v>3892</v>
      </c>
      <c r="I1353" t="s">
        <v>465</v>
      </c>
    </row>
    <row r="1354" spans="1:9" x14ac:dyDescent="0.3">
      <c r="A1354">
        <v>85976</v>
      </c>
      <c r="B1354">
        <v>116</v>
      </c>
      <c r="C1354" s="453">
        <v>46143</v>
      </c>
      <c r="D1354" t="s">
        <v>568</v>
      </c>
      <c r="E1354">
        <v>19623</v>
      </c>
      <c r="F1354" t="s">
        <v>3984</v>
      </c>
      <c r="G1354">
        <v>2</v>
      </c>
      <c r="H1354" t="s">
        <v>3892</v>
      </c>
      <c r="I1354" t="s">
        <v>465</v>
      </c>
    </row>
    <row r="1355" spans="1:9" x14ac:dyDescent="0.3">
      <c r="A1355">
        <v>85977</v>
      </c>
      <c r="B1355">
        <v>116</v>
      </c>
      <c r="C1355" s="453">
        <v>46143</v>
      </c>
      <c r="D1355" t="s">
        <v>568</v>
      </c>
      <c r="E1355">
        <v>24400</v>
      </c>
      <c r="F1355" t="s">
        <v>4149</v>
      </c>
      <c r="G1355">
        <v>0.5</v>
      </c>
      <c r="H1355" t="s">
        <v>3872</v>
      </c>
      <c r="I1355" t="s">
        <v>465</v>
      </c>
    </row>
    <row r="1356" spans="1:9" x14ac:dyDescent="0.3">
      <c r="A1356">
        <v>85978</v>
      </c>
      <c r="B1356">
        <v>116</v>
      </c>
      <c r="C1356" s="453">
        <v>46143</v>
      </c>
      <c r="D1356" t="s">
        <v>568</v>
      </c>
      <c r="E1356">
        <v>19553</v>
      </c>
      <c r="F1356" t="s">
        <v>4078</v>
      </c>
      <c r="G1356">
        <v>1.5</v>
      </c>
      <c r="H1356" t="s">
        <v>3892</v>
      </c>
      <c r="I1356" t="s">
        <v>465</v>
      </c>
    </row>
    <row r="1357" spans="1:9" x14ac:dyDescent="0.3">
      <c r="A1357">
        <v>85979</v>
      </c>
      <c r="B1357">
        <v>116</v>
      </c>
      <c r="C1357" s="453">
        <v>46143</v>
      </c>
      <c r="D1357" t="s">
        <v>568</v>
      </c>
      <c r="E1357">
        <v>24484</v>
      </c>
      <c r="F1357" t="s">
        <v>4154</v>
      </c>
      <c r="G1357">
        <v>0.5</v>
      </c>
      <c r="H1357" t="s">
        <v>3892</v>
      </c>
      <c r="I1357" t="s">
        <v>465</v>
      </c>
    </row>
    <row r="1358" spans="1:9" x14ac:dyDescent="0.3">
      <c r="A1358">
        <v>85980</v>
      </c>
      <c r="B1358">
        <v>116</v>
      </c>
      <c r="C1358" s="453">
        <v>46143</v>
      </c>
      <c r="D1358" t="s">
        <v>568</v>
      </c>
      <c r="E1358">
        <v>19642</v>
      </c>
      <c r="F1358" t="s">
        <v>4067</v>
      </c>
      <c r="G1358">
        <v>1</v>
      </c>
      <c r="H1358" t="s">
        <v>3892</v>
      </c>
      <c r="I1358" t="s">
        <v>465</v>
      </c>
    </row>
    <row r="1359" spans="1:9" x14ac:dyDescent="0.3">
      <c r="A1359">
        <v>85981</v>
      </c>
      <c r="B1359">
        <v>116</v>
      </c>
      <c r="C1359" s="453">
        <v>46143</v>
      </c>
      <c r="D1359" t="s">
        <v>568</v>
      </c>
      <c r="E1359">
        <v>27884</v>
      </c>
      <c r="F1359" t="s">
        <v>3910</v>
      </c>
      <c r="G1359">
        <v>14.3</v>
      </c>
      <c r="H1359" t="s">
        <v>3892</v>
      </c>
      <c r="I1359" t="s">
        <v>465</v>
      </c>
    </row>
    <row r="1360" spans="1:9" x14ac:dyDescent="0.3">
      <c r="A1360">
        <v>85982</v>
      </c>
      <c r="B1360">
        <v>116</v>
      </c>
      <c r="C1360" s="453">
        <v>46143</v>
      </c>
      <c r="D1360" t="s">
        <v>568</v>
      </c>
      <c r="E1360">
        <v>27312</v>
      </c>
      <c r="F1360" t="s">
        <v>3927</v>
      </c>
      <c r="G1360">
        <v>12.7</v>
      </c>
      <c r="H1360" t="s">
        <v>3892</v>
      </c>
      <c r="I1360" t="s">
        <v>465</v>
      </c>
    </row>
    <row r="1361" spans="1:9" x14ac:dyDescent="0.3">
      <c r="A1361">
        <v>85983</v>
      </c>
      <c r="B1361">
        <v>116</v>
      </c>
      <c r="C1361" s="453">
        <v>46143</v>
      </c>
      <c r="D1361" t="s">
        <v>568</v>
      </c>
      <c r="E1361">
        <v>17969</v>
      </c>
      <c r="F1361" t="s">
        <v>4175</v>
      </c>
      <c r="G1361">
        <v>12</v>
      </c>
      <c r="H1361" t="s">
        <v>3888</v>
      </c>
      <c r="I1361" t="s">
        <v>465</v>
      </c>
    </row>
    <row r="1362" spans="1:9" x14ac:dyDescent="0.3">
      <c r="A1362">
        <v>85984</v>
      </c>
      <c r="B1362">
        <v>116</v>
      </c>
      <c r="C1362" s="453">
        <v>46143</v>
      </c>
      <c r="D1362" t="s">
        <v>568</v>
      </c>
      <c r="E1362">
        <v>29129</v>
      </c>
      <c r="F1362" t="s">
        <v>4176</v>
      </c>
      <c r="G1362">
        <v>11</v>
      </c>
      <c r="H1362" t="s">
        <v>3872</v>
      </c>
      <c r="I1362" t="s">
        <v>465</v>
      </c>
    </row>
    <row r="1363" spans="1:9" x14ac:dyDescent="0.3">
      <c r="A1363">
        <v>85985</v>
      </c>
      <c r="B1363">
        <v>116</v>
      </c>
      <c r="C1363" s="453">
        <v>46143</v>
      </c>
      <c r="D1363" t="s">
        <v>568</v>
      </c>
      <c r="E1363">
        <v>24006</v>
      </c>
      <c r="F1363" t="s">
        <v>4177</v>
      </c>
      <c r="G1363">
        <v>10</v>
      </c>
      <c r="H1363" t="s">
        <v>3888</v>
      </c>
      <c r="I1363" t="s">
        <v>465</v>
      </c>
    </row>
    <row r="1364" spans="1:9" x14ac:dyDescent="0.3">
      <c r="A1364">
        <v>85986</v>
      </c>
      <c r="B1364">
        <v>116</v>
      </c>
      <c r="C1364" s="453">
        <v>46143</v>
      </c>
      <c r="D1364" t="s">
        <v>568</v>
      </c>
      <c r="E1364">
        <v>19916</v>
      </c>
      <c r="F1364" t="s">
        <v>4118</v>
      </c>
      <c r="G1364">
        <v>0.8</v>
      </c>
      <c r="H1364" t="s">
        <v>3888</v>
      </c>
      <c r="I1364" t="s">
        <v>465</v>
      </c>
    </row>
    <row r="1365" spans="1:9" x14ac:dyDescent="0.3">
      <c r="A1365">
        <v>85987</v>
      </c>
      <c r="B1365">
        <v>116</v>
      </c>
      <c r="C1365" s="453">
        <v>46143</v>
      </c>
      <c r="D1365" t="s">
        <v>568</v>
      </c>
      <c r="E1365">
        <v>26709</v>
      </c>
      <c r="F1365" t="s">
        <v>4178</v>
      </c>
      <c r="G1365">
        <v>6.5</v>
      </c>
      <c r="H1365" t="s">
        <v>3892</v>
      </c>
      <c r="I1365" t="s">
        <v>465</v>
      </c>
    </row>
    <row r="1366" spans="1:9" x14ac:dyDescent="0.3">
      <c r="A1366">
        <v>85988</v>
      </c>
      <c r="B1366">
        <v>116</v>
      </c>
      <c r="C1366" s="453">
        <v>46143</v>
      </c>
      <c r="D1366" t="s">
        <v>568</v>
      </c>
      <c r="E1366">
        <v>18933</v>
      </c>
      <c r="F1366" t="s">
        <v>3957</v>
      </c>
      <c r="G1366">
        <v>5.6</v>
      </c>
      <c r="H1366" t="s">
        <v>3892</v>
      </c>
      <c r="I1366" t="s">
        <v>465</v>
      </c>
    </row>
    <row r="1367" spans="1:9" x14ac:dyDescent="0.3">
      <c r="A1367">
        <v>85989</v>
      </c>
      <c r="B1367">
        <v>116</v>
      </c>
      <c r="C1367" s="453">
        <v>46143</v>
      </c>
      <c r="D1367" t="s">
        <v>568</v>
      </c>
      <c r="E1367">
        <v>20327</v>
      </c>
      <c r="F1367" t="s">
        <v>4179</v>
      </c>
      <c r="G1367">
        <v>4</v>
      </c>
      <c r="H1367" t="s">
        <v>3888</v>
      </c>
      <c r="I1367" t="s">
        <v>465</v>
      </c>
    </row>
    <row r="1368" spans="1:9" x14ac:dyDescent="0.3">
      <c r="A1368">
        <v>85990</v>
      </c>
      <c r="B1368">
        <v>116</v>
      </c>
      <c r="C1368" s="453">
        <v>46143</v>
      </c>
      <c r="D1368" t="s">
        <v>568</v>
      </c>
      <c r="E1368">
        <v>20682</v>
      </c>
      <c r="F1368" t="s">
        <v>3929</v>
      </c>
      <c r="G1368">
        <v>3</v>
      </c>
      <c r="H1368" t="s">
        <v>3872</v>
      </c>
      <c r="I1368" t="s">
        <v>465</v>
      </c>
    </row>
    <row r="1369" spans="1:9" x14ac:dyDescent="0.3">
      <c r="A1369">
        <v>85991</v>
      </c>
      <c r="B1369">
        <v>116</v>
      </c>
      <c r="C1369" s="453">
        <v>46143</v>
      </c>
      <c r="D1369" t="s">
        <v>568</v>
      </c>
      <c r="E1369">
        <v>21024</v>
      </c>
      <c r="F1369" t="s">
        <v>4180</v>
      </c>
      <c r="G1369">
        <v>3</v>
      </c>
      <c r="H1369" t="s">
        <v>3966</v>
      </c>
      <c r="I1369" t="s">
        <v>465</v>
      </c>
    </row>
    <row r="1370" spans="1:9" x14ac:dyDescent="0.3">
      <c r="A1370">
        <v>85992</v>
      </c>
      <c r="B1370">
        <v>116</v>
      </c>
      <c r="C1370" s="453">
        <v>46143</v>
      </c>
      <c r="D1370" t="s">
        <v>568</v>
      </c>
      <c r="E1370">
        <v>24194</v>
      </c>
      <c r="F1370" t="s">
        <v>4181</v>
      </c>
      <c r="G1370">
        <v>2.2999999999999998</v>
      </c>
      <c r="H1370" t="s">
        <v>3892</v>
      </c>
      <c r="I1370" t="s">
        <v>465</v>
      </c>
    </row>
    <row r="1371" spans="1:9" x14ac:dyDescent="0.3">
      <c r="A1371">
        <v>85993</v>
      </c>
      <c r="B1371">
        <v>116</v>
      </c>
      <c r="C1371" s="453">
        <v>46143</v>
      </c>
      <c r="D1371" t="s">
        <v>568</v>
      </c>
      <c r="E1371">
        <v>24385</v>
      </c>
      <c r="F1371" t="s">
        <v>4182</v>
      </c>
      <c r="G1371">
        <v>1</v>
      </c>
      <c r="H1371" t="s">
        <v>3892</v>
      </c>
      <c r="I1371" t="s">
        <v>465</v>
      </c>
    </row>
    <row r="1372" spans="1:9" x14ac:dyDescent="0.3">
      <c r="A1372">
        <v>85994</v>
      </c>
      <c r="B1372">
        <v>116</v>
      </c>
      <c r="C1372" s="453">
        <v>46143</v>
      </c>
      <c r="D1372" t="s">
        <v>568</v>
      </c>
      <c r="E1372">
        <v>19558</v>
      </c>
      <c r="F1372" t="s">
        <v>4183</v>
      </c>
      <c r="G1372">
        <v>1</v>
      </c>
      <c r="H1372" t="s">
        <v>3892</v>
      </c>
      <c r="I1372" t="s">
        <v>465</v>
      </c>
    </row>
    <row r="1373" spans="1:9" x14ac:dyDescent="0.3">
      <c r="A1373">
        <v>85995</v>
      </c>
      <c r="B1373">
        <v>116</v>
      </c>
      <c r="C1373" s="453">
        <v>46143</v>
      </c>
      <c r="D1373" t="s">
        <v>568</v>
      </c>
      <c r="E1373">
        <v>23195</v>
      </c>
      <c r="F1373" t="s">
        <v>4184</v>
      </c>
      <c r="G1373">
        <v>1</v>
      </c>
      <c r="H1373" t="s">
        <v>3892</v>
      </c>
      <c r="I1373" t="s">
        <v>465</v>
      </c>
    </row>
    <row r="1374" spans="1:9" x14ac:dyDescent="0.3">
      <c r="A1374">
        <v>85996</v>
      </c>
      <c r="B1374">
        <v>116</v>
      </c>
      <c r="C1374" s="453">
        <v>46143</v>
      </c>
      <c r="D1374" t="s">
        <v>568</v>
      </c>
      <c r="E1374">
        <v>18528</v>
      </c>
      <c r="F1374" t="s">
        <v>4108</v>
      </c>
      <c r="G1374">
        <v>1</v>
      </c>
      <c r="H1374" t="s">
        <v>3878</v>
      </c>
      <c r="I1374" t="s">
        <v>465</v>
      </c>
    </row>
    <row r="1375" spans="1:9" x14ac:dyDescent="0.3">
      <c r="A1375">
        <v>85997</v>
      </c>
      <c r="B1375">
        <v>116</v>
      </c>
      <c r="C1375" s="453">
        <v>46143</v>
      </c>
      <c r="D1375" t="s">
        <v>568</v>
      </c>
      <c r="E1375">
        <v>18297</v>
      </c>
      <c r="F1375" t="s">
        <v>4185</v>
      </c>
      <c r="G1375">
        <v>1</v>
      </c>
      <c r="H1375" t="s">
        <v>3872</v>
      </c>
      <c r="I1375" t="s">
        <v>465</v>
      </c>
    </row>
    <row r="1376" spans="1:9" x14ac:dyDescent="0.3">
      <c r="A1376">
        <v>85998</v>
      </c>
      <c r="B1376">
        <v>116</v>
      </c>
      <c r="C1376" s="453">
        <v>46143</v>
      </c>
      <c r="D1376" t="s">
        <v>568</v>
      </c>
      <c r="E1376">
        <v>18550</v>
      </c>
      <c r="F1376" t="s">
        <v>4083</v>
      </c>
      <c r="G1376">
        <v>1</v>
      </c>
      <c r="H1376" t="s">
        <v>3878</v>
      </c>
      <c r="I1376" t="s">
        <v>465</v>
      </c>
    </row>
    <row r="1377" spans="1:9" x14ac:dyDescent="0.3">
      <c r="A1377">
        <v>85999</v>
      </c>
      <c r="B1377">
        <v>116</v>
      </c>
      <c r="C1377" s="453">
        <v>46143</v>
      </c>
      <c r="D1377" t="s">
        <v>568</v>
      </c>
      <c r="E1377">
        <v>17915</v>
      </c>
      <c r="F1377" t="s">
        <v>4145</v>
      </c>
      <c r="G1377">
        <v>0.57999999999999996</v>
      </c>
      <c r="H1377" t="s">
        <v>3888</v>
      </c>
      <c r="I1377" t="s">
        <v>465</v>
      </c>
    </row>
    <row r="1378" spans="1:9" x14ac:dyDescent="0.3">
      <c r="A1378">
        <v>90706</v>
      </c>
      <c r="B1378">
        <v>116</v>
      </c>
      <c r="C1378" s="453">
        <v>46174</v>
      </c>
      <c r="D1378" t="s">
        <v>568</v>
      </c>
      <c r="E1378">
        <v>17710</v>
      </c>
      <c r="F1378" t="s">
        <v>3905</v>
      </c>
      <c r="G1378">
        <v>6</v>
      </c>
      <c r="H1378" t="s">
        <v>3878</v>
      </c>
      <c r="I1378" t="s">
        <v>466</v>
      </c>
    </row>
    <row r="1379" spans="1:9" x14ac:dyDescent="0.3">
      <c r="A1379">
        <v>90707</v>
      </c>
      <c r="B1379">
        <v>116</v>
      </c>
      <c r="C1379" s="453">
        <v>46174</v>
      </c>
      <c r="D1379" t="s">
        <v>568</v>
      </c>
      <c r="E1379">
        <v>18636</v>
      </c>
      <c r="F1379" t="s">
        <v>3921</v>
      </c>
      <c r="G1379">
        <v>14</v>
      </c>
      <c r="H1379" t="s">
        <v>3922</v>
      </c>
      <c r="I1379" t="s">
        <v>466</v>
      </c>
    </row>
    <row r="1380" spans="1:9" x14ac:dyDescent="0.3">
      <c r="A1380">
        <v>90708</v>
      </c>
      <c r="B1380">
        <v>116</v>
      </c>
      <c r="C1380" s="453">
        <v>46174</v>
      </c>
      <c r="D1380" t="s">
        <v>568</v>
      </c>
      <c r="E1380">
        <v>24259</v>
      </c>
      <c r="F1380" t="s">
        <v>3895</v>
      </c>
      <c r="G1380">
        <v>19.100000000000001</v>
      </c>
      <c r="H1380" t="s">
        <v>3892</v>
      </c>
      <c r="I1380" t="s">
        <v>466</v>
      </c>
    </row>
    <row r="1381" spans="1:9" x14ac:dyDescent="0.3">
      <c r="A1381">
        <v>90709</v>
      </c>
      <c r="B1381">
        <v>116</v>
      </c>
      <c r="C1381" s="453">
        <v>46174</v>
      </c>
      <c r="D1381" t="s">
        <v>568</v>
      </c>
      <c r="E1381">
        <v>19297</v>
      </c>
      <c r="F1381" t="s">
        <v>3949</v>
      </c>
      <c r="G1381">
        <v>18.899999999999999</v>
      </c>
      <c r="H1381" t="s">
        <v>3892</v>
      </c>
      <c r="I1381" t="s">
        <v>466</v>
      </c>
    </row>
    <row r="1382" spans="1:9" x14ac:dyDescent="0.3">
      <c r="A1382">
        <v>90710</v>
      </c>
      <c r="B1382">
        <v>116</v>
      </c>
      <c r="C1382" s="453">
        <v>46174</v>
      </c>
      <c r="D1382" t="s">
        <v>568</v>
      </c>
      <c r="E1382">
        <v>20519</v>
      </c>
      <c r="F1382" t="s">
        <v>3902</v>
      </c>
      <c r="G1382">
        <v>23.5</v>
      </c>
      <c r="H1382" t="s">
        <v>3892</v>
      </c>
      <c r="I1382" t="s">
        <v>466</v>
      </c>
    </row>
    <row r="1383" spans="1:9" x14ac:dyDescent="0.3">
      <c r="A1383">
        <v>90711</v>
      </c>
      <c r="B1383">
        <v>116</v>
      </c>
      <c r="C1383" s="453">
        <v>46174</v>
      </c>
      <c r="D1383" t="s">
        <v>568</v>
      </c>
      <c r="E1383">
        <v>25197</v>
      </c>
      <c r="F1383" t="s">
        <v>4143</v>
      </c>
      <c r="G1383">
        <v>82</v>
      </c>
      <c r="H1383" t="s">
        <v>3872</v>
      </c>
      <c r="I1383" t="s">
        <v>466</v>
      </c>
    </row>
    <row r="1384" spans="1:9" x14ac:dyDescent="0.3">
      <c r="A1384">
        <v>90712</v>
      </c>
      <c r="B1384">
        <v>116</v>
      </c>
      <c r="C1384" s="453">
        <v>46174</v>
      </c>
      <c r="D1384" t="s">
        <v>568</v>
      </c>
      <c r="E1384">
        <v>18640</v>
      </c>
      <c r="F1384" t="s">
        <v>3994</v>
      </c>
      <c r="G1384">
        <v>2.5</v>
      </c>
      <c r="H1384" t="s">
        <v>3922</v>
      </c>
      <c r="I1384" t="s">
        <v>466</v>
      </c>
    </row>
    <row r="1385" spans="1:9" x14ac:dyDescent="0.3">
      <c r="A1385">
        <v>90713</v>
      </c>
      <c r="B1385">
        <v>116</v>
      </c>
      <c r="C1385" s="453">
        <v>46174</v>
      </c>
      <c r="D1385" t="s">
        <v>568</v>
      </c>
      <c r="E1385">
        <v>19346</v>
      </c>
      <c r="F1385" t="s">
        <v>3948</v>
      </c>
      <c r="G1385">
        <v>11.4</v>
      </c>
      <c r="H1385" t="s">
        <v>3892</v>
      </c>
      <c r="I1385" t="s">
        <v>466</v>
      </c>
    </row>
    <row r="1386" spans="1:9" x14ac:dyDescent="0.3">
      <c r="A1386">
        <v>90714</v>
      </c>
      <c r="B1386">
        <v>116</v>
      </c>
      <c r="C1386" s="453">
        <v>46174</v>
      </c>
      <c r="D1386" t="s">
        <v>568</v>
      </c>
      <c r="E1386">
        <v>18475</v>
      </c>
      <c r="F1386" t="s">
        <v>3918</v>
      </c>
      <c r="G1386">
        <v>19.5</v>
      </c>
      <c r="H1386" t="s">
        <v>3878</v>
      </c>
      <c r="I1386" t="s">
        <v>466</v>
      </c>
    </row>
    <row r="1387" spans="1:9" x14ac:dyDescent="0.3">
      <c r="A1387">
        <v>90715</v>
      </c>
      <c r="B1387">
        <v>116</v>
      </c>
      <c r="C1387" s="453">
        <v>46174</v>
      </c>
      <c r="D1387" t="s">
        <v>568</v>
      </c>
      <c r="E1387">
        <v>24072</v>
      </c>
      <c r="F1387" t="s">
        <v>4002</v>
      </c>
      <c r="G1387">
        <v>2.8</v>
      </c>
      <c r="H1387" t="s">
        <v>3892</v>
      </c>
      <c r="I1387" t="s">
        <v>466</v>
      </c>
    </row>
    <row r="1388" spans="1:9" x14ac:dyDescent="0.3">
      <c r="A1388">
        <v>90716</v>
      </c>
      <c r="B1388">
        <v>116</v>
      </c>
      <c r="C1388" s="453">
        <v>46174</v>
      </c>
      <c r="D1388" t="s">
        <v>568</v>
      </c>
      <c r="E1388">
        <v>19287</v>
      </c>
      <c r="F1388" t="s">
        <v>3974</v>
      </c>
      <c r="G1388">
        <v>13.3</v>
      </c>
      <c r="H1388" t="s">
        <v>3892</v>
      </c>
      <c r="I1388" t="s">
        <v>466</v>
      </c>
    </row>
    <row r="1389" spans="1:9" x14ac:dyDescent="0.3">
      <c r="A1389">
        <v>90717</v>
      </c>
      <c r="B1389">
        <v>116</v>
      </c>
      <c r="C1389" s="453">
        <v>46174</v>
      </c>
      <c r="D1389" t="s">
        <v>568</v>
      </c>
      <c r="E1389">
        <v>18684</v>
      </c>
      <c r="F1389" t="s">
        <v>3925</v>
      </c>
      <c r="G1389">
        <v>14.6</v>
      </c>
      <c r="H1389" t="s">
        <v>3892</v>
      </c>
      <c r="I1389" t="s">
        <v>466</v>
      </c>
    </row>
    <row r="1390" spans="1:9" x14ac:dyDescent="0.3">
      <c r="A1390">
        <v>90718</v>
      </c>
      <c r="B1390">
        <v>116</v>
      </c>
      <c r="C1390" s="453">
        <v>46174</v>
      </c>
      <c r="D1390" t="s">
        <v>568</v>
      </c>
      <c r="E1390">
        <v>27884</v>
      </c>
      <c r="F1390" t="s">
        <v>3910</v>
      </c>
      <c r="G1390">
        <v>7.4</v>
      </c>
      <c r="H1390" t="s">
        <v>3892</v>
      </c>
      <c r="I1390" t="s">
        <v>466</v>
      </c>
    </row>
    <row r="1391" spans="1:9" x14ac:dyDescent="0.3">
      <c r="A1391">
        <v>90719</v>
      </c>
      <c r="B1391">
        <v>116</v>
      </c>
      <c r="C1391" s="453">
        <v>46174</v>
      </c>
      <c r="D1391" t="s">
        <v>568</v>
      </c>
      <c r="E1391">
        <v>27711</v>
      </c>
      <c r="F1391" t="s">
        <v>3913</v>
      </c>
      <c r="G1391">
        <v>13</v>
      </c>
      <c r="H1391" t="s">
        <v>3872</v>
      </c>
      <c r="I1391" t="s">
        <v>466</v>
      </c>
    </row>
    <row r="1392" spans="1:9" x14ac:dyDescent="0.3">
      <c r="A1392">
        <v>90720</v>
      </c>
      <c r="B1392">
        <v>116</v>
      </c>
      <c r="C1392" s="453">
        <v>46174</v>
      </c>
      <c r="D1392" t="s">
        <v>568</v>
      </c>
      <c r="E1392">
        <v>21030</v>
      </c>
      <c r="F1392" t="s">
        <v>3890</v>
      </c>
      <c r="G1392">
        <v>21</v>
      </c>
      <c r="H1392" t="s">
        <v>3872</v>
      </c>
      <c r="I1392" t="s">
        <v>466</v>
      </c>
    </row>
    <row r="1393" spans="1:9" x14ac:dyDescent="0.3">
      <c r="A1393">
        <v>90721</v>
      </c>
      <c r="B1393">
        <v>116</v>
      </c>
      <c r="C1393" s="453">
        <v>46174</v>
      </c>
      <c r="D1393" t="s">
        <v>568</v>
      </c>
      <c r="E1393">
        <v>18764</v>
      </c>
      <c r="F1393" t="s">
        <v>3907</v>
      </c>
      <c r="G1393">
        <v>5</v>
      </c>
      <c r="H1393" t="s">
        <v>3892</v>
      </c>
      <c r="I1393" t="s">
        <v>466</v>
      </c>
    </row>
    <row r="1394" spans="1:9" x14ac:dyDescent="0.3">
      <c r="A1394">
        <v>90722</v>
      </c>
      <c r="B1394">
        <v>116</v>
      </c>
      <c r="C1394" s="453">
        <v>46174</v>
      </c>
      <c r="D1394" t="s">
        <v>568</v>
      </c>
      <c r="E1394">
        <v>20555</v>
      </c>
      <c r="F1394" t="s">
        <v>3959</v>
      </c>
      <c r="G1394">
        <v>5.15</v>
      </c>
      <c r="H1394" t="s">
        <v>3892</v>
      </c>
      <c r="I1394" t="s">
        <v>466</v>
      </c>
    </row>
    <row r="1395" spans="1:9" x14ac:dyDescent="0.3">
      <c r="A1395">
        <v>90723</v>
      </c>
      <c r="B1395">
        <v>116</v>
      </c>
      <c r="C1395" s="453">
        <v>46174</v>
      </c>
      <c r="D1395" t="s">
        <v>568</v>
      </c>
      <c r="E1395">
        <v>17886</v>
      </c>
      <c r="F1395" t="s">
        <v>3935</v>
      </c>
      <c r="G1395">
        <v>11.5</v>
      </c>
      <c r="H1395" t="s">
        <v>3888</v>
      </c>
      <c r="I1395" t="s">
        <v>466</v>
      </c>
    </row>
    <row r="1396" spans="1:9" x14ac:dyDescent="0.3">
      <c r="A1396">
        <v>90724</v>
      </c>
      <c r="B1396">
        <v>116</v>
      </c>
      <c r="C1396" s="453">
        <v>46174</v>
      </c>
      <c r="D1396" t="s">
        <v>568</v>
      </c>
      <c r="E1396">
        <v>16974</v>
      </c>
      <c r="F1396" t="s">
        <v>3996</v>
      </c>
      <c r="G1396">
        <v>3</v>
      </c>
      <c r="H1396" t="s">
        <v>3881</v>
      </c>
      <c r="I1396" t="s">
        <v>466</v>
      </c>
    </row>
    <row r="1397" spans="1:9" x14ac:dyDescent="0.3">
      <c r="A1397">
        <v>90725</v>
      </c>
      <c r="B1397">
        <v>116</v>
      </c>
      <c r="C1397" s="453">
        <v>46174</v>
      </c>
      <c r="D1397" t="s">
        <v>568</v>
      </c>
      <c r="E1397">
        <v>19324</v>
      </c>
      <c r="F1397" t="s">
        <v>3937</v>
      </c>
      <c r="G1397">
        <v>9.6</v>
      </c>
      <c r="H1397" t="s">
        <v>3892</v>
      </c>
      <c r="I1397" t="s">
        <v>466</v>
      </c>
    </row>
    <row r="1398" spans="1:9" x14ac:dyDescent="0.3">
      <c r="A1398">
        <v>90726</v>
      </c>
      <c r="B1398">
        <v>116</v>
      </c>
      <c r="C1398" s="453">
        <v>46174</v>
      </c>
      <c r="D1398" t="s">
        <v>568</v>
      </c>
      <c r="E1398">
        <v>18586</v>
      </c>
      <c r="F1398" t="s">
        <v>4107</v>
      </c>
      <c r="G1398">
        <v>3</v>
      </c>
      <c r="H1398" t="s">
        <v>3888</v>
      </c>
      <c r="I1398" t="s">
        <v>466</v>
      </c>
    </row>
    <row r="1399" spans="1:9" x14ac:dyDescent="0.3">
      <c r="A1399">
        <v>90727</v>
      </c>
      <c r="B1399">
        <v>116</v>
      </c>
      <c r="C1399" s="453">
        <v>46174</v>
      </c>
      <c r="D1399" t="s">
        <v>568</v>
      </c>
      <c r="E1399">
        <v>26193</v>
      </c>
      <c r="F1399" t="s">
        <v>3950</v>
      </c>
      <c r="G1399">
        <v>28</v>
      </c>
      <c r="H1399" t="s">
        <v>3872</v>
      </c>
      <c r="I1399" t="s">
        <v>466</v>
      </c>
    </row>
    <row r="1400" spans="1:9" x14ac:dyDescent="0.3">
      <c r="A1400">
        <v>90728</v>
      </c>
      <c r="B1400">
        <v>116</v>
      </c>
      <c r="C1400" s="453">
        <v>46174</v>
      </c>
      <c r="D1400" t="s">
        <v>568</v>
      </c>
      <c r="E1400">
        <v>24002</v>
      </c>
      <c r="F1400" t="s">
        <v>3924</v>
      </c>
      <c r="G1400">
        <v>5</v>
      </c>
      <c r="H1400" t="s">
        <v>3872</v>
      </c>
      <c r="I1400" t="s">
        <v>466</v>
      </c>
    </row>
    <row r="1401" spans="1:9" x14ac:dyDescent="0.3">
      <c r="A1401">
        <v>90729</v>
      </c>
      <c r="B1401">
        <v>116</v>
      </c>
      <c r="C1401" s="453">
        <v>46174</v>
      </c>
      <c r="D1401" t="s">
        <v>568</v>
      </c>
      <c r="E1401">
        <v>24402</v>
      </c>
      <c r="F1401" t="s">
        <v>3896</v>
      </c>
      <c r="G1401">
        <v>10.35</v>
      </c>
      <c r="H1401" t="s">
        <v>3892</v>
      </c>
      <c r="I1401" t="s">
        <v>466</v>
      </c>
    </row>
    <row r="1402" spans="1:9" x14ac:dyDescent="0.3">
      <c r="A1402">
        <v>90730</v>
      </c>
      <c r="B1402">
        <v>116</v>
      </c>
      <c r="C1402" s="453">
        <v>46174</v>
      </c>
      <c r="D1402" t="s">
        <v>568</v>
      </c>
      <c r="E1402">
        <v>22515</v>
      </c>
      <c r="F1402" t="s">
        <v>3883</v>
      </c>
      <c r="G1402">
        <v>10</v>
      </c>
      <c r="H1402" t="s">
        <v>3884</v>
      </c>
      <c r="I1402" t="s">
        <v>466</v>
      </c>
    </row>
    <row r="1403" spans="1:9" x14ac:dyDescent="0.3">
      <c r="A1403">
        <v>90731</v>
      </c>
      <c r="B1403">
        <v>116</v>
      </c>
      <c r="C1403" s="453">
        <v>46174</v>
      </c>
      <c r="D1403" t="s">
        <v>568</v>
      </c>
      <c r="E1403">
        <v>25196</v>
      </c>
      <c r="F1403" t="s">
        <v>3873</v>
      </c>
      <c r="G1403">
        <v>68</v>
      </c>
      <c r="H1403" t="s">
        <v>3872</v>
      </c>
      <c r="I1403" t="s">
        <v>466</v>
      </c>
    </row>
    <row r="1404" spans="1:9" x14ac:dyDescent="0.3">
      <c r="A1404">
        <v>90732</v>
      </c>
      <c r="B1404">
        <v>116</v>
      </c>
      <c r="C1404" s="453">
        <v>46174</v>
      </c>
      <c r="D1404" t="s">
        <v>568</v>
      </c>
      <c r="E1404">
        <v>17969</v>
      </c>
      <c r="F1404" t="s">
        <v>4175</v>
      </c>
      <c r="G1404">
        <v>16</v>
      </c>
      <c r="H1404" t="s">
        <v>3888</v>
      </c>
      <c r="I1404" t="s">
        <v>466</v>
      </c>
    </row>
    <row r="1405" spans="1:9" x14ac:dyDescent="0.3">
      <c r="A1405">
        <v>90733</v>
      </c>
      <c r="B1405">
        <v>116</v>
      </c>
      <c r="C1405" s="453">
        <v>46174</v>
      </c>
      <c r="D1405" t="s">
        <v>568</v>
      </c>
      <c r="E1405">
        <v>24006</v>
      </c>
      <c r="F1405" t="s">
        <v>4177</v>
      </c>
      <c r="G1405">
        <v>15</v>
      </c>
      <c r="H1405" t="s">
        <v>3888</v>
      </c>
      <c r="I1405" t="s">
        <v>466</v>
      </c>
    </row>
    <row r="1406" spans="1:9" x14ac:dyDescent="0.3">
      <c r="A1406">
        <v>90734</v>
      </c>
      <c r="B1406">
        <v>116</v>
      </c>
      <c r="C1406" s="453">
        <v>46174</v>
      </c>
      <c r="D1406" t="s">
        <v>568</v>
      </c>
      <c r="E1406">
        <v>20278</v>
      </c>
      <c r="F1406" t="s">
        <v>3939</v>
      </c>
      <c r="G1406">
        <v>12</v>
      </c>
      <c r="H1406" t="s">
        <v>3872</v>
      </c>
      <c r="I1406" t="s">
        <v>466</v>
      </c>
    </row>
    <row r="1407" spans="1:9" x14ac:dyDescent="0.3">
      <c r="A1407">
        <v>90735</v>
      </c>
      <c r="B1407">
        <v>116</v>
      </c>
      <c r="C1407" s="453">
        <v>46174</v>
      </c>
      <c r="D1407" t="s">
        <v>568</v>
      </c>
      <c r="E1407">
        <v>18119</v>
      </c>
      <c r="F1407" t="s">
        <v>4093</v>
      </c>
      <c r="G1407">
        <v>2</v>
      </c>
      <c r="H1407" t="s">
        <v>3878</v>
      </c>
      <c r="I1407" t="s">
        <v>466</v>
      </c>
    </row>
    <row r="1408" spans="1:9" x14ac:dyDescent="0.3">
      <c r="A1408">
        <v>90736</v>
      </c>
      <c r="B1408">
        <v>116</v>
      </c>
      <c r="C1408" s="453">
        <v>46174</v>
      </c>
      <c r="D1408" t="s">
        <v>568</v>
      </c>
      <c r="E1408">
        <v>21944</v>
      </c>
      <c r="F1408" t="s">
        <v>3936</v>
      </c>
      <c r="G1408">
        <v>8</v>
      </c>
      <c r="H1408" t="s">
        <v>3878</v>
      </c>
      <c r="I1408" t="s">
        <v>466</v>
      </c>
    </row>
    <row r="1409" spans="1:9" x14ac:dyDescent="0.3">
      <c r="A1409">
        <v>90737</v>
      </c>
      <c r="B1409">
        <v>116</v>
      </c>
      <c r="C1409" s="453">
        <v>46174</v>
      </c>
      <c r="D1409" t="s">
        <v>568</v>
      </c>
      <c r="E1409">
        <v>22734</v>
      </c>
      <c r="F1409" t="s">
        <v>3955</v>
      </c>
      <c r="G1409">
        <v>3.2</v>
      </c>
      <c r="H1409" t="s">
        <v>3892</v>
      </c>
      <c r="I1409" t="s">
        <v>466</v>
      </c>
    </row>
    <row r="1410" spans="1:9" x14ac:dyDescent="0.3">
      <c r="A1410">
        <v>90738</v>
      </c>
      <c r="B1410">
        <v>116</v>
      </c>
      <c r="C1410" s="453">
        <v>46174</v>
      </c>
      <c r="D1410" t="s">
        <v>568</v>
      </c>
      <c r="E1410">
        <v>17895</v>
      </c>
      <c r="F1410" t="s">
        <v>4137</v>
      </c>
      <c r="G1410">
        <v>11</v>
      </c>
      <c r="H1410" t="s">
        <v>3888</v>
      </c>
      <c r="I1410" t="s">
        <v>466</v>
      </c>
    </row>
    <row r="1411" spans="1:9" x14ac:dyDescent="0.3">
      <c r="A1411">
        <v>90739</v>
      </c>
      <c r="B1411">
        <v>116</v>
      </c>
      <c r="C1411" s="453">
        <v>46174</v>
      </c>
      <c r="D1411" t="s">
        <v>568</v>
      </c>
      <c r="E1411">
        <v>18172</v>
      </c>
      <c r="F1411" t="s">
        <v>3923</v>
      </c>
      <c r="G1411">
        <v>10.5</v>
      </c>
      <c r="H1411" t="s">
        <v>3878</v>
      </c>
      <c r="I1411" t="s">
        <v>466</v>
      </c>
    </row>
    <row r="1412" spans="1:9" x14ac:dyDescent="0.3">
      <c r="A1412">
        <v>90740</v>
      </c>
      <c r="B1412">
        <v>116</v>
      </c>
      <c r="C1412" s="453">
        <v>46174</v>
      </c>
      <c r="D1412" t="s">
        <v>568</v>
      </c>
      <c r="E1412">
        <v>17903</v>
      </c>
      <c r="F1412" t="s">
        <v>3971</v>
      </c>
      <c r="G1412">
        <v>12</v>
      </c>
      <c r="H1412" t="s">
        <v>3888</v>
      </c>
      <c r="I1412" t="s">
        <v>466</v>
      </c>
    </row>
    <row r="1413" spans="1:9" x14ac:dyDescent="0.3">
      <c r="A1413">
        <v>90741</v>
      </c>
      <c r="B1413">
        <v>116</v>
      </c>
      <c r="C1413" s="453">
        <v>46174</v>
      </c>
      <c r="D1413" t="s">
        <v>568</v>
      </c>
      <c r="E1413">
        <v>20752</v>
      </c>
      <c r="F1413" t="s">
        <v>3964</v>
      </c>
      <c r="G1413">
        <v>3</v>
      </c>
      <c r="H1413" t="s">
        <v>3886</v>
      </c>
      <c r="I1413" t="s">
        <v>466</v>
      </c>
    </row>
    <row r="1414" spans="1:9" x14ac:dyDescent="0.3">
      <c r="A1414">
        <v>90742</v>
      </c>
      <c r="B1414">
        <v>116</v>
      </c>
      <c r="C1414" s="453">
        <v>46174</v>
      </c>
      <c r="D1414" t="s">
        <v>568</v>
      </c>
      <c r="E1414">
        <v>27312</v>
      </c>
      <c r="F1414" t="s">
        <v>3927</v>
      </c>
      <c r="G1414">
        <v>6.2</v>
      </c>
      <c r="H1414" t="s">
        <v>3892</v>
      </c>
      <c r="I1414" t="s">
        <v>466</v>
      </c>
    </row>
    <row r="1415" spans="1:9" x14ac:dyDescent="0.3">
      <c r="A1415">
        <v>90743</v>
      </c>
      <c r="B1415">
        <v>116</v>
      </c>
      <c r="C1415" s="453">
        <v>46174</v>
      </c>
      <c r="D1415" t="s">
        <v>568</v>
      </c>
      <c r="E1415">
        <v>18179</v>
      </c>
      <c r="F1415" t="s">
        <v>3995</v>
      </c>
      <c r="G1415">
        <v>2.7</v>
      </c>
      <c r="H1415" t="s">
        <v>3878</v>
      </c>
      <c r="I1415" t="s">
        <v>466</v>
      </c>
    </row>
    <row r="1416" spans="1:9" x14ac:dyDescent="0.3">
      <c r="A1416">
        <v>90744</v>
      </c>
      <c r="B1416">
        <v>116</v>
      </c>
      <c r="C1416" s="453">
        <v>46174</v>
      </c>
      <c r="D1416" t="s">
        <v>568</v>
      </c>
      <c r="E1416">
        <v>25195</v>
      </c>
      <c r="F1416" t="s">
        <v>3874</v>
      </c>
      <c r="G1416">
        <v>46</v>
      </c>
      <c r="H1416" t="s">
        <v>3872</v>
      </c>
      <c r="I1416" t="s">
        <v>466</v>
      </c>
    </row>
    <row r="1417" spans="1:9" x14ac:dyDescent="0.3">
      <c r="A1417">
        <v>90745</v>
      </c>
      <c r="B1417">
        <v>116</v>
      </c>
      <c r="C1417" s="453">
        <v>46174</v>
      </c>
      <c r="D1417" t="s">
        <v>568</v>
      </c>
      <c r="E1417">
        <v>24200</v>
      </c>
      <c r="F1417" t="s">
        <v>3975</v>
      </c>
      <c r="G1417">
        <v>8.8000000000000007</v>
      </c>
      <c r="H1417" t="s">
        <v>3892</v>
      </c>
      <c r="I1417" t="s">
        <v>466</v>
      </c>
    </row>
    <row r="1418" spans="1:9" x14ac:dyDescent="0.3">
      <c r="A1418">
        <v>90746</v>
      </c>
      <c r="B1418">
        <v>116</v>
      </c>
      <c r="C1418" s="453">
        <v>46174</v>
      </c>
      <c r="D1418" t="s">
        <v>568</v>
      </c>
      <c r="E1418">
        <v>18295</v>
      </c>
      <c r="F1418" t="s">
        <v>4030</v>
      </c>
      <c r="G1418">
        <v>2.2999999999999998</v>
      </c>
      <c r="H1418" t="s">
        <v>3878</v>
      </c>
      <c r="I1418" t="s">
        <v>466</v>
      </c>
    </row>
    <row r="1419" spans="1:9" x14ac:dyDescent="0.3">
      <c r="A1419">
        <v>90747</v>
      </c>
      <c r="B1419">
        <v>116</v>
      </c>
      <c r="C1419" s="453">
        <v>46174</v>
      </c>
      <c r="D1419" t="s">
        <v>568</v>
      </c>
      <c r="E1419">
        <v>19984</v>
      </c>
      <c r="F1419" t="s">
        <v>3904</v>
      </c>
      <c r="G1419">
        <v>14</v>
      </c>
      <c r="H1419" t="s">
        <v>3872</v>
      </c>
      <c r="I1419" t="s">
        <v>466</v>
      </c>
    </row>
    <row r="1420" spans="1:9" x14ac:dyDescent="0.3">
      <c r="A1420">
        <v>90748</v>
      </c>
      <c r="B1420">
        <v>116</v>
      </c>
      <c r="C1420" s="453">
        <v>46174</v>
      </c>
      <c r="D1420" t="s">
        <v>568</v>
      </c>
      <c r="E1420">
        <v>21024</v>
      </c>
      <c r="F1420" t="s">
        <v>4180</v>
      </c>
      <c r="G1420">
        <v>1.5</v>
      </c>
      <c r="H1420" t="s">
        <v>3966</v>
      </c>
      <c r="I1420" t="s">
        <v>466</v>
      </c>
    </row>
    <row r="1421" spans="1:9" x14ac:dyDescent="0.3">
      <c r="A1421">
        <v>90749</v>
      </c>
      <c r="B1421">
        <v>116</v>
      </c>
      <c r="C1421" s="453">
        <v>46174</v>
      </c>
      <c r="D1421" t="s">
        <v>568</v>
      </c>
      <c r="E1421">
        <v>23982</v>
      </c>
      <c r="F1421" t="s">
        <v>3977</v>
      </c>
      <c r="G1421">
        <v>1</v>
      </c>
      <c r="H1421" t="s">
        <v>3978</v>
      </c>
      <c r="I1421" t="s">
        <v>466</v>
      </c>
    </row>
    <row r="1422" spans="1:9" x14ac:dyDescent="0.3">
      <c r="A1422">
        <v>90750</v>
      </c>
      <c r="B1422">
        <v>116</v>
      </c>
      <c r="C1422" s="453">
        <v>46174</v>
      </c>
      <c r="D1422" t="s">
        <v>568</v>
      </c>
      <c r="E1422">
        <v>17905</v>
      </c>
      <c r="F1422" t="s">
        <v>4139</v>
      </c>
      <c r="G1422">
        <v>9</v>
      </c>
      <c r="H1422" t="s">
        <v>3888</v>
      </c>
      <c r="I1422" t="s">
        <v>466</v>
      </c>
    </row>
    <row r="1423" spans="1:9" x14ac:dyDescent="0.3">
      <c r="A1423">
        <v>90751</v>
      </c>
      <c r="B1423">
        <v>116</v>
      </c>
      <c r="C1423" s="453">
        <v>46174</v>
      </c>
      <c r="D1423" t="s">
        <v>568</v>
      </c>
      <c r="E1423">
        <v>18359</v>
      </c>
      <c r="F1423" t="s">
        <v>4029</v>
      </c>
      <c r="G1423">
        <v>2.4</v>
      </c>
      <c r="H1423" t="s">
        <v>3878</v>
      </c>
      <c r="I1423" t="s">
        <v>466</v>
      </c>
    </row>
    <row r="1424" spans="1:9" x14ac:dyDescent="0.3">
      <c r="A1424">
        <v>90752</v>
      </c>
      <c r="B1424">
        <v>116</v>
      </c>
      <c r="C1424" s="453">
        <v>46174</v>
      </c>
      <c r="D1424" t="s">
        <v>568</v>
      </c>
      <c r="E1424">
        <v>18933</v>
      </c>
      <c r="F1424" t="s">
        <v>3957</v>
      </c>
      <c r="G1424">
        <v>8.1</v>
      </c>
      <c r="H1424" t="s">
        <v>3892</v>
      </c>
      <c r="I1424" t="s">
        <v>466</v>
      </c>
    </row>
    <row r="1425" spans="1:9" x14ac:dyDescent="0.3">
      <c r="A1425">
        <v>90753</v>
      </c>
      <c r="B1425">
        <v>116</v>
      </c>
      <c r="C1425" s="453">
        <v>46174</v>
      </c>
      <c r="D1425" t="s">
        <v>568</v>
      </c>
      <c r="E1425">
        <v>19916</v>
      </c>
      <c r="F1425" t="s">
        <v>4118</v>
      </c>
      <c r="G1425">
        <v>6</v>
      </c>
      <c r="H1425" t="s">
        <v>3888</v>
      </c>
      <c r="I1425" t="s">
        <v>466</v>
      </c>
    </row>
    <row r="1426" spans="1:9" x14ac:dyDescent="0.3">
      <c r="A1426">
        <v>90754</v>
      </c>
      <c r="B1426">
        <v>116</v>
      </c>
      <c r="C1426" s="453">
        <v>46174</v>
      </c>
      <c r="D1426" t="s">
        <v>568</v>
      </c>
      <c r="E1426">
        <v>18832</v>
      </c>
      <c r="F1426" t="s">
        <v>3900</v>
      </c>
      <c r="G1426">
        <v>5</v>
      </c>
      <c r="H1426" t="s">
        <v>3892</v>
      </c>
      <c r="I1426" t="s">
        <v>466</v>
      </c>
    </row>
    <row r="1427" spans="1:9" x14ac:dyDescent="0.3">
      <c r="A1427">
        <v>90755</v>
      </c>
      <c r="B1427">
        <v>116</v>
      </c>
      <c r="C1427" s="453">
        <v>46174</v>
      </c>
      <c r="D1427" t="s">
        <v>568</v>
      </c>
      <c r="E1427">
        <v>18297</v>
      </c>
      <c r="F1427" t="s">
        <v>4185</v>
      </c>
      <c r="G1427">
        <v>1</v>
      </c>
      <c r="H1427" t="s">
        <v>3872</v>
      </c>
      <c r="I1427" t="s">
        <v>466</v>
      </c>
    </row>
    <row r="1428" spans="1:9" x14ac:dyDescent="0.3">
      <c r="A1428">
        <v>90756</v>
      </c>
      <c r="B1428">
        <v>116</v>
      </c>
      <c r="C1428" s="453">
        <v>46174</v>
      </c>
      <c r="D1428" t="s">
        <v>568</v>
      </c>
      <c r="E1428">
        <v>18550</v>
      </c>
      <c r="F1428" t="s">
        <v>4083</v>
      </c>
      <c r="G1428">
        <v>1</v>
      </c>
      <c r="H1428" t="s">
        <v>3878</v>
      </c>
      <c r="I1428" t="s">
        <v>466</v>
      </c>
    </row>
    <row r="1429" spans="1:9" x14ac:dyDescent="0.3">
      <c r="A1429">
        <v>90757</v>
      </c>
      <c r="B1429">
        <v>116</v>
      </c>
      <c r="C1429" s="453">
        <v>46174</v>
      </c>
      <c r="D1429" t="s">
        <v>568</v>
      </c>
      <c r="E1429">
        <v>19906</v>
      </c>
      <c r="F1429" t="s">
        <v>4171</v>
      </c>
      <c r="G1429">
        <v>5</v>
      </c>
      <c r="H1429" t="s">
        <v>3888</v>
      </c>
      <c r="I1429" t="s">
        <v>466</v>
      </c>
    </row>
    <row r="1430" spans="1:9" x14ac:dyDescent="0.3">
      <c r="A1430">
        <v>90758</v>
      </c>
      <c r="B1430">
        <v>116</v>
      </c>
      <c r="C1430" s="453">
        <v>46174</v>
      </c>
      <c r="D1430" t="s">
        <v>568</v>
      </c>
      <c r="E1430">
        <v>24351</v>
      </c>
      <c r="F1430" t="s">
        <v>3912</v>
      </c>
      <c r="G1430">
        <v>15</v>
      </c>
      <c r="H1430" t="s">
        <v>3872</v>
      </c>
      <c r="I1430" t="s">
        <v>466</v>
      </c>
    </row>
    <row r="1431" spans="1:9" x14ac:dyDescent="0.3">
      <c r="A1431">
        <v>90759</v>
      </c>
      <c r="B1431">
        <v>116</v>
      </c>
      <c r="C1431" s="453">
        <v>46174</v>
      </c>
      <c r="D1431" t="s">
        <v>568</v>
      </c>
      <c r="E1431">
        <v>18006</v>
      </c>
      <c r="F1431" t="s">
        <v>4138</v>
      </c>
      <c r="G1431">
        <v>6</v>
      </c>
      <c r="H1431" t="s">
        <v>3888</v>
      </c>
      <c r="I1431" t="s">
        <v>466</v>
      </c>
    </row>
    <row r="1432" spans="1:9" x14ac:dyDescent="0.3">
      <c r="A1432">
        <v>90760</v>
      </c>
      <c r="B1432">
        <v>116</v>
      </c>
      <c r="C1432" s="453">
        <v>46174</v>
      </c>
      <c r="D1432" t="s">
        <v>568</v>
      </c>
      <c r="E1432">
        <v>19539</v>
      </c>
      <c r="F1432" t="s">
        <v>4133</v>
      </c>
      <c r="G1432">
        <v>18</v>
      </c>
      <c r="H1432" t="s">
        <v>3892</v>
      </c>
      <c r="I1432" t="s">
        <v>466</v>
      </c>
    </row>
    <row r="1433" spans="1:9" x14ac:dyDescent="0.3">
      <c r="A1433">
        <v>90761</v>
      </c>
      <c r="B1433">
        <v>116</v>
      </c>
      <c r="C1433" s="453">
        <v>46174</v>
      </c>
      <c r="D1433" t="s">
        <v>568</v>
      </c>
      <c r="E1433">
        <v>20682</v>
      </c>
      <c r="F1433" t="s">
        <v>3929</v>
      </c>
      <c r="G1433">
        <v>13</v>
      </c>
      <c r="H1433" t="s">
        <v>3872</v>
      </c>
      <c r="I1433" t="s">
        <v>466</v>
      </c>
    </row>
    <row r="1434" spans="1:9" x14ac:dyDescent="0.3">
      <c r="A1434">
        <v>90762</v>
      </c>
      <c r="B1434">
        <v>116</v>
      </c>
      <c r="C1434" s="453">
        <v>46174</v>
      </c>
      <c r="D1434" t="s">
        <v>568</v>
      </c>
      <c r="E1434">
        <v>20729</v>
      </c>
      <c r="F1434" t="s">
        <v>3965</v>
      </c>
      <c r="G1434">
        <v>2.5</v>
      </c>
      <c r="H1434" t="s">
        <v>3966</v>
      </c>
      <c r="I1434" t="s">
        <v>466</v>
      </c>
    </row>
    <row r="1435" spans="1:9" x14ac:dyDescent="0.3">
      <c r="A1435">
        <v>90763</v>
      </c>
      <c r="B1435">
        <v>116</v>
      </c>
      <c r="C1435" s="453">
        <v>46174</v>
      </c>
      <c r="D1435" t="s">
        <v>568</v>
      </c>
      <c r="E1435">
        <v>18315</v>
      </c>
      <c r="F1435" t="s">
        <v>4088</v>
      </c>
      <c r="G1435">
        <v>1.3</v>
      </c>
      <c r="H1435" t="s">
        <v>3878</v>
      </c>
      <c r="I1435" t="s">
        <v>466</v>
      </c>
    </row>
    <row r="1436" spans="1:9" x14ac:dyDescent="0.3">
      <c r="A1436">
        <v>90764</v>
      </c>
      <c r="B1436">
        <v>116</v>
      </c>
      <c r="C1436" s="453">
        <v>46174</v>
      </c>
      <c r="D1436" t="s">
        <v>568</v>
      </c>
      <c r="E1436">
        <v>25767</v>
      </c>
      <c r="F1436" t="s">
        <v>3976</v>
      </c>
      <c r="G1436">
        <v>2</v>
      </c>
      <c r="H1436" t="s">
        <v>3892</v>
      </c>
      <c r="I1436" t="s">
        <v>466</v>
      </c>
    </row>
    <row r="1437" spans="1:9" x14ac:dyDescent="0.3">
      <c r="A1437">
        <v>90765</v>
      </c>
      <c r="B1437">
        <v>116</v>
      </c>
      <c r="C1437" s="453">
        <v>46174</v>
      </c>
      <c r="D1437" t="s">
        <v>568</v>
      </c>
      <c r="E1437">
        <v>19578</v>
      </c>
      <c r="F1437" t="s">
        <v>3985</v>
      </c>
      <c r="G1437">
        <v>2</v>
      </c>
      <c r="H1437" t="s">
        <v>3892</v>
      </c>
      <c r="I1437" t="s">
        <v>466</v>
      </c>
    </row>
    <row r="1438" spans="1:9" x14ac:dyDescent="0.3">
      <c r="A1438">
        <v>90766</v>
      </c>
      <c r="B1438">
        <v>116</v>
      </c>
      <c r="C1438" s="453">
        <v>46174</v>
      </c>
      <c r="D1438" t="s">
        <v>568</v>
      </c>
      <c r="E1438">
        <v>19415</v>
      </c>
      <c r="F1438" t="s">
        <v>3941</v>
      </c>
      <c r="G1438">
        <v>18</v>
      </c>
      <c r="H1438" t="s">
        <v>3872</v>
      </c>
      <c r="I1438" t="s">
        <v>466</v>
      </c>
    </row>
    <row r="1439" spans="1:9" x14ac:dyDescent="0.3">
      <c r="A1439">
        <v>90767</v>
      </c>
      <c r="B1439">
        <v>116</v>
      </c>
      <c r="C1439" s="453">
        <v>46174</v>
      </c>
      <c r="D1439" t="s">
        <v>568</v>
      </c>
      <c r="E1439">
        <v>18253</v>
      </c>
      <c r="F1439" t="s">
        <v>3947</v>
      </c>
      <c r="G1439">
        <v>5.5</v>
      </c>
      <c r="H1439" t="s">
        <v>3878</v>
      </c>
      <c r="I1439" t="s">
        <v>466</v>
      </c>
    </row>
    <row r="1440" spans="1:9" x14ac:dyDescent="0.3">
      <c r="A1440">
        <v>90768</v>
      </c>
      <c r="B1440">
        <v>116</v>
      </c>
      <c r="C1440" s="453">
        <v>46174</v>
      </c>
      <c r="D1440" t="s">
        <v>568</v>
      </c>
      <c r="E1440">
        <v>17881</v>
      </c>
      <c r="F1440" t="s">
        <v>4095</v>
      </c>
      <c r="G1440">
        <v>6</v>
      </c>
      <c r="H1440" t="s">
        <v>3888</v>
      </c>
      <c r="I1440" t="s">
        <v>466</v>
      </c>
    </row>
    <row r="1441" spans="1:9" x14ac:dyDescent="0.3">
      <c r="A1441">
        <v>90769</v>
      </c>
      <c r="B1441">
        <v>116</v>
      </c>
      <c r="C1441" s="453">
        <v>46174</v>
      </c>
      <c r="D1441" t="s">
        <v>568</v>
      </c>
      <c r="E1441">
        <v>19405</v>
      </c>
      <c r="F1441" t="s">
        <v>4097</v>
      </c>
      <c r="G1441">
        <v>1</v>
      </c>
      <c r="H1441" t="s">
        <v>3892</v>
      </c>
      <c r="I1441" t="s">
        <v>466</v>
      </c>
    </row>
    <row r="1442" spans="1:9" x14ac:dyDescent="0.3">
      <c r="A1442">
        <v>90770</v>
      </c>
      <c r="B1442">
        <v>116</v>
      </c>
      <c r="C1442" s="453">
        <v>46174</v>
      </c>
      <c r="D1442" t="s">
        <v>568</v>
      </c>
      <c r="E1442">
        <v>19566</v>
      </c>
      <c r="F1442" t="s">
        <v>3986</v>
      </c>
      <c r="G1442">
        <v>3</v>
      </c>
      <c r="H1442" t="s">
        <v>3892</v>
      </c>
      <c r="I1442" t="s">
        <v>466</v>
      </c>
    </row>
    <row r="1443" spans="1:9" x14ac:dyDescent="0.3">
      <c r="A1443">
        <v>90771</v>
      </c>
      <c r="B1443">
        <v>116</v>
      </c>
      <c r="C1443" s="453">
        <v>46174</v>
      </c>
      <c r="D1443" t="s">
        <v>568</v>
      </c>
      <c r="E1443">
        <v>24517</v>
      </c>
      <c r="F1443" t="s">
        <v>3991</v>
      </c>
      <c r="G1443">
        <v>5.3</v>
      </c>
      <c r="H1443" t="s">
        <v>3892</v>
      </c>
      <c r="I1443" t="s">
        <v>466</v>
      </c>
    </row>
    <row r="1444" spans="1:9" x14ac:dyDescent="0.3">
      <c r="A1444">
        <v>90772</v>
      </c>
      <c r="B1444">
        <v>116</v>
      </c>
      <c r="C1444" s="453">
        <v>46174</v>
      </c>
      <c r="D1444" t="s">
        <v>568</v>
      </c>
      <c r="E1444">
        <v>18538</v>
      </c>
      <c r="F1444" t="s">
        <v>4026</v>
      </c>
      <c r="G1444">
        <v>1.4</v>
      </c>
      <c r="H1444" t="s">
        <v>3878</v>
      </c>
      <c r="I1444" t="s">
        <v>466</v>
      </c>
    </row>
    <row r="1445" spans="1:9" x14ac:dyDescent="0.3">
      <c r="A1445">
        <v>90773</v>
      </c>
      <c r="B1445">
        <v>116</v>
      </c>
      <c r="C1445" s="453">
        <v>46174</v>
      </c>
      <c r="D1445" t="s">
        <v>568</v>
      </c>
      <c r="E1445">
        <v>18004</v>
      </c>
      <c r="F1445" t="s">
        <v>4140</v>
      </c>
      <c r="G1445">
        <v>5</v>
      </c>
      <c r="H1445" t="s">
        <v>3888</v>
      </c>
      <c r="I1445" t="s">
        <v>466</v>
      </c>
    </row>
    <row r="1446" spans="1:9" x14ac:dyDescent="0.3">
      <c r="A1446">
        <v>90774</v>
      </c>
      <c r="B1446">
        <v>116</v>
      </c>
      <c r="C1446" s="453">
        <v>46174</v>
      </c>
      <c r="D1446" t="s">
        <v>568</v>
      </c>
      <c r="E1446">
        <v>18232</v>
      </c>
      <c r="F1446" t="s">
        <v>4091</v>
      </c>
      <c r="G1446">
        <v>1.4</v>
      </c>
      <c r="H1446" t="s">
        <v>3878</v>
      </c>
      <c r="I1446" t="s">
        <v>466</v>
      </c>
    </row>
    <row r="1447" spans="1:9" x14ac:dyDescent="0.3">
      <c r="A1447">
        <v>90775</v>
      </c>
      <c r="B1447">
        <v>116</v>
      </c>
      <c r="C1447" s="453">
        <v>46174</v>
      </c>
      <c r="D1447" t="s">
        <v>568</v>
      </c>
      <c r="E1447">
        <v>21123</v>
      </c>
      <c r="F1447" t="s">
        <v>4115</v>
      </c>
      <c r="G1447">
        <v>8</v>
      </c>
      <c r="H1447" t="s">
        <v>3892</v>
      </c>
      <c r="I1447" t="s">
        <v>466</v>
      </c>
    </row>
    <row r="1448" spans="1:9" x14ac:dyDescent="0.3">
      <c r="A1448">
        <v>90776</v>
      </c>
      <c r="B1448">
        <v>116</v>
      </c>
      <c r="C1448" s="453">
        <v>46174</v>
      </c>
      <c r="D1448" t="s">
        <v>568</v>
      </c>
      <c r="E1448">
        <v>18491</v>
      </c>
      <c r="F1448" t="s">
        <v>3934</v>
      </c>
      <c r="G1448">
        <v>4.2</v>
      </c>
      <c r="H1448" t="s">
        <v>3878</v>
      </c>
      <c r="I1448" t="s">
        <v>466</v>
      </c>
    </row>
    <row r="1449" spans="1:9" x14ac:dyDescent="0.3">
      <c r="A1449">
        <v>90777</v>
      </c>
      <c r="B1449">
        <v>116</v>
      </c>
      <c r="C1449" s="453">
        <v>46174</v>
      </c>
      <c r="D1449" t="s">
        <v>568</v>
      </c>
      <c r="E1449">
        <v>18200</v>
      </c>
      <c r="F1449" t="s">
        <v>4032</v>
      </c>
      <c r="G1449">
        <v>3.6</v>
      </c>
      <c r="H1449" t="s">
        <v>3878</v>
      </c>
      <c r="I1449" t="s">
        <v>466</v>
      </c>
    </row>
    <row r="1450" spans="1:9" x14ac:dyDescent="0.3">
      <c r="A1450">
        <v>90778</v>
      </c>
      <c r="B1450">
        <v>116</v>
      </c>
      <c r="C1450" s="453">
        <v>46174</v>
      </c>
      <c r="D1450" t="s">
        <v>568</v>
      </c>
      <c r="E1450">
        <v>18394</v>
      </c>
      <c r="F1450" t="s">
        <v>4044</v>
      </c>
      <c r="G1450">
        <v>1</v>
      </c>
      <c r="H1450" t="s">
        <v>3878</v>
      </c>
      <c r="I1450" t="s">
        <v>466</v>
      </c>
    </row>
    <row r="1451" spans="1:9" x14ac:dyDescent="0.3">
      <c r="A1451">
        <v>90779</v>
      </c>
      <c r="B1451">
        <v>116</v>
      </c>
      <c r="C1451" s="453">
        <v>46174</v>
      </c>
      <c r="D1451" t="s">
        <v>568</v>
      </c>
      <c r="E1451">
        <v>20007</v>
      </c>
      <c r="F1451" t="s">
        <v>4009</v>
      </c>
      <c r="G1451">
        <v>2.5</v>
      </c>
      <c r="H1451" t="s">
        <v>3966</v>
      </c>
      <c r="I1451" t="s">
        <v>466</v>
      </c>
    </row>
    <row r="1452" spans="1:9" x14ac:dyDescent="0.3">
      <c r="A1452">
        <v>90780</v>
      </c>
      <c r="B1452">
        <v>116</v>
      </c>
      <c r="C1452" s="453">
        <v>46174</v>
      </c>
      <c r="D1452" t="s">
        <v>568</v>
      </c>
      <c r="E1452">
        <v>24339</v>
      </c>
      <c r="F1452" t="s">
        <v>4119</v>
      </c>
      <c r="G1452">
        <v>4</v>
      </c>
      <c r="H1452" t="s">
        <v>3892</v>
      </c>
      <c r="I1452" t="s">
        <v>466</v>
      </c>
    </row>
    <row r="1453" spans="1:9" x14ac:dyDescent="0.3">
      <c r="A1453">
        <v>90781</v>
      </c>
      <c r="B1453">
        <v>116</v>
      </c>
      <c r="C1453" s="453">
        <v>46174</v>
      </c>
      <c r="D1453" t="s">
        <v>568</v>
      </c>
      <c r="E1453">
        <v>18272</v>
      </c>
      <c r="F1453" t="s">
        <v>4046</v>
      </c>
      <c r="G1453">
        <v>3.6</v>
      </c>
      <c r="H1453" t="s">
        <v>3878</v>
      </c>
      <c r="I1453" t="s">
        <v>466</v>
      </c>
    </row>
    <row r="1454" spans="1:9" x14ac:dyDescent="0.3">
      <c r="A1454">
        <v>90782</v>
      </c>
      <c r="B1454">
        <v>116</v>
      </c>
      <c r="C1454" s="453">
        <v>46174</v>
      </c>
      <c r="D1454" t="s">
        <v>568</v>
      </c>
      <c r="E1454">
        <v>18545</v>
      </c>
      <c r="F1454" t="s">
        <v>4099</v>
      </c>
      <c r="G1454">
        <v>2.6</v>
      </c>
      <c r="H1454" t="s">
        <v>3878</v>
      </c>
      <c r="I1454" t="s">
        <v>466</v>
      </c>
    </row>
    <row r="1455" spans="1:9" x14ac:dyDescent="0.3">
      <c r="A1455">
        <v>90783</v>
      </c>
      <c r="B1455">
        <v>116</v>
      </c>
      <c r="C1455" s="453">
        <v>46174</v>
      </c>
      <c r="D1455" t="s">
        <v>568</v>
      </c>
      <c r="E1455">
        <v>18129</v>
      </c>
      <c r="F1455" t="s">
        <v>4092</v>
      </c>
      <c r="G1455">
        <v>1</v>
      </c>
      <c r="H1455" t="s">
        <v>3878</v>
      </c>
      <c r="I1455" t="s">
        <v>466</v>
      </c>
    </row>
    <row r="1456" spans="1:9" x14ac:dyDescent="0.3">
      <c r="A1456">
        <v>90784</v>
      </c>
      <c r="B1456">
        <v>116</v>
      </c>
      <c r="C1456" s="453">
        <v>46174</v>
      </c>
      <c r="D1456" t="s">
        <v>568</v>
      </c>
      <c r="E1456">
        <v>20755</v>
      </c>
      <c r="F1456" t="s">
        <v>4052</v>
      </c>
      <c r="G1456">
        <v>1</v>
      </c>
      <c r="H1456" t="s">
        <v>3966</v>
      </c>
      <c r="I1456" t="s">
        <v>466</v>
      </c>
    </row>
    <row r="1457" spans="1:9" x14ac:dyDescent="0.3">
      <c r="A1457">
        <v>90785</v>
      </c>
      <c r="B1457">
        <v>116</v>
      </c>
      <c r="C1457" s="453">
        <v>46174</v>
      </c>
      <c r="D1457" t="s">
        <v>568</v>
      </c>
      <c r="E1457">
        <v>24599</v>
      </c>
      <c r="F1457" t="s">
        <v>3897</v>
      </c>
      <c r="G1457">
        <v>1</v>
      </c>
      <c r="H1457" t="s">
        <v>3888</v>
      </c>
      <c r="I1457" t="s">
        <v>466</v>
      </c>
    </row>
    <row r="1458" spans="1:9" x14ac:dyDescent="0.3">
      <c r="A1458">
        <v>90786</v>
      </c>
      <c r="B1458">
        <v>116</v>
      </c>
      <c r="C1458" s="453">
        <v>46174</v>
      </c>
      <c r="D1458" t="s">
        <v>568</v>
      </c>
      <c r="E1458">
        <v>18233</v>
      </c>
      <c r="F1458" t="s">
        <v>4090</v>
      </c>
      <c r="G1458">
        <v>1.2</v>
      </c>
      <c r="H1458" t="s">
        <v>3878</v>
      </c>
      <c r="I1458" t="s">
        <v>466</v>
      </c>
    </row>
    <row r="1459" spans="1:9" x14ac:dyDescent="0.3">
      <c r="A1459">
        <v>90787</v>
      </c>
      <c r="B1459">
        <v>116</v>
      </c>
      <c r="C1459" s="453">
        <v>46174</v>
      </c>
      <c r="D1459" t="s">
        <v>568</v>
      </c>
      <c r="E1459">
        <v>18547</v>
      </c>
      <c r="F1459" t="s">
        <v>3962</v>
      </c>
      <c r="G1459">
        <v>3.2</v>
      </c>
      <c r="H1459" t="s">
        <v>3878</v>
      </c>
      <c r="I1459" t="s">
        <v>466</v>
      </c>
    </row>
    <row r="1460" spans="1:9" x14ac:dyDescent="0.3">
      <c r="A1460">
        <v>90788</v>
      </c>
      <c r="B1460">
        <v>116</v>
      </c>
      <c r="C1460" s="453">
        <v>46174</v>
      </c>
      <c r="D1460" t="s">
        <v>568</v>
      </c>
      <c r="E1460">
        <v>18273</v>
      </c>
      <c r="F1460" t="s">
        <v>4031</v>
      </c>
      <c r="G1460">
        <v>3</v>
      </c>
      <c r="H1460" t="s">
        <v>3878</v>
      </c>
      <c r="I1460" t="s">
        <v>466</v>
      </c>
    </row>
    <row r="1461" spans="1:9" x14ac:dyDescent="0.3">
      <c r="A1461">
        <v>90789</v>
      </c>
      <c r="B1461">
        <v>116</v>
      </c>
      <c r="C1461" s="453">
        <v>46174</v>
      </c>
      <c r="D1461" t="s">
        <v>568</v>
      </c>
      <c r="E1461">
        <v>19579</v>
      </c>
      <c r="F1461" t="s">
        <v>4020</v>
      </c>
      <c r="G1461">
        <v>2</v>
      </c>
      <c r="H1461" t="s">
        <v>3892</v>
      </c>
      <c r="I1461" t="s">
        <v>466</v>
      </c>
    </row>
    <row r="1462" spans="1:9" x14ac:dyDescent="0.3">
      <c r="A1462">
        <v>90790</v>
      </c>
      <c r="B1462">
        <v>116</v>
      </c>
      <c r="C1462" s="453">
        <v>46174</v>
      </c>
      <c r="D1462" t="s">
        <v>568</v>
      </c>
      <c r="E1462">
        <v>18493</v>
      </c>
      <c r="F1462" t="s">
        <v>3958</v>
      </c>
      <c r="G1462">
        <v>1.5</v>
      </c>
      <c r="H1462" t="s">
        <v>3878</v>
      </c>
      <c r="I1462" t="s">
        <v>466</v>
      </c>
    </row>
    <row r="1463" spans="1:9" x14ac:dyDescent="0.3">
      <c r="A1463">
        <v>90791</v>
      </c>
      <c r="B1463">
        <v>116</v>
      </c>
      <c r="C1463" s="453">
        <v>46174</v>
      </c>
      <c r="D1463" t="s">
        <v>568</v>
      </c>
      <c r="E1463">
        <v>21400</v>
      </c>
      <c r="F1463" t="s">
        <v>4165</v>
      </c>
      <c r="G1463">
        <v>3.5</v>
      </c>
      <c r="H1463" t="s">
        <v>3892</v>
      </c>
      <c r="I1463" t="s">
        <v>466</v>
      </c>
    </row>
    <row r="1464" spans="1:9" x14ac:dyDescent="0.3">
      <c r="A1464">
        <v>90792</v>
      </c>
      <c r="B1464">
        <v>116</v>
      </c>
      <c r="C1464" s="453">
        <v>46174</v>
      </c>
      <c r="D1464" t="s">
        <v>568</v>
      </c>
      <c r="E1464">
        <v>18467</v>
      </c>
      <c r="F1464" t="s">
        <v>4028</v>
      </c>
      <c r="G1464">
        <v>1.3</v>
      </c>
      <c r="H1464" t="s">
        <v>3878</v>
      </c>
      <c r="I1464" t="s">
        <v>466</v>
      </c>
    </row>
    <row r="1465" spans="1:9" x14ac:dyDescent="0.3">
      <c r="A1465">
        <v>90793</v>
      </c>
      <c r="B1465">
        <v>116</v>
      </c>
      <c r="C1465" s="453">
        <v>46174</v>
      </c>
      <c r="D1465" t="s">
        <v>568</v>
      </c>
      <c r="E1465">
        <v>18682</v>
      </c>
      <c r="F1465" t="s">
        <v>4025</v>
      </c>
      <c r="G1465">
        <v>3.5</v>
      </c>
      <c r="H1465" t="s">
        <v>3892</v>
      </c>
      <c r="I1465" t="s">
        <v>466</v>
      </c>
    </row>
    <row r="1466" spans="1:9" x14ac:dyDescent="0.3">
      <c r="A1466">
        <v>90794</v>
      </c>
      <c r="B1466">
        <v>116</v>
      </c>
      <c r="C1466" s="453">
        <v>46174</v>
      </c>
      <c r="D1466" t="s">
        <v>568</v>
      </c>
      <c r="E1466">
        <v>20457</v>
      </c>
      <c r="F1466" t="s">
        <v>3999</v>
      </c>
      <c r="G1466">
        <v>2.5</v>
      </c>
      <c r="H1466" t="s">
        <v>3892</v>
      </c>
      <c r="I1466" t="s">
        <v>466</v>
      </c>
    </row>
    <row r="1467" spans="1:9" x14ac:dyDescent="0.3">
      <c r="A1467">
        <v>90795</v>
      </c>
      <c r="B1467">
        <v>116</v>
      </c>
      <c r="C1467" s="453">
        <v>46174</v>
      </c>
      <c r="D1467" t="s">
        <v>568</v>
      </c>
      <c r="E1467">
        <v>17914</v>
      </c>
      <c r="F1467" t="s">
        <v>3997</v>
      </c>
      <c r="G1467">
        <v>3</v>
      </c>
      <c r="H1467" t="s">
        <v>3888</v>
      </c>
      <c r="I1467" t="s">
        <v>466</v>
      </c>
    </row>
    <row r="1468" spans="1:9" x14ac:dyDescent="0.3">
      <c r="A1468">
        <v>90796</v>
      </c>
      <c r="B1468">
        <v>116</v>
      </c>
      <c r="C1468" s="453">
        <v>46174</v>
      </c>
      <c r="D1468" t="s">
        <v>568</v>
      </c>
      <c r="E1468">
        <v>18685</v>
      </c>
      <c r="F1468" t="s">
        <v>3945</v>
      </c>
      <c r="G1468">
        <v>2.4500000000000002</v>
      </c>
      <c r="H1468" t="s">
        <v>3892</v>
      </c>
      <c r="I1468" t="s">
        <v>466</v>
      </c>
    </row>
    <row r="1469" spans="1:9" x14ac:dyDescent="0.3">
      <c r="A1469">
        <v>90797</v>
      </c>
      <c r="B1469">
        <v>116</v>
      </c>
      <c r="C1469" s="453">
        <v>46174</v>
      </c>
      <c r="D1469" t="s">
        <v>568</v>
      </c>
      <c r="E1469">
        <v>18327</v>
      </c>
      <c r="F1469" t="s">
        <v>4087</v>
      </c>
      <c r="G1469">
        <v>0.9</v>
      </c>
      <c r="H1469" t="s">
        <v>3878</v>
      </c>
      <c r="I1469" t="s">
        <v>466</v>
      </c>
    </row>
    <row r="1470" spans="1:9" x14ac:dyDescent="0.3">
      <c r="A1470">
        <v>90798</v>
      </c>
      <c r="B1470">
        <v>116</v>
      </c>
      <c r="C1470" s="453">
        <v>46174</v>
      </c>
      <c r="D1470" t="s">
        <v>568</v>
      </c>
      <c r="E1470">
        <v>20985</v>
      </c>
      <c r="F1470" t="s">
        <v>3914</v>
      </c>
      <c r="G1470">
        <v>12</v>
      </c>
      <c r="H1470" t="s">
        <v>3872</v>
      </c>
      <c r="I1470" t="s">
        <v>466</v>
      </c>
    </row>
    <row r="1471" spans="1:9" x14ac:dyDescent="0.3">
      <c r="A1471">
        <v>90799</v>
      </c>
      <c r="B1471">
        <v>116</v>
      </c>
      <c r="C1471" s="453">
        <v>46174</v>
      </c>
      <c r="D1471" t="s">
        <v>568</v>
      </c>
      <c r="E1471">
        <v>17883</v>
      </c>
      <c r="F1471" t="s">
        <v>4136</v>
      </c>
      <c r="G1471">
        <v>4</v>
      </c>
      <c r="H1471" t="s">
        <v>3888</v>
      </c>
      <c r="I1471" t="s">
        <v>466</v>
      </c>
    </row>
    <row r="1472" spans="1:9" x14ac:dyDescent="0.3">
      <c r="A1472">
        <v>90800</v>
      </c>
      <c r="B1472">
        <v>116</v>
      </c>
      <c r="C1472" s="453">
        <v>46174</v>
      </c>
      <c r="D1472" t="s">
        <v>568</v>
      </c>
      <c r="E1472">
        <v>24393</v>
      </c>
      <c r="F1472" t="s">
        <v>4039</v>
      </c>
      <c r="G1472">
        <v>6.69</v>
      </c>
      <c r="H1472" t="s">
        <v>3892</v>
      </c>
      <c r="I1472" t="s">
        <v>466</v>
      </c>
    </row>
    <row r="1473" spans="1:9" x14ac:dyDescent="0.3">
      <c r="A1473">
        <v>90801</v>
      </c>
      <c r="B1473">
        <v>116</v>
      </c>
      <c r="C1473" s="453">
        <v>46174</v>
      </c>
      <c r="D1473" t="s">
        <v>568</v>
      </c>
      <c r="E1473">
        <v>19573</v>
      </c>
      <c r="F1473" t="s">
        <v>4163</v>
      </c>
      <c r="G1473">
        <v>2</v>
      </c>
      <c r="H1473" t="s">
        <v>3892</v>
      </c>
      <c r="I1473" t="s">
        <v>466</v>
      </c>
    </row>
    <row r="1474" spans="1:9" x14ac:dyDescent="0.3">
      <c r="A1474">
        <v>90802</v>
      </c>
      <c r="B1474">
        <v>116</v>
      </c>
      <c r="C1474" s="453">
        <v>46174</v>
      </c>
      <c r="D1474" t="s">
        <v>568</v>
      </c>
      <c r="E1474">
        <v>18111</v>
      </c>
      <c r="F1474" t="s">
        <v>4047</v>
      </c>
      <c r="G1474">
        <v>1</v>
      </c>
      <c r="H1474" t="s">
        <v>3878</v>
      </c>
      <c r="I1474" t="s">
        <v>466</v>
      </c>
    </row>
    <row r="1475" spans="1:9" x14ac:dyDescent="0.3">
      <c r="A1475">
        <v>90803</v>
      </c>
      <c r="B1475">
        <v>116</v>
      </c>
      <c r="C1475" s="453">
        <v>46174</v>
      </c>
      <c r="D1475" t="s">
        <v>568</v>
      </c>
      <c r="E1475">
        <v>19574</v>
      </c>
      <c r="F1475" t="s">
        <v>4077</v>
      </c>
      <c r="G1475">
        <v>1</v>
      </c>
      <c r="H1475" t="s">
        <v>3892</v>
      </c>
      <c r="I1475" t="s">
        <v>466</v>
      </c>
    </row>
    <row r="1476" spans="1:9" x14ac:dyDescent="0.3">
      <c r="A1476">
        <v>90804</v>
      </c>
      <c r="B1476">
        <v>116</v>
      </c>
      <c r="C1476" s="453">
        <v>46174</v>
      </c>
      <c r="D1476" t="s">
        <v>568</v>
      </c>
      <c r="E1476">
        <v>18534</v>
      </c>
      <c r="F1476" t="s">
        <v>4084</v>
      </c>
      <c r="G1476">
        <v>1</v>
      </c>
      <c r="H1476" t="s">
        <v>3878</v>
      </c>
      <c r="I1476" t="s">
        <v>466</v>
      </c>
    </row>
    <row r="1477" spans="1:9" x14ac:dyDescent="0.3">
      <c r="A1477">
        <v>90805</v>
      </c>
      <c r="B1477">
        <v>116</v>
      </c>
      <c r="C1477" s="453">
        <v>46174</v>
      </c>
      <c r="D1477" t="s">
        <v>568</v>
      </c>
      <c r="E1477">
        <v>27475</v>
      </c>
      <c r="F1477" t="s">
        <v>4162</v>
      </c>
      <c r="G1477">
        <v>5</v>
      </c>
      <c r="H1477" t="s">
        <v>3872</v>
      </c>
      <c r="I1477" t="s">
        <v>466</v>
      </c>
    </row>
    <row r="1478" spans="1:9" x14ac:dyDescent="0.3">
      <c r="A1478">
        <v>90806</v>
      </c>
      <c r="B1478">
        <v>116</v>
      </c>
      <c r="C1478" s="453">
        <v>46174</v>
      </c>
      <c r="D1478" t="s">
        <v>568</v>
      </c>
      <c r="E1478">
        <v>20301</v>
      </c>
      <c r="F1478" t="s">
        <v>4161</v>
      </c>
      <c r="G1478">
        <v>4</v>
      </c>
      <c r="H1478" t="s">
        <v>3888</v>
      </c>
      <c r="I1478" t="s">
        <v>466</v>
      </c>
    </row>
    <row r="1479" spans="1:9" x14ac:dyDescent="0.3">
      <c r="A1479">
        <v>90807</v>
      </c>
      <c r="B1479">
        <v>116</v>
      </c>
      <c r="C1479" s="453">
        <v>46174</v>
      </c>
      <c r="D1479" t="s">
        <v>568</v>
      </c>
      <c r="E1479">
        <v>18666</v>
      </c>
      <c r="F1479" t="s">
        <v>4003</v>
      </c>
      <c r="G1479">
        <v>3.4</v>
      </c>
      <c r="H1479" t="s">
        <v>3892</v>
      </c>
      <c r="I1479" t="s">
        <v>466</v>
      </c>
    </row>
    <row r="1480" spans="1:9" x14ac:dyDescent="0.3">
      <c r="A1480">
        <v>90808</v>
      </c>
      <c r="B1480">
        <v>116</v>
      </c>
      <c r="C1480" s="453">
        <v>46174</v>
      </c>
      <c r="D1480" t="s">
        <v>568</v>
      </c>
      <c r="E1480">
        <v>20250</v>
      </c>
      <c r="F1480" t="s">
        <v>4008</v>
      </c>
      <c r="G1480">
        <v>2</v>
      </c>
      <c r="H1480" t="s">
        <v>3888</v>
      </c>
      <c r="I1480" t="s">
        <v>466</v>
      </c>
    </row>
    <row r="1481" spans="1:9" x14ac:dyDescent="0.3">
      <c r="A1481">
        <v>90809</v>
      </c>
      <c r="B1481">
        <v>116</v>
      </c>
      <c r="C1481" s="453">
        <v>46174</v>
      </c>
      <c r="D1481" t="s">
        <v>568</v>
      </c>
      <c r="E1481">
        <v>17896</v>
      </c>
      <c r="F1481" t="s">
        <v>3972</v>
      </c>
      <c r="G1481">
        <v>2</v>
      </c>
      <c r="H1481" t="s">
        <v>3888</v>
      </c>
      <c r="I1481" t="s">
        <v>466</v>
      </c>
    </row>
    <row r="1482" spans="1:9" x14ac:dyDescent="0.3">
      <c r="A1482">
        <v>90810</v>
      </c>
      <c r="B1482">
        <v>116</v>
      </c>
      <c r="C1482" s="453">
        <v>46174</v>
      </c>
      <c r="D1482" t="s">
        <v>568</v>
      </c>
      <c r="E1482">
        <v>20246</v>
      </c>
      <c r="F1482" t="s">
        <v>3911</v>
      </c>
      <c r="G1482">
        <v>9</v>
      </c>
      <c r="H1482" t="s">
        <v>3872</v>
      </c>
      <c r="I1482" t="s">
        <v>466</v>
      </c>
    </row>
    <row r="1483" spans="1:9" x14ac:dyDescent="0.3">
      <c r="A1483">
        <v>90811</v>
      </c>
      <c r="B1483">
        <v>116</v>
      </c>
      <c r="C1483" s="453">
        <v>46174</v>
      </c>
      <c r="D1483" t="s">
        <v>568</v>
      </c>
      <c r="E1483">
        <v>20661</v>
      </c>
      <c r="F1483" t="s">
        <v>3919</v>
      </c>
      <c r="G1483">
        <v>9</v>
      </c>
      <c r="H1483" t="s">
        <v>3872</v>
      </c>
      <c r="I1483" t="s">
        <v>466</v>
      </c>
    </row>
    <row r="1484" spans="1:9" x14ac:dyDescent="0.3">
      <c r="A1484">
        <v>90812</v>
      </c>
      <c r="B1484">
        <v>116</v>
      </c>
      <c r="C1484" s="453">
        <v>46174</v>
      </c>
      <c r="D1484" t="s">
        <v>568</v>
      </c>
      <c r="E1484">
        <v>20757</v>
      </c>
      <c r="F1484" t="s">
        <v>4050</v>
      </c>
      <c r="G1484">
        <v>1</v>
      </c>
      <c r="H1484" t="s">
        <v>3966</v>
      </c>
      <c r="I1484" t="s">
        <v>466</v>
      </c>
    </row>
    <row r="1485" spans="1:9" x14ac:dyDescent="0.3">
      <c r="A1485">
        <v>90813</v>
      </c>
      <c r="B1485">
        <v>116</v>
      </c>
      <c r="C1485" s="453">
        <v>46174</v>
      </c>
      <c r="D1485" t="s">
        <v>568</v>
      </c>
      <c r="E1485">
        <v>20227</v>
      </c>
      <c r="F1485" t="s">
        <v>3968</v>
      </c>
      <c r="G1485">
        <v>6</v>
      </c>
      <c r="H1485" t="s">
        <v>3888</v>
      </c>
      <c r="I1485" t="s">
        <v>466</v>
      </c>
    </row>
    <row r="1486" spans="1:9" x14ac:dyDescent="0.3">
      <c r="A1486">
        <v>90814</v>
      </c>
      <c r="B1486">
        <v>116</v>
      </c>
      <c r="C1486" s="453">
        <v>46174</v>
      </c>
      <c r="D1486" t="s">
        <v>568</v>
      </c>
      <c r="E1486">
        <v>18447</v>
      </c>
      <c r="F1486" t="s">
        <v>4027</v>
      </c>
      <c r="G1486">
        <v>6</v>
      </c>
      <c r="H1486" t="s">
        <v>3878</v>
      </c>
      <c r="I1486" t="s">
        <v>466</v>
      </c>
    </row>
    <row r="1487" spans="1:9" x14ac:dyDescent="0.3">
      <c r="A1487">
        <v>90815</v>
      </c>
      <c r="B1487">
        <v>116</v>
      </c>
      <c r="C1487" s="453">
        <v>46174</v>
      </c>
      <c r="D1487" t="s">
        <v>568</v>
      </c>
      <c r="E1487">
        <v>24194</v>
      </c>
      <c r="F1487" t="s">
        <v>4181</v>
      </c>
      <c r="G1487">
        <v>1.75</v>
      </c>
      <c r="H1487" t="s">
        <v>3892</v>
      </c>
      <c r="I1487" t="s">
        <v>466</v>
      </c>
    </row>
    <row r="1488" spans="1:9" x14ac:dyDescent="0.3">
      <c r="A1488">
        <v>90816</v>
      </c>
      <c r="B1488">
        <v>116</v>
      </c>
      <c r="C1488" s="453">
        <v>46174</v>
      </c>
      <c r="D1488" t="s">
        <v>568</v>
      </c>
      <c r="E1488">
        <v>20624</v>
      </c>
      <c r="F1488" t="s">
        <v>3982</v>
      </c>
      <c r="G1488">
        <v>1</v>
      </c>
      <c r="H1488" t="s">
        <v>3966</v>
      </c>
      <c r="I1488" t="s">
        <v>466</v>
      </c>
    </row>
    <row r="1489" spans="1:9" x14ac:dyDescent="0.3">
      <c r="A1489">
        <v>90817</v>
      </c>
      <c r="B1489">
        <v>116</v>
      </c>
      <c r="C1489" s="453">
        <v>46174</v>
      </c>
      <c r="D1489" t="s">
        <v>568</v>
      </c>
      <c r="E1489">
        <v>21166</v>
      </c>
      <c r="F1489" t="s">
        <v>4001</v>
      </c>
      <c r="G1489">
        <v>2</v>
      </c>
      <c r="H1489" t="s">
        <v>3872</v>
      </c>
      <c r="I1489" t="s">
        <v>466</v>
      </c>
    </row>
    <row r="1490" spans="1:9" x14ac:dyDescent="0.3">
      <c r="A1490">
        <v>90818</v>
      </c>
      <c r="B1490">
        <v>116</v>
      </c>
      <c r="C1490" s="453">
        <v>46174</v>
      </c>
      <c r="D1490" t="s">
        <v>568</v>
      </c>
      <c r="E1490">
        <v>18702</v>
      </c>
      <c r="F1490" t="s">
        <v>4043</v>
      </c>
      <c r="G1490">
        <v>2.2000000000000002</v>
      </c>
      <c r="H1490" t="s">
        <v>3892</v>
      </c>
      <c r="I1490" t="s">
        <v>466</v>
      </c>
    </row>
    <row r="1491" spans="1:9" x14ac:dyDescent="0.3">
      <c r="A1491">
        <v>90819</v>
      </c>
      <c r="B1491">
        <v>116</v>
      </c>
      <c r="C1491" s="453">
        <v>46174</v>
      </c>
      <c r="D1491" t="s">
        <v>568</v>
      </c>
      <c r="E1491">
        <v>20213</v>
      </c>
      <c r="F1491" t="s">
        <v>4059</v>
      </c>
      <c r="G1491">
        <v>2</v>
      </c>
      <c r="H1491" t="s">
        <v>3888</v>
      </c>
      <c r="I1491" t="s">
        <v>466</v>
      </c>
    </row>
    <row r="1492" spans="1:9" x14ac:dyDescent="0.3">
      <c r="A1492">
        <v>90820</v>
      </c>
      <c r="B1492">
        <v>116</v>
      </c>
      <c r="C1492" s="453">
        <v>46174</v>
      </c>
      <c r="D1492" t="s">
        <v>568</v>
      </c>
      <c r="E1492">
        <v>20809</v>
      </c>
      <c r="F1492" t="s">
        <v>4005</v>
      </c>
      <c r="G1492">
        <v>2</v>
      </c>
      <c r="H1492" t="s">
        <v>3888</v>
      </c>
      <c r="I1492" t="s">
        <v>466</v>
      </c>
    </row>
    <row r="1493" spans="1:9" x14ac:dyDescent="0.3">
      <c r="A1493">
        <v>90821</v>
      </c>
      <c r="B1493">
        <v>116</v>
      </c>
      <c r="C1493" s="453">
        <v>46174</v>
      </c>
      <c r="D1493" t="s">
        <v>568</v>
      </c>
      <c r="E1493">
        <v>19264</v>
      </c>
      <c r="F1493" t="s">
        <v>4082</v>
      </c>
      <c r="G1493">
        <v>1.1000000000000001</v>
      </c>
      <c r="H1493" t="s">
        <v>3888</v>
      </c>
      <c r="I1493" t="s">
        <v>466</v>
      </c>
    </row>
    <row r="1494" spans="1:9" x14ac:dyDescent="0.3">
      <c r="A1494">
        <v>90822</v>
      </c>
      <c r="B1494">
        <v>116</v>
      </c>
      <c r="C1494" s="453">
        <v>46174</v>
      </c>
      <c r="D1494" t="s">
        <v>568</v>
      </c>
      <c r="E1494">
        <v>23515</v>
      </c>
      <c r="F1494" t="s">
        <v>3980</v>
      </c>
      <c r="G1494">
        <v>3</v>
      </c>
      <c r="H1494" t="s">
        <v>3872</v>
      </c>
      <c r="I1494" t="s">
        <v>466</v>
      </c>
    </row>
    <row r="1495" spans="1:9" x14ac:dyDescent="0.3">
      <c r="A1495">
        <v>90823</v>
      </c>
      <c r="B1495">
        <v>116</v>
      </c>
      <c r="C1495" s="453">
        <v>46174</v>
      </c>
      <c r="D1495" t="s">
        <v>568</v>
      </c>
      <c r="E1495">
        <v>29129</v>
      </c>
      <c r="F1495" t="s">
        <v>4176</v>
      </c>
      <c r="G1495">
        <v>5</v>
      </c>
      <c r="H1495" t="s">
        <v>3872</v>
      </c>
      <c r="I1495" t="s">
        <v>466</v>
      </c>
    </row>
    <row r="1496" spans="1:9" x14ac:dyDescent="0.3">
      <c r="A1496">
        <v>90824</v>
      </c>
      <c r="B1496">
        <v>116</v>
      </c>
      <c r="C1496" s="453">
        <v>46174</v>
      </c>
      <c r="D1496" t="s">
        <v>568</v>
      </c>
      <c r="E1496">
        <v>21093</v>
      </c>
      <c r="F1496" t="s">
        <v>3903</v>
      </c>
      <c r="G1496">
        <v>13</v>
      </c>
      <c r="H1496" t="s">
        <v>3892</v>
      </c>
      <c r="I1496" t="s">
        <v>466</v>
      </c>
    </row>
    <row r="1497" spans="1:9" x14ac:dyDescent="0.3">
      <c r="A1497">
        <v>90825</v>
      </c>
      <c r="B1497">
        <v>116</v>
      </c>
      <c r="C1497" s="453">
        <v>46174</v>
      </c>
      <c r="D1497" t="s">
        <v>568</v>
      </c>
      <c r="E1497">
        <v>24331</v>
      </c>
      <c r="F1497" t="s">
        <v>3960</v>
      </c>
      <c r="G1497">
        <v>2.7</v>
      </c>
      <c r="H1497" t="s">
        <v>3892</v>
      </c>
      <c r="I1497" t="s">
        <v>466</v>
      </c>
    </row>
    <row r="1498" spans="1:9" x14ac:dyDescent="0.3">
      <c r="A1498">
        <v>90826</v>
      </c>
      <c r="B1498">
        <v>116</v>
      </c>
      <c r="C1498" s="453">
        <v>46174</v>
      </c>
      <c r="D1498" t="s">
        <v>568</v>
      </c>
      <c r="E1498">
        <v>17093</v>
      </c>
      <c r="F1498" t="s">
        <v>3993</v>
      </c>
      <c r="G1498">
        <v>7</v>
      </c>
      <c r="H1498" t="s">
        <v>3888</v>
      </c>
      <c r="I1498" t="s">
        <v>466</v>
      </c>
    </row>
    <row r="1499" spans="1:9" x14ac:dyDescent="0.3">
      <c r="A1499">
        <v>90827</v>
      </c>
      <c r="B1499">
        <v>116</v>
      </c>
      <c r="C1499" s="453">
        <v>46174</v>
      </c>
      <c r="D1499" t="s">
        <v>568</v>
      </c>
      <c r="E1499">
        <v>18030</v>
      </c>
      <c r="F1499" t="s">
        <v>4033</v>
      </c>
      <c r="G1499">
        <v>2</v>
      </c>
      <c r="H1499" t="s">
        <v>3878</v>
      </c>
      <c r="I1499" t="s">
        <v>466</v>
      </c>
    </row>
    <row r="1500" spans="1:9" x14ac:dyDescent="0.3">
      <c r="A1500">
        <v>90828</v>
      </c>
      <c r="B1500">
        <v>116</v>
      </c>
      <c r="C1500" s="453">
        <v>46174</v>
      </c>
      <c r="D1500" t="s">
        <v>568</v>
      </c>
      <c r="E1500">
        <v>19583</v>
      </c>
      <c r="F1500" t="s">
        <v>4076</v>
      </c>
      <c r="G1500">
        <v>1</v>
      </c>
      <c r="H1500" t="s">
        <v>3892</v>
      </c>
      <c r="I1500" t="s">
        <v>466</v>
      </c>
    </row>
    <row r="1501" spans="1:9" x14ac:dyDescent="0.3">
      <c r="A1501">
        <v>90829</v>
      </c>
      <c r="B1501">
        <v>116</v>
      </c>
      <c r="C1501" s="453">
        <v>46174</v>
      </c>
      <c r="D1501" t="s">
        <v>568</v>
      </c>
      <c r="E1501">
        <v>23234</v>
      </c>
      <c r="F1501" t="s">
        <v>4018</v>
      </c>
      <c r="G1501">
        <v>2</v>
      </c>
      <c r="H1501" t="s">
        <v>3892</v>
      </c>
      <c r="I1501" t="s">
        <v>466</v>
      </c>
    </row>
    <row r="1502" spans="1:9" x14ac:dyDescent="0.3">
      <c r="A1502">
        <v>90830</v>
      </c>
      <c r="B1502">
        <v>116</v>
      </c>
      <c r="C1502" s="453">
        <v>46174</v>
      </c>
      <c r="D1502" t="s">
        <v>568</v>
      </c>
      <c r="E1502">
        <v>18312</v>
      </c>
      <c r="F1502" t="s">
        <v>4089</v>
      </c>
      <c r="G1502">
        <v>0.5</v>
      </c>
      <c r="H1502" t="s">
        <v>3878</v>
      </c>
      <c r="I1502" t="s">
        <v>466</v>
      </c>
    </row>
    <row r="1503" spans="1:9" x14ac:dyDescent="0.3">
      <c r="A1503">
        <v>90831</v>
      </c>
      <c r="B1503">
        <v>116</v>
      </c>
      <c r="C1503" s="453">
        <v>46174</v>
      </c>
      <c r="D1503" t="s">
        <v>568</v>
      </c>
      <c r="E1503">
        <v>20358</v>
      </c>
      <c r="F1503" t="s">
        <v>3952</v>
      </c>
      <c r="G1503">
        <v>3.6</v>
      </c>
      <c r="H1503" t="s">
        <v>3888</v>
      </c>
      <c r="I1503" t="s">
        <v>466</v>
      </c>
    </row>
    <row r="1504" spans="1:9" x14ac:dyDescent="0.3">
      <c r="A1504">
        <v>90832</v>
      </c>
      <c r="B1504">
        <v>116</v>
      </c>
      <c r="C1504" s="453">
        <v>46174</v>
      </c>
      <c r="D1504" t="s">
        <v>568</v>
      </c>
      <c r="E1504">
        <v>21078</v>
      </c>
      <c r="F1504" t="s">
        <v>4049</v>
      </c>
      <c r="G1504">
        <v>1</v>
      </c>
      <c r="H1504" t="s">
        <v>3881</v>
      </c>
      <c r="I1504" t="s">
        <v>466</v>
      </c>
    </row>
    <row r="1505" spans="1:9" x14ac:dyDescent="0.3">
      <c r="A1505">
        <v>90833</v>
      </c>
      <c r="B1505">
        <v>116</v>
      </c>
      <c r="C1505" s="453">
        <v>46174</v>
      </c>
      <c r="D1505" t="s">
        <v>568</v>
      </c>
      <c r="E1505">
        <v>20287</v>
      </c>
      <c r="F1505" t="s">
        <v>4053</v>
      </c>
      <c r="G1505">
        <v>2</v>
      </c>
      <c r="H1505" t="s">
        <v>3888</v>
      </c>
      <c r="I1505" t="s">
        <v>466</v>
      </c>
    </row>
    <row r="1506" spans="1:9" x14ac:dyDescent="0.3">
      <c r="A1506">
        <v>90834</v>
      </c>
      <c r="B1506">
        <v>116</v>
      </c>
      <c r="C1506" s="453">
        <v>46174</v>
      </c>
      <c r="D1506" t="s">
        <v>568</v>
      </c>
      <c r="E1506">
        <v>18528</v>
      </c>
      <c r="F1506" t="s">
        <v>4108</v>
      </c>
      <c r="G1506">
        <v>1</v>
      </c>
      <c r="H1506" t="s">
        <v>3878</v>
      </c>
      <c r="I1506" t="s">
        <v>466</v>
      </c>
    </row>
    <row r="1507" spans="1:9" x14ac:dyDescent="0.3">
      <c r="A1507">
        <v>90835</v>
      </c>
      <c r="B1507">
        <v>116</v>
      </c>
      <c r="C1507" s="453">
        <v>46174</v>
      </c>
      <c r="D1507" t="s">
        <v>568</v>
      </c>
      <c r="E1507">
        <v>20466</v>
      </c>
      <c r="F1507" t="s">
        <v>4098</v>
      </c>
      <c r="G1507">
        <v>0.7</v>
      </c>
      <c r="H1507" t="s">
        <v>3892</v>
      </c>
      <c r="I1507" t="s">
        <v>466</v>
      </c>
    </row>
    <row r="1508" spans="1:9" x14ac:dyDescent="0.3">
      <c r="A1508">
        <v>90836</v>
      </c>
      <c r="B1508">
        <v>116</v>
      </c>
      <c r="C1508" s="453">
        <v>46174</v>
      </c>
      <c r="D1508" t="s">
        <v>568</v>
      </c>
      <c r="E1508">
        <v>21085</v>
      </c>
      <c r="F1508" t="s">
        <v>4114</v>
      </c>
      <c r="G1508">
        <v>1</v>
      </c>
      <c r="H1508" t="s">
        <v>3881</v>
      </c>
      <c r="I1508" t="s">
        <v>466</v>
      </c>
    </row>
    <row r="1509" spans="1:9" x14ac:dyDescent="0.3">
      <c r="A1509">
        <v>90837</v>
      </c>
      <c r="B1509">
        <v>116</v>
      </c>
      <c r="C1509" s="453">
        <v>46174</v>
      </c>
      <c r="D1509" t="s">
        <v>568</v>
      </c>
      <c r="E1509">
        <v>18696</v>
      </c>
      <c r="F1509" t="s">
        <v>3956</v>
      </c>
      <c r="G1509">
        <v>2.5</v>
      </c>
      <c r="H1509" t="s">
        <v>3892</v>
      </c>
      <c r="I1509" t="s">
        <v>466</v>
      </c>
    </row>
    <row r="1510" spans="1:9" x14ac:dyDescent="0.3">
      <c r="A1510">
        <v>90838</v>
      </c>
      <c r="B1510">
        <v>116</v>
      </c>
      <c r="C1510" s="453">
        <v>46174</v>
      </c>
      <c r="D1510" t="s">
        <v>568</v>
      </c>
      <c r="E1510">
        <v>20395</v>
      </c>
      <c r="F1510" t="s">
        <v>4057</v>
      </c>
      <c r="G1510">
        <v>1.5</v>
      </c>
      <c r="H1510" t="s">
        <v>3872</v>
      </c>
      <c r="I1510" t="s">
        <v>466</v>
      </c>
    </row>
    <row r="1511" spans="1:9" x14ac:dyDescent="0.3">
      <c r="A1511">
        <v>90839</v>
      </c>
      <c r="B1511">
        <v>116</v>
      </c>
      <c r="C1511" s="453">
        <v>46174</v>
      </c>
      <c r="D1511" t="s">
        <v>568</v>
      </c>
      <c r="E1511">
        <v>20234</v>
      </c>
      <c r="F1511" t="s">
        <v>3979</v>
      </c>
      <c r="G1511">
        <v>2</v>
      </c>
      <c r="H1511" t="s">
        <v>3892</v>
      </c>
      <c r="I1511" t="s">
        <v>466</v>
      </c>
    </row>
    <row r="1512" spans="1:9" x14ac:dyDescent="0.3">
      <c r="A1512">
        <v>90840</v>
      </c>
      <c r="B1512">
        <v>116</v>
      </c>
      <c r="C1512" s="453">
        <v>46174</v>
      </c>
      <c r="D1512" t="s">
        <v>568</v>
      </c>
      <c r="E1512">
        <v>20717</v>
      </c>
      <c r="F1512" t="s">
        <v>4055</v>
      </c>
      <c r="G1512">
        <v>1</v>
      </c>
      <c r="H1512" t="s">
        <v>3872</v>
      </c>
      <c r="I1512" t="s">
        <v>466</v>
      </c>
    </row>
    <row r="1513" spans="1:9" x14ac:dyDescent="0.3">
      <c r="A1513">
        <v>90841</v>
      </c>
      <c r="B1513">
        <v>116</v>
      </c>
      <c r="C1513" s="453">
        <v>46174</v>
      </c>
      <c r="D1513" t="s">
        <v>568</v>
      </c>
      <c r="E1513">
        <v>20702</v>
      </c>
      <c r="F1513" t="s">
        <v>4006</v>
      </c>
      <c r="G1513">
        <v>1</v>
      </c>
      <c r="H1513" t="s">
        <v>3966</v>
      </c>
      <c r="I1513" t="s">
        <v>466</v>
      </c>
    </row>
    <row r="1514" spans="1:9" x14ac:dyDescent="0.3">
      <c r="A1514">
        <v>90842</v>
      </c>
      <c r="B1514">
        <v>116</v>
      </c>
      <c r="C1514" s="453">
        <v>46174</v>
      </c>
      <c r="D1514" t="s">
        <v>568</v>
      </c>
      <c r="E1514">
        <v>23505</v>
      </c>
      <c r="F1514" t="s">
        <v>4124</v>
      </c>
      <c r="G1514">
        <v>0.5</v>
      </c>
      <c r="H1514" t="s">
        <v>3892</v>
      </c>
      <c r="I1514" t="s">
        <v>466</v>
      </c>
    </row>
    <row r="1515" spans="1:9" x14ac:dyDescent="0.3">
      <c r="A1515">
        <v>90843</v>
      </c>
      <c r="B1515">
        <v>116</v>
      </c>
      <c r="C1515" s="453">
        <v>46174</v>
      </c>
      <c r="D1515" t="s">
        <v>568</v>
      </c>
      <c r="E1515">
        <v>20597</v>
      </c>
      <c r="F1515" t="s">
        <v>4157</v>
      </c>
      <c r="G1515">
        <v>1</v>
      </c>
      <c r="H1515" t="s">
        <v>3872</v>
      </c>
      <c r="I1515" t="s">
        <v>466</v>
      </c>
    </row>
    <row r="1516" spans="1:9" x14ac:dyDescent="0.3">
      <c r="A1516">
        <v>90844</v>
      </c>
      <c r="B1516">
        <v>116</v>
      </c>
      <c r="C1516" s="453">
        <v>46174</v>
      </c>
      <c r="D1516" t="s">
        <v>568</v>
      </c>
      <c r="E1516">
        <v>17897</v>
      </c>
      <c r="F1516" t="s">
        <v>4094</v>
      </c>
      <c r="G1516">
        <v>1</v>
      </c>
      <c r="H1516" t="s">
        <v>3888</v>
      </c>
      <c r="I1516" t="s">
        <v>466</v>
      </c>
    </row>
    <row r="1517" spans="1:9" x14ac:dyDescent="0.3">
      <c r="A1517">
        <v>90845</v>
      </c>
      <c r="B1517">
        <v>116</v>
      </c>
      <c r="C1517" s="453">
        <v>46174</v>
      </c>
      <c r="D1517" t="s">
        <v>568</v>
      </c>
      <c r="E1517">
        <v>20832</v>
      </c>
      <c r="F1517" t="s">
        <v>4060</v>
      </c>
      <c r="G1517">
        <v>1</v>
      </c>
      <c r="H1517" t="s">
        <v>3886</v>
      </c>
      <c r="I1517" t="s">
        <v>466</v>
      </c>
    </row>
    <row r="1518" spans="1:9" x14ac:dyDescent="0.3">
      <c r="A1518">
        <v>90846</v>
      </c>
      <c r="B1518">
        <v>116</v>
      </c>
      <c r="C1518" s="453">
        <v>46174</v>
      </c>
      <c r="D1518" t="s">
        <v>568</v>
      </c>
      <c r="E1518">
        <v>20949</v>
      </c>
      <c r="F1518" t="s">
        <v>3983</v>
      </c>
      <c r="G1518">
        <v>5</v>
      </c>
      <c r="H1518" t="s">
        <v>3878</v>
      </c>
      <c r="I1518" t="s">
        <v>466</v>
      </c>
    </row>
    <row r="1519" spans="1:9" x14ac:dyDescent="0.3">
      <c r="A1519">
        <v>90847</v>
      </c>
      <c r="B1519">
        <v>116</v>
      </c>
      <c r="C1519" s="453">
        <v>46174</v>
      </c>
      <c r="D1519" t="s">
        <v>568</v>
      </c>
      <c r="E1519">
        <v>25167</v>
      </c>
      <c r="F1519" t="s">
        <v>3951</v>
      </c>
      <c r="G1519">
        <v>5</v>
      </c>
      <c r="H1519" t="s">
        <v>3892</v>
      </c>
      <c r="I1519" t="s">
        <v>466</v>
      </c>
    </row>
    <row r="1520" spans="1:9" x14ac:dyDescent="0.3">
      <c r="A1520">
        <v>90848</v>
      </c>
      <c r="B1520">
        <v>116</v>
      </c>
      <c r="C1520" s="453">
        <v>46174</v>
      </c>
      <c r="D1520" t="s">
        <v>568</v>
      </c>
      <c r="E1520">
        <v>25768</v>
      </c>
      <c r="F1520" t="s">
        <v>4012</v>
      </c>
      <c r="G1520">
        <v>4</v>
      </c>
      <c r="H1520" t="s">
        <v>3892</v>
      </c>
      <c r="I1520" t="s">
        <v>466</v>
      </c>
    </row>
    <row r="1521" spans="1:9" x14ac:dyDescent="0.3">
      <c r="A1521">
        <v>90849</v>
      </c>
      <c r="B1521">
        <v>116</v>
      </c>
      <c r="C1521" s="453">
        <v>46174</v>
      </c>
      <c r="D1521" t="s">
        <v>568</v>
      </c>
      <c r="E1521">
        <v>18341</v>
      </c>
      <c r="F1521" t="s">
        <v>4086</v>
      </c>
      <c r="G1521">
        <v>1</v>
      </c>
      <c r="H1521" t="s">
        <v>3878</v>
      </c>
      <c r="I1521" t="s">
        <v>466</v>
      </c>
    </row>
    <row r="1522" spans="1:9" x14ac:dyDescent="0.3">
      <c r="A1522">
        <v>90850</v>
      </c>
      <c r="B1522">
        <v>116</v>
      </c>
      <c r="C1522" s="453">
        <v>46174</v>
      </c>
      <c r="D1522" t="s">
        <v>568</v>
      </c>
      <c r="E1522">
        <v>20117</v>
      </c>
      <c r="F1522" t="s">
        <v>4010</v>
      </c>
      <c r="G1522">
        <v>1</v>
      </c>
      <c r="H1522" t="s">
        <v>3872</v>
      </c>
      <c r="I1522" t="s">
        <v>466</v>
      </c>
    </row>
    <row r="1523" spans="1:9" x14ac:dyDescent="0.3">
      <c r="A1523">
        <v>90851</v>
      </c>
      <c r="B1523">
        <v>116</v>
      </c>
      <c r="C1523" s="453">
        <v>46174</v>
      </c>
      <c r="D1523" t="s">
        <v>568</v>
      </c>
      <c r="E1523">
        <v>18317</v>
      </c>
      <c r="F1523" t="s">
        <v>4045</v>
      </c>
      <c r="G1523">
        <v>1</v>
      </c>
      <c r="H1523" t="s">
        <v>3878</v>
      </c>
      <c r="I1523" t="s">
        <v>466</v>
      </c>
    </row>
    <row r="1524" spans="1:9" x14ac:dyDescent="0.3">
      <c r="A1524">
        <v>90852</v>
      </c>
      <c r="B1524">
        <v>116</v>
      </c>
      <c r="C1524" s="453">
        <v>46174</v>
      </c>
      <c r="D1524" t="s">
        <v>568</v>
      </c>
      <c r="E1524">
        <v>23503</v>
      </c>
      <c r="F1524" t="s">
        <v>4041</v>
      </c>
      <c r="G1524">
        <v>1.5</v>
      </c>
      <c r="H1524" t="s">
        <v>3892</v>
      </c>
      <c r="I1524" t="s">
        <v>466</v>
      </c>
    </row>
    <row r="1525" spans="1:9" x14ac:dyDescent="0.3">
      <c r="A1525">
        <v>90853</v>
      </c>
      <c r="B1525">
        <v>116</v>
      </c>
      <c r="C1525" s="453">
        <v>46174</v>
      </c>
      <c r="D1525" t="s">
        <v>568</v>
      </c>
      <c r="E1525">
        <v>24185</v>
      </c>
      <c r="F1525" t="s">
        <v>4040</v>
      </c>
      <c r="G1525">
        <v>1.5</v>
      </c>
      <c r="H1525" t="s">
        <v>3892</v>
      </c>
      <c r="I1525" t="s">
        <v>466</v>
      </c>
    </row>
    <row r="1526" spans="1:9" x14ac:dyDescent="0.3">
      <c r="A1526">
        <v>90854</v>
      </c>
      <c r="B1526">
        <v>116</v>
      </c>
      <c r="C1526" s="453">
        <v>46174</v>
      </c>
      <c r="D1526" t="s">
        <v>568</v>
      </c>
      <c r="E1526">
        <v>19787</v>
      </c>
      <c r="F1526" t="s">
        <v>3940</v>
      </c>
      <c r="G1526">
        <v>6</v>
      </c>
      <c r="H1526" t="s">
        <v>3892</v>
      </c>
      <c r="I1526" t="s">
        <v>466</v>
      </c>
    </row>
    <row r="1527" spans="1:9" x14ac:dyDescent="0.3">
      <c r="A1527">
        <v>90855</v>
      </c>
      <c r="B1527">
        <v>116</v>
      </c>
      <c r="C1527" s="453">
        <v>46174</v>
      </c>
      <c r="D1527" t="s">
        <v>568</v>
      </c>
      <c r="E1527">
        <v>19765</v>
      </c>
      <c r="F1527" t="s">
        <v>4071</v>
      </c>
      <c r="G1527">
        <v>1</v>
      </c>
      <c r="H1527" t="s">
        <v>3892</v>
      </c>
      <c r="I1527" t="s">
        <v>466</v>
      </c>
    </row>
    <row r="1528" spans="1:9" x14ac:dyDescent="0.3">
      <c r="A1528">
        <v>90856</v>
      </c>
      <c r="B1528">
        <v>116</v>
      </c>
      <c r="C1528" s="453">
        <v>46174</v>
      </c>
      <c r="D1528" t="s">
        <v>568</v>
      </c>
      <c r="E1528">
        <v>19428</v>
      </c>
      <c r="F1528" t="s">
        <v>4169</v>
      </c>
      <c r="G1528">
        <v>6</v>
      </c>
      <c r="H1528" t="s">
        <v>3872</v>
      </c>
      <c r="I1528" t="s">
        <v>466</v>
      </c>
    </row>
    <row r="1529" spans="1:9" x14ac:dyDescent="0.3">
      <c r="A1529">
        <v>90857</v>
      </c>
      <c r="B1529">
        <v>116</v>
      </c>
      <c r="C1529" s="453">
        <v>46174</v>
      </c>
      <c r="D1529" t="s">
        <v>568</v>
      </c>
      <c r="E1529">
        <v>20077</v>
      </c>
      <c r="F1529" t="s">
        <v>4054</v>
      </c>
      <c r="G1529">
        <v>2</v>
      </c>
      <c r="H1529" t="s">
        <v>3888</v>
      </c>
      <c r="I1529" t="s">
        <v>466</v>
      </c>
    </row>
    <row r="1530" spans="1:9" x14ac:dyDescent="0.3">
      <c r="A1530">
        <v>90858</v>
      </c>
      <c r="B1530">
        <v>116</v>
      </c>
      <c r="C1530" s="453">
        <v>46174</v>
      </c>
      <c r="D1530" t="s">
        <v>568</v>
      </c>
      <c r="E1530">
        <v>20231</v>
      </c>
      <c r="F1530" t="s">
        <v>4123</v>
      </c>
      <c r="G1530">
        <v>2</v>
      </c>
      <c r="H1530" t="s">
        <v>3888</v>
      </c>
      <c r="I1530" t="s">
        <v>466</v>
      </c>
    </row>
    <row r="1531" spans="1:9" x14ac:dyDescent="0.3">
      <c r="A1531">
        <v>90859</v>
      </c>
      <c r="B1531">
        <v>116</v>
      </c>
      <c r="C1531" s="453">
        <v>46174</v>
      </c>
      <c r="D1531" t="s">
        <v>568</v>
      </c>
      <c r="E1531">
        <v>18395</v>
      </c>
      <c r="F1531" t="s">
        <v>4085</v>
      </c>
      <c r="G1531">
        <v>1</v>
      </c>
      <c r="H1531" t="s">
        <v>3878</v>
      </c>
      <c r="I1531" t="s">
        <v>466</v>
      </c>
    </row>
    <row r="1532" spans="1:9" x14ac:dyDescent="0.3">
      <c r="A1532">
        <v>90860</v>
      </c>
      <c r="B1532">
        <v>116</v>
      </c>
      <c r="C1532" s="453">
        <v>46174</v>
      </c>
      <c r="D1532" t="s">
        <v>568</v>
      </c>
      <c r="E1532">
        <v>24083</v>
      </c>
      <c r="F1532" t="s">
        <v>3898</v>
      </c>
      <c r="G1532">
        <v>6</v>
      </c>
      <c r="H1532" t="s">
        <v>3892</v>
      </c>
      <c r="I1532" t="s">
        <v>466</v>
      </c>
    </row>
    <row r="1533" spans="1:9" x14ac:dyDescent="0.3">
      <c r="A1533">
        <v>90861</v>
      </c>
      <c r="B1533">
        <v>116</v>
      </c>
      <c r="C1533" s="453">
        <v>46174</v>
      </c>
      <c r="D1533" t="s">
        <v>568</v>
      </c>
      <c r="E1533">
        <v>25237</v>
      </c>
      <c r="F1533" t="s">
        <v>4164</v>
      </c>
      <c r="G1533">
        <v>6</v>
      </c>
      <c r="H1533" t="s">
        <v>3872</v>
      </c>
      <c r="I1533" t="s">
        <v>466</v>
      </c>
    </row>
    <row r="1534" spans="1:9" x14ac:dyDescent="0.3">
      <c r="A1534">
        <v>90862</v>
      </c>
      <c r="B1534">
        <v>116</v>
      </c>
      <c r="C1534" s="453">
        <v>46174</v>
      </c>
      <c r="D1534" t="s">
        <v>568</v>
      </c>
      <c r="E1534">
        <v>19973</v>
      </c>
      <c r="F1534" t="s">
        <v>3981</v>
      </c>
      <c r="G1534">
        <v>2</v>
      </c>
      <c r="H1534" t="s">
        <v>3872</v>
      </c>
      <c r="I1534" t="s">
        <v>466</v>
      </c>
    </row>
    <row r="1535" spans="1:9" x14ac:dyDescent="0.3">
      <c r="A1535">
        <v>90863</v>
      </c>
      <c r="B1535">
        <v>116</v>
      </c>
      <c r="C1535" s="453">
        <v>46174</v>
      </c>
      <c r="D1535" t="s">
        <v>568</v>
      </c>
      <c r="E1535">
        <v>19576</v>
      </c>
      <c r="F1535" t="s">
        <v>4021</v>
      </c>
      <c r="G1535">
        <v>2</v>
      </c>
      <c r="H1535" t="s">
        <v>3892</v>
      </c>
      <c r="I1535" t="s">
        <v>466</v>
      </c>
    </row>
    <row r="1536" spans="1:9" x14ac:dyDescent="0.3">
      <c r="A1536">
        <v>90864</v>
      </c>
      <c r="B1536">
        <v>116</v>
      </c>
      <c r="C1536" s="453">
        <v>46174</v>
      </c>
      <c r="D1536" t="s">
        <v>568</v>
      </c>
      <c r="E1536">
        <v>27079</v>
      </c>
      <c r="F1536" t="s">
        <v>3891</v>
      </c>
      <c r="G1536">
        <v>9</v>
      </c>
      <c r="H1536" t="s">
        <v>3892</v>
      </c>
      <c r="I1536" t="s">
        <v>466</v>
      </c>
    </row>
    <row r="1537" spans="1:9" x14ac:dyDescent="0.3">
      <c r="A1537">
        <v>90865</v>
      </c>
      <c r="B1537">
        <v>116</v>
      </c>
      <c r="C1537" s="453">
        <v>46174</v>
      </c>
      <c r="D1537" t="s">
        <v>568</v>
      </c>
      <c r="E1537">
        <v>19649</v>
      </c>
      <c r="F1537" t="s">
        <v>4015</v>
      </c>
      <c r="G1537">
        <v>1</v>
      </c>
      <c r="H1537" t="s">
        <v>3892</v>
      </c>
      <c r="I1537" t="s">
        <v>466</v>
      </c>
    </row>
    <row r="1538" spans="1:9" x14ac:dyDescent="0.3">
      <c r="A1538">
        <v>90866</v>
      </c>
      <c r="B1538">
        <v>116</v>
      </c>
      <c r="C1538" s="453">
        <v>46174</v>
      </c>
      <c r="D1538" t="s">
        <v>568</v>
      </c>
      <c r="E1538">
        <v>20327</v>
      </c>
      <c r="F1538" t="s">
        <v>4179</v>
      </c>
      <c r="G1538">
        <v>4</v>
      </c>
      <c r="H1538" t="s">
        <v>3888</v>
      </c>
      <c r="I1538" t="s">
        <v>466</v>
      </c>
    </row>
    <row r="1539" spans="1:9" x14ac:dyDescent="0.3">
      <c r="A1539">
        <v>90867</v>
      </c>
      <c r="B1539">
        <v>116</v>
      </c>
      <c r="C1539" s="453">
        <v>46174</v>
      </c>
      <c r="D1539" t="s">
        <v>568</v>
      </c>
      <c r="E1539">
        <v>19034</v>
      </c>
      <c r="F1539" t="s">
        <v>3989</v>
      </c>
      <c r="G1539">
        <v>3.2</v>
      </c>
      <c r="H1539" t="s">
        <v>3892</v>
      </c>
      <c r="I1539" t="s">
        <v>466</v>
      </c>
    </row>
    <row r="1540" spans="1:9" x14ac:dyDescent="0.3">
      <c r="A1540">
        <v>90868</v>
      </c>
      <c r="B1540">
        <v>116</v>
      </c>
      <c r="C1540" s="453">
        <v>46174</v>
      </c>
      <c r="D1540" t="s">
        <v>568</v>
      </c>
      <c r="E1540">
        <v>25720</v>
      </c>
      <c r="F1540" t="s">
        <v>3926</v>
      </c>
      <c r="G1540">
        <v>1.7</v>
      </c>
      <c r="H1540" t="s">
        <v>3892</v>
      </c>
      <c r="I1540" t="s">
        <v>466</v>
      </c>
    </row>
    <row r="1541" spans="1:9" x14ac:dyDescent="0.3">
      <c r="A1541">
        <v>90869</v>
      </c>
      <c r="B1541">
        <v>116</v>
      </c>
      <c r="C1541" s="453">
        <v>46174</v>
      </c>
      <c r="D1541" t="s">
        <v>568</v>
      </c>
      <c r="E1541">
        <v>20458</v>
      </c>
      <c r="F1541" t="s">
        <v>4121</v>
      </c>
      <c r="G1541">
        <v>0.85</v>
      </c>
      <c r="H1541" t="s">
        <v>3892</v>
      </c>
      <c r="I1541" t="s">
        <v>466</v>
      </c>
    </row>
    <row r="1542" spans="1:9" x14ac:dyDescent="0.3">
      <c r="A1542">
        <v>90870</v>
      </c>
      <c r="B1542">
        <v>116</v>
      </c>
      <c r="C1542" s="453">
        <v>46174</v>
      </c>
      <c r="D1542" t="s">
        <v>568</v>
      </c>
      <c r="E1542">
        <v>19740</v>
      </c>
      <c r="F1542" t="s">
        <v>3933</v>
      </c>
      <c r="G1542">
        <v>3</v>
      </c>
      <c r="H1542" t="s">
        <v>3892</v>
      </c>
      <c r="I1542" t="s">
        <v>466</v>
      </c>
    </row>
    <row r="1543" spans="1:9" x14ac:dyDescent="0.3">
      <c r="A1543">
        <v>90871</v>
      </c>
      <c r="B1543">
        <v>116</v>
      </c>
      <c r="C1543" s="453">
        <v>46174</v>
      </c>
      <c r="D1543" t="s">
        <v>568</v>
      </c>
      <c r="E1543">
        <v>19572</v>
      </c>
      <c r="F1543" t="s">
        <v>4023</v>
      </c>
      <c r="G1543">
        <v>2</v>
      </c>
      <c r="H1543" t="s">
        <v>3892</v>
      </c>
      <c r="I1543" t="s">
        <v>466</v>
      </c>
    </row>
    <row r="1544" spans="1:9" x14ac:dyDescent="0.3">
      <c r="A1544">
        <v>90872</v>
      </c>
      <c r="B1544">
        <v>116</v>
      </c>
      <c r="C1544" s="453">
        <v>46174</v>
      </c>
      <c r="D1544" t="s">
        <v>568</v>
      </c>
      <c r="E1544">
        <v>23095</v>
      </c>
      <c r="F1544" t="s">
        <v>3882</v>
      </c>
      <c r="G1544">
        <v>20</v>
      </c>
      <c r="H1544" t="s">
        <v>3872</v>
      </c>
      <c r="I1544" t="s">
        <v>466</v>
      </c>
    </row>
    <row r="1545" spans="1:9" x14ac:dyDescent="0.3">
      <c r="A1545">
        <v>90873</v>
      </c>
      <c r="B1545">
        <v>116</v>
      </c>
      <c r="C1545" s="453">
        <v>46174</v>
      </c>
      <c r="D1545" t="s">
        <v>568</v>
      </c>
      <c r="E1545">
        <v>19634</v>
      </c>
      <c r="F1545" t="s">
        <v>4068</v>
      </c>
      <c r="G1545">
        <v>3.1</v>
      </c>
      <c r="H1545" t="s">
        <v>3892</v>
      </c>
      <c r="I1545" t="s">
        <v>466</v>
      </c>
    </row>
    <row r="1546" spans="1:9" x14ac:dyDescent="0.3">
      <c r="A1546">
        <v>90874</v>
      </c>
      <c r="B1546">
        <v>116</v>
      </c>
      <c r="C1546" s="453">
        <v>46174</v>
      </c>
      <c r="D1546" t="s">
        <v>568</v>
      </c>
      <c r="E1546">
        <v>19017</v>
      </c>
      <c r="F1546" t="s">
        <v>4172</v>
      </c>
      <c r="G1546">
        <v>1.7</v>
      </c>
      <c r="H1546" t="s">
        <v>3892</v>
      </c>
      <c r="I1546" t="s">
        <v>466</v>
      </c>
    </row>
    <row r="1547" spans="1:9" x14ac:dyDescent="0.3">
      <c r="A1547">
        <v>90875</v>
      </c>
      <c r="B1547">
        <v>116</v>
      </c>
      <c r="C1547" s="453">
        <v>46174</v>
      </c>
      <c r="D1547" t="s">
        <v>568</v>
      </c>
      <c r="E1547">
        <v>17878</v>
      </c>
      <c r="F1547" t="s">
        <v>4096</v>
      </c>
      <c r="G1547">
        <v>1</v>
      </c>
      <c r="H1547" t="s">
        <v>3872</v>
      </c>
      <c r="I1547" t="s">
        <v>466</v>
      </c>
    </row>
    <row r="1548" spans="1:9" x14ac:dyDescent="0.3">
      <c r="A1548">
        <v>90876</v>
      </c>
      <c r="B1548">
        <v>116</v>
      </c>
      <c r="C1548" s="453">
        <v>46174</v>
      </c>
      <c r="D1548" t="s">
        <v>568</v>
      </c>
      <c r="E1548">
        <v>20456</v>
      </c>
      <c r="F1548" t="s">
        <v>4000</v>
      </c>
      <c r="G1548">
        <v>0.6</v>
      </c>
      <c r="H1548" t="s">
        <v>3892</v>
      </c>
      <c r="I1548" t="s">
        <v>466</v>
      </c>
    </row>
    <row r="1549" spans="1:9" x14ac:dyDescent="0.3">
      <c r="A1549">
        <v>90877</v>
      </c>
      <c r="B1549">
        <v>116</v>
      </c>
      <c r="C1549" s="453">
        <v>46174</v>
      </c>
      <c r="D1549" t="s">
        <v>568</v>
      </c>
      <c r="E1549">
        <v>17066</v>
      </c>
      <c r="F1549" t="s">
        <v>4155</v>
      </c>
      <c r="G1549">
        <v>1</v>
      </c>
      <c r="H1549" t="s">
        <v>3892</v>
      </c>
      <c r="I1549" t="s">
        <v>466</v>
      </c>
    </row>
    <row r="1550" spans="1:9" x14ac:dyDescent="0.3">
      <c r="A1550">
        <v>90878</v>
      </c>
      <c r="B1550">
        <v>116</v>
      </c>
      <c r="C1550" s="453">
        <v>46174</v>
      </c>
      <c r="D1550" t="s">
        <v>568</v>
      </c>
      <c r="E1550">
        <v>20500</v>
      </c>
      <c r="F1550" t="s">
        <v>3954</v>
      </c>
      <c r="G1550">
        <v>1</v>
      </c>
      <c r="H1550" t="s">
        <v>3872</v>
      </c>
      <c r="I1550" t="s">
        <v>466</v>
      </c>
    </row>
    <row r="1551" spans="1:9" x14ac:dyDescent="0.3">
      <c r="A1551">
        <v>90879</v>
      </c>
      <c r="B1551">
        <v>116</v>
      </c>
      <c r="C1551" s="453">
        <v>46174</v>
      </c>
      <c r="D1551" t="s">
        <v>568</v>
      </c>
      <c r="E1551">
        <v>19652</v>
      </c>
      <c r="F1551" t="s">
        <v>4014</v>
      </c>
      <c r="G1551">
        <v>1</v>
      </c>
      <c r="H1551" t="s">
        <v>3892</v>
      </c>
      <c r="I1551" t="s">
        <v>466</v>
      </c>
    </row>
    <row r="1552" spans="1:9" x14ac:dyDescent="0.3">
      <c r="A1552">
        <v>90880</v>
      </c>
      <c r="B1552">
        <v>116</v>
      </c>
      <c r="C1552" s="453">
        <v>46174</v>
      </c>
      <c r="D1552" t="s">
        <v>568</v>
      </c>
      <c r="E1552">
        <v>25769</v>
      </c>
      <c r="F1552" t="s">
        <v>4013</v>
      </c>
      <c r="G1552">
        <v>1.5</v>
      </c>
      <c r="H1552" t="s">
        <v>3892</v>
      </c>
      <c r="I1552" t="s">
        <v>466</v>
      </c>
    </row>
    <row r="1553" spans="1:9" x14ac:dyDescent="0.3">
      <c r="A1553">
        <v>90881</v>
      </c>
      <c r="B1553">
        <v>116</v>
      </c>
      <c r="C1553" s="453">
        <v>46174</v>
      </c>
      <c r="D1553" t="s">
        <v>568</v>
      </c>
      <c r="E1553">
        <v>19494</v>
      </c>
      <c r="F1553" t="s">
        <v>4126</v>
      </c>
      <c r="G1553">
        <v>1.5</v>
      </c>
      <c r="H1553" t="s">
        <v>3892</v>
      </c>
      <c r="I1553" t="s">
        <v>466</v>
      </c>
    </row>
    <row r="1554" spans="1:9" x14ac:dyDescent="0.3">
      <c r="A1554">
        <v>90882</v>
      </c>
      <c r="B1554">
        <v>116</v>
      </c>
      <c r="C1554" s="453">
        <v>46174</v>
      </c>
      <c r="D1554" t="s">
        <v>568</v>
      </c>
      <c r="E1554">
        <v>23186</v>
      </c>
      <c r="F1554" t="s">
        <v>3988</v>
      </c>
      <c r="G1554">
        <v>3.3</v>
      </c>
      <c r="H1554" t="s">
        <v>3892</v>
      </c>
      <c r="I1554" t="s">
        <v>466</v>
      </c>
    </row>
    <row r="1555" spans="1:9" x14ac:dyDescent="0.3">
      <c r="A1555">
        <v>90883</v>
      </c>
      <c r="B1555">
        <v>116</v>
      </c>
      <c r="C1555" s="453">
        <v>46174</v>
      </c>
      <c r="D1555" t="s">
        <v>568</v>
      </c>
      <c r="E1555">
        <v>23195</v>
      </c>
      <c r="F1555" t="s">
        <v>4184</v>
      </c>
      <c r="G1555">
        <v>1</v>
      </c>
      <c r="H1555" t="s">
        <v>3892</v>
      </c>
      <c r="I1555" t="s">
        <v>466</v>
      </c>
    </row>
    <row r="1556" spans="1:9" x14ac:dyDescent="0.3">
      <c r="A1556">
        <v>90884</v>
      </c>
      <c r="B1556">
        <v>116</v>
      </c>
      <c r="C1556" s="453">
        <v>46174</v>
      </c>
      <c r="D1556" t="s">
        <v>568</v>
      </c>
      <c r="E1556">
        <v>24403</v>
      </c>
      <c r="F1556" t="s">
        <v>3992</v>
      </c>
      <c r="G1556">
        <v>1.3</v>
      </c>
      <c r="H1556" t="s">
        <v>3892</v>
      </c>
      <c r="I1556" t="s">
        <v>466</v>
      </c>
    </row>
    <row r="1557" spans="1:9" x14ac:dyDescent="0.3">
      <c r="A1557">
        <v>90885</v>
      </c>
      <c r="B1557">
        <v>116</v>
      </c>
      <c r="C1557" s="453">
        <v>46174</v>
      </c>
      <c r="D1557" t="s">
        <v>568</v>
      </c>
      <c r="E1557">
        <v>19647</v>
      </c>
      <c r="F1557" t="s">
        <v>4066</v>
      </c>
      <c r="G1557">
        <v>1.2</v>
      </c>
      <c r="H1557" t="s">
        <v>3892</v>
      </c>
      <c r="I1557" t="s">
        <v>466</v>
      </c>
    </row>
    <row r="1558" spans="1:9" x14ac:dyDescent="0.3">
      <c r="A1558">
        <v>90886</v>
      </c>
      <c r="B1558">
        <v>116</v>
      </c>
      <c r="C1558" s="453">
        <v>46174</v>
      </c>
      <c r="D1558" t="s">
        <v>568</v>
      </c>
      <c r="E1558">
        <v>23096</v>
      </c>
      <c r="F1558" t="s">
        <v>3876</v>
      </c>
      <c r="G1558">
        <v>20</v>
      </c>
      <c r="H1558" t="s">
        <v>3872</v>
      </c>
      <c r="I1558" t="s">
        <v>466</v>
      </c>
    </row>
    <row r="1559" spans="1:9" x14ac:dyDescent="0.3">
      <c r="A1559">
        <v>90887</v>
      </c>
      <c r="B1559">
        <v>116</v>
      </c>
      <c r="C1559" s="453">
        <v>46174</v>
      </c>
      <c r="D1559" t="s">
        <v>568</v>
      </c>
      <c r="E1559">
        <v>24385</v>
      </c>
      <c r="F1559" t="s">
        <v>4182</v>
      </c>
      <c r="G1559">
        <v>1</v>
      </c>
      <c r="H1559" t="s">
        <v>3892</v>
      </c>
      <c r="I1559" t="s">
        <v>466</v>
      </c>
    </row>
    <row r="1560" spans="1:9" x14ac:dyDescent="0.3">
      <c r="A1560">
        <v>90888</v>
      </c>
      <c r="B1560">
        <v>116</v>
      </c>
      <c r="C1560" s="453">
        <v>46174</v>
      </c>
      <c r="D1560" t="s">
        <v>568</v>
      </c>
      <c r="E1560">
        <v>19498</v>
      </c>
      <c r="F1560" t="s">
        <v>4065</v>
      </c>
      <c r="G1560">
        <v>1</v>
      </c>
      <c r="H1560" t="s">
        <v>3892</v>
      </c>
      <c r="I1560" t="s">
        <v>466</v>
      </c>
    </row>
    <row r="1561" spans="1:9" x14ac:dyDescent="0.3">
      <c r="A1561">
        <v>90889</v>
      </c>
      <c r="B1561">
        <v>116</v>
      </c>
      <c r="C1561" s="453">
        <v>46174</v>
      </c>
      <c r="D1561" t="s">
        <v>568</v>
      </c>
      <c r="E1561">
        <v>23120</v>
      </c>
      <c r="F1561" t="s">
        <v>4111</v>
      </c>
      <c r="G1561">
        <v>0.2</v>
      </c>
      <c r="H1561" t="s">
        <v>3892</v>
      </c>
      <c r="I1561" t="s">
        <v>466</v>
      </c>
    </row>
    <row r="1562" spans="1:9" x14ac:dyDescent="0.3">
      <c r="A1562">
        <v>90890</v>
      </c>
      <c r="B1562">
        <v>116</v>
      </c>
      <c r="C1562" s="453">
        <v>46174</v>
      </c>
      <c r="D1562" t="s">
        <v>568</v>
      </c>
      <c r="E1562">
        <v>19672</v>
      </c>
      <c r="F1562" t="s">
        <v>4024</v>
      </c>
      <c r="G1562">
        <v>1</v>
      </c>
      <c r="H1562" t="s">
        <v>3892</v>
      </c>
      <c r="I1562" t="s">
        <v>466</v>
      </c>
    </row>
    <row r="1563" spans="1:9" x14ac:dyDescent="0.3">
      <c r="A1563">
        <v>90891</v>
      </c>
      <c r="B1563">
        <v>116</v>
      </c>
      <c r="C1563" s="453">
        <v>46174</v>
      </c>
      <c r="D1563" t="s">
        <v>568</v>
      </c>
      <c r="E1563">
        <v>24484</v>
      </c>
      <c r="F1563" t="s">
        <v>4154</v>
      </c>
      <c r="G1563">
        <v>1</v>
      </c>
      <c r="H1563" t="s">
        <v>3892</v>
      </c>
      <c r="I1563" t="s">
        <v>466</v>
      </c>
    </row>
    <row r="1564" spans="1:9" x14ac:dyDescent="0.3">
      <c r="A1564">
        <v>90892</v>
      </c>
      <c r="B1564">
        <v>116</v>
      </c>
      <c r="C1564" s="453">
        <v>46174</v>
      </c>
      <c r="D1564" t="s">
        <v>568</v>
      </c>
      <c r="E1564">
        <v>19506</v>
      </c>
      <c r="F1564" t="s">
        <v>4112</v>
      </c>
      <c r="G1564">
        <v>0.2</v>
      </c>
      <c r="H1564" t="s">
        <v>3892</v>
      </c>
      <c r="I1564" t="s">
        <v>466</v>
      </c>
    </row>
    <row r="1565" spans="1:9" x14ac:dyDescent="0.3">
      <c r="A1565">
        <v>90893</v>
      </c>
      <c r="B1565">
        <v>116</v>
      </c>
      <c r="C1565" s="453">
        <v>46174</v>
      </c>
      <c r="D1565" t="s">
        <v>568</v>
      </c>
      <c r="E1565">
        <v>19621</v>
      </c>
      <c r="F1565" t="s">
        <v>4125</v>
      </c>
      <c r="G1565">
        <v>1.7</v>
      </c>
      <c r="H1565" t="s">
        <v>3892</v>
      </c>
      <c r="I1565" t="s">
        <v>466</v>
      </c>
    </row>
    <row r="1566" spans="1:9" x14ac:dyDescent="0.3">
      <c r="A1566">
        <v>90894</v>
      </c>
      <c r="B1566">
        <v>116</v>
      </c>
      <c r="C1566" s="453">
        <v>46174</v>
      </c>
      <c r="D1566" t="s">
        <v>568</v>
      </c>
      <c r="E1566">
        <v>23852</v>
      </c>
      <c r="F1566" t="s">
        <v>4061</v>
      </c>
      <c r="G1566">
        <v>1</v>
      </c>
      <c r="H1566" t="s">
        <v>3892</v>
      </c>
      <c r="I1566" t="s">
        <v>466</v>
      </c>
    </row>
    <row r="1567" spans="1:9" x14ac:dyDescent="0.3">
      <c r="A1567">
        <v>90895</v>
      </c>
      <c r="B1567">
        <v>116</v>
      </c>
      <c r="C1567" s="453">
        <v>46174</v>
      </c>
      <c r="D1567" t="s">
        <v>568</v>
      </c>
      <c r="E1567">
        <v>24509</v>
      </c>
      <c r="F1567" t="s">
        <v>3906</v>
      </c>
      <c r="G1567">
        <v>3</v>
      </c>
      <c r="H1567" t="s">
        <v>3892</v>
      </c>
      <c r="I1567" t="s">
        <v>466</v>
      </c>
    </row>
    <row r="1568" spans="1:9" x14ac:dyDescent="0.3">
      <c r="A1568">
        <v>90896</v>
      </c>
      <c r="B1568">
        <v>116</v>
      </c>
      <c r="C1568" s="453">
        <v>46174</v>
      </c>
      <c r="D1568" t="s">
        <v>568</v>
      </c>
      <c r="E1568">
        <v>19555</v>
      </c>
      <c r="F1568" t="s">
        <v>4109</v>
      </c>
      <c r="G1568">
        <v>0.5</v>
      </c>
      <c r="H1568" t="s">
        <v>3892</v>
      </c>
      <c r="I1568" t="s">
        <v>466</v>
      </c>
    </row>
    <row r="1569" spans="1:9" x14ac:dyDescent="0.3">
      <c r="A1569">
        <v>90897</v>
      </c>
      <c r="B1569">
        <v>116</v>
      </c>
      <c r="C1569" s="453">
        <v>46174</v>
      </c>
      <c r="D1569" t="s">
        <v>568</v>
      </c>
      <c r="E1569">
        <v>19607</v>
      </c>
      <c r="F1569" t="s">
        <v>4105</v>
      </c>
      <c r="G1569">
        <v>1</v>
      </c>
      <c r="H1569" t="s">
        <v>3892</v>
      </c>
      <c r="I1569" t="s">
        <v>466</v>
      </c>
    </row>
    <row r="1570" spans="1:9" x14ac:dyDescent="0.3">
      <c r="A1570">
        <v>90898</v>
      </c>
      <c r="B1570">
        <v>116</v>
      </c>
      <c r="C1570" s="453">
        <v>46174</v>
      </c>
      <c r="D1570" t="s">
        <v>568</v>
      </c>
      <c r="E1570">
        <v>19751</v>
      </c>
      <c r="F1570" t="s">
        <v>4019</v>
      </c>
      <c r="G1570">
        <v>1</v>
      </c>
      <c r="H1570" t="s">
        <v>3892</v>
      </c>
      <c r="I1570" t="s">
        <v>466</v>
      </c>
    </row>
    <row r="1571" spans="1:9" x14ac:dyDescent="0.3">
      <c r="A1571">
        <v>90899</v>
      </c>
      <c r="B1571">
        <v>116</v>
      </c>
      <c r="C1571" s="453">
        <v>46174</v>
      </c>
      <c r="D1571" t="s">
        <v>568</v>
      </c>
      <c r="E1571">
        <v>19589</v>
      </c>
      <c r="F1571" t="s">
        <v>4153</v>
      </c>
      <c r="G1571">
        <v>1.6</v>
      </c>
      <c r="H1571" t="s">
        <v>3892</v>
      </c>
      <c r="I1571" t="s">
        <v>466</v>
      </c>
    </row>
    <row r="1572" spans="1:9" x14ac:dyDescent="0.3">
      <c r="A1572">
        <v>90900</v>
      </c>
      <c r="B1572">
        <v>116</v>
      </c>
      <c r="C1572" s="453">
        <v>46174</v>
      </c>
      <c r="D1572" t="s">
        <v>568</v>
      </c>
      <c r="E1572">
        <v>19642</v>
      </c>
      <c r="F1572" t="s">
        <v>4067</v>
      </c>
      <c r="G1572">
        <v>1.6</v>
      </c>
      <c r="H1572" t="s">
        <v>3892</v>
      </c>
      <c r="I1572" t="s">
        <v>466</v>
      </c>
    </row>
    <row r="1573" spans="1:9" x14ac:dyDescent="0.3">
      <c r="A1573">
        <v>90901</v>
      </c>
      <c r="B1573">
        <v>116</v>
      </c>
      <c r="C1573" s="453">
        <v>46174</v>
      </c>
      <c r="D1573" t="s">
        <v>568</v>
      </c>
      <c r="E1573">
        <v>19742</v>
      </c>
      <c r="F1573" t="s">
        <v>4074</v>
      </c>
      <c r="G1573">
        <v>1</v>
      </c>
      <c r="H1573" t="s">
        <v>3892</v>
      </c>
      <c r="I1573" t="s">
        <v>466</v>
      </c>
    </row>
    <row r="1574" spans="1:9" x14ac:dyDescent="0.3">
      <c r="A1574">
        <v>90902</v>
      </c>
      <c r="B1574">
        <v>116</v>
      </c>
      <c r="C1574" s="453">
        <v>46174</v>
      </c>
      <c r="D1574" t="s">
        <v>568</v>
      </c>
      <c r="E1574">
        <v>19623</v>
      </c>
      <c r="F1574" t="s">
        <v>3984</v>
      </c>
      <c r="G1574">
        <v>2</v>
      </c>
      <c r="H1574" t="s">
        <v>3892</v>
      </c>
      <c r="I1574" t="s">
        <v>466</v>
      </c>
    </row>
    <row r="1575" spans="1:9" x14ac:dyDescent="0.3">
      <c r="A1575">
        <v>90903</v>
      </c>
      <c r="B1575">
        <v>116</v>
      </c>
      <c r="C1575" s="453">
        <v>46174</v>
      </c>
      <c r="D1575" t="s">
        <v>568</v>
      </c>
      <c r="E1575">
        <v>21126</v>
      </c>
      <c r="F1575" t="s">
        <v>4004</v>
      </c>
      <c r="G1575">
        <v>1</v>
      </c>
      <c r="H1575" t="s">
        <v>3888</v>
      </c>
      <c r="I1575" t="s">
        <v>466</v>
      </c>
    </row>
    <row r="1576" spans="1:9" x14ac:dyDescent="0.3">
      <c r="A1576">
        <v>90904</v>
      </c>
      <c r="B1576">
        <v>116</v>
      </c>
      <c r="C1576" s="453">
        <v>46174</v>
      </c>
      <c r="D1576" t="s">
        <v>568</v>
      </c>
      <c r="E1576">
        <v>23502</v>
      </c>
      <c r="F1576" t="s">
        <v>4174</v>
      </c>
      <c r="G1576">
        <v>0.5</v>
      </c>
      <c r="H1576" t="s">
        <v>3872</v>
      </c>
      <c r="I1576" t="s">
        <v>466</v>
      </c>
    </row>
    <row r="1577" spans="1:9" x14ac:dyDescent="0.3">
      <c r="A1577">
        <v>90905</v>
      </c>
      <c r="B1577">
        <v>116</v>
      </c>
      <c r="C1577" s="453">
        <v>46174</v>
      </c>
      <c r="D1577" t="s">
        <v>568</v>
      </c>
      <c r="E1577">
        <v>24400</v>
      </c>
      <c r="F1577" t="s">
        <v>4149</v>
      </c>
      <c r="G1577">
        <v>0.5</v>
      </c>
      <c r="H1577" t="s">
        <v>3872</v>
      </c>
      <c r="I1577" t="s">
        <v>466</v>
      </c>
    </row>
    <row r="1578" spans="1:9" x14ac:dyDescent="0.3">
      <c r="A1578">
        <v>90906</v>
      </c>
      <c r="B1578">
        <v>116</v>
      </c>
      <c r="C1578" s="453">
        <v>46174</v>
      </c>
      <c r="D1578" t="s">
        <v>568</v>
      </c>
      <c r="E1578">
        <v>20685</v>
      </c>
      <c r="F1578" t="s">
        <v>4122</v>
      </c>
      <c r="G1578">
        <v>2</v>
      </c>
      <c r="H1578" t="s">
        <v>3872</v>
      </c>
      <c r="I1578" t="s">
        <v>466</v>
      </c>
    </row>
    <row r="1579" spans="1:9" x14ac:dyDescent="0.3">
      <c r="A1579">
        <v>90907</v>
      </c>
      <c r="B1579">
        <v>116</v>
      </c>
      <c r="C1579" s="453">
        <v>46174</v>
      </c>
      <c r="D1579" t="s">
        <v>568</v>
      </c>
      <c r="E1579">
        <v>23142</v>
      </c>
      <c r="F1579" t="s">
        <v>4151</v>
      </c>
      <c r="G1579">
        <v>0.3</v>
      </c>
      <c r="H1579" t="s">
        <v>3892</v>
      </c>
      <c r="I1579" t="s">
        <v>466</v>
      </c>
    </row>
    <row r="1580" spans="1:9" x14ac:dyDescent="0.3">
      <c r="A1580">
        <v>90908</v>
      </c>
      <c r="B1580">
        <v>116</v>
      </c>
      <c r="C1580" s="453">
        <v>46174</v>
      </c>
      <c r="D1580" t="s">
        <v>568</v>
      </c>
      <c r="E1580">
        <v>23113</v>
      </c>
      <c r="F1580" t="s">
        <v>4079</v>
      </c>
      <c r="G1580">
        <v>0.5</v>
      </c>
      <c r="H1580" t="s">
        <v>3892</v>
      </c>
      <c r="I1580" t="s">
        <v>466</v>
      </c>
    </row>
    <row r="1581" spans="1:9" x14ac:dyDescent="0.3">
      <c r="A1581">
        <v>90909</v>
      </c>
      <c r="B1581">
        <v>116</v>
      </c>
      <c r="C1581" s="453">
        <v>46174</v>
      </c>
      <c r="D1581" t="s">
        <v>568</v>
      </c>
      <c r="E1581">
        <v>19553</v>
      </c>
      <c r="F1581" t="s">
        <v>4078</v>
      </c>
      <c r="G1581">
        <v>1</v>
      </c>
      <c r="H1581" t="s">
        <v>3892</v>
      </c>
      <c r="I1581" t="s">
        <v>466</v>
      </c>
    </row>
    <row r="1582" spans="1:9" x14ac:dyDescent="0.3">
      <c r="A1582">
        <v>90910</v>
      </c>
      <c r="B1582">
        <v>116</v>
      </c>
      <c r="C1582" s="453">
        <v>46174</v>
      </c>
      <c r="D1582" t="s">
        <v>568</v>
      </c>
      <c r="E1582">
        <v>19465</v>
      </c>
      <c r="F1582" t="s">
        <v>4080</v>
      </c>
      <c r="G1582">
        <v>1</v>
      </c>
      <c r="H1582" t="s">
        <v>3892</v>
      </c>
      <c r="I1582" t="s">
        <v>466</v>
      </c>
    </row>
    <row r="1583" spans="1:9" x14ac:dyDescent="0.3">
      <c r="A1583">
        <v>90911</v>
      </c>
      <c r="B1583">
        <v>116</v>
      </c>
      <c r="C1583" s="453">
        <v>46174</v>
      </c>
      <c r="D1583" t="s">
        <v>568</v>
      </c>
      <c r="E1583">
        <v>19505</v>
      </c>
      <c r="F1583" t="s">
        <v>4101</v>
      </c>
      <c r="G1583">
        <v>0.5</v>
      </c>
      <c r="H1583" t="s">
        <v>3892</v>
      </c>
      <c r="I1583" t="s">
        <v>466</v>
      </c>
    </row>
    <row r="1584" spans="1:9" x14ac:dyDescent="0.3">
      <c r="A1584">
        <v>90912</v>
      </c>
      <c r="B1584">
        <v>116</v>
      </c>
      <c r="C1584" s="453">
        <v>46174</v>
      </c>
      <c r="D1584" t="s">
        <v>568</v>
      </c>
      <c r="E1584">
        <v>23359</v>
      </c>
      <c r="F1584" t="s">
        <v>3932</v>
      </c>
      <c r="G1584">
        <v>2</v>
      </c>
      <c r="H1584" t="s">
        <v>3892</v>
      </c>
      <c r="I1584" t="s">
        <v>466</v>
      </c>
    </row>
    <row r="1585" spans="1:9" x14ac:dyDescent="0.3">
      <c r="A1585">
        <v>90913</v>
      </c>
      <c r="B1585">
        <v>116</v>
      </c>
      <c r="C1585" s="453">
        <v>46174</v>
      </c>
      <c r="D1585" t="s">
        <v>568</v>
      </c>
      <c r="E1585">
        <v>23622</v>
      </c>
      <c r="F1585" t="s">
        <v>4150</v>
      </c>
      <c r="G1585">
        <v>0.2</v>
      </c>
      <c r="H1585" t="s">
        <v>3892</v>
      </c>
      <c r="I1585" t="s">
        <v>466</v>
      </c>
    </row>
    <row r="1586" spans="1:9" x14ac:dyDescent="0.3">
      <c r="A1586">
        <v>90914</v>
      </c>
      <c r="B1586">
        <v>116</v>
      </c>
      <c r="C1586" s="453">
        <v>46174</v>
      </c>
      <c r="D1586" t="s">
        <v>568</v>
      </c>
      <c r="E1586">
        <v>19689</v>
      </c>
      <c r="F1586" t="s">
        <v>4073</v>
      </c>
      <c r="G1586">
        <v>0.5</v>
      </c>
      <c r="H1586" t="s">
        <v>3892</v>
      </c>
      <c r="I1586" t="s">
        <v>466</v>
      </c>
    </row>
    <row r="1587" spans="1:9" x14ac:dyDescent="0.3">
      <c r="A1587">
        <v>90915</v>
      </c>
      <c r="B1587">
        <v>116</v>
      </c>
      <c r="C1587" s="453">
        <v>46174</v>
      </c>
      <c r="D1587" t="s">
        <v>568</v>
      </c>
      <c r="E1587">
        <v>24602</v>
      </c>
      <c r="F1587" t="s">
        <v>4186</v>
      </c>
      <c r="G1587">
        <v>46</v>
      </c>
      <c r="H1587" t="s">
        <v>3872</v>
      </c>
      <c r="I1587" t="s">
        <v>466</v>
      </c>
    </row>
    <row r="1588" spans="1:9" x14ac:dyDescent="0.3">
      <c r="A1588">
        <v>90916</v>
      </c>
      <c r="B1588">
        <v>116</v>
      </c>
      <c r="C1588" s="453">
        <v>46174</v>
      </c>
      <c r="D1588" t="s">
        <v>568</v>
      </c>
      <c r="E1588">
        <v>20549</v>
      </c>
      <c r="F1588" t="s">
        <v>4007</v>
      </c>
      <c r="G1588">
        <v>6</v>
      </c>
      <c r="H1588" t="s">
        <v>3892</v>
      </c>
      <c r="I1588" t="s">
        <v>466</v>
      </c>
    </row>
    <row r="1589" spans="1:9" x14ac:dyDescent="0.3">
      <c r="A1589">
        <v>90917</v>
      </c>
      <c r="B1589">
        <v>116</v>
      </c>
      <c r="C1589" s="453">
        <v>46174</v>
      </c>
      <c r="D1589" t="s">
        <v>568</v>
      </c>
      <c r="E1589">
        <v>20057</v>
      </c>
      <c r="F1589" t="s">
        <v>3967</v>
      </c>
      <c r="G1589">
        <v>1.5</v>
      </c>
      <c r="H1589" t="s">
        <v>3872</v>
      </c>
      <c r="I1589" t="s">
        <v>466</v>
      </c>
    </row>
    <row r="1590" spans="1:9" x14ac:dyDescent="0.3">
      <c r="A1590">
        <v>90918</v>
      </c>
      <c r="B1590">
        <v>116</v>
      </c>
      <c r="C1590" s="453">
        <v>46174</v>
      </c>
      <c r="D1590" t="s">
        <v>568</v>
      </c>
      <c r="E1590">
        <v>20621</v>
      </c>
      <c r="F1590" t="s">
        <v>3885</v>
      </c>
      <c r="G1590">
        <v>4</v>
      </c>
      <c r="H1590" t="s">
        <v>3886</v>
      </c>
      <c r="I1590" t="s">
        <v>466</v>
      </c>
    </row>
    <row r="1591" spans="1:9" x14ac:dyDescent="0.3">
      <c r="A1591">
        <v>90919</v>
      </c>
      <c r="B1591">
        <v>116</v>
      </c>
      <c r="C1591" s="453">
        <v>46174</v>
      </c>
      <c r="D1591" t="s">
        <v>568</v>
      </c>
      <c r="E1591">
        <v>23389</v>
      </c>
      <c r="F1591" t="s">
        <v>4016</v>
      </c>
      <c r="G1591">
        <v>2</v>
      </c>
      <c r="H1591" t="s">
        <v>3892</v>
      </c>
      <c r="I1591" t="s">
        <v>466</v>
      </c>
    </row>
    <row r="1592" spans="1:9" x14ac:dyDescent="0.3">
      <c r="A1592">
        <v>90920</v>
      </c>
      <c r="B1592">
        <v>116</v>
      </c>
      <c r="C1592" s="453">
        <v>46174</v>
      </c>
      <c r="D1592" t="s">
        <v>568</v>
      </c>
      <c r="E1592">
        <v>19773</v>
      </c>
      <c r="F1592" t="s">
        <v>4168</v>
      </c>
      <c r="G1592">
        <v>1</v>
      </c>
      <c r="H1592" t="s">
        <v>3892</v>
      </c>
      <c r="I1592" t="s">
        <v>466</v>
      </c>
    </row>
    <row r="1593" spans="1:9" x14ac:dyDescent="0.3">
      <c r="A1593">
        <v>90921</v>
      </c>
      <c r="B1593">
        <v>116</v>
      </c>
      <c r="C1593" s="453">
        <v>46174</v>
      </c>
      <c r="D1593" t="s">
        <v>568</v>
      </c>
      <c r="E1593">
        <v>19617</v>
      </c>
      <c r="F1593" t="s">
        <v>4110</v>
      </c>
      <c r="G1593">
        <v>0.5</v>
      </c>
      <c r="H1593" t="s">
        <v>3892</v>
      </c>
      <c r="I1593" t="s">
        <v>466</v>
      </c>
    </row>
    <row r="1594" spans="1:9" x14ac:dyDescent="0.3">
      <c r="A1594">
        <v>90922</v>
      </c>
      <c r="B1594">
        <v>116</v>
      </c>
      <c r="C1594" s="453">
        <v>46174</v>
      </c>
      <c r="D1594" t="s">
        <v>568</v>
      </c>
      <c r="E1594">
        <v>24598</v>
      </c>
      <c r="F1594" t="s">
        <v>4166</v>
      </c>
      <c r="G1594">
        <v>1</v>
      </c>
      <c r="H1594" t="s">
        <v>3892</v>
      </c>
      <c r="I1594" t="s">
        <v>466</v>
      </c>
    </row>
    <row r="1595" spans="1:9" x14ac:dyDescent="0.3">
      <c r="A1595">
        <v>90923</v>
      </c>
      <c r="B1595">
        <v>116</v>
      </c>
      <c r="C1595" s="453">
        <v>46174</v>
      </c>
      <c r="D1595" t="s">
        <v>568</v>
      </c>
      <c r="E1595">
        <v>19763</v>
      </c>
      <c r="F1595" t="s">
        <v>4187</v>
      </c>
      <c r="G1595">
        <v>0.5</v>
      </c>
      <c r="H1595" t="s">
        <v>3892</v>
      </c>
      <c r="I1595" t="s">
        <v>466</v>
      </c>
    </row>
    <row r="1596" spans="1:9" x14ac:dyDescent="0.3">
      <c r="A1596">
        <v>90924</v>
      </c>
      <c r="B1596">
        <v>116</v>
      </c>
      <c r="C1596" s="453">
        <v>46174</v>
      </c>
      <c r="D1596" t="s">
        <v>568</v>
      </c>
      <c r="E1596">
        <v>24116</v>
      </c>
      <c r="F1596" t="s">
        <v>3963</v>
      </c>
      <c r="G1596">
        <v>3.3</v>
      </c>
      <c r="H1596" t="s">
        <v>3892</v>
      </c>
      <c r="I1596" t="s">
        <v>466</v>
      </c>
    </row>
    <row r="1597" spans="1:9" x14ac:dyDescent="0.3">
      <c r="A1597">
        <v>90925</v>
      </c>
      <c r="B1597">
        <v>116</v>
      </c>
      <c r="C1597" s="453">
        <v>46174</v>
      </c>
      <c r="D1597" t="s">
        <v>568</v>
      </c>
      <c r="E1597">
        <v>28760</v>
      </c>
      <c r="F1597" t="s">
        <v>4188</v>
      </c>
      <c r="G1597">
        <v>13.6</v>
      </c>
      <c r="H1597" t="s">
        <v>3892</v>
      </c>
      <c r="I1597" t="s">
        <v>466</v>
      </c>
    </row>
    <row r="1598" spans="1:9" x14ac:dyDescent="0.3">
      <c r="A1598">
        <v>90926</v>
      </c>
      <c r="B1598">
        <v>116</v>
      </c>
      <c r="C1598" s="453">
        <v>46174</v>
      </c>
      <c r="D1598" t="s">
        <v>568</v>
      </c>
      <c r="E1598">
        <v>24388</v>
      </c>
      <c r="F1598" t="s">
        <v>3915</v>
      </c>
      <c r="G1598">
        <v>8.6</v>
      </c>
      <c r="H1598" t="s">
        <v>3892</v>
      </c>
      <c r="I1598" t="s">
        <v>466</v>
      </c>
    </row>
    <row r="1599" spans="1:9" x14ac:dyDescent="0.3">
      <c r="A1599">
        <v>90927</v>
      </c>
      <c r="B1599">
        <v>116</v>
      </c>
      <c r="C1599" s="453">
        <v>46174</v>
      </c>
      <c r="D1599" t="s">
        <v>568</v>
      </c>
      <c r="E1599">
        <v>27313</v>
      </c>
      <c r="F1599" t="s">
        <v>4131</v>
      </c>
      <c r="G1599">
        <v>13.8</v>
      </c>
      <c r="H1599" t="s">
        <v>3892</v>
      </c>
      <c r="I1599" t="s">
        <v>466</v>
      </c>
    </row>
    <row r="1600" spans="1:9" x14ac:dyDescent="0.3">
      <c r="A1600">
        <v>90928</v>
      </c>
      <c r="B1600">
        <v>116</v>
      </c>
      <c r="C1600" s="453">
        <v>46174</v>
      </c>
      <c r="D1600" t="s">
        <v>568</v>
      </c>
      <c r="E1600">
        <v>27210</v>
      </c>
      <c r="F1600" t="s">
        <v>4189</v>
      </c>
      <c r="G1600">
        <v>24</v>
      </c>
      <c r="H1600" t="s">
        <v>3878</v>
      </c>
      <c r="I1600" t="s">
        <v>466</v>
      </c>
    </row>
    <row r="1601" spans="1:9" x14ac:dyDescent="0.3">
      <c r="A1601">
        <v>90929</v>
      </c>
      <c r="B1601">
        <v>116</v>
      </c>
      <c r="C1601" s="453">
        <v>46174</v>
      </c>
      <c r="D1601" t="s">
        <v>568</v>
      </c>
      <c r="E1601">
        <v>17955</v>
      </c>
      <c r="F1601" t="s">
        <v>4190</v>
      </c>
      <c r="G1601">
        <v>2</v>
      </c>
      <c r="H1601" t="s">
        <v>3872</v>
      </c>
      <c r="I1601" t="s">
        <v>466</v>
      </c>
    </row>
    <row r="1602" spans="1:9" x14ac:dyDescent="0.3">
      <c r="A1602">
        <v>90930</v>
      </c>
      <c r="B1602">
        <v>116</v>
      </c>
      <c r="C1602" s="453">
        <v>46174</v>
      </c>
      <c r="D1602" t="s">
        <v>568</v>
      </c>
      <c r="E1602">
        <v>17918</v>
      </c>
      <c r="F1602" t="s">
        <v>4034</v>
      </c>
      <c r="G1602">
        <v>3</v>
      </c>
      <c r="H1602" t="s">
        <v>3888</v>
      </c>
      <c r="I1602" t="s">
        <v>466</v>
      </c>
    </row>
    <row r="1603" spans="1:9" x14ac:dyDescent="0.3">
      <c r="A1603">
        <v>90931</v>
      </c>
      <c r="B1603">
        <v>116</v>
      </c>
      <c r="C1603" s="453">
        <v>46174</v>
      </c>
      <c r="D1603" t="s">
        <v>568</v>
      </c>
      <c r="E1603">
        <v>17916</v>
      </c>
      <c r="F1603" t="s">
        <v>4191</v>
      </c>
      <c r="G1603">
        <v>3</v>
      </c>
      <c r="H1603" t="s">
        <v>3888</v>
      </c>
      <c r="I1603" t="s">
        <v>466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408"/>
  <sheetViews>
    <sheetView workbookViewId="0"/>
  </sheetViews>
  <sheetFormatPr defaultRowHeight="14.4" x14ac:dyDescent="0.3"/>
  <sheetData>
    <row r="1" spans="1:15" x14ac:dyDescent="0.3">
      <c r="A1" t="s">
        <v>550</v>
      </c>
      <c r="B1" t="s">
        <v>2248</v>
      </c>
      <c r="C1" t="s">
        <v>2249</v>
      </c>
      <c r="D1" t="s">
        <v>552</v>
      </c>
      <c r="E1" t="s">
        <v>553</v>
      </c>
      <c r="F1" t="s">
        <v>554</v>
      </c>
      <c r="G1" t="s">
        <v>4192</v>
      </c>
      <c r="H1" t="s">
        <v>4193</v>
      </c>
      <c r="I1" t="s">
        <v>4194</v>
      </c>
      <c r="J1" t="s">
        <v>3869</v>
      </c>
      <c r="K1" t="s">
        <v>3870</v>
      </c>
      <c r="L1" t="s">
        <v>4195</v>
      </c>
      <c r="M1" t="s">
        <v>4196</v>
      </c>
      <c r="N1" t="s">
        <v>558</v>
      </c>
      <c r="O1" t="s">
        <v>566</v>
      </c>
    </row>
    <row r="2" spans="1:15" x14ac:dyDescent="0.3">
      <c r="A2">
        <v>242816</v>
      </c>
      <c r="B2">
        <v>116</v>
      </c>
      <c r="C2" t="s">
        <v>568</v>
      </c>
      <c r="D2" t="s">
        <v>2258</v>
      </c>
      <c r="E2" t="s">
        <v>2259</v>
      </c>
      <c r="F2" s="452">
        <v>46206</v>
      </c>
      <c r="G2">
        <v>17006</v>
      </c>
      <c r="H2" t="s">
        <v>4128</v>
      </c>
      <c r="I2" t="s">
        <v>3469</v>
      </c>
      <c r="J2">
        <v>13.77</v>
      </c>
      <c r="K2" t="s">
        <v>3892</v>
      </c>
      <c r="L2">
        <v>179.01</v>
      </c>
      <c r="M2">
        <v>13</v>
      </c>
      <c r="O2" t="s">
        <v>467</v>
      </c>
    </row>
    <row r="3" spans="1:15" x14ac:dyDescent="0.3">
      <c r="A3">
        <v>242704</v>
      </c>
      <c r="B3">
        <v>116</v>
      </c>
      <c r="C3" t="s">
        <v>568</v>
      </c>
      <c r="D3" t="s">
        <v>2260</v>
      </c>
      <c r="E3" t="s">
        <v>2261</v>
      </c>
      <c r="F3" s="452">
        <v>46203</v>
      </c>
      <c r="G3">
        <v>22734</v>
      </c>
      <c r="H3" t="s">
        <v>3955</v>
      </c>
      <c r="I3" t="s">
        <v>3469</v>
      </c>
      <c r="J3">
        <v>5.3</v>
      </c>
      <c r="K3" t="s">
        <v>3892</v>
      </c>
      <c r="L3">
        <v>524.70000000000005</v>
      </c>
      <c r="M3">
        <v>99</v>
      </c>
      <c r="O3" t="s">
        <v>466</v>
      </c>
    </row>
    <row r="4" spans="1:15" x14ac:dyDescent="0.3">
      <c r="A4">
        <v>242704</v>
      </c>
      <c r="B4">
        <v>116</v>
      </c>
      <c r="C4" t="s">
        <v>568</v>
      </c>
      <c r="D4" t="s">
        <v>2260</v>
      </c>
      <c r="E4" t="s">
        <v>2261</v>
      </c>
      <c r="F4" s="452">
        <v>46203</v>
      </c>
      <c r="G4">
        <v>27884</v>
      </c>
      <c r="H4" t="s">
        <v>3910</v>
      </c>
      <c r="I4" t="s">
        <v>3469</v>
      </c>
      <c r="J4">
        <v>6.3</v>
      </c>
      <c r="K4" t="s">
        <v>3892</v>
      </c>
      <c r="L4">
        <v>434.7</v>
      </c>
      <c r="M4">
        <v>69</v>
      </c>
      <c r="O4" t="s">
        <v>466</v>
      </c>
    </row>
    <row r="5" spans="1:15" x14ac:dyDescent="0.3">
      <c r="A5">
        <v>242704</v>
      </c>
      <c r="B5">
        <v>116</v>
      </c>
      <c r="C5" t="s">
        <v>568</v>
      </c>
      <c r="D5" t="s">
        <v>2260</v>
      </c>
      <c r="E5" t="s">
        <v>2261</v>
      </c>
      <c r="F5" s="452">
        <v>46203</v>
      </c>
      <c r="G5">
        <v>18685</v>
      </c>
      <c r="H5" t="s">
        <v>3945</v>
      </c>
      <c r="I5" t="s">
        <v>3469</v>
      </c>
      <c r="J5">
        <v>7.2</v>
      </c>
      <c r="K5" t="s">
        <v>4197</v>
      </c>
      <c r="L5">
        <v>280.8</v>
      </c>
      <c r="M5">
        <v>39</v>
      </c>
      <c r="O5" t="s">
        <v>466</v>
      </c>
    </row>
    <row r="6" spans="1:15" x14ac:dyDescent="0.3">
      <c r="A6">
        <v>242704</v>
      </c>
      <c r="B6">
        <v>116</v>
      </c>
      <c r="C6" t="s">
        <v>568</v>
      </c>
      <c r="D6" t="s">
        <v>2260</v>
      </c>
      <c r="E6" t="s">
        <v>2261</v>
      </c>
      <c r="F6" s="452">
        <v>46203</v>
      </c>
      <c r="G6">
        <v>24194</v>
      </c>
      <c r="H6" t="s">
        <v>4181</v>
      </c>
      <c r="I6" t="s">
        <v>3469</v>
      </c>
      <c r="J6">
        <v>2.8</v>
      </c>
      <c r="K6" t="s">
        <v>3892</v>
      </c>
      <c r="L6">
        <v>117.6</v>
      </c>
      <c r="M6">
        <v>42</v>
      </c>
      <c r="O6" t="s">
        <v>466</v>
      </c>
    </row>
    <row r="7" spans="1:15" x14ac:dyDescent="0.3">
      <c r="A7">
        <v>242702</v>
      </c>
      <c r="B7">
        <v>116</v>
      </c>
      <c r="C7" t="s">
        <v>568</v>
      </c>
      <c r="D7" t="s">
        <v>2262</v>
      </c>
      <c r="E7" t="s">
        <v>2263</v>
      </c>
      <c r="F7" s="452">
        <v>46204</v>
      </c>
      <c r="G7">
        <v>24388</v>
      </c>
      <c r="H7" t="s">
        <v>3915</v>
      </c>
      <c r="I7" t="s">
        <v>3469</v>
      </c>
      <c r="J7">
        <v>8.5</v>
      </c>
      <c r="K7" t="s">
        <v>3892</v>
      </c>
      <c r="L7">
        <v>253.3</v>
      </c>
      <c r="M7">
        <v>29.8</v>
      </c>
      <c r="O7" t="s">
        <v>467</v>
      </c>
    </row>
    <row r="8" spans="1:15" x14ac:dyDescent="0.3">
      <c r="A8">
        <v>242702</v>
      </c>
      <c r="B8">
        <v>116</v>
      </c>
      <c r="C8" t="s">
        <v>568</v>
      </c>
      <c r="D8" t="s">
        <v>2262</v>
      </c>
      <c r="E8" t="s">
        <v>2263</v>
      </c>
      <c r="F8" s="452">
        <v>46204</v>
      </c>
      <c r="G8">
        <v>18832</v>
      </c>
      <c r="H8" t="s">
        <v>3900</v>
      </c>
      <c r="I8" t="s">
        <v>3469</v>
      </c>
      <c r="J8">
        <v>6.3</v>
      </c>
      <c r="K8" t="s">
        <v>3892</v>
      </c>
      <c r="L8">
        <v>251.37</v>
      </c>
      <c r="M8">
        <v>39.9</v>
      </c>
      <c r="O8" t="s">
        <v>467</v>
      </c>
    </row>
    <row r="9" spans="1:15" x14ac:dyDescent="0.3">
      <c r="A9">
        <v>242702</v>
      </c>
      <c r="B9">
        <v>116</v>
      </c>
      <c r="C9" t="s">
        <v>568</v>
      </c>
      <c r="D9" t="s">
        <v>2262</v>
      </c>
      <c r="E9" t="s">
        <v>2263</v>
      </c>
      <c r="F9" s="452">
        <v>46204</v>
      </c>
      <c r="G9">
        <v>24320</v>
      </c>
      <c r="H9" t="s">
        <v>4160</v>
      </c>
      <c r="I9" t="s">
        <v>3469</v>
      </c>
      <c r="J9">
        <v>17.100000000000001</v>
      </c>
      <c r="K9" t="s">
        <v>3892</v>
      </c>
      <c r="L9">
        <v>612.17999999999995</v>
      </c>
      <c r="M9">
        <v>35.799999999999997</v>
      </c>
      <c r="O9" t="s">
        <v>467</v>
      </c>
    </row>
    <row r="10" spans="1:15" x14ac:dyDescent="0.3">
      <c r="A10">
        <v>242702</v>
      </c>
      <c r="B10">
        <v>116</v>
      </c>
      <c r="C10" t="s">
        <v>568</v>
      </c>
      <c r="D10" t="s">
        <v>2262</v>
      </c>
      <c r="E10" t="s">
        <v>2263</v>
      </c>
      <c r="F10" s="452">
        <v>46204</v>
      </c>
      <c r="G10">
        <v>18933</v>
      </c>
      <c r="H10" t="s">
        <v>3957</v>
      </c>
      <c r="I10" t="s">
        <v>3469</v>
      </c>
      <c r="J10">
        <v>5.2</v>
      </c>
      <c r="K10" t="s">
        <v>3892</v>
      </c>
      <c r="L10">
        <v>149.76</v>
      </c>
      <c r="M10">
        <v>28.8</v>
      </c>
      <c r="O10" t="s">
        <v>467</v>
      </c>
    </row>
    <row r="11" spans="1:15" x14ac:dyDescent="0.3">
      <c r="A11">
        <v>242702</v>
      </c>
      <c r="B11">
        <v>116</v>
      </c>
      <c r="C11" t="s">
        <v>568</v>
      </c>
      <c r="D11" t="s">
        <v>2262</v>
      </c>
      <c r="E11" t="s">
        <v>2263</v>
      </c>
      <c r="F11" s="452">
        <v>46204</v>
      </c>
      <c r="G11">
        <v>24402</v>
      </c>
      <c r="H11" t="s">
        <v>3896</v>
      </c>
      <c r="I11" t="s">
        <v>3469</v>
      </c>
      <c r="J11">
        <v>8.6999999999999993</v>
      </c>
      <c r="K11" t="s">
        <v>3892</v>
      </c>
      <c r="L11">
        <v>341.04</v>
      </c>
      <c r="M11">
        <v>39.200000000000003</v>
      </c>
      <c r="O11" t="s">
        <v>467</v>
      </c>
    </row>
    <row r="12" spans="1:15" x14ac:dyDescent="0.3">
      <c r="A12">
        <v>242701</v>
      </c>
      <c r="B12">
        <v>116</v>
      </c>
      <c r="C12" t="s">
        <v>568</v>
      </c>
      <c r="D12" t="s">
        <v>2262</v>
      </c>
      <c r="E12" t="s">
        <v>2264</v>
      </c>
      <c r="F12" s="452">
        <v>46195</v>
      </c>
      <c r="G12">
        <v>27312</v>
      </c>
      <c r="H12" t="s">
        <v>3927</v>
      </c>
      <c r="I12" t="s">
        <v>3469</v>
      </c>
      <c r="J12">
        <v>15.2</v>
      </c>
      <c r="K12" t="s">
        <v>3892</v>
      </c>
      <c r="L12">
        <v>804.08</v>
      </c>
      <c r="M12">
        <v>52.9</v>
      </c>
      <c r="O12" t="s">
        <v>466</v>
      </c>
    </row>
    <row r="13" spans="1:15" x14ac:dyDescent="0.3">
      <c r="A13">
        <v>242701</v>
      </c>
      <c r="B13">
        <v>116</v>
      </c>
      <c r="C13" t="s">
        <v>568</v>
      </c>
      <c r="D13" t="s">
        <v>2262</v>
      </c>
      <c r="E13" t="s">
        <v>2264</v>
      </c>
      <c r="F13" s="452">
        <v>46195</v>
      </c>
      <c r="G13">
        <v>27313</v>
      </c>
      <c r="H13" t="s">
        <v>4131</v>
      </c>
      <c r="I13" t="s">
        <v>3469</v>
      </c>
      <c r="J13">
        <v>10.9</v>
      </c>
      <c r="K13" t="s">
        <v>3892</v>
      </c>
      <c r="L13">
        <v>500.31</v>
      </c>
      <c r="M13">
        <v>45.9</v>
      </c>
      <c r="O13" t="s">
        <v>466</v>
      </c>
    </row>
    <row r="14" spans="1:15" x14ac:dyDescent="0.3">
      <c r="A14">
        <v>242699</v>
      </c>
      <c r="B14">
        <v>116</v>
      </c>
      <c r="C14" t="s">
        <v>568</v>
      </c>
      <c r="D14" t="s">
        <v>2265</v>
      </c>
      <c r="E14" t="s">
        <v>2266</v>
      </c>
      <c r="F14" s="452">
        <v>46204</v>
      </c>
      <c r="G14">
        <v>17437</v>
      </c>
      <c r="H14" t="s">
        <v>4198</v>
      </c>
      <c r="I14" t="s">
        <v>4199</v>
      </c>
      <c r="J14">
        <v>10</v>
      </c>
      <c r="K14" t="s">
        <v>3872</v>
      </c>
      <c r="L14">
        <v>23</v>
      </c>
      <c r="M14">
        <v>2.2999999999999998</v>
      </c>
      <c r="O14" t="s">
        <v>467</v>
      </c>
    </row>
    <row r="15" spans="1:15" x14ac:dyDescent="0.3">
      <c r="A15">
        <v>242699</v>
      </c>
      <c r="B15">
        <v>116</v>
      </c>
      <c r="C15" t="s">
        <v>568</v>
      </c>
      <c r="D15" t="s">
        <v>2265</v>
      </c>
      <c r="E15" t="s">
        <v>2266</v>
      </c>
      <c r="F15" s="452">
        <v>46204</v>
      </c>
      <c r="G15">
        <v>17129</v>
      </c>
      <c r="H15" t="s">
        <v>4200</v>
      </c>
      <c r="I15" t="s">
        <v>4199</v>
      </c>
      <c r="J15">
        <v>1</v>
      </c>
      <c r="K15" t="s">
        <v>3888</v>
      </c>
      <c r="L15">
        <v>26.61</v>
      </c>
      <c r="M15">
        <v>26.61</v>
      </c>
      <c r="O15" t="s">
        <v>467</v>
      </c>
    </row>
    <row r="16" spans="1:15" x14ac:dyDescent="0.3">
      <c r="A16">
        <v>242699</v>
      </c>
      <c r="B16">
        <v>116</v>
      </c>
      <c r="C16" t="s">
        <v>568</v>
      </c>
      <c r="D16" t="s">
        <v>2265</v>
      </c>
      <c r="E16" t="s">
        <v>2266</v>
      </c>
      <c r="F16" s="452">
        <v>46204</v>
      </c>
      <c r="G16">
        <v>28246</v>
      </c>
      <c r="H16" t="s">
        <v>4201</v>
      </c>
      <c r="I16" t="s">
        <v>4202</v>
      </c>
      <c r="J16">
        <v>1</v>
      </c>
      <c r="K16" t="s">
        <v>4203</v>
      </c>
      <c r="L16">
        <v>39.72</v>
      </c>
      <c r="M16">
        <v>39.72</v>
      </c>
      <c r="O16" t="s">
        <v>467</v>
      </c>
    </row>
    <row r="17" spans="1:15" x14ac:dyDescent="0.3">
      <c r="A17">
        <v>242699</v>
      </c>
      <c r="B17">
        <v>116</v>
      </c>
      <c r="C17" t="s">
        <v>568</v>
      </c>
      <c r="D17" t="s">
        <v>2265</v>
      </c>
      <c r="E17" t="s">
        <v>2266</v>
      </c>
      <c r="F17" s="452">
        <v>46204</v>
      </c>
      <c r="G17">
        <v>17314</v>
      </c>
      <c r="H17" t="s">
        <v>4204</v>
      </c>
      <c r="I17" t="s">
        <v>4199</v>
      </c>
      <c r="J17">
        <v>3</v>
      </c>
      <c r="K17" t="s">
        <v>3978</v>
      </c>
      <c r="L17">
        <v>17.670000000000002</v>
      </c>
      <c r="M17">
        <v>5.89</v>
      </c>
      <c r="O17" t="s">
        <v>467</v>
      </c>
    </row>
    <row r="18" spans="1:15" x14ac:dyDescent="0.3">
      <c r="A18">
        <v>242699</v>
      </c>
      <c r="B18">
        <v>116</v>
      </c>
      <c r="C18" t="s">
        <v>568</v>
      </c>
      <c r="D18" t="s">
        <v>2265</v>
      </c>
      <c r="E18" t="s">
        <v>2266</v>
      </c>
      <c r="F18" s="452">
        <v>46204</v>
      </c>
      <c r="G18">
        <v>17416</v>
      </c>
      <c r="H18" t="s">
        <v>4205</v>
      </c>
      <c r="I18" t="s">
        <v>4199</v>
      </c>
      <c r="J18">
        <v>3</v>
      </c>
      <c r="K18" t="s">
        <v>3881</v>
      </c>
      <c r="L18">
        <v>145.74</v>
      </c>
      <c r="M18">
        <v>48.58</v>
      </c>
      <c r="O18" t="s">
        <v>467</v>
      </c>
    </row>
    <row r="19" spans="1:15" x14ac:dyDescent="0.3">
      <c r="A19">
        <v>242699</v>
      </c>
      <c r="B19">
        <v>116</v>
      </c>
      <c r="C19" t="s">
        <v>568</v>
      </c>
      <c r="D19" t="s">
        <v>2265</v>
      </c>
      <c r="E19" t="s">
        <v>2266</v>
      </c>
      <c r="F19" s="452">
        <v>46204</v>
      </c>
      <c r="G19">
        <v>17304</v>
      </c>
      <c r="H19" t="s">
        <v>4206</v>
      </c>
      <c r="I19" t="s">
        <v>4199</v>
      </c>
      <c r="J19">
        <v>1</v>
      </c>
      <c r="K19" t="s">
        <v>3978</v>
      </c>
      <c r="L19">
        <v>6.59</v>
      </c>
      <c r="M19">
        <v>6.59</v>
      </c>
      <c r="O19" t="s">
        <v>467</v>
      </c>
    </row>
    <row r="20" spans="1:15" x14ac:dyDescent="0.3">
      <c r="A20">
        <v>242699</v>
      </c>
      <c r="B20">
        <v>116</v>
      </c>
      <c r="C20" t="s">
        <v>568</v>
      </c>
      <c r="D20" t="s">
        <v>2265</v>
      </c>
      <c r="E20" t="s">
        <v>2266</v>
      </c>
      <c r="F20" s="452">
        <v>46204</v>
      </c>
      <c r="G20">
        <v>17182</v>
      </c>
      <c r="H20" t="s">
        <v>4207</v>
      </c>
      <c r="I20" t="s">
        <v>4199</v>
      </c>
      <c r="J20">
        <v>1</v>
      </c>
      <c r="K20" t="s">
        <v>3978</v>
      </c>
      <c r="L20">
        <v>38.89</v>
      </c>
      <c r="M20">
        <v>38.89</v>
      </c>
      <c r="O20" t="s">
        <v>467</v>
      </c>
    </row>
    <row r="21" spans="1:15" x14ac:dyDescent="0.3">
      <c r="A21">
        <v>242699</v>
      </c>
      <c r="B21">
        <v>116</v>
      </c>
      <c r="C21" t="s">
        <v>568</v>
      </c>
      <c r="D21" t="s">
        <v>2265</v>
      </c>
      <c r="E21" t="s">
        <v>2266</v>
      </c>
      <c r="F21" s="452">
        <v>46204</v>
      </c>
      <c r="G21">
        <v>17342</v>
      </c>
      <c r="H21" t="s">
        <v>4208</v>
      </c>
      <c r="I21" t="s">
        <v>4199</v>
      </c>
      <c r="J21">
        <v>1</v>
      </c>
      <c r="K21" t="s">
        <v>3931</v>
      </c>
      <c r="L21">
        <v>34.229999999999997</v>
      </c>
      <c r="M21">
        <v>34.229999999999997</v>
      </c>
      <c r="O21" t="s">
        <v>467</v>
      </c>
    </row>
    <row r="22" spans="1:15" x14ac:dyDescent="0.3">
      <c r="A22">
        <v>242699</v>
      </c>
      <c r="B22">
        <v>116</v>
      </c>
      <c r="C22" t="s">
        <v>568</v>
      </c>
      <c r="D22" t="s">
        <v>2265</v>
      </c>
      <c r="E22" t="s">
        <v>2266</v>
      </c>
      <c r="F22" s="452">
        <v>46204</v>
      </c>
      <c r="G22">
        <v>17162</v>
      </c>
      <c r="H22" t="s">
        <v>4209</v>
      </c>
      <c r="I22" t="s">
        <v>4199</v>
      </c>
      <c r="J22">
        <v>1</v>
      </c>
      <c r="K22" t="s">
        <v>3872</v>
      </c>
      <c r="L22">
        <v>54</v>
      </c>
      <c r="M22">
        <v>54</v>
      </c>
      <c r="O22" t="s">
        <v>467</v>
      </c>
    </row>
    <row r="23" spans="1:15" x14ac:dyDescent="0.3">
      <c r="A23">
        <v>242699</v>
      </c>
      <c r="B23">
        <v>116</v>
      </c>
      <c r="C23" t="s">
        <v>568</v>
      </c>
      <c r="D23" t="s">
        <v>2265</v>
      </c>
      <c r="E23" t="s">
        <v>2266</v>
      </c>
      <c r="F23" s="452">
        <v>46204</v>
      </c>
      <c r="G23">
        <v>17185</v>
      </c>
      <c r="H23" t="s">
        <v>4210</v>
      </c>
      <c r="I23" t="s">
        <v>4199</v>
      </c>
      <c r="J23">
        <v>1</v>
      </c>
      <c r="K23" t="s">
        <v>3978</v>
      </c>
      <c r="L23">
        <v>15.95</v>
      </c>
      <c r="M23">
        <v>15.95</v>
      </c>
      <c r="O23" t="s">
        <v>467</v>
      </c>
    </row>
    <row r="24" spans="1:15" x14ac:dyDescent="0.3">
      <c r="A24">
        <v>242699</v>
      </c>
      <c r="B24">
        <v>116</v>
      </c>
      <c r="C24" t="s">
        <v>568</v>
      </c>
      <c r="D24" t="s">
        <v>2265</v>
      </c>
      <c r="E24" t="s">
        <v>2266</v>
      </c>
      <c r="F24" s="452">
        <v>46204</v>
      </c>
      <c r="G24">
        <v>17444</v>
      </c>
      <c r="H24" t="s">
        <v>4211</v>
      </c>
      <c r="I24" t="s">
        <v>4199</v>
      </c>
      <c r="J24">
        <v>1</v>
      </c>
      <c r="K24" t="s">
        <v>3888</v>
      </c>
      <c r="L24">
        <v>12.59</v>
      </c>
      <c r="M24">
        <v>12.59</v>
      </c>
      <c r="O24" t="s">
        <v>467</v>
      </c>
    </row>
    <row r="25" spans="1:15" x14ac:dyDescent="0.3">
      <c r="A25">
        <v>242698</v>
      </c>
      <c r="B25">
        <v>116</v>
      </c>
      <c r="C25" t="s">
        <v>568</v>
      </c>
      <c r="D25" t="s">
        <v>2267</v>
      </c>
      <c r="E25" t="s">
        <v>2268</v>
      </c>
      <c r="F25" s="452">
        <v>46203</v>
      </c>
      <c r="G25">
        <v>24343</v>
      </c>
      <c r="H25" t="s">
        <v>3990</v>
      </c>
      <c r="I25" t="s">
        <v>3469</v>
      </c>
      <c r="J25">
        <v>3</v>
      </c>
      <c r="K25" t="s">
        <v>3892</v>
      </c>
      <c r="L25">
        <v>59.97</v>
      </c>
      <c r="M25">
        <v>19.989999999999998</v>
      </c>
      <c r="O25" t="s">
        <v>466</v>
      </c>
    </row>
    <row r="26" spans="1:15" x14ac:dyDescent="0.3">
      <c r="A26">
        <v>242698</v>
      </c>
      <c r="B26">
        <v>116</v>
      </c>
      <c r="C26" t="s">
        <v>568</v>
      </c>
      <c r="D26" t="s">
        <v>2267</v>
      </c>
      <c r="E26" t="s">
        <v>2268</v>
      </c>
      <c r="F26" s="452">
        <v>46203</v>
      </c>
      <c r="G26">
        <v>24517</v>
      </c>
      <c r="H26" t="s">
        <v>3991</v>
      </c>
      <c r="I26" t="s">
        <v>3469</v>
      </c>
      <c r="J26">
        <v>10</v>
      </c>
      <c r="K26" t="s">
        <v>3892</v>
      </c>
      <c r="L26">
        <v>267</v>
      </c>
      <c r="M26">
        <v>26.7</v>
      </c>
      <c r="O26" t="s">
        <v>466</v>
      </c>
    </row>
    <row r="27" spans="1:15" x14ac:dyDescent="0.3">
      <c r="A27">
        <v>242698</v>
      </c>
      <c r="B27">
        <v>116</v>
      </c>
      <c r="C27" t="s">
        <v>568</v>
      </c>
      <c r="D27" t="s">
        <v>2267</v>
      </c>
      <c r="E27" t="s">
        <v>2268</v>
      </c>
      <c r="F27" s="452">
        <v>46203</v>
      </c>
      <c r="G27">
        <v>18682</v>
      </c>
      <c r="H27" t="s">
        <v>4025</v>
      </c>
      <c r="I27" t="s">
        <v>3469</v>
      </c>
      <c r="J27">
        <v>5.2</v>
      </c>
      <c r="K27" t="s">
        <v>3892</v>
      </c>
      <c r="L27">
        <v>145.55000000000001</v>
      </c>
      <c r="M27">
        <v>27.990385</v>
      </c>
      <c r="O27" t="s">
        <v>466</v>
      </c>
    </row>
    <row r="28" spans="1:15" x14ac:dyDescent="0.3">
      <c r="A28">
        <v>242697</v>
      </c>
      <c r="B28">
        <v>116</v>
      </c>
      <c r="C28" t="s">
        <v>568</v>
      </c>
      <c r="D28" t="s">
        <v>2269</v>
      </c>
      <c r="E28" t="s">
        <v>2270</v>
      </c>
      <c r="F28" s="452">
        <v>46202</v>
      </c>
      <c r="G28">
        <v>29129</v>
      </c>
      <c r="H28" t="s">
        <v>4176</v>
      </c>
      <c r="I28" t="s">
        <v>3469</v>
      </c>
      <c r="J28">
        <v>9</v>
      </c>
      <c r="K28" t="s">
        <v>3872</v>
      </c>
      <c r="L28">
        <v>103.23</v>
      </c>
      <c r="M28">
        <v>11.47</v>
      </c>
      <c r="O28" t="s">
        <v>466</v>
      </c>
    </row>
    <row r="29" spans="1:15" x14ac:dyDescent="0.3">
      <c r="A29">
        <v>242694</v>
      </c>
      <c r="B29">
        <v>116</v>
      </c>
      <c r="C29" t="s">
        <v>568</v>
      </c>
      <c r="D29" t="s">
        <v>2271</v>
      </c>
      <c r="E29" t="s">
        <v>2272</v>
      </c>
      <c r="F29" s="452">
        <v>46203</v>
      </c>
      <c r="G29">
        <v>18172</v>
      </c>
      <c r="H29" t="s">
        <v>3923</v>
      </c>
      <c r="I29" t="s">
        <v>3497</v>
      </c>
      <c r="J29">
        <v>6</v>
      </c>
      <c r="K29" t="s">
        <v>3878</v>
      </c>
      <c r="L29">
        <v>130.13999999999999</v>
      </c>
      <c r="M29">
        <v>21.69</v>
      </c>
      <c r="O29" t="s">
        <v>466</v>
      </c>
    </row>
    <row r="30" spans="1:15" x14ac:dyDescent="0.3">
      <c r="A30">
        <v>242682</v>
      </c>
      <c r="B30">
        <v>116</v>
      </c>
      <c r="C30" t="s">
        <v>568</v>
      </c>
      <c r="D30" t="s">
        <v>2273</v>
      </c>
      <c r="E30" t="s">
        <v>2274</v>
      </c>
      <c r="F30" s="452">
        <v>46202</v>
      </c>
      <c r="G30">
        <v>23359</v>
      </c>
      <c r="H30" t="s">
        <v>3932</v>
      </c>
      <c r="I30" t="s">
        <v>3469</v>
      </c>
      <c r="J30">
        <v>10</v>
      </c>
      <c r="K30" t="s">
        <v>3892</v>
      </c>
      <c r="L30">
        <v>29</v>
      </c>
      <c r="M30">
        <v>2.9</v>
      </c>
      <c r="O30" t="s">
        <v>466</v>
      </c>
    </row>
    <row r="31" spans="1:15" x14ac:dyDescent="0.3">
      <c r="A31">
        <v>242682</v>
      </c>
      <c r="B31">
        <v>116</v>
      </c>
      <c r="C31" t="s">
        <v>568</v>
      </c>
      <c r="D31" t="s">
        <v>2273</v>
      </c>
      <c r="E31" t="s">
        <v>2274</v>
      </c>
      <c r="F31" s="452">
        <v>46202</v>
      </c>
      <c r="G31">
        <v>19763</v>
      </c>
      <c r="H31" t="s">
        <v>4187</v>
      </c>
      <c r="I31" t="s">
        <v>3469</v>
      </c>
      <c r="J31">
        <v>2</v>
      </c>
      <c r="K31" t="s">
        <v>3892</v>
      </c>
      <c r="L31">
        <v>23.2</v>
      </c>
      <c r="M31">
        <v>11.6</v>
      </c>
      <c r="O31" t="s">
        <v>466</v>
      </c>
    </row>
    <row r="32" spans="1:15" x14ac:dyDescent="0.3">
      <c r="A32">
        <v>242682</v>
      </c>
      <c r="B32">
        <v>116</v>
      </c>
      <c r="C32" t="s">
        <v>568</v>
      </c>
      <c r="D32" t="s">
        <v>2273</v>
      </c>
      <c r="E32" t="s">
        <v>2274</v>
      </c>
      <c r="F32" s="452">
        <v>46202</v>
      </c>
      <c r="G32">
        <v>24037</v>
      </c>
      <c r="H32" t="s">
        <v>4104</v>
      </c>
      <c r="I32" t="s">
        <v>3469</v>
      </c>
      <c r="J32">
        <v>2</v>
      </c>
      <c r="K32" t="s">
        <v>3892</v>
      </c>
      <c r="L32">
        <v>35</v>
      </c>
      <c r="M32">
        <v>17.5</v>
      </c>
      <c r="O32" t="s">
        <v>466</v>
      </c>
    </row>
    <row r="33" spans="1:15" x14ac:dyDescent="0.3">
      <c r="A33">
        <v>242682</v>
      </c>
      <c r="B33">
        <v>116</v>
      </c>
      <c r="C33" t="s">
        <v>568</v>
      </c>
      <c r="D33" t="s">
        <v>2273</v>
      </c>
      <c r="E33" t="s">
        <v>2274</v>
      </c>
      <c r="F33" s="452">
        <v>46202</v>
      </c>
      <c r="G33">
        <v>17066</v>
      </c>
      <c r="H33" t="s">
        <v>4155</v>
      </c>
      <c r="I33" t="s">
        <v>3469</v>
      </c>
      <c r="J33">
        <v>1</v>
      </c>
      <c r="K33" t="s">
        <v>3892</v>
      </c>
      <c r="L33">
        <v>23.78</v>
      </c>
      <c r="M33">
        <v>23.78</v>
      </c>
      <c r="O33" t="s">
        <v>466</v>
      </c>
    </row>
    <row r="34" spans="1:15" x14ac:dyDescent="0.3">
      <c r="A34">
        <v>242680</v>
      </c>
      <c r="B34">
        <v>116</v>
      </c>
      <c r="C34" t="s">
        <v>568</v>
      </c>
      <c r="D34" t="s">
        <v>2275</v>
      </c>
      <c r="E34" t="s">
        <v>2276</v>
      </c>
      <c r="F34" s="452">
        <v>46202</v>
      </c>
      <c r="G34">
        <v>17969</v>
      </c>
      <c r="H34" t="s">
        <v>4175</v>
      </c>
      <c r="I34" t="s">
        <v>3497</v>
      </c>
      <c r="J34">
        <v>15</v>
      </c>
      <c r="K34" t="s">
        <v>3888</v>
      </c>
      <c r="L34">
        <v>340.5</v>
      </c>
      <c r="M34">
        <v>22.7</v>
      </c>
      <c r="O34" t="s">
        <v>466</v>
      </c>
    </row>
    <row r="35" spans="1:15" x14ac:dyDescent="0.3">
      <c r="A35">
        <v>242680</v>
      </c>
      <c r="B35">
        <v>116</v>
      </c>
      <c r="C35" t="s">
        <v>568</v>
      </c>
      <c r="D35" t="s">
        <v>2275</v>
      </c>
      <c r="E35" t="s">
        <v>2276</v>
      </c>
      <c r="F35" s="452">
        <v>46202</v>
      </c>
      <c r="G35">
        <v>24006</v>
      </c>
      <c r="H35" t="s">
        <v>4177</v>
      </c>
      <c r="I35" t="s">
        <v>3497</v>
      </c>
      <c r="J35">
        <v>10</v>
      </c>
      <c r="K35" t="s">
        <v>3888</v>
      </c>
      <c r="L35">
        <v>239</v>
      </c>
      <c r="M35">
        <v>23.9</v>
      </c>
      <c r="O35" t="s">
        <v>466</v>
      </c>
    </row>
    <row r="36" spans="1:15" x14ac:dyDescent="0.3">
      <c r="A36">
        <v>242677</v>
      </c>
      <c r="B36">
        <v>116</v>
      </c>
      <c r="C36" t="s">
        <v>568</v>
      </c>
      <c r="D36" t="s">
        <v>2277</v>
      </c>
      <c r="E36" t="s">
        <v>2278</v>
      </c>
      <c r="F36" s="452">
        <v>46204</v>
      </c>
      <c r="G36">
        <v>21030</v>
      </c>
      <c r="H36" t="s">
        <v>3890</v>
      </c>
      <c r="I36" t="s">
        <v>3469</v>
      </c>
      <c r="J36">
        <v>6</v>
      </c>
      <c r="K36" t="s">
        <v>3872</v>
      </c>
      <c r="L36">
        <v>104.4</v>
      </c>
      <c r="M36">
        <v>17.399999999999999</v>
      </c>
      <c r="O36" t="s">
        <v>467</v>
      </c>
    </row>
    <row r="37" spans="1:15" x14ac:dyDescent="0.3">
      <c r="A37">
        <v>242677</v>
      </c>
      <c r="B37">
        <v>116</v>
      </c>
      <c r="C37" t="s">
        <v>568</v>
      </c>
      <c r="D37" t="s">
        <v>2277</v>
      </c>
      <c r="E37" t="s">
        <v>2278</v>
      </c>
      <c r="F37" s="452">
        <v>46204</v>
      </c>
      <c r="G37">
        <v>23982</v>
      </c>
      <c r="H37" t="s">
        <v>3977</v>
      </c>
      <c r="I37" t="s">
        <v>3469</v>
      </c>
      <c r="J37">
        <v>1</v>
      </c>
      <c r="K37" t="s">
        <v>3872</v>
      </c>
      <c r="L37">
        <v>240.56</v>
      </c>
      <c r="M37">
        <v>240.56</v>
      </c>
      <c r="O37" t="s">
        <v>467</v>
      </c>
    </row>
    <row r="38" spans="1:15" x14ac:dyDescent="0.3">
      <c r="A38">
        <v>242677</v>
      </c>
      <c r="B38">
        <v>116</v>
      </c>
      <c r="C38" t="s">
        <v>568</v>
      </c>
      <c r="D38" t="s">
        <v>2277</v>
      </c>
      <c r="E38" t="s">
        <v>2278</v>
      </c>
      <c r="F38" s="452">
        <v>46204</v>
      </c>
      <c r="G38">
        <v>20809</v>
      </c>
      <c r="H38" t="s">
        <v>4005</v>
      </c>
      <c r="I38" t="s">
        <v>3469</v>
      </c>
      <c r="J38">
        <v>3</v>
      </c>
      <c r="K38" t="s">
        <v>3872</v>
      </c>
      <c r="L38">
        <v>89.97</v>
      </c>
      <c r="M38">
        <v>29.99</v>
      </c>
      <c r="O38" t="s">
        <v>467</v>
      </c>
    </row>
    <row r="39" spans="1:15" x14ac:dyDescent="0.3">
      <c r="A39">
        <v>242677</v>
      </c>
      <c r="B39">
        <v>116</v>
      </c>
      <c r="C39" t="s">
        <v>568</v>
      </c>
      <c r="D39" t="s">
        <v>2277</v>
      </c>
      <c r="E39" t="s">
        <v>2278</v>
      </c>
      <c r="F39" s="452">
        <v>46204</v>
      </c>
      <c r="G39">
        <v>20752</v>
      </c>
      <c r="H39" t="s">
        <v>3964</v>
      </c>
      <c r="I39" t="s">
        <v>3469</v>
      </c>
      <c r="J39">
        <v>2</v>
      </c>
      <c r="K39" t="s">
        <v>3872</v>
      </c>
      <c r="L39">
        <v>231.8</v>
      </c>
      <c r="M39">
        <v>115.9</v>
      </c>
      <c r="O39" t="s">
        <v>467</v>
      </c>
    </row>
    <row r="40" spans="1:15" x14ac:dyDescent="0.3">
      <c r="A40">
        <v>242677</v>
      </c>
      <c r="B40">
        <v>116</v>
      </c>
      <c r="C40" t="s">
        <v>568</v>
      </c>
      <c r="D40" t="s">
        <v>2277</v>
      </c>
      <c r="E40" t="s">
        <v>2278</v>
      </c>
      <c r="F40" s="452">
        <v>46204</v>
      </c>
      <c r="G40">
        <v>20358</v>
      </c>
      <c r="H40" t="s">
        <v>3952</v>
      </c>
      <c r="I40" t="s">
        <v>3469</v>
      </c>
      <c r="J40">
        <v>2</v>
      </c>
      <c r="K40" t="s">
        <v>3888</v>
      </c>
      <c r="L40">
        <v>29.6</v>
      </c>
      <c r="M40">
        <v>14.8</v>
      </c>
      <c r="O40" t="s">
        <v>467</v>
      </c>
    </row>
    <row r="41" spans="1:15" x14ac:dyDescent="0.3">
      <c r="A41">
        <v>242677</v>
      </c>
      <c r="B41">
        <v>116</v>
      </c>
      <c r="C41" t="s">
        <v>568</v>
      </c>
      <c r="D41" t="s">
        <v>2277</v>
      </c>
      <c r="E41" t="s">
        <v>2278</v>
      </c>
      <c r="F41" s="452">
        <v>46204</v>
      </c>
      <c r="G41">
        <v>21024</v>
      </c>
      <c r="H41" t="s">
        <v>4180</v>
      </c>
      <c r="I41" t="s">
        <v>3469</v>
      </c>
      <c r="J41">
        <v>2</v>
      </c>
      <c r="K41" t="s">
        <v>3872</v>
      </c>
      <c r="L41">
        <v>358</v>
      </c>
      <c r="M41">
        <v>179</v>
      </c>
      <c r="O41" t="s">
        <v>467</v>
      </c>
    </row>
    <row r="42" spans="1:15" x14ac:dyDescent="0.3">
      <c r="A42">
        <v>242674</v>
      </c>
      <c r="B42">
        <v>116</v>
      </c>
      <c r="C42" t="s">
        <v>568</v>
      </c>
      <c r="D42" t="s">
        <v>2277</v>
      </c>
      <c r="E42" t="s">
        <v>2279</v>
      </c>
      <c r="F42" s="452">
        <v>46204</v>
      </c>
      <c r="G42">
        <v>20624</v>
      </c>
      <c r="H42" t="s">
        <v>3982</v>
      </c>
      <c r="I42" t="s">
        <v>3469</v>
      </c>
      <c r="J42">
        <v>2</v>
      </c>
      <c r="K42" t="s">
        <v>3872</v>
      </c>
      <c r="L42">
        <v>141.72</v>
      </c>
      <c r="M42">
        <v>70.86</v>
      </c>
      <c r="O42" t="s">
        <v>467</v>
      </c>
    </row>
    <row r="43" spans="1:15" x14ac:dyDescent="0.3">
      <c r="A43">
        <v>242674</v>
      </c>
      <c r="B43">
        <v>116</v>
      </c>
      <c r="C43" t="s">
        <v>568</v>
      </c>
      <c r="D43" t="s">
        <v>2277</v>
      </c>
      <c r="E43" t="s">
        <v>2279</v>
      </c>
      <c r="F43" s="452">
        <v>46204</v>
      </c>
      <c r="G43">
        <v>19906</v>
      </c>
      <c r="H43" t="s">
        <v>4171</v>
      </c>
      <c r="I43" t="s">
        <v>3469</v>
      </c>
      <c r="J43">
        <v>1</v>
      </c>
      <c r="K43" t="s">
        <v>3888</v>
      </c>
      <c r="L43">
        <v>35</v>
      </c>
      <c r="M43">
        <v>35</v>
      </c>
      <c r="O43" t="s">
        <v>467</v>
      </c>
    </row>
    <row r="44" spans="1:15" x14ac:dyDescent="0.3">
      <c r="A44">
        <v>242674</v>
      </c>
      <c r="B44">
        <v>116</v>
      </c>
      <c r="C44" t="s">
        <v>568</v>
      </c>
      <c r="D44" t="s">
        <v>2277</v>
      </c>
      <c r="E44" t="s">
        <v>2279</v>
      </c>
      <c r="F44" s="452">
        <v>46204</v>
      </c>
      <c r="G44">
        <v>24212</v>
      </c>
      <c r="H44" t="s">
        <v>4056</v>
      </c>
      <c r="I44" t="s">
        <v>3469</v>
      </c>
      <c r="J44">
        <v>2</v>
      </c>
      <c r="K44" t="s">
        <v>3892</v>
      </c>
      <c r="L44">
        <v>23.8</v>
      </c>
      <c r="M44">
        <v>11.9</v>
      </c>
      <c r="O44" t="s">
        <v>467</v>
      </c>
    </row>
    <row r="45" spans="1:15" x14ac:dyDescent="0.3">
      <c r="A45">
        <v>242674</v>
      </c>
      <c r="B45">
        <v>116</v>
      </c>
      <c r="C45" t="s">
        <v>568</v>
      </c>
      <c r="D45" t="s">
        <v>2277</v>
      </c>
      <c r="E45" t="s">
        <v>2279</v>
      </c>
      <c r="F45" s="452">
        <v>46204</v>
      </c>
      <c r="G45">
        <v>24331</v>
      </c>
      <c r="H45" t="s">
        <v>3960</v>
      </c>
      <c r="I45" t="s">
        <v>3469</v>
      </c>
      <c r="J45">
        <v>5</v>
      </c>
      <c r="K45" t="s">
        <v>3892</v>
      </c>
      <c r="L45">
        <v>108.75</v>
      </c>
      <c r="M45">
        <v>21.75</v>
      </c>
      <c r="O45" t="s">
        <v>467</v>
      </c>
    </row>
    <row r="46" spans="1:15" x14ac:dyDescent="0.3">
      <c r="A46">
        <v>242674</v>
      </c>
      <c r="B46">
        <v>116</v>
      </c>
      <c r="C46" t="s">
        <v>568</v>
      </c>
      <c r="D46" t="s">
        <v>2277</v>
      </c>
      <c r="E46" t="s">
        <v>2279</v>
      </c>
      <c r="F46" s="452">
        <v>46204</v>
      </c>
      <c r="G46">
        <v>20227</v>
      </c>
      <c r="H46" t="s">
        <v>3968</v>
      </c>
      <c r="I46" t="s">
        <v>3469</v>
      </c>
      <c r="J46">
        <v>5</v>
      </c>
      <c r="K46" t="s">
        <v>3888</v>
      </c>
      <c r="L46">
        <v>75.599999999999994</v>
      </c>
      <c r="M46">
        <v>15.12</v>
      </c>
      <c r="O46" t="s">
        <v>467</v>
      </c>
    </row>
    <row r="47" spans="1:15" x14ac:dyDescent="0.3">
      <c r="A47">
        <v>242674</v>
      </c>
      <c r="B47">
        <v>116</v>
      </c>
      <c r="C47" t="s">
        <v>568</v>
      </c>
      <c r="D47" t="s">
        <v>2277</v>
      </c>
      <c r="E47" t="s">
        <v>2279</v>
      </c>
      <c r="F47" s="452">
        <v>46204</v>
      </c>
      <c r="G47">
        <v>20246</v>
      </c>
      <c r="H47" t="s">
        <v>3911</v>
      </c>
      <c r="I47" t="s">
        <v>3469</v>
      </c>
      <c r="J47">
        <v>10</v>
      </c>
      <c r="K47" t="s">
        <v>3872</v>
      </c>
      <c r="L47">
        <v>108.9</v>
      </c>
      <c r="M47">
        <v>10.89</v>
      </c>
      <c r="O47" t="s">
        <v>467</v>
      </c>
    </row>
    <row r="48" spans="1:15" x14ac:dyDescent="0.3">
      <c r="A48">
        <v>242674</v>
      </c>
      <c r="B48">
        <v>116</v>
      </c>
      <c r="C48" t="s">
        <v>568</v>
      </c>
      <c r="D48" t="s">
        <v>2277</v>
      </c>
      <c r="E48" t="s">
        <v>2279</v>
      </c>
      <c r="F48" s="452">
        <v>46204</v>
      </c>
      <c r="G48">
        <v>20729</v>
      </c>
      <c r="H48" t="s">
        <v>3965</v>
      </c>
      <c r="I48" t="s">
        <v>3469</v>
      </c>
      <c r="J48">
        <v>2</v>
      </c>
      <c r="K48" t="s">
        <v>3966</v>
      </c>
      <c r="L48">
        <v>135.76</v>
      </c>
      <c r="M48">
        <v>67.88</v>
      </c>
      <c r="O48" t="s">
        <v>467</v>
      </c>
    </row>
    <row r="49" spans="1:15" x14ac:dyDescent="0.3">
      <c r="A49">
        <v>242674</v>
      </c>
      <c r="B49">
        <v>116</v>
      </c>
      <c r="C49" t="s">
        <v>568</v>
      </c>
      <c r="D49" t="s">
        <v>2277</v>
      </c>
      <c r="E49" t="s">
        <v>2279</v>
      </c>
      <c r="F49" s="452">
        <v>46204</v>
      </c>
      <c r="G49">
        <v>20661</v>
      </c>
      <c r="H49" t="s">
        <v>3919</v>
      </c>
      <c r="I49" t="s">
        <v>3469</v>
      </c>
      <c r="J49">
        <v>6</v>
      </c>
      <c r="K49" t="s">
        <v>3872</v>
      </c>
      <c r="L49">
        <v>51.54</v>
      </c>
      <c r="M49">
        <v>8.59</v>
      </c>
      <c r="O49" t="s">
        <v>467</v>
      </c>
    </row>
    <row r="50" spans="1:15" x14ac:dyDescent="0.3">
      <c r="A50">
        <v>242673</v>
      </c>
      <c r="B50">
        <v>116</v>
      </c>
      <c r="C50" t="s">
        <v>568</v>
      </c>
      <c r="D50" t="s">
        <v>2280</v>
      </c>
      <c r="E50" t="s">
        <v>2281</v>
      </c>
      <c r="F50" s="452">
        <v>46202</v>
      </c>
      <c r="G50">
        <v>19642</v>
      </c>
      <c r="H50" t="s">
        <v>4067</v>
      </c>
      <c r="I50" t="s">
        <v>3469</v>
      </c>
      <c r="J50">
        <v>1</v>
      </c>
      <c r="K50" t="s">
        <v>3892</v>
      </c>
      <c r="L50">
        <v>5.2</v>
      </c>
      <c r="M50">
        <v>5.2</v>
      </c>
      <c r="O50" t="s">
        <v>466</v>
      </c>
    </row>
    <row r="51" spans="1:15" x14ac:dyDescent="0.3">
      <c r="A51">
        <v>242673</v>
      </c>
      <c r="B51">
        <v>116</v>
      </c>
      <c r="C51" t="s">
        <v>568</v>
      </c>
      <c r="D51" t="s">
        <v>2280</v>
      </c>
      <c r="E51" t="s">
        <v>2281</v>
      </c>
      <c r="F51" s="452">
        <v>46202</v>
      </c>
      <c r="G51">
        <v>23171</v>
      </c>
      <c r="H51" t="s">
        <v>4132</v>
      </c>
      <c r="I51" t="s">
        <v>3469</v>
      </c>
      <c r="J51">
        <v>3</v>
      </c>
      <c r="K51" t="s">
        <v>3892</v>
      </c>
      <c r="L51">
        <v>27.3</v>
      </c>
      <c r="M51">
        <v>9.1</v>
      </c>
      <c r="O51" t="s">
        <v>466</v>
      </c>
    </row>
    <row r="52" spans="1:15" x14ac:dyDescent="0.3">
      <c r="A52">
        <v>242673</v>
      </c>
      <c r="B52">
        <v>116</v>
      </c>
      <c r="C52" t="s">
        <v>568</v>
      </c>
      <c r="D52" t="s">
        <v>2280</v>
      </c>
      <c r="E52" t="s">
        <v>2281</v>
      </c>
      <c r="F52" s="452">
        <v>46202</v>
      </c>
      <c r="G52">
        <v>19458</v>
      </c>
      <c r="H52" t="s">
        <v>4212</v>
      </c>
      <c r="I52" t="s">
        <v>3469</v>
      </c>
      <c r="J52">
        <v>1</v>
      </c>
      <c r="K52" t="s">
        <v>3892</v>
      </c>
      <c r="L52">
        <v>15.16</v>
      </c>
      <c r="M52">
        <v>15.16</v>
      </c>
      <c r="O52" t="s">
        <v>466</v>
      </c>
    </row>
    <row r="53" spans="1:15" x14ac:dyDescent="0.3">
      <c r="A53">
        <v>242673</v>
      </c>
      <c r="B53">
        <v>116</v>
      </c>
      <c r="C53" t="s">
        <v>568</v>
      </c>
      <c r="D53" t="s">
        <v>2280</v>
      </c>
      <c r="E53" t="s">
        <v>2281</v>
      </c>
      <c r="F53" s="452">
        <v>46202</v>
      </c>
      <c r="G53">
        <v>24484</v>
      </c>
      <c r="H53" t="s">
        <v>4154</v>
      </c>
      <c r="I53" t="s">
        <v>3469</v>
      </c>
      <c r="J53">
        <v>0.5</v>
      </c>
      <c r="K53" t="s">
        <v>3892</v>
      </c>
      <c r="L53">
        <v>7.8</v>
      </c>
      <c r="M53">
        <v>15.6</v>
      </c>
      <c r="O53" t="s">
        <v>466</v>
      </c>
    </row>
    <row r="54" spans="1:15" x14ac:dyDescent="0.3">
      <c r="A54">
        <v>242673</v>
      </c>
      <c r="B54">
        <v>116</v>
      </c>
      <c r="C54" t="s">
        <v>568</v>
      </c>
      <c r="D54" t="s">
        <v>2280</v>
      </c>
      <c r="E54" t="s">
        <v>2281</v>
      </c>
      <c r="F54" s="452">
        <v>46202</v>
      </c>
      <c r="G54">
        <v>23142</v>
      </c>
      <c r="H54" t="s">
        <v>4151</v>
      </c>
      <c r="I54" t="s">
        <v>3469</v>
      </c>
      <c r="J54">
        <v>1</v>
      </c>
      <c r="K54" t="s">
        <v>3892</v>
      </c>
      <c r="L54">
        <v>21.66</v>
      </c>
      <c r="M54">
        <v>21.66</v>
      </c>
      <c r="O54" t="s">
        <v>466</v>
      </c>
    </row>
    <row r="55" spans="1:15" x14ac:dyDescent="0.3">
      <c r="A55">
        <v>242673</v>
      </c>
      <c r="B55">
        <v>116</v>
      </c>
      <c r="C55" t="s">
        <v>568</v>
      </c>
      <c r="D55" t="s">
        <v>2280</v>
      </c>
      <c r="E55" t="s">
        <v>2281</v>
      </c>
      <c r="F55" s="452">
        <v>46202</v>
      </c>
      <c r="G55">
        <v>19740</v>
      </c>
      <c r="H55" t="s">
        <v>3933</v>
      </c>
      <c r="I55" t="s">
        <v>3469</v>
      </c>
      <c r="J55">
        <v>5</v>
      </c>
      <c r="K55" t="s">
        <v>3892</v>
      </c>
      <c r="L55">
        <v>42.25</v>
      </c>
      <c r="M55">
        <v>8.4499999999999993</v>
      </c>
      <c r="O55" t="s">
        <v>466</v>
      </c>
    </row>
    <row r="56" spans="1:15" x14ac:dyDescent="0.3">
      <c r="A56">
        <v>242673</v>
      </c>
      <c r="B56">
        <v>116</v>
      </c>
      <c r="C56" t="s">
        <v>568</v>
      </c>
      <c r="D56" t="s">
        <v>2280</v>
      </c>
      <c r="E56" t="s">
        <v>2281</v>
      </c>
      <c r="F56" s="452">
        <v>46202</v>
      </c>
      <c r="G56">
        <v>23127</v>
      </c>
      <c r="H56" t="s">
        <v>4213</v>
      </c>
      <c r="I56" t="s">
        <v>3469</v>
      </c>
      <c r="J56">
        <v>1</v>
      </c>
      <c r="K56" t="s">
        <v>3892</v>
      </c>
      <c r="L56">
        <v>7.58</v>
      </c>
      <c r="M56">
        <v>7.58</v>
      </c>
      <c r="O56" t="s">
        <v>466</v>
      </c>
    </row>
    <row r="57" spans="1:15" x14ac:dyDescent="0.3">
      <c r="A57">
        <v>242672</v>
      </c>
      <c r="B57">
        <v>116</v>
      </c>
      <c r="C57" t="s">
        <v>568</v>
      </c>
      <c r="D57" t="s">
        <v>2282</v>
      </c>
      <c r="E57" t="s">
        <v>2283</v>
      </c>
      <c r="F57" s="452">
        <v>46203</v>
      </c>
      <c r="G57">
        <v>24497</v>
      </c>
      <c r="H57" t="s">
        <v>4214</v>
      </c>
      <c r="I57" t="s">
        <v>4215</v>
      </c>
      <c r="J57">
        <v>2</v>
      </c>
      <c r="K57" t="s">
        <v>3872</v>
      </c>
      <c r="L57">
        <v>269.10000000000002</v>
      </c>
      <c r="M57">
        <v>134.55000000000001</v>
      </c>
      <c r="O57" t="s">
        <v>466</v>
      </c>
    </row>
    <row r="58" spans="1:15" x14ac:dyDescent="0.3">
      <c r="A58">
        <v>242671</v>
      </c>
      <c r="B58">
        <v>116</v>
      </c>
      <c r="C58" t="s">
        <v>568</v>
      </c>
      <c r="D58" t="s">
        <v>2284</v>
      </c>
      <c r="E58" t="s">
        <v>2285</v>
      </c>
      <c r="F58" s="452">
        <v>46203</v>
      </c>
      <c r="G58">
        <v>19324</v>
      </c>
      <c r="H58" t="s">
        <v>3937</v>
      </c>
      <c r="I58" t="s">
        <v>3469</v>
      </c>
      <c r="J58">
        <v>4.08</v>
      </c>
      <c r="K58" t="s">
        <v>3892</v>
      </c>
      <c r="L58">
        <v>180.74</v>
      </c>
      <c r="M58">
        <v>44.299019999999999</v>
      </c>
      <c r="O58" t="s">
        <v>466</v>
      </c>
    </row>
    <row r="59" spans="1:15" x14ac:dyDescent="0.3">
      <c r="A59">
        <v>242671</v>
      </c>
      <c r="B59">
        <v>116</v>
      </c>
      <c r="C59" t="s">
        <v>568</v>
      </c>
      <c r="D59" t="s">
        <v>2284</v>
      </c>
      <c r="E59" t="s">
        <v>2285</v>
      </c>
      <c r="F59" s="452">
        <v>46203</v>
      </c>
      <c r="G59">
        <v>24185</v>
      </c>
      <c r="H59" t="s">
        <v>4040</v>
      </c>
      <c r="I59" t="s">
        <v>3469</v>
      </c>
      <c r="J59">
        <v>3</v>
      </c>
      <c r="K59" t="s">
        <v>3892</v>
      </c>
      <c r="L59">
        <v>69.599999999999994</v>
      </c>
      <c r="M59">
        <v>23.2</v>
      </c>
      <c r="O59" t="s">
        <v>466</v>
      </c>
    </row>
    <row r="60" spans="1:15" x14ac:dyDescent="0.3">
      <c r="A60">
        <v>242671</v>
      </c>
      <c r="B60">
        <v>116</v>
      </c>
      <c r="C60" t="s">
        <v>568</v>
      </c>
      <c r="D60" t="s">
        <v>2284</v>
      </c>
      <c r="E60" t="s">
        <v>2285</v>
      </c>
      <c r="F60" s="452">
        <v>46203</v>
      </c>
      <c r="G60">
        <v>25769</v>
      </c>
      <c r="H60" t="s">
        <v>4013</v>
      </c>
      <c r="I60" t="s">
        <v>3469</v>
      </c>
      <c r="J60">
        <v>5</v>
      </c>
      <c r="K60" t="s">
        <v>3892</v>
      </c>
      <c r="L60">
        <v>27.25</v>
      </c>
      <c r="M60">
        <v>5.45</v>
      </c>
      <c r="O60" t="s">
        <v>466</v>
      </c>
    </row>
    <row r="61" spans="1:15" x14ac:dyDescent="0.3">
      <c r="A61">
        <v>242671</v>
      </c>
      <c r="B61">
        <v>116</v>
      </c>
      <c r="C61" t="s">
        <v>568</v>
      </c>
      <c r="D61" t="s">
        <v>2284</v>
      </c>
      <c r="E61" t="s">
        <v>2285</v>
      </c>
      <c r="F61" s="452">
        <v>46203</v>
      </c>
      <c r="G61">
        <v>21400</v>
      </c>
      <c r="H61" t="s">
        <v>4165</v>
      </c>
      <c r="I61" t="s">
        <v>3469</v>
      </c>
      <c r="J61">
        <v>3.5</v>
      </c>
      <c r="K61" t="s">
        <v>3892</v>
      </c>
      <c r="L61">
        <v>101.33</v>
      </c>
      <c r="M61">
        <v>28.951429000000001</v>
      </c>
      <c r="O61" t="s">
        <v>466</v>
      </c>
    </row>
    <row r="62" spans="1:15" x14ac:dyDescent="0.3">
      <c r="A62">
        <v>242671</v>
      </c>
      <c r="B62">
        <v>116</v>
      </c>
      <c r="C62" t="s">
        <v>568</v>
      </c>
      <c r="D62" t="s">
        <v>2284</v>
      </c>
      <c r="E62" t="s">
        <v>2285</v>
      </c>
      <c r="F62" s="452">
        <v>46203</v>
      </c>
      <c r="G62">
        <v>20685</v>
      </c>
      <c r="H62" t="s">
        <v>4122</v>
      </c>
      <c r="I62" t="s">
        <v>3469</v>
      </c>
      <c r="J62">
        <v>6</v>
      </c>
      <c r="K62" t="s">
        <v>3872</v>
      </c>
      <c r="L62">
        <v>18.600000000000001</v>
      </c>
      <c r="M62">
        <v>3.1</v>
      </c>
      <c r="O62" t="s">
        <v>466</v>
      </c>
    </row>
    <row r="63" spans="1:15" x14ac:dyDescent="0.3">
      <c r="A63">
        <v>242671</v>
      </c>
      <c r="B63">
        <v>116</v>
      </c>
      <c r="C63" t="s">
        <v>568</v>
      </c>
      <c r="D63" t="s">
        <v>2284</v>
      </c>
      <c r="E63" t="s">
        <v>2285</v>
      </c>
      <c r="F63" s="452">
        <v>46203</v>
      </c>
      <c r="G63">
        <v>19287</v>
      </c>
      <c r="H63" t="s">
        <v>3974</v>
      </c>
      <c r="I63" t="s">
        <v>3469</v>
      </c>
      <c r="J63">
        <v>3.32</v>
      </c>
      <c r="K63" t="s">
        <v>3892</v>
      </c>
      <c r="L63">
        <v>151.06</v>
      </c>
      <c r="M63">
        <v>45.5</v>
      </c>
      <c r="O63" t="s">
        <v>466</v>
      </c>
    </row>
    <row r="64" spans="1:15" x14ac:dyDescent="0.3">
      <c r="A64">
        <v>242670</v>
      </c>
      <c r="B64">
        <v>116</v>
      </c>
      <c r="C64" t="s">
        <v>568</v>
      </c>
      <c r="D64" t="s">
        <v>2286</v>
      </c>
      <c r="E64" t="s">
        <v>2287</v>
      </c>
      <c r="F64" s="452">
        <v>46203</v>
      </c>
      <c r="G64">
        <v>23113</v>
      </c>
      <c r="H64" t="s">
        <v>4079</v>
      </c>
      <c r="I64" t="s">
        <v>3469</v>
      </c>
      <c r="J64">
        <v>1</v>
      </c>
      <c r="K64" t="s">
        <v>3892</v>
      </c>
      <c r="L64">
        <v>8</v>
      </c>
      <c r="M64">
        <v>8</v>
      </c>
      <c r="O64" t="s">
        <v>466</v>
      </c>
    </row>
    <row r="65" spans="1:15" x14ac:dyDescent="0.3">
      <c r="A65">
        <v>242670</v>
      </c>
      <c r="B65">
        <v>116</v>
      </c>
      <c r="C65" t="s">
        <v>568</v>
      </c>
      <c r="D65" t="s">
        <v>2286</v>
      </c>
      <c r="E65" t="s">
        <v>2287</v>
      </c>
      <c r="F65" s="452">
        <v>46203</v>
      </c>
      <c r="G65">
        <v>19498</v>
      </c>
      <c r="H65" t="s">
        <v>4065</v>
      </c>
      <c r="I65" t="s">
        <v>3469</v>
      </c>
      <c r="J65">
        <v>1</v>
      </c>
      <c r="K65" t="s">
        <v>3892</v>
      </c>
      <c r="L65">
        <v>15</v>
      </c>
      <c r="M65">
        <v>15</v>
      </c>
      <c r="O65" t="s">
        <v>466</v>
      </c>
    </row>
    <row r="66" spans="1:15" x14ac:dyDescent="0.3">
      <c r="A66">
        <v>242670</v>
      </c>
      <c r="B66">
        <v>116</v>
      </c>
      <c r="C66" t="s">
        <v>568</v>
      </c>
      <c r="D66" t="s">
        <v>2286</v>
      </c>
      <c r="E66" t="s">
        <v>2287</v>
      </c>
      <c r="F66" s="452">
        <v>46203</v>
      </c>
      <c r="G66">
        <v>19505</v>
      </c>
      <c r="H66" t="s">
        <v>4101</v>
      </c>
      <c r="I66" t="s">
        <v>3469</v>
      </c>
      <c r="J66">
        <v>1</v>
      </c>
      <c r="K66" t="s">
        <v>3892</v>
      </c>
      <c r="L66">
        <v>10.5</v>
      </c>
      <c r="M66">
        <v>10.5</v>
      </c>
      <c r="O66" t="s">
        <v>466</v>
      </c>
    </row>
    <row r="67" spans="1:15" x14ac:dyDescent="0.3">
      <c r="A67">
        <v>242670</v>
      </c>
      <c r="B67">
        <v>116</v>
      </c>
      <c r="C67" t="s">
        <v>568</v>
      </c>
      <c r="D67" t="s">
        <v>2286</v>
      </c>
      <c r="E67" t="s">
        <v>2287</v>
      </c>
      <c r="F67" s="452">
        <v>46203</v>
      </c>
      <c r="G67">
        <v>19787</v>
      </c>
      <c r="H67" t="s">
        <v>3940</v>
      </c>
      <c r="I67" t="s">
        <v>3469</v>
      </c>
      <c r="J67">
        <v>3</v>
      </c>
      <c r="K67" t="s">
        <v>3892</v>
      </c>
      <c r="L67">
        <v>16.8</v>
      </c>
      <c r="M67">
        <v>5.6</v>
      </c>
      <c r="O67" t="s">
        <v>466</v>
      </c>
    </row>
    <row r="68" spans="1:15" x14ac:dyDescent="0.3">
      <c r="A68">
        <v>242670</v>
      </c>
      <c r="B68">
        <v>116</v>
      </c>
      <c r="C68" t="s">
        <v>568</v>
      </c>
      <c r="D68" t="s">
        <v>2286</v>
      </c>
      <c r="E68" t="s">
        <v>2287</v>
      </c>
      <c r="F68" s="452">
        <v>46203</v>
      </c>
      <c r="G68">
        <v>19617</v>
      </c>
      <c r="H68" t="s">
        <v>4110</v>
      </c>
      <c r="I68" t="s">
        <v>3469</v>
      </c>
      <c r="J68">
        <v>0.5</v>
      </c>
      <c r="K68" t="s">
        <v>3892</v>
      </c>
      <c r="L68">
        <v>12.5</v>
      </c>
      <c r="M68">
        <v>25</v>
      </c>
      <c r="O68" t="s">
        <v>466</v>
      </c>
    </row>
    <row r="69" spans="1:15" x14ac:dyDescent="0.3">
      <c r="A69">
        <v>242670</v>
      </c>
      <c r="B69">
        <v>116</v>
      </c>
      <c r="C69" t="s">
        <v>568</v>
      </c>
      <c r="D69" t="s">
        <v>2286</v>
      </c>
      <c r="E69" t="s">
        <v>2287</v>
      </c>
      <c r="F69" s="452">
        <v>46203</v>
      </c>
      <c r="G69">
        <v>19752</v>
      </c>
      <c r="H69" t="s">
        <v>4042</v>
      </c>
      <c r="I69" t="s">
        <v>3469</v>
      </c>
      <c r="J69">
        <v>1</v>
      </c>
      <c r="K69" t="s">
        <v>3892</v>
      </c>
      <c r="L69">
        <v>5</v>
      </c>
      <c r="M69">
        <v>5</v>
      </c>
      <c r="O69" t="s">
        <v>466</v>
      </c>
    </row>
    <row r="70" spans="1:15" x14ac:dyDescent="0.3">
      <c r="A70">
        <v>242670</v>
      </c>
      <c r="B70">
        <v>116</v>
      </c>
      <c r="C70" t="s">
        <v>568</v>
      </c>
      <c r="D70" t="s">
        <v>2286</v>
      </c>
      <c r="E70" t="s">
        <v>2287</v>
      </c>
      <c r="F70" s="452">
        <v>46203</v>
      </c>
      <c r="G70">
        <v>19494</v>
      </c>
      <c r="H70" t="s">
        <v>4126</v>
      </c>
      <c r="I70" t="s">
        <v>3469</v>
      </c>
      <c r="J70">
        <v>1</v>
      </c>
      <c r="K70" t="s">
        <v>3892</v>
      </c>
      <c r="L70">
        <v>12.5</v>
      </c>
      <c r="M70">
        <v>12.5</v>
      </c>
      <c r="O70" t="s">
        <v>466</v>
      </c>
    </row>
    <row r="71" spans="1:15" x14ac:dyDescent="0.3">
      <c r="A71">
        <v>242670</v>
      </c>
      <c r="B71">
        <v>116</v>
      </c>
      <c r="C71" t="s">
        <v>568</v>
      </c>
      <c r="D71" t="s">
        <v>2286</v>
      </c>
      <c r="E71" t="s">
        <v>2287</v>
      </c>
      <c r="F71" s="452">
        <v>46203</v>
      </c>
      <c r="G71">
        <v>23389</v>
      </c>
      <c r="H71" t="s">
        <v>4016</v>
      </c>
      <c r="I71" t="s">
        <v>3469</v>
      </c>
      <c r="J71">
        <v>5</v>
      </c>
      <c r="K71" t="s">
        <v>3892</v>
      </c>
      <c r="L71">
        <v>25</v>
      </c>
      <c r="M71">
        <v>5</v>
      </c>
      <c r="O71" t="s">
        <v>466</v>
      </c>
    </row>
    <row r="72" spans="1:15" x14ac:dyDescent="0.3">
      <c r="A72">
        <v>242670</v>
      </c>
      <c r="B72">
        <v>116</v>
      </c>
      <c r="C72" t="s">
        <v>568</v>
      </c>
      <c r="D72" t="s">
        <v>2286</v>
      </c>
      <c r="E72" t="s">
        <v>2287</v>
      </c>
      <c r="F72" s="452">
        <v>46203</v>
      </c>
      <c r="G72">
        <v>23236</v>
      </c>
      <c r="H72" t="s">
        <v>4017</v>
      </c>
      <c r="I72" t="s">
        <v>3469</v>
      </c>
      <c r="J72">
        <v>3</v>
      </c>
      <c r="K72" t="s">
        <v>3892</v>
      </c>
      <c r="L72">
        <v>24</v>
      </c>
      <c r="M72">
        <v>8</v>
      </c>
      <c r="O72" t="s">
        <v>466</v>
      </c>
    </row>
    <row r="73" spans="1:15" x14ac:dyDescent="0.3">
      <c r="A73">
        <v>242670</v>
      </c>
      <c r="B73">
        <v>116</v>
      </c>
      <c r="C73" t="s">
        <v>568</v>
      </c>
      <c r="D73" t="s">
        <v>2286</v>
      </c>
      <c r="E73" t="s">
        <v>2287</v>
      </c>
      <c r="F73" s="452">
        <v>46203</v>
      </c>
      <c r="G73">
        <v>19555</v>
      </c>
      <c r="H73" t="s">
        <v>4109</v>
      </c>
      <c r="I73" t="s">
        <v>3469</v>
      </c>
      <c r="J73">
        <v>0.5</v>
      </c>
      <c r="K73" t="s">
        <v>3892</v>
      </c>
      <c r="L73">
        <v>8.5</v>
      </c>
      <c r="M73">
        <v>17</v>
      </c>
      <c r="O73" t="s">
        <v>466</v>
      </c>
    </row>
    <row r="74" spans="1:15" x14ac:dyDescent="0.3">
      <c r="A74">
        <v>242670</v>
      </c>
      <c r="B74">
        <v>116</v>
      </c>
      <c r="C74" t="s">
        <v>568</v>
      </c>
      <c r="D74" t="s">
        <v>2286</v>
      </c>
      <c r="E74" t="s">
        <v>2287</v>
      </c>
      <c r="F74" s="452">
        <v>46203</v>
      </c>
      <c r="G74">
        <v>19506</v>
      </c>
      <c r="H74" t="s">
        <v>4112</v>
      </c>
      <c r="I74" t="s">
        <v>3469</v>
      </c>
      <c r="J74">
        <v>0.2</v>
      </c>
      <c r="K74" t="s">
        <v>3892</v>
      </c>
      <c r="L74">
        <v>11</v>
      </c>
      <c r="M74">
        <v>55</v>
      </c>
      <c r="O74" t="s">
        <v>466</v>
      </c>
    </row>
    <row r="75" spans="1:15" x14ac:dyDescent="0.3">
      <c r="A75">
        <v>242670</v>
      </c>
      <c r="B75">
        <v>116</v>
      </c>
      <c r="C75" t="s">
        <v>568</v>
      </c>
      <c r="D75" t="s">
        <v>2286</v>
      </c>
      <c r="E75" t="s">
        <v>2287</v>
      </c>
      <c r="F75" s="452">
        <v>46203</v>
      </c>
      <c r="G75">
        <v>23120</v>
      </c>
      <c r="H75" t="s">
        <v>4111</v>
      </c>
      <c r="I75" t="s">
        <v>3469</v>
      </c>
      <c r="J75">
        <v>0.2</v>
      </c>
      <c r="K75" t="s">
        <v>3892</v>
      </c>
      <c r="L75">
        <v>12</v>
      </c>
      <c r="M75">
        <v>60</v>
      </c>
      <c r="O75" t="s">
        <v>466</v>
      </c>
    </row>
    <row r="76" spans="1:15" x14ac:dyDescent="0.3">
      <c r="A76">
        <v>242670</v>
      </c>
      <c r="B76">
        <v>116</v>
      </c>
      <c r="C76" t="s">
        <v>568</v>
      </c>
      <c r="D76" t="s">
        <v>2286</v>
      </c>
      <c r="E76" t="s">
        <v>2287</v>
      </c>
      <c r="F76" s="452">
        <v>46203</v>
      </c>
      <c r="G76">
        <v>19558</v>
      </c>
      <c r="H76" t="s">
        <v>4183</v>
      </c>
      <c r="I76" t="s">
        <v>3469</v>
      </c>
      <c r="J76">
        <v>1</v>
      </c>
      <c r="K76" t="s">
        <v>3892</v>
      </c>
      <c r="L76">
        <v>20</v>
      </c>
      <c r="M76">
        <v>20</v>
      </c>
      <c r="O76" t="s">
        <v>466</v>
      </c>
    </row>
    <row r="77" spans="1:15" x14ac:dyDescent="0.3">
      <c r="A77">
        <v>242276</v>
      </c>
      <c r="B77">
        <v>116</v>
      </c>
      <c r="C77" t="s">
        <v>568</v>
      </c>
      <c r="D77" t="s">
        <v>2288</v>
      </c>
      <c r="E77" t="s">
        <v>2289</v>
      </c>
      <c r="F77" s="452">
        <v>46203</v>
      </c>
      <c r="G77">
        <v>28720</v>
      </c>
      <c r="H77" t="s">
        <v>4216</v>
      </c>
      <c r="I77" t="s">
        <v>4217</v>
      </c>
      <c r="J77">
        <v>2</v>
      </c>
      <c r="K77" t="s">
        <v>3881</v>
      </c>
      <c r="L77">
        <v>468.56</v>
      </c>
      <c r="M77">
        <v>234.28</v>
      </c>
      <c r="N77" t="s">
        <v>4218</v>
      </c>
      <c r="O77" t="s">
        <v>466</v>
      </c>
    </row>
    <row r="78" spans="1:15" x14ac:dyDescent="0.3">
      <c r="A78">
        <v>241916</v>
      </c>
      <c r="B78">
        <v>116</v>
      </c>
      <c r="C78" t="s">
        <v>568</v>
      </c>
      <c r="D78" t="s">
        <v>2269</v>
      </c>
      <c r="E78" t="s">
        <v>2290</v>
      </c>
      <c r="F78" s="452">
        <v>46190</v>
      </c>
      <c r="G78">
        <v>29129</v>
      </c>
      <c r="H78" t="s">
        <v>4176</v>
      </c>
      <c r="I78" t="s">
        <v>3469</v>
      </c>
      <c r="J78">
        <v>9</v>
      </c>
      <c r="K78" t="s">
        <v>3872</v>
      </c>
      <c r="L78">
        <v>103.23</v>
      </c>
      <c r="M78">
        <v>11.47</v>
      </c>
      <c r="O78" t="s">
        <v>466</v>
      </c>
    </row>
    <row r="79" spans="1:15" x14ac:dyDescent="0.3">
      <c r="A79">
        <v>241915</v>
      </c>
      <c r="B79">
        <v>116</v>
      </c>
      <c r="C79" t="s">
        <v>568</v>
      </c>
      <c r="D79" t="s">
        <v>2262</v>
      </c>
      <c r="E79" t="s">
        <v>2291</v>
      </c>
      <c r="F79" s="452">
        <v>46196</v>
      </c>
      <c r="G79">
        <v>19034</v>
      </c>
      <c r="H79" t="s">
        <v>3989</v>
      </c>
      <c r="I79" t="s">
        <v>3469</v>
      </c>
      <c r="J79">
        <v>5.2</v>
      </c>
      <c r="K79" t="s">
        <v>3892</v>
      </c>
      <c r="L79">
        <v>46.8</v>
      </c>
      <c r="M79">
        <v>9</v>
      </c>
      <c r="O79" t="s">
        <v>466</v>
      </c>
    </row>
    <row r="80" spans="1:15" x14ac:dyDescent="0.3">
      <c r="A80">
        <v>241915</v>
      </c>
      <c r="B80">
        <v>116</v>
      </c>
      <c r="C80" t="s">
        <v>568</v>
      </c>
      <c r="D80" t="s">
        <v>2262</v>
      </c>
      <c r="E80" t="s">
        <v>2291</v>
      </c>
      <c r="F80" s="452">
        <v>46196</v>
      </c>
      <c r="G80">
        <v>20501</v>
      </c>
      <c r="H80" t="s">
        <v>4219</v>
      </c>
      <c r="I80" t="s">
        <v>3469</v>
      </c>
      <c r="J80">
        <v>5</v>
      </c>
      <c r="K80" t="s">
        <v>3892</v>
      </c>
      <c r="L80">
        <v>109.5</v>
      </c>
      <c r="M80">
        <v>21.9</v>
      </c>
      <c r="O80" t="s">
        <v>466</v>
      </c>
    </row>
    <row r="81" spans="1:15" x14ac:dyDescent="0.3">
      <c r="A81">
        <v>241915</v>
      </c>
      <c r="B81">
        <v>116</v>
      </c>
      <c r="C81" t="s">
        <v>568</v>
      </c>
      <c r="D81" t="s">
        <v>2262</v>
      </c>
      <c r="E81" t="s">
        <v>2291</v>
      </c>
      <c r="F81" s="452">
        <v>46196</v>
      </c>
      <c r="G81">
        <v>24116</v>
      </c>
      <c r="H81" t="s">
        <v>3963</v>
      </c>
      <c r="I81" t="s">
        <v>3469</v>
      </c>
      <c r="J81">
        <v>5</v>
      </c>
      <c r="K81" t="s">
        <v>3892</v>
      </c>
      <c r="L81">
        <v>224.5</v>
      </c>
      <c r="M81">
        <v>44.9</v>
      </c>
      <c r="O81" t="s">
        <v>466</v>
      </c>
    </row>
    <row r="82" spans="1:15" x14ac:dyDescent="0.3">
      <c r="A82">
        <v>241915</v>
      </c>
      <c r="B82">
        <v>116</v>
      </c>
      <c r="C82" t="s">
        <v>568</v>
      </c>
      <c r="D82" t="s">
        <v>2262</v>
      </c>
      <c r="E82" t="s">
        <v>2291</v>
      </c>
      <c r="F82" s="452">
        <v>46196</v>
      </c>
      <c r="G82">
        <v>24388</v>
      </c>
      <c r="H82" t="s">
        <v>3915</v>
      </c>
      <c r="I82" t="s">
        <v>3469</v>
      </c>
      <c r="J82">
        <v>6.9</v>
      </c>
      <c r="K82" t="s">
        <v>3892</v>
      </c>
      <c r="L82">
        <v>219.42</v>
      </c>
      <c r="M82">
        <v>31.8</v>
      </c>
      <c r="O82" t="s">
        <v>466</v>
      </c>
    </row>
    <row r="83" spans="1:15" x14ac:dyDescent="0.3">
      <c r="A83">
        <v>241915</v>
      </c>
      <c r="B83">
        <v>116</v>
      </c>
      <c r="C83" t="s">
        <v>568</v>
      </c>
      <c r="D83" t="s">
        <v>2262</v>
      </c>
      <c r="E83" t="s">
        <v>2291</v>
      </c>
      <c r="F83" s="452">
        <v>46196</v>
      </c>
      <c r="G83">
        <v>19017</v>
      </c>
      <c r="H83" t="s">
        <v>4172</v>
      </c>
      <c r="I83" t="s">
        <v>3469</v>
      </c>
      <c r="J83">
        <v>10.3</v>
      </c>
      <c r="K83" t="s">
        <v>3892</v>
      </c>
      <c r="L83">
        <v>156.56</v>
      </c>
      <c r="M83">
        <v>15.2</v>
      </c>
      <c r="O83" t="s">
        <v>466</v>
      </c>
    </row>
    <row r="84" spans="1:15" x14ac:dyDescent="0.3">
      <c r="A84">
        <v>241913</v>
      </c>
      <c r="B84">
        <v>116</v>
      </c>
      <c r="C84" t="s">
        <v>568</v>
      </c>
      <c r="D84" t="s">
        <v>2262</v>
      </c>
      <c r="E84" t="s">
        <v>2292</v>
      </c>
      <c r="F84" s="452">
        <v>46190</v>
      </c>
      <c r="G84">
        <v>24388</v>
      </c>
      <c r="H84" t="s">
        <v>3915</v>
      </c>
      <c r="I84" t="s">
        <v>3469</v>
      </c>
      <c r="J84">
        <v>11.1</v>
      </c>
      <c r="K84" t="s">
        <v>3892</v>
      </c>
      <c r="L84">
        <v>330.78</v>
      </c>
      <c r="M84">
        <v>29.8</v>
      </c>
      <c r="O84" t="s">
        <v>466</v>
      </c>
    </row>
    <row r="85" spans="1:15" x14ac:dyDescent="0.3">
      <c r="A85">
        <v>241912</v>
      </c>
      <c r="B85">
        <v>116</v>
      </c>
      <c r="C85" t="s">
        <v>568</v>
      </c>
      <c r="D85" t="s">
        <v>2293</v>
      </c>
      <c r="E85" t="s">
        <v>2294</v>
      </c>
      <c r="F85" s="452">
        <v>46185</v>
      </c>
      <c r="G85">
        <v>16974</v>
      </c>
      <c r="H85" t="s">
        <v>3996</v>
      </c>
      <c r="I85" t="s">
        <v>3497</v>
      </c>
      <c r="J85">
        <v>250</v>
      </c>
      <c r="K85" t="s">
        <v>3881</v>
      </c>
      <c r="L85">
        <v>675</v>
      </c>
      <c r="M85">
        <v>2.7</v>
      </c>
      <c r="O85" t="s">
        <v>466</v>
      </c>
    </row>
    <row r="86" spans="1:15" x14ac:dyDescent="0.3">
      <c r="A86">
        <v>241911</v>
      </c>
      <c r="B86">
        <v>116</v>
      </c>
      <c r="C86" t="s">
        <v>568</v>
      </c>
      <c r="D86" t="s">
        <v>2293</v>
      </c>
      <c r="E86" t="s">
        <v>2295</v>
      </c>
      <c r="F86" s="452">
        <v>46188</v>
      </c>
      <c r="G86">
        <v>16974</v>
      </c>
      <c r="H86" t="s">
        <v>3996</v>
      </c>
      <c r="I86" t="s">
        <v>3497</v>
      </c>
      <c r="J86">
        <v>200</v>
      </c>
      <c r="K86" t="s">
        <v>3881</v>
      </c>
      <c r="L86">
        <v>540</v>
      </c>
      <c r="M86">
        <v>2.7</v>
      </c>
      <c r="O86" t="s">
        <v>466</v>
      </c>
    </row>
    <row r="87" spans="1:15" x14ac:dyDescent="0.3">
      <c r="A87">
        <v>241909</v>
      </c>
      <c r="B87">
        <v>116</v>
      </c>
      <c r="C87" t="s">
        <v>568</v>
      </c>
      <c r="D87" t="s">
        <v>2267</v>
      </c>
      <c r="E87" t="s">
        <v>2296</v>
      </c>
      <c r="F87" s="452">
        <v>46190</v>
      </c>
      <c r="G87">
        <v>20549</v>
      </c>
      <c r="H87" t="s">
        <v>4007</v>
      </c>
      <c r="I87" t="s">
        <v>3469</v>
      </c>
      <c r="J87">
        <v>7</v>
      </c>
      <c r="K87" t="s">
        <v>3892</v>
      </c>
      <c r="L87">
        <v>139.93</v>
      </c>
      <c r="M87">
        <v>19.989999999999998</v>
      </c>
      <c r="O87" t="s">
        <v>466</v>
      </c>
    </row>
    <row r="88" spans="1:15" x14ac:dyDescent="0.3">
      <c r="A88">
        <v>241909</v>
      </c>
      <c r="B88">
        <v>116</v>
      </c>
      <c r="C88" t="s">
        <v>568</v>
      </c>
      <c r="D88" t="s">
        <v>2267</v>
      </c>
      <c r="E88" t="s">
        <v>2296</v>
      </c>
      <c r="F88" s="452">
        <v>46190</v>
      </c>
      <c r="G88">
        <v>18682</v>
      </c>
      <c r="H88" t="s">
        <v>4025</v>
      </c>
      <c r="I88" t="s">
        <v>3469</v>
      </c>
      <c r="J88">
        <v>7.3</v>
      </c>
      <c r="K88" t="s">
        <v>3892</v>
      </c>
      <c r="L88">
        <v>204.33</v>
      </c>
      <c r="M88">
        <v>27.990411000000002</v>
      </c>
      <c r="O88" t="s">
        <v>466</v>
      </c>
    </row>
    <row r="89" spans="1:15" x14ac:dyDescent="0.3">
      <c r="A89">
        <v>241909</v>
      </c>
      <c r="B89">
        <v>116</v>
      </c>
      <c r="C89" t="s">
        <v>568</v>
      </c>
      <c r="D89" t="s">
        <v>2267</v>
      </c>
      <c r="E89" t="s">
        <v>2296</v>
      </c>
      <c r="F89" s="452">
        <v>46190</v>
      </c>
      <c r="G89">
        <v>18696</v>
      </c>
      <c r="H89" t="s">
        <v>3956</v>
      </c>
      <c r="I89" t="s">
        <v>3469</v>
      </c>
      <c r="J89">
        <v>5</v>
      </c>
      <c r="K89" t="s">
        <v>3892</v>
      </c>
      <c r="L89">
        <v>89.95</v>
      </c>
      <c r="M89">
        <v>17.989999999999998</v>
      </c>
      <c r="O89" t="s">
        <v>466</v>
      </c>
    </row>
    <row r="90" spans="1:15" x14ac:dyDescent="0.3">
      <c r="A90">
        <v>241909</v>
      </c>
      <c r="B90">
        <v>116</v>
      </c>
      <c r="C90" t="s">
        <v>568</v>
      </c>
      <c r="D90" t="s">
        <v>2267</v>
      </c>
      <c r="E90" t="s">
        <v>2296</v>
      </c>
      <c r="F90" s="452">
        <v>46190</v>
      </c>
      <c r="G90">
        <v>24343</v>
      </c>
      <c r="H90" t="s">
        <v>3990</v>
      </c>
      <c r="I90" t="s">
        <v>3469</v>
      </c>
      <c r="J90">
        <v>7</v>
      </c>
      <c r="K90" t="s">
        <v>3892</v>
      </c>
      <c r="L90">
        <v>139.93</v>
      </c>
      <c r="M90">
        <v>19.989999999999998</v>
      </c>
      <c r="O90" t="s">
        <v>466</v>
      </c>
    </row>
    <row r="91" spans="1:15" x14ac:dyDescent="0.3">
      <c r="A91">
        <v>241907</v>
      </c>
      <c r="B91">
        <v>116</v>
      </c>
      <c r="C91" t="s">
        <v>568</v>
      </c>
      <c r="D91" t="s">
        <v>2269</v>
      </c>
      <c r="E91" t="s">
        <v>2297</v>
      </c>
      <c r="F91" s="452">
        <v>46188</v>
      </c>
      <c r="G91">
        <v>29129</v>
      </c>
      <c r="H91" t="s">
        <v>4176</v>
      </c>
      <c r="I91" t="s">
        <v>3469</v>
      </c>
      <c r="J91">
        <v>9</v>
      </c>
      <c r="K91" t="s">
        <v>3872</v>
      </c>
      <c r="L91">
        <v>103.23</v>
      </c>
      <c r="M91">
        <v>11.47</v>
      </c>
      <c r="O91" t="s">
        <v>466</v>
      </c>
    </row>
    <row r="92" spans="1:15" x14ac:dyDescent="0.3">
      <c r="A92">
        <v>241905</v>
      </c>
      <c r="B92">
        <v>116</v>
      </c>
      <c r="C92" t="s">
        <v>568</v>
      </c>
      <c r="D92" t="s">
        <v>2286</v>
      </c>
      <c r="E92" t="s">
        <v>2298</v>
      </c>
      <c r="F92" s="452">
        <v>46191</v>
      </c>
      <c r="G92">
        <v>19623</v>
      </c>
      <c r="H92" t="s">
        <v>3984</v>
      </c>
      <c r="I92" t="s">
        <v>3469</v>
      </c>
      <c r="J92">
        <v>3</v>
      </c>
      <c r="K92" t="s">
        <v>3892</v>
      </c>
      <c r="L92">
        <v>17.399999999999999</v>
      </c>
      <c r="M92">
        <v>5.8</v>
      </c>
      <c r="O92" t="s">
        <v>466</v>
      </c>
    </row>
    <row r="93" spans="1:15" x14ac:dyDescent="0.3">
      <c r="A93">
        <v>241905</v>
      </c>
      <c r="B93">
        <v>116</v>
      </c>
      <c r="C93" t="s">
        <v>568</v>
      </c>
      <c r="D93" t="s">
        <v>2286</v>
      </c>
      <c r="E93" t="s">
        <v>2298</v>
      </c>
      <c r="F93" s="452">
        <v>46191</v>
      </c>
      <c r="G93">
        <v>19498</v>
      </c>
      <c r="H93" t="s">
        <v>4065</v>
      </c>
      <c r="I93" t="s">
        <v>3469</v>
      </c>
      <c r="J93">
        <v>1</v>
      </c>
      <c r="K93" t="s">
        <v>3892</v>
      </c>
      <c r="L93">
        <v>12</v>
      </c>
      <c r="M93">
        <v>12</v>
      </c>
      <c r="O93" t="s">
        <v>466</v>
      </c>
    </row>
    <row r="94" spans="1:15" x14ac:dyDescent="0.3">
      <c r="A94">
        <v>241905</v>
      </c>
      <c r="B94">
        <v>116</v>
      </c>
      <c r="C94" t="s">
        <v>568</v>
      </c>
      <c r="D94" t="s">
        <v>2286</v>
      </c>
      <c r="E94" t="s">
        <v>2298</v>
      </c>
      <c r="F94" s="452">
        <v>46191</v>
      </c>
      <c r="G94">
        <v>19539</v>
      </c>
      <c r="H94" t="s">
        <v>4133</v>
      </c>
      <c r="I94" t="s">
        <v>3469</v>
      </c>
      <c r="J94">
        <v>18</v>
      </c>
      <c r="K94" t="s">
        <v>3892</v>
      </c>
      <c r="L94">
        <v>176.4</v>
      </c>
      <c r="M94">
        <v>9.8000000000000007</v>
      </c>
      <c r="O94" t="s">
        <v>466</v>
      </c>
    </row>
    <row r="95" spans="1:15" x14ac:dyDescent="0.3">
      <c r="A95">
        <v>241905</v>
      </c>
      <c r="B95">
        <v>116</v>
      </c>
      <c r="C95" t="s">
        <v>568</v>
      </c>
      <c r="D95" t="s">
        <v>2286</v>
      </c>
      <c r="E95" t="s">
        <v>2298</v>
      </c>
      <c r="F95" s="452">
        <v>46191</v>
      </c>
      <c r="G95">
        <v>23120</v>
      </c>
      <c r="H95" t="s">
        <v>4111</v>
      </c>
      <c r="I95" t="s">
        <v>3469</v>
      </c>
      <c r="J95">
        <v>0.2</v>
      </c>
      <c r="K95" t="s">
        <v>3892</v>
      </c>
      <c r="L95">
        <v>13</v>
      </c>
      <c r="M95">
        <v>65</v>
      </c>
      <c r="O95" t="s">
        <v>466</v>
      </c>
    </row>
    <row r="96" spans="1:15" x14ac:dyDescent="0.3">
      <c r="A96">
        <v>241905</v>
      </c>
      <c r="B96">
        <v>116</v>
      </c>
      <c r="C96" t="s">
        <v>568</v>
      </c>
      <c r="D96" t="s">
        <v>2286</v>
      </c>
      <c r="E96" t="s">
        <v>2298</v>
      </c>
      <c r="F96" s="452">
        <v>46191</v>
      </c>
      <c r="G96">
        <v>23142</v>
      </c>
      <c r="H96" t="s">
        <v>4151</v>
      </c>
      <c r="I96" t="s">
        <v>3469</v>
      </c>
      <c r="J96">
        <v>1</v>
      </c>
      <c r="K96" t="s">
        <v>3892</v>
      </c>
      <c r="L96">
        <v>17.5</v>
      </c>
      <c r="M96">
        <v>17.5</v>
      </c>
      <c r="O96" t="s">
        <v>466</v>
      </c>
    </row>
    <row r="97" spans="1:15" x14ac:dyDescent="0.3">
      <c r="A97">
        <v>241905</v>
      </c>
      <c r="B97">
        <v>116</v>
      </c>
      <c r="C97" t="s">
        <v>568</v>
      </c>
      <c r="D97" t="s">
        <v>2286</v>
      </c>
      <c r="E97" t="s">
        <v>2298</v>
      </c>
      <c r="F97" s="452">
        <v>46191</v>
      </c>
      <c r="G97">
        <v>23236</v>
      </c>
      <c r="H97" t="s">
        <v>4017</v>
      </c>
      <c r="I97" t="s">
        <v>3469</v>
      </c>
      <c r="J97">
        <v>3</v>
      </c>
      <c r="K97" t="s">
        <v>3892</v>
      </c>
      <c r="L97">
        <v>27</v>
      </c>
      <c r="M97">
        <v>9</v>
      </c>
      <c r="O97" t="s">
        <v>466</v>
      </c>
    </row>
    <row r="98" spans="1:15" x14ac:dyDescent="0.3">
      <c r="A98">
        <v>241905</v>
      </c>
      <c r="B98">
        <v>116</v>
      </c>
      <c r="C98" t="s">
        <v>568</v>
      </c>
      <c r="D98" t="s">
        <v>2286</v>
      </c>
      <c r="E98" t="s">
        <v>2298</v>
      </c>
      <c r="F98" s="452">
        <v>46191</v>
      </c>
      <c r="G98">
        <v>19647</v>
      </c>
      <c r="H98" t="s">
        <v>4066</v>
      </c>
      <c r="I98" t="s">
        <v>3469</v>
      </c>
      <c r="J98">
        <v>1</v>
      </c>
      <c r="K98" t="s">
        <v>3892</v>
      </c>
      <c r="L98">
        <v>12</v>
      </c>
      <c r="M98">
        <v>12</v>
      </c>
      <c r="O98" t="s">
        <v>466</v>
      </c>
    </row>
    <row r="99" spans="1:15" x14ac:dyDescent="0.3">
      <c r="A99">
        <v>241905</v>
      </c>
      <c r="B99">
        <v>116</v>
      </c>
      <c r="C99" t="s">
        <v>568</v>
      </c>
      <c r="D99" t="s">
        <v>2286</v>
      </c>
      <c r="E99" t="s">
        <v>2298</v>
      </c>
      <c r="F99" s="452">
        <v>46191</v>
      </c>
      <c r="G99">
        <v>19589</v>
      </c>
      <c r="H99" t="s">
        <v>4153</v>
      </c>
      <c r="I99" t="s">
        <v>3469</v>
      </c>
      <c r="J99">
        <v>2</v>
      </c>
      <c r="K99" t="s">
        <v>3892</v>
      </c>
      <c r="L99">
        <v>18</v>
      </c>
      <c r="M99">
        <v>9</v>
      </c>
      <c r="O99" t="s">
        <v>466</v>
      </c>
    </row>
    <row r="100" spans="1:15" x14ac:dyDescent="0.3">
      <c r="A100">
        <v>241905</v>
      </c>
      <c r="B100">
        <v>116</v>
      </c>
      <c r="C100" t="s">
        <v>568</v>
      </c>
      <c r="D100" t="s">
        <v>2286</v>
      </c>
      <c r="E100" t="s">
        <v>2298</v>
      </c>
      <c r="F100" s="452">
        <v>46191</v>
      </c>
      <c r="G100">
        <v>24598</v>
      </c>
      <c r="H100" t="s">
        <v>4166</v>
      </c>
      <c r="I100" t="s">
        <v>3469</v>
      </c>
      <c r="J100">
        <v>1</v>
      </c>
      <c r="K100" t="s">
        <v>3892</v>
      </c>
      <c r="L100">
        <v>12</v>
      </c>
      <c r="M100">
        <v>12</v>
      </c>
      <c r="O100" t="s">
        <v>466</v>
      </c>
    </row>
    <row r="101" spans="1:15" x14ac:dyDescent="0.3">
      <c r="A101">
        <v>241905</v>
      </c>
      <c r="B101">
        <v>116</v>
      </c>
      <c r="C101" t="s">
        <v>568</v>
      </c>
      <c r="D101" t="s">
        <v>2286</v>
      </c>
      <c r="E101" t="s">
        <v>2298</v>
      </c>
      <c r="F101" s="452">
        <v>46191</v>
      </c>
      <c r="G101">
        <v>19751</v>
      </c>
      <c r="H101" t="s">
        <v>4019</v>
      </c>
      <c r="I101" t="s">
        <v>3469</v>
      </c>
      <c r="J101">
        <v>2</v>
      </c>
      <c r="K101" t="s">
        <v>3892</v>
      </c>
      <c r="L101">
        <v>17</v>
      </c>
      <c r="M101">
        <v>8.5</v>
      </c>
      <c r="O101" t="s">
        <v>466</v>
      </c>
    </row>
    <row r="102" spans="1:15" x14ac:dyDescent="0.3">
      <c r="A102">
        <v>241905</v>
      </c>
      <c r="B102">
        <v>116</v>
      </c>
      <c r="C102" t="s">
        <v>568</v>
      </c>
      <c r="D102" t="s">
        <v>2286</v>
      </c>
      <c r="E102" t="s">
        <v>2298</v>
      </c>
      <c r="F102" s="452">
        <v>46191</v>
      </c>
      <c r="G102">
        <v>19621</v>
      </c>
      <c r="H102" t="s">
        <v>4125</v>
      </c>
      <c r="I102" t="s">
        <v>3469</v>
      </c>
      <c r="J102">
        <v>2</v>
      </c>
      <c r="K102" t="s">
        <v>3892</v>
      </c>
      <c r="L102">
        <v>13</v>
      </c>
      <c r="M102">
        <v>6.5</v>
      </c>
      <c r="O102" t="s">
        <v>466</v>
      </c>
    </row>
    <row r="103" spans="1:15" x14ac:dyDescent="0.3">
      <c r="A103">
        <v>241905</v>
      </c>
      <c r="B103">
        <v>116</v>
      </c>
      <c r="C103" t="s">
        <v>568</v>
      </c>
      <c r="D103" t="s">
        <v>2286</v>
      </c>
      <c r="E103" t="s">
        <v>2298</v>
      </c>
      <c r="F103" s="452">
        <v>46191</v>
      </c>
      <c r="G103">
        <v>23095</v>
      </c>
      <c r="H103" t="s">
        <v>3882</v>
      </c>
      <c r="I103" t="s">
        <v>3469</v>
      </c>
      <c r="J103">
        <v>60</v>
      </c>
      <c r="K103" t="s">
        <v>3872</v>
      </c>
      <c r="L103">
        <v>56.4</v>
      </c>
      <c r="M103">
        <v>0.94</v>
      </c>
      <c r="O103" t="s">
        <v>466</v>
      </c>
    </row>
    <row r="104" spans="1:15" x14ac:dyDescent="0.3">
      <c r="A104">
        <v>241905</v>
      </c>
      <c r="B104">
        <v>116</v>
      </c>
      <c r="C104" t="s">
        <v>568</v>
      </c>
      <c r="D104" t="s">
        <v>2286</v>
      </c>
      <c r="E104" t="s">
        <v>2298</v>
      </c>
      <c r="F104" s="452">
        <v>46191</v>
      </c>
      <c r="G104">
        <v>23198</v>
      </c>
      <c r="H104" t="s">
        <v>4167</v>
      </c>
      <c r="I104" t="s">
        <v>3469</v>
      </c>
      <c r="J104">
        <v>1</v>
      </c>
      <c r="K104" t="s">
        <v>3892</v>
      </c>
      <c r="L104">
        <v>14</v>
      </c>
      <c r="M104">
        <v>14</v>
      </c>
      <c r="O104" t="s">
        <v>466</v>
      </c>
    </row>
    <row r="105" spans="1:15" x14ac:dyDescent="0.3">
      <c r="A105">
        <v>241905</v>
      </c>
      <c r="B105">
        <v>116</v>
      </c>
      <c r="C105" t="s">
        <v>568</v>
      </c>
      <c r="D105" t="s">
        <v>2286</v>
      </c>
      <c r="E105" t="s">
        <v>2298</v>
      </c>
      <c r="F105" s="452">
        <v>46191</v>
      </c>
      <c r="G105">
        <v>19506</v>
      </c>
      <c r="H105" t="s">
        <v>4112</v>
      </c>
      <c r="I105" t="s">
        <v>3469</v>
      </c>
      <c r="J105">
        <v>2</v>
      </c>
      <c r="K105" t="s">
        <v>3892</v>
      </c>
      <c r="L105">
        <v>100</v>
      </c>
      <c r="M105">
        <v>50</v>
      </c>
      <c r="O105" t="s">
        <v>466</v>
      </c>
    </row>
    <row r="106" spans="1:15" x14ac:dyDescent="0.3">
      <c r="A106">
        <v>241905</v>
      </c>
      <c r="B106">
        <v>116</v>
      </c>
      <c r="C106" t="s">
        <v>568</v>
      </c>
      <c r="D106" t="s">
        <v>2286</v>
      </c>
      <c r="E106" t="s">
        <v>2298</v>
      </c>
      <c r="F106" s="452">
        <v>46191</v>
      </c>
      <c r="G106">
        <v>23113</v>
      </c>
      <c r="H106" t="s">
        <v>4079</v>
      </c>
      <c r="I106" t="s">
        <v>3469</v>
      </c>
      <c r="J106">
        <v>2</v>
      </c>
      <c r="K106" t="s">
        <v>3892</v>
      </c>
      <c r="L106">
        <v>14</v>
      </c>
      <c r="M106">
        <v>7</v>
      </c>
      <c r="O106" t="s">
        <v>466</v>
      </c>
    </row>
    <row r="107" spans="1:15" x14ac:dyDescent="0.3">
      <c r="A107">
        <v>241905</v>
      </c>
      <c r="B107">
        <v>116</v>
      </c>
      <c r="C107" t="s">
        <v>568</v>
      </c>
      <c r="D107" t="s">
        <v>2286</v>
      </c>
      <c r="E107" t="s">
        <v>2298</v>
      </c>
      <c r="F107" s="452">
        <v>46191</v>
      </c>
      <c r="G107">
        <v>19555</v>
      </c>
      <c r="H107" t="s">
        <v>4109</v>
      </c>
      <c r="I107" t="s">
        <v>3469</v>
      </c>
      <c r="J107">
        <v>0.5</v>
      </c>
      <c r="K107" t="s">
        <v>3892</v>
      </c>
      <c r="L107">
        <v>6.5</v>
      </c>
      <c r="M107">
        <v>13</v>
      </c>
      <c r="O107" t="s">
        <v>466</v>
      </c>
    </row>
    <row r="108" spans="1:15" x14ac:dyDescent="0.3">
      <c r="A108">
        <v>241905</v>
      </c>
      <c r="B108">
        <v>116</v>
      </c>
      <c r="C108" t="s">
        <v>568</v>
      </c>
      <c r="D108" t="s">
        <v>2286</v>
      </c>
      <c r="E108" t="s">
        <v>2298</v>
      </c>
      <c r="F108" s="452">
        <v>46191</v>
      </c>
      <c r="G108">
        <v>19553</v>
      </c>
      <c r="H108" t="s">
        <v>4078</v>
      </c>
      <c r="I108" t="s">
        <v>3469</v>
      </c>
      <c r="J108">
        <v>1</v>
      </c>
      <c r="K108" t="s">
        <v>3892</v>
      </c>
      <c r="L108">
        <v>4.5</v>
      </c>
      <c r="M108">
        <v>4.5</v>
      </c>
      <c r="O108" t="s">
        <v>466</v>
      </c>
    </row>
    <row r="109" spans="1:15" x14ac:dyDescent="0.3">
      <c r="A109">
        <v>241905</v>
      </c>
      <c r="B109">
        <v>116</v>
      </c>
      <c r="C109" t="s">
        <v>568</v>
      </c>
      <c r="D109" t="s">
        <v>2286</v>
      </c>
      <c r="E109" t="s">
        <v>2298</v>
      </c>
      <c r="F109" s="452">
        <v>46191</v>
      </c>
      <c r="G109">
        <v>19505</v>
      </c>
      <c r="H109" t="s">
        <v>4101</v>
      </c>
      <c r="I109" t="s">
        <v>3469</v>
      </c>
      <c r="J109">
        <v>1.5</v>
      </c>
      <c r="K109" t="s">
        <v>3892</v>
      </c>
      <c r="L109">
        <v>15</v>
      </c>
      <c r="M109">
        <v>10</v>
      </c>
      <c r="O109" t="s">
        <v>466</v>
      </c>
    </row>
    <row r="110" spans="1:15" x14ac:dyDescent="0.3">
      <c r="A110">
        <v>241905</v>
      </c>
      <c r="B110">
        <v>116</v>
      </c>
      <c r="C110" t="s">
        <v>568</v>
      </c>
      <c r="D110" t="s">
        <v>2286</v>
      </c>
      <c r="E110" t="s">
        <v>2298</v>
      </c>
      <c r="F110" s="452">
        <v>46191</v>
      </c>
      <c r="G110">
        <v>23195</v>
      </c>
      <c r="H110" t="s">
        <v>4184</v>
      </c>
      <c r="I110" t="s">
        <v>3469</v>
      </c>
      <c r="J110">
        <v>2</v>
      </c>
      <c r="K110" t="s">
        <v>3892</v>
      </c>
      <c r="L110">
        <v>18</v>
      </c>
      <c r="M110">
        <v>9</v>
      </c>
      <c r="O110" t="s">
        <v>466</v>
      </c>
    </row>
    <row r="111" spans="1:15" x14ac:dyDescent="0.3">
      <c r="A111">
        <v>241905</v>
      </c>
      <c r="B111">
        <v>116</v>
      </c>
      <c r="C111" t="s">
        <v>568</v>
      </c>
      <c r="D111" t="s">
        <v>2286</v>
      </c>
      <c r="E111" t="s">
        <v>2298</v>
      </c>
      <c r="F111" s="452">
        <v>46191</v>
      </c>
      <c r="G111">
        <v>19787</v>
      </c>
      <c r="H111" t="s">
        <v>3940</v>
      </c>
      <c r="I111" t="s">
        <v>3469</v>
      </c>
      <c r="J111">
        <v>6</v>
      </c>
      <c r="K111" t="s">
        <v>3892</v>
      </c>
      <c r="L111">
        <v>33</v>
      </c>
      <c r="M111">
        <v>5.5</v>
      </c>
      <c r="O111" t="s">
        <v>466</v>
      </c>
    </row>
    <row r="112" spans="1:15" x14ac:dyDescent="0.3">
      <c r="A112">
        <v>241905</v>
      </c>
      <c r="B112">
        <v>116</v>
      </c>
      <c r="C112" t="s">
        <v>568</v>
      </c>
      <c r="D112" t="s">
        <v>2286</v>
      </c>
      <c r="E112" t="s">
        <v>2298</v>
      </c>
      <c r="F112" s="452">
        <v>46191</v>
      </c>
      <c r="G112">
        <v>23361</v>
      </c>
      <c r="H112" t="s">
        <v>4220</v>
      </c>
      <c r="I112" t="s">
        <v>3469</v>
      </c>
      <c r="J112">
        <v>36</v>
      </c>
      <c r="K112" t="s">
        <v>3892</v>
      </c>
      <c r="L112">
        <v>93.6</v>
      </c>
      <c r="M112">
        <v>2.6</v>
      </c>
      <c r="O112" t="s">
        <v>466</v>
      </c>
    </row>
    <row r="113" spans="1:15" x14ac:dyDescent="0.3">
      <c r="A113">
        <v>241905</v>
      </c>
      <c r="B113">
        <v>116</v>
      </c>
      <c r="C113" t="s">
        <v>568</v>
      </c>
      <c r="D113" t="s">
        <v>2286</v>
      </c>
      <c r="E113" t="s">
        <v>2298</v>
      </c>
      <c r="F113" s="452">
        <v>46191</v>
      </c>
      <c r="G113">
        <v>19742</v>
      </c>
      <c r="H113" t="s">
        <v>4074</v>
      </c>
      <c r="I113" t="s">
        <v>3469</v>
      </c>
      <c r="J113">
        <v>1</v>
      </c>
      <c r="K113" t="s">
        <v>3892</v>
      </c>
      <c r="L113">
        <v>10</v>
      </c>
      <c r="M113">
        <v>10</v>
      </c>
      <c r="O113" t="s">
        <v>466</v>
      </c>
    </row>
    <row r="114" spans="1:15" x14ac:dyDescent="0.3">
      <c r="A114">
        <v>241905</v>
      </c>
      <c r="B114">
        <v>116</v>
      </c>
      <c r="C114" t="s">
        <v>568</v>
      </c>
      <c r="D114" t="s">
        <v>2286</v>
      </c>
      <c r="E114" t="s">
        <v>2298</v>
      </c>
      <c r="F114" s="452">
        <v>46191</v>
      </c>
      <c r="G114">
        <v>19494</v>
      </c>
      <c r="H114" t="s">
        <v>4126</v>
      </c>
      <c r="I114" t="s">
        <v>3469</v>
      </c>
      <c r="J114">
        <v>2</v>
      </c>
      <c r="K114" t="s">
        <v>3892</v>
      </c>
      <c r="L114">
        <v>25</v>
      </c>
      <c r="M114">
        <v>12.5</v>
      </c>
      <c r="O114" t="s">
        <v>466</v>
      </c>
    </row>
    <row r="115" spans="1:15" x14ac:dyDescent="0.3">
      <c r="A115">
        <v>241905</v>
      </c>
      <c r="B115">
        <v>116</v>
      </c>
      <c r="C115" t="s">
        <v>568</v>
      </c>
      <c r="D115" t="s">
        <v>2286</v>
      </c>
      <c r="E115" t="s">
        <v>2298</v>
      </c>
      <c r="F115" s="452">
        <v>46191</v>
      </c>
      <c r="G115">
        <v>23389</v>
      </c>
      <c r="H115" t="s">
        <v>4016</v>
      </c>
      <c r="I115" t="s">
        <v>3469</v>
      </c>
      <c r="J115">
        <v>6</v>
      </c>
      <c r="K115" t="s">
        <v>3892</v>
      </c>
      <c r="L115">
        <v>27</v>
      </c>
      <c r="M115">
        <v>4.5</v>
      </c>
      <c r="O115" t="s">
        <v>466</v>
      </c>
    </row>
    <row r="116" spans="1:15" x14ac:dyDescent="0.3">
      <c r="A116">
        <v>241904</v>
      </c>
      <c r="B116">
        <v>116</v>
      </c>
      <c r="C116" t="s">
        <v>568</v>
      </c>
      <c r="D116" t="s">
        <v>2286</v>
      </c>
      <c r="E116" t="s">
        <v>2299</v>
      </c>
      <c r="F116" s="452">
        <v>46188</v>
      </c>
      <c r="G116">
        <v>19505</v>
      </c>
      <c r="H116" t="s">
        <v>4101</v>
      </c>
      <c r="I116" t="s">
        <v>3469</v>
      </c>
      <c r="J116">
        <v>1.5</v>
      </c>
      <c r="K116" t="s">
        <v>3892</v>
      </c>
      <c r="L116">
        <v>17.25</v>
      </c>
      <c r="M116">
        <v>11.5</v>
      </c>
      <c r="O116" t="s">
        <v>466</v>
      </c>
    </row>
    <row r="117" spans="1:15" x14ac:dyDescent="0.3">
      <c r="A117">
        <v>241904</v>
      </c>
      <c r="B117">
        <v>116</v>
      </c>
      <c r="C117" t="s">
        <v>568</v>
      </c>
      <c r="D117" t="s">
        <v>2286</v>
      </c>
      <c r="E117" t="s">
        <v>2299</v>
      </c>
      <c r="F117" s="452">
        <v>46188</v>
      </c>
      <c r="G117">
        <v>23361</v>
      </c>
      <c r="H117" t="s">
        <v>4220</v>
      </c>
      <c r="I117" t="s">
        <v>3469</v>
      </c>
      <c r="J117">
        <v>20</v>
      </c>
      <c r="K117" t="s">
        <v>3892</v>
      </c>
      <c r="L117">
        <v>53</v>
      </c>
      <c r="M117">
        <v>2.65</v>
      </c>
      <c r="O117" t="s">
        <v>466</v>
      </c>
    </row>
    <row r="118" spans="1:15" x14ac:dyDescent="0.3">
      <c r="A118">
        <v>241904</v>
      </c>
      <c r="B118">
        <v>116</v>
      </c>
      <c r="C118" t="s">
        <v>568</v>
      </c>
      <c r="D118" t="s">
        <v>2286</v>
      </c>
      <c r="E118" t="s">
        <v>2299</v>
      </c>
      <c r="F118" s="452">
        <v>46188</v>
      </c>
      <c r="G118">
        <v>19617</v>
      </c>
      <c r="H118" t="s">
        <v>4110</v>
      </c>
      <c r="I118" t="s">
        <v>3469</v>
      </c>
      <c r="J118">
        <v>0.5</v>
      </c>
      <c r="K118" t="s">
        <v>3892</v>
      </c>
      <c r="L118">
        <v>21</v>
      </c>
      <c r="M118">
        <v>42</v>
      </c>
      <c r="O118" t="s">
        <v>466</v>
      </c>
    </row>
    <row r="119" spans="1:15" x14ac:dyDescent="0.3">
      <c r="A119">
        <v>241904</v>
      </c>
      <c r="B119">
        <v>116</v>
      </c>
      <c r="C119" t="s">
        <v>568</v>
      </c>
      <c r="D119" t="s">
        <v>2286</v>
      </c>
      <c r="E119" t="s">
        <v>2299</v>
      </c>
      <c r="F119" s="452">
        <v>46188</v>
      </c>
      <c r="G119">
        <v>19555</v>
      </c>
      <c r="H119" t="s">
        <v>4109</v>
      </c>
      <c r="I119" t="s">
        <v>3469</v>
      </c>
      <c r="J119">
        <v>0.5</v>
      </c>
      <c r="K119" t="s">
        <v>3892</v>
      </c>
      <c r="L119">
        <v>7.5</v>
      </c>
      <c r="M119">
        <v>15</v>
      </c>
      <c r="O119" t="s">
        <v>466</v>
      </c>
    </row>
    <row r="120" spans="1:15" x14ac:dyDescent="0.3">
      <c r="A120">
        <v>241904</v>
      </c>
      <c r="B120">
        <v>116</v>
      </c>
      <c r="C120" t="s">
        <v>568</v>
      </c>
      <c r="D120" t="s">
        <v>2286</v>
      </c>
      <c r="E120" t="s">
        <v>2299</v>
      </c>
      <c r="F120" s="452">
        <v>46188</v>
      </c>
      <c r="G120">
        <v>23120</v>
      </c>
      <c r="H120" t="s">
        <v>4111</v>
      </c>
      <c r="I120" t="s">
        <v>3469</v>
      </c>
      <c r="J120">
        <v>0.2</v>
      </c>
      <c r="K120" t="s">
        <v>3892</v>
      </c>
      <c r="L120">
        <v>13</v>
      </c>
      <c r="M120">
        <v>65</v>
      </c>
      <c r="O120" t="s">
        <v>466</v>
      </c>
    </row>
    <row r="121" spans="1:15" x14ac:dyDescent="0.3">
      <c r="A121">
        <v>241902</v>
      </c>
      <c r="B121">
        <v>116</v>
      </c>
      <c r="C121" t="s">
        <v>568</v>
      </c>
      <c r="D121" t="s">
        <v>2284</v>
      </c>
      <c r="E121" t="s">
        <v>2300</v>
      </c>
      <c r="F121" s="452">
        <v>46189</v>
      </c>
      <c r="G121">
        <v>22721</v>
      </c>
      <c r="H121" t="s">
        <v>4221</v>
      </c>
      <c r="I121" t="s">
        <v>3469</v>
      </c>
      <c r="J121">
        <v>4</v>
      </c>
      <c r="K121" t="s">
        <v>3892</v>
      </c>
      <c r="L121">
        <v>118</v>
      </c>
      <c r="M121">
        <v>29.5</v>
      </c>
      <c r="O121" t="s">
        <v>466</v>
      </c>
    </row>
    <row r="122" spans="1:15" x14ac:dyDescent="0.3">
      <c r="A122">
        <v>241900</v>
      </c>
      <c r="B122">
        <v>116</v>
      </c>
      <c r="C122" t="s">
        <v>568</v>
      </c>
      <c r="D122" t="s">
        <v>2284</v>
      </c>
      <c r="E122" t="s">
        <v>2301</v>
      </c>
      <c r="F122" s="452">
        <v>46189</v>
      </c>
      <c r="G122">
        <v>18233</v>
      </c>
      <c r="H122" t="s">
        <v>4090</v>
      </c>
      <c r="I122" t="s">
        <v>3497</v>
      </c>
      <c r="J122">
        <v>2</v>
      </c>
      <c r="K122" t="s">
        <v>3878</v>
      </c>
      <c r="L122">
        <v>203.8</v>
      </c>
      <c r="M122">
        <v>101.9</v>
      </c>
      <c r="O122" t="s">
        <v>466</v>
      </c>
    </row>
    <row r="123" spans="1:15" x14ac:dyDescent="0.3">
      <c r="A123">
        <v>241900</v>
      </c>
      <c r="B123">
        <v>116</v>
      </c>
      <c r="C123" t="s">
        <v>568</v>
      </c>
      <c r="D123" t="s">
        <v>2284</v>
      </c>
      <c r="E123" t="s">
        <v>2301</v>
      </c>
      <c r="F123" s="452">
        <v>46189</v>
      </c>
      <c r="G123">
        <v>18467</v>
      </c>
      <c r="H123" t="s">
        <v>4028</v>
      </c>
      <c r="I123" t="s">
        <v>3497</v>
      </c>
      <c r="J123">
        <v>3</v>
      </c>
      <c r="K123" t="s">
        <v>3878</v>
      </c>
      <c r="L123">
        <v>230.4</v>
      </c>
      <c r="M123">
        <v>76.8</v>
      </c>
      <c r="O123" t="s">
        <v>466</v>
      </c>
    </row>
    <row r="124" spans="1:15" x14ac:dyDescent="0.3">
      <c r="A124">
        <v>241899</v>
      </c>
      <c r="B124">
        <v>116</v>
      </c>
      <c r="C124" t="s">
        <v>568</v>
      </c>
      <c r="D124" t="s">
        <v>2273</v>
      </c>
      <c r="E124" t="s">
        <v>2302</v>
      </c>
      <c r="F124" s="452">
        <v>46191</v>
      </c>
      <c r="G124">
        <v>23359</v>
      </c>
      <c r="H124" t="s">
        <v>3932</v>
      </c>
      <c r="I124" t="s">
        <v>3469</v>
      </c>
      <c r="J124">
        <v>10.1</v>
      </c>
      <c r="K124" t="s">
        <v>3892</v>
      </c>
      <c r="L124">
        <v>29.29</v>
      </c>
      <c r="M124">
        <v>2.9</v>
      </c>
      <c r="O124" t="s">
        <v>466</v>
      </c>
    </row>
    <row r="125" spans="1:15" x14ac:dyDescent="0.3">
      <c r="A125">
        <v>241899</v>
      </c>
      <c r="B125">
        <v>116</v>
      </c>
      <c r="C125" t="s">
        <v>568</v>
      </c>
      <c r="D125" t="s">
        <v>2273</v>
      </c>
      <c r="E125" t="s">
        <v>2302</v>
      </c>
      <c r="F125" s="452">
        <v>46191</v>
      </c>
      <c r="G125">
        <v>24509</v>
      </c>
      <c r="H125" t="s">
        <v>3906</v>
      </c>
      <c r="I125" t="s">
        <v>3469</v>
      </c>
      <c r="J125">
        <v>20.2</v>
      </c>
      <c r="K125" t="s">
        <v>3892</v>
      </c>
      <c r="L125">
        <v>106.86</v>
      </c>
      <c r="M125">
        <v>5.2900989999999997</v>
      </c>
      <c r="O125" t="s">
        <v>466</v>
      </c>
    </row>
    <row r="126" spans="1:15" x14ac:dyDescent="0.3">
      <c r="A126">
        <v>241899</v>
      </c>
      <c r="B126">
        <v>116</v>
      </c>
      <c r="C126" t="s">
        <v>568</v>
      </c>
      <c r="D126" t="s">
        <v>2273</v>
      </c>
      <c r="E126" t="s">
        <v>2302</v>
      </c>
      <c r="F126" s="452">
        <v>46191</v>
      </c>
      <c r="G126">
        <v>19572</v>
      </c>
      <c r="H126" t="s">
        <v>4023</v>
      </c>
      <c r="I126" t="s">
        <v>3469</v>
      </c>
      <c r="J126">
        <v>1.05</v>
      </c>
      <c r="K126" t="s">
        <v>3892</v>
      </c>
      <c r="L126">
        <v>10.43</v>
      </c>
      <c r="M126">
        <v>9.9333329999999993</v>
      </c>
      <c r="O126" t="s">
        <v>466</v>
      </c>
    </row>
    <row r="127" spans="1:15" x14ac:dyDescent="0.3">
      <c r="A127">
        <v>241899</v>
      </c>
      <c r="B127">
        <v>116</v>
      </c>
      <c r="C127" t="s">
        <v>568</v>
      </c>
      <c r="D127" t="s">
        <v>2273</v>
      </c>
      <c r="E127" t="s">
        <v>2302</v>
      </c>
      <c r="F127" s="452">
        <v>46191</v>
      </c>
      <c r="G127">
        <v>24037</v>
      </c>
      <c r="H127" t="s">
        <v>4104</v>
      </c>
      <c r="I127" t="s">
        <v>3469</v>
      </c>
      <c r="J127">
        <v>2</v>
      </c>
      <c r="K127" t="s">
        <v>3892</v>
      </c>
      <c r="L127">
        <v>35</v>
      </c>
      <c r="M127">
        <v>17.5</v>
      </c>
      <c r="O127" t="s">
        <v>466</v>
      </c>
    </row>
    <row r="128" spans="1:15" x14ac:dyDescent="0.3">
      <c r="A128">
        <v>241899</v>
      </c>
      <c r="B128">
        <v>116</v>
      </c>
      <c r="C128" t="s">
        <v>568</v>
      </c>
      <c r="D128" t="s">
        <v>2273</v>
      </c>
      <c r="E128" t="s">
        <v>2302</v>
      </c>
      <c r="F128" s="452">
        <v>46191</v>
      </c>
      <c r="G128">
        <v>19740</v>
      </c>
      <c r="H128" t="s">
        <v>3933</v>
      </c>
      <c r="I128" t="s">
        <v>3469</v>
      </c>
      <c r="J128">
        <v>6</v>
      </c>
      <c r="K128" t="s">
        <v>3892</v>
      </c>
      <c r="L128">
        <v>60.9</v>
      </c>
      <c r="M128">
        <v>10.15</v>
      </c>
      <c r="O128" t="s">
        <v>466</v>
      </c>
    </row>
    <row r="129" spans="1:15" x14ac:dyDescent="0.3">
      <c r="A129">
        <v>241899</v>
      </c>
      <c r="B129">
        <v>116</v>
      </c>
      <c r="C129" t="s">
        <v>568</v>
      </c>
      <c r="D129" t="s">
        <v>2273</v>
      </c>
      <c r="E129" t="s">
        <v>2302</v>
      </c>
      <c r="F129" s="452">
        <v>46191</v>
      </c>
      <c r="G129">
        <v>19763</v>
      </c>
      <c r="H129" t="s">
        <v>4187</v>
      </c>
      <c r="I129" t="s">
        <v>3469</v>
      </c>
      <c r="J129">
        <v>3.2</v>
      </c>
      <c r="K129" t="s">
        <v>3892</v>
      </c>
      <c r="L129">
        <v>37.119999999999997</v>
      </c>
      <c r="M129">
        <v>11.6</v>
      </c>
      <c r="O129" t="s">
        <v>466</v>
      </c>
    </row>
    <row r="130" spans="1:15" x14ac:dyDescent="0.3">
      <c r="A130">
        <v>241899</v>
      </c>
      <c r="B130">
        <v>116</v>
      </c>
      <c r="C130" t="s">
        <v>568</v>
      </c>
      <c r="D130" t="s">
        <v>2273</v>
      </c>
      <c r="E130" t="s">
        <v>2302</v>
      </c>
      <c r="F130" s="452">
        <v>46191</v>
      </c>
      <c r="G130">
        <v>19480</v>
      </c>
      <c r="H130" t="s">
        <v>4113</v>
      </c>
      <c r="I130" t="s">
        <v>3469</v>
      </c>
      <c r="J130">
        <v>0.2</v>
      </c>
      <c r="K130" t="s">
        <v>3892</v>
      </c>
      <c r="L130">
        <v>4.92</v>
      </c>
      <c r="M130">
        <v>24.6</v>
      </c>
      <c r="O130" t="s">
        <v>466</v>
      </c>
    </row>
    <row r="131" spans="1:15" x14ac:dyDescent="0.3">
      <c r="A131">
        <v>241899</v>
      </c>
      <c r="B131">
        <v>116</v>
      </c>
      <c r="C131" t="s">
        <v>568</v>
      </c>
      <c r="D131" t="s">
        <v>2273</v>
      </c>
      <c r="E131" t="s">
        <v>2302</v>
      </c>
      <c r="F131" s="452">
        <v>46191</v>
      </c>
      <c r="G131">
        <v>19672</v>
      </c>
      <c r="H131" t="s">
        <v>4024</v>
      </c>
      <c r="I131" t="s">
        <v>3469</v>
      </c>
      <c r="J131">
        <v>2.2000000000000002</v>
      </c>
      <c r="K131" t="s">
        <v>3892</v>
      </c>
      <c r="L131">
        <v>30.32</v>
      </c>
      <c r="M131">
        <v>13.781817999999999</v>
      </c>
      <c r="O131" t="s">
        <v>466</v>
      </c>
    </row>
    <row r="132" spans="1:15" x14ac:dyDescent="0.3">
      <c r="A132">
        <v>241899</v>
      </c>
      <c r="B132">
        <v>116</v>
      </c>
      <c r="C132" t="s">
        <v>568</v>
      </c>
      <c r="D132" t="s">
        <v>2273</v>
      </c>
      <c r="E132" t="s">
        <v>2302</v>
      </c>
      <c r="F132" s="452">
        <v>46191</v>
      </c>
      <c r="G132">
        <v>24484</v>
      </c>
      <c r="H132" t="s">
        <v>4154</v>
      </c>
      <c r="I132" t="s">
        <v>3469</v>
      </c>
      <c r="J132">
        <v>0.5</v>
      </c>
      <c r="K132" t="s">
        <v>3892</v>
      </c>
      <c r="L132">
        <v>8.4499999999999993</v>
      </c>
      <c r="M132">
        <v>16.899999999999999</v>
      </c>
      <c r="O132" t="s">
        <v>466</v>
      </c>
    </row>
    <row r="133" spans="1:15" x14ac:dyDescent="0.3">
      <c r="A133">
        <v>241899</v>
      </c>
      <c r="B133">
        <v>116</v>
      </c>
      <c r="C133" t="s">
        <v>568</v>
      </c>
      <c r="D133" t="s">
        <v>2273</v>
      </c>
      <c r="E133" t="s">
        <v>2302</v>
      </c>
      <c r="F133" s="452">
        <v>46191</v>
      </c>
      <c r="G133">
        <v>25565</v>
      </c>
      <c r="H133" t="s">
        <v>4222</v>
      </c>
      <c r="I133" t="s">
        <v>3469</v>
      </c>
      <c r="J133">
        <v>2</v>
      </c>
      <c r="K133" t="s">
        <v>3892</v>
      </c>
      <c r="L133">
        <v>30.6</v>
      </c>
      <c r="M133">
        <v>15.3</v>
      </c>
      <c r="O133" t="s">
        <v>466</v>
      </c>
    </row>
    <row r="134" spans="1:15" x14ac:dyDescent="0.3">
      <c r="A134">
        <v>241899</v>
      </c>
      <c r="B134">
        <v>116</v>
      </c>
      <c r="C134" t="s">
        <v>568</v>
      </c>
      <c r="D134" t="s">
        <v>2273</v>
      </c>
      <c r="E134" t="s">
        <v>2302</v>
      </c>
      <c r="F134" s="452">
        <v>46191</v>
      </c>
      <c r="G134">
        <v>23171</v>
      </c>
      <c r="H134" t="s">
        <v>4132</v>
      </c>
      <c r="I134" t="s">
        <v>3469</v>
      </c>
      <c r="J134">
        <v>4.3</v>
      </c>
      <c r="K134" t="s">
        <v>3892</v>
      </c>
      <c r="L134">
        <v>47.26</v>
      </c>
      <c r="M134">
        <v>10.990698</v>
      </c>
      <c r="O134" t="s">
        <v>466</v>
      </c>
    </row>
    <row r="135" spans="1:15" x14ac:dyDescent="0.3">
      <c r="A135">
        <v>241899</v>
      </c>
      <c r="B135">
        <v>116</v>
      </c>
      <c r="C135" t="s">
        <v>568</v>
      </c>
      <c r="D135" t="s">
        <v>2273</v>
      </c>
      <c r="E135" t="s">
        <v>2302</v>
      </c>
      <c r="F135" s="452">
        <v>46191</v>
      </c>
      <c r="G135">
        <v>17066</v>
      </c>
      <c r="H135" t="s">
        <v>4155</v>
      </c>
      <c r="I135" t="s">
        <v>3469</v>
      </c>
      <c r="J135">
        <v>1</v>
      </c>
      <c r="K135" t="s">
        <v>3892</v>
      </c>
      <c r="L135">
        <v>23.78</v>
      </c>
      <c r="M135">
        <v>23.78</v>
      </c>
      <c r="O135" t="s">
        <v>466</v>
      </c>
    </row>
    <row r="136" spans="1:15" x14ac:dyDescent="0.3">
      <c r="A136">
        <v>241896</v>
      </c>
      <c r="B136">
        <v>116</v>
      </c>
      <c r="C136" t="s">
        <v>568</v>
      </c>
      <c r="D136" t="s">
        <v>2273</v>
      </c>
      <c r="E136" t="s">
        <v>2303</v>
      </c>
      <c r="F136" s="452">
        <v>46188</v>
      </c>
      <c r="G136">
        <v>24083</v>
      </c>
      <c r="H136" t="s">
        <v>3898</v>
      </c>
      <c r="I136" t="s">
        <v>3469</v>
      </c>
      <c r="J136">
        <v>10.01</v>
      </c>
      <c r="K136" t="s">
        <v>3892</v>
      </c>
      <c r="L136">
        <v>94.09</v>
      </c>
      <c r="M136">
        <v>9.3995999999999995</v>
      </c>
      <c r="O136" t="s">
        <v>466</v>
      </c>
    </row>
    <row r="137" spans="1:15" x14ac:dyDescent="0.3">
      <c r="A137">
        <v>241896</v>
      </c>
      <c r="B137">
        <v>116</v>
      </c>
      <c r="C137" t="s">
        <v>568</v>
      </c>
      <c r="D137" t="s">
        <v>2273</v>
      </c>
      <c r="E137" t="s">
        <v>2303</v>
      </c>
      <c r="F137" s="452">
        <v>46188</v>
      </c>
      <c r="G137">
        <v>19498</v>
      </c>
      <c r="H137" t="s">
        <v>4065</v>
      </c>
      <c r="I137" t="s">
        <v>3469</v>
      </c>
      <c r="J137">
        <v>1.8</v>
      </c>
      <c r="K137" t="s">
        <v>3892</v>
      </c>
      <c r="L137">
        <v>30.28</v>
      </c>
      <c r="M137">
        <v>16.822222</v>
      </c>
      <c r="O137" t="s">
        <v>466</v>
      </c>
    </row>
    <row r="138" spans="1:15" x14ac:dyDescent="0.3">
      <c r="A138">
        <v>241896</v>
      </c>
      <c r="B138">
        <v>116</v>
      </c>
      <c r="C138" t="s">
        <v>568</v>
      </c>
      <c r="D138" t="s">
        <v>2273</v>
      </c>
      <c r="E138" t="s">
        <v>2303</v>
      </c>
      <c r="F138" s="452">
        <v>46188</v>
      </c>
      <c r="G138">
        <v>19558</v>
      </c>
      <c r="H138" t="s">
        <v>4183</v>
      </c>
      <c r="I138" t="s">
        <v>3469</v>
      </c>
      <c r="J138">
        <v>1.25</v>
      </c>
      <c r="K138" t="s">
        <v>3892</v>
      </c>
      <c r="L138">
        <v>28.96</v>
      </c>
      <c r="M138">
        <v>23.167999999999999</v>
      </c>
      <c r="O138" t="s">
        <v>466</v>
      </c>
    </row>
    <row r="139" spans="1:15" x14ac:dyDescent="0.3">
      <c r="A139">
        <v>241896</v>
      </c>
      <c r="B139">
        <v>116</v>
      </c>
      <c r="C139" t="s">
        <v>568</v>
      </c>
      <c r="D139" t="s">
        <v>2273</v>
      </c>
      <c r="E139" t="s">
        <v>2303</v>
      </c>
      <c r="F139" s="452">
        <v>46188</v>
      </c>
      <c r="G139">
        <v>23171</v>
      </c>
      <c r="H139" t="s">
        <v>4132</v>
      </c>
      <c r="I139" t="s">
        <v>3469</v>
      </c>
      <c r="J139">
        <v>3.2</v>
      </c>
      <c r="K139" t="s">
        <v>3892</v>
      </c>
      <c r="L139">
        <v>35.17</v>
      </c>
      <c r="M139">
        <v>10.990625</v>
      </c>
      <c r="O139" t="s">
        <v>466</v>
      </c>
    </row>
    <row r="140" spans="1:15" x14ac:dyDescent="0.3">
      <c r="A140">
        <v>241896</v>
      </c>
      <c r="B140">
        <v>116</v>
      </c>
      <c r="C140" t="s">
        <v>568</v>
      </c>
      <c r="D140" t="s">
        <v>2273</v>
      </c>
      <c r="E140" t="s">
        <v>2303</v>
      </c>
      <c r="F140" s="452">
        <v>46188</v>
      </c>
      <c r="G140">
        <v>19740</v>
      </c>
      <c r="H140" t="s">
        <v>3933</v>
      </c>
      <c r="I140" t="s">
        <v>3469</v>
      </c>
      <c r="J140">
        <v>8.15</v>
      </c>
      <c r="K140" t="s">
        <v>3892</v>
      </c>
      <c r="L140">
        <v>82.72</v>
      </c>
      <c r="M140">
        <v>10.149692999999999</v>
      </c>
      <c r="O140" t="s">
        <v>466</v>
      </c>
    </row>
    <row r="141" spans="1:15" x14ac:dyDescent="0.3">
      <c r="A141">
        <v>241896</v>
      </c>
      <c r="B141">
        <v>116</v>
      </c>
      <c r="C141" t="s">
        <v>568</v>
      </c>
      <c r="D141" t="s">
        <v>2273</v>
      </c>
      <c r="E141" t="s">
        <v>2303</v>
      </c>
      <c r="F141" s="452">
        <v>46188</v>
      </c>
      <c r="G141">
        <v>23359</v>
      </c>
      <c r="H141" t="s">
        <v>3932</v>
      </c>
      <c r="I141" t="s">
        <v>3469</v>
      </c>
      <c r="J141">
        <v>10</v>
      </c>
      <c r="K141" t="s">
        <v>3892</v>
      </c>
      <c r="L141">
        <v>29</v>
      </c>
      <c r="M141">
        <v>2.9</v>
      </c>
      <c r="O141" t="s">
        <v>466</v>
      </c>
    </row>
    <row r="142" spans="1:15" x14ac:dyDescent="0.3">
      <c r="A142">
        <v>241896</v>
      </c>
      <c r="B142">
        <v>116</v>
      </c>
      <c r="C142" t="s">
        <v>568</v>
      </c>
      <c r="D142" t="s">
        <v>2273</v>
      </c>
      <c r="E142" t="s">
        <v>2303</v>
      </c>
      <c r="F142" s="452">
        <v>46188</v>
      </c>
      <c r="G142">
        <v>23113</v>
      </c>
      <c r="H142" t="s">
        <v>4079</v>
      </c>
      <c r="I142" t="s">
        <v>3469</v>
      </c>
      <c r="J142">
        <v>1.6</v>
      </c>
      <c r="K142" t="s">
        <v>3892</v>
      </c>
      <c r="L142">
        <v>16.64</v>
      </c>
      <c r="M142">
        <v>10.4</v>
      </c>
      <c r="O142" t="s">
        <v>466</v>
      </c>
    </row>
    <row r="143" spans="1:15" x14ac:dyDescent="0.3">
      <c r="A143">
        <v>241896</v>
      </c>
      <c r="B143">
        <v>116</v>
      </c>
      <c r="C143" t="s">
        <v>568</v>
      </c>
      <c r="D143" t="s">
        <v>2273</v>
      </c>
      <c r="E143" t="s">
        <v>2303</v>
      </c>
      <c r="F143" s="452">
        <v>46188</v>
      </c>
      <c r="G143">
        <v>23095</v>
      </c>
      <c r="H143" t="s">
        <v>3882</v>
      </c>
      <c r="I143" t="s">
        <v>3469</v>
      </c>
      <c r="J143">
        <v>60</v>
      </c>
      <c r="K143" t="s">
        <v>3872</v>
      </c>
      <c r="L143">
        <v>57.6</v>
      </c>
      <c r="M143">
        <v>0.96</v>
      </c>
      <c r="O143" t="s">
        <v>466</v>
      </c>
    </row>
    <row r="144" spans="1:15" x14ac:dyDescent="0.3">
      <c r="A144">
        <v>241896</v>
      </c>
      <c r="B144">
        <v>116</v>
      </c>
      <c r="C144" t="s">
        <v>568</v>
      </c>
      <c r="D144" t="s">
        <v>2273</v>
      </c>
      <c r="E144" t="s">
        <v>2303</v>
      </c>
      <c r="F144" s="452">
        <v>46188</v>
      </c>
      <c r="G144">
        <v>24037</v>
      </c>
      <c r="H144" t="s">
        <v>4104</v>
      </c>
      <c r="I144" t="s">
        <v>3469</v>
      </c>
      <c r="J144">
        <v>2</v>
      </c>
      <c r="K144" t="s">
        <v>3892</v>
      </c>
      <c r="L144">
        <v>35</v>
      </c>
      <c r="M144">
        <v>17.5</v>
      </c>
      <c r="O144" t="s">
        <v>466</v>
      </c>
    </row>
    <row r="145" spans="1:15" x14ac:dyDescent="0.3">
      <c r="A145">
        <v>241896</v>
      </c>
      <c r="B145">
        <v>116</v>
      </c>
      <c r="C145" t="s">
        <v>568</v>
      </c>
      <c r="D145" t="s">
        <v>2273</v>
      </c>
      <c r="E145" t="s">
        <v>2303</v>
      </c>
      <c r="F145" s="452">
        <v>46188</v>
      </c>
      <c r="G145">
        <v>23389</v>
      </c>
      <c r="H145" t="s">
        <v>4016</v>
      </c>
      <c r="I145" t="s">
        <v>3469</v>
      </c>
      <c r="J145">
        <v>5.2</v>
      </c>
      <c r="K145" t="s">
        <v>3892</v>
      </c>
      <c r="L145">
        <v>24.28</v>
      </c>
      <c r="M145">
        <v>4.6692309999999999</v>
      </c>
      <c r="O145" t="s">
        <v>466</v>
      </c>
    </row>
    <row r="146" spans="1:15" x14ac:dyDescent="0.3">
      <c r="A146">
        <v>241896</v>
      </c>
      <c r="B146">
        <v>116</v>
      </c>
      <c r="C146" t="s">
        <v>568</v>
      </c>
      <c r="D146" t="s">
        <v>2273</v>
      </c>
      <c r="E146" t="s">
        <v>2303</v>
      </c>
      <c r="F146" s="452">
        <v>46188</v>
      </c>
      <c r="G146">
        <v>19488</v>
      </c>
      <c r="H146" t="s">
        <v>4070</v>
      </c>
      <c r="I146" t="s">
        <v>3469</v>
      </c>
      <c r="J146">
        <v>0.65</v>
      </c>
      <c r="K146" t="s">
        <v>3892</v>
      </c>
      <c r="L146">
        <v>9.43</v>
      </c>
      <c r="M146">
        <v>14.507692</v>
      </c>
      <c r="O146" t="s">
        <v>466</v>
      </c>
    </row>
    <row r="147" spans="1:15" x14ac:dyDescent="0.3">
      <c r="A147">
        <v>241896</v>
      </c>
      <c r="B147">
        <v>116</v>
      </c>
      <c r="C147" t="s">
        <v>568</v>
      </c>
      <c r="D147" t="s">
        <v>2273</v>
      </c>
      <c r="E147" t="s">
        <v>2303</v>
      </c>
      <c r="F147" s="452">
        <v>46188</v>
      </c>
      <c r="G147">
        <v>19672</v>
      </c>
      <c r="H147" t="s">
        <v>4024</v>
      </c>
      <c r="I147" t="s">
        <v>3469</v>
      </c>
      <c r="J147">
        <v>2.1</v>
      </c>
      <c r="K147" t="s">
        <v>3892</v>
      </c>
      <c r="L147">
        <v>28.94</v>
      </c>
      <c r="M147">
        <v>13.780951999999999</v>
      </c>
      <c r="O147" t="s">
        <v>466</v>
      </c>
    </row>
    <row r="148" spans="1:15" x14ac:dyDescent="0.3">
      <c r="A148">
        <v>241894</v>
      </c>
      <c r="B148">
        <v>116</v>
      </c>
      <c r="C148" t="s">
        <v>568</v>
      </c>
      <c r="D148" t="s">
        <v>2275</v>
      </c>
      <c r="E148" t="s">
        <v>2304</v>
      </c>
      <c r="F148" s="452">
        <v>46188</v>
      </c>
      <c r="G148">
        <v>24006</v>
      </c>
      <c r="H148" t="s">
        <v>4177</v>
      </c>
      <c r="I148" t="s">
        <v>3497</v>
      </c>
      <c r="J148">
        <v>10</v>
      </c>
      <c r="K148" t="s">
        <v>3888</v>
      </c>
      <c r="L148">
        <v>239</v>
      </c>
      <c r="M148">
        <v>23.9</v>
      </c>
      <c r="O148" t="s">
        <v>466</v>
      </c>
    </row>
    <row r="149" spans="1:15" x14ac:dyDescent="0.3">
      <c r="A149">
        <v>241894</v>
      </c>
      <c r="B149">
        <v>116</v>
      </c>
      <c r="C149" t="s">
        <v>568</v>
      </c>
      <c r="D149" t="s">
        <v>2275</v>
      </c>
      <c r="E149" t="s">
        <v>2304</v>
      </c>
      <c r="F149" s="452">
        <v>46188</v>
      </c>
      <c r="G149">
        <v>17969</v>
      </c>
      <c r="H149" t="s">
        <v>4175</v>
      </c>
      <c r="I149" t="s">
        <v>3497</v>
      </c>
      <c r="J149">
        <v>20</v>
      </c>
      <c r="K149" t="s">
        <v>3888</v>
      </c>
      <c r="L149">
        <v>454</v>
      </c>
      <c r="M149">
        <v>22.7</v>
      </c>
      <c r="O149" t="s">
        <v>466</v>
      </c>
    </row>
    <row r="150" spans="1:15" x14ac:dyDescent="0.3">
      <c r="A150">
        <v>241893</v>
      </c>
      <c r="B150">
        <v>116</v>
      </c>
      <c r="C150" t="s">
        <v>568</v>
      </c>
      <c r="D150" t="s">
        <v>2280</v>
      </c>
      <c r="E150" t="s">
        <v>2305</v>
      </c>
      <c r="F150" s="452">
        <v>46188</v>
      </c>
      <c r="G150">
        <v>19458</v>
      </c>
      <c r="H150" t="s">
        <v>4212</v>
      </c>
      <c r="I150" t="s">
        <v>3469</v>
      </c>
      <c r="J150">
        <v>1</v>
      </c>
      <c r="K150" t="s">
        <v>3892</v>
      </c>
      <c r="L150">
        <v>19.93</v>
      </c>
      <c r="M150">
        <v>19.93</v>
      </c>
      <c r="O150" t="s">
        <v>466</v>
      </c>
    </row>
    <row r="151" spans="1:15" x14ac:dyDescent="0.3">
      <c r="A151">
        <v>241893</v>
      </c>
      <c r="B151">
        <v>116</v>
      </c>
      <c r="C151" t="s">
        <v>568</v>
      </c>
      <c r="D151" t="s">
        <v>2280</v>
      </c>
      <c r="E151" t="s">
        <v>2305</v>
      </c>
      <c r="F151" s="452">
        <v>46188</v>
      </c>
      <c r="G151">
        <v>19742</v>
      </c>
      <c r="H151" t="s">
        <v>4074</v>
      </c>
      <c r="I151" t="s">
        <v>3469</v>
      </c>
      <c r="J151">
        <v>1.2</v>
      </c>
      <c r="K151" t="s">
        <v>3892</v>
      </c>
      <c r="L151">
        <v>12.48</v>
      </c>
      <c r="M151">
        <v>10.4</v>
      </c>
      <c r="O151" t="s">
        <v>466</v>
      </c>
    </row>
    <row r="152" spans="1:15" x14ac:dyDescent="0.3">
      <c r="A152">
        <v>241893</v>
      </c>
      <c r="B152">
        <v>116</v>
      </c>
      <c r="C152" t="s">
        <v>568</v>
      </c>
      <c r="D152" t="s">
        <v>2280</v>
      </c>
      <c r="E152" t="s">
        <v>2305</v>
      </c>
      <c r="F152" s="452">
        <v>46188</v>
      </c>
      <c r="G152">
        <v>23096</v>
      </c>
      <c r="H152" t="s">
        <v>3876</v>
      </c>
      <c r="I152" t="s">
        <v>3469</v>
      </c>
      <c r="J152">
        <v>30</v>
      </c>
      <c r="K152" t="s">
        <v>3872</v>
      </c>
      <c r="L152">
        <v>19.5</v>
      </c>
      <c r="M152">
        <v>0.65</v>
      </c>
      <c r="O152" t="s">
        <v>466</v>
      </c>
    </row>
    <row r="153" spans="1:15" x14ac:dyDescent="0.3">
      <c r="A153">
        <v>241893</v>
      </c>
      <c r="B153">
        <v>116</v>
      </c>
      <c r="C153" t="s">
        <v>568</v>
      </c>
      <c r="D153" t="s">
        <v>2280</v>
      </c>
      <c r="E153" t="s">
        <v>2305</v>
      </c>
      <c r="F153" s="452">
        <v>46188</v>
      </c>
      <c r="G153">
        <v>23142</v>
      </c>
      <c r="H153" t="s">
        <v>4151</v>
      </c>
      <c r="I153" t="s">
        <v>3469</v>
      </c>
      <c r="J153">
        <v>1</v>
      </c>
      <c r="K153" t="s">
        <v>3892</v>
      </c>
      <c r="L153">
        <v>20.420000000000002</v>
      </c>
      <c r="M153">
        <v>20.420000000000002</v>
      </c>
      <c r="O153" t="s">
        <v>466</v>
      </c>
    </row>
    <row r="154" spans="1:15" x14ac:dyDescent="0.3">
      <c r="A154">
        <v>241893</v>
      </c>
      <c r="B154">
        <v>116</v>
      </c>
      <c r="C154" t="s">
        <v>568</v>
      </c>
      <c r="D154" t="s">
        <v>2280</v>
      </c>
      <c r="E154" t="s">
        <v>2305</v>
      </c>
      <c r="F154" s="452">
        <v>46188</v>
      </c>
      <c r="G154">
        <v>19506</v>
      </c>
      <c r="H154" t="s">
        <v>4112</v>
      </c>
      <c r="I154" t="s">
        <v>3469</v>
      </c>
      <c r="J154">
        <v>0.2</v>
      </c>
      <c r="K154" t="s">
        <v>3892</v>
      </c>
      <c r="L154">
        <v>10.4</v>
      </c>
      <c r="M154">
        <v>52</v>
      </c>
      <c r="O154" t="s">
        <v>466</v>
      </c>
    </row>
    <row r="155" spans="1:15" x14ac:dyDescent="0.3">
      <c r="A155">
        <v>241891</v>
      </c>
      <c r="B155">
        <v>116</v>
      </c>
      <c r="C155" t="s">
        <v>568</v>
      </c>
      <c r="D155" t="s">
        <v>2306</v>
      </c>
      <c r="E155" t="s">
        <v>2307</v>
      </c>
      <c r="F155" s="452">
        <v>46190</v>
      </c>
      <c r="G155">
        <v>24339</v>
      </c>
      <c r="H155" t="s">
        <v>4119</v>
      </c>
      <c r="I155" t="s">
        <v>3469</v>
      </c>
      <c r="J155">
        <v>5</v>
      </c>
      <c r="K155" t="s">
        <v>3892</v>
      </c>
      <c r="L155">
        <v>188.6</v>
      </c>
      <c r="M155">
        <v>37.72</v>
      </c>
      <c r="O155" t="s">
        <v>466</v>
      </c>
    </row>
    <row r="156" spans="1:15" x14ac:dyDescent="0.3">
      <c r="A156">
        <v>241891</v>
      </c>
      <c r="B156">
        <v>116</v>
      </c>
      <c r="C156" t="s">
        <v>568</v>
      </c>
      <c r="D156" t="s">
        <v>2306</v>
      </c>
      <c r="E156" t="s">
        <v>2307</v>
      </c>
      <c r="F156" s="452">
        <v>46190</v>
      </c>
      <c r="G156">
        <v>20007</v>
      </c>
      <c r="H156" t="s">
        <v>4009</v>
      </c>
      <c r="I156" t="s">
        <v>3469</v>
      </c>
      <c r="J156">
        <v>6</v>
      </c>
      <c r="K156" t="s">
        <v>3966</v>
      </c>
      <c r="L156">
        <v>297.60000000000002</v>
      </c>
      <c r="M156">
        <v>49.6</v>
      </c>
      <c r="O156" t="s">
        <v>466</v>
      </c>
    </row>
    <row r="157" spans="1:15" x14ac:dyDescent="0.3">
      <c r="A157">
        <v>241891</v>
      </c>
      <c r="B157">
        <v>116</v>
      </c>
      <c r="C157" t="s">
        <v>568</v>
      </c>
      <c r="D157" t="s">
        <v>2306</v>
      </c>
      <c r="E157" t="s">
        <v>2307</v>
      </c>
      <c r="F157" s="452">
        <v>46190</v>
      </c>
      <c r="G157">
        <v>19973</v>
      </c>
      <c r="H157" t="s">
        <v>3981</v>
      </c>
      <c r="I157" t="s">
        <v>3469</v>
      </c>
      <c r="J157">
        <v>6</v>
      </c>
      <c r="K157" t="s">
        <v>3872</v>
      </c>
      <c r="L157">
        <v>90.66</v>
      </c>
      <c r="M157">
        <v>15.11</v>
      </c>
      <c r="O157" t="s">
        <v>466</v>
      </c>
    </row>
    <row r="158" spans="1:15" x14ac:dyDescent="0.3">
      <c r="A158">
        <v>241891</v>
      </c>
      <c r="B158">
        <v>116</v>
      </c>
      <c r="C158" t="s">
        <v>568</v>
      </c>
      <c r="D158" t="s">
        <v>2306</v>
      </c>
      <c r="E158" t="s">
        <v>2307</v>
      </c>
      <c r="F158" s="452">
        <v>46190</v>
      </c>
      <c r="G158">
        <v>24331</v>
      </c>
      <c r="H158" t="s">
        <v>3960</v>
      </c>
      <c r="I158" t="s">
        <v>3469</v>
      </c>
      <c r="J158">
        <v>5</v>
      </c>
      <c r="K158" t="s">
        <v>3892</v>
      </c>
      <c r="L158">
        <v>100.3</v>
      </c>
      <c r="M158">
        <v>20.059999999999999</v>
      </c>
      <c r="O158" t="s">
        <v>466</v>
      </c>
    </row>
    <row r="159" spans="1:15" x14ac:dyDescent="0.3">
      <c r="A159">
        <v>241890</v>
      </c>
      <c r="B159">
        <v>116</v>
      </c>
      <c r="C159" t="s">
        <v>568</v>
      </c>
      <c r="D159" t="s">
        <v>2308</v>
      </c>
      <c r="E159" t="s">
        <v>2309</v>
      </c>
      <c r="F159" s="452">
        <v>46190</v>
      </c>
      <c r="G159">
        <v>24259</v>
      </c>
      <c r="H159" t="s">
        <v>3895</v>
      </c>
      <c r="I159" t="s">
        <v>3469</v>
      </c>
      <c r="J159">
        <v>17</v>
      </c>
      <c r="K159" t="s">
        <v>3892</v>
      </c>
      <c r="L159">
        <v>1343</v>
      </c>
      <c r="M159">
        <v>79</v>
      </c>
      <c r="O159" t="s">
        <v>466</v>
      </c>
    </row>
    <row r="160" spans="1:15" x14ac:dyDescent="0.3">
      <c r="A160">
        <v>241889</v>
      </c>
      <c r="B160">
        <v>116</v>
      </c>
      <c r="C160" t="s">
        <v>568</v>
      </c>
      <c r="D160" t="s">
        <v>2310</v>
      </c>
      <c r="E160" t="s">
        <v>2311</v>
      </c>
      <c r="F160" s="452">
        <v>46190</v>
      </c>
      <c r="G160">
        <v>19984</v>
      </c>
      <c r="H160" t="s">
        <v>3904</v>
      </c>
      <c r="I160" t="s">
        <v>3469</v>
      </c>
      <c r="J160">
        <v>12</v>
      </c>
      <c r="K160" t="s">
        <v>3872</v>
      </c>
      <c r="L160">
        <v>237.6</v>
      </c>
      <c r="M160">
        <v>19.8</v>
      </c>
      <c r="O160" t="s">
        <v>466</v>
      </c>
    </row>
    <row r="161" spans="1:15" x14ac:dyDescent="0.3">
      <c r="A161">
        <v>241889</v>
      </c>
      <c r="B161">
        <v>116</v>
      </c>
      <c r="C161" t="s">
        <v>568</v>
      </c>
      <c r="D161" t="s">
        <v>2310</v>
      </c>
      <c r="E161" t="s">
        <v>2311</v>
      </c>
      <c r="F161" s="452">
        <v>46190</v>
      </c>
      <c r="G161">
        <v>20624</v>
      </c>
      <c r="H161" t="s">
        <v>3982</v>
      </c>
      <c r="I161" t="s">
        <v>3469</v>
      </c>
      <c r="J161">
        <v>1</v>
      </c>
      <c r="K161" t="s">
        <v>3872</v>
      </c>
      <c r="L161">
        <v>70.900000000000006</v>
      </c>
      <c r="M161">
        <v>70.900000000000006</v>
      </c>
      <c r="O161" t="s">
        <v>466</v>
      </c>
    </row>
    <row r="162" spans="1:15" x14ac:dyDescent="0.3">
      <c r="A162">
        <v>241889</v>
      </c>
      <c r="B162">
        <v>116</v>
      </c>
      <c r="C162" t="s">
        <v>568</v>
      </c>
      <c r="D162" t="s">
        <v>2310</v>
      </c>
      <c r="E162" t="s">
        <v>2311</v>
      </c>
      <c r="F162" s="452">
        <v>46190</v>
      </c>
      <c r="G162">
        <v>20832</v>
      </c>
      <c r="H162" t="s">
        <v>4060</v>
      </c>
      <c r="I162" t="s">
        <v>3469</v>
      </c>
      <c r="J162">
        <v>1</v>
      </c>
      <c r="K162" t="s">
        <v>3886</v>
      </c>
      <c r="L162">
        <v>34</v>
      </c>
      <c r="M162">
        <v>34</v>
      </c>
      <c r="O162" t="s">
        <v>466</v>
      </c>
    </row>
    <row r="163" spans="1:15" x14ac:dyDescent="0.3">
      <c r="A163">
        <v>241888</v>
      </c>
      <c r="B163">
        <v>116</v>
      </c>
      <c r="C163" t="s">
        <v>568</v>
      </c>
      <c r="D163" t="s">
        <v>2312</v>
      </c>
      <c r="E163" t="s">
        <v>2313</v>
      </c>
      <c r="F163" s="452">
        <v>46190</v>
      </c>
      <c r="G163">
        <v>17397</v>
      </c>
      <c r="H163" t="s">
        <v>4223</v>
      </c>
      <c r="I163" t="s">
        <v>4199</v>
      </c>
      <c r="J163">
        <v>3</v>
      </c>
      <c r="K163" t="s">
        <v>4224</v>
      </c>
      <c r="L163">
        <v>99.3</v>
      </c>
      <c r="M163">
        <v>33.1</v>
      </c>
      <c r="O163" t="s">
        <v>466</v>
      </c>
    </row>
    <row r="164" spans="1:15" x14ac:dyDescent="0.3">
      <c r="A164">
        <v>241888</v>
      </c>
      <c r="B164">
        <v>116</v>
      </c>
      <c r="C164" t="s">
        <v>568</v>
      </c>
      <c r="D164" t="s">
        <v>2312</v>
      </c>
      <c r="E164" t="s">
        <v>2313</v>
      </c>
      <c r="F164" s="452">
        <v>46190</v>
      </c>
      <c r="G164">
        <v>21423</v>
      </c>
      <c r="H164" t="s">
        <v>4225</v>
      </c>
      <c r="I164" t="s">
        <v>4199</v>
      </c>
      <c r="J164">
        <v>3</v>
      </c>
      <c r="K164" t="s">
        <v>4224</v>
      </c>
      <c r="L164">
        <v>99.3</v>
      </c>
      <c r="M164">
        <v>33.1</v>
      </c>
      <c r="O164" t="s">
        <v>466</v>
      </c>
    </row>
    <row r="165" spans="1:15" x14ac:dyDescent="0.3">
      <c r="A165">
        <v>241886</v>
      </c>
      <c r="B165">
        <v>116</v>
      </c>
      <c r="C165" t="s">
        <v>568</v>
      </c>
      <c r="D165" t="s">
        <v>2314</v>
      </c>
      <c r="E165" t="s">
        <v>2315</v>
      </c>
      <c r="F165" s="452">
        <v>46192</v>
      </c>
      <c r="G165">
        <v>18640</v>
      </c>
      <c r="H165" t="s">
        <v>3994</v>
      </c>
      <c r="I165" t="s">
        <v>3497</v>
      </c>
      <c r="J165">
        <v>2</v>
      </c>
      <c r="K165" t="s">
        <v>3922</v>
      </c>
      <c r="L165">
        <v>612</v>
      </c>
      <c r="M165">
        <v>306</v>
      </c>
      <c r="O165" t="s">
        <v>466</v>
      </c>
    </row>
    <row r="166" spans="1:15" x14ac:dyDescent="0.3">
      <c r="A166">
        <v>241886</v>
      </c>
      <c r="B166">
        <v>116</v>
      </c>
      <c r="C166" t="s">
        <v>568</v>
      </c>
      <c r="D166" t="s">
        <v>2314</v>
      </c>
      <c r="E166" t="s">
        <v>2315</v>
      </c>
      <c r="F166" s="452">
        <v>46192</v>
      </c>
      <c r="G166">
        <v>18636</v>
      </c>
      <c r="H166" t="s">
        <v>3921</v>
      </c>
      <c r="I166" t="s">
        <v>3497</v>
      </c>
      <c r="J166">
        <v>6</v>
      </c>
      <c r="K166" t="s">
        <v>3922</v>
      </c>
      <c r="L166">
        <v>2896.8</v>
      </c>
      <c r="M166">
        <v>482.8</v>
      </c>
      <c r="O166" t="s">
        <v>466</v>
      </c>
    </row>
    <row r="167" spans="1:15" x14ac:dyDescent="0.3">
      <c r="A167">
        <v>241885</v>
      </c>
      <c r="B167">
        <v>116</v>
      </c>
      <c r="C167" t="s">
        <v>568</v>
      </c>
      <c r="D167" t="s">
        <v>2314</v>
      </c>
      <c r="E167" t="s">
        <v>2316</v>
      </c>
      <c r="F167" s="452">
        <v>46186</v>
      </c>
      <c r="G167">
        <v>18640</v>
      </c>
      <c r="H167" t="s">
        <v>3994</v>
      </c>
      <c r="I167" t="s">
        <v>3497</v>
      </c>
      <c r="J167">
        <v>2</v>
      </c>
      <c r="K167" t="s">
        <v>3922</v>
      </c>
      <c r="L167">
        <v>612</v>
      </c>
      <c r="M167">
        <v>306</v>
      </c>
      <c r="O167" t="s">
        <v>466</v>
      </c>
    </row>
    <row r="168" spans="1:15" x14ac:dyDescent="0.3">
      <c r="A168">
        <v>241883</v>
      </c>
      <c r="B168">
        <v>116</v>
      </c>
      <c r="C168" t="s">
        <v>568</v>
      </c>
      <c r="D168" t="s">
        <v>2314</v>
      </c>
      <c r="E168" t="s">
        <v>2317</v>
      </c>
      <c r="F168" s="452">
        <v>46186</v>
      </c>
      <c r="G168">
        <v>18636</v>
      </c>
      <c r="H168" t="s">
        <v>3921</v>
      </c>
      <c r="I168" t="s">
        <v>3497</v>
      </c>
      <c r="J168">
        <v>15</v>
      </c>
      <c r="K168" t="s">
        <v>3922</v>
      </c>
      <c r="L168">
        <v>7242</v>
      </c>
      <c r="M168">
        <v>482.8</v>
      </c>
      <c r="O168" t="s">
        <v>466</v>
      </c>
    </row>
    <row r="169" spans="1:15" x14ac:dyDescent="0.3">
      <c r="A169">
        <v>241729</v>
      </c>
      <c r="B169">
        <v>116</v>
      </c>
      <c r="C169" t="s">
        <v>568</v>
      </c>
      <c r="D169" t="s">
        <v>2318</v>
      </c>
      <c r="E169" t="s">
        <v>2319</v>
      </c>
      <c r="F169" s="452">
        <v>46195</v>
      </c>
      <c r="G169">
        <v>26949</v>
      </c>
      <c r="H169" t="s">
        <v>4226</v>
      </c>
      <c r="I169" t="s">
        <v>3469</v>
      </c>
      <c r="J169">
        <v>10</v>
      </c>
      <c r="K169" t="s">
        <v>3892</v>
      </c>
      <c r="L169">
        <v>839</v>
      </c>
      <c r="M169">
        <v>83.9</v>
      </c>
      <c r="O169" t="s">
        <v>466</v>
      </c>
    </row>
    <row r="170" spans="1:15" x14ac:dyDescent="0.3">
      <c r="A170">
        <v>241727</v>
      </c>
      <c r="B170">
        <v>116</v>
      </c>
      <c r="C170" t="s">
        <v>568</v>
      </c>
      <c r="D170" t="s">
        <v>2320</v>
      </c>
      <c r="E170" t="s">
        <v>2321</v>
      </c>
      <c r="F170" s="452">
        <v>46197</v>
      </c>
      <c r="G170">
        <v>22857</v>
      </c>
      <c r="H170" t="s">
        <v>4130</v>
      </c>
      <c r="I170" t="s">
        <v>3469</v>
      </c>
      <c r="J170">
        <v>16.52</v>
      </c>
      <c r="K170" t="s">
        <v>3892</v>
      </c>
      <c r="L170">
        <v>991.03</v>
      </c>
      <c r="M170">
        <v>59.989708999999998</v>
      </c>
      <c r="O170" t="s">
        <v>466</v>
      </c>
    </row>
    <row r="171" spans="1:15" x14ac:dyDescent="0.3">
      <c r="A171">
        <v>241726</v>
      </c>
      <c r="B171">
        <v>116</v>
      </c>
      <c r="C171" t="s">
        <v>568</v>
      </c>
      <c r="D171" t="s">
        <v>2265</v>
      </c>
      <c r="E171" t="s">
        <v>2322</v>
      </c>
      <c r="F171" s="452">
        <v>46195</v>
      </c>
      <c r="G171">
        <v>17437</v>
      </c>
      <c r="H171" t="s">
        <v>4198</v>
      </c>
      <c r="I171" t="s">
        <v>4199</v>
      </c>
      <c r="J171">
        <v>20</v>
      </c>
      <c r="K171" t="s">
        <v>3872</v>
      </c>
      <c r="L171">
        <v>46</v>
      </c>
      <c r="M171">
        <v>2.2999999999999998</v>
      </c>
      <c r="O171" t="s">
        <v>466</v>
      </c>
    </row>
    <row r="172" spans="1:15" x14ac:dyDescent="0.3">
      <c r="A172">
        <v>241726</v>
      </c>
      <c r="B172">
        <v>116</v>
      </c>
      <c r="C172" t="s">
        <v>568</v>
      </c>
      <c r="D172" t="s">
        <v>2265</v>
      </c>
      <c r="E172" t="s">
        <v>2322</v>
      </c>
      <c r="F172" s="452">
        <v>46195</v>
      </c>
      <c r="G172">
        <v>17416</v>
      </c>
      <c r="H172" t="s">
        <v>4205</v>
      </c>
      <c r="I172" t="s">
        <v>4199</v>
      </c>
      <c r="J172">
        <v>3</v>
      </c>
      <c r="K172" t="s">
        <v>3881</v>
      </c>
      <c r="L172">
        <v>145.74</v>
      </c>
      <c r="M172">
        <v>48.58</v>
      </c>
      <c r="O172" t="s">
        <v>466</v>
      </c>
    </row>
    <row r="173" spans="1:15" x14ac:dyDescent="0.3">
      <c r="A173">
        <v>241726</v>
      </c>
      <c r="B173">
        <v>116</v>
      </c>
      <c r="C173" t="s">
        <v>568</v>
      </c>
      <c r="D173" t="s">
        <v>2265</v>
      </c>
      <c r="E173" t="s">
        <v>2322</v>
      </c>
      <c r="F173" s="452">
        <v>46195</v>
      </c>
      <c r="G173">
        <v>17496</v>
      </c>
      <c r="H173" t="s">
        <v>4227</v>
      </c>
      <c r="I173" t="s">
        <v>4202</v>
      </c>
      <c r="J173">
        <v>2</v>
      </c>
      <c r="K173" t="s">
        <v>3881</v>
      </c>
      <c r="L173">
        <v>54</v>
      </c>
      <c r="M173">
        <v>27</v>
      </c>
      <c r="O173" t="s">
        <v>466</v>
      </c>
    </row>
    <row r="174" spans="1:15" x14ac:dyDescent="0.3">
      <c r="A174">
        <v>241726</v>
      </c>
      <c r="B174">
        <v>116</v>
      </c>
      <c r="C174" t="s">
        <v>568</v>
      </c>
      <c r="D174" t="s">
        <v>2265</v>
      </c>
      <c r="E174" t="s">
        <v>2322</v>
      </c>
      <c r="F174" s="452">
        <v>46195</v>
      </c>
      <c r="G174">
        <v>21783</v>
      </c>
      <c r="H174" t="s">
        <v>4228</v>
      </c>
      <c r="I174" t="s">
        <v>4202</v>
      </c>
      <c r="J174">
        <v>2</v>
      </c>
      <c r="K174" t="s">
        <v>3872</v>
      </c>
      <c r="L174">
        <v>32</v>
      </c>
      <c r="M174">
        <v>16</v>
      </c>
      <c r="O174" t="s">
        <v>466</v>
      </c>
    </row>
    <row r="175" spans="1:15" x14ac:dyDescent="0.3">
      <c r="A175">
        <v>241726</v>
      </c>
      <c r="B175">
        <v>116</v>
      </c>
      <c r="C175" t="s">
        <v>568</v>
      </c>
      <c r="D175" t="s">
        <v>2265</v>
      </c>
      <c r="E175" t="s">
        <v>2322</v>
      </c>
      <c r="F175" s="452">
        <v>46195</v>
      </c>
      <c r="G175">
        <v>17266</v>
      </c>
      <c r="H175" t="s">
        <v>4229</v>
      </c>
      <c r="I175" t="s">
        <v>4199</v>
      </c>
      <c r="J175">
        <v>12</v>
      </c>
      <c r="K175" t="s">
        <v>3872</v>
      </c>
      <c r="L175">
        <v>62.4</v>
      </c>
      <c r="M175">
        <v>5.2</v>
      </c>
      <c r="O175" t="s">
        <v>466</v>
      </c>
    </row>
    <row r="176" spans="1:15" x14ac:dyDescent="0.3">
      <c r="A176">
        <v>241726</v>
      </c>
      <c r="B176">
        <v>116</v>
      </c>
      <c r="C176" t="s">
        <v>568</v>
      </c>
      <c r="D176" t="s">
        <v>2265</v>
      </c>
      <c r="E176" t="s">
        <v>2322</v>
      </c>
      <c r="F176" s="452">
        <v>46195</v>
      </c>
      <c r="G176">
        <v>17314</v>
      </c>
      <c r="H176" t="s">
        <v>4204</v>
      </c>
      <c r="I176" t="s">
        <v>4199</v>
      </c>
      <c r="J176">
        <v>3</v>
      </c>
      <c r="K176" t="s">
        <v>3978</v>
      </c>
      <c r="L176">
        <v>17.670000000000002</v>
      </c>
      <c r="M176">
        <v>5.89</v>
      </c>
      <c r="O176" t="s">
        <v>466</v>
      </c>
    </row>
    <row r="177" spans="1:15" x14ac:dyDescent="0.3">
      <c r="A177">
        <v>241726</v>
      </c>
      <c r="B177">
        <v>116</v>
      </c>
      <c r="C177" t="s">
        <v>568</v>
      </c>
      <c r="D177" t="s">
        <v>2265</v>
      </c>
      <c r="E177" t="s">
        <v>2322</v>
      </c>
      <c r="F177" s="452">
        <v>46195</v>
      </c>
      <c r="G177">
        <v>17017</v>
      </c>
      <c r="H177" t="s">
        <v>4230</v>
      </c>
      <c r="I177" t="s">
        <v>4199</v>
      </c>
      <c r="J177">
        <v>2</v>
      </c>
      <c r="K177" t="s">
        <v>3888</v>
      </c>
      <c r="L177">
        <v>6</v>
      </c>
      <c r="M177">
        <v>3</v>
      </c>
      <c r="O177" t="s">
        <v>466</v>
      </c>
    </row>
    <row r="178" spans="1:15" x14ac:dyDescent="0.3">
      <c r="A178">
        <v>241726</v>
      </c>
      <c r="B178">
        <v>116</v>
      </c>
      <c r="C178" t="s">
        <v>568</v>
      </c>
      <c r="D178" t="s">
        <v>2265</v>
      </c>
      <c r="E178" t="s">
        <v>2322</v>
      </c>
      <c r="F178" s="452">
        <v>46195</v>
      </c>
      <c r="G178">
        <v>17455</v>
      </c>
      <c r="H178" t="s">
        <v>4231</v>
      </c>
      <c r="I178" t="s">
        <v>4199</v>
      </c>
      <c r="J178">
        <v>2</v>
      </c>
      <c r="K178" t="s">
        <v>3872</v>
      </c>
      <c r="L178">
        <v>70.540000000000006</v>
      </c>
      <c r="M178">
        <v>35.270000000000003</v>
      </c>
      <c r="O178" t="s">
        <v>466</v>
      </c>
    </row>
    <row r="179" spans="1:15" x14ac:dyDescent="0.3">
      <c r="A179">
        <v>241726</v>
      </c>
      <c r="B179">
        <v>116</v>
      </c>
      <c r="C179" t="s">
        <v>568</v>
      </c>
      <c r="D179" t="s">
        <v>2265</v>
      </c>
      <c r="E179" t="s">
        <v>2322</v>
      </c>
      <c r="F179" s="452">
        <v>46195</v>
      </c>
      <c r="G179">
        <v>17129</v>
      </c>
      <c r="H179" t="s">
        <v>4200</v>
      </c>
      <c r="I179" t="s">
        <v>4199</v>
      </c>
      <c r="J179">
        <v>1</v>
      </c>
      <c r="K179" t="s">
        <v>3888</v>
      </c>
      <c r="L179">
        <v>26.61</v>
      </c>
      <c r="M179">
        <v>26.61</v>
      </c>
      <c r="O179" t="s">
        <v>466</v>
      </c>
    </row>
    <row r="180" spans="1:15" x14ac:dyDescent="0.3">
      <c r="A180">
        <v>241726</v>
      </c>
      <c r="B180">
        <v>116</v>
      </c>
      <c r="C180" t="s">
        <v>568</v>
      </c>
      <c r="D180" t="s">
        <v>2265</v>
      </c>
      <c r="E180" t="s">
        <v>2322</v>
      </c>
      <c r="F180" s="452">
        <v>46195</v>
      </c>
      <c r="G180">
        <v>17341</v>
      </c>
      <c r="H180" t="s">
        <v>4232</v>
      </c>
      <c r="I180" t="s">
        <v>4199</v>
      </c>
      <c r="J180">
        <v>1</v>
      </c>
      <c r="K180" t="s">
        <v>3931</v>
      </c>
      <c r="L180">
        <v>74.8</v>
      </c>
      <c r="M180">
        <v>74.8</v>
      </c>
      <c r="O180" t="s">
        <v>466</v>
      </c>
    </row>
    <row r="181" spans="1:15" x14ac:dyDescent="0.3">
      <c r="A181">
        <v>241724</v>
      </c>
      <c r="B181">
        <v>116</v>
      </c>
      <c r="C181" t="s">
        <v>568</v>
      </c>
      <c r="D181" t="s">
        <v>2323</v>
      </c>
      <c r="E181" t="s">
        <v>2324</v>
      </c>
      <c r="F181" s="452">
        <v>46196</v>
      </c>
      <c r="G181">
        <v>24402</v>
      </c>
      <c r="H181" t="s">
        <v>3896</v>
      </c>
      <c r="I181" t="s">
        <v>3469</v>
      </c>
      <c r="J181">
        <v>20.7</v>
      </c>
      <c r="K181" t="s">
        <v>3892</v>
      </c>
      <c r="L181">
        <v>782.46</v>
      </c>
      <c r="M181">
        <v>37.799999999999997</v>
      </c>
      <c r="O181" t="s">
        <v>466</v>
      </c>
    </row>
    <row r="182" spans="1:15" x14ac:dyDescent="0.3">
      <c r="A182">
        <v>241724</v>
      </c>
      <c r="B182">
        <v>116</v>
      </c>
      <c r="C182" t="s">
        <v>568</v>
      </c>
      <c r="D182" t="s">
        <v>2323</v>
      </c>
      <c r="E182" t="s">
        <v>2324</v>
      </c>
      <c r="F182" s="452">
        <v>46196</v>
      </c>
      <c r="G182">
        <v>18832</v>
      </c>
      <c r="H182" t="s">
        <v>3900</v>
      </c>
      <c r="I182" t="s">
        <v>3469</v>
      </c>
      <c r="J182">
        <v>20.100000000000001</v>
      </c>
      <c r="K182" t="s">
        <v>3892</v>
      </c>
      <c r="L182">
        <v>741.69</v>
      </c>
      <c r="M182">
        <v>36.9</v>
      </c>
      <c r="O182" t="s">
        <v>466</v>
      </c>
    </row>
    <row r="183" spans="1:15" x14ac:dyDescent="0.3">
      <c r="A183">
        <v>241724</v>
      </c>
      <c r="B183">
        <v>116</v>
      </c>
      <c r="C183" t="s">
        <v>568</v>
      </c>
      <c r="D183" t="s">
        <v>2323</v>
      </c>
      <c r="E183" t="s">
        <v>2324</v>
      </c>
      <c r="F183" s="452">
        <v>46196</v>
      </c>
      <c r="G183">
        <v>24320</v>
      </c>
      <c r="H183" t="s">
        <v>4160</v>
      </c>
      <c r="I183" t="s">
        <v>3469</v>
      </c>
      <c r="J183">
        <v>16.3</v>
      </c>
      <c r="K183" t="s">
        <v>3892</v>
      </c>
      <c r="L183">
        <v>562.35</v>
      </c>
      <c r="M183">
        <v>34.5</v>
      </c>
      <c r="O183" t="s">
        <v>466</v>
      </c>
    </row>
    <row r="184" spans="1:15" x14ac:dyDescent="0.3">
      <c r="A184">
        <v>241724</v>
      </c>
      <c r="B184">
        <v>116</v>
      </c>
      <c r="C184" t="s">
        <v>568</v>
      </c>
      <c r="D184" t="s">
        <v>2323</v>
      </c>
      <c r="E184" t="s">
        <v>2324</v>
      </c>
      <c r="F184" s="452">
        <v>46196</v>
      </c>
      <c r="G184">
        <v>27313</v>
      </c>
      <c r="H184" t="s">
        <v>4131</v>
      </c>
      <c r="I184" t="s">
        <v>3469</v>
      </c>
      <c r="J184">
        <v>10.199999999999999</v>
      </c>
      <c r="K184" t="s">
        <v>3892</v>
      </c>
      <c r="L184">
        <v>376.38</v>
      </c>
      <c r="M184">
        <v>36.9</v>
      </c>
      <c r="O184" t="s">
        <v>466</v>
      </c>
    </row>
    <row r="185" spans="1:15" x14ac:dyDescent="0.3">
      <c r="A185">
        <v>241723</v>
      </c>
      <c r="B185">
        <v>116</v>
      </c>
      <c r="C185" t="s">
        <v>568</v>
      </c>
      <c r="D185" t="s">
        <v>2325</v>
      </c>
      <c r="E185" t="s">
        <v>2326</v>
      </c>
      <c r="F185" s="452">
        <v>46196</v>
      </c>
      <c r="G185">
        <v>21618</v>
      </c>
      <c r="H185" t="s">
        <v>4233</v>
      </c>
      <c r="I185" t="s">
        <v>4199</v>
      </c>
      <c r="J185">
        <v>10</v>
      </c>
      <c r="K185" t="s">
        <v>4203</v>
      </c>
      <c r="L185">
        <v>257.10000000000002</v>
      </c>
      <c r="M185">
        <v>25.71</v>
      </c>
      <c r="O185" t="s">
        <v>466</v>
      </c>
    </row>
    <row r="186" spans="1:15" x14ac:dyDescent="0.3">
      <c r="A186">
        <v>241721</v>
      </c>
      <c r="B186">
        <v>116</v>
      </c>
      <c r="C186" t="s">
        <v>568</v>
      </c>
      <c r="D186" t="s">
        <v>2314</v>
      </c>
      <c r="E186" t="s">
        <v>2327</v>
      </c>
      <c r="F186" s="452">
        <v>46196</v>
      </c>
      <c r="G186">
        <v>18640</v>
      </c>
      <c r="H186" t="s">
        <v>3994</v>
      </c>
      <c r="I186" t="s">
        <v>3497</v>
      </c>
      <c r="J186">
        <v>2</v>
      </c>
      <c r="K186" t="s">
        <v>3922</v>
      </c>
      <c r="L186">
        <v>612</v>
      </c>
      <c r="M186">
        <v>306</v>
      </c>
      <c r="O186" t="s">
        <v>466</v>
      </c>
    </row>
    <row r="187" spans="1:15" x14ac:dyDescent="0.3">
      <c r="A187">
        <v>241721</v>
      </c>
      <c r="B187">
        <v>116</v>
      </c>
      <c r="C187" t="s">
        <v>568</v>
      </c>
      <c r="D187" t="s">
        <v>2314</v>
      </c>
      <c r="E187" t="s">
        <v>2327</v>
      </c>
      <c r="F187" s="452">
        <v>46196</v>
      </c>
      <c r="G187">
        <v>18636</v>
      </c>
      <c r="H187" t="s">
        <v>3921</v>
      </c>
      <c r="I187" t="s">
        <v>3497</v>
      </c>
      <c r="J187">
        <v>8</v>
      </c>
      <c r="K187" t="s">
        <v>3922</v>
      </c>
      <c r="L187">
        <v>3862.4</v>
      </c>
      <c r="M187">
        <v>482.8</v>
      </c>
      <c r="O187" t="s">
        <v>466</v>
      </c>
    </row>
    <row r="188" spans="1:15" x14ac:dyDescent="0.3">
      <c r="A188">
        <v>241720</v>
      </c>
      <c r="B188">
        <v>116</v>
      </c>
      <c r="C188" t="s">
        <v>568</v>
      </c>
      <c r="D188" t="s">
        <v>2314</v>
      </c>
      <c r="E188" t="s">
        <v>2328</v>
      </c>
      <c r="F188" s="452">
        <v>46197</v>
      </c>
      <c r="G188">
        <v>17886</v>
      </c>
      <c r="H188" t="s">
        <v>3935</v>
      </c>
      <c r="I188" t="s">
        <v>3497</v>
      </c>
      <c r="J188">
        <v>30</v>
      </c>
      <c r="K188" t="s">
        <v>3888</v>
      </c>
      <c r="L188">
        <v>691.5</v>
      </c>
      <c r="M188">
        <v>23.05</v>
      </c>
      <c r="O188" t="s">
        <v>466</v>
      </c>
    </row>
    <row r="189" spans="1:15" x14ac:dyDescent="0.3">
      <c r="A189">
        <v>241720</v>
      </c>
      <c r="B189">
        <v>116</v>
      </c>
      <c r="C189" t="s">
        <v>568</v>
      </c>
      <c r="D189" t="s">
        <v>2314</v>
      </c>
      <c r="E189" t="s">
        <v>2328</v>
      </c>
      <c r="F189" s="452">
        <v>46197</v>
      </c>
      <c r="G189">
        <v>17883</v>
      </c>
      <c r="H189" t="s">
        <v>4136</v>
      </c>
      <c r="I189" t="s">
        <v>3497</v>
      </c>
      <c r="J189">
        <v>5</v>
      </c>
      <c r="K189" t="s">
        <v>3888</v>
      </c>
      <c r="L189">
        <v>117.25</v>
      </c>
      <c r="M189">
        <v>23.45</v>
      </c>
      <c r="O189" t="s">
        <v>466</v>
      </c>
    </row>
    <row r="190" spans="1:15" x14ac:dyDescent="0.3">
      <c r="A190">
        <v>241720</v>
      </c>
      <c r="B190">
        <v>116</v>
      </c>
      <c r="C190" t="s">
        <v>568</v>
      </c>
      <c r="D190" t="s">
        <v>2314</v>
      </c>
      <c r="E190" t="s">
        <v>2328</v>
      </c>
      <c r="F190" s="452">
        <v>46197</v>
      </c>
      <c r="G190">
        <v>18589</v>
      </c>
      <c r="H190" t="s">
        <v>4234</v>
      </c>
      <c r="I190" t="s">
        <v>3497</v>
      </c>
      <c r="J190">
        <v>10</v>
      </c>
      <c r="K190" t="s">
        <v>3888</v>
      </c>
      <c r="L190">
        <v>1075.4000000000001</v>
      </c>
      <c r="M190">
        <v>107.54</v>
      </c>
      <c r="O190" t="s">
        <v>466</v>
      </c>
    </row>
    <row r="191" spans="1:15" x14ac:dyDescent="0.3">
      <c r="A191">
        <v>241720</v>
      </c>
      <c r="B191">
        <v>116</v>
      </c>
      <c r="C191" t="s">
        <v>568</v>
      </c>
      <c r="D191" t="s">
        <v>2314</v>
      </c>
      <c r="E191" t="s">
        <v>2328</v>
      </c>
      <c r="F191" s="452">
        <v>46197</v>
      </c>
      <c r="G191">
        <v>17881</v>
      </c>
      <c r="H191" t="s">
        <v>4095</v>
      </c>
      <c r="I191" t="s">
        <v>3497</v>
      </c>
      <c r="J191">
        <v>10</v>
      </c>
      <c r="K191" t="s">
        <v>3888</v>
      </c>
      <c r="L191">
        <v>201</v>
      </c>
      <c r="M191">
        <v>20.100000000000001</v>
      </c>
      <c r="O191" t="s">
        <v>466</v>
      </c>
    </row>
    <row r="192" spans="1:15" x14ac:dyDescent="0.3">
      <c r="A192">
        <v>241720</v>
      </c>
      <c r="B192">
        <v>116</v>
      </c>
      <c r="C192" t="s">
        <v>568</v>
      </c>
      <c r="D192" t="s">
        <v>2314</v>
      </c>
      <c r="E192" t="s">
        <v>2328</v>
      </c>
      <c r="F192" s="452">
        <v>46197</v>
      </c>
      <c r="G192">
        <v>17903</v>
      </c>
      <c r="H192" t="s">
        <v>3971</v>
      </c>
      <c r="I192" t="s">
        <v>3497</v>
      </c>
      <c r="J192">
        <v>10</v>
      </c>
      <c r="K192" t="s">
        <v>3888</v>
      </c>
      <c r="L192">
        <v>199.6</v>
      </c>
      <c r="M192">
        <v>19.96</v>
      </c>
      <c r="O192" t="s">
        <v>466</v>
      </c>
    </row>
    <row r="193" spans="1:15" x14ac:dyDescent="0.3">
      <c r="A193">
        <v>241718</v>
      </c>
      <c r="B193">
        <v>116</v>
      </c>
      <c r="C193" t="s">
        <v>568</v>
      </c>
      <c r="D193" t="s">
        <v>2314</v>
      </c>
      <c r="E193" t="s">
        <v>2329</v>
      </c>
      <c r="F193" s="452">
        <v>46199</v>
      </c>
      <c r="G193">
        <v>18636</v>
      </c>
      <c r="H193" t="s">
        <v>3921</v>
      </c>
      <c r="I193" t="s">
        <v>3497</v>
      </c>
      <c r="J193">
        <v>7</v>
      </c>
      <c r="K193" t="s">
        <v>3922</v>
      </c>
      <c r="L193">
        <v>3379.6</v>
      </c>
      <c r="M193">
        <v>482.8</v>
      </c>
      <c r="O193" t="s">
        <v>466</v>
      </c>
    </row>
    <row r="194" spans="1:15" x14ac:dyDescent="0.3">
      <c r="A194">
        <v>241717</v>
      </c>
      <c r="B194">
        <v>116</v>
      </c>
      <c r="C194" t="s">
        <v>568</v>
      </c>
      <c r="D194" t="s">
        <v>2330</v>
      </c>
      <c r="E194" t="s">
        <v>2331</v>
      </c>
      <c r="F194" s="452">
        <v>46195</v>
      </c>
      <c r="G194">
        <v>18395</v>
      </c>
      <c r="H194" t="s">
        <v>4085</v>
      </c>
      <c r="I194" t="s">
        <v>3497</v>
      </c>
      <c r="J194">
        <v>2</v>
      </c>
      <c r="K194" t="s">
        <v>3878</v>
      </c>
      <c r="L194">
        <v>59</v>
      </c>
      <c r="M194">
        <v>29.5</v>
      </c>
      <c r="O194" t="s">
        <v>466</v>
      </c>
    </row>
    <row r="195" spans="1:15" x14ac:dyDescent="0.3">
      <c r="A195">
        <v>241717</v>
      </c>
      <c r="B195">
        <v>116</v>
      </c>
      <c r="C195" t="s">
        <v>568</v>
      </c>
      <c r="D195" t="s">
        <v>2330</v>
      </c>
      <c r="E195" t="s">
        <v>2331</v>
      </c>
      <c r="F195" s="452">
        <v>46195</v>
      </c>
      <c r="G195">
        <v>18315</v>
      </c>
      <c r="H195" t="s">
        <v>4088</v>
      </c>
      <c r="I195" t="s">
        <v>3497</v>
      </c>
      <c r="J195">
        <v>1</v>
      </c>
      <c r="K195" t="s">
        <v>3878</v>
      </c>
      <c r="L195">
        <v>124</v>
      </c>
      <c r="M195">
        <v>124</v>
      </c>
      <c r="O195" t="s">
        <v>466</v>
      </c>
    </row>
    <row r="196" spans="1:15" x14ac:dyDescent="0.3">
      <c r="A196">
        <v>241717</v>
      </c>
      <c r="B196">
        <v>116</v>
      </c>
      <c r="C196" t="s">
        <v>568</v>
      </c>
      <c r="D196" t="s">
        <v>2330</v>
      </c>
      <c r="E196" t="s">
        <v>2331</v>
      </c>
      <c r="F196" s="452">
        <v>46195</v>
      </c>
      <c r="G196">
        <v>18030</v>
      </c>
      <c r="H196" t="s">
        <v>4033</v>
      </c>
      <c r="I196" t="s">
        <v>3497</v>
      </c>
      <c r="J196">
        <v>2</v>
      </c>
      <c r="K196" t="s">
        <v>3878</v>
      </c>
      <c r="L196">
        <v>55</v>
      </c>
      <c r="M196">
        <v>27.5</v>
      </c>
      <c r="O196" t="s">
        <v>466</v>
      </c>
    </row>
    <row r="197" spans="1:15" x14ac:dyDescent="0.3">
      <c r="A197">
        <v>241715</v>
      </c>
      <c r="B197">
        <v>116</v>
      </c>
      <c r="C197" t="s">
        <v>568</v>
      </c>
      <c r="D197" t="s">
        <v>2332</v>
      </c>
      <c r="E197" t="s">
        <v>2333</v>
      </c>
      <c r="F197" s="452">
        <v>46197</v>
      </c>
      <c r="G197">
        <v>18394</v>
      </c>
      <c r="H197" t="s">
        <v>4044</v>
      </c>
      <c r="I197" t="s">
        <v>3497</v>
      </c>
      <c r="J197">
        <v>2</v>
      </c>
      <c r="K197" t="s">
        <v>3878</v>
      </c>
      <c r="L197">
        <v>219.46</v>
      </c>
      <c r="M197">
        <v>109.73</v>
      </c>
      <c r="O197" t="s">
        <v>466</v>
      </c>
    </row>
    <row r="198" spans="1:15" x14ac:dyDescent="0.3">
      <c r="A198">
        <v>241713</v>
      </c>
      <c r="B198">
        <v>116</v>
      </c>
      <c r="C198" t="s">
        <v>568</v>
      </c>
      <c r="D198" t="s">
        <v>2334</v>
      </c>
      <c r="E198" t="s">
        <v>2335</v>
      </c>
      <c r="F198" s="452">
        <v>46196</v>
      </c>
      <c r="G198">
        <v>18295</v>
      </c>
      <c r="H198" t="s">
        <v>4030</v>
      </c>
      <c r="I198" t="s">
        <v>3497</v>
      </c>
      <c r="J198">
        <v>2</v>
      </c>
      <c r="K198" t="s">
        <v>3878</v>
      </c>
      <c r="L198">
        <v>270</v>
      </c>
      <c r="M198">
        <v>135</v>
      </c>
      <c r="O198" t="s">
        <v>466</v>
      </c>
    </row>
    <row r="199" spans="1:15" x14ac:dyDescent="0.3">
      <c r="A199">
        <v>241712</v>
      </c>
      <c r="B199">
        <v>116</v>
      </c>
      <c r="C199" t="s">
        <v>568</v>
      </c>
      <c r="D199" t="s">
        <v>2284</v>
      </c>
      <c r="E199" t="s">
        <v>2336</v>
      </c>
      <c r="F199" s="452">
        <v>46197</v>
      </c>
      <c r="G199">
        <v>21093</v>
      </c>
      <c r="H199" t="s">
        <v>3903</v>
      </c>
      <c r="I199" t="s">
        <v>3469</v>
      </c>
      <c r="J199">
        <v>10</v>
      </c>
      <c r="K199" t="s">
        <v>3872</v>
      </c>
      <c r="L199">
        <v>39.5</v>
      </c>
      <c r="M199">
        <v>3.95</v>
      </c>
      <c r="O199" t="s">
        <v>466</v>
      </c>
    </row>
    <row r="200" spans="1:15" x14ac:dyDescent="0.3">
      <c r="A200">
        <v>241712</v>
      </c>
      <c r="B200">
        <v>116</v>
      </c>
      <c r="C200" t="s">
        <v>568</v>
      </c>
      <c r="D200" t="s">
        <v>2284</v>
      </c>
      <c r="E200" t="s">
        <v>2336</v>
      </c>
      <c r="F200" s="452">
        <v>46197</v>
      </c>
      <c r="G200">
        <v>24401</v>
      </c>
      <c r="H200" t="s">
        <v>4063</v>
      </c>
      <c r="I200" t="s">
        <v>3469</v>
      </c>
      <c r="J200">
        <v>1</v>
      </c>
      <c r="K200" t="s">
        <v>3892</v>
      </c>
      <c r="L200">
        <v>15</v>
      </c>
      <c r="M200">
        <v>15</v>
      </c>
      <c r="O200" t="s">
        <v>466</v>
      </c>
    </row>
    <row r="201" spans="1:15" x14ac:dyDescent="0.3">
      <c r="A201">
        <v>241712</v>
      </c>
      <c r="B201">
        <v>116</v>
      </c>
      <c r="C201" t="s">
        <v>568</v>
      </c>
      <c r="D201" t="s">
        <v>2284</v>
      </c>
      <c r="E201" t="s">
        <v>2336</v>
      </c>
      <c r="F201" s="452">
        <v>46197</v>
      </c>
      <c r="G201">
        <v>22721</v>
      </c>
      <c r="H201" t="s">
        <v>4221</v>
      </c>
      <c r="I201" t="s">
        <v>3469</v>
      </c>
      <c r="J201">
        <v>5</v>
      </c>
      <c r="K201" t="s">
        <v>3892</v>
      </c>
      <c r="L201">
        <v>147.5</v>
      </c>
      <c r="M201">
        <v>29.5</v>
      </c>
      <c r="O201" t="s">
        <v>466</v>
      </c>
    </row>
    <row r="202" spans="1:15" x14ac:dyDescent="0.3">
      <c r="A202">
        <v>241710</v>
      </c>
      <c r="B202">
        <v>116</v>
      </c>
      <c r="C202" t="s">
        <v>568</v>
      </c>
      <c r="D202" t="s">
        <v>2277</v>
      </c>
      <c r="E202" t="s">
        <v>2337</v>
      </c>
      <c r="F202" s="452">
        <v>46197</v>
      </c>
      <c r="G202">
        <v>20729</v>
      </c>
      <c r="H202" t="s">
        <v>3965</v>
      </c>
      <c r="I202" t="s">
        <v>3469</v>
      </c>
      <c r="J202">
        <v>2</v>
      </c>
      <c r="K202" t="s">
        <v>3966</v>
      </c>
      <c r="L202">
        <v>135.76</v>
      </c>
      <c r="M202">
        <v>67.88</v>
      </c>
      <c r="O202" t="s">
        <v>466</v>
      </c>
    </row>
    <row r="203" spans="1:15" x14ac:dyDescent="0.3">
      <c r="A203">
        <v>241710</v>
      </c>
      <c r="B203">
        <v>116</v>
      </c>
      <c r="C203" t="s">
        <v>568</v>
      </c>
      <c r="D203" t="s">
        <v>2277</v>
      </c>
      <c r="E203" t="s">
        <v>2337</v>
      </c>
      <c r="F203" s="452">
        <v>46197</v>
      </c>
      <c r="G203">
        <v>20395</v>
      </c>
      <c r="H203" t="s">
        <v>4057</v>
      </c>
      <c r="I203" t="s">
        <v>3469</v>
      </c>
      <c r="J203">
        <v>1</v>
      </c>
      <c r="K203" t="s">
        <v>3872</v>
      </c>
      <c r="L203">
        <v>27.09</v>
      </c>
      <c r="M203">
        <v>27.09</v>
      </c>
      <c r="O203" t="s">
        <v>466</v>
      </c>
    </row>
    <row r="204" spans="1:15" x14ac:dyDescent="0.3">
      <c r="A204">
        <v>241710</v>
      </c>
      <c r="B204">
        <v>116</v>
      </c>
      <c r="C204" t="s">
        <v>568</v>
      </c>
      <c r="D204" t="s">
        <v>2277</v>
      </c>
      <c r="E204" t="s">
        <v>2337</v>
      </c>
      <c r="F204" s="452">
        <v>46197</v>
      </c>
      <c r="G204">
        <v>24331</v>
      </c>
      <c r="H204" t="s">
        <v>3960</v>
      </c>
      <c r="I204" t="s">
        <v>3469</v>
      </c>
      <c r="J204">
        <v>5</v>
      </c>
      <c r="K204" t="s">
        <v>3892</v>
      </c>
      <c r="L204">
        <v>104.25</v>
      </c>
      <c r="M204">
        <v>20.85</v>
      </c>
      <c r="O204" t="s">
        <v>466</v>
      </c>
    </row>
    <row r="205" spans="1:15" x14ac:dyDescent="0.3">
      <c r="A205">
        <v>241710</v>
      </c>
      <c r="B205">
        <v>116</v>
      </c>
      <c r="C205" t="s">
        <v>568</v>
      </c>
      <c r="D205" t="s">
        <v>2277</v>
      </c>
      <c r="E205" t="s">
        <v>2337</v>
      </c>
      <c r="F205" s="452">
        <v>46197</v>
      </c>
      <c r="G205">
        <v>20682</v>
      </c>
      <c r="H205" t="s">
        <v>3929</v>
      </c>
      <c r="I205" t="s">
        <v>3469</v>
      </c>
      <c r="J205">
        <v>12</v>
      </c>
      <c r="K205" t="s">
        <v>3872</v>
      </c>
      <c r="L205">
        <v>107.76</v>
      </c>
      <c r="M205">
        <v>8.98</v>
      </c>
      <c r="O205" t="s">
        <v>466</v>
      </c>
    </row>
    <row r="206" spans="1:15" x14ac:dyDescent="0.3">
      <c r="A206">
        <v>241710</v>
      </c>
      <c r="B206">
        <v>116</v>
      </c>
      <c r="C206" t="s">
        <v>568</v>
      </c>
      <c r="D206" t="s">
        <v>2277</v>
      </c>
      <c r="E206" t="s">
        <v>2337</v>
      </c>
      <c r="F206" s="452">
        <v>46197</v>
      </c>
      <c r="G206">
        <v>27475</v>
      </c>
      <c r="H206" t="s">
        <v>4162</v>
      </c>
      <c r="I206" t="s">
        <v>3469</v>
      </c>
      <c r="J206">
        <v>2</v>
      </c>
      <c r="K206" t="s">
        <v>3872</v>
      </c>
      <c r="L206">
        <v>33.6</v>
      </c>
      <c r="M206">
        <v>16.8</v>
      </c>
      <c r="O206" t="s">
        <v>466</v>
      </c>
    </row>
    <row r="207" spans="1:15" x14ac:dyDescent="0.3">
      <c r="A207">
        <v>241710</v>
      </c>
      <c r="B207">
        <v>116</v>
      </c>
      <c r="C207" t="s">
        <v>568</v>
      </c>
      <c r="D207" t="s">
        <v>2277</v>
      </c>
      <c r="E207" t="s">
        <v>2337</v>
      </c>
      <c r="F207" s="452">
        <v>46197</v>
      </c>
      <c r="G207">
        <v>25237</v>
      </c>
      <c r="H207" t="s">
        <v>4164</v>
      </c>
      <c r="I207" t="s">
        <v>3469</v>
      </c>
      <c r="J207">
        <v>10</v>
      </c>
      <c r="K207" t="s">
        <v>3888</v>
      </c>
      <c r="L207">
        <v>52.9</v>
      </c>
      <c r="M207">
        <v>5.29</v>
      </c>
      <c r="O207" t="s">
        <v>466</v>
      </c>
    </row>
    <row r="208" spans="1:15" x14ac:dyDescent="0.3">
      <c r="A208">
        <v>241710</v>
      </c>
      <c r="B208">
        <v>116</v>
      </c>
      <c r="C208" t="s">
        <v>568</v>
      </c>
      <c r="D208" t="s">
        <v>2277</v>
      </c>
      <c r="E208" t="s">
        <v>2337</v>
      </c>
      <c r="F208" s="452">
        <v>46197</v>
      </c>
      <c r="G208">
        <v>24212</v>
      </c>
      <c r="H208" t="s">
        <v>4056</v>
      </c>
      <c r="I208" t="s">
        <v>3469</v>
      </c>
      <c r="J208">
        <v>2</v>
      </c>
      <c r="K208" t="s">
        <v>3892</v>
      </c>
      <c r="L208">
        <v>23.8</v>
      </c>
      <c r="M208">
        <v>11.9</v>
      </c>
      <c r="O208" t="s">
        <v>466</v>
      </c>
    </row>
    <row r="209" spans="1:15" x14ac:dyDescent="0.3">
      <c r="A209">
        <v>241707</v>
      </c>
      <c r="B209">
        <v>116</v>
      </c>
      <c r="C209" t="s">
        <v>568</v>
      </c>
      <c r="D209" t="s">
        <v>2338</v>
      </c>
      <c r="E209" t="s">
        <v>2339</v>
      </c>
      <c r="F209" s="452">
        <v>46195</v>
      </c>
      <c r="G209">
        <v>20301</v>
      </c>
      <c r="H209" t="s">
        <v>4161</v>
      </c>
      <c r="I209" t="s">
        <v>3469</v>
      </c>
      <c r="J209">
        <v>6</v>
      </c>
      <c r="K209" t="s">
        <v>3888</v>
      </c>
      <c r="L209">
        <v>126</v>
      </c>
      <c r="M209">
        <v>21</v>
      </c>
      <c r="O209" t="s">
        <v>466</v>
      </c>
    </row>
    <row r="210" spans="1:15" x14ac:dyDescent="0.3">
      <c r="A210">
        <v>241707</v>
      </c>
      <c r="B210">
        <v>116</v>
      </c>
      <c r="C210" t="s">
        <v>568</v>
      </c>
      <c r="D210" t="s">
        <v>2338</v>
      </c>
      <c r="E210" t="s">
        <v>2339</v>
      </c>
      <c r="F210" s="452">
        <v>46195</v>
      </c>
      <c r="G210">
        <v>20984</v>
      </c>
      <c r="H210" t="s">
        <v>4235</v>
      </c>
      <c r="I210" t="s">
        <v>3469</v>
      </c>
      <c r="J210">
        <v>48</v>
      </c>
      <c r="K210" t="s">
        <v>3931</v>
      </c>
      <c r="L210">
        <v>391.2</v>
      </c>
      <c r="M210">
        <v>8.15</v>
      </c>
      <c r="O210" t="s">
        <v>466</v>
      </c>
    </row>
    <row r="211" spans="1:15" x14ac:dyDescent="0.3">
      <c r="A211">
        <v>241703</v>
      </c>
      <c r="B211">
        <v>116</v>
      </c>
      <c r="C211" t="s">
        <v>568</v>
      </c>
      <c r="D211" t="s">
        <v>2340</v>
      </c>
      <c r="E211" t="s">
        <v>2341</v>
      </c>
      <c r="F211" s="452">
        <v>46197</v>
      </c>
      <c r="G211">
        <v>19324</v>
      </c>
      <c r="H211" t="s">
        <v>3937</v>
      </c>
      <c r="I211" t="s">
        <v>3469</v>
      </c>
      <c r="J211">
        <v>12.6</v>
      </c>
      <c r="K211" t="s">
        <v>3892</v>
      </c>
      <c r="L211">
        <v>524.16</v>
      </c>
      <c r="M211">
        <v>41.6</v>
      </c>
      <c r="O211" t="s">
        <v>466</v>
      </c>
    </row>
    <row r="212" spans="1:15" x14ac:dyDescent="0.3">
      <c r="A212">
        <v>241703</v>
      </c>
      <c r="B212">
        <v>116</v>
      </c>
      <c r="C212" t="s">
        <v>568</v>
      </c>
      <c r="D212" t="s">
        <v>2340</v>
      </c>
      <c r="E212" t="s">
        <v>2341</v>
      </c>
      <c r="F212" s="452">
        <v>46197</v>
      </c>
      <c r="G212">
        <v>24339</v>
      </c>
      <c r="H212" t="s">
        <v>4119</v>
      </c>
      <c r="I212" t="s">
        <v>3469</v>
      </c>
      <c r="J212">
        <v>5</v>
      </c>
      <c r="K212" t="s">
        <v>3892</v>
      </c>
      <c r="L212">
        <v>124.5</v>
      </c>
      <c r="M212">
        <v>24.9</v>
      </c>
      <c r="O212" t="s">
        <v>466</v>
      </c>
    </row>
    <row r="213" spans="1:15" x14ac:dyDescent="0.3">
      <c r="A213">
        <v>241703</v>
      </c>
      <c r="B213">
        <v>116</v>
      </c>
      <c r="C213" t="s">
        <v>568</v>
      </c>
      <c r="D213" t="s">
        <v>2340</v>
      </c>
      <c r="E213" t="s">
        <v>2341</v>
      </c>
      <c r="F213" s="452">
        <v>46197</v>
      </c>
      <c r="G213">
        <v>19415</v>
      </c>
      <c r="H213" t="s">
        <v>3941</v>
      </c>
      <c r="I213" t="s">
        <v>3469</v>
      </c>
      <c r="J213">
        <v>6</v>
      </c>
      <c r="K213" t="s">
        <v>3872</v>
      </c>
      <c r="L213">
        <v>50.16</v>
      </c>
      <c r="M213">
        <v>8.36</v>
      </c>
      <c r="O213" t="s">
        <v>466</v>
      </c>
    </row>
    <row r="214" spans="1:15" x14ac:dyDescent="0.3">
      <c r="A214">
        <v>241701</v>
      </c>
      <c r="B214">
        <v>116</v>
      </c>
      <c r="C214" t="s">
        <v>568</v>
      </c>
      <c r="D214" t="s">
        <v>2342</v>
      </c>
      <c r="E214" t="s">
        <v>2343</v>
      </c>
      <c r="F214" s="452">
        <v>46195</v>
      </c>
      <c r="G214">
        <v>24351</v>
      </c>
      <c r="H214" t="s">
        <v>3912</v>
      </c>
      <c r="I214" t="s">
        <v>3469</v>
      </c>
      <c r="J214">
        <v>10</v>
      </c>
      <c r="K214" t="s">
        <v>3872</v>
      </c>
      <c r="L214">
        <v>325</v>
      </c>
      <c r="M214">
        <v>32.5</v>
      </c>
      <c r="O214" t="s">
        <v>466</v>
      </c>
    </row>
    <row r="215" spans="1:15" x14ac:dyDescent="0.3">
      <c r="A215">
        <v>241697</v>
      </c>
      <c r="B215">
        <v>116</v>
      </c>
      <c r="C215" t="s">
        <v>568</v>
      </c>
      <c r="D215" t="s">
        <v>2310</v>
      </c>
      <c r="E215" t="s">
        <v>2344</v>
      </c>
      <c r="F215" s="452">
        <v>46197</v>
      </c>
      <c r="G215">
        <v>20624</v>
      </c>
      <c r="H215" t="s">
        <v>3982</v>
      </c>
      <c r="I215" t="s">
        <v>3469</v>
      </c>
      <c r="J215">
        <v>1</v>
      </c>
      <c r="K215" t="s">
        <v>3872</v>
      </c>
      <c r="L215">
        <v>70.900000000000006</v>
      </c>
      <c r="M215">
        <v>70.900000000000006</v>
      </c>
      <c r="O215" t="s">
        <v>466</v>
      </c>
    </row>
    <row r="216" spans="1:15" x14ac:dyDescent="0.3">
      <c r="A216">
        <v>241697</v>
      </c>
      <c r="B216">
        <v>116</v>
      </c>
      <c r="C216" t="s">
        <v>568</v>
      </c>
      <c r="D216" t="s">
        <v>2310</v>
      </c>
      <c r="E216" t="s">
        <v>2344</v>
      </c>
      <c r="F216" s="452">
        <v>46197</v>
      </c>
      <c r="G216">
        <v>25768</v>
      </c>
      <c r="H216" t="s">
        <v>4012</v>
      </c>
      <c r="I216" t="s">
        <v>3469</v>
      </c>
      <c r="J216">
        <v>4</v>
      </c>
      <c r="K216" t="s">
        <v>3892</v>
      </c>
      <c r="L216">
        <v>39.6</v>
      </c>
      <c r="M216">
        <v>9.9</v>
      </c>
      <c r="O216" t="s">
        <v>466</v>
      </c>
    </row>
    <row r="217" spans="1:15" x14ac:dyDescent="0.3">
      <c r="A217">
        <v>241696</v>
      </c>
      <c r="B217">
        <v>116</v>
      </c>
      <c r="C217" t="s">
        <v>568</v>
      </c>
      <c r="D217" t="s">
        <v>2262</v>
      </c>
      <c r="E217" t="s">
        <v>2345</v>
      </c>
      <c r="F217" s="452">
        <v>46199</v>
      </c>
      <c r="G217">
        <v>24259</v>
      </c>
      <c r="H217" t="s">
        <v>3895</v>
      </c>
      <c r="I217" t="s">
        <v>3469</v>
      </c>
      <c r="J217">
        <v>15.7</v>
      </c>
      <c r="K217" t="s">
        <v>3892</v>
      </c>
      <c r="L217">
        <v>1254.43</v>
      </c>
      <c r="M217">
        <v>79.900000000000006</v>
      </c>
      <c r="O217" t="s">
        <v>466</v>
      </c>
    </row>
    <row r="218" spans="1:15" x14ac:dyDescent="0.3">
      <c r="A218">
        <v>241694</v>
      </c>
      <c r="B218">
        <v>116</v>
      </c>
      <c r="C218" t="s">
        <v>568</v>
      </c>
      <c r="D218" t="s">
        <v>2267</v>
      </c>
      <c r="E218" t="s">
        <v>2346</v>
      </c>
      <c r="F218" s="452">
        <v>46196</v>
      </c>
      <c r="G218">
        <v>24403</v>
      </c>
      <c r="H218" t="s">
        <v>3992</v>
      </c>
      <c r="I218" t="s">
        <v>3469</v>
      </c>
      <c r="J218">
        <v>3</v>
      </c>
      <c r="K218" t="s">
        <v>3892</v>
      </c>
      <c r="L218">
        <v>38.97</v>
      </c>
      <c r="M218">
        <v>12.99</v>
      </c>
      <c r="O218" t="s">
        <v>466</v>
      </c>
    </row>
    <row r="219" spans="1:15" x14ac:dyDescent="0.3">
      <c r="A219">
        <v>241694</v>
      </c>
      <c r="B219">
        <v>116</v>
      </c>
      <c r="C219" t="s">
        <v>568</v>
      </c>
      <c r="D219" t="s">
        <v>2267</v>
      </c>
      <c r="E219" t="s">
        <v>2346</v>
      </c>
      <c r="F219" s="452">
        <v>46196</v>
      </c>
      <c r="G219">
        <v>18666</v>
      </c>
      <c r="H219" t="s">
        <v>4003</v>
      </c>
      <c r="I219" t="s">
        <v>3469</v>
      </c>
      <c r="J219">
        <v>3</v>
      </c>
      <c r="K219" t="s">
        <v>3892</v>
      </c>
      <c r="L219">
        <v>71.97</v>
      </c>
      <c r="M219">
        <v>23.99</v>
      </c>
      <c r="O219" t="s">
        <v>466</v>
      </c>
    </row>
    <row r="220" spans="1:15" x14ac:dyDescent="0.3">
      <c r="A220">
        <v>241694</v>
      </c>
      <c r="B220">
        <v>116</v>
      </c>
      <c r="C220" t="s">
        <v>568</v>
      </c>
      <c r="D220" t="s">
        <v>2267</v>
      </c>
      <c r="E220" t="s">
        <v>2346</v>
      </c>
      <c r="F220" s="452">
        <v>46196</v>
      </c>
      <c r="G220">
        <v>18682</v>
      </c>
      <c r="H220" t="s">
        <v>4025</v>
      </c>
      <c r="I220" t="s">
        <v>3469</v>
      </c>
      <c r="J220">
        <v>6.4</v>
      </c>
      <c r="K220" t="s">
        <v>3892</v>
      </c>
      <c r="L220">
        <v>179.14</v>
      </c>
      <c r="M220">
        <v>27.990625000000001</v>
      </c>
      <c r="O220" t="s">
        <v>466</v>
      </c>
    </row>
    <row r="221" spans="1:15" x14ac:dyDescent="0.3">
      <c r="A221">
        <v>241694</v>
      </c>
      <c r="B221">
        <v>116</v>
      </c>
      <c r="C221" t="s">
        <v>568</v>
      </c>
      <c r="D221" t="s">
        <v>2267</v>
      </c>
      <c r="E221" t="s">
        <v>2346</v>
      </c>
      <c r="F221" s="452">
        <v>46196</v>
      </c>
      <c r="G221">
        <v>24393</v>
      </c>
      <c r="H221" t="s">
        <v>4039</v>
      </c>
      <c r="I221" t="s">
        <v>3469</v>
      </c>
      <c r="J221">
        <v>3</v>
      </c>
      <c r="K221" t="s">
        <v>3892</v>
      </c>
      <c r="L221">
        <v>41.97</v>
      </c>
      <c r="M221">
        <v>13.99</v>
      </c>
      <c r="O221" t="s">
        <v>466</v>
      </c>
    </row>
    <row r="222" spans="1:15" x14ac:dyDescent="0.3">
      <c r="A222">
        <v>241694</v>
      </c>
      <c r="B222">
        <v>116</v>
      </c>
      <c r="C222" t="s">
        <v>568</v>
      </c>
      <c r="D222" t="s">
        <v>2267</v>
      </c>
      <c r="E222" t="s">
        <v>2346</v>
      </c>
      <c r="F222" s="452">
        <v>46196</v>
      </c>
      <c r="G222">
        <v>18696</v>
      </c>
      <c r="H222" t="s">
        <v>3956</v>
      </c>
      <c r="I222" t="s">
        <v>3469</v>
      </c>
      <c r="J222">
        <v>5.5</v>
      </c>
      <c r="K222" t="s">
        <v>3892</v>
      </c>
      <c r="L222">
        <v>98.94</v>
      </c>
      <c r="M222">
        <v>17.989090999999998</v>
      </c>
      <c r="O222" t="s">
        <v>466</v>
      </c>
    </row>
    <row r="223" spans="1:15" x14ac:dyDescent="0.3">
      <c r="A223">
        <v>241692</v>
      </c>
      <c r="B223">
        <v>116</v>
      </c>
      <c r="C223" t="s">
        <v>568</v>
      </c>
      <c r="D223" t="s">
        <v>2286</v>
      </c>
      <c r="E223" t="s">
        <v>2347</v>
      </c>
      <c r="F223" s="452">
        <v>46195</v>
      </c>
      <c r="G223">
        <v>19465</v>
      </c>
      <c r="H223" t="s">
        <v>4080</v>
      </c>
      <c r="I223" t="s">
        <v>3469</v>
      </c>
      <c r="J223">
        <v>1</v>
      </c>
      <c r="K223" t="s">
        <v>3892</v>
      </c>
      <c r="L223">
        <v>7.5</v>
      </c>
      <c r="M223">
        <v>7.5</v>
      </c>
      <c r="O223" t="s">
        <v>466</v>
      </c>
    </row>
    <row r="224" spans="1:15" x14ac:dyDescent="0.3">
      <c r="A224">
        <v>241692</v>
      </c>
      <c r="B224">
        <v>116</v>
      </c>
      <c r="C224" t="s">
        <v>568</v>
      </c>
      <c r="D224" t="s">
        <v>2286</v>
      </c>
      <c r="E224" t="s">
        <v>2347</v>
      </c>
      <c r="F224" s="452">
        <v>46195</v>
      </c>
      <c r="G224">
        <v>19480</v>
      </c>
      <c r="H224" t="s">
        <v>4113</v>
      </c>
      <c r="I224" t="s">
        <v>3469</v>
      </c>
      <c r="J224">
        <v>0.2</v>
      </c>
      <c r="K224" t="s">
        <v>3892</v>
      </c>
      <c r="L224">
        <v>4</v>
      </c>
      <c r="M224">
        <v>20</v>
      </c>
      <c r="O224" t="s">
        <v>466</v>
      </c>
    </row>
    <row r="225" spans="1:15" x14ac:dyDescent="0.3">
      <c r="A225">
        <v>241692</v>
      </c>
      <c r="B225">
        <v>116</v>
      </c>
      <c r="C225" t="s">
        <v>568</v>
      </c>
      <c r="D225" t="s">
        <v>2286</v>
      </c>
      <c r="E225" t="s">
        <v>2347</v>
      </c>
      <c r="F225" s="452">
        <v>46195</v>
      </c>
      <c r="G225">
        <v>23365</v>
      </c>
      <c r="H225" t="s">
        <v>4236</v>
      </c>
      <c r="I225" t="s">
        <v>3469</v>
      </c>
      <c r="J225">
        <v>1</v>
      </c>
      <c r="K225" t="s">
        <v>3892</v>
      </c>
      <c r="L225">
        <v>20</v>
      </c>
      <c r="M225">
        <v>20</v>
      </c>
      <c r="O225" t="s">
        <v>466</v>
      </c>
    </row>
    <row r="226" spans="1:15" x14ac:dyDescent="0.3">
      <c r="A226">
        <v>241692</v>
      </c>
      <c r="B226">
        <v>116</v>
      </c>
      <c r="C226" t="s">
        <v>568</v>
      </c>
      <c r="D226" t="s">
        <v>2286</v>
      </c>
      <c r="E226" t="s">
        <v>2347</v>
      </c>
      <c r="F226" s="452">
        <v>46195</v>
      </c>
      <c r="G226">
        <v>23236</v>
      </c>
      <c r="H226" t="s">
        <v>4017</v>
      </c>
      <c r="I226" t="s">
        <v>3469</v>
      </c>
      <c r="J226">
        <v>3</v>
      </c>
      <c r="K226" t="s">
        <v>3892</v>
      </c>
      <c r="L226">
        <v>30</v>
      </c>
      <c r="M226">
        <v>10</v>
      </c>
      <c r="O226" t="s">
        <v>466</v>
      </c>
    </row>
    <row r="227" spans="1:15" x14ac:dyDescent="0.3">
      <c r="A227">
        <v>241692</v>
      </c>
      <c r="B227">
        <v>116</v>
      </c>
      <c r="C227" t="s">
        <v>568</v>
      </c>
      <c r="D227" t="s">
        <v>2286</v>
      </c>
      <c r="E227" t="s">
        <v>2347</v>
      </c>
      <c r="F227" s="452">
        <v>46195</v>
      </c>
      <c r="G227">
        <v>19506</v>
      </c>
      <c r="H227" t="s">
        <v>4112</v>
      </c>
      <c r="I227" t="s">
        <v>3469</v>
      </c>
      <c r="J227">
        <v>0.2</v>
      </c>
      <c r="K227" t="s">
        <v>3892</v>
      </c>
      <c r="L227">
        <v>10</v>
      </c>
      <c r="M227">
        <v>50</v>
      </c>
      <c r="O227" t="s">
        <v>466</v>
      </c>
    </row>
    <row r="228" spans="1:15" x14ac:dyDescent="0.3">
      <c r="A228">
        <v>241692</v>
      </c>
      <c r="B228">
        <v>116</v>
      </c>
      <c r="C228" t="s">
        <v>568</v>
      </c>
      <c r="D228" t="s">
        <v>2286</v>
      </c>
      <c r="E228" t="s">
        <v>2347</v>
      </c>
      <c r="F228" s="452">
        <v>46195</v>
      </c>
      <c r="G228">
        <v>19558</v>
      </c>
      <c r="H228" t="s">
        <v>4183</v>
      </c>
      <c r="I228" t="s">
        <v>3469</v>
      </c>
      <c r="J228">
        <v>1</v>
      </c>
      <c r="K228" t="s">
        <v>3892</v>
      </c>
      <c r="L228">
        <v>22</v>
      </c>
      <c r="M228">
        <v>22</v>
      </c>
      <c r="O228" t="s">
        <v>466</v>
      </c>
    </row>
    <row r="229" spans="1:15" x14ac:dyDescent="0.3">
      <c r="A229">
        <v>241692</v>
      </c>
      <c r="B229">
        <v>116</v>
      </c>
      <c r="C229" t="s">
        <v>568</v>
      </c>
      <c r="D229" t="s">
        <v>2286</v>
      </c>
      <c r="E229" t="s">
        <v>2347</v>
      </c>
      <c r="F229" s="452">
        <v>46195</v>
      </c>
      <c r="G229">
        <v>23142</v>
      </c>
      <c r="H229" t="s">
        <v>4151</v>
      </c>
      <c r="I229" t="s">
        <v>3469</v>
      </c>
      <c r="J229">
        <v>1</v>
      </c>
      <c r="K229" t="s">
        <v>3892</v>
      </c>
      <c r="L229">
        <v>20</v>
      </c>
      <c r="M229">
        <v>20</v>
      </c>
      <c r="O229" t="s">
        <v>466</v>
      </c>
    </row>
    <row r="230" spans="1:15" x14ac:dyDescent="0.3">
      <c r="A230">
        <v>241692</v>
      </c>
      <c r="B230">
        <v>116</v>
      </c>
      <c r="C230" t="s">
        <v>568</v>
      </c>
      <c r="D230" t="s">
        <v>2286</v>
      </c>
      <c r="E230" t="s">
        <v>2347</v>
      </c>
      <c r="F230" s="452">
        <v>46195</v>
      </c>
      <c r="G230">
        <v>19555</v>
      </c>
      <c r="H230" t="s">
        <v>4109</v>
      </c>
      <c r="I230" t="s">
        <v>3469</v>
      </c>
      <c r="J230">
        <v>0.5</v>
      </c>
      <c r="K230" t="s">
        <v>3892</v>
      </c>
      <c r="L230">
        <v>7.5</v>
      </c>
      <c r="M230">
        <v>15</v>
      </c>
      <c r="O230" t="s">
        <v>466</v>
      </c>
    </row>
    <row r="231" spans="1:15" x14ac:dyDescent="0.3">
      <c r="A231">
        <v>241692</v>
      </c>
      <c r="B231">
        <v>116</v>
      </c>
      <c r="C231" t="s">
        <v>568</v>
      </c>
      <c r="D231" t="s">
        <v>2286</v>
      </c>
      <c r="E231" t="s">
        <v>2347</v>
      </c>
      <c r="F231" s="452">
        <v>46195</v>
      </c>
      <c r="G231">
        <v>23120</v>
      </c>
      <c r="H231" t="s">
        <v>4111</v>
      </c>
      <c r="I231" t="s">
        <v>3469</v>
      </c>
      <c r="J231">
        <v>0.2</v>
      </c>
      <c r="K231" t="s">
        <v>3892</v>
      </c>
      <c r="L231">
        <v>12</v>
      </c>
      <c r="M231">
        <v>60</v>
      </c>
      <c r="O231" t="s">
        <v>466</v>
      </c>
    </row>
    <row r="232" spans="1:15" x14ac:dyDescent="0.3">
      <c r="A232">
        <v>241692</v>
      </c>
      <c r="B232">
        <v>116</v>
      </c>
      <c r="C232" t="s">
        <v>568</v>
      </c>
      <c r="D232" t="s">
        <v>2286</v>
      </c>
      <c r="E232" t="s">
        <v>2347</v>
      </c>
      <c r="F232" s="452">
        <v>46195</v>
      </c>
      <c r="G232">
        <v>23095</v>
      </c>
      <c r="H232" t="s">
        <v>3882</v>
      </c>
      <c r="I232" t="s">
        <v>3469</v>
      </c>
      <c r="J232">
        <v>40</v>
      </c>
      <c r="K232" t="s">
        <v>3872</v>
      </c>
      <c r="L232">
        <v>37.6</v>
      </c>
      <c r="M232">
        <v>0.94</v>
      </c>
      <c r="O232" t="s">
        <v>466</v>
      </c>
    </row>
    <row r="233" spans="1:15" x14ac:dyDescent="0.3">
      <c r="A233">
        <v>241692</v>
      </c>
      <c r="B233">
        <v>116</v>
      </c>
      <c r="C233" t="s">
        <v>568</v>
      </c>
      <c r="D233" t="s">
        <v>2286</v>
      </c>
      <c r="E233" t="s">
        <v>2347</v>
      </c>
      <c r="F233" s="452">
        <v>46195</v>
      </c>
      <c r="G233">
        <v>23113</v>
      </c>
      <c r="H233" t="s">
        <v>4079</v>
      </c>
      <c r="I233" t="s">
        <v>3469</v>
      </c>
      <c r="J233">
        <v>1.5</v>
      </c>
      <c r="K233" t="s">
        <v>3892</v>
      </c>
      <c r="L233">
        <v>12</v>
      </c>
      <c r="M233">
        <v>8</v>
      </c>
      <c r="O233" t="s">
        <v>466</v>
      </c>
    </row>
    <row r="234" spans="1:15" x14ac:dyDescent="0.3">
      <c r="A234">
        <v>241692</v>
      </c>
      <c r="B234">
        <v>116</v>
      </c>
      <c r="C234" t="s">
        <v>568</v>
      </c>
      <c r="D234" t="s">
        <v>2286</v>
      </c>
      <c r="E234" t="s">
        <v>2347</v>
      </c>
      <c r="F234" s="452">
        <v>46195</v>
      </c>
      <c r="G234">
        <v>19494</v>
      </c>
      <c r="H234" t="s">
        <v>4126</v>
      </c>
      <c r="I234" t="s">
        <v>3469</v>
      </c>
      <c r="J234">
        <v>1</v>
      </c>
      <c r="K234" t="s">
        <v>3892</v>
      </c>
      <c r="L234">
        <v>11.8</v>
      </c>
      <c r="M234">
        <v>11.8</v>
      </c>
      <c r="O234" t="s">
        <v>466</v>
      </c>
    </row>
    <row r="235" spans="1:15" x14ac:dyDescent="0.3">
      <c r="A235">
        <v>241692</v>
      </c>
      <c r="B235">
        <v>116</v>
      </c>
      <c r="C235" t="s">
        <v>568</v>
      </c>
      <c r="D235" t="s">
        <v>2286</v>
      </c>
      <c r="E235" t="s">
        <v>2347</v>
      </c>
      <c r="F235" s="452">
        <v>46195</v>
      </c>
      <c r="G235">
        <v>19617</v>
      </c>
      <c r="H235" t="s">
        <v>4110</v>
      </c>
      <c r="I235" t="s">
        <v>3469</v>
      </c>
      <c r="J235">
        <v>0.5</v>
      </c>
      <c r="K235" t="s">
        <v>3892</v>
      </c>
      <c r="L235">
        <v>15</v>
      </c>
      <c r="M235">
        <v>30</v>
      </c>
      <c r="O235" t="s">
        <v>466</v>
      </c>
    </row>
    <row r="236" spans="1:15" x14ac:dyDescent="0.3">
      <c r="A236">
        <v>241692</v>
      </c>
      <c r="B236">
        <v>116</v>
      </c>
      <c r="C236" t="s">
        <v>568</v>
      </c>
      <c r="D236" t="s">
        <v>2286</v>
      </c>
      <c r="E236" t="s">
        <v>2347</v>
      </c>
      <c r="F236" s="452">
        <v>46195</v>
      </c>
      <c r="G236">
        <v>24037</v>
      </c>
      <c r="H236" t="s">
        <v>4104</v>
      </c>
      <c r="I236" t="s">
        <v>3469</v>
      </c>
      <c r="J236">
        <v>2</v>
      </c>
      <c r="K236" t="s">
        <v>3892</v>
      </c>
      <c r="L236">
        <v>35</v>
      </c>
      <c r="M236">
        <v>17.5</v>
      </c>
      <c r="O236" t="s">
        <v>466</v>
      </c>
    </row>
    <row r="237" spans="1:15" x14ac:dyDescent="0.3">
      <c r="A237">
        <v>241692</v>
      </c>
      <c r="B237">
        <v>116</v>
      </c>
      <c r="C237" t="s">
        <v>568</v>
      </c>
      <c r="D237" t="s">
        <v>2286</v>
      </c>
      <c r="E237" t="s">
        <v>2347</v>
      </c>
      <c r="F237" s="452">
        <v>46195</v>
      </c>
      <c r="G237">
        <v>19505</v>
      </c>
      <c r="H237" t="s">
        <v>4101</v>
      </c>
      <c r="I237" t="s">
        <v>3469</v>
      </c>
      <c r="J237">
        <v>1</v>
      </c>
      <c r="K237" t="s">
        <v>3892</v>
      </c>
      <c r="L237">
        <v>12</v>
      </c>
      <c r="M237">
        <v>12</v>
      </c>
      <c r="O237" t="s">
        <v>466</v>
      </c>
    </row>
    <row r="238" spans="1:15" x14ac:dyDescent="0.3">
      <c r="A238">
        <v>241692</v>
      </c>
      <c r="B238">
        <v>116</v>
      </c>
      <c r="C238" t="s">
        <v>568</v>
      </c>
      <c r="D238" t="s">
        <v>2286</v>
      </c>
      <c r="E238" t="s">
        <v>2347</v>
      </c>
      <c r="F238" s="452">
        <v>46195</v>
      </c>
      <c r="G238">
        <v>19752</v>
      </c>
      <c r="H238" t="s">
        <v>4042</v>
      </c>
      <c r="I238" t="s">
        <v>3469</v>
      </c>
      <c r="J238">
        <v>1</v>
      </c>
      <c r="K238" t="s">
        <v>3892</v>
      </c>
      <c r="L238">
        <v>6.5</v>
      </c>
      <c r="M238">
        <v>6.5</v>
      </c>
      <c r="O238" t="s">
        <v>466</v>
      </c>
    </row>
    <row r="239" spans="1:15" x14ac:dyDescent="0.3">
      <c r="A239">
        <v>241692</v>
      </c>
      <c r="B239">
        <v>116</v>
      </c>
      <c r="C239" t="s">
        <v>568</v>
      </c>
      <c r="D239" t="s">
        <v>2286</v>
      </c>
      <c r="E239" t="s">
        <v>2347</v>
      </c>
      <c r="F239" s="452">
        <v>46195</v>
      </c>
      <c r="G239">
        <v>19498</v>
      </c>
      <c r="H239" t="s">
        <v>4065</v>
      </c>
      <c r="I239" t="s">
        <v>3469</v>
      </c>
      <c r="J239">
        <v>1</v>
      </c>
      <c r="K239" t="s">
        <v>3892</v>
      </c>
      <c r="L239">
        <v>13.5</v>
      </c>
      <c r="M239">
        <v>13.5</v>
      </c>
      <c r="O239" t="s">
        <v>466</v>
      </c>
    </row>
    <row r="240" spans="1:15" x14ac:dyDescent="0.3">
      <c r="A240">
        <v>241690</v>
      </c>
      <c r="B240">
        <v>116</v>
      </c>
      <c r="C240" t="s">
        <v>568</v>
      </c>
      <c r="D240" t="s">
        <v>2286</v>
      </c>
      <c r="E240" t="s">
        <v>2348</v>
      </c>
      <c r="F240" s="452">
        <v>46198</v>
      </c>
      <c r="G240">
        <v>19752</v>
      </c>
      <c r="H240" t="s">
        <v>4042</v>
      </c>
      <c r="I240" t="s">
        <v>3469</v>
      </c>
      <c r="J240">
        <v>1</v>
      </c>
      <c r="K240" t="s">
        <v>3892</v>
      </c>
      <c r="L240">
        <v>5</v>
      </c>
      <c r="M240">
        <v>5</v>
      </c>
      <c r="O240" t="s">
        <v>466</v>
      </c>
    </row>
    <row r="241" spans="1:15" x14ac:dyDescent="0.3">
      <c r="A241">
        <v>241690</v>
      </c>
      <c r="B241">
        <v>116</v>
      </c>
      <c r="C241" t="s">
        <v>568</v>
      </c>
      <c r="D241" t="s">
        <v>2286</v>
      </c>
      <c r="E241" t="s">
        <v>2348</v>
      </c>
      <c r="F241" s="452">
        <v>46198</v>
      </c>
      <c r="G241">
        <v>19751</v>
      </c>
      <c r="H241" t="s">
        <v>4019</v>
      </c>
      <c r="I241" t="s">
        <v>3469</v>
      </c>
      <c r="J241">
        <v>2</v>
      </c>
      <c r="K241" t="s">
        <v>3892</v>
      </c>
      <c r="L241">
        <v>17.399999999999999</v>
      </c>
      <c r="M241">
        <v>8.6999999999999993</v>
      </c>
      <c r="O241" t="s">
        <v>466</v>
      </c>
    </row>
    <row r="242" spans="1:15" x14ac:dyDescent="0.3">
      <c r="A242">
        <v>241690</v>
      </c>
      <c r="B242">
        <v>116</v>
      </c>
      <c r="C242" t="s">
        <v>568</v>
      </c>
      <c r="D242" t="s">
        <v>2286</v>
      </c>
      <c r="E242" t="s">
        <v>2348</v>
      </c>
      <c r="F242" s="452">
        <v>46198</v>
      </c>
      <c r="G242">
        <v>19555</v>
      </c>
      <c r="H242" t="s">
        <v>4109</v>
      </c>
      <c r="I242" t="s">
        <v>3469</v>
      </c>
      <c r="J242">
        <v>0.5</v>
      </c>
      <c r="K242" t="s">
        <v>3892</v>
      </c>
      <c r="L242">
        <v>7.5</v>
      </c>
      <c r="M242">
        <v>15</v>
      </c>
      <c r="O242" t="s">
        <v>466</v>
      </c>
    </row>
    <row r="243" spans="1:15" x14ac:dyDescent="0.3">
      <c r="A243">
        <v>241690</v>
      </c>
      <c r="B243">
        <v>116</v>
      </c>
      <c r="C243" t="s">
        <v>568</v>
      </c>
      <c r="D243" t="s">
        <v>2286</v>
      </c>
      <c r="E243" t="s">
        <v>2348</v>
      </c>
      <c r="F243" s="452">
        <v>46198</v>
      </c>
      <c r="G243">
        <v>23198</v>
      </c>
      <c r="H243" t="s">
        <v>4167</v>
      </c>
      <c r="I243" t="s">
        <v>3469</v>
      </c>
      <c r="J243">
        <v>1</v>
      </c>
      <c r="K243" t="s">
        <v>3892</v>
      </c>
      <c r="L243">
        <v>12</v>
      </c>
      <c r="M243">
        <v>12</v>
      </c>
      <c r="O243" t="s">
        <v>466</v>
      </c>
    </row>
    <row r="244" spans="1:15" x14ac:dyDescent="0.3">
      <c r="A244">
        <v>241690</v>
      </c>
      <c r="B244">
        <v>116</v>
      </c>
      <c r="C244" t="s">
        <v>568</v>
      </c>
      <c r="D244" t="s">
        <v>2286</v>
      </c>
      <c r="E244" t="s">
        <v>2348</v>
      </c>
      <c r="F244" s="452">
        <v>46198</v>
      </c>
      <c r="G244">
        <v>19647</v>
      </c>
      <c r="H244" t="s">
        <v>4066</v>
      </c>
      <c r="I244" t="s">
        <v>3469</v>
      </c>
      <c r="J244">
        <v>1</v>
      </c>
      <c r="K244" t="s">
        <v>3892</v>
      </c>
      <c r="L244">
        <v>11.5</v>
      </c>
      <c r="M244">
        <v>11.5</v>
      </c>
      <c r="O244" t="s">
        <v>466</v>
      </c>
    </row>
    <row r="245" spans="1:15" x14ac:dyDescent="0.3">
      <c r="A245">
        <v>241690</v>
      </c>
      <c r="B245">
        <v>116</v>
      </c>
      <c r="C245" t="s">
        <v>568</v>
      </c>
      <c r="D245" t="s">
        <v>2286</v>
      </c>
      <c r="E245" t="s">
        <v>2348</v>
      </c>
      <c r="F245" s="452">
        <v>46198</v>
      </c>
      <c r="G245">
        <v>23236</v>
      </c>
      <c r="H245" t="s">
        <v>4017</v>
      </c>
      <c r="I245" t="s">
        <v>3469</v>
      </c>
      <c r="J245">
        <v>3</v>
      </c>
      <c r="K245" t="s">
        <v>3892</v>
      </c>
      <c r="L245">
        <v>24</v>
      </c>
      <c r="M245">
        <v>8</v>
      </c>
      <c r="O245" t="s">
        <v>466</v>
      </c>
    </row>
    <row r="246" spans="1:15" x14ac:dyDescent="0.3">
      <c r="A246">
        <v>241690</v>
      </c>
      <c r="B246">
        <v>116</v>
      </c>
      <c r="C246" t="s">
        <v>568</v>
      </c>
      <c r="D246" t="s">
        <v>2286</v>
      </c>
      <c r="E246" t="s">
        <v>2348</v>
      </c>
      <c r="F246" s="452">
        <v>46198</v>
      </c>
      <c r="G246">
        <v>19621</v>
      </c>
      <c r="H246" t="s">
        <v>4125</v>
      </c>
      <c r="I246" t="s">
        <v>3469</v>
      </c>
      <c r="J246">
        <v>2</v>
      </c>
      <c r="K246" t="s">
        <v>3892</v>
      </c>
      <c r="L246">
        <v>12.6</v>
      </c>
      <c r="M246">
        <v>6.3</v>
      </c>
      <c r="O246" t="s">
        <v>466</v>
      </c>
    </row>
    <row r="247" spans="1:15" x14ac:dyDescent="0.3">
      <c r="A247">
        <v>241690</v>
      </c>
      <c r="B247">
        <v>116</v>
      </c>
      <c r="C247" t="s">
        <v>568</v>
      </c>
      <c r="D247" t="s">
        <v>2286</v>
      </c>
      <c r="E247" t="s">
        <v>2348</v>
      </c>
      <c r="F247" s="452">
        <v>46198</v>
      </c>
      <c r="G247">
        <v>23113</v>
      </c>
      <c r="H247" t="s">
        <v>4079</v>
      </c>
      <c r="I247" t="s">
        <v>3469</v>
      </c>
      <c r="J247">
        <v>1.5</v>
      </c>
      <c r="K247" t="s">
        <v>3892</v>
      </c>
      <c r="L247">
        <v>12.75</v>
      </c>
      <c r="M247">
        <v>8.5</v>
      </c>
      <c r="O247" t="s">
        <v>466</v>
      </c>
    </row>
    <row r="248" spans="1:15" x14ac:dyDescent="0.3">
      <c r="A248">
        <v>241690</v>
      </c>
      <c r="B248">
        <v>116</v>
      </c>
      <c r="C248" t="s">
        <v>568</v>
      </c>
      <c r="D248" t="s">
        <v>2286</v>
      </c>
      <c r="E248" t="s">
        <v>2348</v>
      </c>
      <c r="F248" s="452">
        <v>46198</v>
      </c>
      <c r="G248">
        <v>25565</v>
      </c>
      <c r="H248" t="s">
        <v>4222</v>
      </c>
      <c r="I248" t="s">
        <v>3469</v>
      </c>
      <c r="J248">
        <v>2</v>
      </c>
      <c r="K248" t="s">
        <v>3892</v>
      </c>
      <c r="L248">
        <v>30</v>
      </c>
      <c r="M248">
        <v>15</v>
      </c>
      <c r="O248" t="s">
        <v>466</v>
      </c>
    </row>
    <row r="249" spans="1:15" x14ac:dyDescent="0.3">
      <c r="A249">
        <v>241690</v>
      </c>
      <c r="B249">
        <v>116</v>
      </c>
      <c r="C249" t="s">
        <v>568</v>
      </c>
      <c r="D249" t="s">
        <v>2286</v>
      </c>
      <c r="E249" t="s">
        <v>2348</v>
      </c>
      <c r="F249" s="452">
        <v>46198</v>
      </c>
      <c r="G249">
        <v>19465</v>
      </c>
      <c r="H249" t="s">
        <v>4080</v>
      </c>
      <c r="I249" t="s">
        <v>3469</v>
      </c>
      <c r="J249">
        <v>1</v>
      </c>
      <c r="K249" t="s">
        <v>3892</v>
      </c>
      <c r="L249">
        <v>7.5</v>
      </c>
      <c r="M249">
        <v>7.5</v>
      </c>
      <c r="O249" t="s">
        <v>466</v>
      </c>
    </row>
    <row r="250" spans="1:15" x14ac:dyDescent="0.3">
      <c r="A250">
        <v>241690</v>
      </c>
      <c r="B250">
        <v>116</v>
      </c>
      <c r="C250" t="s">
        <v>568</v>
      </c>
      <c r="D250" t="s">
        <v>2286</v>
      </c>
      <c r="E250" t="s">
        <v>2348</v>
      </c>
      <c r="F250" s="452">
        <v>46198</v>
      </c>
      <c r="G250">
        <v>23120</v>
      </c>
      <c r="H250" t="s">
        <v>4111</v>
      </c>
      <c r="I250" t="s">
        <v>3469</v>
      </c>
      <c r="J250">
        <v>0.2</v>
      </c>
      <c r="K250" t="s">
        <v>3892</v>
      </c>
      <c r="L250">
        <v>12</v>
      </c>
      <c r="M250">
        <v>60</v>
      </c>
      <c r="O250" t="s">
        <v>466</v>
      </c>
    </row>
    <row r="251" spans="1:15" x14ac:dyDescent="0.3">
      <c r="A251">
        <v>241690</v>
      </c>
      <c r="B251">
        <v>116</v>
      </c>
      <c r="C251" t="s">
        <v>568</v>
      </c>
      <c r="D251" t="s">
        <v>2286</v>
      </c>
      <c r="E251" t="s">
        <v>2348</v>
      </c>
      <c r="F251" s="452">
        <v>46198</v>
      </c>
      <c r="G251">
        <v>23096</v>
      </c>
      <c r="H251" t="s">
        <v>3876</v>
      </c>
      <c r="I251" t="s">
        <v>3469</v>
      </c>
      <c r="J251">
        <v>60</v>
      </c>
      <c r="K251" t="s">
        <v>3872</v>
      </c>
      <c r="L251">
        <v>39</v>
      </c>
      <c r="M251">
        <v>0.65</v>
      </c>
      <c r="O251" t="s">
        <v>466</v>
      </c>
    </row>
    <row r="252" spans="1:15" x14ac:dyDescent="0.3">
      <c r="A252">
        <v>241690</v>
      </c>
      <c r="B252">
        <v>116</v>
      </c>
      <c r="C252" t="s">
        <v>568</v>
      </c>
      <c r="D252" t="s">
        <v>2286</v>
      </c>
      <c r="E252" t="s">
        <v>2348</v>
      </c>
      <c r="F252" s="452">
        <v>46198</v>
      </c>
      <c r="G252">
        <v>23195</v>
      </c>
      <c r="H252" t="s">
        <v>4184</v>
      </c>
      <c r="I252" t="s">
        <v>3469</v>
      </c>
      <c r="J252">
        <v>2</v>
      </c>
      <c r="K252" t="s">
        <v>3892</v>
      </c>
      <c r="L252">
        <v>18</v>
      </c>
      <c r="M252">
        <v>9</v>
      </c>
      <c r="O252" t="s">
        <v>466</v>
      </c>
    </row>
    <row r="253" spans="1:15" x14ac:dyDescent="0.3">
      <c r="A253">
        <v>241690</v>
      </c>
      <c r="B253">
        <v>116</v>
      </c>
      <c r="C253" t="s">
        <v>568</v>
      </c>
      <c r="D253" t="s">
        <v>2286</v>
      </c>
      <c r="E253" t="s">
        <v>2348</v>
      </c>
      <c r="F253" s="452">
        <v>46198</v>
      </c>
      <c r="G253">
        <v>19505</v>
      </c>
      <c r="H253" t="s">
        <v>4101</v>
      </c>
      <c r="I253" t="s">
        <v>3469</v>
      </c>
      <c r="J253">
        <v>1.5</v>
      </c>
      <c r="K253" t="s">
        <v>3892</v>
      </c>
      <c r="L253">
        <v>15</v>
      </c>
      <c r="M253">
        <v>10</v>
      </c>
      <c r="O253" t="s">
        <v>466</v>
      </c>
    </row>
    <row r="254" spans="1:15" x14ac:dyDescent="0.3">
      <c r="A254">
        <v>241690</v>
      </c>
      <c r="B254">
        <v>116</v>
      </c>
      <c r="C254" t="s">
        <v>568</v>
      </c>
      <c r="D254" t="s">
        <v>2286</v>
      </c>
      <c r="E254" t="s">
        <v>2348</v>
      </c>
      <c r="F254" s="452">
        <v>46198</v>
      </c>
      <c r="G254">
        <v>19494</v>
      </c>
      <c r="H254" t="s">
        <v>4126</v>
      </c>
      <c r="I254" t="s">
        <v>3469</v>
      </c>
      <c r="J254">
        <v>1</v>
      </c>
      <c r="K254" t="s">
        <v>3892</v>
      </c>
      <c r="L254">
        <v>12</v>
      </c>
      <c r="M254">
        <v>12</v>
      </c>
      <c r="O254" t="s">
        <v>466</v>
      </c>
    </row>
    <row r="255" spans="1:15" x14ac:dyDescent="0.3">
      <c r="A255">
        <v>241690</v>
      </c>
      <c r="B255">
        <v>116</v>
      </c>
      <c r="C255" t="s">
        <v>568</v>
      </c>
      <c r="D255" t="s">
        <v>2286</v>
      </c>
      <c r="E255" t="s">
        <v>2348</v>
      </c>
      <c r="F255" s="452">
        <v>46198</v>
      </c>
      <c r="G255">
        <v>24083</v>
      </c>
      <c r="H255" t="s">
        <v>3898</v>
      </c>
      <c r="I255" t="s">
        <v>3469</v>
      </c>
      <c r="J255">
        <v>25</v>
      </c>
      <c r="K255" t="s">
        <v>3892</v>
      </c>
      <c r="L255">
        <v>217.5</v>
      </c>
      <c r="M255">
        <v>8.6999999999999993</v>
      </c>
      <c r="O255" t="s">
        <v>466</v>
      </c>
    </row>
    <row r="256" spans="1:15" x14ac:dyDescent="0.3">
      <c r="A256">
        <v>241690</v>
      </c>
      <c r="B256">
        <v>116</v>
      </c>
      <c r="C256" t="s">
        <v>568</v>
      </c>
      <c r="D256" t="s">
        <v>2286</v>
      </c>
      <c r="E256" t="s">
        <v>2348</v>
      </c>
      <c r="F256" s="452">
        <v>46198</v>
      </c>
      <c r="G256">
        <v>19506</v>
      </c>
      <c r="H256" t="s">
        <v>4112</v>
      </c>
      <c r="I256" t="s">
        <v>3469</v>
      </c>
      <c r="J256">
        <v>0.2</v>
      </c>
      <c r="K256" t="s">
        <v>3892</v>
      </c>
      <c r="L256">
        <v>10</v>
      </c>
      <c r="M256">
        <v>50</v>
      </c>
      <c r="O256" t="s">
        <v>466</v>
      </c>
    </row>
    <row r="257" spans="1:15" x14ac:dyDescent="0.3">
      <c r="A257">
        <v>241690</v>
      </c>
      <c r="B257">
        <v>116</v>
      </c>
      <c r="C257" t="s">
        <v>568</v>
      </c>
      <c r="D257" t="s">
        <v>2286</v>
      </c>
      <c r="E257" t="s">
        <v>2348</v>
      </c>
      <c r="F257" s="452">
        <v>46198</v>
      </c>
      <c r="G257">
        <v>24598</v>
      </c>
      <c r="H257" t="s">
        <v>4166</v>
      </c>
      <c r="I257" t="s">
        <v>3469</v>
      </c>
      <c r="J257">
        <v>1</v>
      </c>
      <c r="K257" t="s">
        <v>3892</v>
      </c>
      <c r="L257">
        <v>12</v>
      </c>
      <c r="M257">
        <v>12</v>
      </c>
      <c r="O257" t="s">
        <v>466</v>
      </c>
    </row>
    <row r="258" spans="1:15" x14ac:dyDescent="0.3">
      <c r="A258">
        <v>241690</v>
      </c>
      <c r="B258">
        <v>116</v>
      </c>
      <c r="C258" t="s">
        <v>568</v>
      </c>
      <c r="D258" t="s">
        <v>2286</v>
      </c>
      <c r="E258" t="s">
        <v>2348</v>
      </c>
      <c r="F258" s="452">
        <v>46198</v>
      </c>
      <c r="G258">
        <v>19539</v>
      </c>
      <c r="H258" t="s">
        <v>4133</v>
      </c>
      <c r="I258" t="s">
        <v>3469</v>
      </c>
      <c r="J258">
        <v>18</v>
      </c>
      <c r="K258" t="s">
        <v>3892</v>
      </c>
      <c r="L258">
        <v>144</v>
      </c>
      <c r="M258">
        <v>8</v>
      </c>
      <c r="O258" t="s">
        <v>466</v>
      </c>
    </row>
    <row r="259" spans="1:15" x14ac:dyDescent="0.3">
      <c r="A259">
        <v>241690</v>
      </c>
      <c r="B259">
        <v>116</v>
      </c>
      <c r="C259" t="s">
        <v>568</v>
      </c>
      <c r="D259" t="s">
        <v>2286</v>
      </c>
      <c r="E259" t="s">
        <v>2348</v>
      </c>
      <c r="F259" s="452">
        <v>46198</v>
      </c>
      <c r="G259">
        <v>19553</v>
      </c>
      <c r="H259" t="s">
        <v>4078</v>
      </c>
      <c r="I259" t="s">
        <v>3469</v>
      </c>
      <c r="J259">
        <v>1.5</v>
      </c>
      <c r="K259" t="s">
        <v>3892</v>
      </c>
      <c r="L259">
        <v>7.2</v>
      </c>
      <c r="M259">
        <v>4.8</v>
      </c>
      <c r="O259" t="s">
        <v>466</v>
      </c>
    </row>
    <row r="260" spans="1:15" x14ac:dyDescent="0.3">
      <c r="A260">
        <v>241690</v>
      </c>
      <c r="B260">
        <v>116</v>
      </c>
      <c r="C260" t="s">
        <v>568</v>
      </c>
      <c r="D260" t="s">
        <v>2286</v>
      </c>
      <c r="E260" t="s">
        <v>2348</v>
      </c>
      <c r="F260" s="452">
        <v>46198</v>
      </c>
      <c r="G260">
        <v>19498</v>
      </c>
      <c r="H260" t="s">
        <v>4065</v>
      </c>
      <c r="I260" t="s">
        <v>3469</v>
      </c>
      <c r="J260">
        <v>1</v>
      </c>
      <c r="K260" t="s">
        <v>3892</v>
      </c>
      <c r="L260">
        <v>14</v>
      </c>
      <c r="M260">
        <v>14</v>
      </c>
      <c r="O260" t="s">
        <v>466</v>
      </c>
    </row>
    <row r="261" spans="1:15" x14ac:dyDescent="0.3">
      <c r="A261">
        <v>241690</v>
      </c>
      <c r="B261">
        <v>116</v>
      </c>
      <c r="C261" t="s">
        <v>568</v>
      </c>
      <c r="D261" t="s">
        <v>2286</v>
      </c>
      <c r="E261" t="s">
        <v>2348</v>
      </c>
      <c r="F261" s="452">
        <v>46198</v>
      </c>
      <c r="G261">
        <v>19652</v>
      </c>
      <c r="H261" t="s">
        <v>4014</v>
      </c>
      <c r="I261" t="s">
        <v>3469</v>
      </c>
      <c r="J261">
        <v>1</v>
      </c>
      <c r="K261" t="s">
        <v>3892</v>
      </c>
      <c r="L261">
        <v>27</v>
      </c>
      <c r="M261">
        <v>27</v>
      </c>
      <c r="O261" t="s">
        <v>466</v>
      </c>
    </row>
    <row r="262" spans="1:15" x14ac:dyDescent="0.3">
      <c r="A262">
        <v>241690</v>
      </c>
      <c r="B262">
        <v>116</v>
      </c>
      <c r="C262" t="s">
        <v>568</v>
      </c>
      <c r="D262" t="s">
        <v>2286</v>
      </c>
      <c r="E262" t="s">
        <v>2348</v>
      </c>
      <c r="F262" s="452">
        <v>46198</v>
      </c>
      <c r="G262">
        <v>23095</v>
      </c>
      <c r="H262" t="s">
        <v>3882</v>
      </c>
      <c r="I262" t="s">
        <v>3469</v>
      </c>
      <c r="J262">
        <v>60</v>
      </c>
      <c r="K262" t="s">
        <v>3872</v>
      </c>
      <c r="L262">
        <v>56.4</v>
      </c>
      <c r="M262">
        <v>0.94</v>
      </c>
      <c r="O262" t="s">
        <v>466</v>
      </c>
    </row>
    <row r="263" spans="1:15" x14ac:dyDescent="0.3">
      <c r="A263">
        <v>241690</v>
      </c>
      <c r="B263">
        <v>116</v>
      </c>
      <c r="C263" t="s">
        <v>568</v>
      </c>
      <c r="D263" t="s">
        <v>2286</v>
      </c>
      <c r="E263" t="s">
        <v>2348</v>
      </c>
      <c r="F263" s="452">
        <v>46198</v>
      </c>
      <c r="G263">
        <v>19672</v>
      </c>
      <c r="H263" t="s">
        <v>4024</v>
      </c>
      <c r="I263" t="s">
        <v>3469</v>
      </c>
      <c r="J263">
        <v>2</v>
      </c>
      <c r="K263" t="s">
        <v>3892</v>
      </c>
      <c r="L263">
        <v>26</v>
      </c>
      <c r="M263">
        <v>13</v>
      </c>
      <c r="O263" t="s">
        <v>466</v>
      </c>
    </row>
    <row r="264" spans="1:15" x14ac:dyDescent="0.3">
      <c r="A264">
        <v>241688</v>
      </c>
      <c r="B264">
        <v>116</v>
      </c>
      <c r="C264" t="s">
        <v>568</v>
      </c>
      <c r="D264" t="s">
        <v>2280</v>
      </c>
      <c r="E264" t="s">
        <v>2349</v>
      </c>
      <c r="F264" s="452">
        <v>46195</v>
      </c>
      <c r="G264">
        <v>19642</v>
      </c>
      <c r="H264" t="s">
        <v>4067</v>
      </c>
      <c r="I264" t="s">
        <v>3469</v>
      </c>
      <c r="J264">
        <v>1</v>
      </c>
      <c r="K264" t="s">
        <v>3892</v>
      </c>
      <c r="L264">
        <v>5.2</v>
      </c>
      <c r="M264">
        <v>5.2</v>
      </c>
      <c r="O264" t="s">
        <v>466</v>
      </c>
    </row>
    <row r="265" spans="1:15" x14ac:dyDescent="0.3">
      <c r="A265">
        <v>241688</v>
      </c>
      <c r="B265">
        <v>116</v>
      </c>
      <c r="C265" t="s">
        <v>568</v>
      </c>
      <c r="D265" t="s">
        <v>2280</v>
      </c>
      <c r="E265" t="s">
        <v>2349</v>
      </c>
      <c r="F265" s="452">
        <v>46195</v>
      </c>
      <c r="G265">
        <v>19634</v>
      </c>
      <c r="H265" t="s">
        <v>4068</v>
      </c>
      <c r="I265" t="s">
        <v>3469</v>
      </c>
      <c r="J265">
        <v>2</v>
      </c>
      <c r="K265" t="s">
        <v>3892</v>
      </c>
      <c r="L265">
        <v>13</v>
      </c>
      <c r="M265">
        <v>6.5</v>
      </c>
      <c r="O265" t="s">
        <v>466</v>
      </c>
    </row>
    <row r="266" spans="1:15" x14ac:dyDescent="0.3">
      <c r="A266">
        <v>241688</v>
      </c>
      <c r="B266">
        <v>116</v>
      </c>
      <c r="C266" t="s">
        <v>568</v>
      </c>
      <c r="D266" t="s">
        <v>2280</v>
      </c>
      <c r="E266" t="s">
        <v>2349</v>
      </c>
      <c r="F266" s="452">
        <v>46195</v>
      </c>
      <c r="G266">
        <v>23096</v>
      </c>
      <c r="H266" t="s">
        <v>3876</v>
      </c>
      <c r="I266" t="s">
        <v>3469</v>
      </c>
      <c r="J266">
        <v>30</v>
      </c>
      <c r="K266" t="s">
        <v>3872</v>
      </c>
      <c r="L266">
        <v>19.5</v>
      </c>
      <c r="M266">
        <v>0.65</v>
      </c>
      <c r="O266" t="s">
        <v>466</v>
      </c>
    </row>
    <row r="267" spans="1:15" x14ac:dyDescent="0.3">
      <c r="A267">
        <v>241688</v>
      </c>
      <c r="B267">
        <v>116</v>
      </c>
      <c r="C267" t="s">
        <v>568</v>
      </c>
      <c r="D267" t="s">
        <v>2280</v>
      </c>
      <c r="E267" t="s">
        <v>2349</v>
      </c>
      <c r="F267" s="452">
        <v>46195</v>
      </c>
      <c r="G267">
        <v>23171</v>
      </c>
      <c r="H267" t="s">
        <v>4132</v>
      </c>
      <c r="I267" t="s">
        <v>3469</v>
      </c>
      <c r="J267">
        <v>3</v>
      </c>
      <c r="K267" t="s">
        <v>3892</v>
      </c>
      <c r="L267">
        <v>19.5</v>
      </c>
      <c r="M267">
        <v>6.5</v>
      </c>
      <c r="O267" t="s">
        <v>466</v>
      </c>
    </row>
    <row r="268" spans="1:15" x14ac:dyDescent="0.3">
      <c r="A268">
        <v>241688</v>
      </c>
      <c r="B268">
        <v>116</v>
      </c>
      <c r="C268" t="s">
        <v>568</v>
      </c>
      <c r="D268" t="s">
        <v>2280</v>
      </c>
      <c r="E268" t="s">
        <v>2349</v>
      </c>
      <c r="F268" s="452">
        <v>46195</v>
      </c>
      <c r="G268">
        <v>23127</v>
      </c>
      <c r="H268" t="s">
        <v>4213</v>
      </c>
      <c r="I268" t="s">
        <v>3469</v>
      </c>
      <c r="J268">
        <v>2</v>
      </c>
      <c r="K268" t="s">
        <v>3892</v>
      </c>
      <c r="L268">
        <v>15.16</v>
      </c>
      <c r="M268">
        <v>7.58</v>
      </c>
      <c r="O268" t="s">
        <v>466</v>
      </c>
    </row>
    <row r="269" spans="1:15" x14ac:dyDescent="0.3">
      <c r="A269">
        <v>241688</v>
      </c>
      <c r="B269">
        <v>116</v>
      </c>
      <c r="C269" t="s">
        <v>568</v>
      </c>
      <c r="D269" t="s">
        <v>2280</v>
      </c>
      <c r="E269" t="s">
        <v>2349</v>
      </c>
      <c r="F269" s="452">
        <v>46195</v>
      </c>
      <c r="G269">
        <v>23361</v>
      </c>
      <c r="H269" t="s">
        <v>4220</v>
      </c>
      <c r="I269" t="s">
        <v>3469</v>
      </c>
      <c r="J269">
        <v>20</v>
      </c>
      <c r="K269" t="s">
        <v>3892</v>
      </c>
      <c r="L269">
        <v>50</v>
      </c>
      <c r="M269">
        <v>2.5</v>
      </c>
      <c r="O269" t="s">
        <v>466</v>
      </c>
    </row>
    <row r="270" spans="1:15" x14ac:dyDescent="0.3">
      <c r="A270">
        <v>241687</v>
      </c>
      <c r="B270">
        <v>116</v>
      </c>
      <c r="C270" t="s">
        <v>568</v>
      </c>
      <c r="D270" t="s">
        <v>2273</v>
      </c>
      <c r="E270" t="s">
        <v>2350</v>
      </c>
      <c r="F270" s="452">
        <v>46195</v>
      </c>
      <c r="G270">
        <v>25565</v>
      </c>
      <c r="H270" t="s">
        <v>4222</v>
      </c>
      <c r="I270" t="s">
        <v>3469</v>
      </c>
      <c r="J270">
        <v>2.1</v>
      </c>
      <c r="K270" t="s">
        <v>3892</v>
      </c>
      <c r="L270">
        <v>13.92</v>
      </c>
      <c r="M270">
        <v>6.628571</v>
      </c>
      <c r="O270" t="s">
        <v>466</v>
      </c>
    </row>
    <row r="271" spans="1:15" x14ac:dyDescent="0.3">
      <c r="A271">
        <v>241687</v>
      </c>
      <c r="B271">
        <v>116</v>
      </c>
      <c r="C271" t="s">
        <v>568</v>
      </c>
      <c r="D271" t="s">
        <v>2273</v>
      </c>
      <c r="E271" t="s">
        <v>2350</v>
      </c>
      <c r="F271" s="452">
        <v>46195</v>
      </c>
      <c r="G271">
        <v>23359</v>
      </c>
      <c r="H271" t="s">
        <v>3932</v>
      </c>
      <c r="I271" t="s">
        <v>3469</v>
      </c>
      <c r="J271">
        <v>10</v>
      </c>
      <c r="K271" t="s">
        <v>3892</v>
      </c>
      <c r="L271">
        <v>29</v>
      </c>
      <c r="M271">
        <v>2.9</v>
      </c>
      <c r="O271" t="s">
        <v>466</v>
      </c>
    </row>
    <row r="272" spans="1:15" x14ac:dyDescent="0.3">
      <c r="A272">
        <v>241687</v>
      </c>
      <c r="B272">
        <v>116</v>
      </c>
      <c r="C272" t="s">
        <v>568</v>
      </c>
      <c r="D272" t="s">
        <v>2273</v>
      </c>
      <c r="E272" t="s">
        <v>2350</v>
      </c>
      <c r="F272" s="452">
        <v>46195</v>
      </c>
      <c r="G272">
        <v>19763</v>
      </c>
      <c r="H272" t="s">
        <v>4187</v>
      </c>
      <c r="I272" t="s">
        <v>3469</v>
      </c>
      <c r="J272">
        <v>2</v>
      </c>
      <c r="K272" t="s">
        <v>3892</v>
      </c>
      <c r="L272">
        <v>23.2</v>
      </c>
      <c r="M272">
        <v>11.6</v>
      </c>
      <c r="O272" t="s">
        <v>466</v>
      </c>
    </row>
    <row r="273" spans="1:15" x14ac:dyDescent="0.3">
      <c r="A273">
        <v>241687</v>
      </c>
      <c r="B273">
        <v>116</v>
      </c>
      <c r="C273" t="s">
        <v>568</v>
      </c>
      <c r="D273" t="s">
        <v>2273</v>
      </c>
      <c r="E273" t="s">
        <v>2350</v>
      </c>
      <c r="F273" s="452">
        <v>46195</v>
      </c>
      <c r="G273">
        <v>23389</v>
      </c>
      <c r="H273" t="s">
        <v>4016</v>
      </c>
      <c r="I273" t="s">
        <v>3469</v>
      </c>
      <c r="J273">
        <v>4.4000000000000004</v>
      </c>
      <c r="K273" t="s">
        <v>3892</v>
      </c>
      <c r="L273">
        <v>20.55</v>
      </c>
      <c r="M273">
        <v>4.6704549999999996</v>
      </c>
      <c r="O273" t="s">
        <v>466</v>
      </c>
    </row>
    <row r="274" spans="1:15" x14ac:dyDescent="0.3">
      <c r="A274">
        <v>241687</v>
      </c>
      <c r="B274">
        <v>116</v>
      </c>
      <c r="C274" t="s">
        <v>568</v>
      </c>
      <c r="D274" t="s">
        <v>2273</v>
      </c>
      <c r="E274" t="s">
        <v>2350</v>
      </c>
      <c r="F274" s="452">
        <v>46195</v>
      </c>
      <c r="G274">
        <v>19672</v>
      </c>
      <c r="H274" t="s">
        <v>4024</v>
      </c>
      <c r="I274" t="s">
        <v>3469</v>
      </c>
      <c r="J274">
        <v>2</v>
      </c>
      <c r="K274" t="s">
        <v>3892</v>
      </c>
      <c r="L274">
        <v>27.56</v>
      </c>
      <c r="M274">
        <v>13.78</v>
      </c>
      <c r="O274" t="s">
        <v>466</v>
      </c>
    </row>
    <row r="275" spans="1:15" x14ac:dyDescent="0.3">
      <c r="A275">
        <v>241687</v>
      </c>
      <c r="B275">
        <v>116</v>
      </c>
      <c r="C275" t="s">
        <v>568</v>
      </c>
      <c r="D275" t="s">
        <v>2273</v>
      </c>
      <c r="E275" t="s">
        <v>2350</v>
      </c>
      <c r="F275" s="452">
        <v>46195</v>
      </c>
      <c r="G275">
        <v>24083</v>
      </c>
      <c r="H275" t="s">
        <v>3898</v>
      </c>
      <c r="I275" t="s">
        <v>3469</v>
      </c>
      <c r="J275">
        <v>15</v>
      </c>
      <c r="K275" t="s">
        <v>3892</v>
      </c>
      <c r="L275">
        <v>141</v>
      </c>
      <c r="M275">
        <v>9.4</v>
      </c>
      <c r="O275" t="s">
        <v>466</v>
      </c>
    </row>
    <row r="276" spans="1:15" x14ac:dyDescent="0.3">
      <c r="A276">
        <v>241687</v>
      </c>
      <c r="B276">
        <v>116</v>
      </c>
      <c r="C276" t="s">
        <v>568</v>
      </c>
      <c r="D276" t="s">
        <v>2273</v>
      </c>
      <c r="E276" t="s">
        <v>2350</v>
      </c>
      <c r="F276" s="452">
        <v>46195</v>
      </c>
      <c r="G276">
        <v>19787</v>
      </c>
      <c r="H276" t="s">
        <v>3940</v>
      </c>
      <c r="I276" t="s">
        <v>3469</v>
      </c>
      <c r="J276">
        <v>4.7</v>
      </c>
      <c r="K276" t="s">
        <v>3892</v>
      </c>
      <c r="L276">
        <v>27.26</v>
      </c>
      <c r="M276">
        <v>5.8</v>
      </c>
      <c r="O276" t="s">
        <v>466</v>
      </c>
    </row>
    <row r="277" spans="1:15" x14ac:dyDescent="0.3">
      <c r="A277">
        <v>241684</v>
      </c>
      <c r="B277">
        <v>116</v>
      </c>
      <c r="C277" t="s">
        <v>568</v>
      </c>
      <c r="D277" t="s">
        <v>2280</v>
      </c>
      <c r="E277" t="s">
        <v>2351</v>
      </c>
      <c r="F277" s="452">
        <v>46191</v>
      </c>
      <c r="G277">
        <v>23096</v>
      </c>
      <c r="H277" t="s">
        <v>3876</v>
      </c>
      <c r="I277" t="s">
        <v>3469</v>
      </c>
      <c r="J277">
        <v>30</v>
      </c>
      <c r="K277" t="s">
        <v>3872</v>
      </c>
      <c r="L277">
        <v>19.5</v>
      </c>
      <c r="M277">
        <v>0.65</v>
      </c>
      <c r="O277" t="s">
        <v>466</v>
      </c>
    </row>
    <row r="278" spans="1:15" x14ac:dyDescent="0.3">
      <c r="A278">
        <v>241684</v>
      </c>
      <c r="B278">
        <v>116</v>
      </c>
      <c r="C278" t="s">
        <v>568</v>
      </c>
      <c r="D278" t="s">
        <v>2280</v>
      </c>
      <c r="E278" t="s">
        <v>2351</v>
      </c>
      <c r="F278" s="452">
        <v>46191</v>
      </c>
      <c r="G278">
        <v>19478</v>
      </c>
      <c r="H278" t="s">
        <v>4072</v>
      </c>
      <c r="I278" t="s">
        <v>3469</v>
      </c>
      <c r="J278">
        <v>1</v>
      </c>
      <c r="K278" t="s">
        <v>3892</v>
      </c>
      <c r="L278">
        <v>56.33</v>
      </c>
      <c r="M278">
        <v>56.33</v>
      </c>
      <c r="O278" t="s">
        <v>466</v>
      </c>
    </row>
    <row r="279" spans="1:15" x14ac:dyDescent="0.3">
      <c r="A279">
        <v>241684</v>
      </c>
      <c r="B279">
        <v>116</v>
      </c>
      <c r="C279" t="s">
        <v>568</v>
      </c>
      <c r="D279" t="s">
        <v>2280</v>
      </c>
      <c r="E279" t="s">
        <v>2351</v>
      </c>
      <c r="F279" s="452">
        <v>46191</v>
      </c>
      <c r="G279">
        <v>23335</v>
      </c>
      <c r="H279" t="s">
        <v>4075</v>
      </c>
      <c r="I279" t="s">
        <v>3469</v>
      </c>
      <c r="J279">
        <v>1.2</v>
      </c>
      <c r="K279" t="s">
        <v>3892</v>
      </c>
      <c r="L279">
        <v>34.32</v>
      </c>
      <c r="M279">
        <v>28.6</v>
      </c>
      <c r="O279" t="s">
        <v>466</v>
      </c>
    </row>
    <row r="280" spans="1:15" x14ac:dyDescent="0.3">
      <c r="A280">
        <v>241682</v>
      </c>
      <c r="B280">
        <v>116</v>
      </c>
      <c r="C280" t="s">
        <v>568</v>
      </c>
      <c r="D280" t="s">
        <v>2280</v>
      </c>
      <c r="E280" t="s">
        <v>2352</v>
      </c>
      <c r="F280" s="452">
        <v>46198</v>
      </c>
      <c r="G280">
        <v>19589</v>
      </c>
      <c r="H280" t="s">
        <v>4153</v>
      </c>
      <c r="I280" t="s">
        <v>3469</v>
      </c>
      <c r="J280">
        <v>2</v>
      </c>
      <c r="K280" t="s">
        <v>3892</v>
      </c>
      <c r="L280">
        <v>15.6</v>
      </c>
      <c r="M280">
        <v>7.8</v>
      </c>
      <c r="O280" t="s">
        <v>466</v>
      </c>
    </row>
    <row r="281" spans="1:15" x14ac:dyDescent="0.3">
      <c r="A281">
        <v>241682</v>
      </c>
      <c r="B281">
        <v>116</v>
      </c>
      <c r="C281" t="s">
        <v>568</v>
      </c>
      <c r="D281" t="s">
        <v>2280</v>
      </c>
      <c r="E281" t="s">
        <v>2352</v>
      </c>
      <c r="F281" s="452">
        <v>46198</v>
      </c>
      <c r="G281">
        <v>19642</v>
      </c>
      <c r="H281" t="s">
        <v>4067</v>
      </c>
      <c r="I281" t="s">
        <v>3469</v>
      </c>
      <c r="J281">
        <v>1</v>
      </c>
      <c r="K281" t="s">
        <v>3892</v>
      </c>
      <c r="L281">
        <v>5.2</v>
      </c>
      <c r="M281">
        <v>5.2</v>
      </c>
      <c r="O281" t="s">
        <v>466</v>
      </c>
    </row>
    <row r="282" spans="1:15" x14ac:dyDescent="0.3">
      <c r="A282">
        <v>241682</v>
      </c>
      <c r="B282">
        <v>116</v>
      </c>
      <c r="C282" t="s">
        <v>568</v>
      </c>
      <c r="D282" t="s">
        <v>2280</v>
      </c>
      <c r="E282" t="s">
        <v>2352</v>
      </c>
      <c r="F282" s="452">
        <v>46198</v>
      </c>
      <c r="G282">
        <v>19740</v>
      </c>
      <c r="H282" t="s">
        <v>3933</v>
      </c>
      <c r="I282" t="s">
        <v>3469</v>
      </c>
      <c r="J282">
        <v>8</v>
      </c>
      <c r="K282" t="s">
        <v>3892</v>
      </c>
      <c r="L282">
        <v>78</v>
      </c>
      <c r="M282">
        <v>9.75</v>
      </c>
      <c r="O282" t="s">
        <v>466</v>
      </c>
    </row>
    <row r="283" spans="1:15" x14ac:dyDescent="0.3">
      <c r="A283">
        <v>241682</v>
      </c>
      <c r="B283">
        <v>116</v>
      </c>
      <c r="C283" t="s">
        <v>568</v>
      </c>
      <c r="D283" t="s">
        <v>2280</v>
      </c>
      <c r="E283" t="s">
        <v>2352</v>
      </c>
      <c r="F283" s="452">
        <v>46198</v>
      </c>
      <c r="G283">
        <v>23142</v>
      </c>
      <c r="H283" t="s">
        <v>4151</v>
      </c>
      <c r="I283" t="s">
        <v>3469</v>
      </c>
      <c r="J283">
        <v>1</v>
      </c>
      <c r="K283" t="s">
        <v>3892</v>
      </c>
      <c r="L283">
        <v>20.420000000000002</v>
      </c>
      <c r="M283">
        <v>20.420000000000002</v>
      </c>
      <c r="O283" t="s">
        <v>466</v>
      </c>
    </row>
    <row r="284" spans="1:15" x14ac:dyDescent="0.3">
      <c r="A284">
        <v>241682</v>
      </c>
      <c r="B284">
        <v>116</v>
      </c>
      <c r="C284" t="s">
        <v>568</v>
      </c>
      <c r="D284" t="s">
        <v>2280</v>
      </c>
      <c r="E284" t="s">
        <v>2352</v>
      </c>
      <c r="F284" s="452">
        <v>46198</v>
      </c>
      <c r="G284">
        <v>24484</v>
      </c>
      <c r="H284" t="s">
        <v>4154</v>
      </c>
      <c r="I284" t="s">
        <v>3469</v>
      </c>
      <c r="J284">
        <v>0.5</v>
      </c>
      <c r="K284" t="s">
        <v>3892</v>
      </c>
      <c r="L284">
        <v>7.8</v>
      </c>
      <c r="M284">
        <v>15.6</v>
      </c>
      <c r="O284" t="s">
        <v>466</v>
      </c>
    </row>
    <row r="285" spans="1:15" x14ac:dyDescent="0.3">
      <c r="A285">
        <v>241682</v>
      </c>
      <c r="B285">
        <v>116</v>
      </c>
      <c r="C285" t="s">
        <v>568</v>
      </c>
      <c r="D285" t="s">
        <v>2280</v>
      </c>
      <c r="E285" t="s">
        <v>2352</v>
      </c>
      <c r="F285" s="452">
        <v>46198</v>
      </c>
      <c r="G285">
        <v>23361</v>
      </c>
      <c r="H285" t="s">
        <v>4220</v>
      </c>
      <c r="I285" t="s">
        <v>3469</v>
      </c>
      <c r="J285">
        <v>40</v>
      </c>
      <c r="K285" t="s">
        <v>3892</v>
      </c>
      <c r="L285">
        <v>100</v>
      </c>
      <c r="M285">
        <v>2.5</v>
      </c>
      <c r="O285" t="s">
        <v>466</v>
      </c>
    </row>
    <row r="286" spans="1:15" x14ac:dyDescent="0.3">
      <c r="A286">
        <v>241682</v>
      </c>
      <c r="B286">
        <v>116</v>
      </c>
      <c r="C286" t="s">
        <v>568</v>
      </c>
      <c r="D286" t="s">
        <v>2280</v>
      </c>
      <c r="E286" t="s">
        <v>2352</v>
      </c>
      <c r="F286" s="452">
        <v>46198</v>
      </c>
      <c r="G286">
        <v>23171</v>
      </c>
      <c r="H286" t="s">
        <v>4132</v>
      </c>
      <c r="I286" t="s">
        <v>3469</v>
      </c>
      <c r="J286">
        <v>3</v>
      </c>
      <c r="K286" t="s">
        <v>3892</v>
      </c>
      <c r="L286">
        <v>19.5</v>
      </c>
      <c r="M286">
        <v>6.5</v>
      </c>
      <c r="O286" t="s">
        <v>466</v>
      </c>
    </row>
    <row r="287" spans="1:15" x14ac:dyDescent="0.3">
      <c r="A287">
        <v>241682</v>
      </c>
      <c r="B287">
        <v>116</v>
      </c>
      <c r="C287" t="s">
        <v>568</v>
      </c>
      <c r="D287" t="s">
        <v>2280</v>
      </c>
      <c r="E287" t="s">
        <v>2352</v>
      </c>
      <c r="F287" s="452">
        <v>46198</v>
      </c>
      <c r="G287">
        <v>19583</v>
      </c>
      <c r="H287" t="s">
        <v>4076</v>
      </c>
      <c r="I287" t="s">
        <v>3469</v>
      </c>
      <c r="J287">
        <v>1</v>
      </c>
      <c r="K287" t="s">
        <v>3892</v>
      </c>
      <c r="L287">
        <v>58.5</v>
      </c>
      <c r="M287">
        <v>58.5</v>
      </c>
      <c r="O287" t="s">
        <v>466</v>
      </c>
    </row>
    <row r="288" spans="1:15" x14ac:dyDescent="0.3">
      <c r="A288">
        <v>241682</v>
      </c>
      <c r="B288">
        <v>116</v>
      </c>
      <c r="C288" t="s">
        <v>568</v>
      </c>
      <c r="D288" t="s">
        <v>2280</v>
      </c>
      <c r="E288" t="s">
        <v>2352</v>
      </c>
      <c r="F288" s="452">
        <v>46198</v>
      </c>
      <c r="G288">
        <v>19634</v>
      </c>
      <c r="H288" t="s">
        <v>4068</v>
      </c>
      <c r="I288" t="s">
        <v>3469</v>
      </c>
      <c r="J288">
        <v>2</v>
      </c>
      <c r="K288" t="s">
        <v>3892</v>
      </c>
      <c r="L288">
        <v>13</v>
      </c>
      <c r="M288">
        <v>6.5</v>
      </c>
      <c r="O288" t="s">
        <v>466</v>
      </c>
    </row>
    <row r="289" spans="1:15" x14ac:dyDescent="0.3">
      <c r="A289">
        <v>241681</v>
      </c>
      <c r="B289">
        <v>116</v>
      </c>
      <c r="C289" t="s">
        <v>568</v>
      </c>
      <c r="D289" t="s">
        <v>2273</v>
      </c>
      <c r="E289" t="s">
        <v>2353</v>
      </c>
      <c r="F289" s="452">
        <v>46198</v>
      </c>
      <c r="G289">
        <v>24037</v>
      </c>
      <c r="H289" t="s">
        <v>4104</v>
      </c>
      <c r="I289" t="s">
        <v>3469</v>
      </c>
      <c r="J289">
        <v>2</v>
      </c>
      <c r="K289" t="s">
        <v>3892</v>
      </c>
      <c r="L289">
        <v>35</v>
      </c>
      <c r="M289">
        <v>17.5</v>
      </c>
      <c r="O289" t="s">
        <v>466</v>
      </c>
    </row>
    <row r="290" spans="1:15" x14ac:dyDescent="0.3">
      <c r="A290">
        <v>241681</v>
      </c>
      <c r="B290">
        <v>116</v>
      </c>
      <c r="C290" t="s">
        <v>568</v>
      </c>
      <c r="D290" t="s">
        <v>2273</v>
      </c>
      <c r="E290" t="s">
        <v>2353</v>
      </c>
      <c r="F290" s="452">
        <v>46198</v>
      </c>
      <c r="G290">
        <v>23359</v>
      </c>
      <c r="H290" t="s">
        <v>3932</v>
      </c>
      <c r="I290" t="s">
        <v>3469</v>
      </c>
      <c r="J290">
        <v>10</v>
      </c>
      <c r="K290" t="s">
        <v>3892</v>
      </c>
      <c r="L290">
        <v>29</v>
      </c>
      <c r="M290">
        <v>2.9</v>
      </c>
      <c r="O290" t="s">
        <v>466</v>
      </c>
    </row>
    <row r="291" spans="1:15" x14ac:dyDescent="0.3">
      <c r="A291">
        <v>241681</v>
      </c>
      <c r="B291">
        <v>116</v>
      </c>
      <c r="C291" t="s">
        <v>568</v>
      </c>
      <c r="D291" t="s">
        <v>2273</v>
      </c>
      <c r="E291" t="s">
        <v>2353</v>
      </c>
      <c r="F291" s="452">
        <v>46198</v>
      </c>
      <c r="G291">
        <v>19572</v>
      </c>
      <c r="H291" t="s">
        <v>4023</v>
      </c>
      <c r="I291" t="s">
        <v>3469</v>
      </c>
      <c r="J291">
        <v>1.18</v>
      </c>
      <c r="K291" t="s">
        <v>3892</v>
      </c>
      <c r="L291">
        <v>11.72</v>
      </c>
      <c r="M291">
        <v>9.9322029999999994</v>
      </c>
      <c r="O291" t="s">
        <v>466</v>
      </c>
    </row>
    <row r="292" spans="1:15" x14ac:dyDescent="0.3">
      <c r="A292">
        <v>241681</v>
      </c>
      <c r="B292">
        <v>116</v>
      </c>
      <c r="C292" t="s">
        <v>568</v>
      </c>
      <c r="D292" t="s">
        <v>2273</v>
      </c>
      <c r="E292" t="s">
        <v>2353</v>
      </c>
      <c r="F292" s="452">
        <v>46198</v>
      </c>
      <c r="G292">
        <v>19787</v>
      </c>
      <c r="H292" t="s">
        <v>3940</v>
      </c>
      <c r="I292" t="s">
        <v>3469</v>
      </c>
      <c r="J292">
        <v>5.4</v>
      </c>
      <c r="K292" t="s">
        <v>3892</v>
      </c>
      <c r="L292">
        <v>31.32</v>
      </c>
      <c r="M292">
        <v>5.8</v>
      </c>
      <c r="O292" t="s">
        <v>466</v>
      </c>
    </row>
    <row r="293" spans="1:15" x14ac:dyDescent="0.3">
      <c r="A293">
        <v>241680</v>
      </c>
      <c r="B293">
        <v>116</v>
      </c>
      <c r="C293" t="s">
        <v>568</v>
      </c>
      <c r="D293" t="s">
        <v>2280</v>
      </c>
      <c r="E293" t="s">
        <v>2354</v>
      </c>
      <c r="F293" s="452">
        <v>46199</v>
      </c>
      <c r="G293">
        <v>24509</v>
      </c>
      <c r="H293" t="s">
        <v>3906</v>
      </c>
      <c r="I293" t="s">
        <v>3469</v>
      </c>
      <c r="J293">
        <v>20</v>
      </c>
      <c r="K293" t="s">
        <v>3892</v>
      </c>
      <c r="L293">
        <v>104</v>
      </c>
      <c r="M293">
        <v>5.2</v>
      </c>
      <c r="O293" t="s">
        <v>466</v>
      </c>
    </row>
    <row r="294" spans="1:15" x14ac:dyDescent="0.3">
      <c r="A294">
        <v>241678</v>
      </c>
      <c r="B294">
        <v>116</v>
      </c>
      <c r="C294" t="s">
        <v>568</v>
      </c>
      <c r="D294" t="s">
        <v>2280</v>
      </c>
      <c r="E294" t="s">
        <v>2355</v>
      </c>
      <c r="F294" s="452">
        <v>46199</v>
      </c>
      <c r="G294">
        <v>24509</v>
      </c>
      <c r="H294" t="s">
        <v>3906</v>
      </c>
      <c r="I294" t="s">
        <v>3469</v>
      </c>
      <c r="J294">
        <v>20</v>
      </c>
      <c r="K294" t="s">
        <v>3892</v>
      </c>
      <c r="L294">
        <v>104</v>
      </c>
      <c r="M294">
        <v>5.2</v>
      </c>
      <c r="O294" t="s">
        <v>466</v>
      </c>
    </row>
    <row r="295" spans="1:15" x14ac:dyDescent="0.3">
      <c r="A295">
        <v>241676</v>
      </c>
      <c r="B295">
        <v>116</v>
      </c>
      <c r="C295" t="s">
        <v>568</v>
      </c>
      <c r="D295" t="s">
        <v>2269</v>
      </c>
      <c r="E295" t="s">
        <v>2356</v>
      </c>
      <c r="F295" s="452">
        <v>46195</v>
      </c>
      <c r="G295">
        <v>29129</v>
      </c>
      <c r="H295" t="s">
        <v>4176</v>
      </c>
      <c r="I295" t="s">
        <v>3469</v>
      </c>
      <c r="J295">
        <v>9</v>
      </c>
      <c r="K295" t="s">
        <v>3872</v>
      </c>
      <c r="L295">
        <v>103.23</v>
      </c>
      <c r="M295">
        <v>11.47</v>
      </c>
      <c r="O295" t="s">
        <v>466</v>
      </c>
    </row>
    <row r="296" spans="1:15" x14ac:dyDescent="0.3">
      <c r="A296">
        <v>241675</v>
      </c>
      <c r="B296">
        <v>116</v>
      </c>
      <c r="C296" t="s">
        <v>568</v>
      </c>
      <c r="D296" t="s">
        <v>2357</v>
      </c>
      <c r="E296" t="s">
        <v>2358</v>
      </c>
      <c r="F296" s="452">
        <v>46195</v>
      </c>
      <c r="G296">
        <v>20278</v>
      </c>
      <c r="H296" t="s">
        <v>3939</v>
      </c>
      <c r="I296" t="s">
        <v>3469</v>
      </c>
      <c r="J296">
        <v>12</v>
      </c>
      <c r="K296" t="s">
        <v>3872</v>
      </c>
      <c r="L296">
        <v>355.08</v>
      </c>
      <c r="M296">
        <v>29.59</v>
      </c>
      <c r="O296" t="s">
        <v>466</v>
      </c>
    </row>
    <row r="297" spans="1:15" x14ac:dyDescent="0.3">
      <c r="A297">
        <v>241674</v>
      </c>
      <c r="B297">
        <v>116</v>
      </c>
      <c r="C297" t="s">
        <v>568</v>
      </c>
      <c r="D297" t="s">
        <v>2359</v>
      </c>
      <c r="E297" t="s">
        <v>2360</v>
      </c>
      <c r="F297" s="452">
        <v>46195</v>
      </c>
      <c r="G297">
        <v>18172</v>
      </c>
      <c r="H297" t="s">
        <v>3923</v>
      </c>
      <c r="I297" t="s">
        <v>3497</v>
      </c>
      <c r="J297">
        <v>6</v>
      </c>
      <c r="K297" t="s">
        <v>3878</v>
      </c>
      <c r="L297">
        <v>188.16</v>
      </c>
      <c r="M297">
        <v>31.36</v>
      </c>
      <c r="O297" t="s">
        <v>466</v>
      </c>
    </row>
    <row r="298" spans="1:15" x14ac:dyDescent="0.3">
      <c r="A298">
        <v>241674</v>
      </c>
      <c r="B298">
        <v>116</v>
      </c>
      <c r="C298" t="s">
        <v>568</v>
      </c>
      <c r="D298" t="s">
        <v>2359</v>
      </c>
      <c r="E298" t="s">
        <v>2360</v>
      </c>
      <c r="F298" s="452">
        <v>46195</v>
      </c>
      <c r="G298">
        <v>18528</v>
      </c>
      <c r="H298" t="s">
        <v>4108</v>
      </c>
      <c r="I298" t="s">
        <v>3497</v>
      </c>
      <c r="J298">
        <v>1</v>
      </c>
      <c r="K298" t="s">
        <v>3878</v>
      </c>
      <c r="L298">
        <v>50.96</v>
      </c>
      <c r="M298">
        <v>50.96</v>
      </c>
      <c r="O298" t="s">
        <v>466</v>
      </c>
    </row>
    <row r="299" spans="1:15" x14ac:dyDescent="0.3">
      <c r="A299">
        <v>241674</v>
      </c>
      <c r="B299">
        <v>116</v>
      </c>
      <c r="C299" t="s">
        <v>568</v>
      </c>
      <c r="D299" t="s">
        <v>2359</v>
      </c>
      <c r="E299" t="s">
        <v>2360</v>
      </c>
      <c r="F299" s="452">
        <v>46195</v>
      </c>
      <c r="G299">
        <v>18359</v>
      </c>
      <c r="H299" t="s">
        <v>4029</v>
      </c>
      <c r="I299" t="s">
        <v>3497</v>
      </c>
      <c r="J299">
        <v>1</v>
      </c>
      <c r="K299" t="s">
        <v>3878</v>
      </c>
      <c r="L299">
        <v>88.9</v>
      </c>
      <c r="M299">
        <v>88.9</v>
      </c>
      <c r="O299" t="s">
        <v>466</v>
      </c>
    </row>
    <row r="300" spans="1:15" x14ac:dyDescent="0.3">
      <c r="A300">
        <v>241671</v>
      </c>
      <c r="B300">
        <v>116</v>
      </c>
      <c r="C300" t="s">
        <v>568</v>
      </c>
      <c r="D300" t="s">
        <v>2361</v>
      </c>
      <c r="E300" t="s">
        <v>2362</v>
      </c>
      <c r="F300" s="452">
        <v>46196</v>
      </c>
      <c r="G300">
        <v>26627</v>
      </c>
      <c r="H300" t="s">
        <v>4237</v>
      </c>
      <c r="I300" t="s">
        <v>3469</v>
      </c>
      <c r="J300">
        <v>20</v>
      </c>
      <c r="K300" t="s">
        <v>3892</v>
      </c>
      <c r="L300">
        <v>158</v>
      </c>
      <c r="M300">
        <v>7.9</v>
      </c>
      <c r="O300" t="s">
        <v>466</v>
      </c>
    </row>
    <row r="301" spans="1:15" x14ac:dyDescent="0.3">
      <c r="A301">
        <v>241670</v>
      </c>
      <c r="B301">
        <v>116</v>
      </c>
      <c r="C301" t="s">
        <v>568</v>
      </c>
      <c r="D301" t="s">
        <v>2260</v>
      </c>
      <c r="E301" t="s">
        <v>2363</v>
      </c>
      <c r="F301" s="452">
        <v>46196</v>
      </c>
      <c r="G301">
        <v>20466</v>
      </c>
      <c r="H301" t="s">
        <v>4098</v>
      </c>
      <c r="I301" t="s">
        <v>3469</v>
      </c>
      <c r="J301">
        <v>1.5</v>
      </c>
      <c r="K301" t="s">
        <v>3892</v>
      </c>
      <c r="L301">
        <v>102</v>
      </c>
      <c r="M301">
        <v>68</v>
      </c>
      <c r="O301" t="s">
        <v>466</v>
      </c>
    </row>
    <row r="302" spans="1:15" x14ac:dyDescent="0.3">
      <c r="A302">
        <v>241670</v>
      </c>
      <c r="B302">
        <v>116</v>
      </c>
      <c r="C302" t="s">
        <v>568</v>
      </c>
      <c r="D302" t="s">
        <v>2260</v>
      </c>
      <c r="E302" t="s">
        <v>2363</v>
      </c>
      <c r="F302" s="452">
        <v>46196</v>
      </c>
      <c r="G302">
        <v>24194</v>
      </c>
      <c r="H302" t="s">
        <v>4181</v>
      </c>
      <c r="I302" t="s">
        <v>3469</v>
      </c>
      <c r="J302">
        <v>2.4</v>
      </c>
      <c r="K302" t="s">
        <v>3892</v>
      </c>
      <c r="L302">
        <v>100.8</v>
      </c>
      <c r="M302">
        <v>42</v>
      </c>
      <c r="O302" t="s">
        <v>466</v>
      </c>
    </row>
    <row r="303" spans="1:15" x14ac:dyDescent="0.3">
      <c r="A303">
        <v>241670</v>
      </c>
      <c r="B303">
        <v>116</v>
      </c>
      <c r="C303" t="s">
        <v>568</v>
      </c>
      <c r="D303" t="s">
        <v>2260</v>
      </c>
      <c r="E303" t="s">
        <v>2363</v>
      </c>
      <c r="F303" s="452">
        <v>46196</v>
      </c>
      <c r="G303">
        <v>20555</v>
      </c>
      <c r="H303" t="s">
        <v>3959</v>
      </c>
      <c r="I303" t="s">
        <v>3469</v>
      </c>
      <c r="J303">
        <v>2.5</v>
      </c>
      <c r="K303" t="s">
        <v>3892</v>
      </c>
      <c r="L303">
        <v>197.5</v>
      </c>
      <c r="M303">
        <v>79</v>
      </c>
      <c r="O303" t="s">
        <v>466</v>
      </c>
    </row>
    <row r="304" spans="1:15" x14ac:dyDescent="0.3">
      <c r="A304">
        <v>241670</v>
      </c>
      <c r="B304">
        <v>116</v>
      </c>
      <c r="C304" t="s">
        <v>568</v>
      </c>
      <c r="D304" t="s">
        <v>2260</v>
      </c>
      <c r="E304" t="s">
        <v>2363</v>
      </c>
      <c r="F304" s="452">
        <v>46196</v>
      </c>
      <c r="G304">
        <v>18685</v>
      </c>
      <c r="H304" t="s">
        <v>3945</v>
      </c>
      <c r="I304" t="s">
        <v>3469</v>
      </c>
      <c r="J304">
        <v>6.6</v>
      </c>
      <c r="K304" t="s">
        <v>4197</v>
      </c>
      <c r="L304">
        <v>257.39999999999998</v>
      </c>
      <c r="M304">
        <v>39</v>
      </c>
      <c r="O304" t="s">
        <v>466</v>
      </c>
    </row>
    <row r="305" spans="1:15" x14ac:dyDescent="0.3">
      <c r="A305">
        <v>241670</v>
      </c>
      <c r="B305">
        <v>116</v>
      </c>
      <c r="C305" t="s">
        <v>568</v>
      </c>
      <c r="D305" t="s">
        <v>2260</v>
      </c>
      <c r="E305" t="s">
        <v>2363</v>
      </c>
      <c r="F305" s="452">
        <v>46196</v>
      </c>
      <c r="G305">
        <v>24072</v>
      </c>
      <c r="H305" t="s">
        <v>4002</v>
      </c>
      <c r="I305" t="s">
        <v>3469</v>
      </c>
      <c r="J305">
        <v>3</v>
      </c>
      <c r="K305" t="s">
        <v>3892</v>
      </c>
      <c r="L305">
        <v>690</v>
      </c>
      <c r="M305">
        <v>230</v>
      </c>
      <c r="O305" t="s">
        <v>466</v>
      </c>
    </row>
    <row r="306" spans="1:15" x14ac:dyDescent="0.3">
      <c r="A306">
        <v>241022</v>
      </c>
      <c r="B306">
        <v>116</v>
      </c>
      <c r="C306" t="s">
        <v>568</v>
      </c>
      <c r="D306" t="s">
        <v>2314</v>
      </c>
      <c r="E306" t="s">
        <v>2364</v>
      </c>
      <c r="F306" s="452">
        <v>46174</v>
      </c>
      <c r="G306">
        <v>18640</v>
      </c>
      <c r="H306" t="s">
        <v>3994</v>
      </c>
      <c r="I306" t="s">
        <v>3497</v>
      </c>
      <c r="J306">
        <v>2</v>
      </c>
      <c r="K306" t="s">
        <v>3922</v>
      </c>
      <c r="L306">
        <v>612</v>
      </c>
      <c r="M306">
        <v>306</v>
      </c>
      <c r="N306" t="s">
        <v>3497</v>
      </c>
      <c r="O306" t="s">
        <v>466</v>
      </c>
    </row>
    <row r="307" spans="1:15" x14ac:dyDescent="0.3">
      <c r="A307">
        <v>241021</v>
      </c>
      <c r="B307">
        <v>116</v>
      </c>
      <c r="C307" t="s">
        <v>568</v>
      </c>
      <c r="D307" t="s">
        <v>2314</v>
      </c>
      <c r="E307" t="s">
        <v>2365</v>
      </c>
      <c r="F307" s="452">
        <v>46174</v>
      </c>
      <c r="G307">
        <v>18636</v>
      </c>
      <c r="H307" t="s">
        <v>3921</v>
      </c>
      <c r="I307" t="s">
        <v>3497</v>
      </c>
      <c r="J307">
        <v>6</v>
      </c>
      <c r="K307" t="s">
        <v>3922</v>
      </c>
      <c r="L307">
        <v>2896.8</v>
      </c>
      <c r="M307">
        <v>482.8</v>
      </c>
      <c r="N307" t="s">
        <v>3497</v>
      </c>
      <c r="O307" t="s">
        <v>466</v>
      </c>
    </row>
    <row r="308" spans="1:15" x14ac:dyDescent="0.3">
      <c r="A308">
        <v>240891</v>
      </c>
      <c r="B308">
        <v>116</v>
      </c>
      <c r="C308" t="s">
        <v>568</v>
      </c>
      <c r="D308" t="s">
        <v>2282</v>
      </c>
      <c r="E308" t="s">
        <v>2366</v>
      </c>
      <c r="F308" s="452">
        <v>46191</v>
      </c>
      <c r="G308">
        <v>25518</v>
      </c>
      <c r="H308" t="s">
        <v>4238</v>
      </c>
      <c r="I308" t="s">
        <v>4215</v>
      </c>
      <c r="J308">
        <v>1</v>
      </c>
      <c r="K308" t="s">
        <v>3872</v>
      </c>
      <c r="L308">
        <v>110.4</v>
      </c>
      <c r="M308">
        <v>110.4</v>
      </c>
      <c r="N308" t="s">
        <v>4239</v>
      </c>
      <c r="O308" t="s">
        <v>466</v>
      </c>
    </row>
    <row r="309" spans="1:15" x14ac:dyDescent="0.3">
      <c r="A309">
        <v>240890</v>
      </c>
      <c r="B309">
        <v>116</v>
      </c>
      <c r="C309" t="s">
        <v>568</v>
      </c>
      <c r="D309" t="s">
        <v>2367</v>
      </c>
      <c r="E309" t="s">
        <v>2368</v>
      </c>
      <c r="F309" s="452">
        <v>46190</v>
      </c>
      <c r="G309">
        <v>19428</v>
      </c>
      <c r="H309" t="s">
        <v>4169</v>
      </c>
      <c r="I309" t="s">
        <v>3469</v>
      </c>
      <c r="J309">
        <v>24</v>
      </c>
      <c r="K309" t="s">
        <v>3872</v>
      </c>
      <c r="L309">
        <v>129.6</v>
      </c>
      <c r="M309">
        <v>5.4</v>
      </c>
      <c r="N309" t="s">
        <v>4240</v>
      </c>
      <c r="O309" t="s">
        <v>466</v>
      </c>
    </row>
    <row r="310" spans="1:15" x14ac:dyDescent="0.3">
      <c r="A310">
        <v>240890</v>
      </c>
      <c r="B310">
        <v>116</v>
      </c>
      <c r="C310" t="s">
        <v>568</v>
      </c>
      <c r="D310" t="s">
        <v>2367</v>
      </c>
      <c r="E310" t="s">
        <v>2368</v>
      </c>
      <c r="F310" s="452">
        <v>46190</v>
      </c>
      <c r="G310">
        <v>19346</v>
      </c>
      <c r="H310" t="s">
        <v>3948</v>
      </c>
      <c r="I310" t="s">
        <v>3469</v>
      </c>
      <c r="J310">
        <v>5.35</v>
      </c>
      <c r="K310" t="s">
        <v>4241</v>
      </c>
      <c r="L310">
        <v>336.84</v>
      </c>
      <c r="M310">
        <v>62.960748000000002</v>
      </c>
      <c r="N310" t="s">
        <v>4240</v>
      </c>
      <c r="O310" t="s">
        <v>466</v>
      </c>
    </row>
    <row r="311" spans="1:15" x14ac:dyDescent="0.3">
      <c r="A311">
        <v>240889</v>
      </c>
      <c r="B311">
        <v>116</v>
      </c>
      <c r="C311" t="s">
        <v>568</v>
      </c>
      <c r="D311" t="s">
        <v>2258</v>
      </c>
      <c r="E311" t="s">
        <v>2369</v>
      </c>
      <c r="F311" s="452">
        <v>46197</v>
      </c>
      <c r="G311">
        <v>17006</v>
      </c>
      <c r="H311" t="s">
        <v>4128</v>
      </c>
      <c r="I311" t="s">
        <v>3469</v>
      </c>
      <c r="J311">
        <v>19.260000000000002</v>
      </c>
      <c r="K311" t="s">
        <v>3892</v>
      </c>
      <c r="L311">
        <v>250.38</v>
      </c>
      <c r="M311">
        <v>13</v>
      </c>
      <c r="N311" t="s">
        <v>3469</v>
      </c>
      <c r="O311" t="s">
        <v>466</v>
      </c>
    </row>
    <row r="312" spans="1:15" x14ac:dyDescent="0.3">
      <c r="A312">
        <v>240682</v>
      </c>
      <c r="B312">
        <v>116</v>
      </c>
      <c r="C312" t="s">
        <v>568</v>
      </c>
      <c r="D312" t="s">
        <v>2260</v>
      </c>
      <c r="E312" t="s">
        <v>2370</v>
      </c>
      <c r="F312" s="452">
        <v>46188</v>
      </c>
      <c r="G312">
        <v>24200</v>
      </c>
      <c r="H312" t="s">
        <v>3975</v>
      </c>
      <c r="I312" t="s">
        <v>3469</v>
      </c>
      <c r="J312">
        <v>6.3</v>
      </c>
      <c r="K312" t="s">
        <v>3892</v>
      </c>
      <c r="L312">
        <v>207.27</v>
      </c>
      <c r="M312">
        <v>32.9</v>
      </c>
      <c r="N312" t="s">
        <v>4240</v>
      </c>
      <c r="O312" t="s">
        <v>466</v>
      </c>
    </row>
    <row r="313" spans="1:15" x14ac:dyDescent="0.3">
      <c r="A313">
        <v>240682</v>
      </c>
      <c r="B313">
        <v>116</v>
      </c>
      <c r="C313" t="s">
        <v>568</v>
      </c>
      <c r="D313" t="s">
        <v>2260</v>
      </c>
      <c r="E313" t="s">
        <v>2370</v>
      </c>
      <c r="F313" s="452">
        <v>46188</v>
      </c>
      <c r="G313">
        <v>20555</v>
      </c>
      <c r="H313" t="s">
        <v>3959</v>
      </c>
      <c r="I313" t="s">
        <v>3469</v>
      </c>
      <c r="J313">
        <v>3.5</v>
      </c>
      <c r="K313" t="s">
        <v>3892</v>
      </c>
      <c r="L313">
        <v>276.5</v>
      </c>
      <c r="M313">
        <v>79</v>
      </c>
      <c r="N313" t="s">
        <v>4240</v>
      </c>
      <c r="O313" t="s">
        <v>466</v>
      </c>
    </row>
    <row r="314" spans="1:15" x14ac:dyDescent="0.3">
      <c r="A314">
        <v>240682</v>
      </c>
      <c r="B314">
        <v>116</v>
      </c>
      <c r="C314" t="s">
        <v>568</v>
      </c>
      <c r="D314" t="s">
        <v>2260</v>
      </c>
      <c r="E314" t="s">
        <v>2370</v>
      </c>
      <c r="F314" s="452">
        <v>46188</v>
      </c>
      <c r="G314">
        <v>27884</v>
      </c>
      <c r="H314" t="s">
        <v>3910</v>
      </c>
      <c r="I314" t="s">
        <v>3469</v>
      </c>
      <c r="J314">
        <v>6.8</v>
      </c>
      <c r="K314" t="s">
        <v>3892</v>
      </c>
      <c r="L314">
        <v>469.2</v>
      </c>
      <c r="M314">
        <v>69</v>
      </c>
      <c r="N314" t="s">
        <v>4240</v>
      </c>
      <c r="O314" t="s">
        <v>466</v>
      </c>
    </row>
    <row r="315" spans="1:15" x14ac:dyDescent="0.3">
      <c r="A315">
        <v>240682</v>
      </c>
      <c r="B315">
        <v>116</v>
      </c>
      <c r="C315" t="s">
        <v>568</v>
      </c>
      <c r="D315" t="s">
        <v>2260</v>
      </c>
      <c r="E315" t="s">
        <v>2370</v>
      </c>
      <c r="F315" s="452">
        <v>46188</v>
      </c>
      <c r="G315">
        <v>18685</v>
      </c>
      <c r="H315" t="s">
        <v>3945</v>
      </c>
      <c r="I315" t="s">
        <v>3469</v>
      </c>
      <c r="J315">
        <v>9.9</v>
      </c>
      <c r="K315" t="s">
        <v>4197</v>
      </c>
      <c r="L315">
        <v>386.1</v>
      </c>
      <c r="M315">
        <v>39</v>
      </c>
      <c r="N315" t="s">
        <v>4240</v>
      </c>
      <c r="O315" t="s">
        <v>466</v>
      </c>
    </row>
    <row r="316" spans="1:15" x14ac:dyDescent="0.3">
      <c r="A316">
        <v>240682</v>
      </c>
      <c r="B316">
        <v>116</v>
      </c>
      <c r="C316" t="s">
        <v>568</v>
      </c>
      <c r="D316" t="s">
        <v>2260</v>
      </c>
      <c r="E316" t="s">
        <v>2370</v>
      </c>
      <c r="F316" s="452">
        <v>46188</v>
      </c>
      <c r="G316">
        <v>24072</v>
      </c>
      <c r="H316" t="s">
        <v>4002</v>
      </c>
      <c r="I316" t="s">
        <v>3469</v>
      </c>
      <c r="J316">
        <v>3.1</v>
      </c>
      <c r="K316" t="s">
        <v>3892</v>
      </c>
      <c r="L316">
        <v>682</v>
      </c>
      <c r="M316">
        <v>220</v>
      </c>
      <c r="N316" t="s">
        <v>4240</v>
      </c>
      <c r="O316" t="s">
        <v>466</v>
      </c>
    </row>
    <row r="317" spans="1:15" x14ac:dyDescent="0.3">
      <c r="A317">
        <v>240682</v>
      </c>
      <c r="B317">
        <v>116</v>
      </c>
      <c r="C317" t="s">
        <v>568</v>
      </c>
      <c r="D317" t="s">
        <v>2260</v>
      </c>
      <c r="E317" t="s">
        <v>2370</v>
      </c>
      <c r="F317" s="452">
        <v>46188</v>
      </c>
      <c r="G317">
        <v>22734</v>
      </c>
      <c r="H317" t="s">
        <v>3955</v>
      </c>
      <c r="I317" t="s">
        <v>3469</v>
      </c>
      <c r="J317">
        <v>10.5</v>
      </c>
      <c r="K317" t="s">
        <v>3892</v>
      </c>
      <c r="L317">
        <v>1039.5</v>
      </c>
      <c r="M317">
        <v>99</v>
      </c>
      <c r="N317" t="s">
        <v>4240</v>
      </c>
      <c r="O317" t="s">
        <v>466</v>
      </c>
    </row>
    <row r="318" spans="1:15" x14ac:dyDescent="0.3">
      <c r="A318">
        <v>240682</v>
      </c>
      <c r="B318">
        <v>116</v>
      </c>
      <c r="C318" t="s">
        <v>568</v>
      </c>
      <c r="D318" t="s">
        <v>2260</v>
      </c>
      <c r="E318" t="s">
        <v>2370</v>
      </c>
      <c r="F318" s="452">
        <v>46188</v>
      </c>
      <c r="G318">
        <v>24194</v>
      </c>
      <c r="H318" t="s">
        <v>4181</v>
      </c>
      <c r="I318" t="s">
        <v>3469</v>
      </c>
      <c r="J318">
        <v>4.8</v>
      </c>
      <c r="K318" t="s">
        <v>3892</v>
      </c>
      <c r="L318">
        <v>201.6</v>
      </c>
      <c r="M318">
        <v>42</v>
      </c>
      <c r="N318" t="s">
        <v>4240</v>
      </c>
      <c r="O318" t="s">
        <v>466</v>
      </c>
    </row>
    <row r="319" spans="1:15" x14ac:dyDescent="0.3">
      <c r="A319">
        <v>240682</v>
      </c>
      <c r="B319">
        <v>116</v>
      </c>
      <c r="C319" t="s">
        <v>568</v>
      </c>
      <c r="D319" t="s">
        <v>2260</v>
      </c>
      <c r="E319" t="s">
        <v>2370</v>
      </c>
      <c r="F319" s="452">
        <v>46188</v>
      </c>
      <c r="G319">
        <v>18684</v>
      </c>
      <c r="H319" t="s">
        <v>3925</v>
      </c>
      <c r="I319" t="s">
        <v>3469</v>
      </c>
      <c r="J319">
        <v>16.5</v>
      </c>
      <c r="K319" t="s">
        <v>3892</v>
      </c>
      <c r="L319">
        <v>594</v>
      </c>
      <c r="M319">
        <v>36</v>
      </c>
      <c r="N319" t="s">
        <v>4240</v>
      </c>
      <c r="O319" t="s">
        <v>466</v>
      </c>
    </row>
    <row r="320" spans="1:15" x14ac:dyDescent="0.3">
      <c r="A320">
        <v>240681</v>
      </c>
      <c r="B320">
        <v>116</v>
      </c>
      <c r="C320" t="s">
        <v>568</v>
      </c>
      <c r="D320" t="s">
        <v>2282</v>
      </c>
      <c r="E320" t="s">
        <v>2371</v>
      </c>
      <c r="F320" s="452">
        <v>46188</v>
      </c>
      <c r="G320">
        <v>24497</v>
      </c>
      <c r="H320" t="s">
        <v>4214</v>
      </c>
      <c r="I320" t="s">
        <v>4215</v>
      </c>
      <c r="J320">
        <v>1</v>
      </c>
      <c r="K320" t="s">
        <v>3872</v>
      </c>
      <c r="L320">
        <v>134.55000000000001</v>
      </c>
      <c r="M320">
        <v>134.55000000000001</v>
      </c>
      <c r="N320" t="s">
        <v>4239</v>
      </c>
      <c r="O320" t="s">
        <v>466</v>
      </c>
    </row>
    <row r="321" spans="1:15" x14ac:dyDescent="0.3">
      <c r="A321">
        <v>240680</v>
      </c>
      <c r="B321">
        <v>116</v>
      </c>
      <c r="C321" t="s">
        <v>568</v>
      </c>
      <c r="D321" t="s">
        <v>2277</v>
      </c>
      <c r="E321" t="s">
        <v>2372</v>
      </c>
      <c r="F321" s="452">
        <v>46190</v>
      </c>
      <c r="G321">
        <v>24212</v>
      </c>
      <c r="H321" t="s">
        <v>4056</v>
      </c>
      <c r="I321" t="s">
        <v>3469</v>
      </c>
      <c r="J321">
        <v>2</v>
      </c>
      <c r="K321" t="s">
        <v>3892</v>
      </c>
      <c r="L321">
        <v>26.22</v>
      </c>
      <c r="M321">
        <v>13.11</v>
      </c>
      <c r="N321" t="s">
        <v>4240</v>
      </c>
      <c r="O321" t="s">
        <v>466</v>
      </c>
    </row>
    <row r="322" spans="1:15" x14ac:dyDescent="0.3">
      <c r="A322">
        <v>240680</v>
      </c>
      <c r="B322">
        <v>116</v>
      </c>
      <c r="C322" t="s">
        <v>568</v>
      </c>
      <c r="D322" t="s">
        <v>2277</v>
      </c>
      <c r="E322" t="s">
        <v>2372</v>
      </c>
      <c r="F322" s="452">
        <v>46190</v>
      </c>
      <c r="G322">
        <v>20287</v>
      </c>
      <c r="H322" t="s">
        <v>4053</v>
      </c>
      <c r="I322" t="s">
        <v>3469</v>
      </c>
      <c r="J322">
        <v>1</v>
      </c>
      <c r="K322" t="s">
        <v>4197</v>
      </c>
      <c r="L322">
        <v>24.99</v>
      </c>
      <c r="M322">
        <v>24.99</v>
      </c>
      <c r="N322" t="s">
        <v>4240</v>
      </c>
      <c r="O322" t="s">
        <v>466</v>
      </c>
    </row>
    <row r="323" spans="1:15" x14ac:dyDescent="0.3">
      <c r="A323">
        <v>240680</v>
      </c>
      <c r="B323">
        <v>116</v>
      </c>
      <c r="C323" t="s">
        <v>568</v>
      </c>
      <c r="D323" t="s">
        <v>2277</v>
      </c>
      <c r="E323" t="s">
        <v>2372</v>
      </c>
      <c r="F323" s="452">
        <v>46190</v>
      </c>
      <c r="G323">
        <v>20729</v>
      </c>
      <c r="H323" t="s">
        <v>3965</v>
      </c>
      <c r="I323" t="s">
        <v>3469</v>
      </c>
      <c r="J323">
        <v>2</v>
      </c>
      <c r="K323" t="s">
        <v>3966</v>
      </c>
      <c r="L323">
        <v>135.76</v>
      </c>
      <c r="M323">
        <v>67.88</v>
      </c>
      <c r="N323" t="s">
        <v>4240</v>
      </c>
      <c r="O323" t="s">
        <v>466</v>
      </c>
    </row>
    <row r="324" spans="1:15" x14ac:dyDescent="0.3">
      <c r="A324">
        <v>240680</v>
      </c>
      <c r="B324">
        <v>116</v>
      </c>
      <c r="C324" t="s">
        <v>568</v>
      </c>
      <c r="D324" t="s">
        <v>2277</v>
      </c>
      <c r="E324" t="s">
        <v>2372</v>
      </c>
      <c r="F324" s="452">
        <v>46190</v>
      </c>
      <c r="G324">
        <v>20661</v>
      </c>
      <c r="H324" t="s">
        <v>3919</v>
      </c>
      <c r="I324" t="s">
        <v>3469</v>
      </c>
      <c r="J324">
        <v>6</v>
      </c>
      <c r="K324" t="s">
        <v>3872</v>
      </c>
      <c r="L324">
        <v>51.54</v>
      </c>
      <c r="M324">
        <v>8.59</v>
      </c>
      <c r="N324" t="s">
        <v>4240</v>
      </c>
      <c r="O324" t="s">
        <v>466</v>
      </c>
    </row>
    <row r="325" spans="1:15" x14ac:dyDescent="0.3">
      <c r="A325">
        <v>240680</v>
      </c>
      <c r="B325">
        <v>116</v>
      </c>
      <c r="C325" t="s">
        <v>568</v>
      </c>
      <c r="D325" t="s">
        <v>2277</v>
      </c>
      <c r="E325" t="s">
        <v>2372</v>
      </c>
      <c r="F325" s="452">
        <v>46190</v>
      </c>
      <c r="G325">
        <v>20246</v>
      </c>
      <c r="H325" t="s">
        <v>3911</v>
      </c>
      <c r="I325" t="s">
        <v>3469</v>
      </c>
      <c r="J325">
        <v>10</v>
      </c>
      <c r="K325" t="s">
        <v>3872</v>
      </c>
      <c r="L325">
        <v>110.3</v>
      </c>
      <c r="M325">
        <v>11.03</v>
      </c>
      <c r="N325" t="s">
        <v>4240</v>
      </c>
      <c r="O325" t="s">
        <v>466</v>
      </c>
    </row>
    <row r="326" spans="1:15" x14ac:dyDescent="0.3">
      <c r="A326">
        <v>240678</v>
      </c>
      <c r="B326">
        <v>116</v>
      </c>
      <c r="C326" t="s">
        <v>568</v>
      </c>
      <c r="D326" t="s">
        <v>2277</v>
      </c>
      <c r="E326" t="s">
        <v>2373</v>
      </c>
      <c r="F326" s="452">
        <v>46188</v>
      </c>
      <c r="G326">
        <v>21021</v>
      </c>
      <c r="H326" t="s">
        <v>4242</v>
      </c>
      <c r="I326" t="s">
        <v>3469</v>
      </c>
      <c r="J326">
        <v>2</v>
      </c>
      <c r="K326" t="s">
        <v>3872</v>
      </c>
      <c r="L326">
        <v>375.52</v>
      </c>
      <c r="M326">
        <v>187.76</v>
      </c>
      <c r="N326" t="s">
        <v>4240</v>
      </c>
      <c r="O326" t="s">
        <v>466</v>
      </c>
    </row>
    <row r="327" spans="1:15" x14ac:dyDescent="0.3">
      <c r="A327">
        <v>240678</v>
      </c>
      <c r="B327">
        <v>116</v>
      </c>
      <c r="C327" t="s">
        <v>568</v>
      </c>
      <c r="D327" t="s">
        <v>2277</v>
      </c>
      <c r="E327" t="s">
        <v>2373</v>
      </c>
      <c r="F327" s="452">
        <v>46188</v>
      </c>
      <c r="G327">
        <v>20752</v>
      </c>
      <c r="H327" t="s">
        <v>3964</v>
      </c>
      <c r="I327" t="s">
        <v>3469</v>
      </c>
      <c r="J327">
        <v>2</v>
      </c>
      <c r="K327" t="s">
        <v>3872</v>
      </c>
      <c r="L327">
        <v>222.94</v>
      </c>
      <c r="M327">
        <v>111.47</v>
      </c>
      <c r="N327" t="s">
        <v>4240</v>
      </c>
      <c r="O327" t="s">
        <v>466</v>
      </c>
    </row>
    <row r="328" spans="1:15" x14ac:dyDescent="0.3">
      <c r="A328">
        <v>240678</v>
      </c>
      <c r="B328">
        <v>116</v>
      </c>
      <c r="C328" t="s">
        <v>568</v>
      </c>
      <c r="D328" t="s">
        <v>2277</v>
      </c>
      <c r="E328" t="s">
        <v>2373</v>
      </c>
      <c r="F328" s="452">
        <v>46188</v>
      </c>
      <c r="G328">
        <v>20809</v>
      </c>
      <c r="H328" t="s">
        <v>4005</v>
      </c>
      <c r="I328" t="s">
        <v>3469</v>
      </c>
      <c r="J328">
        <v>3</v>
      </c>
      <c r="K328" t="s">
        <v>3872</v>
      </c>
      <c r="L328">
        <v>89.7</v>
      </c>
      <c r="M328">
        <v>29.9</v>
      </c>
      <c r="N328" t="s">
        <v>4240</v>
      </c>
      <c r="O328" t="s">
        <v>466</v>
      </c>
    </row>
    <row r="329" spans="1:15" x14ac:dyDescent="0.3">
      <c r="A329">
        <v>240675</v>
      </c>
      <c r="B329">
        <v>116</v>
      </c>
      <c r="C329" t="s">
        <v>568</v>
      </c>
      <c r="D329" t="s">
        <v>2258</v>
      </c>
      <c r="E329" t="s">
        <v>2374</v>
      </c>
      <c r="F329" s="452">
        <v>46190</v>
      </c>
      <c r="G329">
        <v>17006</v>
      </c>
      <c r="H329" t="s">
        <v>4128</v>
      </c>
      <c r="I329" t="s">
        <v>3469</v>
      </c>
      <c r="J329">
        <v>12.7</v>
      </c>
      <c r="K329" t="s">
        <v>3892</v>
      </c>
      <c r="L329">
        <v>165.1</v>
      </c>
      <c r="M329">
        <v>13</v>
      </c>
      <c r="N329" t="s">
        <v>4240</v>
      </c>
      <c r="O329" t="s">
        <v>466</v>
      </c>
    </row>
    <row r="330" spans="1:15" x14ac:dyDescent="0.3">
      <c r="A330">
        <v>240674</v>
      </c>
      <c r="B330">
        <v>116</v>
      </c>
      <c r="C330" t="s">
        <v>568</v>
      </c>
      <c r="D330" t="s">
        <v>2260</v>
      </c>
      <c r="E330" t="s">
        <v>2375</v>
      </c>
      <c r="F330" s="452">
        <v>46188</v>
      </c>
      <c r="G330">
        <v>28212</v>
      </c>
      <c r="H330" t="s">
        <v>4156</v>
      </c>
      <c r="I330" t="s">
        <v>3469</v>
      </c>
      <c r="J330">
        <v>5.3</v>
      </c>
      <c r="K330" t="s">
        <v>3892</v>
      </c>
      <c r="L330">
        <v>254.4</v>
      </c>
      <c r="M330">
        <v>48</v>
      </c>
      <c r="N330" t="s">
        <v>4240</v>
      </c>
      <c r="O330" t="s">
        <v>466</v>
      </c>
    </row>
    <row r="331" spans="1:15" x14ac:dyDescent="0.3">
      <c r="A331">
        <v>240672</v>
      </c>
      <c r="B331">
        <v>116</v>
      </c>
      <c r="C331" t="s">
        <v>568</v>
      </c>
      <c r="D331" t="s">
        <v>2320</v>
      </c>
      <c r="E331" t="s">
        <v>2376</v>
      </c>
      <c r="F331" s="452">
        <v>46190</v>
      </c>
      <c r="G331">
        <v>22857</v>
      </c>
      <c r="H331" t="s">
        <v>4130</v>
      </c>
      <c r="I331" t="s">
        <v>3469</v>
      </c>
      <c r="J331">
        <v>17.670000000000002</v>
      </c>
      <c r="K331" t="s">
        <v>3892</v>
      </c>
      <c r="L331">
        <v>1058.1300000000001</v>
      </c>
      <c r="M331">
        <v>59.882852</v>
      </c>
      <c r="N331" t="s">
        <v>4240</v>
      </c>
      <c r="O331" t="s">
        <v>466</v>
      </c>
    </row>
    <row r="332" spans="1:15" x14ac:dyDescent="0.3">
      <c r="A332">
        <v>240670</v>
      </c>
      <c r="B332">
        <v>116</v>
      </c>
      <c r="C332" t="s">
        <v>568</v>
      </c>
      <c r="D332" t="s">
        <v>2318</v>
      </c>
      <c r="E332" t="s">
        <v>2377</v>
      </c>
      <c r="F332" s="452">
        <v>46188</v>
      </c>
      <c r="G332">
        <v>18764</v>
      </c>
      <c r="H332" t="s">
        <v>3907</v>
      </c>
      <c r="I332" t="s">
        <v>3469</v>
      </c>
      <c r="J332">
        <v>14</v>
      </c>
      <c r="K332" t="s">
        <v>3892</v>
      </c>
      <c r="L332">
        <v>1119.8599999999999</v>
      </c>
      <c r="M332">
        <v>79.989999999999995</v>
      </c>
      <c r="N332" t="s">
        <v>4240</v>
      </c>
      <c r="O332" t="s">
        <v>466</v>
      </c>
    </row>
    <row r="333" spans="1:15" x14ac:dyDescent="0.3">
      <c r="A333">
        <v>240664</v>
      </c>
      <c r="B333">
        <v>116</v>
      </c>
      <c r="C333" t="s">
        <v>568</v>
      </c>
      <c r="D333" t="s">
        <v>2323</v>
      </c>
      <c r="E333" t="s">
        <v>2378</v>
      </c>
      <c r="F333" s="452">
        <v>46189</v>
      </c>
      <c r="G333">
        <v>18832</v>
      </c>
      <c r="H333" t="s">
        <v>3900</v>
      </c>
      <c r="I333" t="s">
        <v>3469</v>
      </c>
      <c r="J333">
        <v>10</v>
      </c>
      <c r="K333" t="s">
        <v>3892</v>
      </c>
      <c r="L333">
        <v>369</v>
      </c>
      <c r="M333">
        <v>36.9</v>
      </c>
      <c r="N333" t="s">
        <v>4240</v>
      </c>
      <c r="O333" t="s">
        <v>466</v>
      </c>
    </row>
    <row r="334" spans="1:15" x14ac:dyDescent="0.3">
      <c r="A334">
        <v>240664</v>
      </c>
      <c r="B334">
        <v>116</v>
      </c>
      <c r="C334" t="s">
        <v>568</v>
      </c>
      <c r="D334" t="s">
        <v>2323</v>
      </c>
      <c r="E334" t="s">
        <v>2378</v>
      </c>
      <c r="F334" s="452">
        <v>46189</v>
      </c>
      <c r="G334">
        <v>18933</v>
      </c>
      <c r="H334" t="s">
        <v>3957</v>
      </c>
      <c r="I334" t="s">
        <v>3469</v>
      </c>
      <c r="J334">
        <v>6.7</v>
      </c>
      <c r="K334" t="s">
        <v>3892</v>
      </c>
      <c r="L334">
        <v>166.83</v>
      </c>
      <c r="M334">
        <v>24.9</v>
      </c>
      <c r="N334" t="s">
        <v>4240</v>
      </c>
      <c r="O334" t="s">
        <v>466</v>
      </c>
    </row>
    <row r="335" spans="1:15" x14ac:dyDescent="0.3">
      <c r="A335">
        <v>240664</v>
      </c>
      <c r="B335">
        <v>116</v>
      </c>
      <c r="C335" t="s">
        <v>568</v>
      </c>
      <c r="D335" t="s">
        <v>2323</v>
      </c>
      <c r="E335" t="s">
        <v>2378</v>
      </c>
      <c r="F335" s="452">
        <v>46189</v>
      </c>
      <c r="G335">
        <v>24402</v>
      </c>
      <c r="H335" t="s">
        <v>3896</v>
      </c>
      <c r="I335" t="s">
        <v>3469</v>
      </c>
      <c r="J335">
        <v>13.9</v>
      </c>
      <c r="K335" t="s">
        <v>3892</v>
      </c>
      <c r="L335">
        <v>540.71</v>
      </c>
      <c r="M335">
        <v>38.9</v>
      </c>
      <c r="N335" t="s">
        <v>4240</v>
      </c>
      <c r="O335" t="s">
        <v>466</v>
      </c>
    </row>
    <row r="336" spans="1:15" x14ac:dyDescent="0.3">
      <c r="A336">
        <v>240663</v>
      </c>
      <c r="B336">
        <v>116</v>
      </c>
      <c r="C336" t="s">
        <v>568</v>
      </c>
      <c r="D336" t="s">
        <v>2265</v>
      </c>
      <c r="E336" t="s">
        <v>1522</v>
      </c>
      <c r="F336" s="452">
        <v>46189</v>
      </c>
      <c r="G336">
        <v>17162</v>
      </c>
      <c r="H336" t="s">
        <v>4209</v>
      </c>
      <c r="I336" t="s">
        <v>4199</v>
      </c>
      <c r="J336">
        <v>1</v>
      </c>
      <c r="K336" t="s">
        <v>3872</v>
      </c>
      <c r="L336">
        <v>54</v>
      </c>
      <c r="M336">
        <v>54</v>
      </c>
      <c r="N336" t="s">
        <v>2176</v>
      </c>
      <c r="O336" t="s">
        <v>466</v>
      </c>
    </row>
    <row r="337" spans="1:15" x14ac:dyDescent="0.3">
      <c r="A337">
        <v>240663</v>
      </c>
      <c r="B337">
        <v>116</v>
      </c>
      <c r="C337" t="s">
        <v>568</v>
      </c>
      <c r="D337" t="s">
        <v>2265</v>
      </c>
      <c r="E337" t="s">
        <v>1522</v>
      </c>
      <c r="F337" s="452">
        <v>46189</v>
      </c>
      <c r="G337">
        <v>17498</v>
      </c>
      <c r="H337" t="s">
        <v>4243</v>
      </c>
      <c r="I337" t="s">
        <v>4199</v>
      </c>
      <c r="J337">
        <v>1</v>
      </c>
      <c r="K337" t="s">
        <v>3881</v>
      </c>
      <c r="L337">
        <v>27</v>
      </c>
      <c r="M337">
        <v>27</v>
      </c>
      <c r="N337" t="s">
        <v>2176</v>
      </c>
      <c r="O337" t="s">
        <v>466</v>
      </c>
    </row>
    <row r="338" spans="1:15" x14ac:dyDescent="0.3">
      <c r="A338">
        <v>240663</v>
      </c>
      <c r="B338">
        <v>116</v>
      </c>
      <c r="C338" t="s">
        <v>568</v>
      </c>
      <c r="D338" t="s">
        <v>2265</v>
      </c>
      <c r="E338" t="s">
        <v>1522</v>
      </c>
      <c r="F338" s="452">
        <v>46189</v>
      </c>
      <c r="G338">
        <v>17129</v>
      </c>
      <c r="H338" t="s">
        <v>4200</v>
      </c>
      <c r="I338" t="s">
        <v>4199</v>
      </c>
      <c r="J338">
        <v>1</v>
      </c>
      <c r="K338" t="s">
        <v>3888</v>
      </c>
      <c r="L338">
        <v>26.61</v>
      </c>
      <c r="M338">
        <v>26.61</v>
      </c>
      <c r="N338" t="s">
        <v>2176</v>
      </c>
      <c r="O338" t="s">
        <v>466</v>
      </c>
    </row>
    <row r="339" spans="1:15" x14ac:dyDescent="0.3">
      <c r="A339">
        <v>240663</v>
      </c>
      <c r="B339">
        <v>116</v>
      </c>
      <c r="C339" t="s">
        <v>568</v>
      </c>
      <c r="D339" t="s">
        <v>2265</v>
      </c>
      <c r="E339" t="s">
        <v>1522</v>
      </c>
      <c r="F339" s="452">
        <v>46189</v>
      </c>
      <c r="G339">
        <v>17017</v>
      </c>
      <c r="H339" t="s">
        <v>4230</v>
      </c>
      <c r="I339" t="s">
        <v>4199</v>
      </c>
      <c r="J339">
        <v>2</v>
      </c>
      <c r="K339" t="s">
        <v>3888</v>
      </c>
      <c r="L339">
        <v>6</v>
      </c>
      <c r="M339">
        <v>3</v>
      </c>
      <c r="N339" t="s">
        <v>2176</v>
      </c>
      <c r="O339" t="s">
        <v>466</v>
      </c>
    </row>
    <row r="340" spans="1:15" x14ac:dyDescent="0.3">
      <c r="A340">
        <v>240663</v>
      </c>
      <c r="B340">
        <v>116</v>
      </c>
      <c r="C340" t="s">
        <v>568</v>
      </c>
      <c r="D340" t="s">
        <v>2265</v>
      </c>
      <c r="E340" t="s">
        <v>1522</v>
      </c>
      <c r="F340" s="452">
        <v>46189</v>
      </c>
      <c r="G340">
        <v>17119</v>
      </c>
      <c r="H340" t="s">
        <v>4244</v>
      </c>
      <c r="I340" t="s">
        <v>4199</v>
      </c>
      <c r="J340">
        <v>2</v>
      </c>
      <c r="K340" t="s">
        <v>3872</v>
      </c>
      <c r="L340">
        <v>19.079999999999998</v>
      </c>
      <c r="M340">
        <v>9.5399999999999991</v>
      </c>
      <c r="N340" t="s">
        <v>2176</v>
      </c>
      <c r="O340" t="s">
        <v>466</v>
      </c>
    </row>
    <row r="341" spans="1:15" x14ac:dyDescent="0.3">
      <c r="A341">
        <v>240663</v>
      </c>
      <c r="B341">
        <v>116</v>
      </c>
      <c r="C341" t="s">
        <v>568</v>
      </c>
      <c r="D341" t="s">
        <v>2265</v>
      </c>
      <c r="E341" t="s">
        <v>1522</v>
      </c>
      <c r="F341" s="452">
        <v>46189</v>
      </c>
      <c r="G341">
        <v>28386</v>
      </c>
      <c r="H341" t="s">
        <v>4245</v>
      </c>
      <c r="I341" t="s">
        <v>4199</v>
      </c>
      <c r="J341">
        <v>2</v>
      </c>
      <c r="K341" t="s">
        <v>4203</v>
      </c>
      <c r="L341">
        <v>83.34</v>
      </c>
      <c r="M341">
        <v>41.67</v>
      </c>
      <c r="N341" t="s">
        <v>2176</v>
      </c>
      <c r="O341" t="s">
        <v>466</v>
      </c>
    </row>
    <row r="342" spans="1:15" x14ac:dyDescent="0.3">
      <c r="A342">
        <v>240663</v>
      </c>
      <c r="B342">
        <v>116</v>
      </c>
      <c r="C342" t="s">
        <v>568</v>
      </c>
      <c r="D342" t="s">
        <v>2265</v>
      </c>
      <c r="E342" t="s">
        <v>1522</v>
      </c>
      <c r="F342" s="452">
        <v>46189</v>
      </c>
      <c r="G342">
        <v>17314</v>
      </c>
      <c r="H342" t="s">
        <v>4204</v>
      </c>
      <c r="I342" t="s">
        <v>4199</v>
      </c>
      <c r="J342">
        <v>2</v>
      </c>
      <c r="K342" t="s">
        <v>3978</v>
      </c>
      <c r="L342">
        <v>11.78</v>
      </c>
      <c r="M342">
        <v>5.89</v>
      </c>
      <c r="N342" t="s">
        <v>2176</v>
      </c>
      <c r="O342" t="s">
        <v>466</v>
      </c>
    </row>
    <row r="343" spans="1:15" x14ac:dyDescent="0.3">
      <c r="A343">
        <v>240663</v>
      </c>
      <c r="B343">
        <v>116</v>
      </c>
      <c r="C343" t="s">
        <v>568</v>
      </c>
      <c r="D343" t="s">
        <v>2265</v>
      </c>
      <c r="E343" t="s">
        <v>1522</v>
      </c>
      <c r="F343" s="452">
        <v>46189</v>
      </c>
      <c r="G343">
        <v>17304</v>
      </c>
      <c r="H343" t="s">
        <v>4206</v>
      </c>
      <c r="I343" t="s">
        <v>4199</v>
      </c>
      <c r="J343">
        <v>1</v>
      </c>
      <c r="K343" t="s">
        <v>3978</v>
      </c>
      <c r="L343">
        <v>6.59</v>
      </c>
      <c r="M343">
        <v>6.59</v>
      </c>
      <c r="N343" t="s">
        <v>2176</v>
      </c>
      <c r="O343" t="s">
        <v>466</v>
      </c>
    </row>
    <row r="344" spans="1:15" x14ac:dyDescent="0.3">
      <c r="A344">
        <v>240663</v>
      </c>
      <c r="B344">
        <v>116</v>
      </c>
      <c r="C344" t="s">
        <v>568</v>
      </c>
      <c r="D344" t="s">
        <v>2265</v>
      </c>
      <c r="E344" t="s">
        <v>1522</v>
      </c>
      <c r="F344" s="452">
        <v>46189</v>
      </c>
      <c r="G344">
        <v>21783</v>
      </c>
      <c r="H344" t="s">
        <v>4228</v>
      </c>
      <c r="I344" t="s">
        <v>4202</v>
      </c>
      <c r="J344">
        <v>2</v>
      </c>
      <c r="K344" t="s">
        <v>3872</v>
      </c>
      <c r="L344">
        <v>32</v>
      </c>
      <c r="M344">
        <v>16</v>
      </c>
      <c r="N344" t="s">
        <v>2176</v>
      </c>
      <c r="O344" t="s">
        <v>466</v>
      </c>
    </row>
    <row r="345" spans="1:15" x14ac:dyDescent="0.3">
      <c r="A345">
        <v>240663</v>
      </c>
      <c r="B345">
        <v>116</v>
      </c>
      <c r="C345" t="s">
        <v>568</v>
      </c>
      <c r="D345" t="s">
        <v>2265</v>
      </c>
      <c r="E345" t="s">
        <v>1522</v>
      </c>
      <c r="F345" s="452">
        <v>46189</v>
      </c>
      <c r="G345">
        <v>17046</v>
      </c>
      <c r="H345" t="s">
        <v>4246</v>
      </c>
      <c r="I345" t="s">
        <v>4199</v>
      </c>
      <c r="J345">
        <v>1</v>
      </c>
      <c r="K345" t="s">
        <v>3872</v>
      </c>
      <c r="L345">
        <v>34.5</v>
      </c>
      <c r="M345">
        <v>34.5</v>
      </c>
      <c r="N345" t="s">
        <v>2176</v>
      </c>
      <c r="O345" t="s">
        <v>466</v>
      </c>
    </row>
    <row r="346" spans="1:15" x14ac:dyDescent="0.3">
      <c r="A346">
        <v>240663</v>
      </c>
      <c r="B346">
        <v>116</v>
      </c>
      <c r="C346" t="s">
        <v>568</v>
      </c>
      <c r="D346" t="s">
        <v>2265</v>
      </c>
      <c r="E346" t="s">
        <v>1522</v>
      </c>
      <c r="F346" s="452">
        <v>46189</v>
      </c>
      <c r="G346">
        <v>17437</v>
      </c>
      <c r="H346" t="s">
        <v>4198</v>
      </c>
      <c r="I346" t="s">
        <v>4199</v>
      </c>
      <c r="J346">
        <v>10</v>
      </c>
      <c r="K346" t="s">
        <v>3872</v>
      </c>
      <c r="L346">
        <v>23</v>
      </c>
      <c r="M346">
        <v>2.2999999999999998</v>
      </c>
      <c r="N346" t="s">
        <v>2176</v>
      </c>
      <c r="O346" t="s">
        <v>466</v>
      </c>
    </row>
    <row r="347" spans="1:15" x14ac:dyDescent="0.3">
      <c r="A347">
        <v>240663</v>
      </c>
      <c r="B347">
        <v>116</v>
      </c>
      <c r="C347" t="s">
        <v>568</v>
      </c>
      <c r="D347" t="s">
        <v>2265</v>
      </c>
      <c r="E347" t="s">
        <v>1522</v>
      </c>
      <c r="F347" s="452">
        <v>46189</v>
      </c>
      <c r="G347">
        <v>17416</v>
      </c>
      <c r="H347" t="s">
        <v>4205</v>
      </c>
      <c r="I347" t="s">
        <v>4199</v>
      </c>
      <c r="J347">
        <v>3</v>
      </c>
      <c r="K347" t="s">
        <v>3881</v>
      </c>
      <c r="L347">
        <v>145.74</v>
      </c>
      <c r="M347">
        <v>48.58</v>
      </c>
      <c r="N347" t="s">
        <v>2176</v>
      </c>
      <c r="O347" t="s">
        <v>466</v>
      </c>
    </row>
    <row r="348" spans="1:15" x14ac:dyDescent="0.3">
      <c r="A348">
        <v>240663</v>
      </c>
      <c r="B348">
        <v>116</v>
      </c>
      <c r="C348" t="s">
        <v>568</v>
      </c>
      <c r="D348" t="s">
        <v>2265</v>
      </c>
      <c r="E348" t="s">
        <v>1522</v>
      </c>
      <c r="F348" s="452">
        <v>46189</v>
      </c>
      <c r="G348">
        <v>17381</v>
      </c>
      <c r="H348" t="s">
        <v>4247</v>
      </c>
      <c r="I348" t="s">
        <v>4199</v>
      </c>
      <c r="J348">
        <v>1</v>
      </c>
      <c r="K348" t="s">
        <v>3872</v>
      </c>
      <c r="L348">
        <v>45</v>
      </c>
      <c r="M348">
        <v>45</v>
      </c>
      <c r="N348" t="s">
        <v>2176</v>
      </c>
      <c r="O348" t="s">
        <v>466</v>
      </c>
    </row>
    <row r="349" spans="1:15" x14ac:dyDescent="0.3">
      <c r="A349">
        <v>240663</v>
      </c>
      <c r="B349">
        <v>116</v>
      </c>
      <c r="C349" t="s">
        <v>568</v>
      </c>
      <c r="D349" t="s">
        <v>2265</v>
      </c>
      <c r="E349" t="s">
        <v>1522</v>
      </c>
      <c r="F349" s="452">
        <v>46189</v>
      </c>
      <c r="G349">
        <v>17264</v>
      </c>
      <c r="H349" t="s">
        <v>4248</v>
      </c>
      <c r="I349" t="s">
        <v>4199</v>
      </c>
      <c r="J349">
        <v>24</v>
      </c>
      <c r="K349" t="s">
        <v>3872</v>
      </c>
      <c r="L349">
        <v>133.19999999999999</v>
      </c>
      <c r="M349">
        <v>5.55</v>
      </c>
      <c r="N349" t="s">
        <v>2176</v>
      </c>
      <c r="O349" t="s">
        <v>466</v>
      </c>
    </row>
    <row r="350" spans="1:15" x14ac:dyDescent="0.3">
      <c r="A350">
        <v>240663</v>
      </c>
      <c r="B350">
        <v>116</v>
      </c>
      <c r="C350" t="s">
        <v>568</v>
      </c>
      <c r="D350" t="s">
        <v>2265</v>
      </c>
      <c r="E350" t="s">
        <v>1522</v>
      </c>
      <c r="F350" s="452">
        <v>46189</v>
      </c>
      <c r="G350">
        <v>21587</v>
      </c>
      <c r="H350" t="s">
        <v>4249</v>
      </c>
      <c r="I350" t="s">
        <v>4199</v>
      </c>
      <c r="J350">
        <v>6</v>
      </c>
      <c r="K350" t="s">
        <v>3872</v>
      </c>
      <c r="L350">
        <v>39</v>
      </c>
      <c r="M350">
        <v>6.5</v>
      </c>
      <c r="N350" t="s">
        <v>2176</v>
      </c>
      <c r="O350" t="s">
        <v>466</v>
      </c>
    </row>
    <row r="351" spans="1:15" x14ac:dyDescent="0.3">
      <c r="A351">
        <v>240663</v>
      </c>
      <c r="B351">
        <v>116</v>
      </c>
      <c r="C351" t="s">
        <v>568</v>
      </c>
      <c r="D351" t="s">
        <v>2265</v>
      </c>
      <c r="E351" t="s">
        <v>1522</v>
      </c>
      <c r="F351" s="452">
        <v>46189</v>
      </c>
      <c r="G351">
        <v>17444</v>
      </c>
      <c r="H351" t="s">
        <v>4211</v>
      </c>
      <c r="I351" t="s">
        <v>4199</v>
      </c>
      <c r="J351">
        <v>1</v>
      </c>
      <c r="K351" t="s">
        <v>3888</v>
      </c>
      <c r="L351">
        <v>12.59</v>
      </c>
      <c r="M351">
        <v>12.59</v>
      </c>
      <c r="N351" t="s">
        <v>2176</v>
      </c>
      <c r="O351" t="s">
        <v>466</v>
      </c>
    </row>
    <row r="352" spans="1:15" x14ac:dyDescent="0.3">
      <c r="A352">
        <v>240663</v>
      </c>
      <c r="B352">
        <v>116</v>
      </c>
      <c r="C352" t="s">
        <v>568</v>
      </c>
      <c r="D352" t="s">
        <v>2265</v>
      </c>
      <c r="E352" t="s">
        <v>1522</v>
      </c>
      <c r="F352" s="452">
        <v>46189</v>
      </c>
      <c r="G352">
        <v>27080</v>
      </c>
      <c r="H352" t="s">
        <v>4250</v>
      </c>
      <c r="I352" t="s">
        <v>4199</v>
      </c>
      <c r="J352">
        <v>5</v>
      </c>
      <c r="K352" t="s">
        <v>3888</v>
      </c>
      <c r="L352">
        <v>74.5</v>
      </c>
      <c r="M352">
        <v>14.9</v>
      </c>
      <c r="N352" t="s">
        <v>2176</v>
      </c>
      <c r="O352" t="s">
        <v>466</v>
      </c>
    </row>
    <row r="353" spans="1:15" x14ac:dyDescent="0.3">
      <c r="A353">
        <v>240663</v>
      </c>
      <c r="B353">
        <v>116</v>
      </c>
      <c r="C353" t="s">
        <v>568</v>
      </c>
      <c r="D353" t="s">
        <v>2265</v>
      </c>
      <c r="E353" t="s">
        <v>1522</v>
      </c>
      <c r="F353" s="452">
        <v>46189</v>
      </c>
      <c r="G353">
        <v>17405</v>
      </c>
      <c r="H353" t="s">
        <v>4251</v>
      </c>
      <c r="I353" t="s">
        <v>4199</v>
      </c>
      <c r="J353">
        <v>1</v>
      </c>
      <c r="K353" t="s">
        <v>3872</v>
      </c>
      <c r="L353">
        <v>14</v>
      </c>
      <c r="M353">
        <v>14</v>
      </c>
      <c r="N353" t="s">
        <v>2176</v>
      </c>
      <c r="O353" t="s">
        <v>466</v>
      </c>
    </row>
    <row r="354" spans="1:15" x14ac:dyDescent="0.3">
      <c r="A354">
        <v>240663</v>
      </c>
      <c r="B354">
        <v>116</v>
      </c>
      <c r="C354" t="s">
        <v>568</v>
      </c>
      <c r="D354" t="s">
        <v>2265</v>
      </c>
      <c r="E354" t="s">
        <v>1522</v>
      </c>
      <c r="F354" s="452">
        <v>46189</v>
      </c>
      <c r="G354">
        <v>17383</v>
      </c>
      <c r="H354" t="s">
        <v>4252</v>
      </c>
      <c r="I354" t="s">
        <v>4199</v>
      </c>
      <c r="J354">
        <v>1</v>
      </c>
      <c r="K354" t="s">
        <v>3872</v>
      </c>
      <c r="L354">
        <v>45</v>
      </c>
      <c r="M354">
        <v>45</v>
      </c>
      <c r="N354" t="s">
        <v>2176</v>
      </c>
      <c r="O354" t="s">
        <v>466</v>
      </c>
    </row>
    <row r="355" spans="1:15" x14ac:dyDescent="0.3">
      <c r="A355">
        <v>240663</v>
      </c>
      <c r="B355">
        <v>116</v>
      </c>
      <c r="C355" t="s">
        <v>568</v>
      </c>
      <c r="D355" t="s">
        <v>2265</v>
      </c>
      <c r="E355" t="s">
        <v>1522</v>
      </c>
      <c r="F355" s="452">
        <v>46189</v>
      </c>
      <c r="G355">
        <v>17342</v>
      </c>
      <c r="H355" t="s">
        <v>4208</v>
      </c>
      <c r="I355" t="s">
        <v>4199</v>
      </c>
      <c r="J355">
        <v>1</v>
      </c>
      <c r="K355" t="s">
        <v>3931</v>
      </c>
      <c r="L355">
        <v>34.229999999999997</v>
      </c>
      <c r="M355">
        <v>34.229999999999997</v>
      </c>
      <c r="N355" t="s">
        <v>2176</v>
      </c>
      <c r="O355" t="s">
        <v>466</v>
      </c>
    </row>
    <row r="356" spans="1:15" x14ac:dyDescent="0.3">
      <c r="A356">
        <v>240661</v>
      </c>
      <c r="B356">
        <v>116</v>
      </c>
      <c r="C356" t="s">
        <v>568</v>
      </c>
      <c r="D356" t="s">
        <v>2379</v>
      </c>
      <c r="E356" t="s">
        <v>2380</v>
      </c>
      <c r="F356" s="452">
        <v>46174</v>
      </c>
      <c r="G356">
        <v>18450</v>
      </c>
      <c r="H356" t="s">
        <v>4253</v>
      </c>
      <c r="I356" t="s">
        <v>3497</v>
      </c>
      <c r="J356">
        <v>60</v>
      </c>
      <c r="K356" t="s">
        <v>3878</v>
      </c>
      <c r="L356">
        <v>1827</v>
      </c>
      <c r="M356">
        <v>30.45</v>
      </c>
      <c r="N356" t="s">
        <v>3497</v>
      </c>
      <c r="O356" t="s">
        <v>466</v>
      </c>
    </row>
    <row r="357" spans="1:15" x14ac:dyDescent="0.3">
      <c r="A357">
        <v>239898</v>
      </c>
      <c r="B357">
        <v>116</v>
      </c>
      <c r="C357" t="s">
        <v>568</v>
      </c>
      <c r="D357" t="s">
        <v>2381</v>
      </c>
      <c r="E357" t="s">
        <v>2382</v>
      </c>
      <c r="F357" s="452">
        <v>46182</v>
      </c>
      <c r="G357">
        <v>19291</v>
      </c>
      <c r="H357" t="s">
        <v>4254</v>
      </c>
      <c r="I357" t="s">
        <v>3469</v>
      </c>
      <c r="J357">
        <v>30.41</v>
      </c>
      <c r="K357" t="s">
        <v>3892</v>
      </c>
      <c r="L357">
        <v>1824.6</v>
      </c>
      <c r="M357">
        <v>60</v>
      </c>
      <c r="N357" t="s">
        <v>4240</v>
      </c>
      <c r="O357" t="s">
        <v>466</v>
      </c>
    </row>
    <row r="358" spans="1:15" x14ac:dyDescent="0.3">
      <c r="A358">
        <v>239896</v>
      </c>
      <c r="B358">
        <v>116</v>
      </c>
      <c r="C358" t="s">
        <v>568</v>
      </c>
      <c r="D358" t="s">
        <v>2383</v>
      </c>
      <c r="E358" t="s">
        <v>2384</v>
      </c>
      <c r="F358" s="452">
        <v>46178</v>
      </c>
      <c r="G358">
        <v>29796</v>
      </c>
      <c r="H358" t="s">
        <v>4255</v>
      </c>
      <c r="I358" t="s">
        <v>4202</v>
      </c>
      <c r="J358">
        <v>10</v>
      </c>
      <c r="K358" t="s">
        <v>3872</v>
      </c>
      <c r="L358">
        <v>231.2</v>
      </c>
      <c r="M358">
        <v>23.12</v>
      </c>
      <c r="N358" t="s">
        <v>4256</v>
      </c>
      <c r="O358" t="s">
        <v>466</v>
      </c>
    </row>
    <row r="359" spans="1:15" x14ac:dyDescent="0.3">
      <c r="A359">
        <v>239896</v>
      </c>
      <c r="B359">
        <v>116</v>
      </c>
      <c r="C359" t="s">
        <v>568</v>
      </c>
      <c r="D359" t="s">
        <v>2383</v>
      </c>
      <c r="E359" t="s">
        <v>2384</v>
      </c>
      <c r="F359" s="452">
        <v>46178</v>
      </c>
      <c r="G359">
        <v>29799</v>
      </c>
      <c r="H359" t="s">
        <v>4257</v>
      </c>
      <c r="I359" t="s">
        <v>4202</v>
      </c>
      <c r="J359">
        <v>2</v>
      </c>
      <c r="K359" t="s">
        <v>3872</v>
      </c>
      <c r="L359">
        <v>155.44</v>
      </c>
      <c r="M359">
        <v>77.72</v>
      </c>
      <c r="N359" t="s">
        <v>4256</v>
      </c>
      <c r="O359" t="s">
        <v>466</v>
      </c>
    </row>
    <row r="360" spans="1:15" x14ac:dyDescent="0.3">
      <c r="A360">
        <v>239896</v>
      </c>
      <c r="B360">
        <v>116</v>
      </c>
      <c r="C360" t="s">
        <v>568</v>
      </c>
      <c r="D360" t="s">
        <v>2383</v>
      </c>
      <c r="E360" t="s">
        <v>2384</v>
      </c>
      <c r="F360" s="452">
        <v>46178</v>
      </c>
      <c r="G360">
        <v>29804</v>
      </c>
      <c r="H360" t="s">
        <v>4258</v>
      </c>
      <c r="I360" t="s">
        <v>4202</v>
      </c>
      <c r="J360">
        <v>1</v>
      </c>
      <c r="K360" t="s">
        <v>3872</v>
      </c>
      <c r="L360">
        <v>142.80000000000001</v>
      </c>
      <c r="M360">
        <v>142.80000000000001</v>
      </c>
      <c r="N360" t="s">
        <v>4256</v>
      </c>
      <c r="O360" t="s">
        <v>466</v>
      </c>
    </row>
    <row r="361" spans="1:15" x14ac:dyDescent="0.3">
      <c r="A361">
        <v>239896</v>
      </c>
      <c r="B361">
        <v>116</v>
      </c>
      <c r="C361" t="s">
        <v>568</v>
      </c>
      <c r="D361" t="s">
        <v>2383</v>
      </c>
      <c r="E361" t="s">
        <v>2384</v>
      </c>
      <c r="F361" s="452">
        <v>46178</v>
      </c>
      <c r="G361">
        <v>29802</v>
      </c>
      <c r="H361" t="s">
        <v>4259</v>
      </c>
      <c r="I361" t="s">
        <v>4202</v>
      </c>
      <c r="J361">
        <v>1</v>
      </c>
      <c r="K361" t="s">
        <v>3872</v>
      </c>
      <c r="L361">
        <v>326.94</v>
      </c>
      <c r="M361">
        <v>326.94</v>
      </c>
      <c r="N361" t="s">
        <v>4256</v>
      </c>
      <c r="O361" t="s">
        <v>466</v>
      </c>
    </row>
    <row r="362" spans="1:15" x14ac:dyDescent="0.3">
      <c r="A362">
        <v>239896</v>
      </c>
      <c r="B362">
        <v>116</v>
      </c>
      <c r="C362" t="s">
        <v>568</v>
      </c>
      <c r="D362" t="s">
        <v>2383</v>
      </c>
      <c r="E362" t="s">
        <v>2384</v>
      </c>
      <c r="F362" s="452">
        <v>46178</v>
      </c>
      <c r="G362">
        <v>29797</v>
      </c>
      <c r="H362" t="s">
        <v>4260</v>
      </c>
      <c r="I362" t="s">
        <v>4202</v>
      </c>
      <c r="J362">
        <v>10</v>
      </c>
      <c r="K362" t="s">
        <v>3872</v>
      </c>
      <c r="L362">
        <v>164.2</v>
      </c>
      <c r="M362">
        <v>16.420000000000002</v>
      </c>
      <c r="N362" t="s">
        <v>4256</v>
      </c>
      <c r="O362" t="s">
        <v>466</v>
      </c>
    </row>
    <row r="363" spans="1:15" x14ac:dyDescent="0.3">
      <c r="A363">
        <v>239896</v>
      </c>
      <c r="B363">
        <v>116</v>
      </c>
      <c r="C363" t="s">
        <v>568</v>
      </c>
      <c r="D363" t="s">
        <v>2383</v>
      </c>
      <c r="E363" t="s">
        <v>2384</v>
      </c>
      <c r="F363" s="452">
        <v>46178</v>
      </c>
      <c r="G363">
        <v>29806</v>
      </c>
      <c r="H363" t="s">
        <v>4261</v>
      </c>
      <c r="I363" t="s">
        <v>4202</v>
      </c>
      <c r="J363">
        <v>10</v>
      </c>
      <c r="K363" t="s">
        <v>3872</v>
      </c>
      <c r="L363">
        <v>164.2</v>
      </c>
      <c r="M363">
        <v>16.420000000000002</v>
      </c>
      <c r="N363" t="s">
        <v>4256</v>
      </c>
      <c r="O363" t="s">
        <v>466</v>
      </c>
    </row>
    <row r="364" spans="1:15" x14ac:dyDescent="0.3">
      <c r="A364">
        <v>239896</v>
      </c>
      <c r="B364">
        <v>116</v>
      </c>
      <c r="C364" t="s">
        <v>568</v>
      </c>
      <c r="D364" t="s">
        <v>2383</v>
      </c>
      <c r="E364" t="s">
        <v>2384</v>
      </c>
      <c r="F364" s="452">
        <v>46178</v>
      </c>
      <c r="G364">
        <v>29803</v>
      </c>
      <c r="H364" t="s">
        <v>4262</v>
      </c>
      <c r="I364" t="s">
        <v>4202</v>
      </c>
      <c r="J364">
        <v>1</v>
      </c>
      <c r="K364" t="s">
        <v>3872</v>
      </c>
      <c r="L364">
        <v>326.94</v>
      </c>
      <c r="M364">
        <v>326.94</v>
      </c>
      <c r="N364" t="s">
        <v>4256</v>
      </c>
      <c r="O364" t="s">
        <v>466</v>
      </c>
    </row>
    <row r="365" spans="1:15" x14ac:dyDescent="0.3">
      <c r="A365">
        <v>239896</v>
      </c>
      <c r="B365">
        <v>116</v>
      </c>
      <c r="C365" t="s">
        <v>568</v>
      </c>
      <c r="D365" t="s">
        <v>2383</v>
      </c>
      <c r="E365" t="s">
        <v>2384</v>
      </c>
      <c r="F365" s="452">
        <v>46178</v>
      </c>
      <c r="G365">
        <v>29795</v>
      </c>
      <c r="H365" t="s">
        <v>4263</v>
      </c>
      <c r="I365" t="s">
        <v>4202</v>
      </c>
      <c r="J365">
        <v>10</v>
      </c>
      <c r="K365" t="s">
        <v>3872</v>
      </c>
      <c r="L365">
        <v>250</v>
      </c>
      <c r="M365">
        <v>25</v>
      </c>
      <c r="N365" t="s">
        <v>4256</v>
      </c>
      <c r="O365" t="s">
        <v>466</v>
      </c>
    </row>
    <row r="366" spans="1:15" x14ac:dyDescent="0.3">
      <c r="A366">
        <v>239896</v>
      </c>
      <c r="B366">
        <v>116</v>
      </c>
      <c r="C366" t="s">
        <v>568</v>
      </c>
      <c r="D366" t="s">
        <v>2383</v>
      </c>
      <c r="E366" t="s">
        <v>2384</v>
      </c>
      <c r="F366" s="452">
        <v>46178</v>
      </c>
      <c r="G366">
        <v>29800</v>
      </c>
      <c r="H366" t="s">
        <v>4264</v>
      </c>
      <c r="I366" t="s">
        <v>4202</v>
      </c>
      <c r="J366">
        <v>1</v>
      </c>
      <c r="K366" t="s">
        <v>3872</v>
      </c>
      <c r="L366">
        <v>326.94</v>
      </c>
      <c r="M366">
        <v>326.94</v>
      </c>
      <c r="N366" t="s">
        <v>4256</v>
      </c>
      <c r="O366" t="s">
        <v>466</v>
      </c>
    </row>
    <row r="367" spans="1:15" x14ac:dyDescent="0.3">
      <c r="A367">
        <v>239896</v>
      </c>
      <c r="B367">
        <v>116</v>
      </c>
      <c r="C367" t="s">
        <v>568</v>
      </c>
      <c r="D367" t="s">
        <v>2383</v>
      </c>
      <c r="E367" t="s">
        <v>2384</v>
      </c>
      <c r="F367" s="452">
        <v>46178</v>
      </c>
      <c r="G367">
        <v>29798</v>
      </c>
      <c r="H367" t="s">
        <v>4265</v>
      </c>
      <c r="I367" t="s">
        <v>4202</v>
      </c>
      <c r="J367">
        <v>5</v>
      </c>
      <c r="K367" t="s">
        <v>3872</v>
      </c>
      <c r="L367">
        <v>71.05</v>
      </c>
      <c r="M367">
        <v>14.21</v>
      </c>
      <c r="N367" t="s">
        <v>4256</v>
      </c>
      <c r="O367" t="s">
        <v>466</v>
      </c>
    </row>
    <row r="368" spans="1:15" x14ac:dyDescent="0.3">
      <c r="A368">
        <v>239893</v>
      </c>
      <c r="B368">
        <v>116</v>
      </c>
      <c r="C368" t="s">
        <v>568</v>
      </c>
      <c r="D368" t="s">
        <v>2385</v>
      </c>
      <c r="E368" t="s">
        <v>2386</v>
      </c>
      <c r="F368" s="452">
        <v>46184</v>
      </c>
      <c r="G368">
        <v>20539</v>
      </c>
      <c r="H368" t="s">
        <v>3908</v>
      </c>
      <c r="I368" t="s">
        <v>3469</v>
      </c>
      <c r="J368">
        <v>10.89</v>
      </c>
      <c r="K368" t="s">
        <v>3892</v>
      </c>
      <c r="L368">
        <v>707.85</v>
      </c>
      <c r="M368">
        <v>65</v>
      </c>
      <c r="N368" t="s">
        <v>4240</v>
      </c>
      <c r="O368" t="s">
        <v>466</v>
      </c>
    </row>
    <row r="369" spans="1:15" x14ac:dyDescent="0.3">
      <c r="A369">
        <v>239889</v>
      </c>
      <c r="B369">
        <v>116</v>
      </c>
      <c r="C369" t="s">
        <v>568</v>
      </c>
      <c r="D369" t="s">
        <v>2387</v>
      </c>
      <c r="E369" t="s">
        <v>2388</v>
      </c>
      <c r="F369" s="452">
        <v>46182</v>
      </c>
      <c r="G369">
        <v>28659</v>
      </c>
      <c r="H369" t="s">
        <v>4266</v>
      </c>
      <c r="I369" t="s">
        <v>4199</v>
      </c>
      <c r="J369">
        <v>4</v>
      </c>
      <c r="K369" t="s">
        <v>3881</v>
      </c>
      <c r="L369">
        <v>988</v>
      </c>
      <c r="M369">
        <v>247</v>
      </c>
      <c r="N369" t="s">
        <v>4267</v>
      </c>
      <c r="O369" t="s">
        <v>466</v>
      </c>
    </row>
    <row r="370" spans="1:15" x14ac:dyDescent="0.3">
      <c r="A370">
        <v>239888</v>
      </c>
      <c r="B370">
        <v>116</v>
      </c>
      <c r="C370" t="s">
        <v>568</v>
      </c>
      <c r="D370" t="s">
        <v>2267</v>
      </c>
      <c r="E370" t="s">
        <v>2389</v>
      </c>
      <c r="F370" s="452">
        <v>46186</v>
      </c>
      <c r="G370">
        <v>24517</v>
      </c>
      <c r="H370" t="s">
        <v>3991</v>
      </c>
      <c r="I370" t="s">
        <v>3469</v>
      </c>
      <c r="J370">
        <v>24</v>
      </c>
      <c r="K370" t="s">
        <v>3892</v>
      </c>
      <c r="L370">
        <v>640.79999999999995</v>
      </c>
      <c r="M370">
        <v>26.7</v>
      </c>
      <c r="N370" t="s">
        <v>4240</v>
      </c>
      <c r="O370" t="s">
        <v>466</v>
      </c>
    </row>
    <row r="371" spans="1:15" x14ac:dyDescent="0.3">
      <c r="A371">
        <v>239887</v>
      </c>
      <c r="B371">
        <v>116</v>
      </c>
      <c r="C371" t="s">
        <v>568</v>
      </c>
      <c r="D371" t="s">
        <v>2269</v>
      </c>
      <c r="E371" t="s">
        <v>2390</v>
      </c>
      <c r="F371" s="452">
        <v>46183</v>
      </c>
      <c r="G371">
        <v>29129</v>
      </c>
      <c r="H371" t="s">
        <v>4176</v>
      </c>
      <c r="I371" t="s">
        <v>3469</v>
      </c>
      <c r="J371">
        <v>9</v>
      </c>
      <c r="K371" t="s">
        <v>3872</v>
      </c>
      <c r="L371">
        <v>103.23</v>
      </c>
      <c r="M371">
        <v>11.47</v>
      </c>
      <c r="N371" t="s">
        <v>3469</v>
      </c>
      <c r="O371" t="s">
        <v>466</v>
      </c>
    </row>
    <row r="372" spans="1:15" x14ac:dyDescent="0.3">
      <c r="A372">
        <v>239728</v>
      </c>
      <c r="B372">
        <v>116</v>
      </c>
      <c r="C372" t="s">
        <v>568</v>
      </c>
      <c r="D372" t="s">
        <v>2334</v>
      </c>
      <c r="E372" t="s">
        <v>2391</v>
      </c>
      <c r="F372" s="452">
        <v>46183</v>
      </c>
      <c r="G372">
        <v>17878</v>
      </c>
      <c r="H372" t="s">
        <v>4096</v>
      </c>
      <c r="I372" t="s">
        <v>3497</v>
      </c>
      <c r="J372">
        <v>5</v>
      </c>
      <c r="K372" t="s">
        <v>3872</v>
      </c>
      <c r="L372">
        <v>150</v>
      </c>
      <c r="M372">
        <v>30</v>
      </c>
      <c r="N372" t="s">
        <v>3497</v>
      </c>
      <c r="O372" t="s">
        <v>466</v>
      </c>
    </row>
    <row r="373" spans="1:15" x14ac:dyDescent="0.3">
      <c r="A373">
        <v>239728</v>
      </c>
      <c r="B373">
        <v>116</v>
      </c>
      <c r="C373" t="s">
        <v>568</v>
      </c>
      <c r="D373" t="s">
        <v>2334</v>
      </c>
      <c r="E373" t="s">
        <v>2391</v>
      </c>
      <c r="F373" s="452">
        <v>46183</v>
      </c>
      <c r="G373">
        <v>21123</v>
      </c>
      <c r="H373" t="s">
        <v>4115</v>
      </c>
      <c r="I373" t="s">
        <v>3469</v>
      </c>
      <c r="J373">
        <v>10</v>
      </c>
      <c r="K373" t="s">
        <v>3892</v>
      </c>
      <c r="L373">
        <v>179</v>
      </c>
      <c r="M373">
        <v>17.899999999999999</v>
      </c>
      <c r="N373" t="s">
        <v>3497</v>
      </c>
      <c r="O373" t="s">
        <v>466</v>
      </c>
    </row>
    <row r="374" spans="1:15" x14ac:dyDescent="0.3">
      <c r="A374">
        <v>239726</v>
      </c>
      <c r="B374">
        <v>116</v>
      </c>
      <c r="C374" t="s">
        <v>568</v>
      </c>
      <c r="D374" t="s">
        <v>2271</v>
      </c>
      <c r="E374" t="s">
        <v>2392</v>
      </c>
      <c r="F374" s="452">
        <v>46185</v>
      </c>
      <c r="G374">
        <v>18359</v>
      </c>
      <c r="H374" t="s">
        <v>4029</v>
      </c>
      <c r="I374" t="s">
        <v>3497</v>
      </c>
      <c r="J374">
        <v>2</v>
      </c>
      <c r="K374" t="s">
        <v>3878</v>
      </c>
      <c r="L374">
        <v>179.8</v>
      </c>
      <c r="M374">
        <v>89.9</v>
      </c>
      <c r="N374" t="s">
        <v>3497</v>
      </c>
      <c r="O374" t="s">
        <v>466</v>
      </c>
    </row>
    <row r="375" spans="1:15" x14ac:dyDescent="0.3">
      <c r="A375">
        <v>239726</v>
      </c>
      <c r="B375">
        <v>116</v>
      </c>
      <c r="C375" t="s">
        <v>568</v>
      </c>
      <c r="D375" t="s">
        <v>2271</v>
      </c>
      <c r="E375" t="s">
        <v>2392</v>
      </c>
      <c r="F375" s="452">
        <v>46185</v>
      </c>
      <c r="G375">
        <v>18172</v>
      </c>
      <c r="H375" t="s">
        <v>3923</v>
      </c>
      <c r="I375" t="s">
        <v>3497</v>
      </c>
      <c r="J375">
        <v>12</v>
      </c>
      <c r="K375" t="s">
        <v>3878</v>
      </c>
      <c r="L375">
        <v>260.27999999999997</v>
      </c>
      <c r="M375">
        <v>21.69</v>
      </c>
      <c r="N375" t="s">
        <v>3497</v>
      </c>
      <c r="O375" t="s">
        <v>466</v>
      </c>
    </row>
    <row r="376" spans="1:15" x14ac:dyDescent="0.3">
      <c r="A376">
        <v>239723</v>
      </c>
      <c r="B376">
        <v>116</v>
      </c>
      <c r="C376" t="s">
        <v>568</v>
      </c>
      <c r="D376" t="s">
        <v>2340</v>
      </c>
      <c r="E376" t="s">
        <v>2393</v>
      </c>
      <c r="F376" s="452">
        <v>46182</v>
      </c>
      <c r="G376">
        <v>19324</v>
      </c>
      <c r="H376" t="s">
        <v>3937</v>
      </c>
      <c r="I376" t="s">
        <v>3469</v>
      </c>
      <c r="J376">
        <v>12.32</v>
      </c>
      <c r="K376" t="s">
        <v>3892</v>
      </c>
      <c r="L376">
        <v>479.86</v>
      </c>
      <c r="M376">
        <v>38.949674999999999</v>
      </c>
      <c r="N376" t="s">
        <v>3469</v>
      </c>
      <c r="O376" t="s">
        <v>466</v>
      </c>
    </row>
    <row r="377" spans="1:15" x14ac:dyDescent="0.3">
      <c r="A377">
        <v>239721</v>
      </c>
      <c r="B377">
        <v>116</v>
      </c>
      <c r="C377" t="s">
        <v>568</v>
      </c>
      <c r="D377" t="s">
        <v>2332</v>
      </c>
      <c r="E377" t="s">
        <v>2394</v>
      </c>
      <c r="F377" s="452">
        <v>46184</v>
      </c>
      <c r="G377">
        <v>18538</v>
      </c>
      <c r="H377" t="s">
        <v>4026</v>
      </c>
      <c r="I377" t="s">
        <v>3497</v>
      </c>
      <c r="J377">
        <v>3</v>
      </c>
      <c r="K377" t="s">
        <v>3878</v>
      </c>
      <c r="L377">
        <v>309</v>
      </c>
      <c r="M377">
        <v>103</v>
      </c>
      <c r="N377" t="s">
        <v>3497</v>
      </c>
      <c r="O377" t="s">
        <v>466</v>
      </c>
    </row>
    <row r="378" spans="1:15" x14ac:dyDescent="0.3">
      <c r="A378">
        <v>239719</v>
      </c>
      <c r="B378">
        <v>116</v>
      </c>
      <c r="C378" t="s">
        <v>568</v>
      </c>
      <c r="D378" t="s">
        <v>2286</v>
      </c>
      <c r="E378" t="s">
        <v>2395</v>
      </c>
      <c r="F378" s="452">
        <v>46184</v>
      </c>
      <c r="G378">
        <v>19672</v>
      </c>
      <c r="H378" t="s">
        <v>4024</v>
      </c>
      <c r="I378" t="s">
        <v>3469</v>
      </c>
      <c r="J378">
        <v>3</v>
      </c>
      <c r="K378" t="s">
        <v>3892</v>
      </c>
      <c r="L378">
        <v>42</v>
      </c>
      <c r="M378">
        <v>14</v>
      </c>
      <c r="N378" t="s">
        <v>4240</v>
      </c>
      <c r="O378" t="s">
        <v>466</v>
      </c>
    </row>
    <row r="379" spans="1:15" x14ac:dyDescent="0.3">
      <c r="A379">
        <v>239719</v>
      </c>
      <c r="B379">
        <v>116</v>
      </c>
      <c r="C379" t="s">
        <v>568</v>
      </c>
      <c r="D379" t="s">
        <v>2286</v>
      </c>
      <c r="E379" t="s">
        <v>2395</v>
      </c>
      <c r="F379" s="452">
        <v>46184</v>
      </c>
      <c r="G379">
        <v>23171</v>
      </c>
      <c r="H379" t="s">
        <v>4132</v>
      </c>
      <c r="I379" t="s">
        <v>3469</v>
      </c>
      <c r="J379">
        <v>4</v>
      </c>
      <c r="K379" t="s">
        <v>3892</v>
      </c>
      <c r="L379">
        <v>44</v>
      </c>
      <c r="M379">
        <v>11</v>
      </c>
      <c r="N379" t="s">
        <v>4240</v>
      </c>
      <c r="O379" t="s">
        <v>466</v>
      </c>
    </row>
    <row r="380" spans="1:15" x14ac:dyDescent="0.3">
      <c r="A380">
        <v>239719</v>
      </c>
      <c r="B380">
        <v>116</v>
      </c>
      <c r="C380" t="s">
        <v>568</v>
      </c>
      <c r="D380" t="s">
        <v>2286</v>
      </c>
      <c r="E380" t="s">
        <v>2395</v>
      </c>
      <c r="F380" s="452">
        <v>46184</v>
      </c>
      <c r="G380">
        <v>19498</v>
      </c>
      <c r="H380" t="s">
        <v>4065</v>
      </c>
      <c r="I380" t="s">
        <v>3469</v>
      </c>
      <c r="J380">
        <v>1</v>
      </c>
      <c r="K380" t="s">
        <v>3892</v>
      </c>
      <c r="L380">
        <v>13.5</v>
      </c>
      <c r="M380">
        <v>13.5</v>
      </c>
      <c r="N380" t="s">
        <v>4240</v>
      </c>
      <c r="O380" t="s">
        <v>466</v>
      </c>
    </row>
    <row r="381" spans="1:15" x14ac:dyDescent="0.3">
      <c r="A381">
        <v>239719</v>
      </c>
      <c r="B381">
        <v>116</v>
      </c>
      <c r="C381" t="s">
        <v>568</v>
      </c>
      <c r="D381" t="s">
        <v>2286</v>
      </c>
      <c r="E381" t="s">
        <v>2395</v>
      </c>
      <c r="F381" s="452">
        <v>46184</v>
      </c>
      <c r="G381">
        <v>23365</v>
      </c>
      <c r="H381" t="s">
        <v>4236</v>
      </c>
      <c r="I381" t="s">
        <v>3469</v>
      </c>
      <c r="J381">
        <v>3</v>
      </c>
      <c r="K381" t="s">
        <v>3892</v>
      </c>
      <c r="L381">
        <v>63</v>
      </c>
      <c r="M381">
        <v>21</v>
      </c>
      <c r="N381" t="s">
        <v>4240</v>
      </c>
      <c r="O381" t="s">
        <v>466</v>
      </c>
    </row>
    <row r="382" spans="1:15" x14ac:dyDescent="0.3">
      <c r="A382">
        <v>239719</v>
      </c>
      <c r="B382">
        <v>116</v>
      </c>
      <c r="C382" t="s">
        <v>568</v>
      </c>
      <c r="D382" t="s">
        <v>2286</v>
      </c>
      <c r="E382" t="s">
        <v>2395</v>
      </c>
      <c r="F382" s="452">
        <v>46184</v>
      </c>
      <c r="G382">
        <v>19555</v>
      </c>
      <c r="H382" t="s">
        <v>4109</v>
      </c>
      <c r="I382" t="s">
        <v>3469</v>
      </c>
      <c r="J382">
        <v>0.5</v>
      </c>
      <c r="K382" t="s">
        <v>3892</v>
      </c>
      <c r="L382">
        <v>7</v>
      </c>
      <c r="M382">
        <v>14</v>
      </c>
      <c r="N382" t="s">
        <v>4240</v>
      </c>
      <c r="O382" t="s">
        <v>466</v>
      </c>
    </row>
    <row r="383" spans="1:15" x14ac:dyDescent="0.3">
      <c r="A383">
        <v>239719</v>
      </c>
      <c r="B383">
        <v>116</v>
      </c>
      <c r="C383" t="s">
        <v>568</v>
      </c>
      <c r="D383" t="s">
        <v>2286</v>
      </c>
      <c r="E383" t="s">
        <v>2395</v>
      </c>
      <c r="F383" s="452">
        <v>46184</v>
      </c>
      <c r="G383">
        <v>19751</v>
      </c>
      <c r="H383" t="s">
        <v>4019</v>
      </c>
      <c r="I383" t="s">
        <v>3469</v>
      </c>
      <c r="J383">
        <v>3</v>
      </c>
      <c r="K383" t="s">
        <v>3892</v>
      </c>
      <c r="L383">
        <v>25.5</v>
      </c>
      <c r="M383">
        <v>8.5</v>
      </c>
      <c r="N383" t="s">
        <v>4240</v>
      </c>
      <c r="O383" t="s">
        <v>466</v>
      </c>
    </row>
    <row r="384" spans="1:15" x14ac:dyDescent="0.3">
      <c r="A384">
        <v>239719</v>
      </c>
      <c r="B384">
        <v>116</v>
      </c>
      <c r="C384" t="s">
        <v>568</v>
      </c>
      <c r="D384" t="s">
        <v>2286</v>
      </c>
      <c r="E384" t="s">
        <v>2395</v>
      </c>
      <c r="F384" s="452">
        <v>46184</v>
      </c>
      <c r="G384">
        <v>25565</v>
      </c>
      <c r="H384" t="s">
        <v>4222</v>
      </c>
      <c r="I384" t="s">
        <v>3469</v>
      </c>
      <c r="J384">
        <v>3</v>
      </c>
      <c r="K384" t="s">
        <v>3892</v>
      </c>
      <c r="L384">
        <v>25.5</v>
      </c>
      <c r="M384">
        <v>8.5</v>
      </c>
      <c r="N384" t="s">
        <v>4240</v>
      </c>
      <c r="O384" t="s">
        <v>466</v>
      </c>
    </row>
    <row r="385" spans="1:15" x14ac:dyDescent="0.3">
      <c r="A385">
        <v>239719</v>
      </c>
      <c r="B385">
        <v>116</v>
      </c>
      <c r="C385" t="s">
        <v>568</v>
      </c>
      <c r="D385" t="s">
        <v>2286</v>
      </c>
      <c r="E385" t="s">
        <v>2395</v>
      </c>
      <c r="F385" s="452">
        <v>46184</v>
      </c>
      <c r="G385">
        <v>24037</v>
      </c>
      <c r="H385" t="s">
        <v>4104</v>
      </c>
      <c r="I385" t="s">
        <v>3469</v>
      </c>
      <c r="J385">
        <v>2</v>
      </c>
      <c r="K385" t="s">
        <v>3892</v>
      </c>
      <c r="L385">
        <v>35</v>
      </c>
      <c r="M385">
        <v>17.5</v>
      </c>
      <c r="N385" t="s">
        <v>4240</v>
      </c>
      <c r="O385" t="s">
        <v>466</v>
      </c>
    </row>
    <row r="386" spans="1:15" x14ac:dyDescent="0.3">
      <c r="A386">
        <v>239719</v>
      </c>
      <c r="B386">
        <v>116</v>
      </c>
      <c r="C386" t="s">
        <v>568</v>
      </c>
      <c r="D386" t="s">
        <v>2286</v>
      </c>
      <c r="E386" t="s">
        <v>2395</v>
      </c>
      <c r="F386" s="452">
        <v>46184</v>
      </c>
      <c r="G386">
        <v>19505</v>
      </c>
      <c r="H386" t="s">
        <v>4101</v>
      </c>
      <c r="I386" t="s">
        <v>3469</v>
      </c>
      <c r="J386">
        <v>1.5</v>
      </c>
      <c r="K386" t="s">
        <v>3892</v>
      </c>
      <c r="L386">
        <v>16.5</v>
      </c>
      <c r="M386">
        <v>11</v>
      </c>
      <c r="N386" t="s">
        <v>4240</v>
      </c>
      <c r="O386" t="s">
        <v>466</v>
      </c>
    </row>
    <row r="387" spans="1:15" x14ac:dyDescent="0.3">
      <c r="A387">
        <v>239719</v>
      </c>
      <c r="B387">
        <v>116</v>
      </c>
      <c r="C387" t="s">
        <v>568</v>
      </c>
      <c r="D387" t="s">
        <v>2286</v>
      </c>
      <c r="E387" t="s">
        <v>2395</v>
      </c>
      <c r="F387" s="452">
        <v>46184</v>
      </c>
      <c r="G387">
        <v>23120</v>
      </c>
      <c r="H387" t="s">
        <v>4111</v>
      </c>
      <c r="I387" t="s">
        <v>3469</v>
      </c>
      <c r="J387">
        <v>0.3</v>
      </c>
      <c r="K387" t="s">
        <v>3892</v>
      </c>
      <c r="L387">
        <v>19.5</v>
      </c>
      <c r="M387">
        <v>65</v>
      </c>
      <c r="N387" t="s">
        <v>4240</v>
      </c>
      <c r="O387" t="s">
        <v>466</v>
      </c>
    </row>
    <row r="388" spans="1:15" x14ac:dyDescent="0.3">
      <c r="A388">
        <v>239719</v>
      </c>
      <c r="B388">
        <v>116</v>
      </c>
      <c r="C388" t="s">
        <v>568</v>
      </c>
      <c r="D388" t="s">
        <v>2286</v>
      </c>
      <c r="E388" t="s">
        <v>2395</v>
      </c>
      <c r="F388" s="452">
        <v>46184</v>
      </c>
      <c r="G388">
        <v>19480</v>
      </c>
      <c r="H388" t="s">
        <v>4113</v>
      </c>
      <c r="I388" t="s">
        <v>3469</v>
      </c>
      <c r="J388">
        <v>0.2</v>
      </c>
      <c r="K388" t="s">
        <v>3892</v>
      </c>
      <c r="L388">
        <v>4.5999999999999996</v>
      </c>
      <c r="M388">
        <v>23</v>
      </c>
      <c r="N388" t="s">
        <v>4240</v>
      </c>
      <c r="O388" t="s">
        <v>466</v>
      </c>
    </row>
    <row r="389" spans="1:15" x14ac:dyDescent="0.3">
      <c r="A389">
        <v>239719</v>
      </c>
      <c r="B389">
        <v>116</v>
      </c>
      <c r="C389" t="s">
        <v>568</v>
      </c>
      <c r="D389" t="s">
        <v>2286</v>
      </c>
      <c r="E389" t="s">
        <v>2395</v>
      </c>
      <c r="F389" s="452">
        <v>46184</v>
      </c>
      <c r="G389">
        <v>19494</v>
      </c>
      <c r="H389" t="s">
        <v>4126</v>
      </c>
      <c r="I389" t="s">
        <v>3469</v>
      </c>
      <c r="J389">
        <v>1</v>
      </c>
      <c r="K389" t="s">
        <v>3892</v>
      </c>
      <c r="L389">
        <v>16</v>
      </c>
      <c r="M389">
        <v>16</v>
      </c>
      <c r="N389" t="s">
        <v>4240</v>
      </c>
      <c r="O389" t="s">
        <v>466</v>
      </c>
    </row>
    <row r="390" spans="1:15" x14ac:dyDescent="0.3">
      <c r="A390">
        <v>239719</v>
      </c>
      <c r="B390">
        <v>116</v>
      </c>
      <c r="C390" t="s">
        <v>568</v>
      </c>
      <c r="D390" t="s">
        <v>2286</v>
      </c>
      <c r="E390" t="s">
        <v>2395</v>
      </c>
      <c r="F390" s="452">
        <v>46184</v>
      </c>
      <c r="G390">
        <v>23113</v>
      </c>
      <c r="H390" t="s">
        <v>4079</v>
      </c>
      <c r="I390" t="s">
        <v>3469</v>
      </c>
      <c r="J390">
        <v>1</v>
      </c>
      <c r="K390" t="s">
        <v>3892</v>
      </c>
      <c r="L390">
        <v>7.5</v>
      </c>
      <c r="M390">
        <v>7.5</v>
      </c>
      <c r="N390" t="s">
        <v>4240</v>
      </c>
      <c r="O390" t="s">
        <v>466</v>
      </c>
    </row>
    <row r="391" spans="1:15" x14ac:dyDescent="0.3">
      <c r="A391">
        <v>239719</v>
      </c>
      <c r="B391">
        <v>116</v>
      </c>
      <c r="C391" t="s">
        <v>568</v>
      </c>
      <c r="D391" t="s">
        <v>2286</v>
      </c>
      <c r="E391" t="s">
        <v>2395</v>
      </c>
      <c r="F391" s="452">
        <v>46184</v>
      </c>
      <c r="G391">
        <v>24598</v>
      </c>
      <c r="H391" t="s">
        <v>4166</v>
      </c>
      <c r="I391" t="s">
        <v>3469</v>
      </c>
      <c r="J391">
        <v>1</v>
      </c>
      <c r="K391" t="s">
        <v>3892</v>
      </c>
      <c r="L391">
        <v>13</v>
      </c>
      <c r="M391">
        <v>13</v>
      </c>
      <c r="N391" t="s">
        <v>4240</v>
      </c>
      <c r="O391" t="s">
        <v>466</v>
      </c>
    </row>
    <row r="392" spans="1:15" x14ac:dyDescent="0.3">
      <c r="A392">
        <v>239719</v>
      </c>
      <c r="B392">
        <v>116</v>
      </c>
      <c r="C392" t="s">
        <v>568</v>
      </c>
      <c r="D392" t="s">
        <v>2286</v>
      </c>
      <c r="E392" t="s">
        <v>2395</v>
      </c>
      <c r="F392" s="452">
        <v>46184</v>
      </c>
      <c r="G392">
        <v>23236</v>
      </c>
      <c r="H392" t="s">
        <v>4017</v>
      </c>
      <c r="I392" t="s">
        <v>3469</v>
      </c>
      <c r="J392">
        <v>4</v>
      </c>
      <c r="K392" t="s">
        <v>3892</v>
      </c>
      <c r="L392">
        <v>44</v>
      </c>
      <c r="M392">
        <v>11</v>
      </c>
      <c r="N392" t="s">
        <v>4240</v>
      </c>
      <c r="O392" t="s">
        <v>466</v>
      </c>
    </row>
    <row r="393" spans="1:15" x14ac:dyDescent="0.3">
      <c r="A393">
        <v>239719</v>
      </c>
      <c r="B393">
        <v>116</v>
      </c>
      <c r="C393" t="s">
        <v>568</v>
      </c>
      <c r="D393" t="s">
        <v>2286</v>
      </c>
      <c r="E393" t="s">
        <v>2395</v>
      </c>
      <c r="F393" s="452">
        <v>46184</v>
      </c>
      <c r="G393">
        <v>19752</v>
      </c>
      <c r="H393" t="s">
        <v>4042</v>
      </c>
      <c r="I393" t="s">
        <v>3469</v>
      </c>
      <c r="J393">
        <v>2</v>
      </c>
      <c r="K393" t="s">
        <v>3892</v>
      </c>
      <c r="L393">
        <v>12</v>
      </c>
      <c r="M393">
        <v>6</v>
      </c>
      <c r="N393" t="s">
        <v>4240</v>
      </c>
      <c r="O393" t="s">
        <v>466</v>
      </c>
    </row>
    <row r="394" spans="1:15" x14ac:dyDescent="0.3">
      <c r="A394">
        <v>239717</v>
      </c>
      <c r="B394">
        <v>116</v>
      </c>
      <c r="C394" t="s">
        <v>568</v>
      </c>
      <c r="D394" t="s">
        <v>2286</v>
      </c>
      <c r="E394" t="s">
        <v>2396</v>
      </c>
      <c r="F394" s="452">
        <v>46181</v>
      </c>
      <c r="G394">
        <v>23361</v>
      </c>
      <c r="H394" t="s">
        <v>4220</v>
      </c>
      <c r="I394" t="s">
        <v>3469</v>
      </c>
      <c r="J394">
        <v>36</v>
      </c>
      <c r="K394" t="s">
        <v>3892</v>
      </c>
      <c r="L394">
        <v>102.6</v>
      </c>
      <c r="M394">
        <v>2.85</v>
      </c>
      <c r="N394" t="s">
        <v>4240</v>
      </c>
      <c r="O394" t="s">
        <v>466</v>
      </c>
    </row>
    <row r="395" spans="1:15" x14ac:dyDescent="0.3">
      <c r="A395">
        <v>239717</v>
      </c>
      <c r="B395">
        <v>116</v>
      </c>
      <c r="C395" t="s">
        <v>568</v>
      </c>
      <c r="D395" t="s">
        <v>2286</v>
      </c>
      <c r="E395" t="s">
        <v>2396</v>
      </c>
      <c r="F395" s="452">
        <v>46181</v>
      </c>
      <c r="G395">
        <v>23120</v>
      </c>
      <c r="H395" t="s">
        <v>4111</v>
      </c>
      <c r="I395" t="s">
        <v>3469</v>
      </c>
      <c r="J395">
        <v>0.2</v>
      </c>
      <c r="K395" t="s">
        <v>3892</v>
      </c>
      <c r="L395">
        <v>13</v>
      </c>
      <c r="M395">
        <v>65</v>
      </c>
      <c r="N395" t="s">
        <v>4240</v>
      </c>
      <c r="O395" t="s">
        <v>466</v>
      </c>
    </row>
    <row r="396" spans="1:15" x14ac:dyDescent="0.3">
      <c r="A396">
        <v>239717</v>
      </c>
      <c r="B396">
        <v>116</v>
      </c>
      <c r="C396" t="s">
        <v>568</v>
      </c>
      <c r="D396" t="s">
        <v>2286</v>
      </c>
      <c r="E396" t="s">
        <v>2396</v>
      </c>
      <c r="F396" s="452">
        <v>46181</v>
      </c>
      <c r="G396">
        <v>19505</v>
      </c>
      <c r="H396" t="s">
        <v>4101</v>
      </c>
      <c r="I396" t="s">
        <v>3469</v>
      </c>
      <c r="J396">
        <v>1.5</v>
      </c>
      <c r="K396" t="s">
        <v>3892</v>
      </c>
      <c r="L396">
        <v>17.25</v>
      </c>
      <c r="M396">
        <v>11.5</v>
      </c>
      <c r="N396" t="s">
        <v>4240</v>
      </c>
      <c r="O396" t="s">
        <v>466</v>
      </c>
    </row>
    <row r="397" spans="1:15" x14ac:dyDescent="0.3">
      <c r="A397">
        <v>239717</v>
      </c>
      <c r="B397">
        <v>116</v>
      </c>
      <c r="C397" t="s">
        <v>568</v>
      </c>
      <c r="D397" t="s">
        <v>2286</v>
      </c>
      <c r="E397" t="s">
        <v>2396</v>
      </c>
      <c r="F397" s="452">
        <v>46181</v>
      </c>
      <c r="G397">
        <v>19742</v>
      </c>
      <c r="H397" t="s">
        <v>4074</v>
      </c>
      <c r="I397" t="s">
        <v>3469</v>
      </c>
      <c r="J397">
        <v>1</v>
      </c>
      <c r="K397" t="s">
        <v>3892</v>
      </c>
      <c r="L397">
        <v>14</v>
      </c>
      <c r="M397">
        <v>14</v>
      </c>
      <c r="N397" t="s">
        <v>4240</v>
      </c>
      <c r="O397" t="s">
        <v>466</v>
      </c>
    </row>
    <row r="398" spans="1:15" x14ac:dyDescent="0.3">
      <c r="A398">
        <v>239717</v>
      </c>
      <c r="B398">
        <v>116</v>
      </c>
      <c r="C398" t="s">
        <v>568</v>
      </c>
      <c r="D398" t="s">
        <v>2286</v>
      </c>
      <c r="E398" t="s">
        <v>2396</v>
      </c>
      <c r="F398" s="452">
        <v>46181</v>
      </c>
      <c r="G398">
        <v>19617</v>
      </c>
      <c r="H398" t="s">
        <v>4110</v>
      </c>
      <c r="I398" t="s">
        <v>3469</v>
      </c>
      <c r="J398">
        <v>0.5</v>
      </c>
      <c r="K398" t="s">
        <v>3892</v>
      </c>
      <c r="L398">
        <v>19.5</v>
      </c>
      <c r="M398">
        <v>39</v>
      </c>
      <c r="N398" t="s">
        <v>4240</v>
      </c>
      <c r="O398" t="s">
        <v>466</v>
      </c>
    </row>
    <row r="399" spans="1:15" x14ac:dyDescent="0.3">
      <c r="A399">
        <v>239717</v>
      </c>
      <c r="B399">
        <v>116</v>
      </c>
      <c r="C399" t="s">
        <v>568</v>
      </c>
      <c r="D399" t="s">
        <v>2286</v>
      </c>
      <c r="E399" t="s">
        <v>2396</v>
      </c>
      <c r="F399" s="452">
        <v>46181</v>
      </c>
      <c r="G399">
        <v>23095</v>
      </c>
      <c r="H399" t="s">
        <v>3882</v>
      </c>
      <c r="I399" t="s">
        <v>3469</v>
      </c>
      <c r="J399">
        <v>40</v>
      </c>
      <c r="K399" t="s">
        <v>3872</v>
      </c>
      <c r="L399">
        <v>38.799999999999997</v>
      </c>
      <c r="M399">
        <v>0.97</v>
      </c>
      <c r="N399" t="s">
        <v>4240</v>
      </c>
      <c r="O399" t="s">
        <v>466</v>
      </c>
    </row>
    <row r="400" spans="1:15" x14ac:dyDescent="0.3">
      <c r="A400">
        <v>239717</v>
      </c>
      <c r="B400">
        <v>116</v>
      </c>
      <c r="C400" t="s">
        <v>568</v>
      </c>
      <c r="D400" t="s">
        <v>2286</v>
      </c>
      <c r="E400" t="s">
        <v>2396</v>
      </c>
      <c r="F400" s="452">
        <v>46181</v>
      </c>
      <c r="G400">
        <v>19494</v>
      </c>
      <c r="H400" t="s">
        <v>4126</v>
      </c>
      <c r="I400" t="s">
        <v>3469</v>
      </c>
      <c r="J400">
        <v>2</v>
      </c>
      <c r="K400" t="s">
        <v>3892</v>
      </c>
      <c r="L400">
        <v>34</v>
      </c>
      <c r="M400">
        <v>17</v>
      </c>
      <c r="N400" t="s">
        <v>4240</v>
      </c>
      <c r="O400" t="s">
        <v>466</v>
      </c>
    </row>
    <row r="401" spans="1:15" x14ac:dyDescent="0.3">
      <c r="A401">
        <v>239717</v>
      </c>
      <c r="B401">
        <v>116</v>
      </c>
      <c r="C401" t="s">
        <v>568</v>
      </c>
      <c r="D401" t="s">
        <v>2286</v>
      </c>
      <c r="E401" t="s">
        <v>2396</v>
      </c>
      <c r="F401" s="452">
        <v>46181</v>
      </c>
      <c r="G401">
        <v>19539</v>
      </c>
      <c r="H401" t="s">
        <v>4133</v>
      </c>
      <c r="I401" t="s">
        <v>3469</v>
      </c>
      <c r="J401">
        <v>18</v>
      </c>
      <c r="K401" t="s">
        <v>3892</v>
      </c>
      <c r="L401">
        <v>234</v>
      </c>
      <c r="M401">
        <v>13</v>
      </c>
      <c r="N401" t="s">
        <v>4240</v>
      </c>
      <c r="O401" t="s">
        <v>466</v>
      </c>
    </row>
    <row r="402" spans="1:15" x14ac:dyDescent="0.3">
      <c r="A402">
        <v>239717</v>
      </c>
      <c r="B402">
        <v>116</v>
      </c>
      <c r="C402" t="s">
        <v>568</v>
      </c>
      <c r="D402" t="s">
        <v>2286</v>
      </c>
      <c r="E402" t="s">
        <v>2396</v>
      </c>
      <c r="F402" s="452">
        <v>46181</v>
      </c>
      <c r="G402">
        <v>23359</v>
      </c>
      <c r="H402" t="s">
        <v>3932</v>
      </c>
      <c r="I402" t="s">
        <v>3469</v>
      </c>
      <c r="J402">
        <v>10</v>
      </c>
      <c r="K402" t="s">
        <v>3892</v>
      </c>
      <c r="L402">
        <v>23</v>
      </c>
      <c r="M402">
        <v>2.2999999999999998</v>
      </c>
      <c r="N402" t="s">
        <v>4240</v>
      </c>
      <c r="O402" t="s">
        <v>466</v>
      </c>
    </row>
    <row r="403" spans="1:15" x14ac:dyDescent="0.3">
      <c r="A403">
        <v>239717</v>
      </c>
      <c r="B403">
        <v>116</v>
      </c>
      <c r="C403" t="s">
        <v>568</v>
      </c>
      <c r="D403" t="s">
        <v>2286</v>
      </c>
      <c r="E403" t="s">
        <v>2396</v>
      </c>
      <c r="F403" s="452">
        <v>46181</v>
      </c>
      <c r="G403">
        <v>19752</v>
      </c>
      <c r="H403" t="s">
        <v>4042</v>
      </c>
      <c r="I403" t="s">
        <v>3469</v>
      </c>
      <c r="J403">
        <v>1</v>
      </c>
      <c r="K403" t="s">
        <v>3892</v>
      </c>
      <c r="L403">
        <v>6</v>
      </c>
      <c r="M403">
        <v>6</v>
      </c>
      <c r="N403" t="s">
        <v>4240</v>
      </c>
      <c r="O403" t="s">
        <v>466</v>
      </c>
    </row>
    <row r="404" spans="1:15" x14ac:dyDescent="0.3">
      <c r="A404">
        <v>239717</v>
      </c>
      <c r="B404">
        <v>116</v>
      </c>
      <c r="C404" t="s">
        <v>568</v>
      </c>
      <c r="D404" t="s">
        <v>2286</v>
      </c>
      <c r="E404" t="s">
        <v>2396</v>
      </c>
      <c r="F404" s="452">
        <v>46181</v>
      </c>
      <c r="G404">
        <v>24037</v>
      </c>
      <c r="H404" t="s">
        <v>4104</v>
      </c>
      <c r="I404" t="s">
        <v>3469</v>
      </c>
      <c r="J404">
        <v>2</v>
      </c>
      <c r="K404" t="s">
        <v>3892</v>
      </c>
      <c r="L404">
        <v>35</v>
      </c>
      <c r="M404">
        <v>17.5</v>
      </c>
      <c r="N404" t="s">
        <v>4240</v>
      </c>
      <c r="O404" t="s">
        <v>466</v>
      </c>
    </row>
    <row r="405" spans="1:15" x14ac:dyDescent="0.3">
      <c r="A405">
        <v>239717</v>
      </c>
      <c r="B405">
        <v>116</v>
      </c>
      <c r="C405" t="s">
        <v>568</v>
      </c>
      <c r="D405" t="s">
        <v>2286</v>
      </c>
      <c r="E405" t="s">
        <v>2396</v>
      </c>
      <c r="F405" s="452">
        <v>46181</v>
      </c>
      <c r="G405">
        <v>23389</v>
      </c>
      <c r="H405" t="s">
        <v>4016</v>
      </c>
      <c r="I405" t="s">
        <v>3469</v>
      </c>
      <c r="J405">
        <v>5</v>
      </c>
      <c r="K405" t="s">
        <v>3892</v>
      </c>
      <c r="L405">
        <v>25</v>
      </c>
      <c r="M405">
        <v>5</v>
      </c>
      <c r="N405" t="s">
        <v>4240</v>
      </c>
      <c r="O405" t="s">
        <v>466</v>
      </c>
    </row>
    <row r="406" spans="1:15" x14ac:dyDescent="0.3">
      <c r="A406">
        <v>239717</v>
      </c>
      <c r="B406">
        <v>116</v>
      </c>
      <c r="C406" t="s">
        <v>568</v>
      </c>
      <c r="D406" t="s">
        <v>2286</v>
      </c>
      <c r="E406" t="s">
        <v>2396</v>
      </c>
      <c r="F406" s="452">
        <v>46181</v>
      </c>
      <c r="G406">
        <v>23236</v>
      </c>
      <c r="H406" t="s">
        <v>4017</v>
      </c>
      <c r="I406" t="s">
        <v>3469</v>
      </c>
      <c r="J406">
        <v>3</v>
      </c>
      <c r="K406" t="s">
        <v>3892</v>
      </c>
      <c r="L406">
        <v>36</v>
      </c>
      <c r="M406">
        <v>12</v>
      </c>
      <c r="N406" t="s">
        <v>4240</v>
      </c>
      <c r="O406" t="s">
        <v>466</v>
      </c>
    </row>
    <row r="407" spans="1:15" x14ac:dyDescent="0.3">
      <c r="A407">
        <v>239717</v>
      </c>
      <c r="B407">
        <v>116</v>
      </c>
      <c r="C407" t="s">
        <v>568</v>
      </c>
      <c r="D407" t="s">
        <v>2286</v>
      </c>
      <c r="E407" t="s">
        <v>2396</v>
      </c>
      <c r="F407" s="452">
        <v>46181</v>
      </c>
      <c r="G407">
        <v>19751</v>
      </c>
      <c r="H407" t="s">
        <v>4019</v>
      </c>
      <c r="I407" t="s">
        <v>3469</v>
      </c>
      <c r="J407">
        <v>2</v>
      </c>
      <c r="K407" t="s">
        <v>3892</v>
      </c>
      <c r="L407">
        <v>17.5</v>
      </c>
      <c r="M407">
        <v>8.75</v>
      </c>
      <c r="N407" t="s">
        <v>4240</v>
      </c>
      <c r="O407" t="s">
        <v>466</v>
      </c>
    </row>
    <row r="408" spans="1:15" x14ac:dyDescent="0.3">
      <c r="A408">
        <v>239717</v>
      </c>
      <c r="B408">
        <v>116</v>
      </c>
      <c r="C408" t="s">
        <v>568</v>
      </c>
      <c r="D408" t="s">
        <v>2286</v>
      </c>
      <c r="E408" t="s">
        <v>2396</v>
      </c>
      <c r="F408" s="452">
        <v>46181</v>
      </c>
      <c r="G408">
        <v>19787</v>
      </c>
      <c r="H408" t="s">
        <v>3940</v>
      </c>
      <c r="I408" t="s">
        <v>3469</v>
      </c>
      <c r="J408">
        <v>3</v>
      </c>
      <c r="K408" t="s">
        <v>3892</v>
      </c>
      <c r="L408">
        <v>17.399999999999999</v>
      </c>
      <c r="M408">
        <v>5.8</v>
      </c>
      <c r="N408" t="s">
        <v>4240</v>
      </c>
      <c r="O408" t="s">
        <v>466</v>
      </c>
    </row>
    <row r="409" spans="1:15" x14ac:dyDescent="0.3">
      <c r="A409">
        <v>239711</v>
      </c>
      <c r="B409">
        <v>116</v>
      </c>
      <c r="C409" t="s">
        <v>568</v>
      </c>
      <c r="D409" t="s">
        <v>2284</v>
      </c>
      <c r="E409" t="s">
        <v>2397</v>
      </c>
      <c r="F409" s="452">
        <v>46184</v>
      </c>
      <c r="G409">
        <v>22721</v>
      </c>
      <c r="H409" t="s">
        <v>4221</v>
      </c>
      <c r="I409" t="s">
        <v>3469</v>
      </c>
      <c r="J409">
        <v>5.48</v>
      </c>
      <c r="K409" t="s">
        <v>3892</v>
      </c>
      <c r="L409">
        <v>161.66</v>
      </c>
      <c r="M409">
        <v>29.5</v>
      </c>
      <c r="N409" t="s">
        <v>4240</v>
      </c>
      <c r="O409" t="s">
        <v>466</v>
      </c>
    </row>
    <row r="410" spans="1:15" x14ac:dyDescent="0.3">
      <c r="A410">
        <v>239707</v>
      </c>
      <c r="B410">
        <v>116</v>
      </c>
      <c r="C410" t="s">
        <v>568</v>
      </c>
      <c r="D410" t="s">
        <v>2284</v>
      </c>
      <c r="E410" t="s">
        <v>2398</v>
      </c>
      <c r="F410" s="452">
        <v>46183</v>
      </c>
      <c r="G410">
        <v>21126</v>
      </c>
      <c r="H410" t="s">
        <v>4004</v>
      </c>
      <c r="I410" t="s">
        <v>3469</v>
      </c>
      <c r="J410">
        <v>2</v>
      </c>
      <c r="K410" t="s">
        <v>3872</v>
      </c>
      <c r="L410">
        <v>15.6</v>
      </c>
      <c r="M410">
        <v>7.8</v>
      </c>
      <c r="N410" t="s">
        <v>3469</v>
      </c>
      <c r="O410" t="s">
        <v>466</v>
      </c>
    </row>
    <row r="411" spans="1:15" x14ac:dyDescent="0.3">
      <c r="A411">
        <v>239707</v>
      </c>
      <c r="B411">
        <v>116</v>
      </c>
      <c r="C411" t="s">
        <v>568</v>
      </c>
      <c r="D411" t="s">
        <v>2284</v>
      </c>
      <c r="E411" t="s">
        <v>2398</v>
      </c>
      <c r="F411" s="452">
        <v>46183</v>
      </c>
      <c r="G411">
        <v>18467</v>
      </c>
      <c r="H411" t="s">
        <v>4028</v>
      </c>
      <c r="I411" t="s">
        <v>3497</v>
      </c>
      <c r="J411">
        <v>2</v>
      </c>
      <c r="K411" t="s">
        <v>3878</v>
      </c>
      <c r="L411">
        <v>153.6</v>
      </c>
      <c r="M411">
        <v>76.8</v>
      </c>
      <c r="N411" t="s">
        <v>3469</v>
      </c>
      <c r="O411" t="s">
        <v>466</v>
      </c>
    </row>
    <row r="412" spans="1:15" x14ac:dyDescent="0.3">
      <c r="A412">
        <v>239707</v>
      </c>
      <c r="B412">
        <v>116</v>
      </c>
      <c r="C412" t="s">
        <v>568</v>
      </c>
      <c r="D412" t="s">
        <v>2284</v>
      </c>
      <c r="E412" t="s">
        <v>2398</v>
      </c>
      <c r="F412" s="452">
        <v>46183</v>
      </c>
      <c r="G412">
        <v>20077</v>
      </c>
      <c r="H412" t="s">
        <v>4054</v>
      </c>
      <c r="I412" t="s">
        <v>3469</v>
      </c>
      <c r="J412">
        <v>1</v>
      </c>
      <c r="K412" t="s">
        <v>4268</v>
      </c>
      <c r="L412">
        <v>17.600000000000001</v>
      </c>
      <c r="M412">
        <v>17.600000000000001</v>
      </c>
      <c r="N412" t="s">
        <v>3469</v>
      </c>
      <c r="O412" t="s">
        <v>466</v>
      </c>
    </row>
    <row r="413" spans="1:15" x14ac:dyDescent="0.3">
      <c r="A413">
        <v>239707</v>
      </c>
      <c r="B413">
        <v>116</v>
      </c>
      <c r="C413" t="s">
        <v>568</v>
      </c>
      <c r="D413" t="s">
        <v>2284</v>
      </c>
      <c r="E413" t="s">
        <v>2398</v>
      </c>
      <c r="F413" s="452">
        <v>46183</v>
      </c>
      <c r="G413">
        <v>19906</v>
      </c>
      <c r="H413" t="s">
        <v>4171</v>
      </c>
      <c r="I413" t="s">
        <v>3469</v>
      </c>
      <c r="J413">
        <v>1</v>
      </c>
      <c r="K413" t="s">
        <v>3888</v>
      </c>
      <c r="L413">
        <v>36.9</v>
      </c>
      <c r="M413">
        <v>36.9</v>
      </c>
      <c r="N413" t="s">
        <v>3469</v>
      </c>
      <c r="O413" t="s">
        <v>466</v>
      </c>
    </row>
    <row r="414" spans="1:15" x14ac:dyDescent="0.3">
      <c r="A414">
        <v>239707</v>
      </c>
      <c r="B414">
        <v>116</v>
      </c>
      <c r="C414" t="s">
        <v>568</v>
      </c>
      <c r="D414" t="s">
        <v>2284</v>
      </c>
      <c r="E414" t="s">
        <v>2398</v>
      </c>
      <c r="F414" s="452">
        <v>46183</v>
      </c>
      <c r="G414">
        <v>24185</v>
      </c>
      <c r="H414" t="s">
        <v>4040</v>
      </c>
      <c r="I414" t="s">
        <v>3469</v>
      </c>
      <c r="J414">
        <v>2</v>
      </c>
      <c r="K414" t="s">
        <v>3892</v>
      </c>
      <c r="L414">
        <v>46.4</v>
      </c>
      <c r="M414">
        <v>23.2</v>
      </c>
      <c r="N414" t="s">
        <v>3469</v>
      </c>
      <c r="O414" t="s">
        <v>466</v>
      </c>
    </row>
    <row r="415" spans="1:15" x14ac:dyDescent="0.3">
      <c r="A415">
        <v>239707</v>
      </c>
      <c r="B415">
        <v>116</v>
      </c>
      <c r="C415" t="s">
        <v>568</v>
      </c>
      <c r="D415" t="s">
        <v>2284</v>
      </c>
      <c r="E415" t="s">
        <v>2398</v>
      </c>
      <c r="F415" s="452">
        <v>46183</v>
      </c>
      <c r="G415">
        <v>21102</v>
      </c>
      <c r="H415" t="s">
        <v>4269</v>
      </c>
      <c r="I415" t="s">
        <v>3469</v>
      </c>
      <c r="J415">
        <v>5</v>
      </c>
      <c r="K415" t="s">
        <v>3872</v>
      </c>
      <c r="L415">
        <v>17.5</v>
      </c>
      <c r="M415">
        <v>3.5</v>
      </c>
      <c r="N415" t="s">
        <v>3469</v>
      </c>
      <c r="O415" t="s">
        <v>466</v>
      </c>
    </row>
    <row r="416" spans="1:15" x14ac:dyDescent="0.3">
      <c r="A416">
        <v>239707</v>
      </c>
      <c r="B416">
        <v>116</v>
      </c>
      <c r="C416" t="s">
        <v>568</v>
      </c>
      <c r="D416" t="s">
        <v>2284</v>
      </c>
      <c r="E416" t="s">
        <v>2398</v>
      </c>
      <c r="F416" s="452">
        <v>46183</v>
      </c>
      <c r="G416">
        <v>19932</v>
      </c>
      <c r="H416" t="s">
        <v>4011</v>
      </c>
      <c r="I416" t="s">
        <v>3469</v>
      </c>
      <c r="J416">
        <v>1</v>
      </c>
      <c r="K416" t="s">
        <v>3872</v>
      </c>
      <c r="L416">
        <v>7.5</v>
      </c>
      <c r="M416">
        <v>7.5</v>
      </c>
      <c r="N416" t="s">
        <v>3469</v>
      </c>
      <c r="O416" t="s">
        <v>466</v>
      </c>
    </row>
    <row r="417" spans="1:15" x14ac:dyDescent="0.3">
      <c r="A417">
        <v>239707</v>
      </c>
      <c r="B417">
        <v>116</v>
      </c>
      <c r="C417" t="s">
        <v>568</v>
      </c>
      <c r="D417" t="s">
        <v>2284</v>
      </c>
      <c r="E417" t="s">
        <v>2398</v>
      </c>
      <c r="F417" s="452">
        <v>46183</v>
      </c>
      <c r="G417">
        <v>25237</v>
      </c>
      <c r="H417" t="s">
        <v>4164</v>
      </c>
      <c r="I417" t="s">
        <v>3469</v>
      </c>
      <c r="J417">
        <v>10</v>
      </c>
      <c r="K417" t="s">
        <v>3888</v>
      </c>
      <c r="L417">
        <v>53.2</v>
      </c>
      <c r="M417">
        <v>5.32</v>
      </c>
      <c r="N417" t="s">
        <v>3469</v>
      </c>
      <c r="O417" t="s">
        <v>466</v>
      </c>
    </row>
    <row r="418" spans="1:15" x14ac:dyDescent="0.3">
      <c r="A418">
        <v>239707</v>
      </c>
      <c r="B418">
        <v>116</v>
      </c>
      <c r="C418" t="s">
        <v>568</v>
      </c>
      <c r="D418" t="s">
        <v>2284</v>
      </c>
      <c r="E418" t="s">
        <v>2398</v>
      </c>
      <c r="F418" s="452">
        <v>46183</v>
      </c>
      <c r="G418">
        <v>20007</v>
      </c>
      <c r="H418" t="s">
        <v>4009</v>
      </c>
      <c r="I418" t="s">
        <v>3469</v>
      </c>
      <c r="J418">
        <v>4</v>
      </c>
      <c r="K418" t="s">
        <v>3966</v>
      </c>
      <c r="L418">
        <v>213.6</v>
      </c>
      <c r="M418">
        <v>53.4</v>
      </c>
      <c r="N418" t="s">
        <v>3469</v>
      </c>
      <c r="O418" t="s">
        <v>466</v>
      </c>
    </row>
    <row r="419" spans="1:15" x14ac:dyDescent="0.3">
      <c r="A419">
        <v>239707</v>
      </c>
      <c r="B419">
        <v>116</v>
      </c>
      <c r="C419" t="s">
        <v>568</v>
      </c>
      <c r="D419" t="s">
        <v>2284</v>
      </c>
      <c r="E419" t="s">
        <v>2398</v>
      </c>
      <c r="F419" s="452">
        <v>46183</v>
      </c>
      <c r="G419">
        <v>21400</v>
      </c>
      <c r="H419" t="s">
        <v>4165</v>
      </c>
      <c r="I419" t="s">
        <v>3469</v>
      </c>
      <c r="J419">
        <v>3.5</v>
      </c>
      <c r="K419" t="s">
        <v>3892</v>
      </c>
      <c r="L419">
        <v>101.33</v>
      </c>
      <c r="M419">
        <v>28.951429000000001</v>
      </c>
      <c r="N419" t="s">
        <v>3469</v>
      </c>
      <c r="O419" t="s">
        <v>466</v>
      </c>
    </row>
    <row r="420" spans="1:15" x14ac:dyDescent="0.3">
      <c r="A420">
        <v>239707</v>
      </c>
      <c r="B420">
        <v>116</v>
      </c>
      <c r="C420" t="s">
        <v>568</v>
      </c>
      <c r="D420" t="s">
        <v>2284</v>
      </c>
      <c r="E420" t="s">
        <v>2398</v>
      </c>
      <c r="F420" s="452">
        <v>46183</v>
      </c>
      <c r="G420">
        <v>20250</v>
      </c>
      <c r="H420" t="s">
        <v>4008</v>
      </c>
      <c r="I420" t="s">
        <v>3469</v>
      </c>
      <c r="J420">
        <v>2</v>
      </c>
      <c r="K420" t="s">
        <v>3888</v>
      </c>
      <c r="L420">
        <v>85</v>
      </c>
      <c r="M420">
        <v>42.5</v>
      </c>
      <c r="N420" t="s">
        <v>3469</v>
      </c>
      <c r="O420" t="s">
        <v>466</v>
      </c>
    </row>
    <row r="421" spans="1:15" x14ac:dyDescent="0.3">
      <c r="A421">
        <v>239707</v>
      </c>
      <c r="B421">
        <v>116</v>
      </c>
      <c r="C421" t="s">
        <v>568</v>
      </c>
      <c r="D421" t="s">
        <v>2284</v>
      </c>
      <c r="E421" t="s">
        <v>2398</v>
      </c>
      <c r="F421" s="452">
        <v>46183</v>
      </c>
      <c r="G421">
        <v>20327</v>
      </c>
      <c r="H421" t="s">
        <v>4179</v>
      </c>
      <c r="I421" t="s">
        <v>3469</v>
      </c>
      <c r="J421">
        <v>6</v>
      </c>
      <c r="K421" t="s">
        <v>3888</v>
      </c>
      <c r="L421">
        <v>43.2</v>
      </c>
      <c r="M421">
        <v>7.2</v>
      </c>
      <c r="N421" t="s">
        <v>3469</v>
      </c>
      <c r="O421" t="s">
        <v>466</v>
      </c>
    </row>
    <row r="422" spans="1:15" x14ac:dyDescent="0.3">
      <c r="A422">
        <v>239705</v>
      </c>
      <c r="B422">
        <v>116</v>
      </c>
      <c r="C422" t="s">
        <v>568</v>
      </c>
      <c r="D422" t="s">
        <v>2284</v>
      </c>
      <c r="E422" t="s">
        <v>2399</v>
      </c>
      <c r="F422" s="452">
        <v>46182</v>
      </c>
      <c r="G422">
        <v>19264</v>
      </c>
      <c r="H422" t="s">
        <v>4082</v>
      </c>
      <c r="I422" t="s">
        <v>3469</v>
      </c>
      <c r="J422">
        <v>1</v>
      </c>
      <c r="K422" t="s">
        <v>4241</v>
      </c>
      <c r="L422">
        <v>67.900000000000006</v>
      </c>
      <c r="M422">
        <v>67.900000000000006</v>
      </c>
      <c r="N422" t="s">
        <v>4240</v>
      </c>
      <c r="O422" t="s">
        <v>466</v>
      </c>
    </row>
    <row r="423" spans="1:15" x14ac:dyDescent="0.3">
      <c r="A423">
        <v>239705</v>
      </c>
      <c r="B423">
        <v>116</v>
      </c>
      <c r="C423" t="s">
        <v>568</v>
      </c>
      <c r="D423" t="s">
        <v>2284</v>
      </c>
      <c r="E423" t="s">
        <v>2399</v>
      </c>
      <c r="F423" s="452">
        <v>46182</v>
      </c>
      <c r="G423">
        <v>21030</v>
      </c>
      <c r="H423" t="s">
        <v>3890</v>
      </c>
      <c r="I423" t="s">
        <v>3469</v>
      </c>
      <c r="J423">
        <v>6</v>
      </c>
      <c r="K423" t="s">
        <v>3872</v>
      </c>
      <c r="L423">
        <v>119.4</v>
      </c>
      <c r="M423">
        <v>19.899999999999999</v>
      </c>
      <c r="N423" t="s">
        <v>4240</v>
      </c>
      <c r="O423" t="s">
        <v>466</v>
      </c>
    </row>
    <row r="424" spans="1:15" x14ac:dyDescent="0.3">
      <c r="A424">
        <v>239704</v>
      </c>
      <c r="B424">
        <v>116</v>
      </c>
      <c r="C424" t="s">
        <v>568</v>
      </c>
      <c r="D424" t="s">
        <v>2273</v>
      </c>
      <c r="E424" t="s">
        <v>2400</v>
      </c>
      <c r="F424" s="452">
        <v>46184</v>
      </c>
      <c r="G424">
        <v>23335</v>
      </c>
      <c r="H424" t="s">
        <v>4075</v>
      </c>
      <c r="I424" t="s">
        <v>3469</v>
      </c>
      <c r="J424">
        <v>1</v>
      </c>
      <c r="K424" t="s">
        <v>3892</v>
      </c>
      <c r="L424">
        <v>40</v>
      </c>
      <c r="M424">
        <v>40</v>
      </c>
      <c r="N424" t="s">
        <v>4240</v>
      </c>
      <c r="O424" t="s">
        <v>466</v>
      </c>
    </row>
    <row r="425" spans="1:15" x14ac:dyDescent="0.3">
      <c r="A425">
        <v>239704</v>
      </c>
      <c r="B425">
        <v>116</v>
      </c>
      <c r="C425" t="s">
        <v>568</v>
      </c>
      <c r="D425" t="s">
        <v>2273</v>
      </c>
      <c r="E425" t="s">
        <v>2400</v>
      </c>
      <c r="F425" s="452">
        <v>46184</v>
      </c>
      <c r="G425">
        <v>24509</v>
      </c>
      <c r="H425" t="s">
        <v>3906</v>
      </c>
      <c r="I425" t="s">
        <v>3469</v>
      </c>
      <c r="J425">
        <v>20.25</v>
      </c>
      <c r="K425" t="s">
        <v>3892</v>
      </c>
      <c r="L425">
        <v>78.37</v>
      </c>
      <c r="M425">
        <v>3.870123</v>
      </c>
      <c r="N425" t="s">
        <v>4240</v>
      </c>
      <c r="O425" t="s">
        <v>466</v>
      </c>
    </row>
    <row r="426" spans="1:15" x14ac:dyDescent="0.3">
      <c r="A426">
        <v>239704</v>
      </c>
      <c r="B426">
        <v>116</v>
      </c>
      <c r="C426" t="s">
        <v>568</v>
      </c>
      <c r="D426" t="s">
        <v>2273</v>
      </c>
      <c r="E426" t="s">
        <v>2400</v>
      </c>
      <c r="F426" s="452">
        <v>46184</v>
      </c>
      <c r="G426">
        <v>23359</v>
      </c>
      <c r="H426" t="s">
        <v>3932</v>
      </c>
      <c r="I426" t="s">
        <v>3469</v>
      </c>
      <c r="J426">
        <v>10</v>
      </c>
      <c r="K426" t="s">
        <v>3892</v>
      </c>
      <c r="L426">
        <v>21.9</v>
      </c>
      <c r="M426">
        <v>2.19</v>
      </c>
      <c r="N426" t="s">
        <v>4240</v>
      </c>
      <c r="O426" t="s">
        <v>466</v>
      </c>
    </row>
    <row r="427" spans="1:15" x14ac:dyDescent="0.3">
      <c r="A427">
        <v>239704</v>
      </c>
      <c r="B427">
        <v>116</v>
      </c>
      <c r="C427" t="s">
        <v>568</v>
      </c>
      <c r="D427" t="s">
        <v>2273</v>
      </c>
      <c r="E427" t="s">
        <v>2400</v>
      </c>
      <c r="F427" s="452">
        <v>46184</v>
      </c>
      <c r="G427">
        <v>19623</v>
      </c>
      <c r="H427" t="s">
        <v>3984</v>
      </c>
      <c r="I427" t="s">
        <v>3469</v>
      </c>
      <c r="J427">
        <v>3</v>
      </c>
      <c r="K427" t="s">
        <v>3892</v>
      </c>
      <c r="L427">
        <v>18.690000000000001</v>
      </c>
      <c r="M427">
        <v>6.23</v>
      </c>
      <c r="N427" t="s">
        <v>4240</v>
      </c>
      <c r="O427" t="s">
        <v>466</v>
      </c>
    </row>
    <row r="428" spans="1:15" x14ac:dyDescent="0.3">
      <c r="A428">
        <v>239704</v>
      </c>
      <c r="B428">
        <v>116</v>
      </c>
      <c r="C428" t="s">
        <v>568</v>
      </c>
      <c r="D428" t="s">
        <v>2273</v>
      </c>
      <c r="E428" t="s">
        <v>2400</v>
      </c>
      <c r="F428" s="452">
        <v>46184</v>
      </c>
      <c r="G428">
        <v>19634</v>
      </c>
      <c r="H428" t="s">
        <v>4068</v>
      </c>
      <c r="I428" t="s">
        <v>3469</v>
      </c>
      <c r="J428">
        <v>2</v>
      </c>
      <c r="K428" t="s">
        <v>3892</v>
      </c>
      <c r="L428">
        <v>13.92</v>
      </c>
      <c r="M428">
        <v>6.96</v>
      </c>
      <c r="N428" t="s">
        <v>4240</v>
      </c>
      <c r="O428" t="s">
        <v>466</v>
      </c>
    </row>
    <row r="429" spans="1:15" x14ac:dyDescent="0.3">
      <c r="A429">
        <v>239704</v>
      </c>
      <c r="B429">
        <v>116</v>
      </c>
      <c r="C429" t="s">
        <v>568</v>
      </c>
      <c r="D429" t="s">
        <v>2273</v>
      </c>
      <c r="E429" t="s">
        <v>2400</v>
      </c>
      <c r="F429" s="452">
        <v>46184</v>
      </c>
      <c r="G429">
        <v>24083</v>
      </c>
      <c r="H429" t="s">
        <v>3898</v>
      </c>
      <c r="I429" t="s">
        <v>3469</v>
      </c>
      <c r="J429">
        <v>25</v>
      </c>
      <c r="K429" t="s">
        <v>3892</v>
      </c>
      <c r="L429">
        <v>235</v>
      </c>
      <c r="M429">
        <v>9.4</v>
      </c>
      <c r="N429" t="s">
        <v>4240</v>
      </c>
      <c r="O429" t="s">
        <v>466</v>
      </c>
    </row>
    <row r="430" spans="1:15" x14ac:dyDescent="0.3">
      <c r="A430">
        <v>239704</v>
      </c>
      <c r="B430">
        <v>116</v>
      </c>
      <c r="C430" t="s">
        <v>568</v>
      </c>
      <c r="D430" t="s">
        <v>2273</v>
      </c>
      <c r="E430" t="s">
        <v>2400</v>
      </c>
      <c r="F430" s="452">
        <v>46184</v>
      </c>
      <c r="G430">
        <v>24385</v>
      </c>
      <c r="H430" t="s">
        <v>4182</v>
      </c>
      <c r="I430" t="s">
        <v>3469</v>
      </c>
      <c r="J430">
        <v>2</v>
      </c>
      <c r="K430" t="s">
        <v>3892</v>
      </c>
      <c r="L430">
        <v>30.44</v>
      </c>
      <c r="M430">
        <v>15.22</v>
      </c>
      <c r="N430" t="s">
        <v>4240</v>
      </c>
      <c r="O430" t="s">
        <v>466</v>
      </c>
    </row>
    <row r="431" spans="1:15" x14ac:dyDescent="0.3">
      <c r="A431">
        <v>239704</v>
      </c>
      <c r="B431">
        <v>116</v>
      </c>
      <c r="C431" t="s">
        <v>568</v>
      </c>
      <c r="D431" t="s">
        <v>2273</v>
      </c>
      <c r="E431" t="s">
        <v>2400</v>
      </c>
      <c r="F431" s="452">
        <v>46184</v>
      </c>
      <c r="G431">
        <v>19572</v>
      </c>
      <c r="H431" t="s">
        <v>4023</v>
      </c>
      <c r="I431" t="s">
        <v>3469</v>
      </c>
      <c r="J431">
        <v>1.25</v>
      </c>
      <c r="K431" t="s">
        <v>3892</v>
      </c>
      <c r="L431">
        <v>12.41</v>
      </c>
      <c r="M431">
        <v>9.9280000000000008</v>
      </c>
      <c r="N431" t="s">
        <v>4240</v>
      </c>
      <c r="O431" t="s">
        <v>466</v>
      </c>
    </row>
    <row r="432" spans="1:15" x14ac:dyDescent="0.3">
      <c r="A432">
        <v>239704</v>
      </c>
      <c r="B432">
        <v>116</v>
      </c>
      <c r="C432" t="s">
        <v>568</v>
      </c>
      <c r="D432" t="s">
        <v>2273</v>
      </c>
      <c r="E432" t="s">
        <v>2400</v>
      </c>
      <c r="F432" s="452">
        <v>46184</v>
      </c>
      <c r="G432">
        <v>19787</v>
      </c>
      <c r="H432" t="s">
        <v>3940</v>
      </c>
      <c r="I432" t="s">
        <v>3469</v>
      </c>
      <c r="J432">
        <v>4.9000000000000004</v>
      </c>
      <c r="K432" t="s">
        <v>3892</v>
      </c>
      <c r="L432">
        <v>28.42</v>
      </c>
      <c r="M432">
        <v>5.8</v>
      </c>
      <c r="N432" t="s">
        <v>4240</v>
      </c>
      <c r="O432" t="s">
        <v>466</v>
      </c>
    </row>
    <row r="433" spans="1:15" x14ac:dyDescent="0.3">
      <c r="A433">
        <v>239703</v>
      </c>
      <c r="B433">
        <v>116</v>
      </c>
      <c r="C433" t="s">
        <v>568</v>
      </c>
      <c r="D433" t="s">
        <v>2277</v>
      </c>
      <c r="E433" t="s">
        <v>2401</v>
      </c>
      <c r="F433" s="452">
        <v>46184</v>
      </c>
      <c r="G433">
        <v>24331</v>
      </c>
      <c r="H433" t="s">
        <v>3960</v>
      </c>
      <c r="I433" t="s">
        <v>3469</v>
      </c>
      <c r="J433">
        <v>5</v>
      </c>
      <c r="K433" t="s">
        <v>3892</v>
      </c>
      <c r="L433">
        <v>104.25</v>
      </c>
      <c r="M433">
        <v>20.85</v>
      </c>
      <c r="N433" t="s">
        <v>4240</v>
      </c>
      <c r="O433" t="s">
        <v>466</v>
      </c>
    </row>
    <row r="434" spans="1:15" x14ac:dyDescent="0.3">
      <c r="A434">
        <v>239702</v>
      </c>
      <c r="B434">
        <v>116</v>
      </c>
      <c r="C434" t="s">
        <v>568</v>
      </c>
      <c r="D434" t="s">
        <v>2277</v>
      </c>
      <c r="E434" t="s">
        <v>2402</v>
      </c>
      <c r="F434" s="452">
        <v>46183</v>
      </c>
      <c r="G434">
        <v>20661</v>
      </c>
      <c r="H434" t="s">
        <v>3919</v>
      </c>
      <c r="I434" t="s">
        <v>3469</v>
      </c>
      <c r="J434">
        <v>6</v>
      </c>
      <c r="K434" t="s">
        <v>3872</v>
      </c>
      <c r="L434">
        <v>51.54</v>
      </c>
      <c r="M434">
        <v>8.59</v>
      </c>
      <c r="N434" t="s">
        <v>4240</v>
      </c>
      <c r="O434" t="s">
        <v>466</v>
      </c>
    </row>
    <row r="435" spans="1:15" x14ac:dyDescent="0.3">
      <c r="A435">
        <v>239702</v>
      </c>
      <c r="B435">
        <v>116</v>
      </c>
      <c r="C435" t="s">
        <v>568</v>
      </c>
      <c r="D435" t="s">
        <v>2277</v>
      </c>
      <c r="E435" t="s">
        <v>2402</v>
      </c>
      <c r="F435" s="452">
        <v>46183</v>
      </c>
      <c r="G435">
        <v>20729</v>
      </c>
      <c r="H435" t="s">
        <v>3965</v>
      </c>
      <c r="I435" t="s">
        <v>3469</v>
      </c>
      <c r="J435">
        <v>4</v>
      </c>
      <c r="K435" t="s">
        <v>3966</v>
      </c>
      <c r="L435">
        <v>271.52</v>
      </c>
      <c r="M435">
        <v>67.88</v>
      </c>
      <c r="N435" t="s">
        <v>4240</v>
      </c>
      <c r="O435" t="s">
        <v>466</v>
      </c>
    </row>
    <row r="436" spans="1:15" x14ac:dyDescent="0.3">
      <c r="A436">
        <v>239702</v>
      </c>
      <c r="B436">
        <v>116</v>
      </c>
      <c r="C436" t="s">
        <v>568</v>
      </c>
      <c r="D436" t="s">
        <v>2277</v>
      </c>
      <c r="E436" t="s">
        <v>2402</v>
      </c>
      <c r="F436" s="452">
        <v>46183</v>
      </c>
      <c r="G436">
        <v>20246</v>
      </c>
      <c r="H436" t="s">
        <v>3911</v>
      </c>
      <c r="I436" t="s">
        <v>3469</v>
      </c>
      <c r="J436">
        <v>10</v>
      </c>
      <c r="K436" t="s">
        <v>3872</v>
      </c>
      <c r="L436">
        <v>108.9</v>
      </c>
      <c r="M436">
        <v>10.89</v>
      </c>
      <c r="N436" t="s">
        <v>4240</v>
      </c>
      <c r="O436" t="s">
        <v>466</v>
      </c>
    </row>
    <row r="437" spans="1:15" x14ac:dyDescent="0.3">
      <c r="A437">
        <v>239700</v>
      </c>
      <c r="B437">
        <v>116</v>
      </c>
      <c r="C437" t="s">
        <v>568</v>
      </c>
      <c r="D437" t="s">
        <v>2280</v>
      </c>
      <c r="E437" t="s">
        <v>2403</v>
      </c>
      <c r="F437" s="452">
        <v>46184</v>
      </c>
      <c r="G437">
        <v>23096</v>
      </c>
      <c r="H437" t="s">
        <v>3876</v>
      </c>
      <c r="I437" t="s">
        <v>3469</v>
      </c>
      <c r="J437">
        <v>30</v>
      </c>
      <c r="K437" t="s">
        <v>3872</v>
      </c>
      <c r="L437">
        <v>18.600000000000001</v>
      </c>
      <c r="M437">
        <v>0.62</v>
      </c>
      <c r="N437" t="s">
        <v>4240</v>
      </c>
      <c r="O437" t="s">
        <v>466</v>
      </c>
    </row>
    <row r="438" spans="1:15" x14ac:dyDescent="0.3">
      <c r="A438">
        <v>239700</v>
      </c>
      <c r="B438">
        <v>116</v>
      </c>
      <c r="C438" t="s">
        <v>568</v>
      </c>
      <c r="D438" t="s">
        <v>2280</v>
      </c>
      <c r="E438" t="s">
        <v>2403</v>
      </c>
      <c r="F438" s="452">
        <v>46184</v>
      </c>
      <c r="G438">
        <v>19506</v>
      </c>
      <c r="H438" t="s">
        <v>4112</v>
      </c>
      <c r="I438" t="s">
        <v>3469</v>
      </c>
      <c r="J438">
        <v>0.3</v>
      </c>
      <c r="K438" t="s">
        <v>3892</v>
      </c>
      <c r="L438">
        <v>15.6</v>
      </c>
      <c r="M438">
        <v>52</v>
      </c>
      <c r="N438" t="s">
        <v>4240</v>
      </c>
      <c r="O438" t="s">
        <v>466</v>
      </c>
    </row>
    <row r="439" spans="1:15" x14ac:dyDescent="0.3">
      <c r="A439">
        <v>239700</v>
      </c>
      <c r="B439">
        <v>116</v>
      </c>
      <c r="C439" t="s">
        <v>568</v>
      </c>
      <c r="D439" t="s">
        <v>2280</v>
      </c>
      <c r="E439" t="s">
        <v>2403</v>
      </c>
      <c r="F439" s="452">
        <v>46184</v>
      </c>
      <c r="G439">
        <v>19740</v>
      </c>
      <c r="H439" t="s">
        <v>3933</v>
      </c>
      <c r="I439" t="s">
        <v>3469</v>
      </c>
      <c r="J439">
        <v>5</v>
      </c>
      <c r="K439" t="s">
        <v>3892</v>
      </c>
      <c r="L439">
        <v>45.5</v>
      </c>
      <c r="M439">
        <v>9.1</v>
      </c>
      <c r="N439" t="s">
        <v>4240</v>
      </c>
      <c r="O439" t="s">
        <v>466</v>
      </c>
    </row>
    <row r="440" spans="1:15" x14ac:dyDescent="0.3">
      <c r="A440">
        <v>239700</v>
      </c>
      <c r="B440">
        <v>116</v>
      </c>
      <c r="C440" t="s">
        <v>568</v>
      </c>
      <c r="D440" t="s">
        <v>2280</v>
      </c>
      <c r="E440" t="s">
        <v>2403</v>
      </c>
      <c r="F440" s="452">
        <v>46184</v>
      </c>
      <c r="G440">
        <v>19765</v>
      </c>
      <c r="H440" t="s">
        <v>4071</v>
      </c>
      <c r="I440" t="s">
        <v>3469</v>
      </c>
      <c r="J440">
        <v>1</v>
      </c>
      <c r="K440" t="s">
        <v>3892</v>
      </c>
      <c r="L440">
        <v>35.9</v>
      </c>
      <c r="M440">
        <v>35.9</v>
      </c>
      <c r="N440" t="s">
        <v>4240</v>
      </c>
      <c r="O440" t="s">
        <v>466</v>
      </c>
    </row>
    <row r="441" spans="1:15" x14ac:dyDescent="0.3">
      <c r="A441">
        <v>239700</v>
      </c>
      <c r="B441">
        <v>116</v>
      </c>
      <c r="C441" t="s">
        <v>568</v>
      </c>
      <c r="D441" t="s">
        <v>2280</v>
      </c>
      <c r="E441" t="s">
        <v>2403</v>
      </c>
      <c r="F441" s="452">
        <v>46184</v>
      </c>
      <c r="G441">
        <v>23142</v>
      </c>
      <c r="H441" t="s">
        <v>4151</v>
      </c>
      <c r="I441" t="s">
        <v>3469</v>
      </c>
      <c r="J441">
        <v>1</v>
      </c>
      <c r="K441" t="s">
        <v>3892</v>
      </c>
      <c r="L441">
        <v>20.420000000000002</v>
      </c>
      <c r="M441">
        <v>20.420000000000002</v>
      </c>
      <c r="N441" t="s">
        <v>4240</v>
      </c>
      <c r="O441" t="s">
        <v>466</v>
      </c>
    </row>
    <row r="442" spans="1:15" x14ac:dyDescent="0.3">
      <c r="A442">
        <v>239700</v>
      </c>
      <c r="B442">
        <v>116</v>
      </c>
      <c r="C442" t="s">
        <v>568</v>
      </c>
      <c r="D442" t="s">
        <v>2280</v>
      </c>
      <c r="E442" t="s">
        <v>2403</v>
      </c>
      <c r="F442" s="452">
        <v>46184</v>
      </c>
      <c r="G442">
        <v>23198</v>
      </c>
      <c r="H442" t="s">
        <v>4167</v>
      </c>
      <c r="I442" t="s">
        <v>3469</v>
      </c>
      <c r="J442">
        <v>1</v>
      </c>
      <c r="K442" t="s">
        <v>3892</v>
      </c>
      <c r="L442">
        <v>15.6</v>
      </c>
      <c r="M442">
        <v>15.6</v>
      </c>
      <c r="N442" t="s">
        <v>4240</v>
      </c>
      <c r="O442" t="s">
        <v>466</v>
      </c>
    </row>
    <row r="443" spans="1:15" x14ac:dyDescent="0.3">
      <c r="A443">
        <v>239698</v>
      </c>
      <c r="B443">
        <v>116</v>
      </c>
      <c r="C443" t="s">
        <v>568</v>
      </c>
      <c r="D443" t="s">
        <v>2280</v>
      </c>
      <c r="E443" t="s">
        <v>2404</v>
      </c>
      <c r="F443" s="452">
        <v>46181</v>
      </c>
      <c r="G443">
        <v>24484</v>
      </c>
      <c r="H443" t="s">
        <v>4154</v>
      </c>
      <c r="I443" t="s">
        <v>3469</v>
      </c>
      <c r="J443">
        <v>0.5</v>
      </c>
      <c r="K443" t="s">
        <v>3892</v>
      </c>
      <c r="L443">
        <v>9.75</v>
      </c>
      <c r="M443">
        <v>19.5</v>
      </c>
      <c r="N443" t="s">
        <v>3469</v>
      </c>
      <c r="O443" t="s">
        <v>466</v>
      </c>
    </row>
    <row r="444" spans="1:15" x14ac:dyDescent="0.3">
      <c r="A444">
        <v>239698</v>
      </c>
      <c r="B444">
        <v>116</v>
      </c>
      <c r="C444" t="s">
        <v>568</v>
      </c>
      <c r="D444" t="s">
        <v>2280</v>
      </c>
      <c r="E444" t="s">
        <v>2404</v>
      </c>
      <c r="F444" s="452">
        <v>46181</v>
      </c>
      <c r="G444">
        <v>23171</v>
      </c>
      <c r="H444" t="s">
        <v>4132</v>
      </c>
      <c r="I444" t="s">
        <v>3469</v>
      </c>
      <c r="J444">
        <v>3</v>
      </c>
      <c r="K444" t="s">
        <v>3892</v>
      </c>
      <c r="L444">
        <v>39</v>
      </c>
      <c r="M444">
        <v>13</v>
      </c>
      <c r="N444" t="s">
        <v>3469</v>
      </c>
      <c r="O444" t="s">
        <v>466</v>
      </c>
    </row>
    <row r="445" spans="1:15" x14ac:dyDescent="0.3">
      <c r="A445">
        <v>239698</v>
      </c>
      <c r="B445">
        <v>116</v>
      </c>
      <c r="C445" t="s">
        <v>568</v>
      </c>
      <c r="D445" t="s">
        <v>2280</v>
      </c>
      <c r="E445" t="s">
        <v>2404</v>
      </c>
      <c r="F445" s="452">
        <v>46181</v>
      </c>
      <c r="G445">
        <v>23096</v>
      </c>
      <c r="H445" t="s">
        <v>3876</v>
      </c>
      <c r="I445" t="s">
        <v>3469</v>
      </c>
      <c r="J445">
        <v>30</v>
      </c>
      <c r="K445" t="s">
        <v>3872</v>
      </c>
      <c r="L445">
        <v>18.600000000000001</v>
      </c>
      <c r="M445">
        <v>0.62</v>
      </c>
      <c r="N445" t="s">
        <v>3469</v>
      </c>
      <c r="O445" t="s">
        <v>466</v>
      </c>
    </row>
    <row r="446" spans="1:15" x14ac:dyDescent="0.3">
      <c r="A446">
        <v>239698</v>
      </c>
      <c r="B446">
        <v>116</v>
      </c>
      <c r="C446" t="s">
        <v>568</v>
      </c>
      <c r="D446" t="s">
        <v>2280</v>
      </c>
      <c r="E446" t="s">
        <v>2404</v>
      </c>
      <c r="F446" s="452">
        <v>46181</v>
      </c>
      <c r="G446">
        <v>23142</v>
      </c>
      <c r="H446" t="s">
        <v>4151</v>
      </c>
      <c r="I446" t="s">
        <v>3469</v>
      </c>
      <c r="J446">
        <v>1</v>
      </c>
      <c r="K446" t="s">
        <v>3892</v>
      </c>
      <c r="L446">
        <v>20.420000000000002</v>
      </c>
      <c r="M446">
        <v>20.420000000000002</v>
      </c>
      <c r="N446" t="s">
        <v>3469</v>
      </c>
      <c r="O446" t="s">
        <v>466</v>
      </c>
    </row>
    <row r="447" spans="1:15" x14ac:dyDescent="0.3">
      <c r="A447">
        <v>239698</v>
      </c>
      <c r="B447">
        <v>116</v>
      </c>
      <c r="C447" t="s">
        <v>568</v>
      </c>
      <c r="D447" t="s">
        <v>2280</v>
      </c>
      <c r="E447" t="s">
        <v>2404</v>
      </c>
      <c r="F447" s="452">
        <v>46181</v>
      </c>
      <c r="G447">
        <v>19458</v>
      </c>
      <c r="H447" t="s">
        <v>4212</v>
      </c>
      <c r="I447" t="s">
        <v>3469</v>
      </c>
      <c r="J447">
        <v>1</v>
      </c>
      <c r="K447" t="s">
        <v>3892</v>
      </c>
      <c r="L447">
        <v>19.93</v>
      </c>
      <c r="M447">
        <v>19.93</v>
      </c>
      <c r="N447" t="s">
        <v>3469</v>
      </c>
      <c r="O447" t="s">
        <v>466</v>
      </c>
    </row>
    <row r="448" spans="1:15" x14ac:dyDescent="0.3">
      <c r="A448">
        <v>239698</v>
      </c>
      <c r="B448">
        <v>116</v>
      </c>
      <c r="C448" t="s">
        <v>568</v>
      </c>
      <c r="D448" t="s">
        <v>2280</v>
      </c>
      <c r="E448" t="s">
        <v>2404</v>
      </c>
      <c r="F448" s="452">
        <v>46181</v>
      </c>
      <c r="G448">
        <v>19506</v>
      </c>
      <c r="H448" t="s">
        <v>4112</v>
      </c>
      <c r="I448" t="s">
        <v>3469</v>
      </c>
      <c r="J448">
        <v>0.2</v>
      </c>
      <c r="K448" t="s">
        <v>3892</v>
      </c>
      <c r="L448">
        <v>10.4</v>
      </c>
      <c r="M448">
        <v>52</v>
      </c>
      <c r="N448" t="s">
        <v>3469</v>
      </c>
      <c r="O448" t="s">
        <v>466</v>
      </c>
    </row>
    <row r="449" spans="1:15" x14ac:dyDescent="0.3">
      <c r="A449">
        <v>239696</v>
      </c>
      <c r="B449">
        <v>116</v>
      </c>
      <c r="C449" t="s">
        <v>568</v>
      </c>
      <c r="D449" t="s">
        <v>2262</v>
      </c>
      <c r="E449" t="s">
        <v>2405</v>
      </c>
      <c r="F449" s="452">
        <v>46183</v>
      </c>
      <c r="G449">
        <v>27312</v>
      </c>
      <c r="H449" t="s">
        <v>3927</v>
      </c>
      <c r="I449" t="s">
        <v>3469</v>
      </c>
      <c r="J449">
        <v>21.2</v>
      </c>
      <c r="K449" t="s">
        <v>3892</v>
      </c>
      <c r="L449">
        <v>1121.48</v>
      </c>
      <c r="M449">
        <v>52.9</v>
      </c>
      <c r="N449" t="s">
        <v>3469</v>
      </c>
      <c r="O449" t="s">
        <v>466</v>
      </c>
    </row>
    <row r="450" spans="1:15" x14ac:dyDescent="0.3">
      <c r="A450">
        <v>239696</v>
      </c>
      <c r="B450">
        <v>116</v>
      </c>
      <c r="C450" t="s">
        <v>568</v>
      </c>
      <c r="D450" t="s">
        <v>2262</v>
      </c>
      <c r="E450" t="s">
        <v>2405</v>
      </c>
      <c r="F450" s="452">
        <v>46183</v>
      </c>
      <c r="G450">
        <v>20501</v>
      </c>
      <c r="H450" t="s">
        <v>4219</v>
      </c>
      <c r="I450" t="s">
        <v>3469</v>
      </c>
      <c r="J450">
        <v>5</v>
      </c>
      <c r="K450" t="s">
        <v>3892</v>
      </c>
      <c r="L450">
        <v>109.5</v>
      </c>
      <c r="M450">
        <v>21.9</v>
      </c>
      <c r="N450" t="s">
        <v>3469</v>
      </c>
      <c r="O450" t="s">
        <v>466</v>
      </c>
    </row>
    <row r="451" spans="1:15" x14ac:dyDescent="0.3">
      <c r="A451">
        <v>239696</v>
      </c>
      <c r="B451">
        <v>116</v>
      </c>
      <c r="C451" t="s">
        <v>568</v>
      </c>
      <c r="D451" t="s">
        <v>2262</v>
      </c>
      <c r="E451" t="s">
        <v>2405</v>
      </c>
      <c r="F451" s="452">
        <v>46183</v>
      </c>
      <c r="G451">
        <v>19034</v>
      </c>
      <c r="H451" t="s">
        <v>3989</v>
      </c>
      <c r="I451" t="s">
        <v>3469</v>
      </c>
      <c r="J451">
        <v>5.7</v>
      </c>
      <c r="K451" t="s">
        <v>3892</v>
      </c>
      <c r="L451">
        <v>51.3</v>
      </c>
      <c r="M451">
        <v>9</v>
      </c>
      <c r="N451" t="s">
        <v>3469</v>
      </c>
      <c r="O451" t="s">
        <v>466</v>
      </c>
    </row>
    <row r="452" spans="1:15" x14ac:dyDescent="0.3">
      <c r="A452">
        <v>239695</v>
      </c>
      <c r="B452">
        <v>116</v>
      </c>
      <c r="C452" t="s">
        <v>568</v>
      </c>
      <c r="D452" t="s">
        <v>2262</v>
      </c>
      <c r="E452" t="s">
        <v>2406</v>
      </c>
      <c r="F452" s="452">
        <v>46184</v>
      </c>
      <c r="G452">
        <v>24259</v>
      </c>
      <c r="H452" t="s">
        <v>3895</v>
      </c>
      <c r="I452" t="s">
        <v>3469</v>
      </c>
      <c r="J452">
        <v>16.3</v>
      </c>
      <c r="K452" t="s">
        <v>3892</v>
      </c>
      <c r="L452">
        <v>1320.14</v>
      </c>
      <c r="M452">
        <v>80.990183999999999</v>
      </c>
      <c r="N452" t="s">
        <v>4240</v>
      </c>
      <c r="O452" t="s">
        <v>466</v>
      </c>
    </row>
    <row r="453" spans="1:15" x14ac:dyDescent="0.3">
      <c r="A453">
        <v>239693</v>
      </c>
      <c r="B453">
        <v>116</v>
      </c>
      <c r="C453" t="s">
        <v>568</v>
      </c>
      <c r="D453" t="s">
        <v>2280</v>
      </c>
      <c r="E453" t="s">
        <v>2407</v>
      </c>
      <c r="F453" s="452">
        <v>46178</v>
      </c>
      <c r="G453">
        <v>19740</v>
      </c>
      <c r="H453" t="s">
        <v>3933</v>
      </c>
      <c r="I453" t="s">
        <v>3469</v>
      </c>
      <c r="J453">
        <v>4</v>
      </c>
      <c r="K453" t="s">
        <v>3892</v>
      </c>
      <c r="L453">
        <v>31.2</v>
      </c>
      <c r="M453">
        <v>7.8</v>
      </c>
      <c r="N453" t="s">
        <v>3469</v>
      </c>
      <c r="O453" t="s">
        <v>466</v>
      </c>
    </row>
    <row r="454" spans="1:15" x14ac:dyDescent="0.3">
      <c r="A454">
        <v>239693</v>
      </c>
      <c r="B454">
        <v>116</v>
      </c>
      <c r="C454" t="s">
        <v>568</v>
      </c>
      <c r="D454" t="s">
        <v>2280</v>
      </c>
      <c r="E454" t="s">
        <v>2407</v>
      </c>
      <c r="F454" s="452">
        <v>46178</v>
      </c>
      <c r="G454">
        <v>19672</v>
      </c>
      <c r="H454" t="s">
        <v>4024</v>
      </c>
      <c r="I454" t="s">
        <v>3469</v>
      </c>
      <c r="J454">
        <v>2</v>
      </c>
      <c r="K454" t="s">
        <v>3892</v>
      </c>
      <c r="L454">
        <v>26</v>
      </c>
      <c r="M454">
        <v>13</v>
      </c>
      <c r="N454" t="s">
        <v>3469</v>
      </c>
      <c r="O454" t="s">
        <v>466</v>
      </c>
    </row>
    <row r="455" spans="1:15" x14ac:dyDescent="0.3">
      <c r="A455">
        <v>239693</v>
      </c>
      <c r="B455">
        <v>116</v>
      </c>
      <c r="C455" t="s">
        <v>568</v>
      </c>
      <c r="D455" t="s">
        <v>2280</v>
      </c>
      <c r="E455" t="s">
        <v>2407</v>
      </c>
      <c r="F455" s="452">
        <v>46178</v>
      </c>
      <c r="G455">
        <v>23361</v>
      </c>
      <c r="H455" t="s">
        <v>4220</v>
      </c>
      <c r="I455" t="s">
        <v>3469</v>
      </c>
      <c r="J455">
        <v>20</v>
      </c>
      <c r="K455" t="s">
        <v>3892</v>
      </c>
      <c r="L455">
        <v>52</v>
      </c>
      <c r="M455">
        <v>2.6</v>
      </c>
      <c r="N455" t="s">
        <v>3469</v>
      </c>
      <c r="O455" t="s">
        <v>466</v>
      </c>
    </row>
    <row r="456" spans="1:15" x14ac:dyDescent="0.3">
      <c r="A456">
        <v>239693</v>
      </c>
      <c r="B456">
        <v>116</v>
      </c>
      <c r="C456" t="s">
        <v>568</v>
      </c>
      <c r="D456" t="s">
        <v>2280</v>
      </c>
      <c r="E456" t="s">
        <v>2407</v>
      </c>
      <c r="F456" s="452">
        <v>46178</v>
      </c>
      <c r="G456">
        <v>23198</v>
      </c>
      <c r="H456" t="s">
        <v>4167</v>
      </c>
      <c r="I456" t="s">
        <v>3469</v>
      </c>
      <c r="J456">
        <v>1.5</v>
      </c>
      <c r="K456" t="s">
        <v>3892</v>
      </c>
      <c r="L456">
        <v>25.35</v>
      </c>
      <c r="M456">
        <v>16.899999999999999</v>
      </c>
      <c r="N456" t="s">
        <v>3469</v>
      </c>
      <c r="O456" t="s">
        <v>466</v>
      </c>
    </row>
    <row r="457" spans="1:15" x14ac:dyDescent="0.3">
      <c r="A457">
        <v>239693</v>
      </c>
      <c r="B457">
        <v>116</v>
      </c>
      <c r="C457" t="s">
        <v>568</v>
      </c>
      <c r="D457" t="s">
        <v>2280</v>
      </c>
      <c r="E457" t="s">
        <v>2407</v>
      </c>
      <c r="F457" s="452">
        <v>46178</v>
      </c>
      <c r="G457">
        <v>23096</v>
      </c>
      <c r="H457" t="s">
        <v>3876</v>
      </c>
      <c r="I457" t="s">
        <v>3469</v>
      </c>
      <c r="J457">
        <v>30</v>
      </c>
      <c r="K457" t="s">
        <v>3872</v>
      </c>
      <c r="L457">
        <v>18.600000000000001</v>
      </c>
      <c r="M457">
        <v>0.62</v>
      </c>
      <c r="N457" t="s">
        <v>3469</v>
      </c>
      <c r="O457" t="s">
        <v>466</v>
      </c>
    </row>
    <row r="458" spans="1:15" x14ac:dyDescent="0.3">
      <c r="A458">
        <v>239686</v>
      </c>
      <c r="B458">
        <v>116</v>
      </c>
      <c r="C458" t="s">
        <v>568</v>
      </c>
      <c r="D458" t="s">
        <v>2408</v>
      </c>
      <c r="E458" t="s">
        <v>2409</v>
      </c>
      <c r="F458" s="452">
        <v>46184</v>
      </c>
      <c r="G458">
        <v>24550</v>
      </c>
      <c r="H458" t="s">
        <v>4270</v>
      </c>
      <c r="I458" t="s">
        <v>4202</v>
      </c>
      <c r="J458">
        <v>120</v>
      </c>
      <c r="K458" t="s">
        <v>3872</v>
      </c>
      <c r="L458">
        <v>692.4</v>
      </c>
      <c r="M458">
        <v>5.77</v>
      </c>
      <c r="N458" t="s">
        <v>4256</v>
      </c>
      <c r="O458" t="s">
        <v>466</v>
      </c>
    </row>
    <row r="459" spans="1:15" x14ac:dyDescent="0.3">
      <c r="A459">
        <v>239684</v>
      </c>
      <c r="B459">
        <v>116</v>
      </c>
      <c r="C459" t="s">
        <v>568</v>
      </c>
      <c r="D459" t="s">
        <v>2410</v>
      </c>
      <c r="E459" t="s">
        <v>2352</v>
      </c>
      <c r="F459" s="452">
        <v>46182</v>
      </c>
      <c r="G459">
        <v>18475</v>
      </c>
      <c r="H459" t="s">
        <v>3918</v>
      </c>
      <c r="I459" t="s">
        <v>3497</v>
      </c>
      <c r="J459">
        <v>12</v>
      </c>
      <c r="K459" t="s">
        <v>3878</v>
      </c>
      <c r="L459">
        <v>394.8</v>
      </c>
      <c r="M459">
        <v>32.9</v>
      </c>
      <c r="N459" t="s">
        <v>3497</v>
      </c>
      <c r="O459" t="s">
        <v>466</v>
      </c>
    </row>
    <row r="460" spans="1:15" x14ac:dyDescent="0.3">
      <c r="A460">
        <v>239684</v>
      </c>
      <c r="B460">
        <v>116</v>
      </c>
      <c r="C460" t="s">
        <v>568</v>
      </c>
      <c r="D460" t="s">
        <v>2410</v>
      </c>
      <c r="E460" t="s">
        <v>2352</v>
      </c>
      <c r="F460" s="452">
        <v>46182</v>
      </c>
      <c r="G460">
        <v>18493</v>
      </c>
      <c r="H460" t="s">
        <v>3958</v>
      </c>
      <c r="I460" t="s">
        <v>3497</v>
      </c>
      <c r="J460">
        <v>4</v>
      </c>
      <c r="K460" t="s">
        <v>3878</v>
      </c>
      <c r="L460">
        <v>279.60000000000002</v>
      </c>
      <c r="M460">
        <v>69.900000000000006</v>
      </c>
      <c r="N460" t="s">
        <v>3497</v>
      </c>
      <c r="O460" t="s">
        <v>466</v>
      </c>
    </row>
    <row r="461" spans="1:15" x14ac:dyDescent="0.3">
      <c r="A461">
        <v>239682</v>
      </c>
      <c r="B461">
        <v>116</v>
      </c>
      <c r="C461" t="s">
        <v>568</v>
      </c>
      <c r="D461" t="s">
        <v>2338</v>
      </c>
      <c r="E461" t="s">
        <v>2411</v>
      </c>
      <c r="F461" s="452">
        <v>46181</v>
      </c>
      <c r="G461">
        <v>20301</v>
      </c>
      <c r="H461" t="s">
        <v>4161</v>
      </c>
      <c r="I461" t="s">
        <v>3469</v>
      </c>
      <c r="J461">
        <v>12</v>
      </c>
      <c r="K461" t="s">
        <v>3888</v>
      </c>
      <c r="L461">
        <v>252</v>
      </c>
      <c r="M461">
        <v>21</v>
      </c>
      <c r="N461" t="s">
        <v>3469</v>
      </c>
      <c r="O461" t="s">
        <v>466</v>
      </c>
    </row>
    <row r="462" spans="1:15" x14ac:dyDescent="0.3">
      <c r="A462">
        <v>239682</v>
      </c>
      <c r="B462">
        <v>116</v>
      </c>
      <c r="C462" t="s">
        <v>568</v>
      </c>
      <c r="D462" t="s">
        <v>2338</v>
      </c>
      <c r="E462" t="s">
        <v>2411</v>
      </c>
      <c r="F462" s="452">
        <v>46181</v>
      </c>
      <c r="G462">
        <v>20984</v>
      </c>
      <c r="H462" t="s">
        <v>4235</v>
      </c>
      <c r="I462" t="s">
        <v>3469</v>
      </c>
      <c r="J462">
        <v>48</v>
      </c>
      <c r="K462" t="s">
        <v>3931</v>
      </c>
      <c r="L462">
        <v>391.2</v>
      </c>
      <c r="M462">
        <v>8.15</v>
      </c>
      <c r="N462" t="s">
        <v>3469</v>
      </c>
      <c r="O462" t="s">
        <v>466</v>
      </c>
    </row>
    <row r="463" spans="1:15" x14ac:dyDescent="0.3">
      <c r="A463">
        <v>239681</v>
      </c>
      <c r="B463">
        <v>116</v>
      </c>
      <c r="C463" t="s">
        <v>568</v>
      </c>
      <c r="D463" t="s">
        <v>2310</v>
      </c>
      <c r="E463" t="s">
        <v>2412</v>
      </c>
      <c r="F463" s="452">
        <v>46183</v>
      </c>
      <c r="G463">
        <v>20234</v>
      </c>
      <c r="H463" t="s">
        <v>3979</v>
      </c>
      <c r="I463" t="s">
        <v>3469</v>
      </c>
      <c r="J463">
        <v>5</v>
      </c>
      <c r="K463" t="s">
        <v>3892</v>
      </c>
      <c r="L463">
        <v>109.5</v>
      </c>
      <c r="M463">
        <v>21.9</v>
      </c>
      <c r="N463" t="s">
        <v>3469</v>
      </c>
      <c r="O463" t="s">
        <v>466</v>
      </c>
    </row>
    <row r="464" spans="1:15" x14ac:dyDescent="0.3">
      <c r="A464">
        <v>239681</v>
      </c>
      <c r="B464">
        <v>116</v>
      </c>
      <c r="C464" t="s">
        <v>568</v>
      </c>
      <c r="D464" t="s">
        <v>2310</v>
      </c>
      <c r="E464" t="s">
        <v>2412</v>
      </c>
      <c r="F464" s="452">
        <v>46183</v>
      </c>
      <c r="G464">
        <v>20624</v>
      </c>
      <c r="H464" t="s">
        <v>3982</v>
      </c>
      <c r="I464" t="s">
        <v>3469</v>
      </c>
      <c r="J464">
        <v>2</v>
      </c>
      <c r="K464" t="s">
        <v>3872</v>
      </c>
      <c r="L464">
        <v>141.80000000000001</v>
      </c>
      <c r="M464">
        <v>70.900000000000006</v>
      </c>
      <c r="N464" t="s">
        <v>3469</v>
      </c>
      <c r="O464" t="s">
        <v>466</v>
      </c>
    </row>
    <row r="465" spans="1:15" x14ac:dyDescent="0.3">
      <c r="A465">
        <v>239680</v>
      </c>
      <c r="B465">
        <v>116</v>
      </c>
      <c r="C465" t="s">
        <v>568</v>
      </c>
      <c r="D465" t="s">
        <v>2310</v>
      </c>
      <c r="E465" t="s">
        <v>2352</v>
      </c>
      <c r="F465" s="452">
        <v>46183</v>
      </c>
      <c r="G465">
        <v>20702</v>
      </c>
      <c r="H465" t="s">
        <v>4006</v>
      </c>
      <c r="I465" t="s">
        <v>3469</v>
      </c>
      <c r="J465">
        <v>1</v>
      </c>
      <c r="K465" t="s">
        <v>3966</v>
      </c>
      <c r="L465">
        <v>42.9</v>
      </c>
      <c r="M465">
        <v>42.9</v>
      </c>
      <c r="N465" t="s">
        <v>4240</v>
      </c>
      <c r="O465" t="s">
        <v>466</v>
      </c>
    </row>
    <row r="466" spans="1:15" x14ac:dyDescent="0.3">
      <c r="A466">
        <v>239679</v>
      </c>
      <c r="B466">
        <v>116</v>
      </c>
      <c r="C466" t="s">
        <v>568</v>
      </c>
      <c r="D466" t="s">
        <v>2314</v>
      </c>
      <c r="E466" t="s">
        <v>2413</v>
      </c>
      <c r="F466" s="452">
        <v>46182</v>
      </c>
      <c r="G466">
        <v>18640</v>
      </c>
      <c r="H466" t="s">
        <v>3994</v>
      </c>
      <c r="I466" t="s">
        <v>3497</v>
      </c>
      <c r="J466">
        <v>3</v>
      </c>
      <c r="K466" t="s">
        <v>3922</v>
      </c>
      <c r="L466">
        <v>918</v>
      </c>
      <c r="M466">
        <v>306</v>
      </c>
      <c r="N466" t="s">
        <v>3497</v>
      </c>
      <c r="O466" t="s">
        <v>466</v>
      </c>
    </row>
    <row r="467" spans="1:15" x14ac:dyDescent="0.3">
      <c r="A467">
        <v>239677</v>
      </c>
      <c r="B467">
        <v>116</v>
      </c>
      <c r="C467" t="s">
        <v>568</v>
      </c>
      <c r="D467" t="s">
        <v>2314</v>
      </c>
      <c r="E467" t="s">
        <v>2414</v>
      </c>
      <c r="F467" s="452">
        <v>46182</v>
      </c>
      <c r="G467">
        <v>17895</v>
      </c>
      <c r="H467" t="s">
        <v>4137</v>
      </c>
      <c r="I467" t="s">
        <v>3497</v>
      </c>
      <c r="J467">
        <v>10</v>
      </c>
      <c r="K467" t="s">
        <v>3888</v>
      </c>
      <c r="L467">
        <v>283.2</v>
      </c>
      <c r="M467">
        <v>28.32</v>
      </c>
      <c r="N467" t="s">
        <v>3497</v>
      </c>
      <c r="O467" t="s">
        <v>466</v>
      </c>
    </row>
    <row r="468" spans="1:15" x14ac:dyDescent="0.3">
      <c r="A468">
        <v>239677</v>
      </c>
      <c r="B468">
        <v>116</v>
      </c>
      <c r="C468" t="s">
        <v>568</v>
      </c>
      <c r="D468" t="s">
        <v>2314</v>
      </c>
      <c r="E468" t="s">
        <v>2414</v>
      </c>
      <c r="F468" s="452">
        <v>46182</v>
      </c>
      <c r="G468">
        <v>17918</v>
      </c>
      <c r="H468" t="s">
        <v>4034</v>
      </c>
      <c r="I468" t="s">
        <v>3497</v>
      </c>
      <c r="J468">
        <v>2</v>
      </c>
      <c r="K468" t="s">
        <v>3888</v>
      </c>
      <c r="L468">
        <v>86.4</v>
      </c>
      <c r="M468">
        <v>43.2</v>
      </c>
      <c r="N468" t="s">
        <v>3497</v>
      </c>
      <c r="O468" t="s">
        <v>466</v>
      </c>
    </row>
    <row r="469" spans="1:15" x14ac:dyDescent="0.3">
      <c r="A469">
        <v>239677</v>
      </c>
      <c r="B469">
        <v>116</v>
      </c>
      <c r="C469" t="s">
        <v>568</v>
      </c>
      <c r="D469" t="s">
        <v>2314</v>
      </c>
      <c r="E469" t="s">
        <v>2414</v>
      </c>
      <c r="F469" s="452">
        <v>46182</v>
      </c>
      <c r="G469">
        <v>17905</v>
      </c>
      <c r="H469" t="s">
        <v>4139</v>
      </c>
      <c r="I469" t="s">
        <v>3497</v>
      </c>
      <c r="J469">
        <v>6</v>
      </c>
      <c r="K469" t="s">
        <v>3888</v>
      </c>
      <c r="L469">
        <v>153.18</v>
      </c>
      <c r="M469">
        <v>25.53</v>
      </c>
      <c r="N469" t="s">
        <v>3497</v>
      </c>
      <c r="O469" t="s">
        <v>466</v>
      </c>
    </row>
    <row r="470" spans="1:15" x14ac:dyDescent="0.3">
      <c r="A470">
        <v>239677</v>
      </c>
      <c r="B470">
        <v>116</v>
      </c>
      <c r="C470" t="s">
        <v>568</v>
      </c>
      <c r="D470" t="s">
        <v>2314</v>
      </c>
      <c r="E470" t="s">
        <v>2414</v>
      </c>
      <c r="F470" s="452">
        <v>46182</v>
      </c>
      <c r="G470">
        <v>17896</v>
      </c>
      <c r="H470" t="s">
        <v>3972</v>
      </c>
      <c r="I470" t="s">
        <v>3497</v>
      </c>
      <c r="J470">
        <v>2</v>
      </c>
      <c r="K470" t="s">
        <v>3888</v>
      </c>
      <c r="L470">
        <v>80.58</v>
      </c>
      <c r="M470">
        <v>40.29</v>
      </c>
      <c r="N470" t="s">
        <v>3497</v>
      </c>
      <c r="O470" t="s">
        <v>466</v>
      </c>
    </row>
    <row r="471" spans="1:15" x14ac:dyDescent="0.3">
      <c r="A471">
        <v>239677</v>
      </c>
      <c r="B471">
        <v>116</v>
      </c>
      <c r="C471" t="s">
        <v>568</v>
      </c>
      <c r="D471" t="s">
        <v>2314</v>
      </c>
      <c r="E471" t="s">
        <v>2414</v>
      </c>
      <c r="F471" s="452">
        <v>46182</v>
      </c>
      <c r="G471">
        <v>17886</v>
      </c>
      <c r="H471" t="s">
        <v>3935</v>
      </c>
      <c r="I471" t="s">
        <v>3497</v>
      </c>
      <c r="J471">
        <v>10</v>
      </c>
      <c r="K471" t="s">
        <v>3888</v>
      </c>
      <c r="L471">
        <v>283.2</v>
      </c>
      <c r="M471">
        <v>28.32</v>
      </c>
      <c r="N471" t="s">
        <v>3497</v>
      </c>
      <c r="O471" t="s">
        <v>466</v>
      </c>
    </row>
    <row r="472" spans="1:15" x14ac:dyDescent="0.3">
      <c r="A472">
        <v>239677</v>
      </c>
      <c r="B472">
        <v>116</v>
      </c>
      <c r="C472" t="s">
        <v>568</v>
      </c>
      <c r="D472" t="s">
        <v>2314</v>
      </c>
      <c r="E472" t="s">
        <v>2414</v>
      </c>
      <c r="F472" s="452">
        <v>46182</v>
      </c>
      <c r="G472">
        <v>17914</v>
      </c>
      <c r="H472" t="s">
        <v>3997</v>
      </c>
      <c r="I472" t="s">
        <v>3497</v>
      </c>
      <c r="J472">
        <v>2</v>
      </c>
      <c r="K472" t="s">
        <v>3888</v>
      </c>
      <c r="L472">
        <v>64.48</v>
      </c>
      <c r="M472">
        <v>32.24</v>
      </c>
      <c r="N472" t="s">
        <v>3497</v>
      </c>
      <c r="O472" t="s">
        <v>466</v>
      </c>
    </row>
    <row r="473" spans="1:15" x14ac:dyDescent="0.3">
      <c r="A473">
        <v>239677</v>
      </c>
      <c r="B473">
        <v>116</v>
      </c>
      <c r="C473" t="s">
        <v>568</v>
      </c>
      <c r="D473" t="s">
        <v>2314</v>
      </c>
      <c r="E473" t="s">
        <v>2414</v>
      </c>
      <c r="F473" s="452">
        <v>46182</v>
      </c>
      <c r="G473">
        <v>17916</v>
      </c>
      <c r="H473" t="s">
        <v>4191</v>
      </c>
      <c r="I473" t="s">
        <v>3497</v>
      </c>
      <c r="J473">
        <v>2</v>
      </c>
      <c r="K473" t="s">
        <v>3888</v>
      </c>
      <c r="L473">
        <v>57.6</v>
      </c>
      <c r="M473">
        <v>28.8</v>
      </c>
      <c r="N473" t="s">
        <v>3497</v>
      </c>
      <c r="O473" t="s">
        <v>466</v>
      </c>
    </row>
    <row r="474" spans="1:15" x14ac:dyDescent="0.3">
      <c r="A474">
        <v>239677</v>
      </c>
      <c r="B474">
        <v>116</v>
      </c>
      <c r="C474" t="s">
        <v>568</v>
      </c>
      <c r="D474" t="s">
        <v>2314</v>
      </c>
      <c r="E474" t="s">
        <v>2414</v>
      </c>
      <c r="F474" s="452">
        <v>46182</v>
      </c>
      <c r="G474">
        <v>17897</v>
      </c>
      <c r="H474" t="s">
        <v>4094</v>
      </c>
      <c r="I474" t="s">
        <v>3497</v>
      </c>
      <c r="J474">
        <v>2</v>
      </c>
      <c r="K474" t="s">
        <v>3888</v>
      </c>
      <c r="L474">
        <v>80.58</v>
      </c>
      <c r="M474">
        <v>40.29</v>
      </c>
      <c r="N474" t="s">
        <v>3497</v>
      </c>
      <c r="O474" t="s">
        <v>466</v>
      </c>
    </row>
    <row r="475" spans="1:15" x14ac:dyDescent="0.3">
      <c r="A475">
        <v>239676</v>
      </c>
      <c r="B475">
        <v>116</v>
      </c>
      <c r="C475" t="s">
        <v>568</v>
      </c>
      <c r="D475" t="s">
        <v>2314</v>
      </c>
      <c r="E475" t="s">
        <v>2415</v>
      </c>
      <c r="F475" s="452">
        <v>46182</v>
      </c>
      <c r="G475">
        <v>18636</v>
      </c>
      <c r="H475" t="s">
        <v>3921</v>
      </c>
      <c r="I475" t="s">
        <v>3497</v>
      </c>
      <c r="J475">
        <v>12</v>
      </c>
      <c r="K475" t="s">
        <v>3922</v>
      </c>
      <c r="L475">
        <v>5793.6</v>
      </c>
      <c r="M475">
        <v>482.8</v>
      </c>
      <c r="N475" t="s">
        <v>3497</v>
      </c>
      <c r="O475" t="s">
        <v>466</v>
      </c>
    </row>
    <row r="476" spans="1:15" x14ac:dyDescent="0.3">
      <c r="A476">
        <v>239507</v>
      </c>
      <c r="B476">
        <v>116</v>
      </c>
      <c r="C476" t="s">
        <v>568</v>
      </c>
      <c r="D476" t="s">
        <v>2282</v>
      </c>
      <c r="E476" t="s">
        <v>2416</v>
      </c>
      <c r="F476" s="452">
        <v>46183</v>
      </c>
      <c r="G476">
        <v>24497</v>
      </c>
      <c r="H476" t="s">
        <v>4214</v>
      </c>
      <c r="I476" t="s">
        <v>4215</v>
      </c>
      <c r="J476">
        <v>2</v>
      </c>
      <c r="K476" t="s">
        <v>3872</v>
      </c>
      <c r="L476">
        <v>269.10000000000002</v>
      </c>
      <c r="M476">
        <v>134.55000000000001</v>
      </c>
      <c r="N476" t="s">
        <v>4239</v>
      </c>
      <c r="O476" t="s">
        <v>466</v>
      </c>
    </row>
    <row r="477" spans="1:15" x14ac:dyDescent="0.3">
      <c r="A477">
        <v>239506</v>
      </c>
      <c r="B477">
        <v>116</v>
      </c>
      <c r="C477" t="s">
        <v>568</v>
      </c>
      <c r="D477" t="s">
        <v>2325</v>
      </c>
      <c r="E477" t="s">
        <v>2417</v>
      </c>
      <c r="F477" s="452">
        <v>46182</v>
      </c>
      <c r="G477">
        <v>21618</v>
      </c>
      <c r="H477" t="s">
        <v>4233</v>
      </c>
      <c r="I477" t="s">
        <v>4199</v>
      </c>
      <c r="J477">
        <v>10</v>
      </c>
      <c r="K477" t="s">
        <v>4203</v>
      </c>
      <c r="L477">
        <v>257.10000000000002</v>
      </c>
      <c r="M477">
        <v>25.71</v>
      </c>
      <c r="N477" t="s">
        <v>2176</v>
      </c>
      <c r="O477" t="s">
        <v>466</v>
      </c>
    </row>
    <row r="478" spans="1:15" x14ac:dyDescent="0.3">
      <c r="A478">
        <v>239505</v>
      </c>
      <c r="B478">
        <v>116</v>
      </c>
      <c r="C478" t="s">
        <v>568</v>
      </c>
      <c r="D478" t="s">
        <v>2277</v>
      </c>
      <c r="E478" t="s">
        <v>2418</v>
      </c>
      <c r="F478" s="452">
        <v>46182</v>
      </c>
      <c r="G478">
        <v>20809</v>
      </c>
      <c r="H478" t="s">
        <v>4005</v>
      </c>
      <c r="I478" t="s">
        <v>3469</v>
      </c>
      <c r="J478">
        <v>3</v>
      </c>
      <c r="K478" t="s">
        <v>3872</v>
      </c>
      <c r="L478">
        <v>89.7</v>
      </c>
      <c r="M478">
        <v>29.9</v>
      </c>
      <c r="N478" t="s">
        <v>4240</v>
      </c>
      <c r="O478" t="s">
        <v>466</v>
      </c>
    </row>
    <row r="479" spans="1:15" x14ac:dyDescent="0.3">
      <c r="A479">
        <v>239505</v>
      </c>
      <c r="B479">
        <v>116</v>
      </c>
      <c r="C479" t="s">
        <v>568</v>
      </c>
      <c r="D479" t="s">
        <v>2277</v>
      </c>
      <c r="E479" t="s">
        <v>2418</v>
      </c>
      <c r="F479" s="452">
        <v>46182</v>
      </c>
      <c r="G479">
        <v>20358</v>
      </c>
      <c r="H479" t="s">
        <v>3952</v>
      </c>
      <c r="I479" t="s">
        <v>3469</v>
      </c>
      <c r="J479">
        <v>2</v>
      </c>
      <c r="K479" t="s">
        <v>3888</v>
      </c>
      <c r="L479">
        <v>28.5</v>
      </c>
      <c r="M479">
        <v>14.25</v>
      </c>
      <c r="N479" t="s">
        <v>4240</v>
      </c>
      <c r="O479" t="s">
        <v>466</v>
      </c>
    </row>
    <row r="480" spans="1:15" x14ac:dyDescent="0.3">
      <c r="A480">
        <v>239505</v>
      </c>
      <c r="B480">
        <v>116</v>
      </c>
      <c r="C480" t="s">
        <v>568</v>
      </c>
      <c r="D480" t="s">
        <v>2277</v>
      </c>
      <c r="E480" t="s">
        <v>2418</v>
      </c>
      <c r="F480" s="452">
        <v>46182</v>
      </c>
      <c r="G480">
        <v>20752</v>
      </c>
      <c r="H480" t="s">
        <v>3964</v>
      </c>
      <c r="I480" t="s">
        <v>3469</v>
      </c>
      <c r="J480">
        <v>3</v>
      </c>
      <c r="K480" t="s">
        <v>3872</v>
      </c>
      <c r="L480">
        <v>334.41</v>
      </c>
      <c r="M480">
        <v>111.47</v>
      </c>
      <c r="N480" t="s">
        <v>4240</v>
      </c>
      <c r="O480" t="s">
        <v>466</v>
      </c>
    </row>
    <row r="481" spans="1:15" x14ac:dyDescent="0.3">
      <c r="A481">
        <v>239505</v>
      </c>
      <c r="B481">
        <v>116</v>
      </c>
      <c r="C481" t="s">
        <v>568</v>
      </c>
      <c r="D481" t="s">
        <v>2277</v>
      </c>
      <c r="E481" t="s">
        <v>2418</v>
      </c>
      <c r="F481" s="452">
        <v>46182</v>
      </c>
      <c r="G481">
        <v>21093</v>
      </c>
      <c r="H481" t="s">
        <v>3903</v>
      </c>
      <c r="I481" t="s">
        <v>3469</v>
      </c>
      <c r="J481">
        <v>10</v>
      </c>
      <c r="K481" t="s">
        <v>3872</v>
      </c>
      <c r="L481">
        <v>43.9</v>
      </c>
      <c r="M481">
        <v>4.3899999999999997</v>
      </c>
      <c r="N481" t="s">
        <v>4240</v>
      </c>
      <c r="O481" t="s">
        <v>466</v>
      </c>
    </row>
    <row r="482" spans="1:15" x14ac:dyDescent="0.3">
      <c r="A482">
        <v>239505</v>
      </c>
      <c r="B482">
        <v>116</v>
      </c>
      <c r="C482" t="s">
        <v>568</v>
      </c>
      <c r="D482" t="s">
        <v>2277</v>
      </c>
      <c r="E482" t="s">
        <v>2418</v>
      </c>
      <c r="F482" s="452">
        <v>46182</v>
      </c>
      <c r="G482">
        <v>21024</v>
      </c>
      <c r="H482" t="s">
        <v>4180</v>
      </c>
      <c r="I482" t="s">
        <v>3469</v>
      </c>
      <c r="J482">
        <v>2</v>
      </c>
      <c r="K482" t="s">
        <v>3872</v>
      </c>
      <c r="L482">
        <v>358</v>
      </c>
      <c r="M482">
        <v>179</v>
      </c>
      <c r="N482" t="s">
        <v>4240</v>
      </c>
      <c r="O482" t="s">
        <v>466</v>
      </c>
    </row>
    <row r="483" spans="1:15" x14ac:dyDescent="0.3">
      <c r="A483">
        <v>239505</v>
      </c>
      <c r="B483">
        <v>116</v>
      </c>
      <c r="C483" t="s">
        <v>568</v>
      </c>
      <c r="D483" t="s">
        <v>2277</v>
      </c>
      <c r="E483" t="s">
        <v>2418</v>
      </c>
      <c r="F483" s="452">
        <v>46182</v>
      </c>
      <c r="G483">
        <v>23982</v>
      </c>
      <c r="H483" t="s">
        <v>3977</v>
      </c>
      <c r="I483" t="s">
        <v>3469</v>
      </c>
      <c r="J483">
        <v>1</v>
      </c>
      <c r="K483" t="s">
        <v>3872</v>
      </c>
      <c r="L483">
        <v>240.56</v>
      </c>
      <c r="M483">
        <v>240.56</v>
      </c>
      <c r="N483" t="s">
        <v>4240</v>
      </c>
      <c r="O483" t="s">
        <v>466</v>
      </c>
    </row>
    <row r="484" spans="1:15" x14ac:dyDescent="0.3">
      <c r="A484">
        <v>239504</v>
      </c>
      <c r="B484">
        <v>116</v>
      </c>
      <c r="C484" t="s">
        <v>568</v>
      </c>
      <c r="D484" t="s">
        <v>2258</v>
      </c>
      <c r="E484" t="s">
        <v>2419</v>
      </c>
      <c r="F484" s="452">
        <v>46183</v>
      </c>
      <c r="G484">
        <v>17006</v>
      </c>
      <c r="H484" t="s">
        <v>4128</v>
      </c>
      <c r="I484" t="s">
        <v>3469</v>
      </c>
      <c r="J484">
        <v>12.24</v>
      </c>
      <c r="K484" t="s">
        <v>3892</v>
      </c>
      <c r="L484">
        <v>159.12</v>
      </c>
      <c r="M484">
        <v>13</v>
      </c>
      <c r="N484" t="s">
        <v>3469</v>
      </c>
      <c r="O484" t="s">
        <v>466</v>
      </c>
    </row>
    <row r="485" spans="1:15" x14ac:dyDescent="0.3">
      <c r="A485">
        <v>239503</v>
      </c>
      <c r="B485">
        <v>116</v>
      </c>
      <c r="C485" t="s">
        <v>568</v>
      </c>
      <c r="D485" t="s">
        <v>2342</v>
      </c>
      <c r="E485" t="s">
        <v>2420</v>
      </c>
      <c r="F485" s="452">
        <v>46181</v>
      </c>
      <c r="G485">
        <v>24351</v>
      </c>
      <c r="H485" t="s">
        <v>3912</v>
      </c>
      <c r="I485" t="s">
        <v>3469</v>
      </c>
      <c r="J485">
        <v>10</v>
      </c>
      <c r="K485" t="s">
        <v>3872</v>
      </c>
      <c r="L485">
        <v>325</v>
      </c>
      <c r="M485">
        <v>32.5</v>
      </c>
      <c r="N485" t="s">
        <v>3469</v>
      </c>
      <c r="O485" t="s">
        <v>466</v>
      </c>
    </row>
    <row r="486" spans="1:15" x14ac:dyDescent="0.3">
      <c r="A486">
        <v>239502</v>
      </c>
      <c r="B486">
        <v>116</v>
      </c>
      <c r="C486" t="s">
        <v>568</v>
      </c>
      <c r="D486" t="s">
        <v>2359</v>
      </c>
      <c r="E486" t="s">
        <v>2421</v>
      </c>
      <c r="F486" s="452">
        <v>46183</v>
      </c>
      <c r="G486">
        <v>18179</v>
      </c>
      <c r="H486" t="s">
        <v>3995</v>
      </c>
      <c r="I486" t="s">
        <v>3497</v>
      </c>
      <c r="J486">
        <v>4</v>
      </c>
      <c r="K486" t="s">
        <v>3878</v>
      </c>
      <c r="L486">
        <v>465.64</v>
      </c>
      <c r="M486">
        <v>116.41</v>
      </c>
      <c r="N486" t="s">
        <v>3497</v>
      </c>
      <c r="O486" t="s">
        <v>466</v>
      </c>
    </row>
    <row r="487" spans="1:15" x14ac:dyDescent="0.3">
      <c r="A487">
        <v>239502</v>
      </c>
      <c r="B487">
        <v>116</v>
      </c>
      <c r="C487" t="s">
        <v>568</v>
      </c>
      <c r="D487" t="s">
        <v>2359</v>
      </c>
      <c r="E487" t="s">
        <v>2421</v>
      </c>
      <c r="F487" s="452">
        <v>46183</v>
      </c>
      <c r="G487">
        <v>18528</v>
      </c>
      <c r="H487" t="s">
        <v>4108</v>
      </c>
      <c r="I487" t="s">
        <v>3497</v>
      </c>
      <c r="J487">
        <v>1</v>
      </c>
      <c r="K487" t="s">
        <v>3878</v>
      </c>
      <c r="L487">
        <v>50.96</v>
      </c>
      <c r="M487">
        <v>50.96</v>
      </c>
      <c r="N487" t="s">
        <v>3497</v>
      </c>
      <c r="O487" t="s">
        <v>466</v>
      </c>
    </row>
    <row r="488" spans="1:15" x14ac:dyDescent="0.3">
      <c r="A488">
        <v>239501</v>
      </c>
      <c r="B488">
        <v>116</v>
      </c>
      <c r="C488" t="s">
        <v>568</v>
      </c>
      <c r="D488" t="s">
        <v>2320</v>
      </c>
      <c r="E488" t="s">
        <v>2422</v>
      </c>
      <c r="F488" s="452">
        <v>46185</v>
      </c>
      <c r="G488">
        <v>22857</v>
      </c>
      <c r="H488" t="s">
        <v>4130</v>
      </c>
      <c r="I488" t="s">
        <v>3469</v>
      </c>
      <c r="J488">
        <v>17.14</v>
      </c>
      <c r="K488" t="s">
        <v>3892</v>
      </c>
      <c r="L488">
        <v>1028.23</v>
      </c>
      <c r="M488">
        <v>59.990082000000001</v>
      </c>
      <c r="N488" t="s">
        <v>4240</v>
      </c>
      <c r="O488" t="s">
        <v>466</v>
      </c>
    </row>
    <row r="489" spans="1:15" x14ac:dyDescent="0.3">
      <c r="A489">
        <v>239500</v>
      </c>
      <c r="B489">
        <v>116</v>
      </c>
      <c r="C489" t="s">
        <v>568</v>
      </c>
      <c r="D489" t="s">
        <v>2318</v>
      </c>
      <c r="E489" t="s">
        <v>2423</v>
      </c>
      <c r="F489" s="452">
        <v>46182</v>
      </c>
      <c r="G489">
        <v>18764</v>
      </c>
      <c r="H489" t="s">
        <v>3907</v>
      </c>
      <c r="I489" t="s">
        <v>3469</v>
      </c>
      <c r="J489">
        <v>10</v>
      </c>
      <c r="K489" t="s">
        <v>3892</v>
      </c>
      <c r="L489">
        <v>819</v>
      </c>
      <c r="M489">
        <v>81.900000000000006</v>
      </c>
      <c r="N489" t="s">
        <v>4240</v>
      </c>
      <c r="O489" t="s">
        <v>466</v>
      </c>
    </row>
    <row r="490" spans="1:15" x14ac:dyDescent="0.3">
      <c r="A490">
        <v>239499</v>
      </c>
      <c r="B490">
        <v>116</v>
      </c>
      <c r="C490" t="s">
        <v>568</v>
      </c>
      <c r="D490" t="s">
        <v>2318</v>
      </c>
      <c r="E490" t="s">
        <v>2424</v>
      </c>
      <c r="F490" s="452">
        <v>46183</v>
      </c>
      <c r="G490">
        <v>26949</v>
      </c>
      <c r="H490" t="s">
        <v>4226</v>
      </c>
      <c r="I490" t="s">
        <v>3469</v>
      </c>
      <c r="J490">
        <v>10</v>
      </c>
      <c r="K490" t="s">
        <v>3892</v>
      </c>
      <c r="L490">
        <v>839</v>
      </c>
      <c r="M490">
        <v>83.9</v>
      </c>
      <c r="N490" t="s">
        <v>4240</v>
      </c>
      <c r="O490" t="s">
        <v>466</v>
      </c>
    </row>
    <row r="491" spans="1:15" x14ac:dyDescent="0.3">
      <c r="A491">
        <v>239498</v>
      </c>
      <c r="B491">
        <v>116</v>
      </c>
      <c r="C491" t="s">
        <v>568</v>
      </c>
      <c r="D491" t="s">
        <v>2323</v>
      </c>
      <c r="E491" t="s">
        <v>2425</v>
      </c>
      <c r="F491" s="452">
        <v>46184</v>
      </c>
      <c r="G491">
        <v>27313</v>
      </c>
      <c r="H491" t="s">
        <v>4131</v>
      </c>
      <c r="I491" t="s">
        <v>3469</v>
      </c>
      <c r="J491">
        <v>10.5</v>
      </c>
      <c r="K491" t="s">
        <v>3892</v>
      </c>
      <c r="L491">
        <v>362.25</v>
      </c>
      <c r="M491">
        <v>34.5</v>
      </c>
      <c r="N491" t="s">
        <v>4240</v>
      </c>
      <c r="O491" t="s">
        <v>466</v>
      </c>
    </row>
    <row r="492" spans="1:15" x14ac:dyDescent="0.3">
      <c r="A492">
        <v>239498</v>
      </c>
      <c r="B492">
        <v>116</v>
      </c>
      <c r="C492" t="s">
        <v>568</v>
      </c>
      <c r="D492" t="s">
        <v>2323</v>
      </c>
      <c r="E492" t="s">
        <v>2425</v>
      </c>
      <c r="F492" s="452">
        <v>46184</v>
      </c>
      <c r="G492">
        <v>24339</v>
      </c>
      <c r="H492" t="s">
        <v>4119</v>
      </c>
      <c r="I492" t="s">
        <v>3469</v>
      </c>
      <c r="J492">
        <v>2.5</v>
      </c>
      <c r="K492" t="s">
        <v>3892</v>
      </c>
      <c r="L492">
        <v>76.25</v>
      </c>
      <c r="M492">
        <v>30.5</v>
      </c>
      <c r="N492" t="s">
        <v>4240</v>
      </c>
      <c r="O492" t="s">
        <v>466</v>
      </c>
    </row>
    <row r="493" spans="1:15" x14ac:dyDescent="0.3">
      <c r="A493">
        <v>239498</v>
      </c>
      <c r="B493">
        <v>116</v>
      </c>
      <c r="C493" t="s">
        <v>568</v>
      </c>
      <c r="D493" t="s">
        <v>2323</v>
      </c>
      <c r="E493" t="s">
        <v>2425</v>
      </c>
      <c r="F493" s="452">
        <v>46184</v>
      </c>
      <c r="G493">
        <v>24402</v>
      </c>
      <c r="H493" t="s">
        <v>3896</v>
      </c>
      <c r="I493" t="s">
        <v>3469</v>
      </c>
      <c r="J493">
        <v>14.1</v>
      </c>
      <c r="K493" t="s">
        <v>3892</v>
      </c>
      <c r="L493">
        <v>542.85</v>
      </c>
      <c r="M493">
        <v>38.5</v>
      </c>
      <c r="N493" t="s">
        <v>4240</v>
      </c>
      <c r="O493" t="s">
        <v>466</v>
      </c>
    </row>
    <row r="494" spans="1:15" x14ac:dyDescent="0.3">
      <c r="A494">
        <v>239498</v>
      </c>
      <c r="B494">
        <v>116</v>
      </c>
      <c r="C494" t="s">
        <v>568</v>
      </c>
      <c r="D494" t="s">
        <v>2323</v>
      </c>
      <c r="E494" t="s">
        <v>2425</v>
      </c>
      <c r="F494" s="452">
        <v>46184</v>
      </c>
      <c r="G494">
        <v>18832</v>
      </c>
      <c r="H494" t="s">
        <v>3900</v>
      </c>
      <c r="I494" t="s">
        <v>3469</v>
      </c>
      <c r="J494">
        <v>30.1</v>
      </c>
      <c r="K494" t="s">
        <v>3892</v>
      </c>
      <c r="L494">
        <v>1110.69</v>
      </c>
      <c r="M494">
        <v>36.9</v>
      </c>
      <c r="N494" t="s">
        <v>4240</v>
      </c>
      <c r="O494" t="s">
        <v>466</v>
      </c>
    </row>
    <row r="495" spans="1:15" x14ac:dyDescent="0.3">
      <c r="A495">
        <v>239497</v>
      </c>
      <c r="B495">
        <v>116</v>
      </c>
      <c r="C495" t="s">
        <v>568</v>
      </c>
      <c r="D495" t="s">
        <v>2265</v>
      </c>
      <c r="E495" t="s">
        <v>849</v>
      </c>
      <c r="F495" s="452">
        <v>46182</v>
      </c>
      <c r="G495">
        <v>17437</v>
      </c>
      <c r="H495" t="s">
        <v>4198</v>
      </c>
      <c r="I495" t="s">
        <v>4199</v>
      </c>
      <c r="J495">
        <v>20</v>
      </c>
      <c r="K495" t="s">
        <v>3872</v>
      </c>
      <c r="L495">
        <v>46</v>
      </c>
      <c r="M495">
        <v>2.2999999999999998</v>
      </c>
      <c r="N495" t="s">
        <v>2176</v>
      </c>
      <c r="O495" t="s">
        <v>466</v>
      </c>
    </row>
    <row r="496" spans="1:15" x14ac:dyDescent="0.3">
      <c r="A496">
        <v>239497</v>
      </c>
      <c r="B496">
        <v>116</v>
      </c>
      <c r="C496" t="s">
        <v>568</v>
      </c>
      <c r="D496" t="s">
        <v>2265</v>
      </c>
      <c r="E496" t="s">
        <v>849</v>
      </c>
      <c r="F496" s="452">
        <v>46182</v>
      </c>
      <c r="G496">
        <v>17046</v>
      </c>
      <c r="H496" t="s">
        <v>4246</v>
      </c>
      <c r="I496" t="s">
        <v>4199</v>
      </c>
      <c r="J496">
        <v>1</v>
      </c>
      <c r="K496" t="s">
        <v>3872</v>
      </c>
      <c r="L496">
        <v>34.5</v>
      </c>
      <c r="M496">
        <v>34.5</v>
      </c>
      <c r="N496" t="s">
        <v>2176</v>
      </c>
      <c r="O496" t="s">
        <v>466</v>
      </c>
    </row>
    <row r="497" spans="1:15" x14ac:dyDescent="0.3">
      <c r="A497">
        <v>239497</v>
      </c>
      <c r="B497">
        <v>116</v>
      </c>
      <c r="C497" t="s">
        <v>568</v>
      </c>
      <c r="D497" t="s">
        <v>2265</v>
      </c>
      <c r="E497" t="s">
        <v>849</v>
      </c>
      <c r="F497" s="452">
        <v>46182</v>
      </c>
      <c r="G497">
        <v>17190</v>
      </c>
      <c r="H497" t="s">
        <v>4271</v>
      </c>
      <c r="I497" t="s">
        <v>4199</v>
      </c>
      <c r="J497">
        <v>5</v>
      </c>
      <c r="K497" t="s">
        <v>3888</v>
      </c>
      <c r="L497">
        <v>40.5</v>
      </c>
      <c r="M497">
        <v>8.1</v>
      </c>
      <c r="N497" t="s">
        <v>2176</v>
      </c>
      <c r="O497" t="s">
        <v>466</v>
      </c>
    </row>
    <row r="498" spans="1:15" x14ac:dyDescent="0.3">
      <c r="A498">
        <v>239497</v>
      </c>
      <c r="B498">
        <v>116</v>
      </c>
      <c r="C498" t="s">
        <v>568</v>
      </c>
      <c r="D498" t="s">
        <v>2265</v>
      </c>
      <c r="E498" t="s">
        <v>849</v>
      </c>
      <c r="F498" s="452">
        <v>46182</v>
      </c>
      <c r="G498">
        <v>17314</v>
      </c>
      <c r="H498" t="s">
        <v>4204</v>
      </c>
      <c r="I498" t="s">
        <v>4199</v>
      </c>
      <c r="J498">
        <v>3</v>
      </c>
      <c r="K498" t="s">
        <v>3978</v>
      </c>
      <c r="L498">
        <v>17.670000000000002</v>
      </c>
      <c r="M498">
        <v>5.89</v>
      </c>
      <c r="N498" t="s">
        <v>2176</v>
      </c>
      <c r="O498" t="s">
        <v>466</v>
      </c>
    </row>
    <row r="499" spans="1:15" x14ac:dyDescent="0.3">
      <c r="A499">
        <v>239497</v>
      </c>
      <c r="B499">
        <v>116</v>
      </c>
      <c r="C499" t="s">
        <v>568</v>
      </c>
      <c r="D499" t="s">
        <v>2265</v>
      </c>
      <c r="E499" t="s">
        <v>849</v>
      </c>
      <c r="F499" s="452">
        <v>46182</v>
      </c>
      <c r="G499">
        <v>17498</v>
      </c>
      <c r="H499" t="s">
        <v>4243</v>
      </c>
      <c r="I499" t="s">
        <v>4199</v>
      </c>
      <c r="J499">
        <v>2</v>
      </c>
      <c r="K499" t="s">
        <v>3881</v>
      </c>
      <c r="L499">
        <v>54</v>
      </c>
      <c r="M499">
        <v>27</v>
      </c>
      <c r="N499" t="s">
        <v>2176</v>
      </c>
      <c r="O499" t="s">
        <v>466</v>
      </c>
    </row>
    <row r="500" spans="1:15" x14ac:dyDescent="0.3">
      <c r="A500">
        <v>239497</v>
      </c>
      <c r="B500">
        <v>116</v>
      </c>
      <c r="C500" t="s">
        <v>568</v>
      </c>
      <c r="D500" t="s">
        <v>2265</v>
      </c>
      <c r="E500" t="s">
        <v>849</v>
      </c>
      <c r="F500" s="452">
        <v>46182</v>
      </c>
      <c r="G500">
        <v>17129</v>
      </c>
      <c r="H500" t="s">
        <v>4200</v>
      </c>
      <c r="I500" t="s">
        <v>4199</v>
      </c>
      <c r="J500">
        <v>1</v>
      </c>
      <c r="K500" t="s">
        <v>3888</v>
      </c>
      <c r="L500">
        <v>26.61</v>
      </c>
      <c r="M500">
        <v>26.61</v>
      </c>
      <c r="N500" t="s">
        <v>2176</v>
      </c>
      <c r="O500" t="s">
        <v>466</v>
      </c>
    </row>
    <row r="501" spans="1:15" x14ac:dyDescent="0.3">
      <c r="A501">
        <v>239497</v>
      </c>
      <c r="B501">
        <v>116</v>
      </c>
      <c r="C501" t="s">
        <v>568</v>
      </c>
      <c r="D501" t="s">
        <v>2265</v>
      </c>
      <c r="E501" t="s">
        <v>849</v>
      </c>
      <c r="F501" s="452">
        <v>46182</v>
      </c>
      <c r="G501">
        <v>21783</v>
      </c>
      <c r="H501" t="s">
        <v>4228</v>
      </c>
      <c r="I501" t="s">
        <v>4202</v>
      </c>
      <c r="J501">
        <v>2</v>
      </c>
      <c r="K501" t="s">
        <v>3872</v>
      </c>
      <c r="L501">
        <v>32</v>
      </c>
      <c r="M501">
        <v>16</v>
      </c>
      <c r="N501" t="s">
        <v>2176</v>
      </c>
      <c r="O501" t="s">
        <v>466</v>
      </c>
    </row>
    <row r="502" spans="1:15" x14ac:dyDescent="0.3">
      <c r="A502">
        <v>239497</v>
      </c>
      <c r="B502">
        <v>116</v>
      </c>
      <c r="C502" t="s">
        <v>568</v>
      </c>
      <c r="D502" t="s">
        <v>2265</v>
      </c>
      <c r="E502" t="s">
        <v>849</v>
      </c>
      <c r="F502" s="452">
        <v>46182</v>
      </c>
      <c r="G502">
        <v>17416</v>
      </c>
      <c r="H502" t="s">
        <v>4205</v>
      </c>
      <c r="I502" t="s">
        <v>4199</v>
      </c>
      <c r="J502">
        <v>4</v>
      </c>
      <c r="K502" t="s">
        <v>3881</v>
      </c>
      <c r="L502">
        <v>194.32</v>
      </c>
      <c r="M502">
        <v>48.58</v>
      </c>
      <c r="N502" t="s">
        <v>2176</v>
      </c>
      <c r="O502" t="s">
        <v>466</v>
      </c>
    </row>
    <row r="503" spans="1:15" x14ac:dyDescent="0.3">
      <c r="A503">
        <v>239497</v>
      </c>
      <c r="B503">
        <v>116</v>
      </c>
      <c r="C503" t="s">
        <v>568</v>
      </c>
      <c r="D503" t="s">
        <v>2265</v>
      </c>
      <c r="E503" t="s">
        <v>849</v>
      </c>
      <c r="F503" s="452">
        <v>46182</v>
      </c>
      <c r="G503">
        <v>17017</v>
      </c>
      <c r="H503" t="s">
        <v>4230</v>
      </c>
      <c r="I503" t="s">
        <v>4199</v>
      </c>
      <c r="J503">
        <v>2</v>
      </c>
      <c r="K503" t="s">
        <v>3888</v>
      </c>
      <c r="L503">
        <v>6</v>
      </c>
      <c r="M503">
        <v>3</v>
      </c>
      <c r="N503" t="s">
        <v>2176</v>
      </c>
      <c r="O503" t="s">
        <v>466</v>
      </c>
    </row>
    <row r="504" spans="1:15" x14ac:dyDescent="0.3">
      <c r="A504">
        <v>239497</v>
      </c>
      <c r="B504">
        <v>116</v>
      </c>
      <c r="C504" t="s">
        <v>568</v>
      </c>
      <c r="D504" t="s">
        <v>2265</v>
      </c>
      <c r="E504" t="s">
        <v>849</v>
      </c>
      <c r="F504" s="452">
        <v>46182</v>
      </c>
      <c r="G504">
        <v>21703</v>
      </c>
      <c r="H504" t="s">
        <v>4272</v>
      </c>
      <c r="I504" t="s">
        <v>4199</v>
      </c>
      <c r="J504">
        <v>1</v>
      </c>
      <c r="K504" t="s">
        <v>3872</v>
      </c>
      <c r="L504">
        <v>9</v>
      </c>
      <c r="M504">
        <v>9</v>
      </c>
      <c r="N504" t="s">
        <v>2176</v>
      </c>
      <c r="O504" t="s">
        <v>466</v>
      </c>
    </row>
    <row r="505" spans="1:15" x14ac:dyDescent="0.3">
      <c r="A505">
        <v>239497</v>
      </c>
      <c r="B505">
        <v>116</v>
      </c>
      <c r="C505" t="s">
        <v>568</v>
      </c>
      <c r="D505" t="s">
        <v>2265</v>
      </c>
      <c r="E505" t="s">
        <v>849</v>
      </c>
      <c r="F505" s="452">
        <v>46182</v>
      </c>
      <c r="G505">
        <v>17341</v>
      </c>
      <c r="H505" t="s">
        <v>4232</v>
      </c>
      <c r="I505" t="s">
        <v>4199</v>
      </c>
      <c r="J505">
        <v>1</v>
      </c>
      <c r="K505" t="s">
        <v>3931</v>
      </c>
      <c r="L505">
        <v>74.8</v>
      </c>
      <c r="M505">
        <v>74.8</v>
      </c>
      <c r="N505" t="s">
        <v>2176</v>
      </c>
      <c r="O505" t="s">
        <v>466</v>
      </c>
    </row>
    <row r="506" spans="1:15" x14ac:dyDescent="0.3">
      <c r="A506">
        <v>239497</v>
      </c>
      <c r="B506">
        <v>116</v>
      </c>
      <c r="C506" t="s">
        <v>568</v>
      </c>
      <c r="D506" t="s">
        <v>2265</v>
      </c>
      <c r="E506" t="s">
        <v>849</v>
      </c>
      <c r="F506" s="452">
        <v>46182</v>
      </c>
      <c r="G506">
        <v>17474</v>
      </c>
      <c r="H506" t="s">
        <v>4273</v>
      </c>
      <c r="I506" t="s">
        <v>4199</v>
      </c>
      <c r="J506">
        <v>1</v>
      </c>
      <c r="K506" t="s">
        <v>3881</v>
      </c>
      <c r="L506">
        <v>75</v>
      </c>
      <c r="M506">
        <v>75</v>
      </c>
      <c r="N506" t="s">
        <v>2176</v>
      </c>
      <c r="O506" t="s">
        <v>466</v>
      </c>
    </row>
    <row r="507" spans="1:15" x14ac:dyDescent="0.3">
      <c r="A507">
        <v>239497</v>
      </c>
      <c r="B507">
        <v>116</v>
      </c>
      <c r="C507" t="s">
        <v>568</v>
      </c>
      <c r="D507" t="s">
        <v>2265</v>
      </c>
      <c r="E507" t="s">
        <v>849</v>
      </c>
      <c r="F507" s="452">
        <v>46182</v>
      </c>
      <c r="G507">
        <v>24495</v>
      </c>
      <c r="H507" t="s">
        <v>4274</v>
      </c>
      <c r="I507" t="s">
        <v>4199</v>
      </c>
      <c r="J507">
        <v>2</v>
      </c>
      <c r="K507" t="s">
        <v>3872</v>
      </c>
      <c r="L507">
        <v>77.78</v>
      </c>
      <c r="M507">
        <v>38.89</v>
      </c>
      <c r="N507" t="s">
        <v>2176</v>
      </c>
      <c r="O507" t="s">
        <v>466</v>
      </c>
    </row>
    <row r="508" spans="1:15" x14ac:dyDescent="0.3">
      <c r="A508">
        <v>239497</v>
      </c>
      <c r="B508">
        <v>116</v>
      </c>
      <c r="C508" t="s">
        <v>568</v>
      </c>
      <c r="D508" t="s">
        <v>2265</v>
      </c>
      <c r="E508" t="s">
        <v>849</v>
      </c>
      <c r="F508" s="452">
        <v>46182</v>
      </c>
      <c r="G508">
        <v>17304</v>
      </c>
      <c r="H508" t="s">
        <v>4206</v>
      </c>
      <c r="I508" t="s">
        <v>4199</v>
      </c>
      <c r="J508">
        <v>2</v>
      </c>
      <c r="K508" t="s">
        <v>3978</v>
      </c>
      <c r="L508">
        <v>13.18</v>
      </c>
      <c r="M508">
        <v>6.59</v>
      </c>
      <c r="N508" t="s">
        <v>2176</v>
      </c>
      <c r="O508" t="s">
        <v>466</v>
      </c>
    </row>
    <row r="509" spans="1:15" x14ac:dyDescent="0.3">
      <c r="A509">
        <v>238339</v>
      </c>
      <c r="B509">
        <v>116</v>
      </c>
      <c r="C509" t="s">
        <v>568</v>
      </c>
      <c r="D509" t="s">
        <v>2340</v>
      </c>
      <c r="E509" t="s">
        <v>2426</v>
      </c>
      <c r="F509" s="452">
        <v>46175</v>
      </c>
      <c r="G509">
        <v>19324</v>
      </c>
      <c r="H509" t="s">
        <v>3937</v>
      </c>
      <c r="I509" t="s">
        <v>3469</v>
      </c>
      <c r="J509">
        <v>8.18</v>
      </c>
      <c r="K509" t="s">
        <v>3892</v>
      </c>
      <c r="L509">
        <v>318.2</v>
      </c>
      <c r="M509">
        <v>38.899755999999996</v>
      </c>
      <c r="N509" t="s">
        <v>4240</v>
      </c>
      <c r="O509" t="s">
        <v>466</v>
      </c>
    </row>
    <row r="510" spans="1:15" x14ac:dyDescent="0.3">
      <c r="A510">
        <v>238339</v>
      </c>
      <c r="B510">
        <v>116</v>
      </c>
      <c r="C510" t="s">
        <v>568</v>
      </c>
      <c r="D510" t="s">
        <v>2340</v>
      </c>
      <c r="E510" t="s">
        <v>2426</v>
      </c>
      <c r="F510" s="452">
        <v>46175</v>
      </c>
      <c r="G510">
        <v>19405</v>
      </c>
      <c r="H510" t="s">
        <v>4097</v>
      </c>
      <c r="I510" t="s">
        <v>3469</v>
      </c>
      <c r="J510">
        <v>1</v>
      </c>
      <c r="K510" t="s">
        <v>3872</v>
      </c>
      <c r="L510">
        <v>154.9</v>
      </c>
      <c r="M510">
        <v>154.9</v>
      </c>
      <c r="N510" t="s">
        <v>4240</v>
      </c>
      <c r="O510" t="s">
        <v>466</v>
      </c>
    </row>
    <row r="511" spans="1:15" x14ac:dyDescent="0.3">
      <c r="A511">
        <v>238337</v>
      </c>
      <c r="B511">
        <v>116</v>
      </c>
      <c r="C511" t="s">
        <v>568</v>
      </c>
      <c r="D511" t="s">
        <v>2277</v>
      </c>
      <c r="E511" t="s">
        <v>2427</v>
      </c>
      <c r="F511" s="452">
        <v>46176</v>
      </c>
      <c r="G511">
        <v>20809</v>
      </c>
      <c r="H511" t="s">
        <v>4005</v>
      </c>
      <c r="I511" t="s">
        <v>3469</v>
      </c>
      <c r="J511">
        <v>3</v>
      </c>
      <c r="K511" t="s">
        <v>3872</v>
      </c>
      <c r="L511">
        <v>89.7</v>
      </c>
      <c r="M511">
        <v>29.9</v>
      </c>
      <c r="N511" t="s">
        <v>4240</v>
      </c>
      <c r="O511" t="s">
        <v>466</v>
      </c>
    </row>
    <row r="512" spans="1:15" x14ac:dyDescent="0.3">
      <c r="A512">
        <v>238337</v>
      </c>
      <c r="B512">
        <v>116</v>
      </c>
      <c r="C512" t="s">
        <v>568</v>
      </c>
      <c r="D512" t="s">
        <v>2277</v>
      </c>
      <c r="E512" t="s">
        <v>2427</v>
      </c>
      <c r="F512" s="452">
        <v>46176</v>
      </c>
      <c r="G512">
        <v>20057</v>
      </c>
      <c r="H512" t="s">
        <v>3967</v>
      </c>
      <c r="I512" t="s">
        <v>3469</v>
      </c>
      <c r="J512">
        <v>2</v>
      </c>
      <c r="K512" t="s">
        <v>3872</v>
      </c>
      <c r="L512">
        <v>84.36</v>
      </c>
      <c r="M512">
        <v>42.18</v>
      </c>
      <c r="N512" t="s">
        <v>4240</v>
      </c>
      <c r="O512" t="s">
        <v>466</v>
      </c>
    </row>
    <row r="513" spans="1:15" x14ac:dyDescent="0.3">
      <c r="A513">
        <v>238337</v>
      </c>
      <c r="B513">
        <v>116</v>
      </c>
      <c r="C513" t="s">
        <v>568</v>
      </c>
      <c r="D513" t="s">
        <v>2277</v>
      </c>
      <c r="E513" t="s">
        <v>2427</v>
      </c>
      <c r="F513" s="452">
        <v>46176</v>
      </c>
      <c r="G513">
        <v>19421</v>
      </c>
      <c r="H513" t="s">
        <v>4275</v>
      </c>
      <c r="I513" t="s">
        <v>3469</v>
      </c>
      <c r="J513">
        <v>1</v>
      </c>
      <c r="K513" t="s">
        <v>4241</v>
      </c>
      <c r="L513">
        <v>0</v>
      </c>
      <c r="M513">
        <v>0</v>
      </c>
      <c r="N513" t="s">
        <v>4240</v>
      </c>
      <c r="O513" t="s">
        <v>466</v>
      </c>
    </row>
    <row r="514" spans="1:15" x14ac:dyDescent="0.3">
      <c r="A514">
        <v>238337</v>
      </c>
      <c r="B514">
        <v>116</v>
      </c>
      <c r="C514" t="s">
        <v>568</v>
      </c>
      <c r="D514" t="s">
        <v>2277</v>
      </c>
      <c r="E514" t="s">
        <v>2427</v>
      </c>
      <c r="F514" s="452">
        <v>46176</v>
      </c>
      <c r="G514">
        <v>20752</v>
      </c>
      <c r="H514" t="s">
        <v>3964</v>
      </c>
      <c r="I514" t="s">
        <v>3469</v>
      </c>
      <c r="J514">
        <v>3</v>
      </c>
      <c r="K514" t="s">
        <v>3872</v>
      </c>
      <c r="L514">
        <v>334.41</v>
      </c>
      <c r="M514">
        <v>111.47</v>
      </c>
      <c r="N514" t="s">
        <v>4240</v>
      </c>
      <c r="O514" t="s">
        <v>466</v>
      </c>
    </row>
    <row r="515" spans="1:15" x14ac:dyDescent="0.3">
      <c r="A515">
        <v>238337</v>
      </c>
      <c r="B515">
        <v>116</v>
      </c>
      <c r="C515" t="s">
        <v>568</v>
      </c>
      <c r="D515" t="s">
        <v>2277</v>
      </c>
      <c r="E515" t="s">
        <v>2427</v>
      </c>
      <c r="F515" s="452">
        <v>46176</v>
      </c>
      <c r="G515">
        <v>21093</v>
      </c>
      <c r="H515" t="s">
        <v>3903</v>
      </c>
      <c r="I515" t="s">
        <v>3469</v>
      </c>
      <c r="J515">
        <v>10</v>
      </c>
      <c r="K515" t="s">
        <v>3872</v>
      </c>
      <c r="L515">
        <v>43.9</v>
      </c>
      <c r="M515">
        <v>4.3899999999999997</v>
      </c>
      <c r="N515" t="s">
        <v>4240</v>
      </c>
      <c r="O515" t="s">
        <v>466</v>
      </c>
    </row>
    <row r="516" spans="1:15" x14ac:dyDescent="0.3">
      <c r="A516">
        <v>238337</v>
      </c>
      <c r="B516">
        <v>116</v>
      </c>
      <c r="C516" t="s">
        <v>568</v>
      </c>
      <c r="D516" t="s">
        <v>2277</v>
      </c>
      <c r="E516" t="s">
        <v>2427</v>
      </c>
      <c r="F516" s="452">
        <v>46176</v>
      </c>
      <c r="G516">
        <v>21024</v>
      </c>
      <c r="H516" t="s">
        <v>4180</v>
      </c>
      <c r="I516" t="s">
        <v>3469</v>
      </c>
      <c r="J516">
        <v>2</v>
      </c>
      <c r="K516" t="s">
        <v>3872</v>
      </c>
      <c r="L516">
        <v>358</v>
      </c>
      <c r="M516">
        <v>179</v>
      </c>
      <c r="N516" t="s">
        <v>4240</v>
      </c>
      <c r="O516" t="s">
        <v>466</v>
      </c>
    </row>
    <row r="517" spans="1:15" x14ac:dyDescent="0.3">
      <c r="A517">
        <v>238337</v>
      </c>
      <c r="B517">
        <v>116</v>
      </c>
      <c r="C517" t="s">
        <v>568</v>
      </c>
      <c r="D517" t="s">
        <v>2277</v>
      </c>
      <c r="E517" t="s">
        <v>2427</v>
      </c>
      <c r="F517" s="452">
        <v>46176</v>
      </c>
      <c r="G517">
        <v>23982</v>
      </c>
      <c r="H517" t="s">
        <v>3977</v>
      </c>
      <c r="I517" t="s">
        <v>3469</v>
      </c>
      <c r="J517">
        <v>1</v>
      </c>
      <c r="K517" t="s">
        <v>3872</v>
      </c>
      <c r="L517">
        <v>240.56</v>
      </c>
      <c r="M517">
        <v>240.56</v>
      </c>
      <c r="N517" t="s">
        <v>4240</v>
      </c>
      <c r="O517" t="s">
        <v>466</v>
      </c>
    </row>
    <row r="518" spans="1:15" x14ac:dyDescent="0.3">
      <c r="A518">
        <v>238325</v>
      </c>
      <c r="B518">
        <v>116</v>
      </c>
      <c r="C518" t="s">
        <v>568</v>
      </c>
      <c r="D518" t="s">
        <v>2338</v>
      </c>
      <c r="E518" t="s">
        <v>2428</v>
      </c>
      <c r="F518" s="452">
        <v>46174</v>
      </c>
      <c r="G518">
        <v>20984</v>
      </c>
      <c r="H518" t="s">
        <v>4235</v>
      </c>
      <c r="I518" t="s">
        <v>3469</v>
      </c>
      <c r="J518">
        <v>48</v>
      </c>
      <c r="K518" t="s">
        <v>3931</v>
      </c>
      <c r="L518">
        <v>391.2</v>
      </c>
      <c r="M518">
        <v>8.15</v>
      </c>
      <c r="N518" t="s">
        <v>4240</v>
      </c>
      <c r="O518" t="s">
        <v>466</v>
      </c>
    </row>
    <row r="519" spans="1:15" x14ac:dyDescent="0.3">
      <c r="A519">
        <v>238325</v>
      </c>
      <c r="B519">
        <v>116</v>
      </c>
      <c r="C519" t="s">
        <v>568</v>
      </c>
      <c r="D519" t="s">
        <v>2338</v>
      </c>
      <c r="E519" t="s">
        <v>2428</v>
      </c>
      <c r="F519" s="452">
        <v>46174</v>
      </c>
      <c r="G519">
        <v>20301</v>
      </c>
      <c r="H519" t="s">
        <v>4161</v>
      </c>
      <c r="I519" t="s">
        <v>3469</v>
      </c>
      <c r="J519">
        <v>12</v>
      </c>
      <c r="K519" t="s">
        <v>3888</v>
      </c>
      <c r="L519">
        <v>252</v>
      </c>
      <c r="M519">
        <v>21</v>
      </c>
      <c r="N519" t="s">
        <v>4240</v>
      </c>
      <c r="O519" t="s">
        <v>466</v>
      </c>
    </row>
    <row r="520" spans="1:15" x14ac:dyDescent="0.3">
      <c r="A520">
        <v>238323</v>
      </c>
      <c r="B520">
        <v>116</v>
      </c>
      <c r="C520" t="s">
        <v>568</v>
      </c>
      <c r="D520" t="s">
        <v>2429</v>
      </c>
      <c r="E520" t="s">
        <v>2430</v>
      </c>
      <c r="F520" s="452">
        <v>46176</v>
      </c>
      <c r="G520">
        <v>19916</v>
      </c>
      <c r="H520" t="s">
        <v>4118</v>
      </c>
      <c r="I520" t="s">
        <v>3469</v>
      </c>
      <c r="J520">
        <v>1</v>
      </c>
      <c r="K520" t="s">
        <v>3881</v>
      </c>
      <c r="L520">
        <v>38</v>
      </c>
      <c r="M520">
        <v>38</v>
      </c>
      <c r="N520" t="s">
        <v>4240</v>
      </c>
      <c r="O520" t="s">
        <v>466</v>
      </c>
    </row>
    <row r="521" spans="1:15" x14ac:dyDescent="0.3">
      <c r="A521">
        <v>238323</v>
      </c>
      <c r="B521">
        <v>116</v>
      </c>
      <c r="C521" t="s">
        <v>568</v>
      </c>
      <c r="D521" t="s">
        <v>2429</v>
      </c>
      <c r="E521" t="s">
        <v>2430</v>
      </c>
      <c r="F521" s="452">
        <v>46176</v>
      </c>
      <c r="G521">
        <v>20717</v>
      </c>
      <c r="H521" t="s">
        <v>4055</v>
      </c>
      <c r="I521" t="s">
        <v>3469</v>
      </c>
      <c r="J521">
        <v>2</v>
      </c>
      <c r="K521" t="s">
        <v>3872</v>
      </c>
      <c r="L521">
        <v>88.6</v>
      </c>
      <c r="M521">
        <v>44.3</v>
      </c>
      <c r="N521" t="s">
        <v>4240</v>
      </c>
      <c r="O521" t="s">
        <v>466</v>
      </c>
    </row>
    <row r="522" spans="1:15" x14ac:dyDescent="0.3">
      <c r="A522">
        <v>238323</v>
      </c>
      <c r="B522">
        <v>116</v>
      </c>
      <c r="C522" t="s">
        <v>568</v>
      </c>
      <c r="D522" t="s">
        <v>2429</v>
      </c>
      <c r="E522" t="s">
        <v>2430</v>
      </c>
      <c r="F522" s="452">
        <v>46176</v>
      </c>
      <c r="G522">
        <v>20685</v>
      </c>
      <c r="H522" t="s">
        <v>4122</v>
      </c>
      <c r="I522" t="s">
        <v>3469</v>
      </c>
      <c r="J522">
        <v>10</v>
      </c>
      <c r="K522" t="s">
        <v>3872</v>
      </c>
      <c r="L522">
        <v>34.5</v>
      </c>
      <c r="M522">
        <v>3.45</v>
      </c>
      <c r="N522" t="s">
        <v>4240</v>
      </c>
      <c r="O522" t="s">
        <v>466</v>
      </c>
    </row>
    <row r="523" spans="1:15" x14ac:dyDescent="0.3">
      <c r="A523">
        <v>238320</v>
      </c>
      <c r="B523">
        <v>116</v>
      </c>
      <c r="C523" t="s">
        <v>568</v>
      </c>
      <c r="D523" t="s">
        <v>2277</v>
      </c>
      <c r="E523" t="s">
        <v>2431</v>
      </c>
      <c r="F523" s="452">
        <v>46175</v>
      </c>
      <c r="G523">
        <v>20809</v>
      </c>
      <c r="H523" t="s">
        <v>4005</v>
      </c>
      <c r="I523" t="s">
        <v>3469</v>
      </c>
      <c r="J523">
        <v>3</v>
      </c>
      <c r="K523" t="s">
        <v>3872</v>
      </c>
      <c r="L523">
        <v>89.7</v>
      </c>
      <c r="M523">
        <v>29.9</v>
      </c>
      <c r="N523" t="s">
        <v>4240</v>
      </c>
      <c r="O523" t="s">
        <v>466</v>
      </c>
    </row>
    <row r="524" spans="1:15" x14ac:dyDescent="0.3">
      <c r="A524">
        <v>238320</v>
      </c>
      <c r="B524">
        <v>116</v>
      </c>
      <c r="C524" t="s">
        <v>568</v>
      </c>
      <c r="D524" t="s">
        <v>2277</v>
      </c>
      <c r="E524" t="s">
        <v>2431</v>
      </c>
      <c r="F524" s="452">
        <v>46175</v>
      </c>
      <c r="G524">
        <v>23982</v>
      </c>
      <c r="H524" t="s">
        <v>3977</v>
      </c>
      <c r="I524" t="s">
        <v>3469</v>
      </c>
      <c r="J524">
        <v>1</v>
      </c>
      <c r="K524" t="s">
        <v>3872</v>
      </c>
      <c r="L524">
        <v>240.56</v>
      </c>
      <c r="M524">
        <v>240.56</v>
      </c>
      <c r="N524" t="s">
        <v>4240</v>
      </c>
      <c r="O524" t="s">
        <v>466</v>
      </c>
    </row>
    <row r="525" spans="1:15" x14ac:dyDescent="0.3">
      <c r="A525">
        <v>238320</v>
      </c>
      <c r="B525">
        <v>116</v>
      </c>
      <c r="C525" t="s">
        <v>568</v>
      </c>
      <c r="D525" t="s">
        <v>2277</v>
      </c>
      <c r="E525" t="s">
        <v>2431</v>
      </c>
      <c r="F525" s="452">
        <v>46175</v>
      </c>
      <c r="G525">
        <v>19421</v>
      </c>
      <c r="H525" t="s">
        <v>4275</v>
      </c>
      <c r="I525" t="s">
        <v>3469</v>
      </c>
      <c r="J525">
        <v>1</v>
      </c>
      <c r="K525" t="s">
        <v>4241</v>
      </c>
      <c r="L525">
        <v>0</v>
      </c>
      <c r="M525">
        <v>0</v>
      </c>
      <c r="N525" t="s">
        <v>4240</v>
      </c>
      <c r="O525" t="s">
        <v>466</v>
      </c>
    </row>
    <row r="526" spans="1:15" x14ac:dyDescent="0.3">
      <c r="A526">
        <v>238320</v>
      </c>
      <c r="B526">
        <v>116</v>
      </c>
      <c r="C526" t="s">
        <v>568</v>
      </c>
      <c r="D526" t="s">
        <v>2277</v>
      </c>
      <c r="E526" t="s">
        <v>2431</v>
      </c>
      <c r="F526" s="452">
        <v>46175</v>
      </c>
      <c r="G526">
        <v>21093</v>
      </c>
      <c r="H526" t="s">
        <v>3903</v>
      </c>
      <c r="I526" t="s">
        <v>3469</v>
      </c>
      <c r="J526">
        <v>10</v>
      </c>
      <c r="K526" t="s">
        <v>3872</v>
      </c>
      <c r="L526">
        <v>43.9</v>
      </c>
      <c r="M526">
        <v>4.3899999999999997</v>
      </c>
      <c r="N526" t="s">
        <v>4240</v>
      </c>
      <c r="O526" t="s">
        <v>466</v>
      </c>
    </row>
    <row r="527" spans="1:15" x14ac:dyDescent="0.3">
      <c r="A527">
        <v>238320</v>
      </c>
      <c r="B527">
        <v>116</v>
      </c>
      <c r="C527" t="s">
        <v>568</v>
      </c>
      <c r="D527" t="s">
        <v>2277</v>
      </c>
      <c r="E527" t="s">
        <v>2431</v>
      </c>
      <c r="F527" s="452">
        <v>46175</v>
      </c>
      <c r="G527">
        <v>20057</v>
      </c>
      <c r="H527" t="s">
        <v>3967</v>
      </c>
      <c r="I527" t="s">
        <v>3469</v>
      </c>
      <c r="J527">
        <v>2</v>
      </c>
      <c r="K527" t="s">
        <v>3872</v>
      </c>
      <c r="L527">
        <v>84.36</v>
      </c>
      <c r="M527">
        <v>42.18</v>
      </c>
      <c r="N527" t="s">
        <v>4240</v>
      </c>
      <c r="O527" t="s">
        <v>466</v>
      </c>
    </row>
    <row r="528" spans="1:15" x14ac:dyDescent="0.3">
      <c r="A528">
        <v>238320</v>
      </c>
      <c r="B528">
        <v>116</v>
      </c>
      <c r="C528" t="s">
        <v>568</v>
      </c>
      <c r="D528" t="s">
        <v>2277</v>
      </c>
      <c r="E528" t="s">
        <v>2431</v>
      </c>
      <c r="F528" s="452">
        <v>46175</v>
      </c>
      <c r="G528">
        <v>21024</v>
      </c>
      <c r="H528" t="s">
        <v>4180</v>
      </c>
      <c r="I528" t="s">
        <v>3469</v>
      </c>
      <c r="J528">
        <v>2</v>
      </c>
      <c r="K528" t="s">
        <v>3872</v>
      </c>
      <c r="L528">
        <v>358</v>
      </c>
      <c r="M528">
        <v>179</v>
      </c>
      <c r="N528" t="s">
        <v>4240</v>
      </c>
      <c r="O528" t="s">
        <v>466</v>
      </c>
    </row>
    <row r="529" spans="1:15" x14ac:dyDescent="0.3">
      <c r="A529">
        <v>238320</v>
      </c>
      <c r="B529">
        <v>116</v>
      </c>
      <c r="C529" t="s">
        <v>568</v>
      </c>
      <c r="D529" t="s">
        <v>2277</v>
      </c>
      <c r="E529" t="s">
        <v>2431</v>
      </c>
      <c r="F529" s="452">
        <v>46175</v>
      </c>
      <c r="G529">
        <v>20752</v>
      </c>
      <c r="H529" t="s">
        <v>3964</v>
      </c>
      <c r="I529" t="s">
        <v>3469</v>
      </c>
      <c r="J529">
        <v>3</v>
      </c>
      <c r="K529" t="s">
        <v>3872</v>
      </c>
      <c r="L529">
        <v>334.41</v>
      </c>
      <c r="M529">
        <v>111.47</v>
      </c>
      <c r="N529" t="s">
        <v>4240</v>
      </c>
      <c r="O529" t="s">
        <v>466</v>
      </c>
    </row>
    <row r="530" spans="1:15" x14ac:dyDescent="0.3">
      <c r="A530">
        <v>238319</v>
      </c>
      <c r="B530">
        <v>116</v>
      </c>
      <c r="C530" t="s">
        <v>568</v>
      </c>
      <c r="D530" t="s">
        <v>2312</v>
      </c>
      <c r="E530" t="s">
        <v>2432</v>
      </c>
      <c r="F530" s="452">
        <v>46176</v>
      </c>
      <c r="G530">
        <v>20702</v>
      </c>
      <c r="H530" t="s">
        <v>4006</v>
      </c>
      <c r="I530" t="s">
        <v>3469</v>
      </c>
      <c r="J530">
        <v>1</v>
      </c>
      <c r="K530" t="s">
        <v>3966</v>
      </c>
      <c r="L530">
        <v>42.9</v>
      </c>
      <c r="M530">
        <v>42.9</v>
      </c>
      <c r="N530" t="s">
        <v>4240</v>
      </c>
      <c r="O530" t="s">
        <v>466</v>
      </c>
    </row>
    <row r="531" spans="1:15" x14ac:dyDescent="0.3">
      <c r="A531">
        <v>238318</v>
      </c>
      <c r="B531">
        <v>116</v>
      </c>
      <c r="C531" t="s">
        <v>568</v>
      </c>
      <c r="D531" t="s">
        <v>2269</v>
      </c>
      <c r="E531" t="s">
        <v>2433</v>
      </c>
      <c r="F531" s="452">
        <v>46176</v>
      </c>
      <c r="G531">
        <v>29129</v>
      </c>
      <c r="H531" t="s">
        <v>4176</v>
      </c>
      <c r="I531" t="s">
        <v>3469</v>
      </c>
      <c r="J531">
        <v>9</v>
      </c>
      <c r="K531" t="s">
        <v>3872</v>
      </c>
      <c r="L531">
        <v>103.23</v>
      </c>
      <c r="M531">
        <v>11.47</v>
      </c>
      <c r="N531" t="s">
        <v>4240</v>
      </c>
      <c r="O531" t="s">
        <v>466</v>
      </c>
    </row>
    <row r="532" spans="1:15" x14ac:dyDescent="0.3">
      <c r="A532">
        <v>238315</v>
      </c>
      <c r="B532">
        <v>116</v>
      </c>
      <c r="C532" t="s">
        <v>568</v>
      </c>
      <c r="D532" t="s">
        <v>2269</v>
      </c>
      <c r="E532" t="s">
        <v>2434</v>
      </c>
      <c r="F532" s="452">
        <v>46174</v>
      </c>
      <c r="G532">
        <v>29129</v>
      </c>
      <c r="H532" t="s">
        <v>4176</v>
      </c>
      <c r="I532" t="s">
        <v>3469</v>
      </c>
      <c r="J532">
        <v>9</v>
      </c>
      <c r="K532" t="s">
        <v>3872</v>
      </c>
      <c r="L532">
        <v>103.23</v>
      </c>
      <c r="M532">
        <v>11.47</v>
      </c>
      <c r="N532" t="s">
        <v>4240</v>
      </c>
      <c r="O532" t="s">
        <v>466</v>
      </c>
    </row>
    <row r="533" spans="1:15" x14ac:dyDescent="0.3">
      <c r="A533">
        <v>238313</v>
      </c>
      <c r="B533">
        <v>116</v>
      </c>
      <c r="C533" t="s">
        <v>568</v>
      </c>
      <c r="D533" t="s">
        <v>2275</v>
      </c>
      <c r="E533" t="s">
        <v>2435</v>
      </c>
      <c r="F533" s="452">
        <v>46174</v>
      </c>
      <c r="G533">
        <v>24006</v>
      </c>
      <c r="H533" t="s">
        <v>4177</v>
      </c>
      <c r="I533" t="s">
        <v>3497</v>
      </c>
      <c r="J533">
        <v>10</v>
      </c>
      <c r="K533" t="s">
        <v>3888</v>
      </c>
      <c r="L533">
        <v>239</v>
      </c>
      <c r="M533">
        <v>23.9</v>
      </c>
      <c r="N533" t="s">
        <v>3497</v>
      </c>
      <c r="O533" t="s">
        <v>466</v>
      </c>
    </row>
    <row r="534" spans="1:15" x14ac:dyDescent="0.3">
      <c r="A534">
        <v>238313</v>
      </c>
      <c r="B534">
        <v>116</v>
      </c>
      <c r="C534" t="s">
        <v>568</v>
      </c>
      <c r="D534" t="s">
        <v>2275</v>
      </c>
      <c r="E534" t="s">
        <v>2435</v>
      </c>
      <c r="F534" s="452">
        <v>46174</v>
      </c>
      <c r="G534">
        <v>17969</v>
      </c>
      <c r="H534" t="s">
        <v>4175</v>
      </c>
      <c r="I534" t="s">
        <v>3497</v>
      </c>
      <c r="J534">
        <v>15</v>
      </c>
      <c r="K534" t="s">
        <v>3888</v>
      </c>
      <c r="L534">
        <v>340.5</v>
      </c>
      <c r="M534">
        <v>22.7</v>
      </c>
      <c r="N534" t="s">
        <v>3497</v>
      </c>
      <c r="O534" t="s">
        <v>466</v>
      </c>
    </row>
    <row r="535" spans="1:15" x14ac:dyDescent="0.3">
      <c r="A535">
        <v>238311</v>
      </c>
      <c r="B535">
        <v>116</v>
      </c>
      <c r="C535" t="s">
        <v>568</v>
      </c>
      <c r="D535" t="s">
        <v>2330</v>
      </c>
      <c r="E535" t="s">
        <v>2436</v>
      </c>
      <c r="F535" s="452">
        <v>46174</v>
      </c>
      <c r="G535">
        <v>18295</v>
      </c>
      <c r="H535" t="s">
        <v>4030</v>
      </c>
      <c r="I535" t="s">
        <v>3497</v>
      </c>
      <c r="J535">
        <v>3</v>
      </c>
      <c r="K535" t="s">
        <v>3878</v>
      </c>
      <c r="L535">
        <v>405</v>
      </c>
      <c r="M535">
        <v>135</v>
      </c>
      <c r="N535" t="s">
        <v>4276</v>
      </c>
      <c r="O535" t="s">
        <v>466</v>
      </c>
    </row>
    <row r="536" spans="1:15" x14ac:dyDescent="0.3">
      <c r="A536">
        <v>238307</v>
      </c>
      <c r="B536">
        <v>116</v>
      </c>
      <c r="C536" t="s">
        <v>568</v>
      </c>
      <c r="D536" t="s">
        <v>2410</v>
      </c>
      <c r="E536" t="s">
        <v>2437</v>
      </c>
      <c r="F536" s="452">
        <v>46175</v>
      </c>
      <c r="G536">
        <v>18493</v>
      </c>
      <c r="H536" t="s">
        <v>3958</v>
      </c>
      <c r="I536" t="s">
        <v>3497</v>
      </c>
      <c r="J536">
        <v>6</v>
      </c>
      <c r="K536" t="s">
        <v>3878</v>
      </c>
      <c r="L536">
        <v>419.4</v>
      </c>
      <c r="M536">
        <v>69.900000000000006</v>
      </c>
      <c r="N536" t="s">
        <v>3497</v>
      </c>
      <c r="O536" t="s">
        <v>466</v>
      </c>
    </row>
    <row r="537" spans="1:15" x14ac:dyDescent="0.3">
      <c r="A537">
        <v>238292</v>
      </c>
      <c r="B537">
        <v>116</v>
      </c>
      <c r="C537" t="s">
        <v>568</v>
      </c>
      <c r="D537" t="s">
        <v>2284</v>
      </c>
      <c r="E537" t="s">
        <v>2438</v>
      </c>
      <c r="F537" s="452">
        <v>46175</v>
      </c>
      <c r="G537">
        <v>22721</v>
      </c>
      <c r="H537" t="s">
        <v>4221</v>
      </c>
      <c r="I537" t="s">
        <v>3469</v>
      </c>
      <c r="J537">
        <v>4.5599999999999996</v>
      </c>
      <c r="K537" t="s">
        <v>3892</v>
      </c>
      <c r="L537">
        <v>134.52000000000001</v>
      </c>
      <c r="M537">
        <v>29.5</v>
      </c>
      <c r="N537" t="s">
        <v>4240</v>
      </c>
      <c r="O537" t="s">
        <v>466</v>
      </c>
    </row>
    <row r="538" spans="1:15" x14ac:dyDescent="0.3">
      <c r="A538">
        <v>238292</v>
      </c>
      <c r="B538">
        <v>116</v>
      </c>
      <c r="C538" t="s">
        <v>568</v>
      </c>
      <c r="D538" t="s">
        <v>2284</v>
      </c>
      <c r="E538" t="s">
        <v>2438</v>
      </c>
      <c r="F538" s="452">
        <v>46175</v>
      </c>
      <c r="G538">
        <v>21030</v>
      </c>
      <c r="H538" t="s">
        <v>3890</v>
      </c>
      <c r="I538" t="s">
        <v>3469</v>
      </c>
      <c r="J538">
        <v>6</v>
      </c>
      <c r="K538" t="s">
        <v>3872</v>
      </c>
      <c r="L538">
        <v>119.4</v>
      </c>
      <c r="M538">
        <v>19.899999999999999</v>
      </c>
      <c r="N538" t="s">
        <v>4240</v>
      </c>
      <c r="O538" t="s">
        <v>466</v>
      </c>
    </row>
    <row r="539" spans="1:15" x14ac:dyDescent="0.3">
      <c r="A539">
        <v>238291</v>
      </c>
      <c r="B539">
        <v>116</v>
      </c>
      <c r="C539" t="s">
        <v>568</v>
      </c>
      <c r="D539" t="s">
        <v>2284</v>
      </c>
      <c r="E539" t="s">
        <v>2439</v>
      </c>
      <c r="F539" s="452">
        <v>46176</v>
      </c>
      <c r="G539">
        <v>19264</v>
      </c>
      <c r="H539" t="s">
        <v>4082</v>
      </c>
      <c r="I539" t="s">
        <v>3469</v>
      </c>
      <c r="J539">
        <v>1</v>
      </c>
      <c r="K539" t="s">
        <v>4241</v>
      </c>
      <c r="L539">
        <v>67.900000000000006</v>
      </c>
      <c r="M539">
        <v>67.900000000000006</v>
      </c>
      <c r="N539" t="s">
        <v>4240</v>
      </c>
      <c r="O539" t="s">
        <v>466</v>
      </c>
    </row>
    <row r="540" spans="1:15" x14ac:dyDescent="0.3">
      <c r="A540">
        <v>238291</v>
      </c>
      <c r="B540">
        <v>116</v>
      </c>
      <c r="C540" t="s">
        <v>568</v>
      </c>
      <c r="D540" t="s">
        <v>2284</v>
      </c>
      <c r="E540" t="s">
        <v>2439</v>
      </c>
      <c r="F540" s="452">
        <v>46176</v>
      </c>
      <c r="G540">
        <v>20117</v>
      </c>
      <c r="H540" t="s">
        <v>4010</v>
      </c>
      <c r="I540" t="s">
        <v>3469</v>
      </c>
      <c r="J540">
        <v>4</v>
      </c>
      <c r="K540" t="s">
        <v>3872</v>
      </c>
      <c r="L540">
        <v>161.6</v>
      </c>
      <c r="M540">
        <v>40.4</v>
      </c>
      <c r="N540" t="s">
        <v>4240</v>
      </c>
      <c r="O540" t="s">
        <v>466</v>
      </c>
    </row>
    <row r="541" spans="1:15" x14ac:dyDescent="0.3">
      <c r="A541">
        <v>238291</v>
      </c>
      <c r="B541">
        <v>116</v>
      </c>
      <c r="C541" t="s">
        <v>568</v>
      </c>
      <c r="D541" t="s">
        <v>2284</v>
      </c>
      <c r="E541" t="s">
        <v>2439</v>
      </c>
      <c r="F541" s="452">
        <v>46176</v>
      </c>
      <c r="G541">
        <v>23622</v>
      </c>
      <c r="H541" t="s">
        <v>4150</v>
      </c>
      <c r="I541" t="s">
        <v>3469</v>
      </c>
      <c r="J541">
        <v>1</v>
      </c>
      <c r="K541" t="s">
        <v>3892</v>
      </c>
      <c r="L541">
        <v>21.5</v>
      </c>
      <c r="M541">
        <v>21.5</v>
      </c>
      <c r="N541" t="s">
        <v>4240</v>
      </c>
      <c r="O541" t="s">
        <v>466</v>
      </c>
    </row>
    <row r="542" spans="1:15" x14ac:dyDescent="0.3">
      <c r="A542">
        <v>238291</v>
      </c>
      <c r="B542">
        <v>116</v>
      </c>
      <c r="C542" t="s">
        <v>568</v>
      </c>
      <c r="D542" t="s">
        <v>2284</v>
      </c>
      <c r="E542" t="s">
        <v>2439</v>
      </c>
      <c r="F542" s="452">
        <v>46176</v>
      </c>
      <c r="G542">
        <v>24185</v>
      </c>
      <c r="H542" t="s">
        <v>4040</v>
      </c>
      <c r="I542" t="s">
        <v>3469</v>
      </c>
      <c r="J542">
        <v>2</v>
      </c>
      <c r="K542" t="s">
        <v>3892</v>
      </c>
      <c r="L542">
        <v>46.4</v>
      </c>
      <c r="M542">
        <v>23.2</v>
      </c>
      <c r="N542" t="s">
        <v>4240</v>
      </c>
      <c r="O542" t="s">
        <v>466</v>
      </c>
    </row>
    <row r="543" spans="1:15" x14ac:dyDescent="0.3">
      <c r="A543">
        <v>238291</v>
      </c>
      <c r="B543">
        <v>116</v>
      </c>
      <c r="C543" t="s">
        <v>568</v>
      </c>
      <c r="D543" t="s">
        <v>2284</v>
      </c>
      <c r="E543" t="s">
        <v>2439</v>
      </c>
      <c r="F543" s="452">
        <v>46176</v>
      </c>
      <c r="G543">
        <v>23270</v>
      </c>
      <c r="H543" t="s">
        <v>4103</v>
      </c>
      <c r="I543" t="s">
        <v>3469</v>
      </c>
      <c r="J543">
        <v>1</v>
      </c>
      <c r="K543" t="s">
        <v>3892</v>
      </c>
      <c r="L543">
        <v>19.899999999999999</v>
      </c>
      <c r="M543">
        <v>19.899999999999999</v>
      </c>
      <c r="N543" t="s">
        <v>4240</v>
      </c>
      <c r="O543" t="s">
        <v>466</v>
      </c>
    </row>
    <row r="544" spans="1:15" x14ac:dyDescent="0.3">
      <c r="A544">
        <v>238290</v>
      </c>
      <c r="B544">
        <v>116</v>
      </c>
      <c r="C544" t="s">
        <v>568</v>
      </c>
      <c r="D544" t="s">
        <v>2284</v>
      </c>
      <c r="E544" t="s">
        <v>2440</v>
      </c>
      <c r="F544" s="452">
        <v>46175</v>
      </c>
      <c r="G544">
        <v>18467</v>
      </c>
      <c r="H544" t="s">
        <v>4028</v>
      </c>
      <c r="I544" t="s">
        <v>3497</v>
      </c>
      <c r="J544">
        <v>3</v>
      </c>
      <c r="K544" t="s">
        <v>3878</v>
      </c>
      <c r="L544">
        <v>230.4</v>
      </c>
      <c r="M544">
        <v>76.8</v>
      </c>
      <c r="N544" t="s">
        <v>3497</v>
      </c>
      <c r="O544" t="s">
        <v>466</v>
      </c>
    </row>
    <row r="545" spans="1:15" x14ac:dyDescent="0.3">
      <c r="A545">
        <v>238260</v>
      </c>
      <c r="B545">
        <v>116</v>
      </c>
      <c r="C545" t="s">
        <v>568</v>
      </c>
      <c r="D545" t="s">
        <v>2332</v>
      </c>
      <c r="E545" t="s">
        <v>2441</v>
      </c>
      <c r="F545" s="452">
        <v>46176</v>
      </c>
      <c r="G545">
        <v>18538</v>
      </c>
      <c r="H545" t="s">
        <v>4026</v>
      </c>
      <c r="I545" t="s">
        <v>3497</v>
      </c>
      <c r="J545">
        <v>2</v>
      </c>
      <c r="K545" t="s">
        <v>3878</v>
      </c>
      <c r="L545">
        <v>205.8</v>
      </c>
      <c r="M545">
        <v>102.9</v>
      </c>
      <c r="N545" t="s">
        <v>3497</v>
      </c>
      <c r="O545" t="s">
        <v>466</v>
      </c>
    </row>
    <row r="546" spans="1:15" x14ac:dyDescent="0.3">
      <c r="A546">
        <v>238256</v>
      </c>
      <c r="B546">
        <v>116</v>
      </c>
      <c r="C546" t="s">
        <v>568</v>
      </c>
      <c r="D546" t="s">
        <v>2262</v>
      </c>
      <c r="E546" t="s">
        <v>2442</v>
      </c>
      <c r="F546" s="452">
        <v>46177</v>
      </c>
      <c r="G546">
        <v>24259</v>
      </c>
      <c r="H546" t="s">
        <v>3895</v>
      </c>
      <c r="I546" t="s">
        <v>3469</v>
      </c>
      <c r="J546">
        <v>16.399999999999999</v>
      </c>
      <c r="K546" t="s">
        <v>3892</v>
      </c>
      <c r="L546">
        <v>1328.24</v>
      </c>
      <c r="M546">
        <v>80.990244000000004</v>
      </c>
      <c r="N546" t="s">
        <v>4240</v>
      </c>
      <c r="O546" t="s">
        <v>466</v>
      </c>
    </row>
    <row r="547" spans="1:15" x14ac:dyDescent="0.3">
      <c r="A547">
        <v>238256</v>
      </c>
      <c r="B547">
        <v>116</v>
      </c>
      <c r="C547" t="s">
        <v>568</v>
      </c>
      <c r="D547" t="s">
        <v>2262</v>
      </c>
      <c r="E547" t="s">
        <v>2442</v>
      </c>
      <c r="F547" s="452">
        <v>46177</v>
      </c>
      <c r="G547">
        <v>19017</v>
      </c>
      <c r="H547" t="s">
        <v>4172</v>
      </c>
      <c r="I547" t="s">
        <v>3469</v>
      </c>
      <c r="J547">
        <v>6.5</v>
      </c>
      <c r="K547" t="s">
        <v>3892</v>
      </c>
      <c r="L547">
        <v>104</v>
      </c>
      <c r="M547">
        <v>16</v>
      </c>
      <c r="N547" t="s">
        <v>4240</v>
      </c>
      <c r="O547" t="s">
        <v>466</v>
      </c>
    </row>
    <row r="548" spans="1:15" x14ac:dyDescent="0.3">
      <c r="A548">
        <v>238256</v>
      </c>
      <c r="B548">
        <v>116</v>
      </c>
      <c r="C548" t="s">
        <v>568</v>
      </c>
      <c r="D548" t="s">
        <v>2262</v>
      </c>
      <c r="E548" t="s">
        <v>2442</v>
      </c>
      <c r="F548" s="452">
        <v>46177</v>
      </c>
      <c r="G548">
        <v>27312</v>
      </c>
      <c r="H548" t="s">
        <v>3927</v>
      </c>
      <c r="I548" t="s">
        <v>3469</v>
      </c>
      <c r="J548">
        <v>16.5</v>
      </c>
      <c r="K548" t="s">
        <v>3892</v>
      </c>
      <c r="L548">
        <v>872.85</v>
      </c>
      <c r="M548">
        <v>52.9</v>
      </c>
      <c r="N548" t="s">
        <v>4240</v>
      </c>
      <c r="O548" t="s">
        <v>466</v>
      </c>
    </row>
    <row r="549" spans="1:15" x14ac:dyDescent="0.3">
      <c r="A549">
        <v>238256</v>
      </c>
      <c r="B549">
        <v>116</v>
      </c>
      <c r="C549" t="s">
        <v>568</v>
      </c>
      <c r="D549" t="s">
        <v>2262</v>
      </c>
      <c r="E549" t="s">
        <v>2442</v>
      </c>
      <c r="F549" s="452">
        <v>46177</v>
      </c>
      <c r="G549">
        <v>18832</v>
      </c>
      <c r="H549" t="s">
        <v>3900</v>
      </c>
      <c r="I549" t="s">
        <v>3469</v>
      </c>
      <c r="J549">
        <v>26</v>
      </c>
      <c r="K549" t="s">
        <v>3892</v>
      </c>
      <c r="L549">
        <v>1037.4000000000001</v>
      </c>
      <c r="M549">
        <v>39.9</v>
      </c>
      <c r="N549" t="s">
        <v>4240</v>
      </c>
      <c r="O549" t="s">
        <v>466</v>
      </c>
    </row>
    <row r="550" spans="1:15" x14ac:dyDescent="0.3">
      <c r="A550">
        <v>238256</v>
      </c>
      <c r="B550">
        <v>116</v>
      </c>
      <c r="C550" t="s">
        <v>568</v>
      </c>
      <c r="D550" t="s">
        <v>2262</v>
      </c>
      <c r="E550" t="s">
        <v>2442</v>
      </c>
      <c r="F550" s="452">
        <v>46177</v>
      </c>
      <c r="G550">
        <v>27313</v>
      </c>
      <c r="H550" t="s">
        <v>4131</v>
      </c>
      <c r="I550" t="s">
        <v>3469</v>
      </c>
      <c r="J550">
        <v>10.7</v>
      </c>
      <c r="K550" t="s">
        <v>3892</v>
      </c>
      <c r="L550">
        <v>383.06</v>
      </c>
      <c r="M550">
        <v>35.799999999999997</v>
      </c>
      <c r="N550" t="s">
        <v>4240</v>
      </c>
      <c r="O550" t="s">
        <v>466</v>
      </c>
    </row>
    <row r="551" spans="1:15" x14ac:dyDescent="0.3">
      <c r="A551">
        <v>238256</v>
      </c>
      <c r="B551">
        <v>116</v>
      </c>
      <c r="C551" t="s">
        <v>568</v>
      </c>
      <c r="D551" t="s">
        <v>2262</v>
      </c>
      <c r="E551" t="s">
        <v>2442</v>
      </c>
      <c r="F551" s="452">
        <v>46177</v>
      </c>
      <c r="G551">
        <v>24116</v>
      </c>
      <c r="H551" t="s">
        <v>3963</v>
      </c>
      <c r="I551" t="s">
        <v>3469</v>
      </c>
      <c r="J551">
        <v>5</v>
      </c>
      <c r="K551" t="s">
        <v>3892</v>
      </c>
      <c r="L551">
        <v>219.5</v>
      </c>
      <c r="M551">
        <v>43.9</v>
      </c>
      <c r="N551" t="s">
        <v>4240</v>
      </c>
      <c r="O551" t="s">
        <v>466</v>
      </c>
    </row>
    <row r="552" spans="1:15" x14ac:dyDescent="0.3">
      <c r="A552">
        <v>238254</v>
      </c>
      <c r="B552">
        <v>116</v>
      </c>
      <c r="C552" t="s">
        <v>568</v>
      </c>
      <c r="D552" t="s">
        <v>2262</v>
      </c>
      <c r="E552" t="s">
        <v>2443</v>
      </c>
      <c r="F552" s="452">
        <v>46177</v>
      </c>
      <c r="G552">
        <v>24402</v>
      </c>
      <c r="H552" t="s">
        <v>3896</v>
      </c>
      <c r="I552" t="s">
        <v>3469</v>
      </c>
      <c r="J552">
        <v>13.3</v>
      </c>
      <c r="K552" t="s">
        <v>3892</v>
      </c>
      <c r="L552">
        <v>521.36</v>
      </c>
      <c r="M552">
        <v>39.200000000000003</v>
      </c>
      <c r="N552" t="s">
        <v>4240</v>
      </c>
      <c r="O552" t="s">
        <v>466</v>
      </c>
    </row>
    <row r="553" spans="1:15" x14ac:dyDescent="0.3">
      <c r="A553">
        <v>238253</v>
      </c>
      <c r="B553">
        <v>116</v>
      </c>
      <c r="C553" t="s">
        <v>568</v>
      </c>
      <c r="D553" t="s">
        <v>2267</v>
      </c>
      <c r="E553" t="s">
        <v>2444</v>
      </c>
      <c r="F553" s="452">
        <v>46175</v>
      </c>
      <c r="G553">
        <v>24517</v>
      </c>
      <c r="H553" t="s">
        <v>3991</v>
      </c>
      <c r="I553" t="s">
        <v>3469</v>
      </c>
      <c r="J553">
        <v>13.9</v>
      </c>
      <c r="K553" t="s">
        <v>3892</v>
      </c>
      <c r="L553">
        <v>371.13</v>
      </c>
      <c r="M553">
        <v>26.7</v>
      </c>
      <c r="N553" t="s">
        <v>3469</v>
      </c>
      <c r="O553" t="s">
        <v>466</v>
      </c>
    </row>
    <row r="554" spans="1:15" x14ac:dyDescent="0.3">
      <c r="A554">
        <v>238253</v>
      </c>
      <c r="B554">
        <v>116</v>
      </c>
      <c r="C554" t="s">
        <v>568</v>
      </c>
      <c r="D554" t="s">
        <v>2267</v>
      </c>
      <c r="E554" t="s">
        <v>2444</v>
      </c>
      <c r="F554" s="452">
        <v>46175</v>
      </c>
      <c r="G554">
        <v>18696</v>
      </c>
      <c r="H554" t="s">
        <v>3956</v>
      </c>
      <c r="I554" t="s">
        <v>3469</v>
      </c>
      <c r="J554">
        <v>6.1</v>
      </c>
      <c r="K554" t="s">
        <v>3892</v>
      </c>
      <c r="L554">
        <v>109.74</v>
      </c>
      <c r="M554">
        <v>17.990164</v>
      </c>
      <c r="N554" t="s">
        <v>3469</v>
      </c>
      <c r="O554" t="s">
        <v>466</v>
      </c>
    </row>
    <row r="555" spans="1:15" x14ac:dyDescent="0.3">
      <c r="A555">
        <v>238253</v>
      </c>
      <c r="B555">
        <v>116</v>
      </c>
      <c r="C555" t="s">
        <v>568</v>
      </c>
      <c r="D555" t="s">
        <v>2267</v>
      </c>
      <c r="E555" t="s">
        <v>2444</v>
      </c>
      <c r="F555" s="452">
        <v>46175</v>
      </c>
      <c r="G555">
        <v>20549</v>
      </c>
      <c r="H555" t="s">
        <v>4007</v>
      </c>
      <c r="I555" t="s">
        <v>3469</v>
      </c>
      <c r="J555">
        <v>6</v>
      </c>
      <c r="K555" t="s">
        <v>3892</v>
      </c>
      <c r="L555">
        <v>119.94</v>
      </c>
      <c r="M555">
        <v>19.989999999999998</v>
      </c>
      <c r="N555" t="s">
        <v>3469</v>
      </c>
      <c r="O555" t="s">
        <v>466</v>
      </c>
    </row>
    <row r="556" spans="1:15" x14ac:dyDescent="0.3">
      <c r="A556">
        <v>238253</v>
      </c>
      <c r="B556">
        <v>116</v>
      </c>
      <c r="C556" t="s">
        <v>568</v>
      </c>
      <c r="D556" t="s">
        <v>2267</v>
      </c>
      <c r="E556" t="s">
        <v>2444</v>
      </c>
      <c r="F556" s="452">
        <v>46175</v>
      </c>
      <c r="G556">
        <v>18682</v>
      </c>
      <c r="H556" t="s">
        <v>4025</v>
      </c>
      <c r="I556" t="s">
        <v>3469</v>
      </c>
      <c r="J556">
        <v>6.5</v>
      </c>
      <c r="K556" t="s">
        <v>3892</v>
      </c>
      <c r="L556">
        <v>181.94</v>
      </c>
      <c r="M556">
        <v>27.990769</v>
      </c>
      <c r="N556" t="s">
        <v>3469</v>
      </c>
      <c r="O556" t="s">
        <v>466</v>
      </c>
    </row>
    <row r="557" spans="1:15" x14ac:dyDescent="0.3">
      <c r="A557">
        <v>238253</v>
      </c>
      <c r="B557">
        <v>116</v>
      </c>
      <c r="C557" t="s">
        <v>568</v>
      </c>
      <c r="D557" t="s">
        <v>2267</v>
      </c>
      <c r="E557" t="s">
        <v>2444</v>
      </c>
      <c r="F557" s="452">
        <v>46175</v>
      </c>
      <c r="G557">
        <v>24343</v>
      </c>
      <c r="H557" t="s">
        <v>3990</v>
      </c>
      <c r="I557" t="s">
        <v>3469</v>
      </c>
      <c r="J557">
        <v>4.4000000000000004</v>
      </c>
      <c r="K557" t="s">
        <v>3892</v>
      </c>
      <c r="L557">
        <v>101.16</v>
      </c>
      <c r="M557">
        <v>22.990908999999998</v>
      </c>
      <c r="N557" t="s">
        <v>3469</v>
      </c>
      <c r="O557" t="s">
        <v>466</v>
      </c>
    </row>
    <row r="558" spans="1:15" x14ac:dyDescent="0.3">
      <c r="A558">
        <v>238252</v>
      </c>
      <c r="B558">
        <v>116</v>
      </c>
      <c r="C558" t="s">
        <v>568</v>
      </c>
      <c r="D558" t="s">
        <v>2286</v>
      </c>
      <c r="E558" t="s">
        <v>2445</v>
      </c>
      <c r="F558" s="452">
        <v>46177</v>
      </c>
      <c r="G558">
        <v>19505</v>
      </c>
      <c r="H558" t="s">
        <v>4101</v>
      </c>
      <c r="I558" t="s">
        <v>3469</v>
      </c>
      <c r="J558">
        <v>1.5</v>
      </c>
      <c r="K558" t="s">
        <v>3892</v>
      </c>
      <c r="L558">
        <v>16.5</v>
      </c>
      <c r="M558">
        <v>11</v>
      </c>
      <c r="N558" t="s">
        <v>4240</v>
      </c>
      <c r="O558" t="s">
        <v>466</v>
      </c>
    </row>
    <row r="559" spans="1:15" x14ac:dyDescent="0.3">
      <c r="A559">
        <v>238252</v>
      </c>
      <c r="B559">
        <v>116</v>
      </c>
      <c r="C559" t="s">
        <v>568</v>
      </c>
      <c r="D559" t="s">
        <v>2286</v>
      </c>
      <c r="E559" t="s">
        <v>2445</v>
      </c>
      <c r="F559" s="452">
        <v>46177</v>
      </c>
      <c r="G559">
        <v>23120</v>
      </c>
      <c r="H559" t="s">
        <v>4111</v>
      </c>
      <c r="I559" t="s">
        <v>3469</v>
      </c>
      <c r="J559">
        <v>0.2</v>
      </c>
      <c r="K559" t="s">
        <v>3892</v>
      </c>
      <c r="L559">
        <v>13</v>
      </c>
      <c r="M559">
        <v>65</v>
      </c>
      <c r="N559" t="s">
        <v>4240</v>
      </c>
      <c r="O559" t="s">
        <v>466</v>
      </c>
    </row>
    <row r="560" spans="1:15" x14ac:dyDescent="0.3">
      <c r="A560">
        <v>238252</v>
      </c>
      <c r="B560">
        <v>116</v>
      </c>
      <c r="C560" t="s">
        <v>568</v>
      </c>
      <c r="D560" t="s">
        <v>2286</v>
      </c>
      <c r="E560" t="s">
        <v>2445</v>
      </c>
      <c r="F560" s="452">
        <v>46177</v>
      </c>
      <c r="G560">
        <v>19555</v>
      </c>
      <c r="H560" t="s">
        <v>4109</v>
      </c>
      <c r="I560" t="s">
        <v>3469</v>
      </c>
      <c r="J560">
        <v>0.5</v>
      </c>
      <c r="K560" t="s">
        <v>3892</v>
      </c>
      <c r="L560">
        <v>8</v>
      </c>
      <c r="M560">
        <v>16</v>
      </c>
      <c r="N560" t="s">
        <v>4240</v>
      </c>
      <c r="O560" t="s">
        <v>466</v>
      </c>
    </row>
    <row r="561" spans="1:15" x14ac:dyDescent="0.3">
      <c r="A561">
        <v>238252</v>
      </c>
      <c r="B561">
        <v>116</v>
      </c>
      <c r="C561" t="s">
        <v>568</v>
      </c>
      <c r="D561" t="s">
        <v>2286</v>
      </c>
      <c r="E561" t="s">
        <v>2445</v>
      </c>
      <c r="F561" s="452">
        <v>46177</v>
      </c>
      <c r="G561">
        <v>19480</v>
      </c>
      <c r="H561" t="s">
        <v>4113</v>
      </c>
      <c r="I561" t="s">
        <v>3469</v>
      </c>
      <c r="J561">
        <v>0.2</v>
      </c>
      <c r="K561" t="s">
        <v>3892</v>
      </c>
      <c r="L561">
        <v>3.4</v>
      </c>
      <c r="M561">
        <v>17</v>
      </c>
      <c r="N561" t="s">
        <v>4240</v>
      </c>
      <c r="O561" t="s">
        <v>466</v>
      </c>
    </row>
    <row r="562" spans="1:15" x14ac:dyDescent="0.3">
      <c r="A562">
        <v>238252</v>
      </c>
      <c r="B562">
        <v>116</v>
      </c>
      <c r="C562" t="s">
        <v>568</v>
      </c>
      <c r="D562" t="s">
        <v>2286</v>
      </c>
      <c r="E562" t="s">
        <v>2445</v>
      </c>
      <c r="F562" s="452">
        <v>46177</v>
      </c>
      <c r="G562">
        <v>23359</v>
      </c>
      <c r="H562" t="s">
        <v>3932</v>
      </c>
      <c r="I562" t="s">
        <v>3469</v>
      </c>
      <c r="J562">
        <v>6</v>
      </c>
      <c r="K562" t="s">
        <v>3892</v>
      </c>
      <c r="L562">
        <v>14.4</v>
      </c>
      <c r="M562">
        <v>2.4</v>
      </c>
      <c r="N562" t="s">
        <v>4240</v>
      </c>
      <c r="O562" t="s">
        <v>466</v>
      </c>
    </row>
    <row r="563" spans="1:15" x14ac:dyDescent="0.3">
      <c r="A563">
        <v>238252</v>
      </c>
      <c r="B563">
        <v>116</v>
      </c>
      <c r="C563" t="s">
        <v>568</v>
      </c>
      <c r="D563" t="s">
        <v>2286</v>
      </c>
      <c r="E563" t="s">
        <v>2445</v>
      </c>
      <c r="F563" s="452">
        <v>46177</v>
      </c>
      <c r="G563">
        <v>23389</v>
      </c>
      <c r="H563" t="s">
        <v>4016</v>
      </c>
      <c r="I563" t="s">
        <v>3469</v>
      </c>
      <c r="J563">
        <v>6</v>
      </c>
      <c r="K563" t="s">
        <v>3892</v>
      </c>
      <c r="L563">
        <v>33</v>
      </c>
      <c r="M563">
        <v>5.5</v>
      </c>
      <c r="N563" t="s">
        <v>4240</v>
      </c>
      <c r="O563" t="s">
        <v>466</v>
      </c>
    </row>
    <row r="564" spans="1:15" x14ac:dyDescent="0.3">
      <c r="A564">
        <v>238252</v>
      </c>
      <c r="B564">
        <v>116</v>
      </c>
      <c r="C564" t="s">
        <v>568</v>
      </c>
      <c r="D564" t="s">
        <v>2286</v>
      </c>
      <c r="E564" t="s">
        <v>2445</v>
      </c>
      <c r="F564" s="452">
        <v>46177</v>
      </c>
      <c r="G564">
        <v>19752</v>
      </c>
      <c r="H564" t="s">
        <v>4042</v>
      </c>
      <c r="I564" t="s">
        <v>3469</v>
      </c>
      <c r="J564">
        <v>1</v>
      </c>
      <c r="K564" t="s">
        <v>3892</v>
      </c>
      <c r="L564">
        <v>6</v>
      </c>
      <c r="M564">
        <v>6</v>
      </c>
      <c r="N564" t="s">
        <v>4240</v>
      </c>
      <c r="O564" t="s">
        <v>466</v>
      </c>
    </row>
    <row r="565" spans="1:15" x14ac:dyDescent="0.3">
      <c r="A565">
        <v>238252</v>
      </c>
      <c r="B565">
        <v>116</v>
      </c>
      <c r="C565" t="s">
        <v>568</v>
      </c>
      <c r="D565" t="s">
        <v>2286</v>
      </c>
      <c r="E565" t="s">
        <v>2445</v>
      </c>
      <c r="F565" s="452">
        <v>46177</v>
      </c>
      <c r="G565">
        <v>19506</v>
      </c>
      <c r="H565" t="s">
        <v>4112</v>
      </c>
      <c r="I565" t="s">
        <v>3469</v>
      </c>
      <c r="J565">
        <v>0.2</v>
      </c>
      <c r="K565" t="s">
        <v>3892</v>
      </c>
      <c r="L565">
        <v>10</v>
      </c>
      <c r="M565">
        <v>50</v>
      </c>
      <c r="N565" t="s">
        <v>4240</v>
      </c>
      <c r="O565" t="s">
        <v>466</v>
      </c>
    </row>
    <row r="566" spans="1:15" x14ac:dyDescent="0.3">
      <c r="A566">
        <v>238252</v>
      </c>
      <c r="B566">
        <v>116</v>
      </c>
      <c r="C566" t="s">
        <v>568</v>
      </c>
      <c r="D566" t="s">
        <v>2286</v>
      </c>
      <c r="E566" t="s">
        <v>2445</v>
      </c>
      <c r="F566" s="452">
        <v>46177</v>
      </c>
      <c r="G566">
        <v>24037</v>
      </c>
      <c r="H566" t="s">
        <v>4104</v>
      </c>
      <c r="I566" t="s">
        <v>3469</v>
      </c>
      <c r="J566">
        <v>2</v>
      </c>
      <c r="K566" t="s">
        <v>3892</v>
      </c>
      <c r="L566">
        <v>35</v>
      </c>
      <c r="M566">
        <v>17.5</v>
      </c>
      <c r="N566" t="s">
        <v>4240</v>
      </c>
      <c r="O566" t="s">
        <v>466</v>
      </c>
    </row>
    <row r="567" spans="1:15" x14ac:dyDescent="0.3">
      <c r="A567">
        <v>238252</v>
      </c>
      <c r="B567">
        <v>116</v>
      </c>
      <c r="C567" t="s">
        <v>568</v>
      </c>
      <c r="D567" t="s">
        <v>2286</v>
      </c>
      <c r="E567" t="s">
        <v>2445</v>
      </c>
      <c r="F567" s="452">
        <v>46177</v>
      </c>
      <c r="G567">
        <v>24598</v>
      </c>
      <c r="H567" t="s">
        <v>4166</v>
      </c>
      <c r="I567" t="s">
        <v>3469</v>
      </c>
      <c r="J567">
        <v>1</v>
      </c>
      <c r="K567" t="s">
        <v>3892</v>
      </c>
      <c r="L567">
        <v>14</v>
      </c>
      <c r="M567">
        <v>14</v>
      </c>
      <c r="N567" t="s">
        <v>4240</v>
      </c>
      <c r="O567" t="s">
        <v>466</v>
      </c>
    </row>
    <row r="568" spans="1:15" x14ac:dyDescent="0.3">
      <c r="A568">
        <v>238252</v>
      </c>
      <c r="B568">
        <v>116</v>
      </c>
      <c r="C568" t="s">
        <v>568</v>
      </c>
      <c r="D568" t="s">
        <v>2286</v>
      </c>
      <c r="E568" t="s">
        <v>2445</v>
      </c>
      <c r="F568" s="452">
        <v>46177</v>
      </c>
      <c r="G568">
        <v>19763</v>
      </c>
      <c r="H568" t="s">
        <v>4187</v>
      </c>
      <c r="I568" t="s">
        <v>3469</v>
      </c>
      <c r="J568">
        <v>2</v>
      </c>
      <c r="K568" t="s">
        <v>3892</v>
      </c>
      <c r="L568">
        <v>22</v>
      </c>
      <c r="M568">
        <v>11</v>
      </c>
      <c r="N568" t="s">
        <v>4240</v>
      </c>
      <c r="O568" t="s">
        <v>466</v>
      </c>
    </row>
    <row r="569" spans="1:15" x14ac:dyDescent="0.3">
      <c r="A569">
        <v>238252</v>
      </c>
      <c r="B569">
        <v>116</v>
      </c>
      <c r="C569" t="s">
        <v>568</v>
      </c>
      <c r="D569" t="s">
        <v>2286</v>
      </c>
      <c r="E569" t="s">
        <v>2445</v>
      </c>
      <c r="F569" s="452">
        <v>46177</v>
      </c>
      <c r="G569">
        <v>19647</v>
      </c>
      <c r="H569" t="s">
        <v>4066</v>
      </c>
      <c r="I569" t="s">
        <v>3469</v>
      </c>
      <c r="J569">
        <v>1</v>
      </c>
      <c r="K569" t="s">
        <v>3892</v>
      </c>
      <c r="L569">
        <v>15.5</v>
      </c>
      <c r="M569">
        <v>15.5</v>
      </c>
      <c r="N569" t="s">
        <v>4240</v>
      </c>
      <c r="O569" t="s">
        <v>466</v>
      </c>
    </row>
    <row r="570" spans="1:15" x14ac:dyDescent="0.3">
      <c r="A570">
        <v>238252</v>
      </c>
      <c r="B570">
        <v>116</v>
      </c>
      <c r="C570" t="s">
        <v>568</v>
      </c>
      <c r="D570" t="s">
        <v>2286</v>
      </c>
      <c r="E570" t="s">
        <v>2445</v>
      </c>
      <c r="F570" s="452">
        <v>46177</v>
      </c>
      <c r="G570">
        <v>19787</v>
      </c>
      <c r="H570" t="s">
        <v>3940</v>
      </c>
      <c r="I570" t="s">
        <v>3469</v>
      </c>
      <c r="J570">
        <v>4.5</v>
      </c>
      <c r="K570" t="s">
        <v>3892</v>
      </c>
      <c r="L570">
        <v>25.65</v>
      </c>
      <c r="M570">
        <v>5.7</v>
      </c>
      <c r="N570" t="s">
        <v>4240</v>
      </c>
      <c r="O570" t="s">
        <v>466</v>
      </c>
    </row>
    <row r="571" spans="1:15" x14ac:dyDescent="0.3">
      <c r="A571">
        <v>238252</v>
      </c>
      <c r="B571">
        <v>116</v>
      </c>
      <c r="C571" t="s">
        <v>568</v>
      </c>
      <c r="D571" t="s">
        <v>2286</v>
      </c>
      <c r="E571" t="s">
        <v>2445</v>
      </c>
      <c r="F571" s="452">
        <v>46177</v>
      </c>
      <c r="G571">
        <v>23171</v>
      </c>
      <c r="H571" t="s">
        <v>4132</v>
      </c>
      <c r="I571" t="s">
        <v>3469</v>
      </c>
      <c r="J571">
        <v>3</v>
      </c>
      <c r="K571" t="s">
        <v>3892</v>
      </c>
      <c r="L571">
        <v>45</v>
      </c>
      <c r="M571">
        <v>15</v>
      </c>
      <c r="N571" t="s">
        <v>4240</v>
      </c>
      <c r="O571" t="s">
        <v>466</v>
      </c>
    </row>
    <row r="572" spans="1:15" x14ac:dyDescent="0.3">
      <c r="A572">
        <v>238252</v>
      </c>
      <c r="B572">
        <v>116</v>
      </c>
      <c r="C572" t="s">
        <v>568</v>
      </c>
      <c r="D572" t="s">
        <v>2286</v>
      </c>
      <c r="E572" t="s">
        <v>2445</v>
      </c>
      <c r="F572" s="452">
        <v>46177</v>
      </c>
      <c r="G572">
        <v>24509</v>
      </c>
      <c r="H572" t="s">
        <v>3906</v>
      </c>
      <c r="I572" t="s">
        <v>3469</v>
      </c>
      <c r="J572">
        <v>20</v>
      </c>
      <c r="K572" t="s">
        <v>3892</v>
      </c>
      <c r="L572">
        <v>90</v>
      </c>
      <c r="M572">
        <v>4.5</v>
      </c>
      <c r="N572" t="s">
        <v>4240</v>
      </c>
      <c r="O572" t="s">
        <v>466</v>
      </c>
    </row>
    <row r="573" spans="1:15" x14ac:dyDescent="0.3">
      <c r="A573">
        <v>238252</v>
      </c>
      <c r="B573">
        <v>116</v>
      </c>
      <c r="C573" t="s">
        <v>568</v>
      </c>
      <c r="D573" t="s">
        <v>2286</v>
      </c>
      <c r="E573" t="s">
        <v>2445</v>
      </c>
      <c r="F573" s="452">
        <v>46177</v>
      </c>
      <c r="G573">
        <v>23142</v>
      </c>
      <c r="H573" t="s">
        <v>4151</v>
      </c>
      <c r="I573" t="s">
        <v>3469</v>
      </c>
      <c r="J573">
        <v>1</v>
      </c>
      <c r="K573" t="s">
        <v>3892</v>
      </c>
      <c r="L573">
        <v>20</v>
      </c>
      <c r="M573">
        <v>20</v>
      </c>
      <c r="N573" t="s">
        <v>4240</v>
      </c>
      <c r="O573" t="s">
        <v>466</v>
      </c>
    </row>
    <row r="574" spans="1:15" x14ac:dyDescent="0.3">
      <c r="A574">
        <v>238252</v>
      </c>
      <c r="B574">
        <v>116</v>
      </c>
      <c r="C574" t="s">
        <v>568</v>
      </c>
      <c r="D574" t="s">
        <v>2286</v>
      </c>
      <c r="E574" t="s">
        <v>2445</v>
      </c>
      <c r="F574" s="452">
        <v>46177</v>
      </c>
      <c r="G574">
        <v>23236</v>
      </c>
      <c r="H574" t="s">
        <v>4017</v>
      </c>
      <c r="I574" t="s">
        <v>3469</v>
      </c>
      <c r="J574">
        <v>4</v>
      </c>
      <c r="K574" t="s">
        <v>3892</v>
      </c>
      <c r="L574">
        <v>48</v>
      </c>
      <c r="M574">
        <v>12</v>
      </c>
      <c r="N574" t="s">
        <v>4240</v>
      </c>
      <c r="O574" t="s">
        <v>466</v>
      </c>
    </row>
    <row r="575" spans="1:15" x14ac:dyDescent="0.3">
      <c r="A575">
        <v>238252</v>
      </c>
      <c r="B575">
        <v>116</v>
      </c>
      <c r="C575" t="s">
        <v>568</v>
      </c>
      <c r="D575" t="s">
        <v>2286</v>
      </c>
      <c r="E575" t="s">
        <v>2445</v>
      </c>
      <c r="F575" s="452">
        <v>46177</v>
      </c>
      <c r="G575">
        <v>23095</v>
      </c>
      <c r="H575" t="s">
        <v>3882</v>
      </c>
      <c r="I575" t="s">
        <v>3469</v>
      </c>
      <c r="J575">
        <v>20</v>
      </c>
      <c r="K575" t="s">
        <v>3872</v>
      </c>
      <c r="L575">
        <v>19.399999999999999</v>
      </c>
      <c r="M575">
        <v>0.97</v>
      </c>
      <c r="N575" t="s">
        <v>4240</v>
      </c>
      <c r="O575" t="s">
        <v>466</v>
      </c>
    </row>
    <row r="576" spans="1:15" x14ac:dyDescent="0.3">
      <c r="A576">
        <v>238251</v>
      </c>
      <c r="B576">
        <v>116</v>
      </c>
      <c r="C576" t="s">
        <v>568</v>
      </c>
      <c r="D576" t="s">
        <v>2273</v>
      </c>
      <c r="E576" t="s">
        <v>2446</v>
      </c>
      <c r="F576" s="452">
        <v>46174</v>
      </c>
      <c r="G576">
        <v>19642</v>
      </c>
      <c r="H576" t="s">
        <v>4067</v>
      </c>
      <c r="I576" t="s">
        <v>3469</v>
      </c>
      <c r="J576">
        <v>1</v>
      </c>
      <c r="K576" t="s">
        <v>3892</v>
      </c>
      <c r="L576">
        <v>5.51</v>
      </c>
      <c r="M576">
        <v>5.51</v>
      </c>
      <c r="N576" t="s">
        <v>4240</v>
      </c>
      <c r="O576" t="s">
        <v>466</v>
      </c>
    </row>
    <row r="577" spans="1:15" x14ac:dyDescent="0.3">
      <c r="A577">
        <v>238251</v>
      </c>
      <c r="B577">
        <v>116</v>
      </c>
      <c r="C577" t="s">
        <v>568</v>
      </c>
      <c r="D577" t="s">
        <v>2273</v>
      </c>
      <c r="E577" t="s">
        <v>2446</v>
      </c>
      <c r="F577" s="452">
        <v>46174</v>
      </c>
      <c r="G577">
        <v>23389</v>
      </c>
      <c r="H577" t="s">
        <v>4016</v>
      </c>
      <c r="I577" t="s">
        <v>3469</v>
      </c>
      <c r="J577">
        <v>5.2</v>
      </c>
      <c r="K577" t="s">
        <v>3892</v>
      </c>
      <c r="L577">
        <v>25.12</v>
      </c>
      <c r="M577">
        <v>4.8307690000000001</v>
      </c>
      <c r="N577" t="s">
        <v>4240</v>
      </c>
      <c r="O577" t="s">
        <v>466</v>
      </c>
    </row>
    <row r="578" spans="1:15" x14ac:dyDescent="0.3">
      <c r="A578">
        <v>238251</v>
      </c>
      <c r="B578">
        <v>116</v>
      </c>
      <c r="C578" t="s">
        <v>568</v>
      </c>
      <c r="D578" t="s">
        <v>2273</v>
      </c>
      <c r="E578" t="s">
        <v>2446</v>
      </c>
      <c r="F578" s="452">
        <v>46174</v>
      </c>
      <c r="G578">
        <v>24037</v>
      </c>
      <c r="H578" t="s">
        <v>4104</v>
      </c>
      <c r="I578" t="s">
        <v>3469</v>
      </c>
      <c r="J578">
        <v>2</v>
      </c>
      <c r="K578" t="s">
        <v>3892</v>
      </c>
      <c r="L578">
        <v>35.08</v>
      </c>
      <c r="M578">
        <v>17.54</v>
      </c>
      <c r="N578" t="s">
        <v>4240</v>
      </c>
      <c r="O578" t="s">
        <v>466</v>
      </c>
    </row>
    <row r="579" spans="1:15" x14ac:dyDescent="0.3">
      <c r="A579">
        <v>238251</v>
      </c>
      <c r="B579">
        <v>116</v>
      </c>
      <c r="C579" t="s">
        <v>568</v>
      </c>
      <c r="D579" t="s">
        <v>2273</v>
      </c>
      <c r="E579" t="s">
        <v>2446</v>
      </c>
      <c r="F579" s="452">
        <v>46174</v>
      </c>
      <c r="G579">
        <v>23171</v>
      </c>
      <c r="H579" t="s">
        <v>4132</v>
      </c>
      <c r="I579" t="s">
        <v>3469</v>
      </c>
      <c r="J579">
        <v>3.2</v>
      </c>
      <c r="K579" t="s">
        <v>3892</v>
      </c>
      <c r="L579">
        <v>37.57</v>
      </c>
      <c r="M579">
        <v>11.740625</v>
      </c>
      <c r="N579" t="s">
        <v>4240</v>
      </c>
      <c r="O579" t="s">
        <v>466</v>
      </c>
    </row>
    <row r="580" spans="1:15" x14ac:dyDescent="0.3">
      <c r="A580">
        <v>238251</v>
      </c>
      <c r="B580">
        <v>116</v>
      </c>
      <c r="C580" t="s">
        <v>568</v>
      </c>
      <c r="D580" t="s">
        <v>2273</v>
      </c>
      <c r="E580" t="s">
        <v>2446</v>
      </c>
      <c r="F580" s="452">
        <v>46174</v>
      </c>
      <c r="G580">
        <v>19498</v>
      </c>
      <c r="H580" t="s">
        <v>4065</v>
      </c>
      <c r="I580" t="s">
        <v>3469</v>
      </c>
      <c r="J580">
        <v>1.1000000000000001</v>
      </c>
      <c r="K580" t="s">
        <v>3892</v>
      </c>
      <c r="L580">
        <v>11.56</v>
      </c>
      <c r="M580">
        <v>10.509091</v>
      </c>
      <c r="N580" t="s">
        <v>4240</v>
      </c>
      <c r="O580" t="s">
        <v>466</v>
      </c>
    </row>
    <row r="581" spans="1:15" x14ac:dyDescent="0.3">
      <c r="A581">
        <v>238251</v>
      </c>
      <c r="B581">
        <v>116</v>
      </c>
      <c r="C581" t="s">
        <v>568</v>
      </c>
      <c r="D581" t="s">
        <v>2273</v>
      </c>
      <c r="E581" t="s">
        <v>2446</v>
      </c>
      <c r="F581" s="452">
        <v>46174</v>
      </c>
      <c r="G581">
        <v>24083</v>
      </c>
      <c r="H581" t="s">
        <v>3898</v>
      </c>
      <c r="I581" t="s">
        <v>3469</v>
      </c>
      <c r="J581">
        <v>15</v>
      </c>
      <c r="K581" t="s">
        <v>3892</v>
      </c>
      <c r="L581">
        <v>147.9</v>
      </c>
      <c r="M581">
        <v>9.86</v>
      </c>
      <c r="N581" t="s">
        <v>4240</v>
      </c>
      <c r="O581" t="s">
        <v>466</v>
      </c>
    </row>
    <row r="582" spans="1:15" x14ac:dyDescent="0.3">
      <c r="A582">
        <v>238251</v>
      </c>
      <c r="B582">
        <v>116</v>
      </c>
      <c r="C582" t="s">
        <v>568</v>
      </c>
      <c r="D582" t="s">
        <v>2273</v>
      </c>
      <c r="E582" t="s">
        <v>2446</v>
      </c>
      <c r="F582" s="452">
        <v>46174</v>
      </c>
      <c r="G582">
        <v>23359</v>
      </c>
      <c r="H582" t="s">
        <v>3932</v>
      </c>
      <c r="I582" t="s">
        <v>3469</v>
      </c>
      <c r="J582">
        <v>10</v>
      </c>
      <c r="K582" t="s">
        <v>3892</v>
      </c>
      <c r="L582">
        <v>29</v>
      </c>
      <c r="M582">
        <v>2.9</v>
      </c>
      <c r="N582" t="s">
        <v>4240</v>
      </c>
      <c r="O582" t="s">
        <v>466</v>
      </c>
    </row>
    <row r="583" spans="1:15" x14ac:dyDescent="0.3">
      <c r="A583">
        <v>238251</v>
      </c>
      <c r="B583">
        <v>116</v>
      </c>
      <c r="C583" t="s">
        <v>568</v>
      </c>
      <c r="D583" t="s">
        <v>2273</v>
      </c>
      <c r="E583" t="s">
        <v>2446</v>
      </c>
      <c r="F583" s="452">
        <v>46174</v>
      </c>
      <c r="G583">
        <v>19488</v>
      </c>
      <c r="H583" t="s">
        <v>4070</v>
      </c>
      <c r="I583" t="s">
        <v>3469</v>
      </c>
      <c r="J583">
        <v>0.68</v>
      </c>
      <c r="K583" t="s">
        <v>3892</v>
      </c>
      <c r="L583">
        <v>9.86</v>
      </c>
      <c r="M583">
        <v>14.5</v>
      </c>
      <c r="N583" t="s">
        <v>4240</v>
      </c>
      <c r="O583" t="s">
        <v>466</v>
      </c>
    </row>
    <row r="584" spans="1:15" x14ac:dyDescent="0.3">
      <c r="A584">
        <v>238251</v>
      </c>
      <c r="B584">
        <v>116</v>
      </c>
      <c r="C584" t="s">
        <v>568</v>
      </c>
      <c r="D584" t="s">
        <v>2273</v>
      </c>
      <c r="E584" t="s">
        <v>2446</v>
      </c>
      <c r="F584" s="452">
        <v>46174</v>
      </c>
      <c r="G584">
        <v>19572</v>
      </c>
      <c r="H584" t="s">
        <v>4023</v>
      </c>
      <c r="I584" t="s">
        <v>3469</v>
      </c>
      <c r="J584">
        <v>1</v>
      </c>
      <c r="K584" t="s">
        <v>3892</v>
      </c>
      <c r="L584">
        <v>9.06</v>
      </c>
      <c r="M584">
        <v>9.06</v>
      </c>
      <c r="N584" t="s">
        <v>4240</v>
      </c>
      <c r="O584" t="s">
        <v>466</v>
      </c>
    </row>
    <row r="585" spans="1:15" x14ac:dyDescent="0.3">
      <c r="A585">
        <v>238251</v>
      </c>
      <c r="B585">
        <v>116</v>
      </c>
      <c r="C585" t="s">
        <v>568</v>
      </c>
      <c r="D585" t="s">
        <v>2273</v>
      </c>
      <c r="E585" t="s">
        <v>2446</v>
      </c>
      <c r="F585" s="452">
        <v>46174</v>
      </c>
      <c r="G585">
        <v>19558</v>
      </c>
      <c r="H585" t="s">
        <v>4183</v>
      </c>
      <c r="I585" t="s">
        <v>3469</v>
      </c>
      <c r="J585">
        <v>1</v>
      </c>
      <c r="K585" t="s">
        <v>3892</v>
      </c>
      <c r="L585">
        <v>20.3</v>
      </c>
      <c r="M585">
        <v>20.3</v>
      </c>
      <c r="N585" t="s">
        <v>4240</v>
      </c>
      <c r="O585" t="s">
        <v>466</v>
      </c>
    </row>
    <row r="586" spans="1:15" x14ac:dyDescent="0.3">
      <c r="A586">
        <v>238249</v>
      </c>
      <c r="B586">
        <v>116</v>
      </c>
      <c r="C586" t="s">
        <v>568</v>
      </c>
      <c r="D586" t="s">
        <v>2273</v>
      </c>
      <c r="E586" t="s">
        <v>2447</v>
      </c>
      <c r="F586" s="452">
        <v>46177</v>
      </c>
      <c r="G586">
        <v>23113</v>
      </c>
      <c r="H586" t="s">
        <v>4079</v>
      </c>
      <c r="I586" t="s">
        <v>3469</v>
      </c>
      <c r="J586">
        <v>1.5</v>
      </c>
      <c r="K586" t="s">
        <v>3892</v>
      </c>
      <c r="L586">
        <v>16.32</v>
      </c>
      <c r="M586">
        <v>10.88</v>
      </c>
      <c r="N586" t="s">
        <v>3469</v>
      </c>
      <c r="O586" t="s">
        <v>466</v>
      </c>
    </row>
    <row r="587" spans="1:15" x14ac:dyDescent="0.3">
      <c r="A587">
        <v>238249</v>
      </c>
      <c r="B587">
        <v>116</v>
      </c>
      <c r="C587" t="s">
        <v>568</v>
      </c>
      <c r="D587" t="s">
        <v>2273</v>
      </c>
      <c r="E587" t="s">
        <v>2447</v>
      </c>
      <c r="F587" s="452">
        <v>46177</v>
      </c>
      <c r="G587">
        <v>19465</v>
      </c>
      <c r="H587" t="s">
        <v>4080</v>
      </c>
      <c r="I587" t="s">
        <v>3469</v>
      </c>
      <c r="J587">
        <v>1.3</v>
      </c>
      <c r="K587" t="s">
        <v>3892</v>
      </c>
      <c r="L587">
        <v>8.49</v>
      </c>
      <c r="M587">
        <v>6.5307690000000003</v>
      </c>
      <c r="N587" t="s">
        <v>3469</v>
      </c>
      <c r="O587" t="s">
        <v>466</v>
      </c>
    </row>
    <row r="588" spans="1:15" x14ac:dyDescent="0.3">
      <c r="A588">
        <v>238249</v>
      </c>
      <c r="B588">
        <v>116</v>
      </c>
      <c r="C588" t="s">
        <v>568</v>
      </c>
      <c r="D588" t="s">
        <v>2273</v>
      </c>
      <c r="E588" t="s">
        <v>2447</v>
      </c>
      <c r="F588" s="452">
        <v>46177</v>
      </c>
      <c r="G588">
        <v>24083</v>
      </c>
      <c r="H588" t="s">
        <v>3898</v>
      </c>
      <c r="I588" t="s">
        <v>3469</v>
      </c>
      <c r="J588">
        <v>25</v>
      </c>
      <c r="K588" t="s">
        <v>3892</v>
      </c>
      <c r="L588">
        <v>253</v>
      </c>
      <c r="M588">
        <v>10.119999999999999</v>
      </c>
      <c r="N588" t="s">
        <v>3469</v>
      </c>
      <c r="O588" t="s">
        <v>466</v>
      </c>
    </row>
    <row r="589" spans="1:15" x14ac:dyDescent="0.3">
      <c r="A589">
        <v>238249</v>
      </c>
      <c r="B589">
        <v>116</v>
      </c>
      <c r="C589" t="s">
        <v>568</v>
      </c>
      <c r="D589" t="s">
        <v>2273</v>
      </c>
      <c r="E589" t="s">
        <v>2447</v>
      </c>
      <c r="F589" s="452">
        <v>46177</v>
      </c>
      <c r="G589">
        <v>19642</v>
      </c>
      <c r="H589" t="s">
        <v>4067</v>
      </c>
      <c r="I589" t="s">
        <v>3469</v>
      </c>
      <c r="J589">
        <v>1</v>
      </c>
      <c r="K589" t="s">
        <v>3892</v>
      </c>
      <c r="L589">
        <v>5.8</v>
      </c>
      <c r="M589">
        <v>5.8</v>
      </c>
      <c r="N589" t="s">
        <v>3469</v>
      </c>
      <c r="O589" t="s">
        <v>466</v>
      </c>
    </row>
    <row r="590" spans="1:15" x14ac:dyDescent="0.3">
      <c r="A590">
        <v>238249</v>
      </c>
      <c r="B590">
        <v>116</v>
      </c>
      <c r="C590" t="s">
        <v>568</v>
      </c>
      <c r="D590" t="s">
        <v>2273</v>
      </c>
      <c r="E590" t="s">
        <v>2447</v>
      </c>
      <c r="F590" s="452">
        <v>46177</v>
      </c>
      <c r="G590">
        <v>19623</v>
      </c>
      <c r="H590" t="s">
        <v>3984</v>
      </c>
      <c r="I590" t="s">
        <v>3469</v>
      </c>
      <c r="J590">
        <v>3</v>
      </c>
      <c r="K590" t="s">
        <v>3892</v>
      </c>
      <c r="L590">
        <v>16.920000000000002</v>
      </c>
      <c r="M590">
        <v>5.64</v>
      </c>
      <c r="N590" t="s">
        <v>3469</v>
      </c>
      <c r="O590" t="s">
        <v>466</v>
      </c>
    </row>
    <row r="591" spans="1:15" x14ac:dyDescent="0.3">
      <c r="A591">
        <v>238249</v>
      </c>
      <c r="B591">
        <v>116</v>
      </c>
      <c r="C591" t="s">
        <v>568</v>
      </c>
      <c r="D591" t="s">
        <v>2273</v>
      </c>
      <c r="E591" t="s">
        <v>2447</v>
      </c>
      <c r="F591" s="452">
        <v>46177</v>
      </c>
      <c r="G591">
        <v>19634</v>
      </c>
      <c r="H591" t="s">
        <v>4068</v>
      </c>
      <c r="I591" t="s">
        <v>3469</v>
      </c>
      <c r="J591">
        <v>2</v>
      </c>
      <c r="K591" t="s">
        <v>3892</v>
      </c>
      <c r="L591">
        <v>13.92</v>
      </c>
      <c r="M591">
        <v>6.96</v>
      </c>
      <c r="N591" t="s">
        <v>3469</v>
      </c>
      <c r="O591" t="s">
        <v>466</v>
      </c>
    </row>
    <row r="592" spans="1:15" x14ac:dyDescent="0.3">
      <c r="A592">
        <v>238249</v>
      </c>
      <c r="B592">
        <v>116</v>
      </c>
      <c r="C592" t="s">
        <v>568</v>
      </c>
      <c r="D592" t="s">
        <v>2273</v>
      </c>
      <c r="E592" t="s">
        <v>2447</v>
      </c>
      <c r="F592" s="452">
        <v>46177</v>
      </c>
      <c r="G592">
        <v>19498</v>
      </c>
      <c r="H592" t="s">
        <v>4065</v>
      </c>
      <c r="I592" t="s">
        <v>3469</v>
      </c>
      <c r="J592">
        <v>1.1000000000000001</v>
      </c>
      <c r="K592" t="s">
        <v>3892</v>
      </c>
      <c r="L592">
        <v>11.56</v>
      </c>
      <c r="M592">
        <v>10.509091</v>
      </c>
      <c r="N592" t="s">
        <v>3469</v>
      </c>
      <c r="O592" t="s">
        <v>466</v>
      </c>
    </row>
    <row r="593" spans="1:15" x14ac:dyDescent="0.3">
      <c r="A593">
        <v>238244</v>
      </c>
      <c r="B593">
        <v>116</v>
      </c>
      <c r="C593" t="s">
        <v>568</v>
      </c>
      <c r="D593" t="s">
        <v>2280</v>
      </c>
      <c r="E593" t="s">
        <v>2448</v>
      </c>
      <c r="F593" s="452">
        <v>46174</v>
      </c>
      <c r="G593">
        <v>19740</v>
      </c>
      <c r="H593" t="s">
        <v>3933</v>
      </c>
      <c r="I593" t="s">
        <v>3469</v>
      </c>
      <c r="J593">
        <v>6.2</v>
      </c>
      <c r="K593" t="s">
        <v>3892</v>
      </c>
      <c r="L593">
        <v>56.42</v>
      </c>
      <c r="M593">
        <v>9.1</v>
      </c>
      <c r="N593" t="s">
        <v>4240</v>
      </c>
      <c r="O593" t="s">
        <v>466</v>
      </c>
    </row>
    <row r="594" spans="1:15" x14ac:dyDescent="0.3">
      <c r="A594">
        <v>238244</v>
      </c>
      <c r="B594">
        <v>116</v>
      </c>
      <c r="C594" t="s">
        <v>568</v>
      </c>
      <c r="D594" t="s">
        <v>2280</v>
      </c>
      <c r="E594" t="s">
        <v>2448</v>
      </c>
      <c r="F594" s="452">
        <v>46174</v>
      </c>
      <c r="G594">
        <v>24484</v>
      </c>
      <c r="H594" t="s">
        <v>4154</v>
      </c>
      <c r="I594" t="s">
        <v>3469</v>
      </c>
      <c r="J594">
        <v>0.5</v>
      </c>
      <c r="K594" t="s">
        <v>3892</v>
      </c>
      <c r="L594">
        <v>11.7</v>
      </c>
      <c r="M594">
        <v>23.4</v>
      </c>
      <c r="N594" t="s">
        <v>4240</v>
      </c>
      <c r="O594" t="s">
        <v>466</v>
      </c>
    </row>
    <row r="595" spans="1:15" x14ac:dyDescent="0.3">
      <c r="A595">
        <v>238244</v>
      </c>
      <c r="B595">
        <v>116</v>
      </c>
      <c r="C595" t="s">
        <v>568</v>
      </c>
      <c r="D595" t="s">
        <v>2280</v>
      </c>
      <c r="E595" t="s">
        <v>2448</v>
      </c>
      <c r="F595" s="452">
        <v>46174</v>
      </c>
      <c r="G595">
        <v>19672</v>
      </c>
      <c r="H595" t="s">
        <v>4024</v>
      </c>
      <c r="I595" t="s">
        <v>3469</v>
      </c>
      <c r="J595">
        <v>2</v>
      </c>
      <c r="K595" t="s">
        <v>3892</v>
      </c>
      <c r="L595">
        <v>26</v>
      </c>
      <c r="M595">
        <v>13</v>
      </c>
      <c r="N595" t="s">
        <v>4240</v>
      </c>
      <c r="O595" t="s">
        <v>466</v>
      </c>
    </row>
    <row r="596" spans="1:15" x14ac:dyDescent="0.3">
      <c r="A596">
        <v>238244</v>
      </c>
      <c r="B596">
        <v>116</v>
      </c>
      <c r="C596" t="s">
        <v>568</v>
      </c>
      <c r="D596" t="s">
        <v>2280</v>
      </c>
      <c r="E596" t="s">
        <v>2448</v>
      </c>
      <c r="F596" s="452">
        <v>46174</v>
      </c>
      <c r="G596">
        <v>23142</v>
      </c>
      <c r="H596" t="s">
        <v>4151</v>
      </c>
      <c r="I596" t="s">
        <v>3469</v>
      </c>
      <c r="J596">
        <v>1</v>
      </c>
      <c r="K596" t="s">
        <v>3892</v>
      </c>
      <c r="L596">
        <v>20.420000000000002</v>
      </c>
      <c r="M596">
        <v>20.420000000000002</v>
      </c>
      <c r="N596" t="s">
        <v>4240</v>
      </c>
      <c r="O596" t="s">
        <v>466</v>
      </c>
    </row>
    <row r="597" spans="1:15" x14ac:dyDescent="0.3">
      <c r="A597">
        <v>238244</v>
      </c>
      <c r="B597">
        <v>116</v>
      </c>
      <c r="C597" t="s">
        <v>568</v>
      </c>
      <c r="D597" t="s">
        <v>2280</v>
      </c>
      <c r="E597" t="s">
        <v>2448</v>
      </c>
      <c r="F597" s="452">
        <v>46174</v>
      </c>
      <c r="G597">
        <v>23096</v>
      </c>
      <c r="H597" t="s">
        <v>3876</v>
      </c>
      <c r="I597" t="s">
        <v>3469</v>
      </c>
      <c r="J597">
        <v>60</v>
      </c>
      <c r="K597" t="s">
        <v>3872</v>
      </c>
      <c r="L597">
        <v>37.200000000000003</v>
      </c>
      <c r="M597">
        <v>0.62</v>
      </c>
      <c r="N597" t="s">
        <v>4240</v>
      </c>
      <c r="O597" t="s">
        <v>466</v>
      </c>
    </row>
    <row r="598" spans="1:15" x14ac:dyDescent="0.3">
      <c r="A598">
        <v>238243</v>
      </c>
      <c r="B598">
        <v>116</v>
      </c>
      <c r="C598" t="s">
        <v>568</v>
      </c>
      <c r="D598" t="s">
        <v>2312</v>
      </c>
      <c r="E598" t="s">
        <v>2449</v>
      </c>
      <c r="F598" s="452">
        <v>46176</v>
      </c>
      <c r="G598">
        <v>21423</v>
      </c>
      <c r="H598" t="s">
        <v>4225</v>
      </c>
      <c r="I598" t="s">
        <v>4199</v>
      </c>
      <c r="J598">
        <v>2</v>
      </c>
      <c r="K598" t="s">
        <v>4224</v>
      </c>
      <c r="L598">
        <v>66.2</v>
      </c>
      <c r="M598">
        <v>33.1</v>
      </c>
      <c r="N598" t="s">
        <v>2176</v>
      </c>
      <c r="O598" t="s">
        <v>466</v>
      </c>
    </row>
    <row r="599" spans="1:15" x14ac:dyDescent="0.3">
      <c r="A599">
        <v>238243</v>
      </c>
      <c r="B599">
        <v>116</v>
      </c>
      <c r="C599" t="s">
        <v>568</v>
      </c>
      <c r="D599" t="s">
        <v>2312</v>
      </c>
      <c r="E599" t="s">
        <v>2449</v>
      </c>
      <c r="F599" s="452">
        <v>46176</v>
      </c>
      <c r="G599">
        <v>17397</v>
      </c>
      <c r="H599" t="s">
        <v>4223</v>
      </c>
      <c r="I599" t="s">
        <v>4199</v>
      </c>
      <c r="J599">
        <v>1</v>
      </c>
      <c r="K599" t="s">
        <v>4224</v>
      </c>
      <c r="L599">
        <v>33.1</v>
      </c>
      <c r="M599">
        <v>33.1</v>
      </c>
      <c r="N599" t="s">
        <v>2176</v>
      </c>
      <c r="O599" t="s">
        <v>466</v>
      </c>
    </row>
    <row r="600" spans="1:15" x14ac:dyDescent="0.3">
      <c r="A600">
        <v>238243</v>
      </c>
      <c r="B600">
        <v>116</v>
      </c>
      <c r="C600" t="s">
        <v>568</v>
      </c>
      <c r="D600" t="s">
        <v>2312</v>
      </c>
      <c r="E600" t="s">
        <v>2449</v>
      </c>
      <c r="F600" s="452">
        <v>46176</v>
      </c>
      <c r="G600">
        <v>17399</v>
      </c>
      <c r="H600" t="s">
        <v>4277</v>
      </c>
      <c r="I600" t="s">
        <v>4199</v>
      </c>
      <c r="J600">
        <v>1</v>
      </c>
      <c r="K600" t="s">
        <v>4224</v>
      </c>
      <c r="L600">
        <v>19.670000000000002</v>
      </c>
      <c r="M600">
        <v>19.670000000000002</v>
      </c>
      <c r="N600" t="s">
        <v>2176</v>
      </c>
      <c r="O600" t="s">
        <v>466</v>
      </c>
    </row>
    <row r="601" spans="1:15" x14ac:dyDescent="0.3">
      <c r="A601">
        <v>238241</v>
      </c>
      <c r="B601">
        <v>116</v>
      </c>
      <c r="C601" t="s">
        <v>568</v>
      </c>
      <c r="D601" t="s">
        <v>2260</v>
      </c>
      <c r="E601" t="s">
        <v>2450</v>
      </c>
      <c r="F601" s="452">
        <v>46175</v>
      </c>
      <c r="G601">
        <v>24194</v>
      </c>
      <c r="H601" t="s">
        <v>4181</v>
      </c>
      <c r="I601" t="s">
        <v>3469</v>
      </c>
      <c r="J601">
        <v>3.3</v>
      </c>
      <c r="K601" t="s">
        <v>3892</v>
      </c>
      <c r="L601">
        <v>138.6</v>
      </c>
      <c r="M601">
        <v>42</v>
      </c>
      <c r="N601" t="s">
        <v>4240</v>
      </c>
      <c r="O601" t="s">
        <v>466</v>
      </c>
    </row>
    <row r="602" spans="1:15" x14ac:dyDescent="0.3">
      <c r="A602">
        <v>238241</v>
      </c>
      <c r="B602">
        <v>116</v>
      </c>
      <c r="C602" t="s">
        <v>568</v>
      </c>
      <c r="D602" t="s">
        <v>2260</v>
      </c>
      <c r="E602" t="s">
        <v>2450</v>
      </c>
      <c r="F602" s="452">
        <v>46175</v>
      </c>
      <c r="G602">
        <v>18685</v>
      </c>
      <c r="H602" t="s">
        <v>3945</v>
      </c>
      <c r="I602" t="s">
        <v>3469</v>
      </c>
      <c r="J602">
        <v>9.8000000000000007</v>
      </c>
      <c r="K602" t="s">
        <v>4197</v>
      </c>
      <c r="L602">
        <v>382.2</v>
      </c>
      <c r="M602">
        <v>39</v>
      </c>
      <c r="N602" t="s">
        <v>4240</v>
      </c>
      <c r="O602" t="s">
        <v>466</v>
      </c>
    </row>
    <row r="603" spans="1:15" x14ac:dyDescent="0.3">
      <c r="A603">
        <v>238241</v>
      </c>
      <c r="B603">
        <v>116</v>
      </c>
      <c r="C603" t="s">
        <v>568</v>
      </c>
      <c r="D603" t="s">
        <v>2260</v>
      </c>
      <c r="E603" t="s">
        <v>2450</v>
      </c>
      <c r="F603" s="452">
        <v>46175</v>
      </c>
      <c r="G603">
        <v>22734</v>
      </c>
      <c r="H603" t="s">
        <v>3955</v>
      </c>
      <c r="I603" t="s">
        <v>3469</v>
      </c>
      <c r="J603">
        <v>15.6</v>
      </c>
      <c r="K603" t="s">
        <v>3892</v>
      </c>
      <c r="L603">
        <v>1544.4</v>
      </c>
      <c r="M603">
        <v>99</v>
      </c>
      <c r="N603" t="s">
        <v>4240</v>
      </c>
      <c r="O603" t="s">
        <v>466</v>
      </c>
    </row>
    <row r="604" spans="1:15" x14ac:dyDescent="0.3">
      <c r="A604">
        <v>238241</v>
      </c>
      <c r="B604">
        <v>116</v>
      </c>
      <c r="C604" t="s">
        <v>568</v>
      </c>
      <c r="D604" t="s">
        <v>2260</v>
      </c>
      <c r="E604" t="s">
        <v>2450</v>
      </c>
      <c r="F604" s="452">
        <v>46175</v>
      </c>
      <c r="G604">
        <v>20456</v>
      </c>
      <c r="H604" t="s">
        <v>4000</v>
      </c>
      <c r="I604" t="s">
        <v>3469</v>
      </c>
      <c r="J604">
        <v>2.9</v>
      </c>
      <c r="K604" t="s">
        <v>3892</v>
      </c>
      <c r="L604">
        <v>113.1</v>
      </c>
      <c r="M604">
        <v>39</v>
      </c>
      <c r="N604" t="s">
        <v>4240</v>
      </c>
      <c r="O604" t="s">
        <v>466</v>
      </c>
    </row>
    <row r="605" spans="1:15" x14ac:dyDescent="0.3">
      <c r="A605">
        <v>238241</v>
      </c>
      <c r="B605">
        <v>116</v>
      </c>
      <c r="C605" t="s">
        <v>568</v>
      </c>
      <c r="D605" t="s">
        <v>2260</v>
      </c>
      <c r="E605" t="s">
        <v>2450</v>
      </c>
      <c r="F605" s="452">
        <v>46175</v>
      </c>
      <c r="G605">
        <v>27884</v>
      </c>
      <c r="H605" t="s">
        <v>3910</v>
      </c>
      <c r="I605" t="s">
        <v>3469</v>
      </c>
      <c r="J605">
        <v>10.3</v>
      </c>
      <c r="K605" t="s">
        <v>3892</v>
      </c>
      <c r="L605">
        <v>710.7</v>
      </c>
      <c r="M605">
        <v>69</v>
      </c>
      <c r="N605" t="s">
        <v>4240</v>
      </c>
      <c r="O605" t="s">
        <v>466</v>
      </c>
    </row>
    <row r="606" spans="1:15" x14ac:dyDescent="0.3">
      <c r="A606">
        <v>238241</v>
      </c>
      <c r="B606">
        <v>116</v>
      </c>
      <c r="C606" t="s">
        <v>568</v>
      </c>
      <c r="D606" t="s">
        <v>2260</v>
      </c>
      <c r="E606" t="s">
        <v>2450</v>
      </c>
      <c r="F606" s="452">
        <v>46175</v>
      </c>
      <c r="G606">
        <v>20458</v>
      </c>
      <c r="H606" t="s">
        <v>4121</v>
      </c>
      <c r="I606" t="s">
        <v>3469</v>
      </c>
      <c r="J606">
        <v>4</v>
      </c>
      <c r="K606" t="s">
        <v>3892</v>
      </c>
      <c r="L606">
        <v>131.6</v>
      </c>
      <c r="M606">
        <v>32.9</v>
      </c>
      <c r="N606" t="s">
        <v>4240</v>
      </c>
      <c r="O606" t="s">
        <v>466</v>
      </c>
    </row>
    <row r="607" spans="1:15" x14ac:dyDescent="0.3">
      <c r="A607">
        <v>238241</v>
      </c>
      <c r="B607">
        <v>116</v>
      </c>
      <c r="C607" t="s">
        <v>568</v>
      </c>
      <c r="D607" t="s">
        <v>2260</v>
      </c>
      <c r="E607" t="s">
        <v>2450</v>
      </c>
      <c r="F607" s="452">
        <v>46175</v>
      </c>
      <c r="G607">
        <v>20555</v>
      </c>
      <c r="H607" t="s">
        <v>3959</v>
      </c>
      <c r="I607" t="s">
        <v>3469</v>
      </c>
      <c r="J607">
        <v>2.2999999999999998</v>
      </c>
      <c r="K607" t="s">
        <v>3892</v>
      </c>
      <c r="L607">
        <v>181.7</v>
      </c>
      <c r="M607">
        <v>79</v>
      </c>
      <c r="N607" t="s">
        <v>4240</v>
      </c>
      <c r="O607" t="s">
        <v>466</v>
      </c>
    </row>
    <row r="608" spans="1:15" x14ac:dyDescent="0.3">
      <c r="A608">
        <v>238240</v>
      </c>
      <c r="B608">
        <v>116</v>
      </c>
      <c r="C608" t="s">
        <v>568</v>
      </c>
      <c r="D608" t="s">
        <v>2361</v>
      </c>
      <c r="E608" t="s">
        <v>2451</v>
      </c>
      <c r="F608" s="452">
        <v>46182</v>
      </c>
      <c r="G608">
        <v>21123</v>
      </c>
      <c r="H608" t="s">
        <v>4115</v>
      </c>
      <c r="I608" t="s">
        <v>3469</v>
      </c>
      <c r="J608">
        <v>4</v>
      </c>
      <c r="K608" t="s">
        <v>3892</v>
      </c>
      <c r="L608">
        <v>24</v>
      </c>
      <c r="M608">
        <v>6</v>
      </c>
      <c r="N608" t="s">
        <v>4240</v>
      </c>
      <c r="O608" t="s">
        <v>466</v>
      </c>
    </row>
    <row r="609" spans="1:15" x14ac:dyDescent="0.3">
      <c r="A609">
        <v>238239</v>
      </c>
      <c r="B609">
        <v>116</v>
      </c>
      <c r="C609" t="s">
        <v>568</v>
      </c>
      <c r="D609" t="s">
        <v>2267</v>
      </c>
      <c r="E609" t="s">
        <v>2452</v>
      </c>
      <c r="F609" s="452">
        <v>46182</v>
      </c>
      <c r="G609">
        <v>18682</v>
      </c>
      <c r="H609" t="s">
        <v>4025</v>
      </c>
      <c r="I609" t="s">
        <v>3469</v>
      </c>
      <c r="J609">
        <v>6.2</v>
      </c>
      <c r="K609" t="s">
        <v>3892</v>
      </c>
      <c r="L609">
        <v>173.54</v>
      </c>
      <c r="M609">
        <v>27.990323</v>
      </c>
      <c r="N609" t="s">
        <v>4240</v>
      </c>
      <c r="O609" t="s">
        <v>466</v>
      </c>
    </row>
    <row r="610" spans="1:15" x14ac:dyDescent="0.3">
      <c r="A610">
        <v>238239</v>
      </c>
      <c r="B610">
        <v>116</v>
      </c>
      <c r="C610" t="s">
        <v>568</v>
      </c>
      <c r="D610" t="s">
        <v>2267</v>
      </c>
      <c r="E610" t="s">
        <v>2452</v>
      </c>
      <c r="F610" s="452">
        <v>46182</v>
      </c>
      <c r="G610">
        <v>20549</v>
      </c>
      <c r="H610" t="s">
        <v>4007</v>
      </c>
      <c r="I610" t="s">
        <v>3469</v>
      </c>
      <c r="J610">
        <v>10.9</v>
      </c>
      <c r="K610" t="s">
        <v>3892</v>
      </c>
      <c r="L610">
        <v>217.89</v>
      </c>
      <c r="M610">
        <v>19.989908</v>
      </c>
      <c r="N610" t="s">
        <v>4240</v>
      </c>
      <c r="O610" t="s">
        <v>466</v>
      </c>
    </row>
    <row r="611" spans="1:15" x14ac:dyDescent="0.3">
      <c r="A611">
        <v>238239</v>
      </c>
      <c r="B611">
        <v>116</v>
      </c>
      <c r="C611" t="s">
        <v>568</v>
      </c>
      <c r="D611" t="s">
        <v>2267</v>
      </c>
      <c r="E611" t="s">
        <v>2452</v>
      </c>
      <c r="F611" s="452">
        <v>46182</v>
      </c>
      <c r="G611">
        <v>24403</v>
      </c>
      <c r="H611" t="s">
        <v>3992</v>
      </c>
      <c r="I611" t="s">
        <v>3469</v>
      </c>
      <c r="J611">
        <v>4.2</v>
      </c>
      <c r="K611" t="s">
        <v>3892</v>
      </c>
      <c r="L611">
        <v>54.56</v>
      </c>
      <c r="M611">
        <v>12.990475999999999</v>
      </c>
      <c r="N611" t="s">
        <v>4240</v>
      </c>
      <c r="O611" t="s">
        <v>466</v>
      </c>
    </row>
    <row r="612" spans="1:15" x14ac:dyDescent="0.3">
      <c r="A612">
        <v>238239</v>
      </c>
      <c r="B612">
        <v>116</v>
      </c>
      <c r="C612" t="s">
        <v>568</v>
      </c>
      <c r="D612" t="s">
        <v>2267</v>
      </c>
      <c r="E612" t="s">
        <v>2452</v>
      </c>
      <c r="F612" s="452">
        <v>46182</v>
      </c>
      <c r="G612">
        <v>18696</v>
      </c>
      <c r="H612" t="s">
        <v>3956</v>
      </c>
      <c r="I612" t="s">
        <v>3469</v>
      </c>
      <c r="J612">
        <v>7</v>
      </c>
      <c r="K612" t="s">
        <v>3892</v>
      </c>
      <c r="L612">
        <v>125.93</v>
      </c>
      <c r="M612">
        <v>17.989999999999998</v>
      </c>
      <c r="N612" t="s">
        <v>4240</v>
      </c>
      <c r="O612" t="s">
        <v>466</v>
      </c>
    </row>
    <row r="613" spans="1:15" x14ac:dyDescent="0.3">
      <c r="A613">
        <v>238239</v>
      </c>
      <c r="B613">
        <v>116</v>
      </c>
      <c r="C613" t="s">
        <v>568</v>
      </c>
      <c r="D613" t="s">
        <v>2267</v>
      </c>
      <c r="E613" t="s">
        <v>2452</v>
      </c>
      <c r="F613" s="452">
        <v>46182</v>
      </c>
      <c r="G613">
        <v>24343</v>
      </c>
      <c r="H613" t="s">
        <v>3990</v>
      </c>
      <c r="I613" t="s">
        <v>3469</v>
      </c>
      <c r="J613">
        <v>5.24</v>
      </c>
      <c r="K613" t="s">
        <v>3892</v>
      </c>
      <c r="L613">
        <v>130.94999999999999</v>
      </c>
      <c r="M613">
        <v>24.990458</v>
      </c>
      <c r="N613" t="s">
        <v>4240</v>
      </c>
      <c r="O613" t="s">
        <v>466</v>
      </c>
    </row>
    <row r="614" spans="1:15" x14ac:dyDescent="0.3">
      <c r="A614">
        <v>238238</v>
      </c>
      <c r="B614">
        <v>116</v>
      </c>
      <c r="C614" t="s">
        <v>568</v>
      </c>
      <c r="D614" t="s">
        <v>2273</v>
      </c>
      <c r="E614" t="s">
        <v>2453</v>
      </c>
      <c r="F614" s="452">
        <v>46181</v>
      </c>
      <c r="G614">
        <v>23113</v>
      </c>
      <c r="H614" t="s">
        <v>4079</v>
      </c>
      <c r="I614" t="s">
        <v>3469</v>
      </c>
      <c r="J614">
        <v>1.2</v>
      </c>
      <c r="K614" t="s">
        <v>3892</v>
      </c>
      <c r="L614">
        <v>13.06</v>
      </c>
      <c r="M614">
        <v>10.883333</v>
      </c>
      <c r="N614" t="s">
        <v>4240</v>
      </c>
      <c r="O614" t="s">
        <v>466</v>
      </c>
    </row>
    <row r="615" spans="1:15" x14ac:dyDescent="0.3">
      <c r="A615">
        <v>238238</v>
      </c>
      <c r="B615">
        <v>116</v>
      </c>
      <c r="C615" t="s">
        <v>568</v>
      </c>
      <c r="D615" t="s">
        <v>2273</v>
      </c>
      <c r="E615" t="s">
        <v>2453</v>
      </c>
      <c r="F615" s="452">
        <v>46181</v>
      </c>
      <c r="G615">
        <v>19642</v>
      </c>
      <c r="H615" t="s">
        <v>4067</v>
      </c>
      <c r="I615" t="s">
        <v>3469</v>
      </c>
      <c r="J615">
        <v>1</v>
      </c>
      <c r="K615" t="s">
        <v>3892</v>
      </c>
      <c r="L615">
        <v>5.8</v>
      </c>
      <c r="M615">
        <v>5.8</v>
      </c>
      <c r="N615" t="s">
        <v>4240</v>
      </c>
      <c r="O615" t="s">
        <v>466</v>
      </c>
    </row>
    <row r="616" spans="1:15" x14ac:dyDescent="0.3">
      <c r="A616">
        <v>238238</v>
      </c>
      <c r="B616">
        <v>116</v>
      </c>
      <c r="C616" t="s">
        <v>568</v>
      </c>
      <c r="D616" t="s">
        <v>2273</v>
      </c>
      <c r="E616" t="s">
        <v>2453</v>
      </c>
      <c r="F616" s="452">
        <v>46181</v>
      </c>
      <c r="G616">
        <v>19498</v>
      </c>
      <c r="H616" t="s">
        <v>4065</v>
      </c>
      <c r="I616" t="s">
        <v>3469</v>
      </c>
      <c r="J616">
        <v>0.6</v>
      </c>
      <c r="K616" t="s">
        <v>3892</v>
      </c>
      <c r="L616">
        <v>13.53</v>
      </c>
      <c r="M616">
        <v>22.55</v>
      </c>
      <c r="N616" t="s">
        <v>4240</v>
      </c>
      <c r="O616" t="s">
        <v>466</v>
      </c>
    </row>
    <row r="617" spans="1:15" x14ac:dyDescent="0.3">
      <c r="A617">
        <v>238238</v>
      </c>
      <c r="B617">
        <v>116</v>
      </c>
      <c r="C617" t="s">
        <v>568</v>
      </c>
      <c r="D617" t="s">
        <v>2273</v>
      </c>
      <c r="E617" t="s">
        <v>2453</v>
      </c>
      <c r="F617" s="452">
        <v>46181</v>
      </c>
      <c r="G617">
        <v>19740</v>
      </c>
      <c r="H617" t="s">
        <v>3933</v>
      </c>
      <c r="I617" t="s">
        <v>3469</v>
      </c>
      <c r="J617">
        <v>6</v>
      </c>
      <c r="K617" t="s">
        <v>3892</v>
      </c>
      <c r="L617">
        <v>52.2</v>
      </c>
      <c r="M617">
        <v>8.6999999999999993</v>
      </c>
      <c r="N617" t="s">
        <v>4240</v>
      </c>
      <c r="O617" t="s">
        <v>466</v>
      </c>
    </row>
    <row r="618" spans="1:15" x14ac:dyDescent="0.3">
      <c r="A618">
        <v>238238</v>
      </c>
      <c r="B618">
        <v>116</v>
      </c>
      <c r="C618" t="s">
        <v>568</v>
      </c>
      <c r="D618" t="s">
        <v>2273</v>
      </c>
      <c r="E618" t="s">
        <v>2453</v>
      </c>
      <c r="F618" s="452">
        <v>46181</v>
      </c>
      <c r="G618">
        <v>24083</v>
      </c>
      <c r="H618" t="s">
        <v>3898</v>
      </c>
      <c r="I618" t="s">
        <v>3469</v>
      </c>
      <c r="J618">
        <v>25</v>
      </c>
      <c r="K618" t="s">
        <v>3892</v>
      </c>
      <c r="L618">
        <v>253</v>
      </c>
      <c r="M618">
        <v>10.119999999999999</v>
      </c>
      <c r="N618" t="s">
        <v>4240</v>
      </c>
      <c r="O618" t="s">
        <v>466</v>
      </c>
    </row>
    <row r="619" spans="1:15" x14ac:dyDescent="0.3">
      <c r="A619">
        <v>238238</v>
      </c>
      <c r="B619">
        <v>116</v>
      </c>
      <c r="C619" t="s">
        <v>568</v>
      </c>
      <c r="D619" t="s">
        <v>2273</v>
      </c>
      <c r="E619" t="s">
        <v>2453</v>
      </c>
      <c r="F619" s="452">
        <v>46181</v>
      </c>
      <c r="G619">
        <v>19672</v>
      </c>
      <c r="H619" t="s">
        <v>4024</v>
      </c>
      <c r="I619" t="s">
        <v>3469</v>
      </c>
      <c r="J619">
        <v>2</v>
      </c>
      <c r="K619" t="s">
        <v>3892</v>
      </c>
      <c r="L619">
        <v>27.56</v>
      </c>
      <c r="M619">
        <v>13.78</v>
      </c>
      <c r="N619" t="s">
        <v>4240</v>
      </c>
      <c r="O619" t="s">
        <v>466</v>
      </c>
    </row>
    <row r="620" spans="1:15" x14ac:dyDescent="0.3">
      <c r="A620">
        <v>238238</v>
      </c>
      <c r="B620">
        <v>116</v>
      </c>
      <c r="C620" t="s">
        <v>568</v>
      </c>
      <c r="D620" t="s">
        <v>2273</v>
      </c>
      <c r="E620" t="s">
        <v>2453</v>
      </c>
      <c r="F620" s="452">
        <v>46181</v>
      </c>
      <c r="G620">
        <v>19558</v>
      </c>
      <c r="H620" t="s">
        <v>4183</v>
      </c>
      <c r="I620" t="s">
        <v>3469</v>
      </c>
      <c r="J620">
        <v>1</v>
      </c>
      <c r="K620" t="s">
        <v>3892</v>
      </c>
      <c r="L620">
        <v>20.66</v>
      </c>
      <c r="M620">
        <v>20.66</v>
      </c>
      <c r="N620" t="s">
        <v>4240</v>
      </c>
      <c r="O620" t="s">
        <v>466</v>
      </c>
    </row>
    <row r="621" spans="1:15" x14ac:dyDescent="0.3">
      <c r="A621">
        <v>238238</v>
      </c>
      <c r="B621">
        <v>116</v>
      </c>
      <c r="C621" t="s">
        <v>568</v>
      </c>
      <c r="D621" t="s">
        <v>2273</v>
      </c>
      <c r="E621" t="s">
        <v>2453</v>
      </c>
      <c r="F621" s="452">
        <v>46181</v>
      </c>
      <c r="G621">
        <v>19743</v>
      </c>
      <c r="H621" t="s">
        <v>4152</v>
      </c>
      <c r="I621" t="s">
        <v>3469</v>
      </c>
      <c r="J621">
        <v>3</v>
      </c>
      <c r="K621" t="s">
        <v>3892</v>
      </c>
      <c r="L621">
        <v>45.9</v>
      </c>
      <c r="M621">
        <v>15.3</v>
      </c>
      <c r="N621" t="s">
        <v>4240</v>
      </c>
      <c r="O621" t="s">
        <v>466</v>
      </c>
    </row>
    <row r="622" spans="1:15" x14ac:dyDescent="0.3">
      <c r="A622">
        <v>238237</v>
      </c>
      <c r="B622">
        <v>116</v>
      </c>
      <c r="C622" t="s">
        <v>568</v>
      </c>
      <c r="D622" t="s">
        <v>2260</v>
      </c>
      <c r="E622" t="s">
        <v>2454</v>
      </c>
      <c r="F622" s="452">
        <v>46182</v>
      </c>
      <c r="G622">
        <v>18684</v>
      </c>
      <c r="H622" t="s">
        <v>3925</v>
      </c>
      <c r="I622" t="s">
        <v>3469</v>
      </c>
      <c r="J622">
        <v>11.1</v>
      </c>
      <c r="K622" t="s">
        <v>3892</v>
      </c>
      <c r="L622">
        <v>399.6</v>
      </c>
      <c r="M622">
        <v>36</v>
      </c>
      <c r="N622" t="s">
        <v>4240</v>
      </c>
      <c r="O622" t="s">
        <v>466</v>
      </c>
    </row>
    <row r="623" spans="1:15" x14ac:dyDescent="0.3">
      <c r="A623">
        <v>238237</v>
      </c>
      <c r="B623">
        <v>116</v>
      </c>
      <c r="C623" t="s">
        <v>568</v>
      </c>
      <c r="D623" t="s">
        <v>2260</v>
      </c>
      <c r="E623" t="s">
        <v>2454</v>
      </c>
      <c r="F623" s="452">
        <v>46182</v>
      </c>
      <c r="G623">
        <v>20555</v>
      </c>
      <c r="H623" t="s">
        <v>3959</v>
      </c>
      <c r="I623" t="s">
        <v>3469</v>
      </c>
      <c r="J623">
        <v>5.6</v>
      </c>
      <c r="K623" t="s">
        <v>3892</v>
      </c>
      <c r="L623">
        <v>442.4</v>
      </c>
      <c r="M623">
        <v>79</v>
      </c>
      <c r="N623" t="s">
        <v>4240</v>
      </c>
      <c r="O623" t="s">
        <v>466</v>
      </c>
    </row>
    <row r="624" spans="1:15" x14ac:dyDescent="0.3">
      <c r="A624">
        <v>238237</v>
      </c>
      <c r="B624">
        <v>116</v>
      </c>
      <c r="C624" t="s">
        <v>568</v>
      </c>
      <c r="D624" t="s">
        <v>2260</v>
      </c>
      <c r="E624" t="s">
        <v>2454</v>
      </c>
      <c r="F624" s="452">
        <v>46182</v>
      </c>
      <c r="G624">
        <v>24072</v>
      </c>
      <c r="H624" t="s">
        <v>4002</v>
      </c>
      <c r="I624" t="s">
        <v>3469</v>
      </c>
      <c r="J624">
        <v>3.1</v>
      </c>
      <c r="K624" t="s">
        <v>3892</v>
      </c>
      <c r="L624">
        <v>682</v>
      </c>
      <c r="M624">
        <v>220</v>
      </c>
      <c r="N624" t="s">
        <v>4240</v>
      </c>
      <c r="O624" t="s">
        <v>466</v>
      </c>
    </row>
    <row r="625" spans="1:15" x14ac:dyDescent="0.3">
      <c r="A625">
        <v>238237</v>
      </c>
      <c r="B625">
        <v>116</v>
      </c>
      <c r="C625" t="s">
        <v>568</v>
      </c>
      <c r="D625" t="s">
        <v>2260</v>
      </c>
      <c r="E625" t="s">
        <v>2454</v>
      </c>
      <c r="F625" s="452">
        <v>46182</v>
      </c>
      <c r="G625">
        <v>18685</v>
      </c>
      <c r="H625" t="s">
        <v>3945</v>
      </c>
      <c r="I625" t="s">
        <v>3469</v>
      </c>
      <c r="J625">
        <v>10.3</v>
      </c>
      <c r="K625" t="s">
        <v>4197</v>
      </c>
      <c r="L625">
        <v>401.7</v>
      </c>
      <c r="M625">
        <v>39</v>
      </c>
      <c r="N625" t="s">
        <v>4240</v>
      </c>
      <c r="O625" t="s">
        <v>466</v>
      </c>
    </row>
    <row r="626" spans="1:15" x14ac:dyDescent="0.3">
      <c r="A626">
        <v>238237</v>
      </c>
      <c r="B626">
        <v>116</v>
      </c>
      <c r="C626" t="s">
        <v>568</v>
      </c>
      <c r="D626" t="s">
        <v>2260</v>
      </c>
      <c r="E626" t="s">
        <v>2454</v>
      </c>
      <c r="F626" s="452">
        <v>46182</v>
      </c>
      <c r="G626">
        <v>22734</v>
      </c>
      <c r="H626" t="s">
        <v>3955</v>
      </c>
      <c r="I626" t="s">
        <v>3469</v>
      </c>
      <c r="J626">
        <v>15</v>
      </c>
      <c r="K626" t="s">
        <v>3892</v>
      </c>
      <c r="L626">
        <v>1485</v>
      </c>
      <c r="M626">
        <v>99</v>
      </c>
      <c r="N626" t="s">
        <v>4240</v>
      </c>
      <c r="O626" t="s">
        <v>466</v>
      </c>
    </row>
    <row r="627" spans="1:15" x14ac:dyDescent="0.3">
      <c r="A627">
        <v>238236</v>
      </c>
      <c r="B627">
        <v>116</v>
      </c>
      <c r="C627" t="s">
        <v>568</v>
      </c>
      <c r="D627" t="s">
        <v>2357</v>
      </c>
      <c r="E627" t="s">
        <v>2455</v>
      </c>
      <c r="F627" s="452">
        <v>46181</v>
      </c>
      <c r="G627">
        <v>20278</v>
      </c>
      <c r="H627" t="s">
        <v>3939</v>
      </c>
      <c r="I627" t="s">
        <v>3469</v>
      </c>
      <c r="J627">
        <v>12</v>
      </c>
      <c r="K627" t="s">
        <v>3872</v>
      </c>
      <c r="L627">
        <v>355.08</v>
      </c>
      <c r="M627">
        <v>29.59</v>
      </c>
      <c r="N627" t="s">
        <v>4240</v>
      </c>
      <c r="O627" t="s">
        <v>466</v>
      </c>
    </row>
    <row r="628" spans="1:15" x14ac:dyDescent="0.3">
      <c r="A628">
        <v>237981</v>
      </c>
      <c r="B628">
        <v>116</v>
      </c>
      <c r="C628" t="s">
        <v>568</v>
      </c>
      <c r="D628" t="s">
        <v>2456</v>
      </c>
      <c r="E628" t="s">
        <v>2457</v>
      </c>
      <c r="F628" s="452">
        <v>46177</v>
      </c>
      <c r="G628">
        <v>18832</v>
      </c>
      <c r="H628" t="s">
        <v>3900</v>
      </c>
      <c r="I628" t="s">
        <v>3469</v>
      </c>
      <c r="J628">
        <v>15.4</v>
      </c>
      <c r="K628" t="s">
        <v>3892</v>
      </c>
      <c r="L628">
        <v>845.46</v>
      </c>
      <c r="M628">
        <v>54.9</v>
      </c>
      <c r="N628" t="s">
        <v>4240</v>
      </c>
      <c r="O628" t="s">
        <v>466</v>
      </c>
    </row>
    <row r="629" spans="1:15" x14ac:dyDescent="0.3">
      <c r="A629">
        <v>237981</v>
      </c>
      <c r="B629">
        <v>116</v>
      </c>
      <c r="C629" t="s">
        <v>568</v>
      </c>
      <c r="D629" t="s">
        <v>2456</v>
      </c>
      <c r="E629" t="s">
        <v>2457</v>
      </c>
      <c r="F629" s="452">
        <v>46177</v>
      </c>
      <c r="G629">
        <v>24320</v>
      </c>
      <c r="H629" t="s">
        <v>4160</v>
      </c>
      <c r="I629" t="s">
        <v>3469</v>
      </c>
      <c r="J629">
        <v>6.9</v>
      </c>
      <c r="K629" t="s">
        <v>3892</v>
      </c>
      <c r="L629">
        <v>378.81</v>
      </c>
      <c r="M629">
        <v>54.9</v>
      </c>
      <c r="N629" t="s">
        <v>4240</v>
      </c>
      <c r="O629" t="s">
        <v>466</v>
      </c>
    </row>
    <row r="630" spans="1:15" x14ac:dyDescent="0.3">
      <c r="A630">
        <v>237967</v>
      </c>
      <c r="B630">
        <v>116</v>
      </c>
      <c r="C630" t="s">
        <v>568</v>
      </c>
      <c r="D630" t="s">
        <v>2282</v>
      </c>
      <c r="E630" t="s">
        <v>2458</v>
      </c>
      <c r="F630" s="452">
        <v>46174</v>
      </c>
      <c r="G630">
        <v>25518</v>
      </c>
      <c r="H630" t="s">
        <v>4238</v>
      </c>
      <c r="I630" t="s">
        <v>4215</v>
      </c>
      <c r="J630">
        <v>1</v>
      </c>
      <c r="K630" t="s">
        <v>3872</v>
      </c>
      <c r="L630">
        <v>110.4</v>
      </c>
      <c r="M630">
        <v>110.4</v>
      </c>
      <c r="N630" t="s">
        <v>4239</v>
      </c>
      <c r="O630" t="s">
        <v>466</v>
      </c>
    </row>
    <row r="631" spans="1:15" x14ac:dyDescent="0.3">
      <c r="A631">
        <v>237967</v>
      </c>
      <c r="B631">
        <v>116</v>
      </c>
      <c r="C631" t="s">
        <v>568</v>
      </c>
      <c r="D631" t="s">
        <v>2282</v>
      </c>
      <c r="E631" t="s">
        <v>2458</v>
      </c>
      <c r="F631" s="452">
        <v>46174</v>
      </c>
      <c r="G631">
        <v>24497</v>
      </c>
      <c r="H631" t="s">
        <v>4214</v>
      </c>
      <c r="I631" t="s">
        <v>4215</v>
      </c>
      <c r="J631">
        <v>2</v>
      </c>
      <c r="K631" t="s">
        <v>3872</v>
      </c>
      <c r="L631">
        <v>269.10000000000002</v>
      </c>
      <c r="M631">
        <v>134.55000000000001</v>
      </c>
      <c r="N631" t="s">
        <v>4239</v>
      </c>
      <c r="O631" t="s">
        <v>466</v>
      </c>
    </row>
    <row r="632" spans="1:15" x14ac:dyDescent="0.3">
      <c r="A632">
        <v>237966</v>
      </c>
      <c r="B632">
        <v>116</v>
      </c>
      <c r="C632" t="s">
        <v>568</v>
      </c>
      <c r="D632" t="s">
        <v>2265</v>
      </c>
      <c r="E632" t="s">
        <v>2459</v>
      </c>
      <c r="F632" s="452">
        <v>46176</v>
      </c>
      <c r="G632">
        <v>17046</v>
      </c>
      <c r="H632" t="s">
        <v>4246</v>
      </c>
      <c r="I632" t="s">
        <v>4199</v>
      </c>
      <c r="J632">
        <v>1</v>
      </c>
      <c r="K632" t="s">
        <v>3872</v>
      </c>
      <c r="L632">
        <v>34.5</v>
      </c>
      <c r="M632">
        <v>34.5</v>
      </c>
      <c r="N632" t="s">
        <v>2176</v>
      </c>
      <c r="O632" t="s">
        <v>466</v>
      </c>
    </row>
    <row r="633" spans="1:15" x14ac:dyDescent="0.3">
      <c r="A633">
        <v>237966</v>
      </c>
      <c r="B633">
        <v>116</v>
      </c>
      <c r="C633" t="s">
        <v>568</v>
      </c>
      <c r="D633" t="s">
        <v>2265</v>
      </c>
      <c r="E633" t="s">
        <v>2459</v>
      </c>
      <c r="F633" s="452">
        <v>46176</v>
      </c>
      <c r="G633">
        <v>17437</v>
      </c>
      <c r="H633" t="s">
        <v>4198</v>
      </c>
      <c r="I633" t="s">
        <v>4199</v>
      </c>
      <c r="J633">
        <v>10</v>
      </c>
      <c r="K633" t="s">
        <v>3872</v>
      </c>
      <c r="L633">
        <v>23</v>
      </c>
      <c r="M633">
        <v>2.2999999999999998</v>
      </c>
      <c r="N633" t="s">
        <v>2176</v>
      </c>
      <c r="O633" t="s">
        <v>466</v>
      </c>
    </row>
    <row r="634" spans="1:15" x14ac:dyDescent="0.3">
      <c r="A634">
        <v>237966</v>
      </c>
      <c r="B634">
        <v>116</v>
      </c>
      <c r="C634" t="s">
        <v>568</v>
      </c>
      <c r="D634" t="s">
        <v>2265</v>
      </c>
      <c r="E634" t="s">
        <v>2459</v>
      </c>
      <c r="F634" s="452">
        <v>46176</v>
      </c>
      <c r="G634">
        <v>17129</v>
      </c>
      <c r="H634" t="s">
        <v>4200</v>
      </c>
      <c r="I634" t="s">
        <v>4199</v>
      </c>
      <c r="J634">
        <v>1</v>
      </c>
      <c r="K634" t="s">
        <v>3888</v>
      </c>
      <c r="L634">
        <v>26.61</v>
      </c>
      <c r="M634">
        <v>26.61</v>
      </c>
      <c r="N634" t="s">
        <v>2176</v>
      </c>
      <c r="O634" t="s">
        <v>466</v>
      </c>
    </row>
    <row r="635" spans="1:15" x14ac:dyDescent="0.3">
      <c r="A635">
        <v>237966</v>
      </c>
      <c r="B635">
        <v>116</v>
      </c>
      <c r="C635" t="s">
        <v>568</v>
      </c>
      <c r="D635" t="s">
        <v>2265</v>
      </c>
      <c r="E635" t="s">
        <v>2459</v>
      </c>
      <c r="F635" s="452">
        <v>46176</v>
      </c>
      <c r="G635">
        <v>17455</v>
      </c>
      <c r="H635" t="s">
        <v>4231</v>
      </c>
      <c r="I635" t="s">
        <v>4199</v>
      </c>
      <c r="J635">
        <v>2</v>
      </c>
      <c r="K635" t="s">
        <v>3872</v>
      </c>
      <c r="L635">
        <v>70.540000000000006</v>
      </c>
      <c r="M635">
        <v>35.270000000000003</v>
      </c>
      <c r="N635" t="s">
        <v>2176</v>
      </c>
      <c r="O635" t="s">
        <v>466</v>
      </c>
    </row>
    <row r="636" spans="1:15" x14ac:dyDescent="0.3">
      <c r="A636">
        <v>237966</v>
      </c>
      <c r="B636">
        <v>116</v>
      </c>
      <c r="C636" t="s">
        <v>568</v>
      </c>
      <c r="D636" t="s">
        <v>2265</v>
      </c>
      <c r="E636" t="s">
        <v>2459</v>
      </c>
      <c r="F636" s="452">
        <v>46176</v>
      </c>
      <c r="G636">
        <v>17362</v>
      </c>
      <c r="H636" t="s">
        <v>4278</v>
      </c>
      <c r="I636" t="s">
        <v>4199</v>
      </c>
      <c r="J636">
        <v>1</v>
      </c>
      <c r="K636" t="s">
        <v>3888</v>
      </c>
      <c r="L636">
        <v>49.97</v>
      </c>
      <c r="M636">
        <v>49.97</v>
      </c>
      <c r="N636" t="s">
        <v>2176</v>
      </c>
      <c r="O636" t="s">
        <v>466</v>
      </c>
    </row>
    <row r="637" spans="1:15" x14ac:dyDescent="0.3">
      <c r="A637">
        <v>237966</v>
      </c>
      <c r="B637">
        <v>116</v>
      </c>
      <c r="C637" t="s">
        <v>568</v>
      </c>
      <c r="D637" t="s">
        <v>2265</v>
      </c>
      <c r="E637" t="s">
        <v>2459</v>
      </c>
      <c r="F637" s="452">
        <v>46176</v>
      </c>
      <c r="G637">
        <v>17190</v>
      </c>
      <c r="H637" t="s">
        <v>4271</v>
      </c>
      <c r="I637" t="s">
        <v>4199</v>
      </c>
      <c r="J637">
        <v>3</v>
      </c>
      <c r="K637" t="s">
        <v>3888</v>
      </c>
      <c r="L637">
        <v>24.3</v>
      </c>
      <c r="M637">
        <v>8.1</v>
      </c>
      <c r="N637" t="s">
        <v>2176</v>
      </c>
      <c r="O637" t="s">
        <v>466</v>
      </c>
    </row>
    <row r="638" spans="1:15" x14ac:dyDescent="0.3">
      <c r="A638">
        <v>237966</v>
      </c>
      <c r="B638">
        <v>116</v>
      </c>
      <c r="C638" t="s">
        <v>568</v>
      </c>
      <c r="D638" t="s">
        <v>2265</v>
      </c>
      <c r="E638" t="s">
        <v>2459</v>
      </c>
      <c r="F638" s="452">
        <v>46176</v>
      </c>
      <c r="G638">
        <v>28777</v>
      </c>
      <c r="H638" t="s">
        <v>4279</v>
      </c>
      <c r="I638" t="s">
        <v>4199</v>
      </c>
      <c r="J638">
        <v>20</v>
      </c>
      <c r="K638" t="s">
        <v>4203</v>
      </c>
      <c r="L638">
        <v>158</v>
      </c>
      <c r="M638">
        <v>7.9</v>
      </c>
      <c r="N638" t="s">
        <v>2176</v>
      </c>
      <c r="O638" t="s">
        <v>466</v>
      </c>
    </row>
    <row r="639" spans="1:15" x14ac:dyDescent="0.3">
      <c r="A639">
        <v>237966</v>
      </c>
      <c r="B639">
        <v>116</v>
      </c>
      <c r="C639" t="s">
        <v>568</v>
      </c>
      <c r="D639" t="s">
        <v>2265</v>
      </c>
      <c r="E639" t="s">
        <v>2459</v>
      </c>
      <c r="F639" s="452">
        <v>46176</v>
      </c>
      <c r="G639">
        <v>17314</v>
      </c>
      <c r="H639" t="s">
        <v>4204</v>
      </c>
      <c r="I639" t="s">
        <v>4199</v>
      </c>
      <c r="J639">
        <v>2</v>
      </c>
      <c r="K639" t="s">
        <v>3978</v>
      </c>
      <c r="L639">
        <v>11.78</v>
      </c>
      <c r="M639">
        <v>5.89</v>
      </c>
      <c r="N639" t="s">
        <v>2176</v>
      </c>
      <c r="O639" t="s">
        <v>466</v>
      </c>
    </row>
    <row r="640" spans="1:15" x14ac:dyDescent="0.3">
      <c r="A640">
        <v>237966</v>
      </c>
      <c r="B640">
        <v>116</v>
      </c>
      <c r="C640" t="s">
        <v>568</v>
      </c>
      <c r="D640" t="s">
        <v>2265</v>
      </c>
      <c r="E640" t="s">
        <v>2459</v>
      </c>
      <c r="F640" s="452">
        <v>46176</v>
      </c>
      <c r="G640">
        <v>17418</v>
      </c>
      <c r="H640" t="s">
        <v>4280</v>
      </c>
      <c r="I640" t="s">
        <v>4199</v>
      </c>
      <c r="J640">
        <v>1</v>
      </c>
      <c r="K640" t="s">
        <v>3881</v>
      </c>
      <c r="L640">
        <v>58.9</v>
      </c>
      <c r="M640">
        <v>58.9</v>
      </c>
      <c r="N640" t="s">
        <v>2176</v>
      </c>
      <c r="O640" t="s">
        <v>466</v>
      </c>
    </row>
    <row r="641" spans="1:15" x14ac:dyDescent="0.3">
      <c r="A641">
        <v>237966</v>
      </c>
      <c r="B641">
        <v>116</v>
      </c>
      <c r="C641" t="s">
        <v>568</v>
      </c>
      <c r="D641" t="s">
        <v>2265</v>
      </c>
      <c r="E641" t="s">
        <v>2459</v>
      </c>
      <c r="F641" s="452">
        <v>46176</v>
      </c>
      <c r="G641">
        <v>17230</v>
      </c>
      <c r="H641" t="s">
        <v>4281</v>
      </c>
      <c r="I641" t="s">
        <v>4199</v>
      </c>
      <c r="J641">
        <v>1</v>
      </c>
      <c r="K641" t="s">
        <v>3872</v>
      </c>
      <c r="L641">
        <v>38.89</v>
      </c>
      <c r="M641">
        <v>38.89</v>
      </c>
      <c r="N641" t="s">
        <v>2176</v>
      </c>
      <c r="O641" t="s">
        <v>466</v>
      </c>
    </row>
    <row r="642" spans="1:15" x14ac:dyDescent="0.3">
      <c r="A642">
        <v>237966</v>
      </c>
      <c r="B642">
        <v>116</v>
      </c>
      <c r="C642" t="s">
        <v>568</v>
      </c>
      <c r="D642" t="s">
        <v>2265</v>
      </c>
      <c r="E642" t="s">
        <v>2459</v>
      </c>
      <c r="F642" s="452">
        <v>46176</v>
      </c>
      <c r="G642">
        <v>17404</v>
      </c>
      <c r="H642" t="s">
        <v>4282</v>
      </c>
      <c r="I642" t="s">
        <v>4199</v>
      </c>
      <c r="J642">
        <v>1</v>
      </c>
      <c r="K642" t="s">
        <v>3872</v>
      </c>
      <c r="L642">
        <v>27</v>
      </c>
      <c r="M642">
        <v>27</v>
      </c>
      <c r="N642" t="s">
        <v>2176</v>
      </c>
      <c r="O642" t="s">
        <v>466</v>
      </c>
    </row>
    <row r="643" spans="1:15" x14ac:dyDescent="0.3">
      <c r="A643">
        <v>237966</v>
      </c>
      <c r="B643">
        <v>116</v>
      </c>
      <c r="C643" t="s">
        <v>568</v>
      </c>
      <c r="D643" t="s">
        <v>2265</v>
      </c>
      <c r="E643" t="s">
        <v>2459</v>
      </c>
      <c r="F643" s="452">
        <v>46176</v>
      </c>
      <c r="G643">
        <v>17416</v>
      </c>
      <c r="H643" t="s">
        <v>4205</v>
      </c>
      <c r="I643" t="s">
        <v>4199</v>
      </c>
      <c r="J643">
        <v>4</v>
      </c>
      <c r="K643" t="s">
        <v>3881</v>
      </c>
      <c r="L643">
        <v>194.32</v>
      </c>
      <c r="M643">
        <v>48.58</v>
      </c>
      <c r="N643" t="s">
        <v>2176</v>
      </c>
      <c r="O643" t="s">
        <v>466</v>
      </c>
    </row>
    <row r="644" spans="1:15" x14ac:dyDescent="0.3">
      <c r="A644">
        <v>237966</v>
      </c>
      <c r="B644">
        <v>116</v>
      </c>
      <c r="C644" t="s">
        <v>568</v>
      </c>
      <c r="D644" t="s">
        <v>2265</v>
      </c>
      <c r="E644" t="s">
        <v>2459</v>
      </c>
      <c r="F644" s="452">
        <v>46176</v>
      </c>
      <c r="G644">
        <v>17017</v>
      </c>
      <c r="H644" t="s">
        <v>4230</v>
      </c>
      <c r="I644" t="s">
        <v>4199</v>
      </c>
      <c r="J644">
        <v>2</v>
      </c>
      <c r="K644" t="s">
        <v>3888</v>
      </c>
      <c r="L644">
        <v>6</v>
      </c>
      <c r="M644">
        <v>3</v>
      </c>
      <c r="N644" t="s">
        <v>2176</v>
      </c>
      <c r="O644" t="s">
        <v>466</v>
      </c>
    </row>
    <row r="645" spans="1:15" x14ac:dyDescent="0.3">
      <c r="A645">
        <v>237966</v>
      </c>
      <c r="B645">
        <v>116</v>
      </c>
      <c r="C645" t="s">
        <v>568</v>
      </c>
      <c r="D645" t="s">
        <v>2265</v>
      </c>
      <c r="E645" t="s">
        <v>2459</v>
      </c>
      <c r="F645" s="452">
        <v>46176</v>
      </c>
      <c r="G645">
        <v>17215</v>
      </c>
      <c r="H645" t="s">
        <v>4283</v>
      </c>
      <c r="I645" t="s">
        <v>4199</v>
      </c>
      <c r="J645">
        <v>5</v>
      </c>
      <c r="K645" t="s">
        <v>3978</v>
      </c>
      <c r="L645">
        <v>129.5</v>
      </c>
      <c r="M645">
        <v>25.9</v>
      </c>
      <c r="N645" t="s">
        <v>2176</v>
      </c>
      <c r="O645" t="s">
        <v>466</v>
      </c>
    </row>
    <row r="646" spans="1:15" x14ac:dyDescent="0.3">
      <c r="A646">
        <v>237966</v>
      </c>
      <c r="B646">
        <v>116</v>
      </c>
      <c r="C646" t="s">
        <v>568</v>
      </c>
      <c r="D646" t="s">
        <v>2265</v>
      </c>
      <c r="E646" t="s">
        <v>2459</v>
      </c>
      <c r="F646" s="452">
        <v>46176</v>
      </c>
      <c r="G646">
        <v>17496</v>
      </c>
      <c r="H646" t="s">
        <v>4227</v>
      </c>
      <c r="I646" t="s">
        <v>4202</v>
      </c>
      <c r="J646">
        <v>2</v>
      </c>
      <c r="K646" t="s">
        <v>3881</v>
      </c>
      <c r="L646">
        <v>54</v>
      </c>
      <c r="M646">
        <v>27</v>
      </c>
      <c r="N646" t="s">
        <v>2176</v>
      </c>
      <c r="O646" t="s">
        <v>466</v>
      </c>
    </row>
    <row r="647" spans="1:15" x14ac:dyDescent="0.3">
      <c r="A647">
        <v>237965</v>
      </c>
      <c r="B647">
        <v>116</v>
      </c>
      <c r="C647" t="s">
        <v>568</v>
      </c>
      <c r="D647" t="s">
        <v>2286</v>
      </c>
      <c r="E647" t="s">
        <v>2460</v>
      </c>
      <c r="F647" s="452">
        <v>46174</v>
      </c>
      <c r="G647">
        <v>23095</v>
      </c>
      <c r="H647" t="s">
        <v>3882</v>
      </c>
      <c r="I647" t="s">
        <v>3469</v>
      </c>
      <c r="J647">
        <v>40</v>
      </c>
      <c r="K647" t="s">
        <v>3872</v>
      </c>
      <c r="L647">
        <v>38.799999999999997</v>
      </c>
      <c r="M647">
        <v>0.97</v>
      </c>
      <c r="N647" t="s">
        <v>4240</v>
      </c>
      <c r="O647" t="s">
        <v>466</v>
      </c>
    </row>
    <row r="648" spans="1:15" x14ac:dyDescent="0.3">
      <c r="A648">
        <v>237965</v>
      </c>
      <c r="B648">
        <v>116</v>
      </c>
      <c r="C648" t="s">
        <v>568</v>
      </c>
      <c r="D648" t="s">
        <v>2286</v>
      </c>
      <c r="E648" t="s">
        <v>2460</v>
      </c>
      <c r="F648" s="452">
        <v>46174</v>
      </c>
      <c r="G648">
        <v>24509</v>
      </c>
      <c r="H648" t="s">
        <v>3906</v>
      </c>
      <c r="I648" t="s">
        <v>3469</v>
      </c>
      <c r="J648">
        <v>6</v>
      </c>
      <c r="K648" t="s">
        <v>3892</v>
      </c>
      <c r="L648">
        <v>27</v>
      </c>
      <c r="M648">
        <v>4.5</v>
      </c>
      <c r="N648" t="s">
        <v>4240</v>
      </c>
      <c r="O648" t="s">
        <v>466</v>
      </c>
    </row>
    <row r="649" spans="1:15" x14ac:dyDescent="0.3">
      <c r="A649">
        <v>237965</v>
      </c>
      <c r="B649">
        <v>116</v>
      </c>
      <c r="C649" t="s">
        <v>568</v>
      </c>
      <c r="D649" t="s">
        <v>2286</v>
      </c>
      <c r="E649" t="s">
        <v>2460</v>
      </c>
      <c r="F649" s="452">
        <v>46174</v>
      </c>
      <c r="G649">
        <v>19505</v>
      </c>
      <c r="H649" t="s">
        <v>4101</v>
      </c>
      <c r="I649" t="s">
        <v>3469</v>
      </c>
      <c r="J649">
        <v>1</v>
      </c>
      <c r="K649" t="s">
        <v>3892</v>
      </c>
      <c r="L649">
        <v>11.5</v>
      </c>
      <c r="M649">
        <v>11.5</v>
      </c>
      <c r="N649" t="s">
        <v>4240</v>
      </c>
      <c r="O649" t="s">
        <v>466</v>
      </c>
    </row>
    <row r="650" spans="1:15" x14ac:dyDescent="0.3">
      <c r="A650">
        <v>237965</v>
      </c>
      <c r="B650">
        <v>116</v>
      </c>
      <c r="C650" t="s">
        <v>568</v>
      </c>
      <c r="D650" t="s">
        <v>2286</v>
      </c>
      <c r="E650" t="s">
        <v>2460</v>
      </c>
      <c r="F650" s="452">
        <v>46174</v>
      </c>
      <c r="G650">
        <v>19787</v>
      </c>
      <c r="H650" t="s">
        <v>3940</v>
      </c>
      <c r="I650" t="s">
        <v>3469</v>
      </c>
      <c r="J650">
        <v>4.5</v>
      </c>
      <c r="K650" t="s">
        <v>3892</v>
      </c>
      <c r="L650">
        <v>26.55</v>
      </c>
      <c r="M650">
        <v>5.9</v>
      </c>
      <c r="N650" t="s">
        <v>4240</v>
      </c>
      <c r="O650" t="s">
        <v>466</v>
      </c>
    </row>
    <row r="651" spans="1:15" x14ac:dyDescent="0.3">
      <c r="A651">
        <v>237965</v>
      </c>
      <c r="B651">
        <v>116</v>
      </c>
      <c r="C651" t="s">
        <v>568</v>
      </c>
      <c r="D651" t="s">
        <v>2286</v>
      </c>
      <c r="E651" t="s">
        <v>2460</v>
      </c>
      <c r="F651" s="452">
        <v>46174</v>
      </c>
      <c r="G651">
        <v>19494</v>
      </c>
      <c r="H651" t="s">
        <v>4126</v>
      </c>
      <c r="I651" t="s">
        <v>3469</v>
      </c>
      <c r="J651">
        <v>1</v>
      </c>
      <c r="K651" t="s">
        <v>3892</v>
      </c>
      <c r="L651">
        <v>18</v>
      </c>
      <c r="M651">
        <v>18</v>
      </c>
      <c r="N651" t="s">
        <v>4240</v>
      </c>
      <c r="O651" t="s">
        <v>466</v>
      </c>
    </row>
    <row r="652" spans="1:15" x14ac:dyDescent="0.3">
      <c r="A652">
        <v>237965</v>
      </c>
      <c r="B652">
        <v>116</v>
      </c>
      <c r="C652" t="s">
        <v>568</v>
      </c>
      <c r="D652" t="s">
        <v>2286</v>
      </c>
      <c r="E652" t="s">
        <v>2460</v>
      </c>
      <c r="F652" s="452">
        <v>46174</v>
      </c>
      <c r="G652">
        <v>19751</v>
      </c>
      <c r="H652" t="s">
        <v>4019</v>
      </c>
      <c r="I652" t="s">
        <v>3469</v>
      </c>
      <c r="J652">
        <v>2</v>
      </c>
      <c r="K652" t="s">
        <v>3892</v>
      </c>
      <c r="L652">
        <v>17.399999999999999</v>
      </c>
      <c r="M652">
        <v>8.6999999999999993</v>
      </c>
      <c r="N652" t="s">
        <v>4240</v>
      </c>
      <c r="O652" t="s">
        <v>466</v>
      </c>
    </row>
    <row r="653" spans="1:15" x14ac:dyDescent="0.3">
      <c r="A653">
        <v>237965</v>
      </c>
      <c r="B653">
        <v>116</v>
      </c>
      <c r="C653" t="s">
        <v>568</v>
      </c>
      <c r="D653" t="s">
        <v>2286</v>
      </c>
      <c r="E653" t="s">
        <v>2460</v>
      </c>
      <c r="F653" s="452">
        <v>46174</v>
      </c>
      <c r="G653">
        <v>19506</v>
      </c>
      <c r="H653" t="s">
        <v>4112</v>
      </c>
      <c r="I653" t="s">
        <v>3469</v>
      </c>
      <c r="J653">
        <v>0.2</v>
      </c>
      <c r="K653" t="s">
        <v>3892</v>
      </c>
      <c r="L653">
        <v>10</v>
      </c>
      <c r="M653">
        <v>50</v>
      </c>
      <c r="N653" t="s">
        <v>4240</v>
      </c>
      <c r="O653" t="s">
        <v>466</v>
      </c>
    </row>
    <row r="654" spans="1:15" x14ac:dyDescent="0.3">
      <c r="A654">
        <v>237965</v>
      </c>
      <c r="B654">
        <v>116</v>
      </c>
      <c r="C654" t="s">
        <v>568</v>
      </c>
      <c r="D654" t="s">
        <v>2286</v>
      </c>
      <c r="E654" t="s">
        <v>2460</v>
      </c>
      <c r="F654" s="452">
        <v>46174</v>
      </c>
      <c r="G654">
        <v>23113</v>
      </c>
      <c r="H654" t="s">
        <v>4079</v>
      </c>
      <c r="I654" t="s">
        <v>3469</v>
      </c>
      <c r="J654">
        <v>1.5</v>
      </c>
      <c r="K654" t="s">
        <v>3892</v>
      </c>
      <c r="L654">
        <v>22.5</v>
      </c>
      <c r="M654">
        <v>15</v>
      </c>
      <c r="N654" t="s">
        <v>4240</v>
      </c>
      <c r="O654" t="s">
        <v>466</v>
      </c>
    </row>
    <row r="655" spans="1:15" x14ac:dyDescent="0.3">
      <c r="A655">
        <v>237965</v>
      </c>
      <c r="B655">
        <v>116</v>
      </c>
      <c r="C655" t="s">
        <v>568</v>
      </c>
      <c r="D655" t="s">
        <v>2286</v>
      </c>
      <c r="E655" t="s">
        <v>2460</v>
      </c>
      <c r="F655" s="452">
        <v>46174</v>
      </c>
      <c r="G655">
        <v>19752</v>
      </c>
      <c r="H655" t="s">
        <v>4042</v>
      </c>
      <c r="I655" t="s">
        <v>3469</v>
      </c>
      <c r="J655">
        <v>1</v>
      </c>
      <c r="K655" t="s">
        <v>3892</v>
      </c>
      <c r="L655">
        <v>6</v>
      </c>
      <c r="M655">
        <v>6</v>
      </c>
      <c r="N655" t="s">
        <v>4240</v>
      </c>
      <c r="O655" t="s">
        <v>466</v>
      </c>
    </row>
    <row r="656" spans="1:15" x14ac:dyDescent="0.3">
      <c r="A656">
        <v>237965</v>
      </c>
      <c r="B656">
        <v>116</v>
      </c>
      <c r="C656" t="s">
        <v>568</v>
      </c>
      <c r="D656" t="s">
        <v>2286</v>
      </c>
      <c r="E656" t="s">
        <v>2460</v>
      </c>
      <c r="F656" s="452">
        <v>46174</v>
      </c>
      <c r="G656">
        <v>23195</v>
      </c>
      <c r="H656" t="s">
        <v>4184</v>
      </c>
      <c r="I656" t="s">
        <v>3469</v>
      </c>
      <c r="J656">
        <v>1</v>
      </c>
      <c r="K656" t="s">
        <v>3892</v>
      </c>
      <c r="L656">
        <v>12</v>
      </c>
      <c r="M656">
        <v>12</v>
      </c>
      <c r="N656" t="s">
        <v>4240</v>
      </c>
      <c r="O656" t="s">
        <v>466</v>
      </c>
    </row>
    <row r="657" spans="1:15" x14ac:dyDescent="0.3">
      <c r="A657">
        <v>237965</v>
      </c>
      <c r="B657">
        <v>116</v>
      </c>
      <c r="C657" t="s">
        <v>568</v>
      </c>
      <c r="D657" t="s">
        <v>2286</v>
      </c>
      <c r="E657" t="s">
        <v>2460</v>
      </c>
      <c r="F657" s="452">
        <v>46174</v>
      </c>
      <c r="G657">
        <v>23361</v>
      </c>
      <c r="H657" t="s">
        <v>4220</v>
      </c>
      <c r="I657" t="s">
        <v>3469</v>
      </c>
      <c r="J657">
        <v>36</v>
      </c>
      <c r="K657" t="s">
        <v>3892</v>
      </c>
      <c r="L657">
        <v>102.6</v>
      </c>
      <c r="M657">
        <v>2.85</v>
      </c>
      <c r="N657" t="s">
        <v>4240</v>
      </c>
      <c r="O657" t="s">
        <v>466</v>
      </c>
    </row>
    <row r="658" spans="1:15" x14ac:dyDescent="0.3">
      <c r="A658">
        <v>237965</v>
      </c>
      <c r="B658">
        <v>116</v>
      </c>
      <c r="C658" t="s">
        <v>568</v>
      </c>
      <c r="D658" t="s">
        <v>2286</v>
      </c>
      <c r="E658" t="s">
        <v>2460</v>
      </c>
      <c r="F658" s="452">
        <v>46174</v>
      </c>
      <c r="G658">
        <v>23236</v>
      </c>
      <c r="H658" t="s">
        <v>4017</v>
      </c>
      <c r="I658" t="s">
        <v>3469</v>
      </c>
      <c r="J658">
        <v>3</v>
      </c>
      <c r="K658" t="s">
        <v>3892</v>
      </c>
      <c r="L658">
        <v>39</v>
      </c>
      <c r="M658">
        <v>13</v>
      </c>
      <c r="N658" t="s">
        <v>4240</v>
      </c>
      <c r="O658" t="s">
        <v>466</v>
      </c>
    </row>
    <row r="659" spans="1:15" x14ac:dyDescent="0.3">
      <c r="A659">
        <v>237965</v>
      </c>
      <c r="B659">
        <v>116</v>
      </c>
      <c r="C659" t="s">
        <v>568</v>
      </c>
      <c r="D659" t="s">
        <v>2286</v>
      </c>
      <c r="E659" t="s">
        <v>2460</v>
      </c>
      <c r="F659" s="452">
        <v>46174</v>
      </c>
      <c r="G659">
        <v>19617</v>
      </c>
      <c r="H659" t="s">
        <v>4110</v>
      </c>
      <c r="I659" t="s">
        <v>3469</v>
      </c>
      <c r="J659">
        <v>0.5</v>
      </c>
      <c r="K659" t="s">
        <v>3892</v>
      </c>
      <c r="L659">
        <v>15</v>
      </c>
      <c r="M659">
        <v>30</v>
      </c>
      <c r="N659" t="s">
        <v>4240</v>
      </c>
      <c r="O659" t="s">
        <v>466</v>
      </c>
    </row>
    <row r="660" spans="1:15" x14ac:dyDescent="0.3">
      <c r="A660">
        <v>237965</v>
      </c>
      <c r="B660">
        <v>116</v>
      </c>
      <c r="C660" t="s">
        <v>568</v>
      </c>
      <c r="D660" t="s">
        <v>2286</v>
      </c>
      <c r="E660" t="s">
        <v>2460</v>
      </c>
      <c r="F660" s="452">
        <v>46174</v>
      </c>
      <c r="G660">
        <v>19555</v>
      </c>
      <c r="H660" t="s">
        <v>4109</v>
      </c>
      <c r="I660" t="s">
        <v>3469</v>
      </c>
      <c r="J660">
        <v>0.5</v>
      </c>
      <c r="K660" t="s">
        <v>3892</v>
      </c>
      <c r="L660">
        <v>7.5</v>
      </c>
      <c r="M660">
        <v>15</v>
      </c>
      <c r="N660" t="s">
        <v>4240</v>
      </c>
      <c r="O660" t="s">
        <v>466</v>
      </c>
    </row>
    <row r="661" spans="1:15" x14ac:dyDescent="0.3">
      <c r="A661">
        <v>237965</v>
      </c>
      <c r="B661">
        <v>116</v>
      </c>
      <c r="C661" t="s">
        <v>568</v>
      </c>
      <c r="D661" t="s">
        <v>2286</v>
      </c>
      <c r="E661" t="s">
        <v>2460</v>
      </c>
      <c r="F661" s="452">
        <v>46174</v>
      </c>
      <c r="G661">
        <v>19458</v>
      </c>
      <c r="H661" t="s">
        <v>4212</v>
      </c>
      <c r="I661" t="s">
        <v>3469</v>
      </c>
      <c r="J661">
        <v>1</v>
      </c>
      <c r="K661" t="s">
        <v>3892</v>
      </c>
      <c r="L661">
        <v>17</v>
      </c>
      <c r="M661">
        <v>17</v>
      </c>
      <c r="N661" t="s">
        <v>4240</v>
      </c>
      <c r="O661" t="s">
        <v>466</v>
      </c>
    </row>
    <row r="662" spans="1:15" x14ac:dyDescent="0.3">
      <c r="A662">
        <v>237961</v>
      </c>
      <c r="B662">
        <v>116</v>
      </c>
      <c r="C662" t="s">
        <v>568</v>
      </c>
      <c r="D662" t="s">
        <v>2320</v>
      </c>
      <c r="E662" t="s">
        <v>2461</v>
      </c>
      <c r="F662" s="452">
        <v>46176</v>
      </c>
      <c r="G662">
        <v>22857</v>
      </c>
      <c r="H662" t="s">
        <v>4130</v>
      </c>
      <c r="I662" t="s">
        <v>3469</v>
      </c>
      <c r="J662">
        <v>15.23</v>
      </c>
      <c r="K662" t="s">
        <v>3892</v>
      </c>
      <c r="L662">
        <v>988.43</v>
      </c>
      <c r="M662">
        <v>64.900197000000006</v>
      </c>
      <c r="N662" t="s">
        <v>4240</v>
      </c>
      <c r="O662" t="s">
        <v>466</v>
      </c>
    </row>
    <row r="663" spans="1:15" x14ac:dyDescent="0.3">
      <c r="A663">
        <v>237960</v>
      </c>
      <c r="B663">
        <v>116</v>
      </c>
      <c r="C663" t="s">
        <v>568</v>
      </c>
      <c r="D663" t="s">
        <v>2361</v>
      </c>
      <c r="E663" t="s">
        <v>2462</v>
      </c>
      <c r="F663" s="452">
        <v>46175</v>
      </c>
      <c r="G663">
        <v>26627</v>
      </c>
      <c r="H663" t="s">
        <v>4237</v>
      </c>
      <c r="I663" t="s">
        <v>3469</v>
      </c>
      <c r="J663">
        <v>20</v>
      </c>
      <c r="K663" t="s">
        <v>3892</v>
      </c>
      <c r="L663">
        <v>158</v>
      </c>
      <c r="M663">
        <v>7.9</v>
      </c>
      <c r="N663" t="s">
        <v>4240</v>
      </c>
      <c r="O663" t="s">
        <v>466</v>
      </c>
    </row>
    <row r="664" spans="1:15" x14ac:dyDescent="0.3">
      <c r="A664">
        <v>237756</v>
      </c>
      <c r="B664">
        <v>116</v>
      </c>
      <c r="C664" t="s">
        <v>568</v>
      </c>
      <c r="D664" t="s">
        <v>2463</v>
      </c>
      <c r="E664" t="s">
        <v>2464</v>
      </c>
      <c r="F664" s="452">
        <v>46181</v>
      </c>
      <c r="G664">
        <v>19130</v>
      </c>
      <c r="H664" t="s">
        <v>4284</v>
      </c>
      <c r="I664" t="s">
        <v>3469</v>
      </c>
      <c r="J664">
        <v>54.4</v>
      </c>
      <c r="K664" t="s">
        <v>3892</v>
      </c>
      <c r="L664">
        <v>2095.4899999999998</v>
      </c>
      <c r="M664">
        <v>38.520037000000002</v>
      </c>
      <c r="N664" t="s">
        <v>4240</v>
      </c>
      <c r="O664" t="s">
        <v>466</v>
      </c>
    </row>
    <row r="665" spans="1:15" x14ac:dyDescent="0.3">
      <c r="A665">
        <v>237756</v>
      </c>
      <c r="B665">
        <v>116</v>
      </c>
      <c r="C665" t="s">
        <v>568</v>
      </c>
      <c r="D665" t="s">
        <v>2463</v>
      </c>
      <c r="E665" t="s">
        <v>2464</v>
      </c>
      <c r="F665" s="452">
        <v>46181</v>
      </c>
      <c r="G665">
        <v>23687</v>
      </c>
      <c r="H665" t="s">
        <v>4285</v>
      </c>
      <c r="I665" t="s">
        <v>3469</v>
      </c>
      <c r="J665">
        <v>23.24</v>
      </c>
      <c r="K665" t="s">
        <v>3892</v>
      </c>
      <c r="L665">
        <v>299.8</v>
      </c>
      <c r="M665">
        <v>12.900172</v>
      </c>
      <c r="N665" t="s">
        <v>4240</v>
      </c>
      <c r="O665" t="s">
        <v>466</v>
      </c>
    </row>
    <row r="666" spans="1:15" x14ac:dyDescent="0.3">
      <c r="A666">
        <v>237753</v>
      </c>
      <c r="B666">
        <v>116</v>
      </c>
      <c r="C666" t="s">
        <v>568</v>
      </c>
      <c r="D666" t="s">
        <v>2258</v>
      </c>
      <c r="E666" t="s">
        <v>1522</v>
      </c>
      <c r="F666" s="452">
        <v>46176</v>
      </c>
      <c r="G666">
        <v>17006</v>
      </c>
      <c r="H666" t="s">
        <v>4128</v>
      </c>
      <c r="I666" t="s">
        <v>3469</v>
      </c>
      <c r="J666">
        <v>12.55</v>
      </c>
      <c r="K666" t="s">
        <v>3892</v>
      </c>
      <c r="L666">
        <v>163.15</v>
      </c>
      <c r="M666">
        <v>13</v>
      </c>
      <c r="N666" t="s">
        <v>4286</v>
      </c>
      <c r="O666" t="s">
        <v>466</v>
      </c>
    </row>
    <row r="667" spans="1:15" x14ac:dyDescent="0.3">
      <c r="A667">
        <v>235824</v>
      </c>
      <c r="B667">
        <v>116</v>
      </c>
      <c r="C667" t="s">
        <v>568</v>
      </c>
      <c r="D667" t="s">
        <v>2465</v>
      </c>
      <c r="E667" t="s">
        <v>2466</v>
      </c>
      <c r="F667" s="452">
        <v>46170</v>
      </c>
      <c r="G667">
        <v>24083</v>
      </c>
      <c r="H667" t="s">
        <v>3898</v>
      </c>
      <c r="I667" t="s">
        <v>3469</v>
      </c>
      <c r="J667">
        <v>25</v>
      </c>
      <c r="K667" t="s">
        <v>3892</v>
      </c>
      <c r="L667">
        <v>212.5</v>
      </c>
      <c r="M667">
        <v>8.5</v>
      </c>
      <c r="N667" t="s">
        <v>4240</v>
      </c>
      <c r="O667" t="s">
        <v>465</v>
      </c>
    </row>
    <row r="668" spans="1:15" x14ac:dyDescent="0.3">
      <c r="A668">
        <v>235823</v>
      </c>
      <c r="B668">
        <v>116</v>
      </c>
      <c r="C668" t="s">
        <v>568</v>
      </c>
      <c r="D668" t="s">
        <v>2265</v>
      </c>
      <c r="E668" t="s">
        <v>2467</v>
      </c>
      <c r="F668" s="452">
        <v>46169</v>
      </c>
      <c r="G668">
        <v>17404</v>
      </c>
      <c r="H668" t="s">
        <v>4282</v>
      </c>
      <c r="I668" t="s">
        <v>4199</v>
      </c>
      <c r="J668">
        <v>1</v>
      </c>
      <c r="K668" t="s">
        <v>3872</v>
      </c>
      <c r="L668">
        <v>18.43</v>
      </c>
      <c r="M668">
        <v>18.43</v>
      </c>
      <c r="N668" t="s">
        <v>2176</v>
      </c>
      <c r="O668" t="s">
        <v>465</v>
      </c>
    </row>
    <row r="669" spans="1:15" x14ac:dyDescent="0.3">
      <c r="A669">
        <v>235823</v>
      </c>
      <c r="B669">
        <v>116</v>
      </c>
      <c r="C669" t="s">
        <v>568</v>
      </c>
      <c r="D669" t="s">
        <v>2265</v>
      </c>
      <c r="E669" t="s">
        <v>2467</v>
      </c>
      <c r="F669" s="452">
        <v>46169</v>
      </c>
      <c r="G669">
        <v>17314</v>
      </c>
      <c r="H669" t="s">
        <v>4204</v>
      </c>
      <c r="I669" t="s">
        <v>4199</v>
      </c>
      <c r="J669">
        <v>1</v>
      </c>
      <c r="K669" t="s">
        <v>3978</v>
      </c>
      <c r="L669">
        <v>5.89</v>
      </c>
      <c r="M669">
        <v>5.89</v>
      </c>
      <c r="N669" t="s">
        <v>2176</v>
      </c>
      <c r="O669" t="s">
        <v>465</v>
      </c>
    </row>
    <row r="670" spans="1:15" x14ac:dyDescent="0.3">
      <c r="A670">
        <v>235823</v>
      </c>
      <c r="B670">
        <v>116</v>
      </c>
      <c r="C670" t="s">
        <v>568</v>
      </c>
      <c r="D670" t="s">
        <v>2265</v>
      </c>
      <c r="E670" t="s">
        <v>2467</v>
      </c>
      <c r="F670" s="452">
        <v>46169</v>
      </c>
      <c r="G670">
        <v>28386</v>
      </c>
      <c r="H670" t="s">
        <v>4245</v>
      </c>
      <c r="I670" t="s">
        <v>4199</v>
      </c>
      <c r="J670">
        <v>2</v>
      </c>
      <c r="K670" t="s">
        <v>4203</v>
      </c>
      <c r="L670">
        <v>83.34</v>
      </c>
      <c r="M670">
        <v>41.67</v>
      </c>
      <c r="N670" t="s">
        <v>2176</v>
      </c>
      <c r="O670" t="s">
        <v>465</v>
      </c>
    </row>
    <row r="671" spans="1:15" x14ac:dyDescent="0.3">
      <c r="A671">
        <v>235823</v>
      </c>
      <c r="B671">
        <v>116</v>
      </c>
      <c r="C671" t="s">
        <v>568</v>
      </c>
      <c r="D671" t="s">
        <v>2265</v>
      </c>
      <c r="E671" t="s">
        <v>2467</v>
      </c>
      <c r="F671" s="452">
        <v>46169</v>
      </c>
      <c r="G671">
        <v>17381</v>
      </c>
      <c r="H671" t="s">
        <v>4247</v>
      </c>
      <c r="I671" t="s">
        <v>4199</v>
      </c>
      <c r="J671">
        <v>1</v>
      </c>
      <c r="K671" t="s">
        <v>3872</v>
      </c>
      <c r="L671">
        <v>38.89</v>
      </c>
      <c r="M671">
        <v>38.89</v>
      </c>
      <c r="N671" t="s">
        <v>2176</v>
      </c>
      <c r="O671" t="s">
        <v>465</v>
      </c>
    </row>
    <row r="672" spans="1:15" x14ac:dyDescent="0.3">
      <c r="A672">
        <v>235823</v>
      </c>
      <c r="B672">
        <v>116</v>
      </c>
      <c r="C672" t="s">
        <v>568</v>
      </c>
      <c r="D672" t="s">
        <v>2265</v>
      </c>
      <c r="E672" t="s">
        <v>2467</v>
      </c>
      <c r="F672" s="452">
        <v>46169</v>
      </c>
      <c r="G672">
        <v>17437</v>
      </c>
      <c r="H672" t="s">
        <v>4198</v>
      </c>
      <c r="I672" t="s">
        <v>4199</v>
      </c>
      <c r="J672">
        <v>1</v>
      </c>
      <c r="K672" t="s">
        <v>3872</v>
      </c>
      <c r="L672">
        <v>2.2999999999999998</v>
      </c>
      <c r="M672">
        <v>2.2999999999999998</v>
      </c>
      <c r="N672" t="s">
        <v>2176</v>
      </c>
      <c r="O672" t="s">
        <v>465</v>
      </c>
    </row>
    <row r="673" spans="1:15" x14ac:dyDescent="0.3">
      <c r="A673">
        <v>235823</v>
      </c>
      <c r="B673">
        <v>116</v>
      </c>
      <c r="C673" t="s">
        <v>568</v>
      </c>
      <c r="D673" t="s">
        <v>2265</v>
      </c>
      <c r="E673" t="s">
        <v>2467</v>
      </c>
      <c r="F673" s="452">
        <v>46169</v>
      </c>
      <c r="G673">
        <v>17383</v>
      </c>
      <c r="H673" t="s">
        <v>4252</v>
      </c>
      <c r="I673" t="s">
        <v>4199</v>
      </c>
      <c r="J673">
        <v>1</v>
      </c>
      <c r="K673" t="s">
        <v>3872</v>
      </c>
      <c r="L673">
        <v>38.89</v>
      </c>
      <c r="M673">
        <v>38.89</v>
      </c>
      <c r="N673" t="s">
        <v>2176</v>
      </c>
      <c r="O673" t="s">
        <v>465</v>
      </c>
    </row>
    <row r="674" spans="1:15" x14ac:dyDescent="0.3">
      <c r="A674">
        <v>235823</v>
      </c>
      <c r="B674">
        <v>116</v>
      </c>
      <c r="C674" t="s">
        <v>568</v>
      </c>
      <c r="D674" t="s">
        <v>2265</v>
      </c>
      <c r="E674" t="s">
        <v>2467</v>
      </c>
      <c r="F674" s="452">
        <v>46169</v>
      </c>
      <c r="G674">
        <v>17017</v>
      </c>
      <c r="H674" t="s">
        <v>4230</v>
      </c>
      <c r="I674" t="s">
        <v>4199</v>
      </c>
      <c r="J674">
        <v>2</v>
      </c>
      <c r="K674" t="s">
        <v>3888</v>
      </c>
      <c r="L674">
        <v>6</v>
      </c>
      <c r="M674">
        <v>3</v>
      </c>
      <c r="N674" t="s">
        <v>2176</v>
      </c>
      <c r="O674" t="s">
        <v>465</v>
      </c>
    </row>
    <row r="675" spans="1:15" x14ac:dyDescent="0.3">
      <c r="A675">
        <v>235823</v>
      </c>
      <c r="B675">
        <v>116</v>
      </c>
      <c r="C675" t="s">
        <v>568</v>
      </c>
      <c r="D675" t="s">
        <v>2265</v>
      </c>
      <c r="E675" t="s">
        <v>2467</v>
      </c>
      <c r="F675" s="452">
        <v>46169</v>
      </c>
      <c r="G675">
        <v>17496</v>
      </c>
      <c r="H675" t="s">
        <v>4227</v>
      </c>
      <c r="I675" t="s">
        <v>4202</v>
      </c>
      <c r="J675">
        <v>1</v>
      </c>
      <c r="K675" t="s">
        <v>3881</v>
      </c>
      <c r="L675">
        <v>21</v>
      </c>
      <c r="M675">
        <v>21</v>
      </c>
      <c r="N675" t="s">
        <v>2176</v>
      </c>
      <c r="O675" t="s">
        <v>465</v>
      </c>
    </row>
    <row r="676" spans="1:15" x14ac:dyDescent="0.3">
      <c r="A676">
        <v>235823</v>
      </c>
      <c r="B676">
        <v>116</v>
      </c>
      <c r="C676" t="s">
        <v>568</v>
      </c>
      <c r="D676" t="s">
        <v>2265</v>
      </c>
      <c r="E676" t="s">
        <v>2467</v>
      </c>
      <c r="F676" s="452">
        <v>46169</v>
      </c>
      <c r="G676">
        <v>17129</v>
      </c>
      <c r="H676" t="s">
        <v>4200</v>
      </c>
      <c r="I676" t="s">
        <v>4199</v>
      </c>
      <c r="J676">
        <v>1</v>
      </c>
      <c r="K676" t="s">
        <v>3888</v>
      </c>
      <c r="L676">
        <v>26.61</v>
      </c>
      <c r="M676">
        <v>26.61</v>
      </c>
      <c r="N676" t="s">
        <v>2176</v>
      </c>
      <c r="O676" t="s">
        <v>465</v>
      </c>
    </row>
    <row r="677" spans="1:15" x14ac:dyDescent="0.3">
      <c r="A677">
        <v>235823</v>
      </c>
      <c r="B677">
        <v>116</v>
      </c>
      <c r="C677" t="s">
        <v>568</v>
      </c>
      <c r="D677" t="s">
        <v>2265</v>
      </c>
      <c r="E677" t="s">
        <v>2467</v>
      </c>
      <c r="F677" s="452">
        <v>46169</v>
      </c>
      <c r="G677">
        <v>17444</v>
      </c>
      <c r="H677" t="s">
        <v>4211</v>
      </c>
      <c r="I677" t="s">
        <v>4199</v>
      </c>
      <c r="J677">
        <v>1</v>
      </c>
      <c r="K677" t="s">
        <v>3888</v>
      </c>
      <c r="L677">
        <v>12.59</v>
      </c>
      <c r="M677">
        <v>12.59</v>
      </c>
      <c r="N677" t="s">
        <v>2176</v>
      </c>
      <c r="O677" t="s">
        <v>465</v>
      </c>
    </row>
    <row r="678" spans="1:15" x14ac:dyDescent="0.3">
      <c r="A678">
        <v>235823</v>
      </c>
      <c r="B678">
        <v>116</v>
      </c>
      <c r="C678" t="s">
        <v>568</v>
      </c>
      <c r="D678" t="s">
        <v>2265</v>
      </c>
      <c r="E678" t="s">
        <v>2467</v>
      </c>
      <c r="F678" s="452">
        <v>46169</v>
      </c>
      <c r="G678">
        <v>21783</v>
      </c>
      <c r="H678" t="s">
        <v>4228</v>
      </c>
      <c r="I678" t="s">
        <v>4202</v>
      </c>
      <c r="J678">
        <v>2</v>
      </c>
      <c r="K678" t="s">
        <v>3872</v>
      </c>
      <c r="L678">
        <v>32</v>
      </c>
      <c r="M678">
        <v>16</v>
      </c>
      <c r="N678" t="s">
        <v>2176</v>
      </c>
      <c r="O678" t="s">
        <v>465</v>
      </c>
    </row>
    <row r="679" spans="1:15" x14ac:dyDescent="0.3">
      <c r="A679">
        <v>235823</v>
      </c>
      <c r="B679">
        <v>116</v>
      </c>
      <c r="C679" t="s">
        <v>568</v>
      </c>
      <c r="D679" t="s">
        <v>2265</v>
      </c>
      <c r="E679" t="s">
        <v>2467</v>
      </c>
      <c r="F679" s="452">
        <v>46169</v>
      </c>
      <c r="G679">
        <v>17215</v>
      </c>
      <c r="H679" t="s">
        <v>4283</v>
      </c>
      <c r="I679" t="s">
        <v>4199</v>
      </c>
      <c r="J679">
        <v>5</v>
      </c>
      <c r="K679" t="s">
        <v>3978</v>
      </c>
      <c r="L679">
        <v>90</v>
      </c>
      <c r="M679">
        <v>18</v>
      </c>
      <c r="N679" t="s">
        <v>2176</v>
      </c>
      <c r="O679" t="s">
        <v>465</v>
      </c>
    </row>
    <row r="680" spans="1:15" x14ac:dyDescent="0.3">
      <c r="A680">
        <v>235823</v>
      </c>
      <c r="B680">
        <v>116</v>
      </c>
      <c r="C680" t="s">
        <v>568</v>
      </c>
      <c r="D680" t="s">
        <v>2265</v>
      </c>
      <c r="E680" t="s">
        <v>2467</v>
      </c>
      <c r="F680" s="452">
        <v>46169</v>
      </c>
      <c r="G680">
        <v>17416</v>
      </c>
      <c r="H680" t="s">
        <v>4205</v>
      </c>
      <c r="I680" t="s">
        <v>4199</v>
      </c>
      <c r="J680">
        <v>3</v>
      </c>
      <c r="K680" t="s">
        <v>3881</v>
      </c>
      <c r="L680">
        <v>145.74</v>
      </c>
      <c r="M680">
        <v>48.58</v>
      </c>
      <c r="N680" t="s">
        <v>2176</v>
      </c>
      <c r="O680" t="s">
        <v>465</v>
      </c>
    </row>
    <row r="681" spans="1:15" x14ac:dyDescent="0.3">
      <c r="A681">
        <v>235823</v>
      </c>
      <c r="B681">
        <v>116</v>
      </c>
      <c r="C681" t="s">
        <v>568</v>
      </c>
      <c r="D681" t="s">
        <v>2265</v>
      </c>
      <c r="E681" t="s">
        <v>2467</v>
      </c>
      <c r="F681" s="452">
        <v>46169</v>
      </c>
      <c r="G681">
        <v>17266</v>
      </c>
      <c r="H681" t="s">
        <v>4229</v>
      </c>
      <c r="I681" t="s">
        <v>4199</v>
      </c>
      <c r="J681">
        <v>12</v>
      </c>
      <c r="K681" t="s">
        <v>3872</v>
      </c>
      <c r="L681">
        <v>55.8</v>
      </c>
      <c r="M681">
        <v>4.6500000000000004</v>
      </c>
      <c r="N681" t="s">
        <v>2176</v>
      </c>
      <c r="O681" t="s">
        <v>465</v>
      </c>
    </row>
    <row r="682" spans="1:15" x14ac:dyDescent="0.3">
      <c r="A682">
        <v>235821</v>
      </c>
      <c r="B682">
        <v>116</v>
      </c>
      <c r="C682" t="s">
        <v>568</v>
      </c>
      <c r="D682" t="s">
        <v>2468</v>
      </c>
      <c r="E682" t="s">
        <v>2469</v>
      </c>
      <c r="F682" s="452">
        <v>46167</v>
      </c>
      <c r="G682">
        <v>24259</v>
      </c>
      <c r="H682" t="s">
        <v>3895</v>
      </c>
      <c r="I682" t="s">
        <v>3469</v>
      </c>
      <c r="J682">
        <v>17.170000000000002</v>
      </c>
      <c r="K682" t="s">
        <v>3892</v>
      </c>
      <c r="L682">
        <v>1399.18</v>
      </c>
      <c r="M682">
        <v>81.489807999999996</v>
      </c>
      <c r="N682" t="s">
        <v>3469</v>
      </c>
      <c r="O682" t="s">
        <v>465</v>
      </c>
    </row>
    <row r="683" spans="1:15" x14ac:dyDescent="0.3">
      <c r="A683">
        <v>235821</v>
      </c>
      <c r="B683">
        <v>116</v>
      </c>
      <c r="C683" t="s">
        <v>568</v>
      </c>
      <c r="D683" t="s">
        <v>2468</v>
      </c>
      <c r="E683" t="s">
        <v>2469</v>
      </c>
      <c r="F683" s="452">
        <v>46167</v>
      </c>
      <c r="G683">
        <v>27313</v>
      </c>
      <c r="H683" t="s">
        <v>4131</v>
      </c>
      <c r="I683" t="s">
        <v>3469</v>
      </c>
      <c r="J683">
        <v>12.75</v>
      </c>
      <c r="K683" t="s">
        <v>3892</v>
      </c>
      <c r="L683">
        <v>388.88</v>
      </c>
      <c r="M683">
        <v>30.500392000000002</v>
      </c>
      <c r="N683" t="s">
        <v>3469</v>
      </c>
      <c r="O683" t="s">
        <v>465</v>
      </c>
    </row>
    <row r="684" spans="1:15" x14ac:dyDescent="0.3">
      <c r="A684">
        <v>235820</v>
      </c>
      <c r="B684">
        <v>116</v>
      </c>
      <c r="C684" t="s">
        <v>568</v>
      </c>
      <c r="D684" t="s">
        <v>2267</v>
      </c>
      <c r="E684" t="s">
        <v>2470</v>
      </c>
      <c r="F684" s="452">
        <v>46169</v>
      </c>
      <c r="G684">
        <v>18682</v>
      </c>
      <c r="H684" t="s">
        <v>4025</v>
      </c>
      <c r="I684" t="s">
        <v>3469</v>
      </c>
      <c r="J684">
        <v>6.65</v>
      </c>
      <c r="K684" t="s">
        <v>3892</v>
      </c>
      <c r="L684">
        <v>186.13</v>
      </c>
      <c r="M684">
        <v>27.989474000000001</v>
      </c>
      <c r="N684" t="s">
        <v>3469</v>
      </c>
      <c r="O684" t="s">
        <v>465</v>
      </c>
    </row>
    <row r="685" spans="1:15" x14ac:dyDescent="0.3">
      <c r="A685">
        <v>235820</v>
      </c>
      <c r="B685">
        <v>116</v>
      </c>
      <c r="C685" t="s">
        <v>568</v>
      </c>
      <c r="D685" t="s">
        <v>2267</v>
      </c>
      <c r="E685" t="s">
        <v>2470</v>
      </c>
      <c r="F685" s="452">
        <v>46169</v>
      </c>
      <c r="G685">
        <v>24517</v>
      </c>
      <c r="H685" t="s">
        <v>3991</v>
      </c>
      <c r="I685" t="s">
        <v>3469</v>
      </c>
      <c r="J685">
        <v>10.1</v>
      </c>
      <c r="K685" t="s">
        <v>3892</v>
      </c>
      <c r="L685">
        <v>282.7</v>
      </c>
      <c r="M685">
        <v>27.990099000000001</v>
      </c>
      <c r="N685" t="s">
        <v>3469</v>
      </c>
      <c r="O685" t="s">
        <v>465</v>
      </c>
    </row>
    <row r="686" spans="1:15" x14ac:dyDescent="0.3">
      <c r="A686">
        <v>235820</v>
      </c>
      <c r="B686">
        <v>116</v>
      </c>
      <c r="C686" t="s">
        <v>568</v>
      </c>
      <c r="D686" t="s">
        <v>2267</v>
      </c>
      <c r="E686" t="s">
        <v>2470</v>
      </c>
      <c r="F686" s="452">
        <v>46169</v>
      </c>
      <c r="G686">
        <v>18666</v>
      </c>
      <c r="H686" t="s">
        <v>4003</v>
      </c>
      <c r="I686" t="s">
        <v>3469</v>
      </c>
      <c r="J686">
        <v>3.4</v>
      </c>
      <c r="K686" t="s">
        <v>3892</v>
      </c>
      <c r="L686">
        <v>81.569999999999993</v>
      </c>
      <c r="M686">
        <v>23.991175999999999</v>
      </c>
      <c r="N686" t="s">
        <v>3469</v>
      </c>
      <c r="O686" t="s">
        <v>465</v>
      </c>
    </row>
    <row r="687" spans="1:15" x14ac:dyDescent="0.3">
      <c r="A687">
        <v>235820</v>
      </c>
      <c r="B687">
        <v>116</v>
      </c>
      <c r="C687" t="s">
        <v>568</v>
      </c>
      <c r="D687" t="s">
        <v>2267</v>
      </c>
      <c r="E687" t="s">
        <v>2470</v>
      </c>
      <c r="F687" s="452">
        <v>46169</v>
      </c>
      <c r="G687">
        <v>20549</v>
      </c>
      <c r="H687" t="s">
        <v>4007</v>
      </c>
      <c r="I687" t="s">
        <v>3469</v>
      </c>
      <c r="J687">
        <v>5.7</v>
      </c>
      <c r="K687" t="s">
        <v>3892</v>
      </c>
      <c r="L687">
        <v>113.94</v>
      </c>
      <c r="M687">
        <v>19.989474000000001</v>
      </c>
      <c r="N687" t="s">
        <v>3469</v>
      </c>
      <c r="O687" t="s">
        <v>465</v>
      </c>
    </row>
    <row r="688" spans="1:15" x14ac:dyDescent="0.3">
      <c r="A688">
        <v>235819</v>
      </c>
      <c r="B688">
        <v>116</v>
      </c>
      <c r="C688" t="s">
        <v>568</v>
      </c>
      <c r="D688" t="s">
        <v>2293</v>
      </c>
      <c r="E688" t="s">
        <v>2471</v>
      </c>
      <c r="F688" s="452">
        <v>46168</v>
      </c>
      <c r="G688">
        <v>16974</v>
      </c>
      <c r="H688" t="s">
        <v>3996</v>
      </c>
      <c r="I688" t="s">
        <v>3497</v>
      </c>
      <c r="J688">
        <v>5</v>
      </c>
      <c r="K688" t="s">
        <v>3881</v>
      </c>
      <c r="L688">
        <v>675</v>
      </c>
      <c r="M688">
        <v>135</v>
      </c>
      <c r="N688" t="s">
        <v>3497</v>
      </c>
      <c r="O688" t="s">
        <v>465</v>
      </c>
    </row>
    <row r="689" spans="1:15" x14ac:dyDescent="0.3">
      <c r="A689">
        <v>235818</v>
      </c>
      <c r="B689">
        <v>116</v>
      </c>
      <c r="C689" t="s">
        <v>568</v>
      </c>
      <c r="D689" t="s">
        <v>2269</v>
      </c>
      <c r="E689" t="s">
        <v>2472</v>
      </c>
      <c r="F689" s="452">
        <v>46169</v>
      </c>
      <c r="G689">
        <v>29129</v>
      </c>
      <c r="H689" t="s">
        <v>4176</v>
      </c>
      <c r="I689" t="s">
        <v>3469</v>
      </c>
      <c r="J689">
        <v>9</v>
      </c>
      <c r="K689" t="s">
        <v>3872</v>
      </c>
      <c r="L689">
        <v>103.23</v>
      </c>
      <c r="M689">
        <v>11.47</v>
      </c>
      <c r="N689" t="s">
        <v>4240</v>
      </c>
      <c r="O689" t="s">
        <v>465</v>
      </c>
    </row>
    <row r="690" spans="1:15" x14ac:dyDescent="0.3">
      <c r="A690">
        <v>235817</v>
      </c>
      <c r="B690">
        <v>116</v>
      </c>
      <c r="C690" t="s">
        <v>568</v>
      </c>
      <c r="D690" t="s">
        <v>2269</v>
      </c>
      <c r="E690" t="s">
        <v>2473</v>
      </c>
      <c r="F690" s="452">
        <v>46167</v>
      </c>
      <c r="G690">
        <v>29129</v>
      </c>
      <c r="H690" t="s">
        <v>4176</v>
      </c>
      <c r="I690" t="s">
        <v>3469</v>
      </c>
      <c r="J690">
        <v>9</v>
      </c>
      <c r="K690" t="s">
        <v>3872</v>
      </c>
      <c r="L690">
        <v>103.23</v>
      </c>
      <c r="M690">
        <v>11.47</v>
      </c>
      <c r="N690" t="s">
        <v>4240</v>
      </c>
      <c r="O690" t="s">
        <v>465</v>
      </c>
    </row>
    <row r="691" spans="1:15" x14ac:dyDescent="0.3">
      <c r="A691">
        <v>235815</v>
      </c>
      <c r="B691">
        <v>116</v>
      </c>
      <c r="C691" t="s">
        <v>568</v>
      </c>
      <c r="D691" t="s">
        <v>2260</v>
      </c>
      <c r="E691" t="s">
        <v>2474</v>
      </c>
      <c r="F691" s="452">
        <v>46168</v>
      </c>
      <c r="G691">
        <v>18684</v>
      </c>
      <c r="H691" t="s">
        <v>3925</v>
      </c>
      <c r="I691" t="s">
        <v>3469</v>
      </c>
      <c r="J691">
        <v>15.6</v>
      </c>
      <c r="K691" t="s">
        <v>3892</v>
      </c>
      <c r="L691">
        <v>561.6</v>
      </c>
      <c r="M691">
        <v>36</v>
      </c>
      <c r="N691" t="s">
        <v>4240</v>
      </c>
      <c r="O691" t="s">
        <v>465</v>
      </c>
    </row>
    <row r="692" spans="1:15" x14ac:dyDescent="0.3">
      <c r="A692">
        <v>235815</v>
      </c>
      <c r="B692">
        <v>116</v>
      </c>
      <c r="C692" t="s">
        <v>568</v>
      </c>
      <c r="D692" t="s">
        <v>2260</v>
      </c>
      <c r="E692" t="s">
        <v>2474</v>
      </c>
      <c r="F692" s="452">
        <v>46168</v>
      </c>
      <c r="G692">
        <v>24072</v>
      </c>
      <c r="H692" t="s">
        <v>4002</v>
      </c>
      <c r="I692" t="s">
        <v>3469</v>
      </c>
      <c r="J692">
        <v>3.2</v>
      </c>
      <c r="K692" t="s">
        <v>3892</v>
      </c>
      <c r="L692">
        <v>704</v>
      </c>
      <c r="M692">
        <v>220</v>
      </c>
      <c r="N692" t="s">
        <v>4240</v>
      </c>
      <c r="O692" t="s">
        <v>465</v>
      </c>
    </row>
    <row r="693" spans="1:15" x14ac:dyDescent="0.3">
      <c r="A693">
        <v>235815</v>
      </c>
      <c r="B693">
        <v>116</v>
      </c>
      <c r="C693" t="s">
        <v>568</v>
      </c>
      <c r="D693" t="s">
        <v>2260</v>
      </c>
      <c r="E693" t="s">
        <v>2474</v>
      </c>
      <c r="F693" s="452">
        <v>46168</v>
      </c>
      <c r="G693">
        <v>22734</v>
      </c>
      <c r="H693" t="s">
        <v>3955</v>
      </c>
      <c r="I693" t="s">
        <v>3469</v>
      </c>
      <c r="J693">
        <v>10.6</v>
      </c>
      <c r="K693" t="s">
        <v>3892</v>
      </c>
      <c r="L693">
        <v>1049.4000000000001</v>
      </c>
      <c r="M693">
        <v>99</v>
      </c>
      <c r="N693" t="s">
        <v>4240</v>
      </c>
      <c r="O693" t="s">
        <v>465</v>
      </c>
    </row>
    <row r="694" spans="1:15" x14ac:dyDescent="0.3">
      <c r="A694">
        <v>235814</v>
      </c>
      <c r="B694">
        <v>116</v>
      </c>
      <c r="C694" t="s">
        <v>568</v>
      </c>
      <c r="D694" t="s">
        <v>2357</v>
      </c>
      <c r="E694" t="s">
        <v>2475</v>
      </c>
      <c r="F694" s="452">
        <v>46167</v>
      </c>
      <c r="G694">
        <v>20278</v>
      </c>
      <c r="H694" t="s">
        <v>3939</v>
      </c>
      <c r="I694" t="s">
        <v>3469</v>
      </c>
      <c r="J694">
        <v>12</v>
      </c>
      <c r="K694" t="s">
        <v>3872</v>
      </c>
      <c r="L694">
        <v>313.8</v>
      </c>
      <c r="M694">
        <v>26.15</v>
      </c>
      <c r="N694" t="s">
        <v>4240</v>
      </c>
      <c r="O694" t="s">
        <v>465</v>
      </c>
    </row>
    <row r="695" spans="1:15" x14ac:dyDescent="0.3">
      <c r="A695">
        <v>235813</v>
      </c>
      <c r="B695">
        <v>116</v>
      </c>
      <c r="C695" t="s">
        <v>568</v>
      </c>
      <c r="D695" t="s">
        <v>2271</v>
      </c>
      <c r="E695" t="s">
        <v>2476</v>
      </c>
      <c r="F695" s="452">
        <v>46162</v>
      </c>
      <c r="G695">
        <v>18172</v>
      </c>
      <c r="H695" t="s">
        <v>3923</v>
      </c>
      <c r="I695" t="s">
        <v>3497</v>
      </c>
      <c r="J695">
        <v>6</v>
      </c>
      <c r="K695" t="s">
        <v>3878</v>
      </c>
      <c r="L695">
        <v>130.13999999999999</v>
      </c>
      <c r="M695">
        <v>21.69</v>
      </c>
      <c r="N695" t="s">
        <v>3497</v>
      </c>
      <c r="O695" t="s">
        <v>465</v>
      </c>
    </row>
    <row r="696" spans="1:15" x14ac:dyDescent="0.3">
      <c r="A696">
        <v>235812</v>
      </c>
      <c r="B696">
        <v>116</v>
      </c>
      <c r="C696" t="s">
        <v>568</v>
      </c>
      <c r="D696" t="s">
        <v>2340</v>
      </c>
      <c r="E696" t="s">
        <v>2477</v>
      </c>
      <c r="F696" s="452">
        <v>46168</v>
      </c>
      <c r="G696">
        <v>19324</v>
      </c>
      <c r="H696" t="s">
        <v>3937</v>
      </c>
      <c r="I696" t="s">
        <v>3469</v>
      </c>
      <c r="J696">
        <v>12.7</v>
      </c>
      <c r="K696" t="s">
        <v>3892</v>
      </c>
      <c r="L696">
        <v>494.67</v>
      </c>
      <c r="M696">
        <v>38.950394000000003</v>
      </c>
      <c r="N696" t="s">
        <v>4240</v>
      </c>
      <c r="O696" t="s">
        <v>465</v>
      </c>
    </row>
    <row r="697" spans="1:15" x14ac:dyDescent="0.3">
      <c r="A697">
        <v>235811</v>
      </c>
      <c r="B697">
        <v>116</v>
      </c>
      <c r="C697" t="s">
        <v>568</v>
      </c>
      <c r="D697" t="s">
        <v>2340</v>
      </c>
      <c r="E697" t="s">
        <v>2478</v>
      </c>
      <c r="F697" s="452">
        <v>46168</v>
      </c>
      <c r="G697">
        <v>24339</v>
      </c>
      <c r="H697" t="s">
        <v>4119</v>
      </c>
      <c r="I697" t="s">
        <v>3469</v>
      </c>
      <c r="J697">
        <v>5</v>
      </c>
      <c r="K697" t="s">
        <v>3892</v>
      </c>
      <c r="L697">
        <v>124.5</v>
      </c>
      <c r="M697">
        <v>24.9</v>
      </c>
      <c r="N697" t="s">
        <v>4240</v>
      </c>
      <c r="O697" t="s">
        <v>465</v>
      </c>
    </row>
    <row r="698" spans="1:15" x14ac:dyDescent="0.3">
      <c r="A698">
        <v>235809</v>
      </c>
      <c r="B698">
        <v>116</v>
      </c>
      <c r="C698" t="s">
        <v>568</v>
      </c>
      <c r="D698" t="s">
        <v>2340</v>
      </c>
      <c r="E698" t="s">
        <v>2479</v>
      </c>
      <c r="F698" s="452">
        <v>46162</v>
      </c>
      <c r="G698">
        <v>19324</v>
      </c>
      <c r="H698" t="s">
        <v>3937</v>
      </c>
      <c r="I698" t="s">
        <v>3469</v>
      </c>
      <c r="J698">
        <v>8.3000000000000007</v>
      </c>
      <c r="K698" t="s">
        <v>3892</v>
      </c>
      <c r="L698">
        <v>330.34</v>
      </c>
      <c r="M698">
        <v>39.799999999999997</v>
      </c>
      <c r="N698" t="s">
        <v>4240</v>
      </c>
      <c r="O698" t="s">
        <v>465</v>
      </c>
    </row>
    <row r="699" spans="1:15" x14ac:dyDescent="0.3">
      <c r="A699">
        <v>235809</v>
      </c>
      <c r="B699">
        <v>116</v>
      </c>
      <c r="C699" t="s">
        <v>568</v>
      </c>
      <c r="D699" t="s">
        <v>2340</v>
      </c>
      <c r="E699" t="s">
        <v>2479</v>
      </c>
      <c r="F699" s="452">
        <v>46162</v>
      </c>
      <c r="G699">
        <v>19287</v>
      </c>
      <c r="H699" t="s">
        <v>3974</v>
      </c>
      <c r="I699" t="s">
        <v>3469</v>
      </c>
      <c r="J699">
        <v>12.86</v>
      </c>
      <c r="K699" t="s">
        <v>3892</v>
      </c>
      <c r="L699">
        <v>539.61</v>
      </c>
      <c r="M699">
        <v>41.960341999999997</v>
      </c>
      <c r="N699" t="s">
        <v>4240</v>
      </c>
      <c r="O699" t="s">
        <v>465</v>
      </c>
    </row>
    <row r="700" spans="1:15" x14ac:dyDescent="0.3">
      <c r="A700">
        <v>235807</v>
      </c>
      <c r="B700">
        <v>116</v>
      </c>
      <c r="C700" t="s">
        <v>568</v>
      </c>
      <c r="D700" t="s">
        <v>2332</v>
      </c>
      <c r="E700" t="s">
        <v>2480</v>
      </c>
      <c r="F700" s="452">
        <v>46161</v>
      </c>
      <c r="G700">
        <v>18538</v>
      </c>
      <c r="H700" t="s">
        <v>4026</v>
      </c>
      <c r="I700" t="s">
        <v>3497</v>
      </c>
      <c r="J700">
        <v>2</v>
      </c>
      <c r="K700" t="s">
        <v>3878</v>
      </c>
      <c r="L700">
        <v>203.68</v>
      </c>
      <c r="M700">
        <v>101.84</v>
      </c>
      <c r="N700" t="s">
        <v>3497</v>
      </c>
      <c r="O700" t="s">
        <v>465</v>
      </c>
    </row>
    <row r="701" spans="1:15" x14ac:dyDescent="0.3">
      <c r="A701">
        <v>235806</v>
      </c>
      <c r="B701">
        <v>116</v>
      </c>
      <c r="C701" t="s">
        <v>568</v>
      </c>
      <c r="D701" t="s">
        <v>2286</v>
      </c>
      <c r="E701" t="s">
        <v>2481</v>
      </c>
      <c r="F701" s="452">
        <v>46170</v>
      </c>
      <c r="G701">
        <v>23095</v>
      </c>
      <c r="H701" t="s">
        <v>3882</v>
      </c>
      <c r="I701" t="s">
        <v>3469</v>
      </c>
      <c r="J701">
        <v>60</v>
      </c>
      <c r="K701" t="s">
        <v>3872</v>
      </c>
      <c r="L701">
        <v>57</v>
      </c>
      <c r="M701">
        <v>0.95</v>
      </c>
      <c r="N701" t="s">
        <v>4240</v>
      </c>
      <c r="O701" t="s">
        <v>465</v>
      </c>
    </row>
    <row r="702" spans="1:15" x14ac:dyDescent="0.3">
      <c r="A702">
        <v>235806</v>
      </c>
      <c r="B702">
        <v>116</v>
      </c>
      <c r="C702" t="s">
        <v>568</v>
      </c>
      <c r="D702" t="s">
        <v>2286</v>
      </c>
      <c r="E702" t="s">
        <v>2481</v>
      </c>
      <c r="F702" s="452">
        <v>46170</v>
      </c>
      <c r="G702">
        <v>24037</v>
      </c>
      <c r="H702" t="s">
        <v>4104</v>
      </c>
      <c r="I702" t="s">
        <v>3469</v>
      </c>
      <c r="J702">
        <v>2</v>
      </c>
      <c r="K702" t="s">
        <v>3892</v>
      </c>
      <c r="L702">
        <v>35</v>
      </c>
      <c r="M702">
        <v>17.5</v>
      </c>
      <c r="N702" t="s">
        <v>4240</v>
      </c>
      <c r="O702" t="s">
        <v>465</v>
      </c>
    </row>
    <row r="703" spans="1:15" x14ac:dyDescent="0.3">
      <c r="A703">
        <v>235806</v>
      </c>
      <c r="B703">
        <v>116</v>
      </c>
      <c r="C703" t="s">
        <v>568</v>
      </c>
      <c r="D703" t="s">
        <v>2286</v>
      </c>
      <c r="E703" t="s">
        <v>2481</v>
      </c>
      <c r="F703" s="452">
        <v>46170</v>
      </c>
      <c r="G703">
        <v>23231</v>
      </c>
      <c r="H703" t="s">
        <v>4287</v>
      </c>
      <c r="I703" t="s">
        <v>3469</v>
      </c>
      <c r="J703">
        <v>3</v>
      </c>
      <c r="K703" t="s">
        <v>3892</v>
      </c>
      <c r="L703">
        <v>13.5</v>
      </c>
      <c r="M703">
        <v>4.5</v>
      </c>
      <c r="N703" t="s">
        <v>4240</v>
      </c>
      <c r="O703" t="s">
        <v>465</v>
      </c>
    </row>
    <row r="704" spans="1:15" x14ac:dyDescent="0.3">
      <c r="A704">
        <v>235806</v>
      </c>
      <c r="B704">
        <v>116</v>
      </c>
      <c r="C704" t="s">
        <v>568</v>
      </c>
      <c r="D704" t="s">
        <v>2286</v>
      </c>
      <c r="E704" t="s">
        <v>2481</v>
      </c>
      <c r="F704" s="452">
        <v>46170</v>
      </c>
      <c r="G704">
        <v>19773</v>
      </c>
      <c r="H704" t="s">
        <v>4168</v>
      </c>
      <c r="I704" t="s">
        <v>3469</v>
      </c>
      <c r="J704">
        <v>1</v>
      </c>
      <c r="K704" t="s">
        <v>3892</v>
      </c>
      <c r="L704">
        <v>15</v>
      </c>
      <c r="M704">
        <v>15</v>
      </c>
      <c r="N704" t="s">
        <v>4240</v>
      </c>
      <c r="O704" t="s">
        <v>465</v>
      </c>
    </row>
    <row r="705" spans="1:15" x14ac:dyDescent="0.3">
      <c r="A705">
        <v>235806</v>
      </c>
      <c r="B705">
        <v>116</v>
      </c>
      <c r="C705" t="s">
        <v>568</v>
      </c>
      <c r="D705" t="s">
        <v>2286</v>
      </c>
      <c r="E705" t="s">
        <v>2481</v>
      </c>
      <c r="F705" s="452">
        <v>46170</v>
      </c>
      <c r="G705">
        <v>19480</v>
      </c>
      <c r="H705" t="s">
        <v>4113</v>
      </c>
      <c r="I705" t="s">
        <v>3469</v>
      </c>
      <c r="J705">
        <v>0.2</v>
      </c>
      <c r="K705" t="s">
        <v>3892</v>
      </c>
      <c r="L705">
        <v>3.2</v>
      </c>
      <c r="M705">
        <v>16</v>
      </c>
      <c r="N705" t="s">
        <v>4240</v>
      </c>
      <c r="O705" t="s">
        <v>465</v>
      </c>
    </row>
    <row r="706" spans="1:15" x14ac:dyDescent="0.3">
      <c r="A706">
        <v>235806</v>
      </c>
      <c r="B706">
        <v>116</v>
      </c>
      <c r="C706" t="s">
        <v>568</v>
      </c>
      <c r="D706" t="s">
        <v>2286</v>
      </c>
      <c r="E706" t="s">
        <v>2481</v>
      </c>
      <c r="F706" s="452">
        <v>46170</v>
      </c>
      <c r="G706">
        <v>19555</v>
      </c>
      <c r="H706" t="s">
        <v>4109</v>
      </c>
      <c r="I706" t="s">
        <v>3469</v>
      </c>
      <c r="J706">
        <v>0.5</v>
      </c>
      <c r="K706" t="s">
        <v>3892</v>
      </c>
      <c r="L706">
        <v>7</v>
      </c>
      <c r="M706">
        <v>14</v>
      </c>
      <c r="N706" t="s">
        <v>4240</v>
      </c>
      <c r="O706" t="s">
        <v>465</v>
      </c>
    </row>
    <row r="707" spans="1:15" x14ac:dyDescent="0.3">
      <c r="A707">
        <v>235806</v>
      </c>
      <c r="B707">
        <v>116</v>
      </c>
      <c r="C707" t="s">
        <v>568</v>
      </c>
      <c r="D707" t="s">
        <v>2286</v>
      </c>
      <c r="E707" t="s">
        <v>2481</v>
      </c>
      <c r="F707" s="452">
        <v>46170</v>
      </c>
      <c r="G707">
        <v>19787</v>
      </c>
      <c r="H707" t="s">
        <v>3940</v>
      </c>
      <c r="I707" t="s">
        <v>3469</v>
      </c>
      <c r="J707">
        <v>3</v>
      </c>
      <c r="K707" t="s">
        <v>3892</v>
      </c>
      <c r="L707">
        <v>16.5</v>
      </c>
      <c r="M707">
        <v>5.5</v>
      </c>
      <c r="N707" t="s">
        <v>4240</v>
      </c>
      <c r="O707" t="s">
        <v>465</v>
      </c>
    </row>
    <row r="708" spans="1:15" x14ac:dyDescent="0.3">
      <c r="A708">
        <v>235806</v>
      </c>
      <c r="B708">
        <v>116</v>
      </c>
      <c r="C708" t="s">
        <v>568</v>
      </c>
      <c r="D708" t="s">
        <v>2286</v>
      </c>
      <c r="E708" t="s">
        <v>2481</v>
      </c>
      <c r="F708" s="452">
        <v>46170</v>
      </c>
      <c r="G708">
        <v>23359</v>
      </c>
      <c r="H708" t="s">
        <v>3932</v>
      </c>
      <c r="I708" t="s">
        <v>3469</v>
      </c>
      <c r="J708">
        <v>6</v>
      </c>
      <c r="K708" t="s">
        <v>3892</v>
      </c>
      <c r="L708">
        <v>13.5</v>
      </c>
      <c r="M708">
        <v>2.25</v>
      </c>
      <c r="N708" t="s">
        <v>4240</v>
      </c>
      <c r="O708" t="s">
        <v>465</v>
      </c>
    </row>
    <row r="709" spans="1:15" x14ac:dyDescent="0.3">
      <c r="A709">
        <v>235806</v>
      </c>
      <c r="B709">
        <v>116</v>
      </c>
      <c r="C709" t="s">
        <v>568</v>
      </c>
      <c r="D709" t="s">
        <v>2286</v>
      </c>
      <c r="E709" t="s">
        <v>2481</v>
      </c>
      <c r="F709" s="452">
        <v>46170</v>
      </c>
      <c r="G709">
        <v>19742</v>
      </c>
      <c r="H709" t="s">
        <v>4074</v>
      </c>
      <c r="I709" t="s">
        <v>3469</v>
      </c>
      <c r="J709">
        <v>1</v>
      </c>
      <c r="K709" t="s">
        <v>3892</v>
      </c>
      <c r="L709">
        <v>13</v>
      </c>
      <c r="M709">
        <v>13</v>
      </c>
      <c r="N709" t="s">
        <v>4240</v>
      </c>
      <c r="O709" t="s">
        <v>465</v>
      </c>
    </row>
    <row r="710" spans="1:15" x14ac:dyDescent="0.3">
      <c r="A710">
        <v>235806</v>
      </c>
      <c r="B710">
        <v>116</v>
      </c>
      <c r="C710" t="s">
        <v>568</v>
      </c>
      <c r="D710" t="s">
        <v>2286</v>
      </c>
      <c r="E710" t="s">
        <v>2481</v>
      </c>
      <c r="F710" s="452">
        <v>46170</v>
      </c>
      <c r="G710">
        <v>19488</v>
      </c>
      <c r="H710" t="s">
        <v>4070</v>
      </c>
      <c r="I710" t="s">
        <v>3469</v>
      </c>
      <c r="J710">
        <v>0.3</v>
      </c>
      <c r="K710" t="s">
        <v>3892</v>
      </c>
      <c r="L710">
        <v>3.9</v>
      </c>
      <c r="M710">
        <v>13</v>
      </c>
      <c r="N710" t="s">
        <v>4240</v>
      </c>
      <c r="O710" t="s">
        <v>465</v>
      </c>
    </row>
    <row r="711" spans="1:15" x14ac:dyDescent="0.3">
      <c r="A711">
        <v>235806</v>
      </c>
      <c r="B711">
        <v>116</v>
      </c>
      <c r="C711" t="s">
        <v>568</v>
      </c>
      <c r="D711" t="s">
        <v>2286</v>
      </c>
      <c r="E711" t="s">
        <v>2481</v>
      </c>
      <c r="F711" s="452">
        <v>46170</v>
      </c>
      <c r="G711">
        <v>23236</v>
      </c>
      <c r="H711" t="s">
        <v>4017</v>
      </c>
      <c r="I711" t="s">
        <v>3469</v>
      </c>
      <c r="J711">
        <v>3</v>
      </c>
      <c r="K711" t="s">
        <v>3892</v>
      </c>
      <c r="L711">
        <v>33</v>
      </c>
      <c r="M711">
        <v>11</v>
      </c>
      <c r="N711" t="s">
        <v>4240</v>
      </c>
      <c r="O711" t="s">
        <v>465</v>
      </c>
    </row>
    <row r="712" spans="1:15" x14ac:dyDescent="0.3">
      <c r="A712">
        <v>235806</v>
      </c>
      <c r="B712">
        <v>116</v>
      </c>
      <c r="C712" t="s">
        <v>568</v>
      </c>
      <c r="D712" t="s">
        <v>2286</v>
      </c>
      <c r="E712" t="s">
        <v>2481</v>
      </c>
      <c r="F712" s="452">
        <v>46170</v>
      </c>
      <c r="G712">
        <v>19607</v>
      </c>
      <c r="H712" t="s">
        <v>4105</v>
      </c>
      <c r="I712" t="s">
        <v>3469</v>
      </c>
      <c r="J712">
        <v>1</v>
      </c>
      <c r="K712" t="s">
        <v>3892</v>
      </c>
      <c r="L712">
        <v>11</v>
      </c>
      <c r="M712">
        <v>11</v>
      </c>
      <c r="N712" t="s">
        <v>4240</v>
      </c>
      <c r="O712" t="s">
        <v>465</v>
      </c>
    </row>
    <row r="713" spans="1:15" x14ac:dyDescent="0.3">
      <c r="A713">
        <v>235806</v>
      </c>
      <c r="B713">
        <v>116</v>
      </c>
      <c r="C713" t="s">
        <v>568</v>
      </c>
      <c r="D713" t="s">
        <v>2286</v>
      </c>
      <c r="E713" t="s">
        <v>2481</v>
      </c>
      <c r="F713" s="452">
        <v>46170</v>
      </c>
      <c r="G713">
        <v>19494</v>
      </c>
      <c r="H713" t="s">
        <v>4126</v>
      </c>
      <c r="I713" t="s">
        <v>3469</v>
      </c>
      <c r="J713">
        <v>2</v>
      </c>
      <c r="K713" t="s">
        <v>3892</v>
      </c>
      <c r="L713">
        <v>36</v>
      </c>
      <c r="M713">
        <v>18</v>
      </c>
      <c r="N713" t="s">
        <v>4240</v>
      </c>
      <c r="O713" t="s">
        <v>465</v>
      </c>
    </row>
    <row r="714" spans="1:15" x14ac:dyDescent="0.3">
      <c r="A714">
        <v>235803</v>
      </c>
      <c r="B714">
        <v>116</v>
      </c>
      <c r="C714" t="s">
        <v>568</v>
      </c>
      <c r="D714" t="s">
        <v>2286</v>
      </c>
      <c r="E714" t="s">
        <v>2482</v>
      </c>
      <c r="F714" s="452">
        <v>46167</v>
      </c>
      <c r="G714">
        <v>19505</v>
      </c>
      <c r="H714" t="s">
        <v>4101</v>
      </c>
      <c r="I714" t="s">
        <v>3469</v>
      </c>
      <c r="J714">
        <v>1.5</v>
      </c>
      <c r="K714" t="s">
        <v>3892</v>
      </c>
      <c r="L714">
        <v>14.7</v>
      </c>
      <c r="M714">
        <v>9.8000000000000007</v>
      </c>
      <c r="N714" t="s">
        <v>4240</v>
      </c>
      <c r="O714" t="s">
        <v>465</v>
      </c>
    </row>
    <row r="715" spans="1:15" x14ac:dyDescent="0.3">
      <c r="A715">
        <v>235803</v>
      </c>
      <c r="B715">
        <v>116</v>
      </c>
      <c r="C715" t="s">
        <v>568</v>
      </c>
      <c r="D715" t="s">
        <v>2286</v>
      </c>
      <c r="E715" t="s">
        <v>2482</v>
      </c>
      <c r="F715" s="452">
        <v>46167</v>
      </c>
      <c r="G715">
        <v>23142</v>
      </c>
      <c r="H715" t="s">
        <v>4151</v>
      </c>
      <c r="I715" t="s">
        <v>3469</v>
      </c>
      <c r="J715">
        <v>1</v>
      </c>
      <c r="K715" t="s">
        <v>3892</v>
      </c>
      <c r="L715">
        <v>25</v>
      </c>
      <c r="M715">
        <v>25</v>
      </c>
      <c r="N715" t="s">
        <v>4240</v>
      </c>
      <c r="O715" t="s">
        <v>465</v>
      </c>
    </row>
    <row r="716" spans="1:15" x14ac:dyDescent="0.3">
      <c r="A716">
        <v>235803</v>
      </c>
      <c r="B716">
        <v>116</v>
      </c>
      <c r="C716" t="s">
        <v>568</v>
      </c>
      <c r="D716" t="s">
        <v>2286</v>
      </c>
      <c r="E716" t="s">
        <v>2482</v>
      </c>
      <c r="F716" s="452">
        <v>46167</v>
      </c>
      <c r="G716">
        <v>19647</v>
      </c>
      <c r="H716" t="s">
        <v>4066</v>
      </c>
      <c r="I716" t="s">
        <v>3469</v>
      </c>
      <c r="J716">
        <v>1</v>
      </c>
      <c r="K716" t="s">
        <v>3892</v>
      </c>
      <c r="L716">
        <v>17</v>
      </c>
      <c r="M716">
        <v>17</v>
      </c>
      <c r="N716" t="s">
        <v>4240</v>
      </c>
      <c r="O716" t="s">
        <v>465</v>
      </c>
    </row>
    <row r="717" spans="1:15" x14ac:dyDescent="0.3">
      <c r="A717">
        <v>235803</v>
      </c>
      <c r="B717">
        <v>116</v>
      </c>
      <c r="C717" t="s">
        <v>568</v>
      </c>
      <c r="D717" t="s">
        <v>2286</v>
      </c>
      <c r="E717" t="s">
        <v>2482</v>
      </c>
      <c r="F717" s="452">
        <v>46167</v>
      </c>
      <c r="G717">
        <v>19555</v>
      </c>
      <c r="H717" t="s">
        <v>4109</v>
      </c>
      <c r="I717" t="s">
        <v>3469</v>
      </c>
      <c r="J717">
        <v>0.5</v>
      </c>
      <c r="K717" t="s">
        <v>3892</v>
      </c>
      <c r="L717">
        <v>7.5</v>
      </c>
      <c r="M717">
        <v>15</v>
      </c>
      <c r="N717" t="s">
        <v>4240</v>
      </c>
      <c r="O717" t="s">
        <v>465</v>
      </c>
    </row>
    <row r="718" spans="1:15" x14ac:dyDescent="0.3">
      <c r="A718">
        <v>235803</v>
      </c>
      <c r="B718">
        <v>116</v>
      </c>
      <c r="C718" t="s">
        <v>568</v>
      </c>
      <c r="D718" t="s">
        <v>2286</v>
      </c>
      <c r="E718" t="s">
        <v>2482</v>
      </c>
      <c r="F718" s="452">
        <v>46167</v>
      </c>
      <c r="G718">
        <v>19458</v>
      </c>
      <c r="H718" t="s">
        <v>4212</v>
      </c>
      <c r="I718" t="s">
        <v>3469</v>
      </c>
      <c r="J718">
        <v>1</v>
      </c>
      <c r="K718" t="s">
        <v>3892</v>
      </c>
      <c r="L718">
        <v>17</v>
      </c>
      <c r="M718">
        <v>17</v>
      </c>
      <c r="N718" t="s">
        <v>4240</v>
      </c>
      <c r="O718" t="s">
        <v>465</v>
      </c>
    </row>
    <row r="719" spans="1:15" x14ac:dyDescent="0.3">
      <c r="A719">
        <v>235803</v>
      </c>
      <c r="B719">
        <v>116</v>
      </c>
      <c r="C719" t="s">
        <v>568</v>
      </c>
      <c r="D719" t="s">
        <v>2286</v>
      </c>
      <c r="E719" t="s">
        <v>2482</v>
      </c>
      <c r="F719" s="452">
        <v>46167</v>
      </c>
      <c r="G719">
        <v>23120</v>
      </c>
      <c r="H719" t="s">
        <v>4111</v>
      </c>
      <c r="I719" t="s">
        <v>3469</v>
      </c>
      <c r="J719">
        <v>0.2</v>
      </c>
      <c r="K719" t="s">
        <v>3892</v>
      </c>
      <c r="L719">
        <v>13</v>
      </c>
      <c r="M719">
        <v>65</v>
      </c>
      <c r="N719" t="s">
        <v>4240</v>
      </c>
      <c r="O719" t="s">
        <v>465</v>
      </c>
    </row>
    <row r="720" spans="1:15" x14ac:dyDescent="0.3">
      <c r="A720">
        <v>235803</v>
      </c>
      <c r="B720">
        <v>116</v>
      </c>
      <c r="C720" t="s">
        <v>568</v>
      </c>
      <c r="D720" t="s">
        <v>2286</v>
      </c>
      <c r="E720" t="s">
        <v>2482</v>
      </c>
      <c r="F720" s="452">
        <v>46167</v>
      </c>
      <c r="G720">
        <v>19494</v>
      </c>
      <c r="H720" t="s">
        <v>4126</v>
      </c>
      <c r="I720" t="s">
        <v>3469</v>
      </c>
      <c r="J720">
        <v>1</v>
      </c>
      <c r="K720" t="s">
        <v>3892</v>
      </c>
      <c r="L720">
        <v>20</v>
      </c>
      <c r="M720">
        <v>20</v>
      </c>
      <c r="N720" t="s">
        <v>4240</v>
      </c>
      <c r="O720" t="s">
        <v>465</v>
      </c>
    </row>
    <row r="721" spans="1:15" x14ac:dyDescent="0.3">
      <c r="A721">
        <v>235803</v>
      </c>
      <c r="B721">
        <v>116</v>
      </c>
      <c r="C721" t="s">
        <v>568</v>
      </c>
      <c r="D721" t="s">
        <v>2286</v>
      </c>
      <c r="E721" t="s">
        <v>2482</v>
      </c>
      <c r="F721" s="452">
        <v>46167</v>
      </c>
      <c r="G721">
        <v>25162</v>
      </c>
      <c r="H721" t="s">
        <v>4288</v>
      </c>
      <c r="I721" t="s">
        <v>3469</v>
      </c>
      <c r="J721">
        <v>2</v>
      </c>
      <c r="K721" t="s">
        <v>3892</v>
      </c>
      <c r="L721">
        <v>13.6</v>
      </c>
      <c r="M721">
        <v>6.8</v>
      </c>
      <c r="N721" t="s">
        <v>4240</v>
      </c>
      <c r="O721" t="s">
        <v>465</v>
      </c>
    </row>
    <row r="722" spans="1:15" x14ac:dyDescent="0.3">
      <c r="A722">
        <v>235803</v>
      </c>
      <c r="B722">
        <v>116</v>
      </c>
      <c r="C722" t="s">
        <v>568</v>
      </c>
      <c r="D722" t="s">
        <v>2286</v>
      </c>
      <c r="E722" t="s">
        <v>2482</v>
      </c>
      <c r="F722" s="452">
        <v>46167</v>
      </c>
      <c r="G722">
        <v>19743</v>
      </c>
      <c r="H722" t="s">
        <v>4152</v>
      </c>
      <c r="I722" t="s">
        <v>3469</v>
      </c>
      <c r="J722">
        <v>2</v>
      </c>
      <c r="K722" t="s">
        <v>3892</v>
      </c>
      <c r="L722">
        <v>28</v>
      </c>
      <c r="M722">
        <v>14</v>
      </c>
      <c r="N722" t="s">
        <v>4240</v>
      </c>
      <c r="O722" t="s">
        <v>465</v>
      </c>
    </row>
    <row r="723" spans="1:15" x14ac:dyDescent="0.3">
      <c r="A723">
        <v>235803</v>
      </c>
      <c r="B723">
        <v>116</v>
      </c>
      <c r="C723" t="s">
        <v>568</v>
      </c>
      <c r="D723" t="s">
        <v>2286</v>
      </c>
      <c r="E723" t="s">
        <v>2482</v>
      </c>
      <c r="F723" s="452">
        <v>46167</v>
      </c>
      <c r="G723">
        <v>19617</v>
      </c>
      <c r="H723" t="s">
        <v>4110</v>
      </c>
      <c r="I723" t="s">
        <v>3469</v>
      </c>
      <c r="J723">
        <v>0.5</v>
      </c>
      <c r="K723" t="s">
        <v>3892</v>
      </c>
      <c r="L723">
        <v>15</v>
      </c>
      <c r="M723">
        <v>30</v>
      </c>
      <c r="N723" t="s">
        <v>4240</v>
      </c>
      <c r="O723" t="s">
        <v>465</v>
      </c>
    </row>
    <row r="724" spans="1:15" x14ac:dyDescent="0.3">
      <c r="A724">
        <v>235803</v>
      </c>
      <c r="B724">
        <v>116</v>
      </c>
      <c r="C724" t="s">
        <v>568</v>
      </c>
      <c r="D724" t="s">
        <v>2286</v>
      </c>
      <c r="E724" t="s">
        <v>2482</v>
      </c>
      <c r="F724" s="452">
        <v>46167</v>
      </c>
      <c r="G724">
        <v>23359</v>
      </c>
      <c r="H724" t="s">
        <v>3932</v>
      </c>
      <c r="I724" t="s">
        <v>3469</v>
      </c>
      <c r="J724">
        <v>6</v>
      </c>
      <c r="K724" t="s">
        <v>3892</v>
      </c>
      <c r="L724">
        <v>15.3</v>
      </c>
      <c r="M724">
        <v>2.5499999999999998</v>
      </c>
      <c r="N724" t="s">
        <v>4240</v>
      </c>
      <c r="O724" t="s">
        <v>465</v>
      </c>
    </row>
    <row r="725" spans="1:15" x14ac:dyDescent="0.3">
      <c r="A725">
        <v>235803</v>
      </c>
      <c r="B725">
        <v>116</v>
      </c>
      <c r="C725" t="s">
        <v>568</v>
      </c>
      <c r="D725" t="s">
        <v>2286</v>
      </c>
      <c r="E725" t="s">
        <v>2482</v>
      </c>
      <c r="F725" s="452">
        <v>46167</v>
      </c>
      <c r="G725">
        <v>19787</v>
      </c>
      <c r="H725" t="s">
        <v>3940</v>
      </c>
      <c r="I725" t="s">
        <v>3469</v>
      </c>
      <c r="J725">
        <v>4.5</v>
      </c>
      <c r="K725" t="s">
        <v>3892</v>
      </c>
      <c r="L725">
        <v>25.88</v>
      </c>
      <c r="M725">
        <v>5.7511109999999999</v>
      </c>
      <c r="N725" t="s">
        <v>4240</v>
      </c>
      <c r="O725" t="s">
        <v>465</v>
      </c>
    </row>
    <row r="726" spans="1:15" x14ac:dyDescent="0.3">
      <c r="A726">
        <v>235803</v>
      </c>
      <c r="B726">
        <v>116</v>
      </c>
      <c r="C726" t="s">
        <v>568</v>
      </c>
      <c r="D726" t="s">
        <v>2286</v>
      </c>
      <c r="E726" t="s">
        <v>2482</v>
      </c>
      <c r="F726" s="452">
        <v>46167</v>
      </c>
      <c r="G726">
        <v>23113</v>
      </c>
      <c r="H726" t="s">
        <v>4079</v>
      </c>
      <c r="I726" t="s">
        <v>3469</v>
      </c>
      <c r="J726">
        <v>1</v>
      </c>
      <c r="K726" t="s">
        <v>3892</v>
      </c>
      <c r="L726">
        <v>14</v>
      </c>
      <c r="M726">
        <v>14</v>
      </c>
      <c r="N726" t="s">
        <v>4240</v>
      </c>
      <c r="O726" t="s">
        <v>465</v>
      </c>
    </row>
    <row r="727" spans="1:15" x14ac:dyDescent="0.3">
      <c r="A727">
        <v>235803</v>
      </c>
      <c r="B727">
        <v>116</v>
      </c>
      <c r="C727" t="s">
        <v>568</v>
      </c>
      <c r="D727" t="s">
        <v>2286</v>
      </c>
      <c r="E727" t="s">
        <v>2482</v>
      </c>
      <c r="F727" s="452">
        <v>46167</v>
      </c>
      <c r="G727">
        <v>19506</v>
      </c>
      <c r="H727" t="s">
        <v>4112</v>
      </c>
      <c r="I727" t="s">
        <v>3469</v>
      </c>
      <c r="J727">
        <v>0.2</v>
      </c>
      <c r="K727" t="s">
        <v>3892</v>
      </c>
      <c r="L727">
        <v>9</v>
      </c>
      <c r="M727">
        <v>45</v>
      </c>
      <c r="N727" t="s">
        <v>4240</v>
      </c>
      <c r="O727" t="s">
        <v>465</v>
      </c>
    </row>
    <row r="728" spans="1:15" x14ac:dyDescent="0.3">
      <c r="A728">
        <v>235802</v>
      </c>
      <c r="B728">
        <v>116</v>
      </c>
      <c r="C728" t="s">
        <v>568</v>
      </c>
      <c r="D728" t="s">
        <v>2284</v>
      </c>
      <c r="E728" t="s">
        <v>2483</v>
      </c>
      <c r="F728" s="452">
        <v>46161</v>
      </c>
      <c r="G728">
        <v>18467</v>
      </c>
      <c r="H728" t="s">
        <v>4028</v>
      </c>
      <c r="I728" t="s">
        <v>3497</v>
      </c>
      <c r="J728">
        <v>2</v>
      </c>
      <c r="K728" t="s">
        <v>3878</v>
      </c>
      <c r="L728">
        <v>153.6</v>
      </c>
      <c r="M728">
        <v>76.8</v>
      </c>
      <c r="N728" t="s">
        <v>3497</v>
      </c>
      <c r="O728" t="s">
        <v>465</v>
      </c>
    </row>
    <row r="729" spans="1:15" x14ac:dyDescent="0.3">
      <c r="A729">
        <v>235800</v>
      </c>
      <c r="B729">
        <v>116</v>
      </c>
      <c r="C729" t="s">
        <v>568</v>
      </c>
      <c r="D729" t="s">
        <v>2284</v>
      </c>
      <c r="E729" t="s">
        <v>2484</v>
      </c>
      <c r="F729" s="452">
        <v>46168</v>
      </c>
      <c r="G729">
        <v>25769</v>
      </c>
      <c r="H729" t="s">
        <v>4013</v>
      </c>
      <c r="I729" t="s">
        <v>3469</v>
      </c>
      <c r="J729">
        <v>2</v>
      </c>
      <c r="K729" t="s">
        <v>3892</v>
      </c>
      <c r="L729">
        <v>27.8</v>
      </c>
      <c r="M729">
        <v>13.9</v>
      </c>
      <c r="N729" t="s">
        <v>4240</v>
      </c>
      <c r="O729" t="s">
        <v>465</v>
      </c>
    </row>
    <row r="730" spans="1:15" x14ac:dyDescent="0.3">
      <c r="A730">
        <v>235800</v>
      </c>
      <c r="B730">
        <v>116</v>
      </c>
      <c r="C730" t="s">
        <v>568</v>
      </c>
      <c r="D730" t="s">
        <v>2284</v>
      </c>
      <c r="E730" t="s">
        <v>2484</v>
      </c>
      <c r="F730" s="452">
        <v>46168</v>
      </c>
      <c r="G730">
        <v>20077</v>
      </c>
      <c r="H730" t="s">
        <v>4054</v>
      </c>
      <c r="I730" t="s">
        <v>3469</v>
      </c>
      <c r="J730">
        <v>2</v>
      </c>
      <c r="K730" t="s">
        <v>4268</v>
      </c>
      <c r="L730">
        <v>35.200000000000003</v>
      </c>
      <c r="M730">
        <v>17.600000000000001</v>
      </c>
      <c r="N730" t="s">
        <v>4240</v>
      </c>
      <c r="O730" t="s">
        <v>465</v>
      </c>
    </row>
    <row r="731" spans="1:15" x14ac:dyDescent="0.3">
      <c r="A731">
        <v>235800</v>
      </c>
      <c r="B731">
        <v>116</v>
      </c>
      <c r="C731" t="s">
        <v>568</v>
      </c>
      <c r="D731" t="s">
        <v>2284</v>
      </c>
      <c r="E731" t="s">
        <v>2484</v>
      </c>
      <c r="F731" s="452">
        <v>46168</v>
      </c>
      <c r="G731">
        <v>20757</v>
      </c>
      <c r="H731" t="s">
        <v>4050</v>
      </c>
      <c r="I731" t="s">
        <v>3469</v>
      </c>
      <c r="J731">
        <v>1</v>
      </c>
      <c r="K731" t="s">
        <v>3966</v>
      </c>
      <c r="L731">
        <v>77.8</v>
      </c>
      <c r="M731">
        <v>77.8</v>
      </c>
      <c r="N731" t="s">
        <v>4240</v>
      </c>
      <c r="O731" t="s">
        <v>465</v>
      </c>
    </row>
    <row r="732" spans="1:15" x14ac:dyDescent="0.3">
      <c r="A732">
        <v>235800</v>
      </c>
      <c r="B732">
        <v>116</v>
      </c>
      <c r="C732" t="s">
        <v>568</v>
      </c>
      <c r="D732" t="s">
        <v>2284</v>
      </c>
      <c r="E732" t="s">
        <v>2484</v>
      </c>
      <c r="F732" s="452">
        <v>46168</v>
      </c>
      <c r="G732">
        <v>23635</v>
      </c>
      <c r="H732" t="s">
        <v>4102</v>
      </c>
      <c r="I732" t="s">
        <v>3469</v>
      </c>
      <c r="J732">
        <v>2</v>
      </c>
      <c r="K732" t="s">
        <v>3892</v>
      </c>
      <c r="L732">
        <v>17</v>
      </c>
      <c r="M732">
        <v>8.5</v>
      </c>
      <c r="N732" t="s">
        <v>4240</v>
      </c>
      <c r="O732" t="s">
        <v>465</v>
      </c>
    </row>
    <row r="733" spans="1:15" x14ac:dyDescent="0.3">
      <c r="A733">
        <v>235800</v>
      </c>
      <c r="B733">
        <v>116</v>
      </c>
      <c r="C733" t="s">
        <v>568</v>
      </c>
      <c r="D733" t="s">
        <v>2284</v>
      </c>
      <c r="E733" t="s">
        <v>2484</v>
      </c>
      <c r="F733" s="452">
        <v>46168</v>
      </c>
      <c r="G733">
        <v>20685</v>
      </c>
      <c r="H733" t="s">
        <v>4122</v>
      </c>
      <c r="I733" t="s">
        <v>3469</v>
      </c>
      <c r="J733">
        <v>6</v>
      </c>
      <c r="K733" t="s">
        <v>3872</v>
      </c>
      <c r="L733">
        <v>21.48</v>
      </c>
      <c r="M733">
        <v>3.58</v>
      </c>
      <c r="N733" t="s">
        <v>4240</v>
      </c>
      <c r="O733" t="s">
        <v>465</v>
      </c>
    </row>
    <row r="734" spans="1:15" x14ac:dyDescent="0.3">
      <c r="A734">
        <v>235800</v>
      </c>
      <c r="B734">
        <v>116</v>
      </c>
      <c r="C734" t="s">
        <v>568</v>
      </c>
      <c r="D734" t="s">
        <v>2284</v>
      </c>
      <c r="E734" t="s">
        <v>2484</v>
      </c>
      <c r="F734" s="452">
        <v>46168</v>
      </c>
      <c r="G734">
        <v>20117</v>
      </c>
      <c r="H734" t="s">
        <v>4010</v>
      </c>
      <c r="I734" t="s">
        <v>3469</v>
      </c>
      <c r="J734">
        <v>1</v>
      </c>
      <c r="K734" t="s">
        <v>3872</v>
      </c>
      <c r="L734">
        <v>40.4</v>
      </c>
      <c r="M734">
        <v>40.4</v>
      </c>
      <c r="N734" t="s">
        <v>4240</v>
      </c>
      <c r="O734" t="s">
        <v>465</v>
      </c>
    </row>
    <row r="735" spans="1:15" x14ac:dyDescent="0.3">
      <c r="A735">
        <v>235800</v>
      </c>
      <c r="B735">
        <v>116</v>
      </c>
      <c r="C735" t="s">
        <v>568</v>
      </c>
      <c r="D735" t="s">
        <v>2284</v>
      </c>
      <c r="E735" t="s">
        <v>2484</v>
      </c>
      <c r="F735" s="452">
        <v>46168</v>
      </c>
      <c r="G735">
        <v>24185</v>
      </c>
      <c r="H735" t="s">
        <v>4040</v>
      </c>
      <c r="I735" t="s">
        <v>3469</v>
      </c>
      <c r="J735">
        <v>2</v>
      </c>
      <c r="K735" t="s">
        <v>3892</v>
      </c>
      <c r="L735">
        <v>46.4</v>
      </c>
      <c r="M735">
        <v>23.2</v>
      </c>
      <c r="N735" t="s">
        <v>4240</v>
      </c>
      <c r="O735" t="s">
        <v>465</v>
      </c>
    </row>
    <row r="736" spans="1:15" x14ac:dyDescent="0.3">
      <c r="A736">
        <v>235800</v>
      </c>
      <c r="B736">
        <v>116</v>
      </c>
      <c r="C736" t="s">
        <v>568</v>
      </c>
      <c r="D736" t="s">
        <v>2284</v>
      </c>
      <c r="E736" t="s">
        <v>2484</v>
      </c>
      <c r="F736" s="452">
        <v>46168</v>
      </c>
      <c r="G736">
        <v>20682</v>
      </c>
      <c r="H736" t="s">
        <v>3929</v>
      </c>
      <c r="I736" t="s">
        <v>3469</v>
      </c>
      <c r="J736">
        <v>12</v>
      </c>
      <c r="K736" t="s">
        <v>3872</v>
      </c>
      <c r="L736">
        <v>109.8</v>
      </c>
      <c r="M736">
        <v>9.15</v>
      </c>
      <c r="N736" t="s">
        <v>4240</v>
      </c>
      <c r="O736" t="s">
        <v>465</v>
      </c>
    </row>
    <row r="737" spans="1:15" x14ac:dyDescent="0.3">
      <c r="A737">
        <v>235800</v>
      </c>
      <c r="B737">
        <v>116</v>
      </c>
      <c r="C737" t="s">
        <v>568</v>
      </c>
      <c r="D737" t="s">
        <v>2284</v>
      </c>
      <c r="E737" t="s">
        <v>2484</v>
      </c>
      <c r="F737" s="452">
        <v>46168</v>
      </c>
      <c r="G737">
        <v>27475</v>
      </c>
      <c r="H737" t="s">
        <v>4162</v>
      </c>
      <c r="I737" t="s">
        <v>3469</v>
      </c>
      <c r="J737">
        <v>2</v>
      </c>
      <c r="K737" t="s">
        <v>3872</v>
      </c>
      <c r="L737">
        <v>33.799999999999997</v>
      </c>
      <c r="M737">
        <v>16.899999999999999</v>
      </c>
      <c r="N737" t="s">
        <v>4240</v>
      </c>
      <c r="O737" t="s">
        <v>465</v>
      </c>
    </row>
    <row r="738" spans="1:15" x14ac:dyDescent="0.3">
      <c r="A738">
        <v>235798</v>
      </c>
      <c r="B738">
        <v>116</v>
      </c>
      <c r="C738" t="s">
        <v>568</v>
      </c>
      <c r="D738" t="s">
        <v>2284</v>
      </c>
      <c r="E738" t="s">
        <v>2485</v>
      </c>
      <c r="F738" s="452">
        <v>46168</v>
      </c>
      <c r="G738">
        <v>22721</v>
      </c>
      <c r="H738" t="s">
        <v>4221</v>
      </c>
      <c r="I738" t="s">
        <v>3469</v>
      </c>
      <c r="J738">
        <v>4.42</v>
      </c>
      <c r="K738" t="s">
        <v>3892</v>
      </c>
      <c r="L738">
        <v>130.38999999999999</v>
      </c>
      <c r="M738">
        <v>29.5</v>
      </c>
      <c r="N738" t="s">
        <v>4240</v>
      </c>
      <c r="O738" t="s">
        <v>465</v>
      </c>
    </row>
    <row r="739" spans="1:15" x14ac:dyDescent="0.3">
      <c r="A739">
        <v>235796</v>
      </c>
      <c r="B739">
        <v>116</v>
      </c>
      <c r="C739" t="s">
        <v>568</v>
      </c>
      <c r="D739" t="s">
        <v>2284</v>
      </c>
      <c r="E739" t="s">
        <v>2486</v>
      </c>
      <c r="F739" s="452">
        <v>46161</v>
      </c>
      <c r="G739">
        <v>19973</v>
      </c>
      <c r="H739" t="s">
        <v>3981</v>
      </c>
      <c r="I739" t="s">
        <v>3469</v>
      </c>
      <c r="J739">
        <v>2</v>
      </c>
      <c r="K739" t="s">
        <v>3872</v>
      </c>
      <c r="L739">
        <v>32.4</v>
      </c>
      <c r="M739">
        <v>16.2</v>
      </c>
      <c r="N739" t="s">
        <v>4240</v>
      </c>
      <c r="O739" t="s">
        <v>465</v>
      </c>
    </row>
    <row r="740" spans="1:15" x14ac:dyDescent="0.3">
      <c r="A740">
        <v>235796</v>
      </c>
      <c r="B740">
        <v>116</v>
      </c>
      <c r="C740" t="s">
        <v>568</v>
      </c>
      <c r="D740" t="s">
        <v>2284</v>
      </c>
      <c r="E740" t="s">
        <v>2486</v>
      </c>
      <c r="F740" s="452">
        <v>46161</v>
      </c>
      <c r="G740">
        <v>20007</v>
      </c>
      <c r="H740" t="s">
        <v>4009</v>
      </c>
      <c r="I740" t="s">
        <v>3469</v>
      </c>
      <c r="J740">
        <v>3</v>
      </c>
      <c r="K740" t="s">
        <v>3966</v>
      </c>
      <c r="L740">
        <v>160.19999999999999</v>
      </c>
      <c r="M740">
        <v>53.4</v>
      </c>
      <c r="N740" t="s">
        <v>4240</v>
      </c>
      <c r="O740" t="s">
        <v>465</v>
      </c>
    </row>
    <row r="741" spans="1:15" x14ac:dyDescent="0.3">
      <c r="A741">
        <v>235796</v>
      </c>
      <c r="B741">
        <v>116</v>
      </c>
      <c r="C741" t="s">
        <v>568</v>
      </c>
      <c r="D741" t="s">
        <v>2284</v>
      </c>
      <c r="E741" t="s">
        <v>2486</v>
      </c>
      <c r="F741" s="452">
        <v>46161</v>
      </c>
      <c r="G741">
        <v>20395</v>
      </c>
      <c r="H741" t="s">
        <v>4057</v>
      </c>
      <c r="I741" t="s">
        <v>3469</v>
      </c>
      <c r="J741">
        <v>1</v>
      </c>
      <c r="K741" t="s">
        <v>3872</v>
      </c>
      <c r="L741">
        <v>27.1</v>
      </c>
      <c r="M741">
        <v>27.1</v>
      </c>
      <c r="N741" t="s">
        <v>4240</v>
      </c>
      <c r="O741" t="s">
        <v>465</v>
      </c>
    </row>
    <row r="742" spans="1:15" x14ac:dyDescent="0.3">
      <c r="A742">
        <v>235796</v>
      </c>
      <c r="B742">
        <v>116</v>
      </c>
      <c r="C742" t="s">
        <v>568</v>
      </c>
      <c r="D742" t="s">
        <v>2284</v>
      </c>
      <c r="E742" t="s">
        <v>2486</v>
      </c>
      <c r="F742" s="452">
        <v>46161</v>
      </c>
      <c r="G742">
        <v>20077</v>
      </c>
      <c r="H742" t="s">
        <v>4054</v>
      </c>
      <c r="I742" t="s">
        <v>3469</v>
      </c>
      <c r="J742">
        <v>1</v>
      </c>
      <c r="K742" t="s">
        <v>4268</v>
      </c>
      <c r="L742">
        <v>17.600000000000001</v>
      </c>
      <c r="M742">
        <v>17.600000000000001</v>
      </c>
      <c r="N742" t="s">
        <v>4240</v>
      </c>
      <c r="O742" t="s">
        <v>465</v>
      </c>
    </row>
    <row r="743" spans="1:15" x14ac:dyDescent="0.3">
      <c r="A743">
        <v>235794</v>
      </c>
      <c r="B743">
        <v>116</v>
      </c>
      <c r="C743" t="s">
        <v>568</v>
      </c>
      <c r="D743" t="s">
        <v>2273</v>
      </c>
      <c r="E743" t="s">
        <v>2487</v>
      </c>
      <c r="F743" s="452">
        <v>46171</v>
      </c>
      <c r="G743">
        <v>23113</v>
      </c>
      <c r="H743" t="s">
        <v>4079</v>
      </c>
      <c r="I743" t="s">
        <v>3469</v>
      </c>
      <c r="J743">
        <v>1.62</v>
      </c>
      <c r="K743" t="s">
        <v>3892</v>
      </c>
      <c r="L743">
        <v>25.84</v>
      </c>
      <c r="M743">
        <v>15.950616999999999</v>
      </c>
      <c r="N743" t="s">
        <v>4240</v>
      </c>
      <c r="O743" t="s">
        <v>465</v>
      </c>
    </row>
    <row r="744" spans="1:15" x14ac:dyDescent="0.3">
      <c r="A744">
        <v>235793</v>
      </c>
      <c r="B744">
        <v>116</v>
      </c>
      <c r="C744" t="s">
        <v>568</v>
      </c>
      <c r="D744" t="s">
        <v>2273</v>
      </c>
      <c r="E744" t="s">
        <v>2488</v>
      </c>
      <c r="F744" s="452">
        <v>46170</v>
      </c>
      <c r="G744">
        <v>19572</v>
      </c>
      <c r="H744" t="s">
        <v>4023</v>
      </c>
      <c r="I744" t="s">
        <v>3469</v>
      </c>
      <c r="J744">
        <v>1</v>
      </c>
      <c r="K744" t="s">
        <v>3892</v>
      </c>
      <c r="L744">
        <v>9.06</v>
      </c>
      <c r="M744">
        <v>9.06</v>
      </c>
      <c r="N744" t="s">
        <v>3469</v>
      </c>
      <c r="O744" t="s">
        <v>465</v>
      </c>
    </row>
    <row r="745" spans="1:15" x14ac:dyDescent="0.3">
      <c r="A745">
        <v>235793</v>
      </c>
      <c r="B745">
        <v>116</v>
      </c>
      <c r="C745" t="s">
        <v>568</v>
      </c>
      <c r="D745" t="s">
        <v>2273</v>
      </c>
      <c r="E745" t="s">
        <v>2488</v>
      </c>
      <c r="F745" s="452">
        <v>46170</v>
      </c>
      <c r="G745">
        <v>19498</v>
      </c>
      <c r="H745" t="s">
        <v>4065</v>
      </c>
      <c r="I745" t="s">
        <v>3469</v>
      </c>
      <c r="J745">
        <v>1</v>
      </c>
      <c r="K745" t="s">
        <v>3892</v>
      </c>
      <c r="L745">
        <v>10.51</v>
      </c>
      <c r="M745">
        <v>10.51</v>
      </c>
      <c r="N745" t="s">
        <v>3469</v>
      </c>
      <c r="O745" t="s">
        <v>465</v>
      </c>
    </row>
    <row r="746" spans="1:15" x14ac:dyDescent="0.3">
      <c r="A746">
        <v>235793</v>
      </c>
      <c r="B746">
        <v>116</v>
      </c>
      <c r="C746" t="s">
        <v>568</v>
      </c>
      <c r="D746" t="s">
        <v>2273</v>
      </c>
      <c r="E746" t="s">
        <v>2488</v>
      </c>
      <c r="F746" s="452">
        <v>46170</v>
      </c>
      <c r="G746">
        <v>19539</v>
      </c>
      <c r="H746" t="s">
        <v>4133</v>
      </c>
      <c r="I746" t="s">
        <v>3469</v>
      </c>
      <c r="J746">
        <v>18</v>
      </c>
      <c r="K746" t="s">
        <v>3892</v>
      </c>
      <c r="L746">
        <v>208.8</v>
      </c>
      <c r="M746">
        <v>11.6</v>
      </c>
      <c r="N746" t="s">
        <v>3469</v>
      </c>
      <c r="O746" t="s">
        <v>465</v>
      </c>
    </row>
    <row r="747" spans="1:15" x14ac:dyDescent="0.3">
      <c r="A747">
        <v>235793</v>
      </c>
      <c r="B747">
        <v>116</v>
      </c>
      <c r="C747" t="s">
        <v>568</v>
      </c>
      <c r="D747" t="s">
        <v>2273</v>
      </c>
      <c r="E747" t="s">
        <v>2488</v>
      </c>
      <c r="F747" s="452">
        <v>46170</v>
      </c>
      <c r="G747">
        <v>23389</v>
      </c>
      <c r="H747" t="s">
        <v>4016</v>
      </c>
      <c r="I747" t="s">
        <v>3469</v>
      </c>
      <c r="J747">
        <v>6.2</v>
      </c>
      <c r="K747" t="s">
        <v>3892</v>
      </c>
      <c r="L747">
        <v>29.95</v>
      </c>
      <c r="M747">
        <v>4.8306449999999996</v>
      </c>
      <c r="N747" t="s">
        <v>3469</v>
      </c>
      <c r="O747" t="s">
        <v>465</v>
      </c>
    </row>
    <row r="748" spans="1:15" x14ac:dyDescent="0.3">
      <c r="A748">
        <v>235793</v>
      </c>
      <c r="B748">
        <v>116</v>
      </c>
      <c r="C748" t="s">
        <v>568</v>
      </c>
      <c r="D748" t="s">
        <v>2273</v>
      </c>
      <c r="E748" t="s">
        <v>2488</v>
      </c>
      <c r="F748" s="452">
        <v>46170</v>
      </c>
      <c r="G748">
        <v>19642</v>
      </c>
      <c r="H748" t="s">
        <v>4067</v>
      </c>
      <c r="I748" t="s">
        <v>3469</v>
      </c>
      <c r="J748">
        <v>1.3</v>
      </c>
      <c r="K748" t="s">
        <v>3892</v>
      </c>
      <c r="L748">
        <v>7.16</v>
      </c>
      <c r="M748">
        <v>5.5076919999999996</v>
      </c>
      <c r="N748" t="s">
        <v>3469</v>
      </c>
      <c r="O748" t="s">
        <v>465</v>
      </c>
    </row>
    <row r="749" spans="1:15" x14ac:dyDescent="0.3">
      <c r="A749">
        <v>235793</v>
      </c>
      <c r="B749">
        <v>116</v>
      </c>
      <c r="C749" t="s">
        <v>568</v>
      </c>
      <c r="D749" t="s">
        <v>2273</v>
      </c>
      <c r="E749" t="s">
        <v>2488</v>
      </c>
      <c r="F749" s="452">
        <v>46170</v>
      </c>
      <c r="G749">
        <v>19583</v>
      </c>
      <c r="H749" t="s">
        <v>4076</v>
      </c>
      <c r="I749" t="s">
        <v>3469</v>
      </c>
      <c r="J749">
        <v>1</v>
      </c>
      <c r="K749" t="s">
        <v>3892</v>
      </c>
      <c r="L749">
        <v>53.65</v>
      </c>
      <c r="M749">
        <v>53.65</v>
      </c>
      <c r="N749" t="s">
        <v>3469</v>
      </c>
      <c r="O749" t="s">
        <v>465</v>
      </c>
    </row>
    <row r="750" spans="1:15" x14ac:dyDescent="0.3">
      <c r="A750">
        <v>235793</v>
      </c>
      <c r="B750">
        <v>116</v>
      </c>
      <c r="C750" t="s">
        <v>568</v>
      </c>
      <c r="D750" t="s">
        <v>2273</v>
      </c>
      <c r="E750" t="s">
        <v>2488</v>
      </c>
      <c r="F750" s="452">
        <v>46170</v>
      </c>
      <c r="G750">
        <v>23171</v>
      </c>
      <c r="H750" t="s">
        <v>4132</v>
      </c>
      <c r="I750" t="s">
        <v>3469</v>
      </c>
      <c r="J750">
        <v>3</v>
      </c>
      <c r="K750" t="s">
        <v>3892</v>
      </c>
      <c r="L750">
        <v>35.22</v>
      </c>
      <c r="M750">
        <v>11.74</v>
      </c>
      <c r="N750" t="s">
        <v>3469</v>
      </c>
      <c r="O750" t="s">
        <v>465</v>
      </c>
    </row>
    <row r="751" spans="1:15" x14ac:dyDescent="0.3">
      <c r="A751">
        <v>235792</v>
      </c>
      <c r="B751">
        <v>116</v>
      </c>
      <c r="C751" t="s">
        <v>568</v>
      </c>
      <c r="D751" t="s">
        <v>2273</v>
      </c>
      <c r="E751" t="s">
        <v>2489</v>
      </c>
      <c r="F751" s="452">
        <v>46168</v>
      </c>
      <c r="G751">
        <v>19465</v>
      </c>
      <c r="H751" t="s">
        <v>4080</v>
      </c>
      <c r="I751" t="s">
        <v>3469</v>
      </c>
      <c r="J751">
        <v>1</v>
      </c>
      <c r="K751" t="s">
        <v>3892</v>
      </c>
      <c r="L751">
        <v>6.53</v>
      </c>
      <c r="M751">
        <v>6.53</v>
      </c>
      <c r="N751" t="s">
        <v>3469</v>
      </c>
      <c r="O751" t="s">
        <v>465</v>
      </c>
    </row>
    <row r="752" spans="1:15" x14ac:dyDescent="0.3">
      <c r="A752">
        <v>235792</v>
      </c>
      <c r="B752">
        <v>116</v>
      </c>
      <c r="C752" t="s">
        <v>568</v>
      </c>
      <c r="D752" t="s">
        <v>2273</v>
      </c>
      <c r="E752" t="s">
        <v>2489</v>
      </c>
      <c r="F752" s="452">
        <v>46168</v>
      </c>
      <c r="G752">
        <v>19642</v>
      </c>
      <c r="H752" t="s">
        <v>4067</v>
      </c>
      <c r="I752" t="s">
        <v>3469</v>
      </c>
      <c r="J752">
        <v>1</v>
      </c>
      <c r="K752" t="s">
        <v>3892</v>
      </c>
      <c r="L752">
        <v>5.51</v>
      </c>
      <c r="M752">
        <v>5.51</v>
      </c>
      <c r="N752" t="s">
        <v>3469</v>
      </c>
      <c r="O752" t="s">
        <v>465</v>
      </c>
    </row>
    <row r="753" spans="1:15" x14ac:dyDescent="0.3">
      <c r="A753">
        <v>235792</v>
      </c>
      <c r="B753">
        <v>116</v>
      </c>
      <c r="C753" t="s">
        <v>568</v>
      </c>
      <c r="D753" t="s">
        <v>2273</v>
      </c>
      <c r="E753" t="s">
        <v>2489</v>
      </c>
      <c r="F753" s="452">
        <v>46168</v>
      </c>
      <c r="G753">
        <v>23389</v>
      </c>
      <c r="H753" t="s">
        <v>4016</v>
      </c>
      <c r="I753" t="s">
        <v>3469</v>
      </c>
      <c r="J753">
        <v>4.3</v>
      </c>
      <c r="K753" t="s">
        <v>3892</v>
      </c>
      <c r="L753">
        <v>20.77</v>
      </c>
      <c r="M753">
        <v>4.8302329999999998</v>
      </c>
      <c r="N753" t="s">
        <v>3469</v>
      </c>
      <c r="O753" t="s">
        <v>465</v>
      </c>
    </row>
    <row r="754" spans="1:15" x14ac:dyDescent="0.3">
      <c r="A754">
        <v>235792</v>
      </c>
      <c r="B754">
        <v>116</v>
      </c>
      <c r="C754" t="s">
        <v>568</v>
      </c>
      <c r="D754" t="s">
        <v>2273</v>
      </c>
      <c r="E754" t="s">
        <v>2489</v>
      </c>
      <c r="F754" s="452">
        <v>46168</v>
      </c>
      <c r="G754">
        <v>23171</v>
      </c>
      <c r="H754" t="s">
        <v>4132</v>
      </c>
      <c r="I754" t="s">
        <v>3469</v>
      </c>
      <c r="J754">
        <v>3.15</v>
      </c>
      <c r="K754" t="s">
        <v>3892</v>
      </c>
      <c r="L754">
        <v>36.979999999999997</v>
      </c>
      <c r="M754">
        <v>11.739682999999999</v>
      </c>
      <c r="N754" t="s">
        <v>3469</v>
      </c>
      <c r="O754" t="s">
        <v>465</v>
      </c>
    </row>
    <row r="755" spans="1:15" x14ac:dyDescent="0.3">
      <c r="A755">
        <v>235792</v>
      </c>
      <c r="B755">
        <v>116</v>
      </c>
      <c r="C755" t="s">
        <v>568</v>
      </c>
      <c r="D755" t="s">
        <v>2273</v>
      </c>
      <c r="E755" t="s">
        <v>2489</v>
      </c>
      <c r="F755" s="452">
        <v>46168</v>
      </c>
      <c r="G755">
        <v>19652</v>
      </c>
      <c r="H755" t="s">
        <v>4014</v>
      </c>
      <c r="I755" t="s">
        <v>3469</v>
      </c>
      <c r="J755">
        <v>1</v>
      </c>
      <c r="K755" t="s">
        <v>3892</v>
      </c>
      <c r="L755">
        <v>20.16</v>
      </c>
      <c r="M755">
        <v>20.16</v>
      </c>
      <c r="N755" t="s">
        <v>3469</v>
      </c>
      <c r="O755" t="s">
        <v>465</v>
      </c>
    </row>
    <row r="756" spans="1:15" x14ac:dyDescent="0.3">
      <c r="A756">
        <v>235792</v>
      </c>
      <c r="B756">
        <v>116</v>
      </c>
      <c r="C756" t="s">
        <v>568</v>
      </c>
      <c r="D756" t="s">
        <v>2273</v>
      </c>
      <c r="E756" t="s">
        <v>2489</v>
      </c>
      <c r="F756" s="452">
        <v>46168</v>
      </c>
      <c r="G756">
        <v>19558</v>
      </c>
      <c r="H756" t="s">
        <v>4183</v>
      </c>
      <c r="I756" t="s">
        <v>3469</v>
      </c>
      <c r="J756">
        <v>1</v>
      </c>
      <c r="K756" t="s">
        <v>3892</v>
      </c>
      <c r="L756">
        <v>20.3</v>
      </c>
      <c r="M756">
        <v>20.3</v>
      </c>
      <c r="N756" t="s">
        <v>3469</v>
      </c>
      <c r="O756" t="s">
        <v>465</v>
      </c>
    </row>
    <row r="757" spans="1:15" x14ac:dyDescent="0.3">
      <c r="A757">
        <v>235792</v>
      </c>
      <c r="B757">
        <v>116</v>
      </c>
      <c r="C757" t="s">
        <v>568</v>
      </c>
      <c r="D757" t="s">
        <v>2273</v>
      </c>
      <c r="E757" t="s">
        <v>2489</v>
      </c>
      <c r="F757" s="452">
        <v>46168</v>
      </c>
      <c r="G757">
        <v>19539</v>
      </c>
      <c r="H757" t="s">
        <v>4133</v>
      </c>
      <c r="I757" t="s">
        <v>3469</v>
      </c>
      <c r="J757">
        <v>18</v>
      </c>
      <c r="K757" t="s">
        <v>3892</v>
      </c>
      <c r="L757">
        <v>208.8</v>
      </c>
      <c r="M757">
        <v>11.6</v>
      </c>
      <c r="N757" t="s">
        <v>3469</v>
      </c>
      <c r="O757" t="s">
        <v>465</v>
      </c>
    </row>
    <row r="758" spans="1:15" x14ac:dyDescent="0.3">
      <c r="A758">
        <v>235792</v>
      </c>
      <c r="B758">
        <v>116</v>
      </c>
      <c r="C758" t="s">
        <v>568</v>
      </c>
      <c r="D758" t="s">
        <v>2273</v>
      </c>
      <c r="E758" t="s">
        <v>2489</v>
      </c>
      <c r="F758" s="452">
        <v>46168</v>
      </c>
      <c r="G758">
        <v>19589</v>
      </c>
      <c r="H758" t="s">
        <v>4153</v>
      </c>
      <c r="I758" t="s">
        <v>3469</v>
      </c>
      <c r="J758">
        <v>2.1</v>
      </c>
      <c r="K758" t="s">
        <v>3892</v>
      </c>
      <c r="L758">
        <v>22.39</v>
      </c>
      <c r="M758">
        <v>10.661905000000001</v>
      </c>
      <c r="N758" t="s">
        <v>3469</v>
      </c>
      <c r="O758" t="s">
        <v>465</v>
      </c>
    </row>
    <row r="759" spans="1:15" x14ac:dyDescent="0.3">
      <c r="A759">
        <v>235792</v>
      </c>
      <c r="B759">
        <v>116</v>
      </c>
      <c r="C759" t="s">
        <v>568</v>
      </c>
      <c r="D759" t="s">
        <v>2273</v>
      </c>
      <c r="E759" t="s">
        <v>2489</v>
      </c>
      <c r="F759" s="452">
        <v>46168</v>
      </c>
      <c r="G759">
        <v>19498</v>
      </c>
      <c r="H759" t="s">
        <v>4065</v>
      </c>
      <c r="I759" t="s">
        <v>3469</v>
      </c>
      <c r="J759">
        <v>1.3</v>
      </c>
      <c r="K759" t="s">
        <v>3892</v>
      </c>
      <c r="L759">
        <v>13.66</v>
      </c>
      <c r="M759">
        <v>10.507692</v>
      </c>
      <c r="N759" t="s">
        <v>3469</v>
      </c>
      <c r="O759" t="s">
        <v>465</v>
      </c>
    </row>
    <row r="760" spans="1:15" x14ac:dyDescent="0.3">
      <c r="A760">
        <v>235792</v>
      </c>
      <c r="B760">
        <v>116</v>
      </c>
      <c r="C760" t="s">
        <v>568</v>
      </c>
      <c r="D760" t="s">
        <v>2273</v>
      </c>
      <c r="E760" t="s">
        <v>2489</v>
      </c>
      <c r="F760" s="452">
        <v>46168</v>
      </c>
      <c r="G760">
        <v>23349</v>
      </c>
      <c r="H760" t="s">
        <v>4173</v>
      </c>
      <c r="I760" t="s">
        <v>3469</v>
      </c>
      <c r="J760">
        <v>2.0499999999999998</v>
      </c>
      <c r="K760" t="s">
        <v>3892</v>
      </c>
      <c r="L760">
        <v>11.75</v>
      </c>
      <c r="M760">
        <v>5.7317070000000001</v>
      </c>
      <c r="N760" t="s">
        <v>3469</v>
      </c>
      <c r="O760" t="s">
        <v>465</v>
      </c>
    </row>
    <row r="761" spans="1:15" x14ac:dyDescent="0.3">
      <c r="A761">
        <v>235792</v>
      </c>
      <c r="B761">
        <v>116</v>
      </c>
      <c r="C761" t="s">
        <v>568</v>
      </c>
      <c r="D761" t="s">
        <v>2273</v>
      </c>
      <c r="E761" t="s">
        <v>2489</v>
      </c>
      <c r="F761" s="452">
        <v>46168</v>
      </c>
      <c r="G761">
        <v>24037</v>
      </c>
      <c r="H761" t="s">
        <v>4104</v>
      </c>
      <c r="I761" t="s">
        <v>3469</v>
      </c>
      <c r="J761">
        <v>3</v>
      </c>
      <c r="K761" t="s">
        <v>3892</v>
      </c>
      <c r="L761">
        <v>52.62</v>
      </c>
      <c r="M761">
        <v>17.54</v>
      </c>
      <c r="N761" t="s">
        <v>3469</v>
      </c>
      <c r="O761" t="s">
        <v>465</v>
      </c>
    </row>
    <row r="762" spans="1:15" x14ac:dyDescent="0.3">
      <c r="A762">
        <v>235791</v>
      </c>
      <c r="B762">
        <v>116</v>
      </c>
      <c r="C762" t="s">
        <v>568</v>
      </c>
      <c r="D762" t="s">
        <v>2275</v>
      </c>
      <c r="E762" t="s">
        <v>2490</v>
      </c>
      <c r="F762" s="452">
        <v>46165</v>
      </c>
      <c r="G762">
        <v>24006</v>
      </c>
      <c r="H762" t="s">
        <v>4177</v>
      </c>
      <c r="I762" t="s">
        <v>3497</v>
      </c>
      <c r="J762">
        <v>6</v>
      </c>
      <c r="K762" t="s">
        <v>3888</v>
      </c>
      <c r="L762">
        <v>143.4</v>
      </c>
      <c r="M762">
        <v>23.9</v>
      </c>
      <c r="N762" t="s">
        <v>3497</v>
      </c>
      <c r="O762" t="s">
        <v>465</v>
      </c>
    </row>
    <row r="763" spans="1:15" x14ac:dyDescent="0.3">
      <c r="A763">
        <v>235791</v>
      </c>
      <c r="B763">
        <v>116</v>
      </c>
      <c r="C763" t="s">
        <v>568</v>
      </c>
      <c r="D763" t="s">
        <v>2275</v>
      </c>
      <c r="E763" t="s">
        <v>2490</v>
      </c>
      <c r="F763" s="452">
        <v>46165</v>
      </c>
      <c r="G763">
        <v>17969</v>
      </c>
      <c r="H763" t="s">
        <v>4175</v>
      </c>
      <c r="I763" t="s">
        <v>3497</v>
      </c>
      <c r="J763">
        <v>10</v>
      </c>
      <c r="K763" t="s">
        <v>3888</v>
      </c>
      <c r="L763">
        <v>227</v>
      </c>
      <c r="M763">
        <v>22.7</v>
      </c>
      <c r="N763" t="s">
        <v>3497</v>
      </c>
      <c r="O763" t="s">
        <v>465</v>
      </c>
    </row>
    <row r="764" spans="1:15" x14ac:dyDescent="0.3">
      <c r="A764">
        <v>235789</v>
      </c>
      <c r="B764">
        <v>116</v>
      </c>
      <c r="C764" t="s">
        <v>568</v>
      </c>
      <c r="D764" t="s">
        <v>2277</v>
      </c>
      <c r="E764" t="s">
        <v>2491</v>
      </c>
      <c r="F764" s="452">
        <v>46169</v>
      </c>
      <c r="G764">
        <v>20246</v>
      </c>
      <c r="H764" t="s">
        <v>3911</v>
      </c>
      <c r="I764" t="s">
        <v>3469</v>
      </c>
      <c r="J764">
        <v>10</v>
      </c>
      <c r="K764" t="s">
        <v>3872</v>
      </c>
      <c r="L764">
        <v>97.9</v>
      </c>
      <c r="M764">
        <v>9.7899999999999991</v>
      </c>
      <c r="N764" t="s">
        <v>4240</v>
      </c>
      <c r="O764" t="s">
        <v>465</v>
      </c>
    </row>
    <row r="765" spans="1:15" x14ac:dyDescent="0.3">
      <c r="A765">
        <v>235789</v>
      </c>
      <c r="B765">
        <v>116</v>
      </c>
      <c r="C765" t="s">
        <v>568</v>
      </c>
      <c r="D765" t="s">
        <v>2277</v>
      </c>
      <c r="E765" t="s">
        <v>2491</v>
      </c>
      <c r="F765" s="452">
        <v>46169</v>
      </c>
      <c r="G765">
        <v>20661</v>
      </c>
      <c r="H765" t="s">
        <v>3919</v>
      </c>
      <c r="I765" t="s">
        <v>3469</v>
      </c>
      <c r="J765">
        <v>12</v>
      </c>
      <c r="K765" t="s">
        <v>3872</v>
      </c>
      <c r="L765">
        <v>103.08</v>
      </c>
      <c r="M765">
        <v>8.59</v>
      </c>
      <c r="N765" t="s">
        <v>4240</v>
      </c>
      <c r="O765" t="s">
        <v>465</v>
      </c>
    </row>
    <row r="766" spans="1:15" x14ac:dyDescent="0.3">
      <c r="A766">
        <v>235789</v>
      </c>
      <c r="B766">
        <v>116</v>
      </c>
      <c r="C766" t="s">
        <v>568</v>
      </c>
      <c r="D766" t="s">
        <v>2277</v>
      </c>
      <c r="E766" t="s">
        <v>2491</v>
      </c>
      <c r="F766" s="452">
        <v>46169</v>
      </c>
      <c r="G766">
        <v>24212</v>
      </c>
      <c r="H766" t="s">
        <v>4056</v>
      </c>
      <c r="I766" t="s">
        <v>3469</v>
      </c>
      <c r="J766">
        <v>2</v>
      </c>
      <c r="K766" t="s">
        <v>3892</v>
      </c>
      <c r="L766">
        <v>25.8</v>
      </c>
      <c r="M766">
        <v>12.9</v>
      </c>
      <c r="N766" t="s">
        <v>4240</v>
      </c>
      <c r="O766" t="s">
        <v>465</v>
      </c>
    </row>
    <row r="767" spans="1:15" x14ac:dyDescent="0.3">
      <c r="A767">
        <v>235787</v>
      </c>
      <c r="B767">
        <v>116</v>
      </c>
      <c r="C767" t="s">
        <v>568</v>
      </c>
      <c r="D767" t="s">
        <v>2277</v>
      </c>
      <c r="E767" t="s">
        <v>2492</v>
      </c>
      <c r="F767" s="452">
        <v>46168</v>
      </c>
      <c r="G767">
        <v>24331</v>
      </c>
      <c r="H767" t="s">
        <v>3960</v>
      </c>
      <c r="I767" t="s">
        <v>3469</v>
      </c>
      <c r="J767">
        <v>5</v>
      </c>
      <c r="K767" t="s">
        <v>3892</v>
      </c>
      <c r="L767">
        <v>104.45</v>
      </c>
      <c r="M767">
        <v>20.89</v>
      </c>
      <c r="N767" t="s">
        <v>4240</v>
      </c>
      <c r="O767" t="s">
        <v>465</v>
      </c>
    </row>
    <row r="768" spans="1:15" x14ac:dyDescent="0.3">
      <c r="A768">
        <v>235785</v>
      </c>
      <c r="B768">
        <v>116</v>
      </c>
      <c r="C768" t="s">
        <v>568</v>
      </c>
      <c r="D768" t="s">
        <v>2277</v>
      </c>
      <c r="E768" t="s">
        <v>2493</v>
      </c>
      <c r="F768" s="452">
        <v>46162</v>
      </c>
      <c r="G768">
        <v>19902</v>
      </c>
      <c r="H768" t="s">
        <v>3909</v>
      </c>
      <c r="I768" t="s">
        <v>3469</v>
      </c>
      <c r="J768">
        <v>1</v>
      </c>
      <c r="K768" t="s">
        <v>3881</v>
      </c>
      <c r="L768">
        <v>25.9</v>
      </c>
      <c r="M768">
        <v>25.9</v>
      </c>
      <c r="N768" t="s">
        <v>4289</v>
      </c>
      <c r="O768" t="s">
        <v>465</v>
      </c>
    </row>
    <row r="769" spans="1:15" x14ac:dyDescent="0.3">
      <c r="A769">
        <v>235785</v>
      </c>
      <c r="B769">
        <v>116</v>
      </c>
      <c r="C769" t="s">
        <v>568</v>
      </c>
      <c r="D769" t="s">
        <v>2277</v>
      </c>
      <c r="E769" t="s">
        <v>2493</v>
      </c>
      <c r="F769" s="452">
        <v>46162</v>
      </c>
      <c r="G769">
        <v>20287</v>
      </c>
      <c r="H769" t="s">
        <v>4053</v>
      </c>
      <c r="I769" t="s">
        <v>3469</v>
      </c>
      <c r="J769">
        <v>1</v>
      </c>
      <c r="K769" t="s">
        <v>4197</v>
      </c>
      <c r="L769">
        <v>24.99</v>
      </c>
      <c r="M769">
        <v>24.99</v>
      </c>
      <c r="N769" t="s">
        <v>4289</v>
      </c>
      <c r="O769" t="s">
        <v>465</v>
      </c>
    </row>
    <row r="770" spans="1:15" x14ac:dyDescent="0.3">
      <c r="A770">
        <v>235785</v>
      </c>
      <c r="B770">
        <v>116</v>
      </c>
      <c r="C770" t="s">
        <v>568</v>
      </c>
      <c r="D770" t="s">
        <v>2277</v>
      </c>
      <c r="E770" t="s">
        <v>2493</v>
      </c>
      <c r="F770" s="452">
        <v>46162</v>
      </c>
      <c r="G770">
        <v>19421</v>
      </c>
      <c r="H770" t="s">
        <v>4275</v>
      </c>
      <c r="I770" t="s">
        <v>3469</v>
      </c>
      <c r="J770">
        <v>1</v>
      </c>
      <c r="K770" t="s">
        <v>4241</v>
      </c>
      <c r="L770">
        <v>81.84</v>
      </c>
      <c r="M770">
        <v>81.84</v>
      </c>
      <c r="N770" t="s">
        <v>4289</v>
      </c>
      <c r="O770" t="s">
        <v>465</v>
      </c>
    </row>
    <row r="771" spans="1:15" x14ac:dyDescent="0.3">
      <c r="A771">
        <v>235785</v>
      </c>
      <c r="B771">
        <v>116</v>
      </c>
      <c r="C771" t="s">
        <v>568</v>
      </c>
      <c r="D771" t="s">
        <v>2277</v>
      </c>
      <c r="E771" t="s">
        <v>2493</v>
      </c>
      <c r="F771" s="452">
        <v>46162</v>
      </c>
      <c r="G771">
        <v>20729</v>
      </c>
      <c r="H771" t="s">
        <v>3965</v>
      </c>
      <c r="I771" t="s">
        <v>3469</v>
      </c>
      <c r="J771">
        <v>3</v>
      </c>
      <c r="K771" t="s">
        <v>3966</v>
      </c>
      <c r="L771">
        <v>203.64</v>
      </c>
      <c r="M771">
        <v>67.88</v>
      </c>
      <c r="N771" t="s">
        <v>4289</v>
      </c>
      <c r="O771" t="s">
        <v>465</v>
      </c>
    </row>
    <row r="772" spans="1:15" x14ac:dyDescent="0.3">
      <c r="A772">
        <v>235785</v>
      </c>
      <c r="B772">
        <v>116</v>
      </c>
      <c r="C772" t="s">
        <v>568</v>
      </c>
      <c r="D772" t="s">
        <v>2277</v>
      </c>
      <c r="E772" t="s">
        <v>2493</v>
      </c>
      <c r="F772" s="452">
        <v>46162</v>
      </c>
      <c r="G772">
        <v>25237</v>
      </c>
      <c r="H772" t="s">
        <v>4164</v>
      </c>
      <c r="I772" t="s">
        <v>3469</v>
      </c>
      <c r="J772">
        <v>10</v>
      </c>
      <c r="K772" t="s">
        <v>3888</v>
      </c>
      <c r="L772">
        <v>52.9</v>
      </c>
      <c r="M772">
        <v>5.29</v>
      </c>
      <c r="N772" t="s">
        <v>4289</v>
      </c>
      <c r="O772" t="s">
        <v>465</v>
      </c>
    </row>
    <row r="773" spans="1:15" x14ac:dyDescent="0.3">
      <c r="A773">
        <v>235785</v>
      </c>
      <c r="B773">
        <v>116</v>
      </c>
      <c r="C773" t="s">
        <v>568</v>
      </c>
      <c r="D773" t="s">
        <v>2277</v>
      </c>
      <c r="E773" t="s">
        <v>2493</v>
      </c>
      <c r="F773" s="452">
        <v>46162</v>
      </c>
      <c r="G773">
        <v>20227</v>
      </c>
      <c r="H773" t="s">
        <v>3968</v>
      </c>
      <c r="I773" t="s">
        <v>3469</v>
      </c>
      <c r="J773">
        <v>10</v>
      </c>
      <c r="K773" t="s">
        <v>3888</v>
      </c>
      <c r="L773">
        <v>132</v>
      </c>
      <c r="M773">
        <v>13.2</v>
      </c>
      <c r="N773" t="s">
        <v>4289</v>
      </c>
      <c r="O773" t="s">
        <v>465</v>
      </c>
    </row>
    <row r="774" spans="1:15" x14ac:dyDescent="0.3">
      <c r="A774">
        <v>235784</v>
      </c>
      <c r="B774">
        <v>116</v>
      </c>
      <c r="C774" t="s">
        <v>568</v>
      </c>
      <c r="D774" t="s">
        <v>2280</v>
      </c>
      <c r="E774" t="s">
        <v>2494</v>
      </c>
      <c r="F774" s="452">
        <v>46163</v>
      </c>
      <c r="G774">
        <v>19634</v>
      </c>
      <c r="H774" t="s">
        <v>4068</v>
      </c>
      <c r="I774" t="s">
        <v>3469</v>
      </c>
      <c r="J774">
        <v>2</v>
      </c>
      <c r="K774" t="s">
        <v>3892</v>
      </c>
      <c r="L774">
        <v>15.6</v>
      </c>
      <c r="M774">
        <v>7.8</v>
      </c>
      <c r="N774" t="s">
        <v>4240</v>
      </c>
      <c r="O774" t="s">
        <v>465</v>
      </c>
    </row>
    <row r="775" spans="1:15" x14ac:dyDescent="0.3">
      <c r="A775">
        <v>235784</v>
      </c>
      <c r="B775">
        <v>116</v>
      </c>
      <c r="C775" t="s">
        <v>568</v>
      </c>
      <c r="D775" t="s">
        <v>2280</v>
      </c>
      <c r="E775" t="s">
        <v>2494</v>
      </c>
      <c r="F775" s="452">
        <v>46163</v>
      </c>
      <c r="G775">
        <v>23096</v>
      </c>
      <c r="H775" t="s">
        <v>3876</v>
      </c>
      <c r="I775" t="s">
        <v>3469</v>
      </c>
      <c r="J775">
        <v>60</v>
      </c>
      <c r="K775" t="s">
        <v>3872</v>
      </c>
      <c r="L775">
        <v>37.200000000000003</v>
      </c>
      <c r="M775">
        <v>0.62</v>
      </c>
      <c r="N775" t="s">
        <v>4240</v>
      </c>
      <c r="O775" t="s">
        <v>465</v>
      </c>
    </row>
    <row r="776" spans="1:15" x14ac:dyDescent="0.3">
      <c r="A776">
        <v>235784</v>
      </c>
      <c r="B776">
        <v>116</v>
      </c>
      <c r="C776" t="s">
        <v>568</v>
      </c>
      <c r="D776" t="s">
        <v>2280</v>
      </c>
      <c r="E776" t="s">
        <v>2494</v>
      </c>
      <c r="F776" s="452">
        <v>46163</v>
      </c>
      <c r="G776">
        <v>17066</v>
      </c>
      <c r="H776" t="s">
        <v>4155</v>
      </c>
      <c r="I776" t="s">
        <v>3469</v>
      </c>
      <c r="J776">
        <v>1</v>
      </c>
      <c r="K776" t="s">
        <v>3892</v>
      </c>
      <c r="L776">
        <v>24.7</v>
      </c>
      <c r="M776">
        <v>24.7</v>
      </c>
      <c r="N776" t="s">
        <v>4240</v>
      </c>
      <c r="O776" t="s">
        <v>465</v>
      </c>
    </row>
    <row r="777" spans="1:15" x14ac:dyDescent="0.3">
      <c r="A777">
        <v>235784</v>
      </c>
      <c r="B777">
        <v>116</v>
      </c>
      <c r="C777" t="s">
        <v>568</v>
      </c>
      <c r="D777" t="s">
        <v>2280</v>
      </c>
      <c r="E777" t="s">
        <v>2494</v>
      </c>
      <c r="F777" s="452">
        <v>46163</v>
      </c>
      <c r="G777">
        <v>19621</v>
      </c>
      <c r="H777" t="s">
        <v>4125</v>
      </c>
      <c r="I777" t="s">
        <v>3469</v>
      </c>
      <c r="J777">
        <v>2</v>
      </c>
      <c r="K777" t="s">
        <v>3892</v>
      </c>
      <c r="L777">
        <v>16.899999999999999</v>
      </c>
      <c r="M777">
        <v>8.4499999999999993</v>
      </c>
      <c r="N777" t="s">
        <v>4240</v>
      </c>
      <c r="O777" t="s">
        <v>465</v>
      </c>
    </row>
    <row r="778" spans="1:15" x14ac:dyDescent="0.3">
      <c r="A778">
        <v>235784</v>
      </c>
      <c r="B778">
        <v>116</v>
      </c>
      <c r="C778" t="s">
        <v>568</v>
      </c>
      <c r="D778" t="s">
        <v>2280</v>
      </c>
      <c r="E778" t="s">
        <v>2494</v>
      </c>
      <c r="F778" s="452">
        <v>46163</v>
      </c>
      <c r="G778">
        <v>19742</v>
      </c>
      <c r="H778" t="s">
        <v>4074</v>
      </c>
      <c r="I778" t="s">
        <v>3469</v>
      </c>
      <c r="J778">
        <v>1.5</v>
      </c>
      <c r="K778" t="s">
        <v>3892</v>
      </c>
      <c r="L778">
        <v>23.4</v>
      </c>
      <c r="M778">
        <v>15.6</v>
      </c>
      <c r="N778" t="s">
        <v>4240</v>
      </c>
      <c r="O778" t="s">
        <v>465</v>
      </c>
    </row>
    <row r="779" spans="1:15" x14ac:dyDescent="0.3">
      <c r="A779">
        <v>235784</v>
      </c>
      <c r="B779">
        <v>116</v>
      </c>
      <c r="C779" t="s">
        <v>568</v>
      </c>
      <c r="D779" t="s">
        <v>2280</v>
      </c>
      <c r="E779" t="s">
        <v>2494</v>
      </c>
      <c r="F779" s="452">
        <v>46163</v>
      </c>
      <c r="G779">
        <v>19740</v>
      </c>
      <c r="H779" t="s">
        <v>3933</v>
      </c>
      <c r="I779" t="s">
        <v>3469</v>
      </c>
      <c r="J779">
        <v>5</v>
      </c>
      <c r="K779" t="s">
        <v>3892</v>
      </c>
      <c r="L779">
        <v>52</v>
      </c>
      <c r="M779">
        <v>10.4</v>
      </c>
      <c r="N779" t="s">
        <v>4240</v>
      </c>
      <c r="O779" t="s">
        <v>465</v>
      </c>
    </row>
    <row r="780" spans="1:15" x14ac:dyDescent="0.3">
      <c r="A780">
        <v>235784</v>
      </c>
      <c r="B780">
        <v>116</v>
      </c>
      <c r="C780" t="s">
        <v>568</v>
      </c>
      <c r="D780" t="s">
        <v>2280</v>
      </c>
      <c r="E780" t="s">
        <v>2494</v>
      </c>
      <c r="F780" s="452">
        <v>46163</v>
      </c>
      <c r="G780">
        <v>23198</v>
      </c>
      <c r="H780" t="s">
        <v>4167</v>
      </c>
      <c r="I780" t="s">
        <v>3469</v>
      </c>
      <c r="J780">
        <v>1</v>
      </c>
      <c r="K780" t="s">
        <v>3892</v>
      </c>
      <c r="L780">
        <v>16.899999999999999</v>
      </c>
      <c r="M780">
        <v>16.899999999999999</v>
      </c>
      <c r="N780" t="s">
        <v>4240</v>
      </c>
      <c r="O780" t="s">
        <v>465</v>
      </c>
    </row>
    <row r="781" spans="1:15" x14ac:dyDescent="0.3">
      <c r="A781">
        <v>235784</v>
      </c>
      <c r="B781">
        <v>116</v>
      </c>
      <c r="C781" t="s">
        <v>568</v>
      </c>
      <c r="D781" t="s">
        <v>2280</v>
      </c>
      <c r="E781" t="s">
        <v>2494</v>
      </c>
      <c r="F781" s="452">
        <v>46163</v>
      </c>
      <c r="G781">
        <v>19763</v>
      </c>
      <c r="H781" t="s">
        <v>4187</v>
      </c>
      <c r="I781" t="s">
        <v>3469</v>
      </c>
      <c r="J781">
        <v>2</v>
      </c>
      <c r="K781" t="s">
        <v>3892</v>
      </c>
      <c r="L781">
        <v>23.4</v>
      </c>
      <c r="M781">
        <v>11.7</v>
      </c>
      <c r="N781" t="s">
        <v>4240</v>
      </c>
      <c r="O781" t="s">
        <v>465</v>
      </c>
    </row>
    <row r="782" spans="1:15" x14ac:dyDescent="0.3">
      <c r="A782">
        <v>235784</v>
      </c>
      <c r="B782">
        <v>116</v>
      </c>
      <c r="C782" t="s">
        <v>568</v>
      </c>
      <c r="D782" t="s">
        <v>2280</v>
      </c>
      <c r="E782" t="s">
        <v>2494</v>
      </c>
      <c r="F782" s="452">
        <v>46163</v>
      </c>
      <c r="G782">
        <v>19672</v>
      </c>
      <c r="H782" t="s">
        <v>4024</v>
      </c>
      <c r="I782" t="s">
        <v>3469</v>
      </c>
      <c r="J782">
        <v>2</v>
      </c>
      <c r="K782" t="s">
        <v>3892</v>
      </c>
      <c r="L782">
        <v>26</v>
      </c>
      <c r="M782">
        <v>13</v>
      </c>
      <c r="N782" t="s">
        <v>4240</v>
      </c>
      <c r="O782" t="s">
        <v>465</v>
      </c>
    </row>
    <row r="783" spans="1:15" x14ac:dyDescent="0.3">
      <c r="A783">
        <v>235784</v>
      </c>
      <c r="B783">
        <v>116</v>
      </c>
      <c r="C783" t="s">
        <v>568</v>
      </c>
      <c r="D783" t="s">
        <v>2280</v>
      </c>
      <c r="E783" t="s">
        <v>2494</v>
      </c>
      <c r="F783" s="452">
        <v>46163</v>
      </c>
      <c r="G783">
        <v>23142</v>
      </c>
      <c r="H783" t="s">
        <v>4151</v>
      </c>
      <c r="I783" t="s">
        <v>3469</v>
      </c>
      <c r="J783">
        <v>1</v>
      </c>
      <c r="K783" t="s">
        <v>3892</v>
      </c>
      <c r="L783">
        <v>20.8</v>
      </c>
      <c r="M783">
        <v>20.8</v>
      </c>
      <c r="N783" t="s">
        <v>4240</v>
      </c>
      <c r="O783" t="s">
        <v>465</v>
      </c>
    </row>
    <row r="784" spans="1:15" x14ac:dyDescent="0.3">
      <c r="A784">
        <v>235782</v>
      </c>
      <c r="B784">
        <v>116</v>
      </c>
      <c r="C784" t="s">
        <v>568</v>
      </c>
      <c r="D784" t="s">
        <v>2280</v>
      </c>
      <c r="E784" t="s">
        <v>2495</v>
      </c>
      <c r="F784" s="452">
        <v>46170</v>
      </c>
      <c r="G784">
        <v>23096</v>
      </c>
      <c r="H784" t="s">
        <v>3876</v>
      </c>
      <c r="I784" t="s">
        <v>3469</v>
      </c>
      <c r="J784">
        <v>60</v>
      </c>
      <c r="K784" t="s">
        <v>3872</v>
      </c>
      <c r="L784">
        <v>36.6</v>
      </c>
      <c r="M784">
        <v>0.61</v>
      </c>
      <c r="N784" t="s">
        <v>3469</v>
      </c>
      <c r="O784" t="s">
        <v>465</v>
      </c>
    </row>
    <row r="785" spans="1:15" x14ac:dyDescent="0.3">
      <c r="A785">
        <v>235782</v>
      </c>
      <c r="B785">
        <v>116</v>
      </c>
      <c r="C785" t="s">
        <v>568</v>
      </c>
      <c r="D785" t="s">
        <v>2280</v>
      </c>
      <c r="E785" t="s">
        <v>2495</v>
      </c>
      <c r="F785" s="452">
        <v>46170</v>
      </c>
      <c r="G785">
        <v>23198</v>
      </c>
      <c r="H785" t="s">
        <v>4167</v>
      </c>
      <c r="I785" t="s">
        <v>3469</v>
      </c>
      <c r="J785">
        <v>1</v>
      </c>
      <c r="K785" t="s">
        <v>3892</v>
      </c>
      <c r="L785">
        <v>13</v>
      </c>
      <c r="M785">
        <v>13</v>
      </c>
      <c r="N785" t="s">
        <v>3469</v>
      </c>
      <c r="O785" t="s">
        <v>465</v>
      </c>
    </row>
    <row r="786" spans="1:15" x14ac:dyDescent="0.3">
      <c r="A786">
        <v>235782</v>
      </c>
      <c r="B786">
        <v>116</v>
      </c>
      <c r="C786" t="s">
        <v>568</v>
      </c>
      <c r="D786" t="s">
        <v>2280</v>
      </c>
      <c r="E786" t="s">
        <v>2495</v>
      </c>
      <c r="F786" s="452">
        <v>46170</v>
      </c>
      <c r="G786">
        <v>24509</v>
      </c>
      <c r="H786" t="s">
        <v>3906</v>
      </c>
      <c r="I786" t="s">
        <v>3469</v>
      </c>
      <c r="J786">
        <v>6</v>
      </c>
      <c r="K786" t="s">
        <v>3892</v>
      </c>
      <c r="L786">
        <v>27.3</v>
      </c>
      <c r="M786">
        <v>4.55</v>
      </c>
      <c r="N786" t="s">
        <v>3469</v>
      </c>
      <c r="O786" t="s">
        <v>465</v>
      </c>
    </row>
    <row r="787" spans="1:15" x14ac:dyDescent="0.3">
      <c r="A787">
        <v>235782</v>
      </c>
      <c r="B787">
        <v>116</v>
      </c>
      <c r="C787" t="s">
        <v>568</v>
      </c>
      <c r="D787" t="s">
        <v>2280</v>
      </c>
      <c r="E787" t="s">
        <v>2495</v>
      </c>
      <c r="F787" s="452">
        <v>46170</v>
      </c>
      <c r="G787">
        <v>23120</v>
      </c>
      <c r="H787" t="s">
        <v>4111</v>
      </c>
      <c r="I787" t="s">
        <v>3469</v>
      </c>
      <c r="J787">
        <v>0.2</v>
      </c>
      <c r="K787" t="s">
        <v>3892</v>
      </c>
      <c r="L787">
        <v>10.01</v>
      </c>
      <c r="M787">
        <v>50.05</v>
      </c>
      <c r="N787" t="s">
        <v>3469</v>
      </c>
      <c r="O787" t="s">
        <v>465</v>
      </c>
    </row>
    <row r="788" spans="1:15" x14ac:dyDescent="0.3">
      <c r="A788">
        <v>235782</v>
      </c>
      <c r="B788">
        <v>116</v>
      </c>
      <c r="C788" t="s">
        <v>568</v>
      </c>
      <c r="D788" t="s">
        <v>2280</v>
      </c>
      <c r="E788" t="s">
        <v>2495</v>
      </c>
      <c r="F788" s="452">
        <v>46170</v>
      </c>
      <c r="G788">
        <v>23142</v>
      </c>
      <c r="H788" t="s">
        <v>4151</v>
      </c>
      <c r="I788" t="s">
        <v>3469</v>
      </c>
      <c r="J788">
        <v>1</v>
      </c>
      <c r="K788" t="s">
        <v>3892</v>
      </c>
      <c r="L788">
        <v>14.57</v>
      </c>
      <c r="M788">
        <v>14.57</v>
      </c>
      <c r="N788" t="s">
        <v>3469</v>
      </c>
      <c r="O788" t="s">
        <v>465</v>
      </c>
    </row>
    <row r="789" spans="1:15" x14ac:dyDescent="0.3">
      <c r="A789">
        <v>235782</v>
      </c>
      <c r="B789">
        <v>116</v>
      </c>
      <c r="C789" t="s">
        <v>568</v>
      </c>
      <c r="D789" t="s">
        <v>2280</v>
      </c>
      <c r="E789" t="s">
        <v>2495</v>
      </c>
      <c r="F789" s="452">
        <v>46170</v>
      </c>
      <c r="G789">
        <v>19506</v>
      </c>
      <c r="H789" t="s">
        <v>4112</v>
      </c>
      <c r="I789" t="s">
        <v>3469</v>
      </c>
      <c r="J789">
        <v>0.2</v>
      </c>
      <c r="K789" t="s">
        <v>3892</v>
      </c>
      <c r="L789">
        <v>7.15</v>
      </c>
      <c r="M789">
        <v>35.75</v>
      </c>
      <c r="N789" t="s">
        <v>3469</v>
      </c>
      <c r="O789" t="s">
        <v>465</v>
      </c>
    </row>
    <row r="790" spans="1:15" x14ac:dyDescent="0.3">
      <c r="A790">
        <v>235782</v>
      </c>
      <c r="B790">
        <v>116</v>
      </c>
      <c r="C790" t="s">
        <v>568</v>
      </c>
      <c r="D790" t="s">
        <v>2280</v>
      </c>
      <c r="E790" t="s">
        <v>2495</v>
      </c>
      <c r="F790" s="452">
        <v>46170</v>
      </c>
      <c r="G790">
        <v>24598</v>
      </c>
      <c r="H790" t="s">
        <v>4166</v>
      </c>
      <c r="I790" t="s">
        <v>3469</v>
      </c>
      <c r="J790">
        <v>1</v>
      </c>
      <c r="K790" t="s">
        <v>3892</v>
      </c>
      <c r="L790">
        <v>11.91</v>
      </c>
      <c r="M790">
        <v>11.91</v>
      </c>
      <c r="N790" t="s">
        <v>3469</v>
      </c>
      <c r="O790" t="s">
        <v>465</v>
      </c>
    </row>
    <row r="791" spans="1:15" x14ac:dyDescent="0.3">
      <c r="A791">
        <v>235782</v>
      </c>
      <c r="B791">
        <v>116</v>
      </c>
      <c r="C791" t="s">
        <v>568</v>
      </c>
      <c r="D791" t="s">
        <v>2280</v>
      </c>
      <c r="E791" t="s">
        <v>2495</v>
      </c>
      <c r="F791" s="452">
        <v>46170</v>
      </c>
      <c r="G791">
        <v>23361</v>
      </c>
      <c r="H791" t="s">
        <v>4220</v>
      </c>
      <c r="I791" t="s">
        <v>3469</v>
      </c>
      <c r="J791">
        <v>18</v>
      </c>
      <c r="K791" t="s">
        <v>3892</v>
      </c>
      <c r="L791">
        <v>46.8</v>
      </c>
      <c r="M791">
        <v>2.6</v>
      </c>
      <c r="N791" t="s">
        <v>3469</v>
      </c>
      <c r="O791" t="s">
        <v>465</v>
      </c>
    </row>
    <row r="792" spans="1:15" x14ac:dyDescent="0.3">
      <c r="A792">
        <v>235782</v>
      </c>
      <c r="B792">
        <v>116</v>
      </c>
      <c r="C792" t="s">
        <v>568</v>
      </c>
      <c r="D792" t="s">
        <v>2280</v>
      </c>
      <c r="E792" t="s">
        <v>2495</v>
      </c>
      <c r="F792" s="452">
        <v>46170</v>
      </c>
      <c r="G792">
        <v>19647</v>
      </c>
      <c r="H792" t="s">
        <v>4066</v>
      </c>
      <c r="I792" t="s">
        <v>3469</v>
      </c>
      <c r="J792">
        <v>1</v>
      </c>
      <c r="K792" t="s">
        <v>3892</v>
      </c>
      <c r="L792">
        <v>14.3</v>
      </c>
      <c r="M792">
        <v>14.3</v>
      </c>
      <c r="N792" t="s">
        <v>3469</v>
      </c>
      <c r="O792" t="s">
        <v>465</v>
      </c>
    </row>
    <row r="793" spans="1:15" x14ac:dyDescent="0.3">
      <c r="A793">
        <v>235780</v>
      </c>
      <c r="B793">
        <v>116</v>
      </c>
      <c r="C793" t="s">
        <v>568</v>
      </c>
      <c r="D793" t="s">
        <v>2312</v>
      </c>
      <c r="E793" t="s">
        <v>2496</v>
      </c>
      <c r="F793" s="452">
        <v>46169</v>
      </c>
      <c r="G793">
        <v>20624</v>
      </c>
      <c r="H793" t="s">
        <v>3982</v>
      </c>
      <c r="I793" t="s">
        <v>3469</v>
      </c>
      <c r="J793">
        <v>1</v>
      </c>
      <c r="K793" t="s">
        <v>3872</v>
      </c>
      <c r="L793">
        <v>70.900000000000006</v>
      </c>
      <c r="M793">
        <v>70.900000000000006</v>
      </c>
      <c r="N793" t="s">
        <v>3469</v>
      </c>
      <c r="O793" t="s">
        <v>465</v>
      </c>
    </row>
    <row r="794" spans="1:15" x14ac:dyDescent="0.3">
      <c r="A794">
        <v>235778</v>
      </c>
      <c r="B794">
        <v>116</v>
      </c>
      <c r="C794" t="s">
        <v>568</v>
      </c>
      <c r="D794" t="s">
        <v>2312</v>
      </c>
      <c r="E794" t="s">
        <v>2497</v>
      </c>
      <c r="F794" s="452">
        <v>46162</v>
      </c>
      <c r="G794">
        <v>19984</v>
      </c>
      <c r="H794" t="s">
        <v>3904</v>
      </c>
      <c r="I794" t="s">
        <v>3469</v>
      </c>
      <c r="J794">
        <v>12</v>
      </c>
      <c r="K794" t="s">
        <v>3872</v>
      </c>
      <c r="L794">
        <v>238.8</v>
      </c>
      <c r="M794">
        <v>19.899999999999999</v>
      </c>
      <c r="N794" t="s">
        <v>4240</v>
      </c>
      <c r="O794" t="s">
        <v>465</v>
      </c>
    </row>
    <row r="795" spans="1:15" x14ac:dyDescent="0.3">
      <c r="A795">
        <v>235778</v>
      </c>
      <c r="B795">
        <v>116</v>
      </c>
      <c r="C795" t="s">
        <v>568</v>
      </c>
      <c r="D795" t="s">
        <v>2312</v>
      </c>
      <c r="E795" t="s">
        <v>2497</v>
      </c>
      <c r="F795" s="452">
        <v>46162</v>
      </c>
      <c r="G795">
        <v>25768</v>
      </c>
      <c r="H795" t="s">
        <v>4012</v>
      </c>
      <c r="I795" t="s">
        <v>3469</v>
      </c>
      <c r="J795">
        <v>4</v>
      </c>
      <c r="K795" t="s">
        <v>3892</v>
      </c>
      <c r="L795">
        <v>39.6</v>
      </c>
      <c r="M795">
        <v>9.9</v>
      </c>
      <c r="N795" t="s">
        <v>4240</v>
      </c>
      <c r="O795" t="s">
        <v>465</v>
      </c>
    </row>
    <row r="796" spans="1:15" x14ac:dyDescent="0.3">
      <c r="A796">
        <v>235777</v>
      </c>
      <c r="B796">
        <v>116</v>
      </c>
      <c r="C796" t="s">
        <v>568</v>
      </c>
      <c r="D796" t="s">
        <v>2312</v>
      </c>
      <c r="E796" t="s">
        <v>2498</v>
      </c>
      <c r="F796" s="452">
        <v>46148</v>
      </c>
      <c r="G796">
        <v>20832</v>
      </c>
      <c r="H796" t="s">
        <v>4060</v>
      </c>
      <c r="I796" t="s">
        <v>3469</v>
      </c>
      <c r="J796">
        <v>1</v>
      </c>
      <c r="K796" t="s">
        <v>3886</v>
      </c>
      <c r="L796">
        <v>34</v>
      </c>
      <c r="M796">
        <v>34</v>
      </c>
      <c r="N796" t="s">
        <v>4240</v>
      </c>
      <c r="O796" t="s">
        <v>465</v>
      </c>
    </row>
    <row r="797" spans="1:15" x14ac:dyDescent="0.3">
      <c r="A797">
        <v>235775</v>
      </c>
      <c r="B797">
        <v>116</v>
      </c>
      <c r="C797" t="s">
        <v>568</v>
      </c>
      <c r="D797" t="s">
        <v>2499</v>
      </c>
      <c r="E797" t="s">
        <v>2500</v>
      </c>
      <c r="F797" s="452">
        <v>46168</v>
      </c>
      <c r="G797">
        <v>20519</v>
      </c>
      <c r="H797" t="s">
        <v>3902</v>
      </c>
      <c r="I797" t="s">
        <v>3469</v>
      </c>
      <c r="J797">
        <v>20.9</v>
      </c>
      <c r="K797" t="s">
        <v>3892</v>
      </c>
      <c r="L797">
        <v>1050.22</v>
      </c>
      <c r="M797">
        <v>50.249760999999999</v>
      </c>
      <c r="N797" t="s">
        <v>4240</v>
      </c>
      <c r="O797" t="s">
        <v>465</v>
      </c>
    </row>
    <row r="798" spans="1:15" x14ac:dyDescent="0.3">
      <c r="A798">
        <v>235769</v>
      </c>
      <c r="B798">
        <v>116</v>
      </c>
      <c r="C798" t="s">
        <v>568</v>
      </c>
      <c r="D798" t="s">
        <v>2314</v>
      </c>
      <c r="E798" t="s">
        <v>2501</v>
      </c>
      <c r="F798" s="452">
        <v>46168</v>
      </c>
      <c r="G798">
        <v>18640</v>
      </c>
      <c r="H798" t="s">
        <v>3994</v>
      </c>
      <c r="I798" t="s">
        <v>3497</v>
      </c>
      <c r="J798">
        <v>2</v>
      </c>
      <c r="K798" t="s">
        <v>3922</v>
      </c>
      <c r="L798">
        <v>612</v>
      </c>
      <c r="M798">
        <v>306</v>
      </c>
      <c r="N798" t="s">
        <v>3497</v>
      </c>
      <c r="O798" t="s">
        <v>465</v>
      </c>
    </row>
    <row r="799" spans="1:15" x14ac:dyDescent="0.3">
      <c r="A799">
        <v>235769</v>
      </c>
      <c r="B799">
        <v>116</v>
      </c>
      <c r="C799" t="s">
        <v>568</v>
      </c>
      <c r="D799" t="s">
        <v>2314</v>
      </c>
      <c r="E799" t="s">
        <v>2501</v>
      </c>
      <c r="F799" s="452">
        <v>46168</v>
      </c>
      <c r="G799">
        <v>18594</v>
      </c>
      <c r="H799" t="s">
        <v>4147</v>
      </c>
      <c r="I799" t="s">
        <v>3497</v>
      </c>
      <c r="J799">
        <v>2</v>
      </c>
      <c r="K799" t="s">
        <v>3888</v>
      </c>
      <c r="L799">
        <v>207.98</v>
      </c>
      <c r="M799">
        <v>103.99</v>
      </c>
      <c r="N799" t="s">
        <v>3497</v>
      </c>
      <c r="O799" t="s">
        <v>465</v>
      </c>
    </row>
    <row r="800" spans="1:15" x14ac:dyDescent="0.3">
      <c r="A800">
        <v>235768</v>
      </c>
      <c r="B800">
        <v>116</v>
      </c>
      <c r="C800" t="s">
        <v>568</v>
      </c>
      <c r="D800" t="s">
        <v>2314</v>
      </c>
      <c r="E800" t="s">
        <v>2502</v>
      </c>
      <c r="F800" s="452">
        <v>46171</v>
      </c>
      <c r="G800">
        <v>17881</v>
      </c>
      <c r="H800" t="s">
        <v>4095</v>
      </c>
      <c r="I800" t="s">
        <v>3497</v>
      </c>
      <c r="J800">
        <v>6</v>
      </c>
      <c r="K800" t="s">
        <v>3888</v>
      </c>
      <c r="L800">
        <v>153.18</v>
      </c>
      <c r="M800">
        <v>25.53</v>
      </c>
      <c r="N800" t="s">
        <v>3497</v>
      </c>
      <c r="O800" t="s">
        <v>465</v>
      </c>
    </row>
    <row r="801" spans="1:15" x14ac:dyDescent="0.3">
      <c r="A801">
        <v>235768</v>
      </c>
      <c r="B801">
        <v>116</v>
      </c>
      <c r="C801" t="s">
        <v>568</v>
      </c>
      <c r="D801" t="s">
        <v>2314</v>
      </c>
      <c r="E801" t="s">
        <v>2502</v>
      </c>
      <c r="F801" s="452">
        <v>46171</v>
      </c>
      <c r="G801">
        <v>18636</v>
      </c>
      <c r="H801" t="s">
        <v>3921</v>
      </c>
      <c r="I801" t="s">
        <v>3497</v>
      </c>
      <c r="J801">
        <v>6</v>
      </c>
      <c r="K801" t="s">
        <v>3922</v>
      </c>
      <c r="L801">
        <v>2896.8</v>
      </c>
      <c r="M801">
        <v>482.8</v>
      </c>
      <c r="N801" t="s">
        <v>3497</v>
      </c>
      <c r="O801" t="s">
        <v>465</v>
      </c>
    </row>
    <row r="802" spans="1:15" x14ac:dyDescent="0.3">
      <c r="A802">
        <v>235768</v>
      </c>
      <c r="B802">
        <v>116</v>
      </c>
      <c r="C802" t="s">
        <v>568</v>
      </c>
      <c r="D802" t="s">
        <v>2314</v>
      </c>
      <c r="E802" t="s">
        <v>2502</v>
      </c>
      <c r="F802" s="452">
        <v>46171</v>
      </c>
      <c r="G802">
        <v>17886</v>
      </c>
      <c r="H802" t="s">
        <v>3935</v>
      </c>
      <c r="I802" t="s">
        <v>3497</v>
      </c>
      <c r="J802">
        <v>10</v>
      </c>
      <c r="K802" t="s">
        <v>3888</v>
      </c>
      <c r="L802">
        <v>283.2</v>
      </c>
      <c r="M802">
        <v>28.32</v>
      </c>
      <c r="N802" t="s">
        <v>3497</v>
      </c>
      <c r="O802" t="s">
        <v>465</v>
      </c>
    </row>
    <row r="803" spans="1:15" x14ac:dyDescent="0.3">
      <c r="A803">
        <v>235768</v>
      </c>
      <c r="B803">
        <v>116</v>
      </c>
      <c r="C803" t="s">
        <v>568</v>
      </c>
      <c r="D803" t="s">
        <v>2314</v>
      </c>
      <c r="E803" t="s">
        <v>2502</v>
      </c>
      <c r="F803" s="452">
        <v>46171</v>
      </c>
      <c r="G803">
        <v>17903</v>
      </c>
      <c r="H803" t="s">
        <v>3971</v>
      </c>
      <c r="I803" t="s">
        <v>3497</v>
      </c>
      <c r="J803">
        <v>10</v>
      </c>
      <c r="K803" t="s">
        <v>3888</v>
      </c>
      <c r="L803">
        <v>255.3</v>
      </c>
      <c r="M803">
        <v>25.53</v>
      </c>
      <c r="N803" t="s">
        <v>3497</v>
      </c>
      <c r="O803" t="s">
        <v>465</v>
      </c>
    </row>
    <row r="804" spans="1:15" x14ac:dyDescent="0.3">
      <c r="A804">
        <v>235766</v>
      </c>
      <c r="B804">
        <v>116</v>
      </c>
      <c r="C804" t="s">
        <v>568</v>
      </c>
      <c r="D804" t="s">
        <v>2308</v>
      </c>
      <c r="E804" t="s">
        <v>2503</v>
      </c>
      <c r="F804" s="452">
        <v>46162</v>
      </c>
      <c r="G804">
        <v>27312</v>
      </c>
      <c r="H804" t="s">
        <v>3927</v>
      </c>
      <c r="I804" t="s">
        <v>3469</v>
      </c>
      <c r="J804">
        <v>20</v>
      </c>
      <c r="K804" t="s">
        <v>3892</v>
      </c>
      <c r="L804">
        <v>1040</v>
      </c>
      <c r="M804">
        <v>52</v>
      </c>
      <c r="N804" t="s">
        <v>4240</v>
      </c>
      <c r="O804" t="s">
        <v>465</v>
      </c>
    </row>
    <row r="805" spans="1:15" x14ac:dyDescent="0.3">
      <c r="A805">
        <v>235765</v>
      </c>
      <c r="B805">
        <v>116</v>
      </c>
      <c r="C805" t="s">
        <v>568</v>
      </c>
      <c r="D805" t="s">
        <v>2308</v>
      </c>
      <c r="E805" t="s">
        <v>2504</v>
      </c>
      <c r="F805" s="452">
        <v>46161</v>
      </c>
      <c r="G805">
        <v>27901</v>
      </c>
      <c r="H805" t="s">
        <v>3942</v>
      </c>
      <c r="I805" t="s">
        <v>3469</v>
      </c>
      <c r="J805">
        <v>10.199999999999999</v>
      </c>
      <c r="K805" t="s">
        <v>3892</v>
      </c>
      <c r="L805">
        <v>1213.8</v>
      </c>
      <c r="M805">
        <v>119</v>
      </c>
      <c r="N805" t="s">
        <v>4240</v>
      </c>
      <c r="O805" t="s">
        <v>465</v>
      </c>
    </row>
    <row r="806" spans="1:15" x14ac:dyDescent="0.3">
      <c r="A806">
        <v>235764</v>
      </c>
      <c r="B806">
        <v>116</v>
      </c>
      <c r="C806" t="s">
        <v>568</v>
      </c>
      <c r="D806" t="s">
        <v>2338</v>
      </c>
      <c r="E806" t="s">
        <v>2505</v>
      </c>
      <c r="F806" s="452">
        <v>46167</v>
      </c>
      <c r="G806">
        <v>21017</v>
      </c>
      <c r="H806" t="s">
        <v>4290</v>
      </c>
      <c r="I806" t="s">
        <v>3469</v>
      </c>
      <c r="J806">
        <v>3</v>
      </c>
      <c r="K806" t="s">
        <v>4291</v>
      </c>
      <c r="L806">
        <v>476.7</v>
      </c>
      <c r="M806">
        <v>158.9</v>
      </c>
      <c r="N806" t="s">
        <v>3469</v>
      </c>
      <c r="O806" t="s">
        <v>465</v>
      </c>
    </row>
    <row r="807" spans="1:15" x14ac:dyDescent="0.3">
      <c r="A807">
        <v>235763</v>
      </c>
      <c r="B807">
        <v>116</v>
      </c>
      <c r="C807" t="s">
        <v>568</v>
      </c>
      <c r="D807" t="s">
        <v>2338</v>
      </c>
      <c r="E807" t="s">
        <v>2506</v>
      </c>
      <c r="F807" s="452">
        <v>46161</v>
      </c>
      <c r="G807">
        <v>20301</v>
      </c>
      <c r="H807" t="s">
        <v>4161</v>
      </c>
      <c r="I807" t="s">
        <v>3469</v>
      </c>
      <c r="J807">
        <v>12</v>
      </c>
      <c r="K807" t="s">
        <v>3888</v>
      </c>
      <c r="L807">
        <v>252</v>
      </c>
      <c r="M807">
        <v>21</v>
      </c>
      <c r="N807" t="s">
        <v>4240</v>
      </c>
      <c r="O807" t="s">
        <v>465</v>
      </c>
    </row>
    <row r="808" spans="1:15" x14ac:dyDescent="0.3">
      <c r="A808">
        <v>235763</v>
      </c>
      <c r="B808">
        <v>116</v>
      </c>
      <c r="C808" t="s">
        <v>568</v>
      </c>
      <c r="D808" t="s">
        <v>2338</v>
      </c>
      <c r="E808" t="s">
        <v>2506</v>
      </c>
      <c r="F808" s="452">
        <v>46161</v>
      </c>
      <c r="G808">
        <v>20984</v>
      </c>
      <c r="H808" t="s">
        <v>4235</v>
      </c>
      <c r="I808" t="s">
        <v>3469</v>
      </c>
      <c r="J808">
        <v>48</v>
      </c>
      <c r="K808" t="s">
        <v>3931</v>
      </c>
      <c r="L808">
        <v>391.2</v>
      </c>
      <c r="M808">
        <v>8.15</v>
      </c>
      <c r="N808" t="s">
        <v>4240</v>
      </c>
      <c r="O808" t="s">
        <v>465</v>
      </c>
    </row>
    <row r="809" spans="1:15" x14ac:dyDescent="0.3">
      <c r="A809">
        <v>235757</v>
      </c>
      <c r="B809">
        <v>116</v>
      </c>
      <c r="C809" t="s">
        <v>568</v>
      </c>
      <c r="D809" t="s">
        <v>2320</v>
      </c>
      <c r="E809" t="s">
        <v>2507</v>
      </c>
      <c r="F809" s="452">
        <v>46169</v>
      </c>
      <c r="G809">
        <v>22857</v>
      </c>
      <c r="H809" t="s">
        <v>4130</v>
      </c>
      <c r="I809" t="s">
        <v>3469</v>
      </c>
      <c r="J809">
        <v>16.64</v>
      </c>
      <c r="K809" t="s">
        <v>3892</v>
      </c>
      <c r="L809">
        <v>1079.94</v>
      </c>
      <c r="M809">
        <v>64.900239999999997</v>
      </c>
      <c r="N809" t="s">
        <v>4240</v>
      </c>
      <c r="O809" t="s">
        <v>465</v>
      </c>
    </row>
    <row r="810" spans="1:15" x14ac:dyDescent="0.3">
      <c r="A810">
        <v>235743</v>
      </c>
      <c r="B810">
        <v>116</v>
      </c>
      <c r="C810" t="s">
        <v>568</v>
      </c>
      <c r="D810" t="s">
        <v>2381</v>
      </c>
      <c r="E810" t="s">
        <v>2508</v>
      </c>
      <c r="F810" s="452">
        <v>46161</v>
      </c>
      <c r="G810">
        <v>19291</v>
      </c>
      <c r="H810" t="s">
        <v>4254</v>
      </c>
      <c r="I810" t="s">
        <v>3469</v>
      </c>
      <c r="J810">
        <v>27.3</v>
      </c>
      <c r="K810" t="s">
        <v>3892</v>
      </c>
      <c r="L810">
        <v>1637.43</v>
      </c>
      <c r="M810">
        <v>59.979120999999999</v>
      </c>
      <c r="N810" t="s">
        <v>4240</v>
      </c>
      <c r="O810" t="s">
        <v>465</v>
      </c>
    </row>
    <row r="811" spans="1:15" x14ac:dyDescent="0.3">
      <c r="A811">
        <v>235613</v>
      </c>
      <c r="B811">
        <v>116</v>
      </c>
      <c r="C811" t="s">
        <v>568</v>
      </c>
      <c r="D811" t="s">
        <v>2465</v>
      </c>
      <c r="E811" t="s">
        <v>2509</v>
      </c>
      <c r="F811" s="452">
        <v>46167</v>
      </c>
      <c r="G811">
        <v>24083</v>
      </c>
      <c r="H811" t="s">
        <v>3898</v>
      </c>
      <c r="I811" t="s">
        <v>3469</v>
      </c>
      <c r="J811">
        <v>15</v>
      </c>
      <c r="K811" t="s">
        <v>3892</v>
      </c>
      <c r="L811">
        <v>123</v>
      </c>
      <c r="M811">
        <v>8.1999999999999993</v>
      </c>
      <c r="N811" t="s">
        <v>3469</v>
      </c>
      <c r="O811" t="s">
        <v>465</v>
      </c>
    </row>
    <row r="812" spans="1:15" x14ac:dyDescent="0.3">
      <c r="A812">
        <v>235415</v>
      </c>
      <c r="B812">
        <v>116</v>
      </c>
      <c r="C812" t="s">
        <v>568</v>
      </c>
      <c r="D812" t="s">
        <v>2262</v>
      </c>
      <c r="E812" t="s">
        <v>2510</v>
      </c>
      <c r="F812" s="452">
        <v>46168</v>
      </c>
      <c r="G812">
        <v>18832</v>
      </c>
      <c r="H812" t="s">
        <v>3900</v>
      </c>
      <c r="I812" t="s">
        <v>3469</v>
      </c>
      <c r="J812">
        <v>20.7</v>
      </c>
      <c r="K812" t="s">
        <v>3892</v>
      </c>
      <c r="L812">
        <v>825.93</v>
      </c>
      <c r="M812">
        <v>39.9</v>
      </c>
      <c r="N812" t="s">
        <v>4240</v>
      </c>
      <c r="O812" t="s">
        <v>465</v>
      </c>
    </row>
    <row r="813" spans="1:15" x14ac:dyDescent="0.3">
      <c r="A813">
        <v>235415</v>
      </c>
      <c r="B813">
        <v>116</v>
      </c>
      <c r="C813" t="s">
        <v>568</v>
      </c>
      <c r="D813" t="s">
        <v>2262</v>
      </c>
      <c r="E813" t="s">
        <v>2510</v>
      </c>
      <c r="F813" s="452">
        <v>46168</v>
      </c>
      <c r="G813">
        <v>24402</v>
      </c>
      <c r="H813" t="s">
        <v>3896</v>
      </c>
      <c r="I813" t="s">
        <v>3469</v>
      </c>
      <c r="J813">
        <v>12</v>
      </c>
      <c r="K813" t="s">
        <v>3892</v>
      </c>
      <c r="L813">
        <v>458.4</v>
      </c>
      <c r="M813">
        <v>38.200000000000003</v>
      </c>
      <c r="N813" t="s">
        <v>4240</v>
      </c>
      <c r="O813" t="s">
        <v>465</v>
      </c>
    </row>
    <row r="814" spans="1:15" x14ac:dyDescent="0.3">
      <c r="A814">
        <v>235415</v>
      </c>
      <c r="B814">
        <v>116</v>
      </c>
      <c r="C814" t="s">
        <v>568</v>
      </c>
      <c r="D814" t="s">
        <v>2262</v>
      </c>
      <c r="E814" t="s">
        <v>2510</v>
      </c>
      <c r="F814" s="452">
        <v>46168</v>
      </c>
      <c r="G814">
        <v>24116</v>
      </c>
      <c r="H814" t="s">
        <v>3963</v>
      </c>
      <c r="I814" t="s">
        <v>3469</v>
      </c>
      <c r="J814">
        <v>5</v>
      </c>
      <c r="K814" t="s">
        <v>3892</v>
      </c>
      <c r="L814">
        <v>219.5</v>
      </c>
      <c r="M814">
        <v>43.9</v>
      </c>
      <c r="N814" t="s">
        <v>4240</v>
      </c>
      <c r="O814" t="s">
        <v>465</v>
      </c>
    </row>
    <row r="815" spans="1:15" x14ac:dyDescent="0.3">
      <c r="A815">
        <v>235415</v>
      </c>
      <c r="B815">
        <v>116</v>
      </c>
      <c r="C815" t="s">
        <v>568</v>
      </c>
      <c r="D815" t="s">
        <v>2262</v>
      </c>
      <c r="E815" t="s">
        <v>2510</v>
      </c>
      <c r="F815" s="452">
        <v>46168</v>
      </c>
      <c r="G815">
        <v>24388</v>
      </c>
      <c r="H815" t="s">
        <v>3915</v>
      </c>
      <c r="I815" t="s">
        <v>3469</v>
      </c>
      <c r="J815">
        <v>6.7</v>
      </c>
      <c r="K815" t="s">
        <v>3892</v>
      </c>
      <c r="L815">
        <v>199.66</v>
      </c>
      <c r="M815">
        <v>29.8</v>
      </c>
      <c r="N815" t="s">
        <v>4240</v>
      </c>
      <c r="O815" t="s">
        <v>465</v>
      </c>
    </row>
    <row r="816" spans="1:15" x14ac:dyDescent="0.3">
      <c r="A816">
        <v>234823</v>
      </c>
      <c r="B816">
        <v>116</v>
      </c>
      <c r="C816" t="s">
        <v>568</v>
      </c>
      <c r="D816" t="s">
        <v>2094</v>
      </c>
      <c r="E816" t="s">
        <v>2511</v>
      </c>
      <c r="F816" s="452">
        <v>46167</v>
      </c>
      <c r="G816">
        <v>17955</v>
      </c>
      <c r="H816" t="s">
        <v>4190</v>
      </c>
      <c r="I816" t="s">
        <v>3497</v>
      </c>
      <c r="J816">
        <v>1</v>
      </c>
      <c r="K816" t="s">
        <v>3872</v>
      </c>
      <c r="L816">
        <v>15</v>
      </c>
      <c r="M816">
        <v>15</v>
      </c>
      <c r="N816" t="s">
        <v>4292</v>
      </c>
      <c r="O816" t="s">
        <v>465</v>
      </c>
    </row>
    <row r="817" spans="1:15" x14ac:dyDescent="0.3">
      <c r="A817">
        <v>234823</v>
      </c>
      <c r="B817">
        <v>116</v>
      </c>
      <c r="C817" t="s">
        <v>568</v>
      </c>
      <c r="D817" t="s">
        <v>2094</v>
      </c>
      <c r="E817" t="s">
        <v>2511</v>
      </c>
      <c r="F817" s="452">
        <v>46167</v>
      </c>
      <c r="G817">
        <v>17093</v>
      </c>
      <c r="H817" t="s">
        <v>3993</v>
      </c>
      <c r="I817" t="s">
        <v>3497</v>
      </c>
      <c r="J817">
        <v>10</v>
      </c>
      <c r="K817" t="s">
        <v>3888</v>
      </c>
      <c r="L817">
        <v>100</v>
      </c>
      <c r="M817">
        <v>10</v>
      </c>
      <c r="N817" t="s">
        <v>4292</v>
      </c>
      <c r="O817" t="s">
        <v>465</v>
      </c>
    </row>
    <row r="818" spans="1:15" x14ac:dyDescent="0.3">
      <c r="A818">
        <v>234685</v>
      </c>
      <c r="B818">
        <v>116</v>
      </c>
      <c r="C818" t="s">
        <v>568</v>
      </c>
      <c r="D818" t="s">
        <v>2314</v>
      </c>
      <c r="E818" t="s">
        <v>2512</v>
      </c>
      <c r="F818" s="452">
        <v>46161</v>
      </c>
      <c r="G818">
        <v>17914</v>
      </c>
      <c r="H818" t="s">
        <v>3997</v>
      </c>
      <c r="I818" t="s">
        <v>3497</v>
      </c>
      <c r="J818">
        <v>3</v>
      </c>
      <c r="K818" t="s">
        <v>3888</v>
      </c>
      <c r="L818">
        <v>96.72</v>
      </c>
      <c r="M818">
        <v>32.24</v>
      </c>
      <c r="N818" t="s">
        <v>4276</v>
      </c>
      <c r="O818" t="s">
        <v>465</v>
      </c>
    </row>
    <row r="819" spans="1:15" x14ac:dyDescent="0.3">
      <c r="A819">
        <v>234685</v>
      </c>
      <c r="B819">
        <v>116</v>
      </c>
      <c r="C819" t="s">
        <v>568</v>
      </c>
      <c r="D819" t="s">
        <v>2314</v>
      </c>
      <c r="E819" t="s">
        <v>2512</v>
      </c>
      <c r="F819" s="452">
        <v>46161</v>
      </c>
      <c r="G819">
        <v>18636</v>
      </c>
      <c r="H819" t="s">
        <v>3921</v>
      </c>
      <c r="I819" t="s">
        <v>3497</v>
      </c>
      <c r="J819">
        <v>8</v>
      </c>
      <c r="K819" t="s">
        <v>3922</v>
      </c>
      <c r="L819">
        <v>3862.4</v>
      </c>
      <c r="M819">
        <v>482.8</v>
      </c>
      <c r="N819" t="s">
        <v>4276</v>
      </c>
      <c r="O819" t="s">
        <v>465</v>
      </c>
    </row>
    <row r="820" spans="1:15" x14ac:dyDescent="0.3">
      <c r="A820">
        <v>234685</v>
      </c>
      <c r="B820">
        <v>116</v>
      </c>
      <c r="C820" t="s">
        <v>568</v>
      </c>
      <c r="D820" t="s">
        <v>2314</v>
      </c>
      <c r="E820" t="s">
        <v>2512</v>
      </c>
      <c r="F820" s="452">
        <v>46161</v>
      </c>
      <c r="G820">
        <v>17918</v>
      </c>
      <c r="H820" t="s">
        <v>4034</v>
      </c>
      <c r="I820" t="s">
        <v>3497</v>
      </c>
      <c r="J820">
        <v>2</v>
      </c>
      <c r="K820" t="s">
        <v>3888</v>
      </c>
      <c r="L820">
        <v>86.4</v>
      </c>
      <c r="M820">
        <v>43.2</v>
      </c>
      <c r="N820" t="s">
        <v>4276</v>
      </c>
      <c r="O820" t="s">
        <v>465</v>
      </c>
    </row>
    <row r="821" spans="1:15" x14ac:dyDescent="0.3">
      <c r="A821">
        <v>234685</v>
      </c>
      <c r="B821">
        <v>116</v>
      </c>
      <c r="C821" t="s">
        <v>568</v>
      </c>
      <c r="D821" t="s">
        <v>2314</v>
      </c>
      <c r="E821" t="s">
        <v>2512</v>
      </c>
      <c r="F821" s="452">
        <v>46161</v>
      </c>
      <c r="G821">
        <v>17916</v>
      </c>
      <c r="H821" t="s">
        <v>4191</v>
      </c>
      <c r="I821" t="s">
        <v>3497</v>
      </c>
      <c r="J821">
        <v>3</v>
      </c>
      <c r="K821" t="s">
        <v>3888</v>
      </c>
      <c r="L821">
        <v>86.4</v>
      </c>
      <c r="M821">
        <v>28.8</v>
      </c>
      <c r="N821" t="s">
        <v>4276</v>
      </c>
      <c r="O821" t="s">
        <v>465</v>
      </c>
    </row>
    <row r="822" spans="1:15" x14ac:dyDescent="0.3">
      <c r="A822">
        <v>234672</v>
      </c>
      <c r="B822">
        <v>116</v>
      </c>
      <c r="C822" t="s">
        <v>568</v>
      </c>
      <c r="D822" t="s">
        <v>2286</v>
      </c>
      <c r="E822" t="s">
        <v>2513</v>
      </c>
      <c r="F822" s="452">
        <v>46163</v>
      </c>
      <c r="G822">
        <v>19623</v>
      </c>
      <c r="H822" t="s">
        <v>3984</v>
      </c>
      <c r="I822" t="s">
        <v>3469</v>
      </c>
      <c r="J822">
        <v>2</v>
      </c>
      <c r="K822" t="s">
        <v>3892</v>
      </c>
      <c r="L822">
        <v>12.4</v>
      </c>
      <c r="M822">
        <v>6.2</v>
      </c>
      <c r="N822" t="s">
        <v>4240</v>
      </c>
      <c r="O822" t="s">
        <v>465</v>
      </c>
    </row>
    <row r="823" spans="1:15" x14ac:dyDescent="0.3">
      <c r="A823">
        <v>234672</v>
      </c>
      <c r="B823">
        <v>116</v>
      </c>
      <c r="C823" t="s">
        <v>568</v>
      </c>
      <c r="D823" t="s">
        <v>2286</v>
      </c>
      <c r="E823" t="s">
        <v>2513</v>
      </c>
      <c r="F823" s="452">
        <v>46163</v>
      </c>
      <c r="G823">
        <v>23361</v>
      </c>
      <c r="H823" t="s">
        <v>4220</v>
      </c>
      <c r="I823" t="s">
        <v>3469</v>
      </c>
      <c r="J823">
        <v>2</v>
      </c>
      <c r="K823" t="s">
        <v>3892</v>
      </c>
      <c r="L823">
        <v>5.8</v>
      </c>
      <c r="M823">
        <v>2.9</v>
      </c>
      <c r="N823" t="s">
        <v>4240</v>
      </c>
      <c r="O823" t="s">
        <v>465</v>
      </c>
    </row>
    <row r="824" spans="1:15" x14ac:dyDescent="0.3">
      <c r="A824">
        <v>234672</v>
      </c>
      <c r="B824">
        <v>116</v>
      </c>
      <c r="C824" t="s">
        <v>568</v>
      </c>
      <c r="D824" t="s">
        <v>2286</v>
      </c>
      <c r="E824" t="s">
        <v>2513</v>
      </c>
      <c r="F824" s="452">
        <v>46163</v>
      </c>
      <c r="G824">
        <v>19506</v>
      </c>
      <c r="H824" t="s">
        <v>4112</v>
      </c>
      <c r="I824" t="s">
        <v>3469</v>
      </c>
      <c r="J824">
        <v>0.2</v>
      </c>
      <c r="K824" t="s">
        <v>3892</v>
      </c>
      <c r="L824">
        <v>10</v>
      </c>
      <c r="M824">
        <v>50</v>
      </c>
      <c r="N824" t="s">
        <v>4240</v>
      </c>
      <c r="O824" t="s">
        <v>465</v>
      </c>
    </row>
    <row r="825" spans="1:15" x14ac:dyDescent="0.3">
      <c r="A825">
        <v>234672</v>
      </c>
      <c r="B825">
        <v>116</v>
      </c>
      <c r="C825" t="s">
        <v>568</v>
      </c>
      <c r="D825" t="s">
        <v>2286</v>
      </c>
      <c r="E825" t="s">
        <v>2513</v>
      </c>
      <c r="F825" s="452">
        <v>46163</v>
      </c>
      <c r="G825">
        <v>19555</v>
      </c>
      <c r="H825" t="s">
        <v>4109</v>
      </c>
      <c r="I825" t="s">
        <v>3469</v>
      </c>
      <c r="J825">
        <v>0.5</v>
      </c>
      <c r="K825" t="s">
        <v>3892</v>
      </c>
      <c r="L825">
        <v>6.5</v>
      </c>
      <c r="M825">
        <v>13</v>
      </c>
      <c r="N825" t="s">
        <v>4240</v>
      </c>
      <c r="O825" t="s">
        <v>465</v>
      </c>
    </row>
    <row r="826" spans="1:15" x14ac:dyDescent="0.3">
      <c r="A826">
        <v>234672</v>
      </c>
      <c r="B826">
        <v>116</v>
      </c>
      <c r="C826" t="s">
        <v>568</v>
      </c>
      <c r="D826" t="s">
        <v>2286</v>
      </c>
      <c r="E826" t="s">
        <v>2513</v>
      </c>
      <c r="F826" s="452">
        <v>46163</v>
      </c>
      <c r="G826">
        <v>23095</v>
      </c>
      <c r="H826" t="s">
        <v>3882</v>
      </c>
      <c r="I826" t="s">
        <v>3469</v>
      </c>
      <c r="J826">
        <v>40</v>
      </c>
      <c r="K826" t="s">
        <v>3872</v>
      </c>
      <c r="L826">
        <v>40</v>
      </c>
      <c r="M826">
        <v>1</v>
      </c>
      <c r="N826" t="s">
        <v>4240</v>
      </c>
      <c r="O826" t="s">
        <v>465</v>
      </c>
    </row>
    <row r="827" spans="1:15" x14ac:dyDescent="0.3">
      <c r="A827">
        <v>234672</v>
      </c>
      <c r="B827">
        <v>116</v>
      </c>
      <c r="C827" t="s">
        <v>568</v>
      </c>
      <c r="D827" t="s">
        <v>2286</v>
      </c>
      <c r="E827" t="s">
        <v>2513</v>
      </c>
      <c r="F827" s="452">
        <v>46163</v>
      </c>
      <c r="G827">
        <v>23120</v>
      </c>
      <c r="H827" t="s">
        <v>4111</v>
      </c>
      <c r="I827" t="s">
        <v>3469</v>
      </c>
      <c r="J827">
        <v>0.2</v>
      </c>
      <c r="K827" t="s">
        <v>3892</v>
      </c>
      <c r="L827">
        <v>13</v>
      </c>
      <c r="M827">
        <v>65</v>
      </c>
      <c r="N827" t="s">
        <v>4240</v>
      </c>
      <c r="O827" t="s">
        <v>465</v>
      </c>
    </row>
    <row r="828" spans="1:15" x14ac:dyDescent="0.3">
      <c r="A828">
        <v>234672</v>
      </c>
      <c r="B828">
        <v>116</v>
      </c>
      <c r="C828" t="s">
        <v>568</v>
      </c>
      <c r="D828" t="s">
        <v>2286</v>
      </c>
      <c r="E828" t="s">
        <v>2513</v>
      </c>
      <c r="F828" s="452">
        <v>46163</v>
      </c>
      <c r="G828">
        <v>19752</v>
      </c>
      <c r="H828" t="s">
        <v>4042</v>
      </c>
      <c r="I828" t="s">
        <v>3469</v>
      </c>
      <c r="J828">
        <v>1</v>
      </c>
      <c r="K828" t="s">
        <v>3892</v>
      </c>
      <c r="L828">
        <v>7</v>
      </c>
      <c r="M828">
        <v>7</v>
      </c>
      <c r="N828" t="s">
        <v>4240</v>
      </c>
      <c r="O828" t="s">
        <v>465</v>
      </c>
    </row>
    <row r="829" spans="1:15" x14ac:dyDescent="0.3">
      <c r="A829">
        <v>234672</v>
      </c>
      <c r="B829">
        <v>116</v>
      </c>
      <c r="C829" t="s">
        <v>568</v>
      </c>
      <c r="D829" t="s">
        <v>2286</v>
      </c>
      <c r="E829" t="s">
        <v>2513</v>
      </c>
      <c r="F829" s="452">
        <v>46163</v>
      </c>
      <c r="G829">
        <v>24598</v>
      </c>
      <c r="H829" t="s">
        <v>4166</v>
      </c>
      <c r="I829" t="s">
        <v>3469</v>
      </c>
      <c r="J829">
        <v>1</v>
      </c>
      <c r="K829" t="s">
        <v>3892</v>
      </c>
      <c r="L829">
        <v>15</v>
      </c>
      <c r="M829">
        <v>15</v>
      </c>
      <c r="N829" t="s">
        <v>4240</v>
      </c>
      <c r="O829" t="s">
        <v>465</v>
      </c>
    </row>
    <row r="830" spans="1:15" x14ac:dyDescent="0.3">
      <c r="A830">
        <v>234672</v>
      </c>
      <c r="B830">
        <v>116</v>
      </c>
      <c r="C830" t="s">
        <v>568</v>
      </c>
      <c r="D830" t="s">
        <v>2286</v>
      </c>
      <c r="E830" t="s">
        <v>2513</v>
      </c>
      <c r="F830" s="452">
        <v>46163</v>
      </c>
      <c r="G830">
        <v>24509</v>
      </c>
      <c r="H830" t="s">
        <v>3906</v>
      </c>
      <c r="I830" t="s">
        <v>3469</v>
      </c>
      <c r="J830">
        <v>6</v>
      </c>
      <c r="K830" t="s">
        <v>3892</v>
      </c>
      <c r="L830">
        <v>28.8</v>
      </c>
      <c r="M830">
        <v>4.8</v>
      </c>
      <c r="N830" t="s">
        <v>4240</v>
      </c>
      <c r="O830" t="s">
        <v>465</v>
      </c>
    </row>
    <row r="831" spans="1:15" x14ac:dyDescent="0.3">
      <c r="A831">
        <v>234672</v>
      </c>
      <c r="B831">
        <v>116</v>
      </c>
      <c r="C831" t="s">
        <v>568</v>
      </c>
      <c r="D831" t="s">
        <v>2286</v>
      </c>
      <c r="E831" t="s">
        <v>2513</v>
      </c>
      <c r="F831" s="452">
        <v>46163</v>
      </c>
      <c r="G831">
        <v>19498</v>
      </c>
      <c r="H831" t="s">
        <v>4065</v>
      </c>
      <c r="I831" t="s">
        <v>3469</v>
      </c>
      <c r="J831">
        <v>1</v>
      </c>
      <c r="K831" t="s">
        <v>3892</v>
      </c>
      <c r="L831">
        <v>13.5</v>
      </c>
      <c r="M831">
        <v>13.5</v>
      </c>
      <c r="N831" t="s">
        <v>4240</v>
      </c>
      <c r="O831" t="s">
        <v>465</v>
      </c>
    </row>
    <row r="832" spans="1:15" x14ac:dyDescent="0.3">
      <c r="A832">
        <v>234672</v>
      </c>
      <c r="B832">
        <v>116</v>
      </c>
      <c r="C832" t="s">
        <v>568</v>
      </c>
      <c r="D832" t="s">
        <v>2286</v>
      </c>
      <c r="E832" t="s">
        <v>2513</v>
      </c>
      <c r="F832" s="452">
        <v>46163</v>
      </c>
      <c r="G832">
        <v>19787</v>
      </c>
      <c r="H832" t="s">
        <v>3940</v>
      </c>
      <c r="I832" t="s">
        <v>3469</v>
      </c>
      <c r="J832">
        <v>3</v>
      </c>
      <c r="K832" t="s">
        <v>3892</v>
      </c>
      <c r="L832">
        <v>17.55</v>
      </c>
      <c r="M832">
        <v>5.85</v>
      </c>
      <c r="N832" t="s">
        <v>4240</v>
      </c>
      <c r="O832" t="s">
        <v>465</v>
      </c>
    </row>
    <row r="833" spans="1:15" x14ac:dyDescent="0.3">
      <c r="A833">
        <v>234672</v>
      </c>
      <c r="B833">
        <v>116</v>
      </c>
      <c r="C833" t="s">
        <v>568</v>
      </c>
      <c r="D833" t="s">
        <v>2286</v>
      </c>
      <c r="E833" t="s">
        <v>2513</v>
      </c>
      <c r="F833" s="452">
        <v>46163</v>
      </c>
      <c r="G833">
        <v>23113</v>
      </c>
      <c r="H833" t="s">
        <v>4079</v>
      </c>
      <c r="I833" t="s">
        <v>3469</v>
      </c>
      <c r="J833">
        <v>1.5</v>
      </c>
      <c r="K833" t="s">
        <v>3892</v>
      </c>
      <c r="L833">
        <v>19.5</v>
      </c>
      <c r="M833">
        <v>13</v>
      </c>
      <c r="N833" t="s">
        <v>4240</v>
      </c>
      <c r="O833" t="s">
        <v>465</v>
      </c>
    </row>
    <row r="834" spans="1:15" x14ac:dyDescent="0.3">
      <c r="A834">
        <v>234672</v>
      </c>
      <c r="B834">
        <v>116</v>
      </c>
      <c r="C834" t="s">
        <v>568</v>
      </c>
      <c r="D834" t="s">
        <v>2286</v>
      </c>
      <c r="E834" t="s">
        <v>2513</v>
      </c>
      <c r="F834" s="452">
        <v>46163</v>
      </c>
      <c r="G834">
        <v>23359</v>
      </c>
      <c r="H834" t="s">
        <v>3932</v>
      </c>
      <c r="I834" t="s">
        <v>3469</v>
      </c>
      <c r="J834">
        <v>10</v>
      </c>
      <c r="K834" t="s">
        <v>3892</v>
      </c>
      <c r="L834">
        <v>22</v>
      </c>
      <c r="M834">
        <v>2.2000000000000002</v>
      </c>
      <c r="N834" t="s">
        <v>4240</v>
      </c>
      <c r="O834" t="s">
        <v>465</v>
      </c>
    </row>
    <row r="835" spans="1:15" x14ac:dyDescent="0.3">
      <c r="A835">
        <v>234672</v>
      </c>
      <c r="B835">
        <v>116</v>
      </c>
      <c r="C835" t="s">
        <v>568</v>
      </c>
      <c r="D835" t="s">
        <v>2286</v>
      </c>
      <c r="E835" t="s">
        <v>2513</v>
      </c>
      <c r="F835" s="452">
        <v>46163</v>
      </c>
      <c r="G835">
        <v>19505</v>
      </c>
      <c r="H835" t="s">
        <v>4101</v>
      </c>
      <c r="I835" t="s">
        <v>3469</v>
      </c>
      <c r="J835">
        <v>1</v>
      </c>
      <c r="K835" t="s">
        <v>3892</v>
      </c>
      <c r="L835">
        <v>9.5</v>
      </c>
      <c r="M835">
        <v>9.5</v>
      </c>
      <c r="N835" t="s">
        <v>4240</v>
      </c>
      <c r="O835" t="s">
        <v>465</v>
      </c>
    </row>
    <row r="836" spans="1:15" x14ac:dyDescent="0.3">
      <c r="A836">
        <v>234672</v>
      </c>
      <c r="B836">
        <v>116</v>
      </c>
      <c r="C836" t="s">
        <v>568</v>
      </c>
      <c r="D836" t="s">
        <v>2286</v>
      </c>
      <c r="E836" t="s">
        <v>2513</v>
      </c>
      <c r="F836" s="452">
        <v>46163</v>
      </c>
      <c r="G836">
        <v>19751</v>
      </c>
      <c r="H836" t="s">
        <v>4019</v>
      </c>
      <c r="I836" t="s">
        <v>3469</v>
      </c>
      <c r="J836">
        <v>2</v>
      </c>
      <c r="K836" t="s">
        <v>3892</v>
      </c>
      <c r="L836">
        <v>17.600000000000001</v>
      </c>
      <c r="M836">
        <v>8.8000000000000007</v>
      </c>
      <c r="N836" t="s">
        <v>4240</v>
      </c>
      <c r="O836" t="s">
        <v>465</v>
      </c>
    </row>
    <row r="837" spans="1:15" x14ac:dyDescent="0.3">
      <c r="A837">
        <v>234672</v>
      </c>
      <c r="B837">
        <v>116</v>
      </c>
      <c r="C837" t="s">
        <v>568</v>
      </c>
      <c r="D837" t="s">
        <v>2286</v>
      </c>
      <c r="E837" t="s">
        <v>2513</v>
      </c>
      <c r="F837" s="452">
        <v>46163</v>
      </c>
      <c r="G837">
        <v>23389</v>
      </c>
      <c r="H837" t="s">
        <v>4016</v>
      </c>
      <c r="I837" t="s">
        <v>3469</v>
      </c>
      <c r="J837">
        <v>6</v>
      </c>
      <c r="K837" t="s">
        <v>3892</v>
      </c>
      <c r="L837">
        <v>33</v>
      </c>
      <c r="M837">
        <v>5.5</v>
      </c>
      <c r="N837" t="s">
        <v>4240</v>
      </c>
      <c r="O837" t="s">
        <v>465</v>
      </c>
    </row>
    <row r="838" spans="1:15" x14ac:dyDescent="0.3">
      <c r="A838">
        <v>234672</v>
      </c>
      <c r="B838">
        <v>116</v>
      </c>
      <c r="C838" t="s">
        <v>568</v>
      </c>
      <c r="D838" t="s">
        <v>2286</v>
      </c>
      <c r="E838" t="s">
        <v>2513</v>
      </c>
      <c r="F838" s="452">
        <v>46163</v>
      </c>
      <c r="G838">
        <v>19553</v>
      </c>
      <c r="H838" t="s">
        <v>4078</v>
      </c>
      <c r="I838" t="s">
        <v>3469</v>
      </c>
      <c r="J838">
        <v>1</v>
      </c>
      <c r="K838" t="s">
        <v>3892</v>
      </c>
      <c r="L838">
        <v>4.8</v>
      </c>
      <c r="M838">
        <v>4.8</v>
      </c>
      <c r="N838" t="s">
        <v>4240</v>
      </c>
      <c r="O838" t="s">
        <v>465</v>
      </c>
    </row>
    <row r="839" spans="1:15" x14ac:dyDescent="0.3">
      <c r="A839">
        <v>234672</v>
      </c>
      <c r="B839">
        <v>116</v>
      </c>
      <c r="C839" t="s">
        <v>568</v>
      </c>
      <c r="D839" t="s">
        <v>2286</v>
      </c>
      <c r="E839" t="s">
        <v>2513</v>
      </c>
      <c r="F839" s="452">
        <v>46163</v>
      </c>
      <c r="G839">
        <v>23236</v>
      </c>
      <c r="H839" t="s">
        <v>4017</v>
      </c>
      <c r="I839" t="s">
        <v>3469</v>
      </c>
      <c r="J839">
        <v>3</v>
      </c>
      <c r="K839" t="s">
        <v>3892</v>
      </c>
      <c r="L839">
        <v>37.5</v>
      </c>
      <c r="M839">
        <v>12.5</v>
      </c>
      <c r="N839" t="s">
        <v>4240</v>
      </c>
      <c r="O839" t="s">
        <v>465</v>
      </c>
    </row>
    <row r="840" spans="1:15" x14ac:dyDescent="0.3">
      <c r="A840">
        <v>234672</v>
      </c>
      <c r="B840">
        <v>116</v>
      </c>
      <c r="C840" t="s">
        <v>568</v>
      </c>
      <c r="D840" t="s">
        <v>2286</v>
      </c>
      <c r="E840" t="s">
        <v>2513</v>
      </c>
      <c r="F840" s="452">
        <v>46163</v>
      </c>
      <c r="G840">
        <v>19488</v>
      </c>
      <c r="H840" t="s">
        <v>4070</v>
      </c>
      <c r="I840" t="s">
        <v>3469</v>
      </c>
      <c r="J840">
        <v>0.5</v>
      </c>
      <c r="K840" t="s">
        <v>3892</v>
      </c>
      <c r="L840">
        <v>6.5</v>
      </c>
      <c r="M840">
        <v>13</v>
      </c>
      <c r="N840" t="s">
        <v>4240</v>
      </c>
      <c r="O840" t="s">
        <v>465</v>
      </c>
    </row>
    <row r="841" spans="1:15" x14ac:dyDescent="0.3">
      <c r="A841">
        <v>234670</v>
      </c>
      <c r="B841">
        <v>116</v>
      </c>
      <c r="C841" t="s">
        <v>568</v>
      </c>
      <c r="D841" t="s">
        <v>2286</v>
      </c>
      <c r="E841" t="s">
        <v>2514</v>
      </c>
      <c r="F841" s="452">
        <v>46164</v>
      </c>
      <c r="G841">
        <v>23361</v>
      </c>
      <c r="H841" t="s">
        <v>4220</v>
      </c>
      <c r="I841" t="s">
        <v>3469</v>
      </c>
      <c r="J841">
        <v>30</v>
      </c>
      <c r="K841" t="s">
        <v>3892</v>
      </c>
      <c r="L841">
        <v>87</v>
      </c>
      <c r="M841">
        <v>2.9</v>
      </c>
      <c r="N841" t="s">
        <v>4240</v>
      </c>
      <c r="O841" t="s">
        <v>465</v>
      </c>
    </row>
    <row r="842" spans="1:15" x14ac:dyDescent="0.3">
      <c r="A842">
        <v>234670</v>
      </c>
      <c r="B842">
        <v>116</v>
      </c>
      <c r="C842" t="s">
        <v>568</v>
      </c>
      <c r="D842" t="s">
        <v>2286</v>
      </c>
      <c r="E842" t="s">
        <v>2514</v>
      </c>
      <c r="F842" s="452">
        <v>46164</v>
      </c>
      <c r="G842">
        <v>23171</v>
      </c>
      <c r="H842" t="s">
        <v>4132</v>
      </c>
      <c r="I842" t="s">
        <v>3469</v>
      </c>
      <c r="J842">
        <v>3</v>
      </c>
      <c r="K842" t="s">
        <v>3892</v>
      </c>
      <c r="L842">
        <v>43.5</v>
      </c>
      <c r="M842">
        <v>14.5</v>
      </c>
      <c r="N842" t="s">
        <v>4240</v>
      </c>
      <c r="O842" t="s">
        <v>465</v>
      </c>
    </row>
    <row r="843" spans="1:15" x14ac:dyDescent="0.3">
      <c r="A843">
        <v>234657</v>
      </c>
      <c r="B843">
        <v>116</v>
      </c>
      <c r="C843" t="s">
        <v>568</v>
      </c>
      <c r="D843" t="s">
        <v>2286</v>
      </c>
      <c r="E843" t="s">
        <v>2515</v>
      </c>
      <c r="F843" s="452">
        <v>46164</v>
      </c>
      <c r="G843">
        <v>23171</v>
      </c>
      <c r="H843" t="s">
        <v>4132</v>
      </c>
      <c r="I843" t="s">
        <v>3469</v>
      </c>
      <c r="J843">
        <v>3</v>
      </c>
      <c r="K843" t="s">
        <v>3892</v>
      </c>
      <c r="L843">
        <v>43.5</v>
      </c>
      <c r="M843">
        <v>14.5</v>
      </c>
      <c r="N843" t="s">
        <v>4240</v>
      </c>
      <c r="O843" t="s">
        <v>465</v>
      </c>
    </row>
    <row r="844" spans="1:15" x14ac:dyDescent="0.3">
      <c r="A844">
        <v>234657</v>
      </c>
      <c r="B844">
        <v>116</v>
      </c>
      <c r="C844" t="s">
        <v>568</v>
      </c>
      <c r="D844" t="s">
        <v>2286</v>
      </c>
      <c r="E844" t="s">
        <v>2515</v>
      </c>
      <c r="F844" s="452">
        <v>46164</v>
      </c>
      <c r="G844">
        <v>23361</v>
      </c>
      <c r="H844" t="s">
        <v>4220</v>
      </c>
      <c r="I844" t="s">
        <v>3469</v>
      </c>
      <c r="J844">
        <v>30</v>
      </c>
      <c r="K844" t="s">
        <v>3892</v>
      </c>
      <c r="L844">
        <v>87</v>
      </c>
      <c r="M844">
        <v>2.9</v>
      </c>
      <c r="N844" t="s">
        <v>4240</v>
      </c>
      <c r="O844" t="s">
        <v>465</v>
      </c>
    </row>
    <row r="845" spans="1:15" x14ac:dyDescent="0.3">
      <c r="A845">
        <v>234644</v>
      </c>
      <c r="B845">
        <v>116</v>
      </c>
      <c r="C845" t="s">
        <v>568</v>
      </c>
      <c r="D845" t="s">
        <v>2465</v>
      </c>
      <c r="E845" t="s">
        <v>2516</v>
      </c>
      <c r="F845" s="452">
        <v>46164</v>
      </c>
      <c r="G845">
        <v>24083</v>
      </c>
      <c r="H845" t="s">
        <v>3898</v>
      </c>
      <c r="I845" t="s">
        <v>3469</v>
      </c>
      <c r="J845">
        <v>25</v>
      </c>
      <c r="K845" t="s">
        <v>3892</v>
      </c>
      <c r="L845">
        <v>205</v>
      </c>
      <c r="M845">
        <v>8.1999999999999993</v>
      </c>
      <c r="N845" t="s">
        <v>4240</v>
      </c>
      <c r="O845" t="s">
        <v>465</v>
      </c>
    </row>
    <row r="846" spans="1:15" x14ac:dyDescent="0.3">
      <c r="A846">
        <v>234643</v>
      </c>
      <c r="B846">
        <v>116</v>
      </c>
      <c r="C846" t="s">
        <v>568</v>
      </c>
      <c r="D846" t="s">
        <v>2265</v>
      </c>
      <c r="E846" t="s">
        <v>926</v>
      </c>
      <c r="F846" s="452">
        <v>46162</v>
      </c>
      <c r="G846">
        <v>17230</v>
      </c>
      <c r="H846" t="s">
        <v>4281</v>
      </c>
      <c r="I846" t="s">
        <v>4199</v>
      </c>
      <c r="J846">
        <v>1</v>
      </c>
      <c r="K846" t="s">
        <v>3872</v>
      </c>
      <c r="L846">
        <v>38.89</v>
      </c>
      <c r="M846">
        <v>38.89</v>
      </c>
      <c r="N846" t="s">
        <v>2176</v>
      </c>
      <c r="O846" t="s">
        <v>465</v>
      </c>
    </row>
    <row r="847" spans="1:15" x14ac:dyDescent="0.3">
      <c r="A847">
        <v>234643</v>
      </c>
      <c r="B847">
        <v>116</v>
      </c>
      <c r="C847" t="s">
        <v>568</v>
      </c>
      <c r="D847" t="s">
        <v>2265</v>
      </c>
      <c r="E847" t="s">
        <v>926</v>
      </c>
      <c r="F847" s="452">
        <v>46162</v>
      </c>
      <c r="G847">
        <v>17162</v>
      </c>
      <c r="H847" t="s">
        <v>4209</v>
      </c>
      <c r="I847" t="s">
        <v>4199</v>
      </c>
      <c r="J847">
        <v>1</v>
      </c>
      <c r="K847" t="s">
        <v>3872</v>
      </c>
      <c r="L847">
        <v>54</v>
      </c>
      <c r="M847">
        <v>54</v>
      </c>
      <c r="N847" t="s">
        <v>2176</v>
      </c>
      <c r="O847" t="s">
        <v>465</v>
      </c>
    </row>
    <row r="848" spans="1:15" x14ac:dyDescent="0.3">
      <c r="A848">
        <v>234643</v>
      </c>
      <c r="B848">
        <v>116</v>
      </c>
      <c r="C848" t="s">
        <v>568</v>
      </c>
      <c r="D848" t="s">
        <v>2265</v>
      </c>
      <c r="E848" t="s">
        <v>926</v>
      </c>
      <c r="F848" s="452">
        <v>46162</v>
      </c>
      <c r="G848">
        <v>17017</v>
      </c>
      <c r="H848" t="s">
        <v>4230</v>
      </c>
      <c r="I848" t="s">
        <v>4199</v>
      </c>
      <c r="J848">
        <v>2</v>
      </c>
      <c r="K848" t="s">
        <v>3888</v>
      </c>
      <c r="L848">
        <v>6</v>
      </c>
      <c r="M848">
        <v>3</v>
      </c>
      <c r="N848" t="s">
        <v>2176</v>
      </c>
      <c r="O848" t="s">
        <v>465</v>
      </c>
    </row>
    <row r="849" spans="1:15" x14ac:dyDescent="0.3">
      <c r="A849">
        <v>234643</v>
      </c>
      <c r="B849">
        <v>116</v>
      </c>
      <c r="C849" t="s">
        <v>568</v>
      </c>
      <c r="D849" t="s">
        <v>2265</v>
      </c>
      <c r="E849" t="s">
        <v>926</v>
      </c>
      <c r="F849" s="452">
        <v>46162</v>
      </c>
      <c r="G849">
        <v>17314</v>
      </c>
      <c r="H849" t="s">
        <v>4204</v>
      </c>
      <c r="I849" t="s">
        <v>4199</v>
      </c>
      <c r="J849">
        <v>2</v>
      </c>
      <c r="K849" t="s">
        <v>3978</v>
      </c>
      <c r="L849">
        <v>11.78</v>
      </c>
      <c r="M849">
        <v>5.89</v>
      </c>
      <c r="N849" t="s">
        <v>2176</v>
      </c>
      <c r="O849" t="s">
        <v>465</v>
      </c>
    </row>
    <row r="850" spans="1:15" x14ac:dyDescent="0.3">
      <c r="A850">
        <v>234643</v>
      </c>
      <c r="B850">
        <v>116</v>
      </c>
      <c r="C850" t="s">
        <v>568</v>
      </c>
      <c r="D850" t="s">
        <v>2265</v>
      </c>
      <c r="E850" t="s">
        <v>926</v>
      </c>
      <c r="F850" s="452">
        <v>46162</v>
      </c>
      <c r="G850">
        <v>21783</v>
      </c>
      <c r="H850" t="s">
        <v>4228</v>
      </c>
      <c r="I850" t="s">
        <v>4202</v>
      </c>
      <c r="J850">
        <v>2</v>
      </c>
      <c r="K850" t="s">
        <v>3872</v>
      </c>
      <c r="L850">
        <v>32</v>
      </c>
      <c r="M850">
        <v>16</v>
      </c>
      <c r="N850" t="s">
        <v>2176</v>
      </c>
      <c r="O850" t="s">
        <v>465</v>
      </c>
    </row>
    <row r="851" spans="1:15" x14ac:dyDescent="0.3">
      <c r="A851">
        <v>234643</v>
      </c>
      <c r="B851">
        <v>116</v>
      </c>
      <c r="C851" t="s">
        <v>568</v>
      </c>
      <c r="D851" t="s">
        <v>2265</v>
      </c>
      <c r="E851" t="s">
        <v>926</v>
      </c>
      <c r="F851" s="452">
        <v>46162</v>
      </c>
      <c r="G851">
        <v>17129</v>
      </c>
      <c r="H851" t="s">
        <v>4200</v>
      </c>
      <c r="I851" t="s">
        <v>4199</v>
      </c>
      <c r="J851">
        <v>1</v>
      </c>
      <c r="K851" t="s">
        <v>3888</v>
      </c>
      <c r="L851">
        <v>26.61</v>
      </c>
      <c r="M851">
        <v>26.61</v>
      </c>
      <c r="N851" t="s">
        <v>2176</v>
      </c>
      <c r="O851" t="s">
        <v>465</v>
      </c>
    </row>
    <row r="852" spans="1:15" x14ac:dyDescent="0.3">
      <c r="A852">
        <v>234643</v>
      </c>
      <c r="B852">
        <v>116</v>
      </c>
      <c r="C852" t="s">
        <v>568</v>
      </c>
      <c r="D852" t="s">
        <v>2265</v>
      </c>
      <c r="E852" t="s">
        <v>926</v>
      </c>
      <c r="F852" s="452">
        <v>46162</v>
      </c>
      <c r="G852">
        <v>17418</v>
      </c>
      <c r="H852" t="s">
        <v>4280</v>
      </c>
      <c r="I852" t="s">
        <v>4199</v>
      </c>
      <c r="J852">
        <v>1</v>
      </c>
      <c r="K852" t="s">
        <v>3881</v>
      </c>
      <c r="L852">
        <v>58.9</v>
      </c>
      <c r="M852">
        <v>58.9</v>
      </c>
      <c r="N852" t="s">
        <v>2176</v>
      </c>
      <c r="O852" t="s">
        <v>465</v>
      </c>
    </row>
    <row r="853" spans="1:15" x14ac:dyDescent="0.3">
      <c r="A853">
        <v>234643</v>
      </c>
      <c r="B853">
        <v>116</v>
      </c>
      <c r="C853" t="s">
        <v>568</v>
      </c>
      <c r="D853" t="s">
        <v>2265</v>
      </c>
      <c r="E853" t="s">
        <v>926</v>
      </c>
      <c r="F853" s="452">
        <v>46162</v>
      </c>
      <c r="G853">
        <v>17341</v>
      </c>
      <c r="H853" t="s">
        <v>4232</v>
      </c>
      <c r="I853" t="s">
        <v>4199</v>
      </c>
      <c r="J853">
        <v>1</v>
      </c>
      <c r="K853" t="s">
        <v>3931</v>
      </c>
      <c r="L853">
        <v>74.8</v>
      </c>
      <c r="M853">
        <v>74.8</v>
      </c>
      <c r="N853" t="s">
        <v>2176</v>
      </c>
      <c r="O853" t="s">
        <v>465</v>
      </c>
    </row>
    <row r="854" spans="1:15" x14ac:dyDescent="0.3">
      <c r="A854">
        <v>234643</v>
      </c>
      <c r="B854">
        <v>116</v>
      </c>
      <c r="C854" t="s">
        <v>568</v>
      </c>
      <c r="D854" t="s">
        <v>2265</v>
      </c>
      <c r="E854" t="s">
        <v>926</v>
      </c>
      <c r="F854" s="452">
        <v>46162</v>
      </c>
      <c r="G854">
        <v>17185</v>
      </c>
      <c r="H854" t="s">
        <v>4210</v>
      </c>
      <c r="I854" t="s">
        <v>4199</v>
      </c>
      <c r="J854">
        <v>1</v>
      </c>
      <c r="K854" t="s">
        <v>3978</v>
      </c>
      <c r="L854">
        <v>38</v>
      </c>
      <c r="M854">
        <v>38</v>
      </c>
      <c r="N854" t="s">
        <v>2176</v>
      </c>
      <c r="O854" t="s">
        <v>465</v>
      </c>
    </row>
    <row r="855" spans="1:15" x14ac:dyDescent="0.3">
      <c r="A855">
        <v>234643</v>
      </c>
      <c r="B855">
        <v>116</v>
      </c>
      <c r="C855" t="s">
        <v>568</v>
      </c>
      <c r="D855" t="s">
        <v>2265</v>
      </c>
      <c r="E855" t="s">
        <v>926</v>
      </c>
      <c r="F855" s="452">
        <v>46162</v>
      </c>
      <c r="G855">
        <v>17304</v>
      </c>
      <c r="H855" t="s">
        <v>4206</v>
      </c>
      <c r="I855" t="s">
        <v>4199</v>
      </c>
      <c r="J855">
        <v>2</v>
      </c>
      <c r="K855" t="s">
        <v>3978</v>
      </c>
      <c r="L855">
        <v>13.18</v>
      </c>
      <c r="M855">
        <v>6.59</v>
      </c>
      <c r="N855" t="s">
        <v>2176</v>
      </c>
      <c r="O855" t="s">
        <v>465</v>
      </c>
    </row>
    <row r="856" spans="1:15" x14ac:dyDescent="0.3">
      <c r="A856">
        <v>234643</v>
      </c>
      <c r="B856">
        <v>116</v>
      </c>
      <c r="C856" t="s">
        <v>568</v>
      </c>
      <c r="D856" t="s">
        <v>2265</v>
      </c>
      <c r="E856" t="s">
        <v>926</v>
      </c>
      <c r="F856" s="452">
        <v>46162</v>
      </c>
      <c r="G856">
        <v>17496</v>
      </c>
      <c r="H856" t="s">
        <v>4227</v>
      </c>
      <c r="I856" t="s">
        <v>4202</v>
      </c>
      <c r="J856">
        <v>2</v>
      </c>
      <c r="K856" t="s">
        <v>3881</v>
      </c>
      <c r="L856">
        <v>54</v>
      </c>
      <c r="M856">
        <v>27</v>
      </c>
      <c r="N856" t="s">
        <v>2176</v>
      </c>
      <c r="O856" t="s">
        <v>465</v>
      </c>
    </row>
    <row r="857" spans="1:15" x14ac:dyDescent="0.3">
      <c r="A857">
        <v>234643</v>
      </c>
      <c r="B857">
        <v>116</v>
      </c>
      <c r="C857" t="s">
        <v>568</v>
      </c>
      <c r="D857" t="s">
        <v>2265</v>
      </c>
      <c r="E857" t="s">
        <v>926</v>
      </c>
      <c r="F857" s="452">
        <v>46162</v>
      </c>
      <c r="G857">
        <v>17416</v>
      </c>
      <c r="H857" t="s">
        <v>4205</v>
      </c>
      <c r="I857" t="s">
        <v>4199</v>
      </c>
      <c r="J857">
        <v>3</v>
      </c>
      <c r="K857" t="s">
        <v>3881</v>
      </c>
      <c r="L857">
        <v>145.74</v>
      </c>
      <c r="M857">
        <v>48.58</v>
      </c>
      <c r="N857" t="s">
        <v>2176</v>
      </c>
      <c r="O857" t="s">
        <v>465</v>
      </c>
    </row>
    <row r="858" spans="1:15" x14ac:dyDescent="0.3">
      <c r="A858">
        <v>234643</v>
      </c>
      <c r="B858">
        <v>116</v>
      </c>
      <c r="C858" t="s">
        <v>568</v>
      </c>
      <c r="D858" t="s">
        <v>2265</v>
      </c>
      <c r="E858" t="s">
        <v>926</v>
      </c>
      <c r="F858" s="452">
        <v>46162</v>
      </c>
      <c r="G858">
        <v>17455</v>
      </c>
      <c r="H858" t="s">
        <v>4231</v>
      </c>
      <c r="I858" t="s">
        <v>4199</v>
      </c>
      <c r="J858">
        <v>2</v>
      </c>
      <c r="K858" t="s">
        <v>3872</v>
      </c>
      <c r="L858">
        <v>70.540000000000006</v>
      </c>
      <c r="M858">
        <v>35.270000000000003</v>
      </c>
      <c r="N858" t="s">
        <v>2176</v>
      </c>
      <c r="O858" t="s">
        <v>465</v>
      </c>
    </row>
    <row r="859" spans="1:15" x14ac:dyDescent="0.3">
      <c r="A859">
        <v>234643</v>
      </c>
      <c r="B859">
        <v>116</v>
      </c>
      <c r="C859" t="s">
        <v>568</v>
      </c>
      <c r="D859" t="s">
        <v>2265</v>
      </c>
      <c r="E859" t="s">
        <v>926</v>
      </c>
      <c r="F859" s="452">
        <v>46162</v>
      </c>
      <c r="G859">
        <v>17437</v>
      </c>
      <c r="H859" t="s">
        <v>4198</v>
      </c>
      <c r="I859" t="s">
        <v>4199</v>
      </c>
      <c r="J859">
        <v>10</v>
      </c>
      <c r="K859" t="s">
        <v>3872</v>
      </c>
      <c r="L859">
        <v>23</v>
      </c>
      <c r="M859">
        <v>2.2999999999999998</v>
      </c>
      <c r="N859" t="s">
        <v>2176</v>
      </c>
      <c r="O859" t="s">
        <v>465</v>
      </c>
    </row>
    <row r="860" spans="1:15" x14ac:dyDescent="0.3">
      <c r="A860">
        <v>234643</v>
      </c>
      <c r="B860">
        <v>116</v>
      </c>
      <c r="C860" t="s">
        <v>568</v>
      </c>
      <c r="D860" t="s">
        <v>2265</v>
      </c>
      <c r="E860" t="s">
        <v>926</v>
      </c>
      <c r="F860" s="452">
        <v>46162</v>
      </c>
      <c r="G860">
        <v>17215</v>
      </c>
      <c r="H860" t="s">
        <v>4283</v>
      </c>
      <c r="I860" t="s">
        <v>4199</v>
      </c>
      <c r="J860">
        <v>5</v>
      </c>
      <c r="K860" t="s">
        <v>3978</v>
      </c>
      <c r="L860">
        <v>90</v>
      </c>
      <c r="M860">
        <v>18</v>
      </c>
      <c r="N860" t="s">
        <v>2176</v>
      </c>
      <c r="O860" t="s">
        <v>465</v>
      </c>
    </row>
    <row r="861" spans="1:15" x14ac:dyDescent="0.3">
      <c r="A861">
        <v>234642</v>
      </c>
      <c r="B861">
        <v>116</v>
      </c>
      <c r="C861" t="s">
        <v>568</v>
      </c>
      <c r="D861" t="s">
        <v>2468</v>
      </c>
      <c r="E861" t="s">
        <v>2517</v>
      </c>
      <c r="F861" s="452">
        <v>46143</v>
      </c>
      <c r="G861">
        <v>27312</v>
      </c>
      <c r="H861" t="s">
        <v>3927</v>
      </c>
      <c r="I861" t="s">
        <v>3469</v>
      </c>
      <c r="J861">
        <v>25.22</v>
      </c>
      <c r="K861" t="s">
        <v>3892</v>
      </c>
      <c r="L861">
        <v>1223.17</v>
      </c>
      <c r="M861">
        <v>48.5</v>
      </c>
      <c r="N861" t="s">
        <v>4293</v>
      </c>
      <c r="O861" t="s">
        <v>465</v>
      </c>
    </row>
    <row r="862" spans="1:15" x14ac:dyDescent="0.3">
      <c r="A862">
        <v>234642</v>
      </c>
      <c r="B862">
        <v>116</v>
      </c>
      <c r="C862" t="s">
        <v>568</v>
      </c>
      <c r="D862" t="s">
        <v>2468</v>
      </c>
      <c r="E862" t="s">
        <v>2517</v>
      </c>
      <c r="F862" s="452">
        <v>46143</v>
      </c>
      <c r="G862">
        <v>24402</v>
      </c>
      <c r="H862" t="s">
        <v>3896</v>
      </c>
      <c r="I862" t="s">
        <v>3469</v>
      </c>
      <c r="J862">
        <v>21.08</v>
      </c>
      <c r="K862" t="s">
        <v>3892</v>
      </c>
      <c r="L862">
        <v>792.61</v>
      </c>
      <c r="M862">
        <v>37.600095000000003</v>
      </c>
      <c r="N862" t="s">
        <v>4293</v>
      </c>
      <c r="O862" t="s">
        <v>465</v>
      </c>
    </row>
    <row r="863" spans="1:15" x14ac:dyDescent="0.3">
      <c r="A863">
        <v>234638</v>
      </c>
      <c r="B863">
        <v>116</v>
      </c>
      <c r="C863" t="s">
        <v>568</v>
      </c>
      <c r="D863" t="s">
        <v>2258</v>
      </c>
      <c r="E863" t="s">
        <v>2518</v>
      </c>
      <c r="F863" s="452">
        <v>46163</v>
      </c>
      <c r="G863">
        <v>17006</v>
      </c>
      <c r="H863" t="s">
        <v>4128</v>
      </c>
      <c r="I863" t="s">
        <v>3469</v>
      </c>
      <c r="J863">
        <v>14.15</v>
      </c>
      <c r="K863" t="s">
        <v>3892</v>
      </c>
      <c r="L863">
        <v>183.95</v>
      </c>
      <c r="M863">
        <v>13</v>
      </c>
      <c r="N863" t="s">
        <v>4240</v>
      </c>
      <c r="O863" t="s">
        <v>465</v>
      </c>
    </row>
    <row r="864" spans="1:15" x14ac:dyDescent="0.3">
      <c r="A864">
        <v>233780</v>
      </c>
      <c r="B864">
        <v>116</v>
      </c>
      <c r="C864" t="s">
        <v>568</v>
      </c>
      <c r="D864" t="s">
        <v>2282</v>
      </c>
      <c r="E864" t="s">
        <v>2519</v>
      </c>
      <c r="F864" s="452">
        <v>46160</v>
      </c>
      <c r="G864">
        <v>24497</v>
      </c>
      <c r="H864" t="s">
        <v>4214</v>
      </c>
      <c r="I864" t="s">
        <v>4215</v>
      </c>
      <c r="J864">
        <v>2</v>
      </c>
      <c r="K864" t="s">
        <v>3872</v>
      </c>
      <c r="L864">
        <v>269.10000000000002</v>
      </c>
      <c r="M864">
        <v>134.55000000000001</v>
      </c>
      <c r="N864" t="s">
        <v>4239</v>
      </c>
      <c r="O864" t="s">
        <v>465</v>
      </c>
    </row>
    <row r="865" spans="1:15" x14ac:dyDescent="0.3">
      <c r="A865">
        <v>233779</v>
      </c>
      <c r="B865">
        <v>116</v>
      </c>
      <c r="C865" t="s">
        <v>568</v>
      </c>
      <c r="D865" t="s">
        <v>2273</v>
      </c>
      <c r="E865" t="s">
        <v>2520</v>
      </c>
      <c r="F865" s="452">
        <v>46160</v>
      </c>
      <c r="G865">
        <v>19465</v>
      </c>
      <c r="H865" t="s">
        <v>4080</v>
      </c>
      <c r="I865" t="s">
        <v>3469</v>
      </c>
      <c r="J865">
        <v>1.1499999999999999</v>
      </c>
      <c r="K865" t="s">
        <v>3892</v>
      </c>
      <c r="L865">
        <v>7.51</v>
      </c>
      <c r="M865">
        <v>6.5304349999999998</v>
      </c>
      <c r="N865" t="s">
        <v>4240</v>
      </c>
      <c r="O865" t="s">
        <v>465</v>
      </c>
    </row>
    <row r="866" spans="1:15" x14ac:dyDescent="0.3">
      <c r="A866">
        <v>233779</v>
      </c>
      <c r="B866">
        <v>116</v>
      </c>
      <c r="C866" t="s">
        <v>568</v>
      </c>
      <c r="D866" t="s">
        <v>2273</v>
      </c>
      <c r="E866" t="s">
        <v>2520</v>
      </c>
      <c r="F866" s="452">
        <v>46160</v>
      </c>
      <c r="G866">
        <v>23171</v>
      </c>
      <c r="H866" t="s">
        <v>4132</v>
      </c>
      <c r="I866" t="s">
        <v>3469</v>
      </c>
      <c r="J866">
        <v>3.1</v>
      </c>
      <c r="K866" t="s">
        <v>3892</v>
      </c>
      <c r="L866">
        <v>29.23</v>
      </c>
      <c r="M866">
        <v>9.4290319999999994</v>
      </c>
      <c r="N866" t="s">
        <v>4240</v>
      </c>
      <c r="O866" t="s">
        <v>465</v>
      </c>
    </row>
    <row r="867" spans="1:15" x14ac:dyDescent="0.3">
      <c r="A867">
        <v>233779</v>
      </c>
      <c r="B867">
        <v>116</v>
      </c>
      <c r="C867" t="s">
        <v>568</v>
      </c>
      <c r="D867" t="s">
        <v>2273</v>
      </c>
      <c r="E867" t="s">
        <v>2520</v>
      </c>
      <c r="F867" s="452">
        <v>46160</v>
      </c>
      <c r="G867">
        <v>19634</v>
      </c>
      <c r="H867" t="s">
        <v>4068</v>
      </c>
      <c r="I867" t="s">
        <v>3469</v>
      </c>
      <c r="J867">
        <v>2</v>
      </c>
      <c r="K867" t="s">
        <v>3892</v>
      </c>
      <c r="L867">
        <v>15.22</v>
      </c>
      <c r="M867">
        <v>7.61</v>
      </c>
      <c r="N867" t="s">
        <v>4240</v>
      </c>
      <c r="O867" t="s">
        <v>465</v>
      </c>
    </row>
    <row r="868" spans="1:15" x14ac:dyDescent="0.3">
      <c r="A868">
        <v>233779</v>
      </c>
      <c r="B868">
        <v>116</v>
      </c>
      <c r="C868" t="s">
        <v>568</v>
      </c>
      <c r="D868" t="s">
        <v>2273</v>
      </c>
      <c r="E868" t="s">
        <v>2520</v>
      </c>
      <c r="F868" s="452">
        <v>46160</v>
      </c>
      <c r="G868">
        <v>23236</v>
      </c>
      <c r="H868" t="s">
        <v>4017</v>
      </c>
      <c r="I868" t="s">
        <v>3469</v>
      </c>
      <c r="J868">
        <v>3</v>
      </c>
      <c r="K868" t="s">
        <v>3892</v>
      </c>
      <c r="L868">
        <v>38.07</v>
      </c>
      <c r="M868">
        <v>12.69</v>
      </c>
      <c r="N868" t="s">
        <v>4240</v>
      </c>
      <c r="O868" t="s">
        <v>465</v>
      </c>
    </row>
    <row r="869" spans="1:15" x14ac:dyDescent="0.3">
      <c r="A869">
        <v>233779</v>
      </c>
      <c r="B869">
        <v>116</v>
      </c>
      <c r="C869" t="s">
        <v>568</v>
      </c>
      <c r="D869" t="s">
        <v>2273</v>
      </c>
      <c r="E869" t="s">
        <v>2520</v>
      </c>
      <c r="F869" s="452">
        <v>46160</v>
      </c>
      <c r="G869">
        <v>19647</v>
      </c>
      <c r="H869" t="s">
        <v>4066</v>
      </c>
      <c r="I869" t="s">
        <v>3469</v>
      </c>
      <c r="J869">
        <v>1.04</v>
      </c>
      <c r="K869" t="s">
        <v>3892</v>
      </c>
      <c r="L869">
        <v>18.399999999999999</v>
      </c>
      <c r="M869">
        <v>17.692308000000001</v>
      </c>
      <c r="N869" t="s">
        <v>4240</v>
      </c>
      <c r="O869" t="s">
        <v>465</v>
      </c>
    </row>
    <row r="870" spans="1:15" x14ac:dyDescent="0.3">
      <c r="A870">
        <v>233779</v>
      </c>
      <c r="B870">
        <v>116</v>
      </c>
      <c r="C870" t="s">
        <v>568</v>
      </c>
      <c r="D870" t="s">
        <v>2273</v>
      </c>
      <c r="E870" t="s">
        <v>2520</v>
      </c>
      <c r="F870" s="452">
        <v>46160</v>
      </c>
      <c r="G870">
        <v>19458</v>
      </c>
      <c r="H870" t="s">
        <v>4212</v>
      </c>
      <c r="I870" t="s">
        <v>3469</v>
      </c>
      <c r="J870">
        <v>1.25</v>
      </c>
      <c r="K870" t="s">
        <v>3892</v>
      </c>
      <c r="L870">
        <v>20.3</v>
      </c>
      <c r="M870">
        <v>16.239999999999998</v>
      </c>
      <c r="N870" t="s">
        <v>4240</v>
      </c>
      <c r="O870" t="s">
        <v>465</v>
      </c>
    </row>
    <row r="871" spans="1:15" x14ac:dyDescent="0.3">
      <c r="A871">
        <v>233779</v>
      </c>
      <c r="B871">
        <v>116</v>
      </c>
      <c r="C871" t="s">
        <v>568</v>
      </c>
      <c r="D871" t="s">
        <v>2273</v>
      </c>
      <c r="E871" t="s">
        <v>2520</v>
      </c>
      <c r="F871" s="452">
        <v>46160</v>
      </c>
      <c r="G871">
        <v>19642</v>
      </c>
      <c r="H871" t="s">
        <v>4067</v>
      </c>
      <c r="I871" t="s">
        <v>3469</v>
      </c>
      <c r="J871">
        <v>1.1499999999999999</v>
      </c>
      <c r="K871" t="s">
        <v>3892</v>
      </c>
      <c r="L871">
        <v>6.34</v>
      </c>
      <c r="M871">
        <v>5.5130429999999997</v>
      </c>
      <c r="N871" t="s">
        <v>4240</v>
      </c>
      <c r="O871" t="s">
        <v>465</v>
      </c>
    </row>
    <row r="872" spans="1:15" x14ac:dyDescent="0.3">
      <c r="A872">
        <v>233779</v>
      </c>
      <c r="B872">
        <v>116</v>
      </c>
      <c r="C872" t="s">
        <v>568</v>
      </c>
      <c r="D872" t="s">
        <v>2273</v>
      </c>
      <c r="E872" t="s">
        <v>2520</v>
      </c>
      <c r="F872" s="452">
        <v>46160</v>
      </c>
      <c r="G872">
        <v>19558</v>
      </c>
      <c r="H872" t="s">
        <v>4183</v>
      </c>
      <c r="I872" t="s">
        <v>3469</v>
      </c>
      <c r="J872">
        <v>1.1499999999999999</v>
      </c>
      <c r="K872" t="s">
        <v>3892</v>
      </c>
      <c r="L872">
        <v>23.34</v>
      </c>
      <c r="M872">
        <v>20.295652</v>
      </c>
      <c r="N872" t="s">
        <v>4240</v>
      </c>
      <c r="O872" t="s">
        <v>465</v>
      </c>
    </row>
    <row r="873" spans="1:15" x14ac:dyDescent="0.3">
      <c r="A873">
        <v>233779</v>
      </c>
      <c r="B873">
        <v>116</v>
      </c>
      <c r="C873" t="s">
        <v>568</v>
      </c>
      <c r="D873" t="s">
        <v>2273</v>
      </c>
      <c r="E873" t="s">
        <v>2520</v>
      </c>
      <c r="F873" s="452">
        <v>46160</v>
      </c>
      <c r="G873">
        <v>19572</v>
      </c>
      <c r="H873" t="s">
        <v>4023</v>
      </c>
      <c r="I873" t="s">
        <v>3469</v>
      </c>
      <c r="J873">
        <v>1.1000000000000001</v>
      </c>
      <c r="K873" t="s">
        <v>3892</v>
      </c>
      <c r="L873">
        <v>8.86</v>
      </c>
      <c r="M873">
        <v>8.0545449999999992</v>
      </c>
      <c r="N873" t="s">
        <v>4240</v>
      </c>
      <c r="O873" t="s">
        <v>465</v>
      </c>
    </row>
    <row r="874" spans="1:15" x14ac:dyDescent="0.3">
      <c r="A874">
        <v>233779</v>
      </c>
      <c r="B874">
        <v>116</v>
      </c>
      <c r="C874" t="s">
        <v>568</v>
      </c>
      <c r="D874" t="s">
        <v>2273</v>
      </c>
      <c r="E874" t="s">
        <v>2520</v>
      </c>
      <c r="F874" s="452">
        <v>46160</v>
      </c>
      <c r="G874">
        <v>19652</v>
      </c>
      <c r="H874" t="s">
        <v>4014</v>
      </c>
      <c r="I874" t="s">
        <v>3469</v>
      </c>
      <c r="J874">
        <v>1.1000000000000001</v>
      </c>
      <c r="K874" t="s">
        <v>3892</v>
      </c>
      <c r="L874">
        <v>23.93</v>
      </c>
      <c r="M874">
        <v>21.754545</v>
      </c>
      <c r="N874" t="s">
        <v>4240</v>
      </c>
      <c r="O874" t="s">
        <v>465</v>
      </c>
    </row>
    <row r="875" spans="1:15" x14ac:dyDescent="0.3">
      <c r="A875">
        <v>233778</v>
      </c>
      <c r="B875">
        <v>116</v>
      </c>
      <c r="C875" t="s">
        <v>568</v>
      </c>
      <c r="D875" t="s">
        <v>2280</v>
      </c>
      <c r="E875" t="s">
        <v>2521</v>
      </c>
      <c r="F875" s="452">
        <v>46160</v>
      </c>
      <c r="G875">
        <v>19740</v>
      </c>
      <c r="H875" t="s">
        <v>3933</v>
      </c>
      <c r="I875" t="s">
        <v>3469</v>
      </c>
      <c r="J875">
        <v>4</v>
      </c>
      <c r="K875" t="s">
        <v>3892</v>
      </c>
      <c r="L875">
        <v>41.6</v>
      </c>
      <c r="M875">
        <v>10.4</v>
      </c>
      <c r="N875" t="s">
        <v>3469</v>
      </c>
      <c r="O875" t="s">
        <v>465</v>
      </c>
    </row>
    <row r="876" spans="1:15" x14ac:dyDescent="0.3">
      <c r="A876">
        <v>233778</v>
      </c>
      <c r="B876">
        <v>116</v>
      </c>
      <c r="C876" t="s">
        <v>568</v>
      </c>
      <c r="D876" t="s">
        <v>2280</v>
      </c>
      <c r="E876" t="s">
        <v>2521</v>
      </c>
      <c r="F876" s="452">
        <v>46160</v>
      </c>
      <c r="G876">
        <v>19555</v>
      </c>
      <c r="H876" t="s">
        <v>4109</v>
      </c>
      <c r="I876" t="s">
        <v>3469</v>
      </c>
      <c r="J876">
        <v>0.5</v>
      </c>
      <c r="K876" t="s">
        <v>3892</v>
      </c>
      <c r="L876">
        <v>7.58</v>
      </c>
      <c r="M876">
        <v>15.16</v>
      </c>
      <c r="N876" t="s">
        <v>3469</v>
      </c>
      <c r="O876" t="s">
        <v>465</v>
      </c>
    </row>
    <row r="877" spans="1:15" x14ac:dyDescent="0.3">
      <c r="A877">
        <v>233778</v>
      </c>
      <c r="B877">
        <v>116</v>
      </c>
      <c r="C877" t="s">
        <v>568</v>
      </c>
      <c r="D877" t="s">
        <v>2280</v>
      </c>
      <c r="E877" t="s">
        <v>2521</v>
      </c>
      <c r="F877" s="452">
        <v>46160</v>
      </c>
      <c r="G877">
        <v>19672</v>
      </c>
      <c r="H877" t="s">
        <v>4024</v>
      </c>
      <c r="I877" t="s">
        <v>3469</v>
      </c>
      <c r="J877">
        <v>2</v>
      </c>
      <c r="K877" t="s">
        <v>3892</v>
      </c>
      <c r="L877">
        <v>26</v>
      </c>
      <c r="M877">
        <v>13</v>
      </c>
      <c r="N877" t="s">
        <v>3469</v>
      </c>
      <c r="O877" t="s">
        <v>465</v>
      </c>
    </row>
    <row r="878" spans="1:15" x14ac:dyDescent="0.3">
      <c r="A878">
        <v>233778</v>
      </c>
      <c r="B878">
        <v>116</v>
      </c>
      <c r="C878" t="s">
        <v>568</v>
      </c>
      <c r="D878" t="s">
        <v>2280</v>
      </c>
      <c r="E878" t="s">
        <v>2521</v>
      </c>
      <c r="F878" s="452">
        <v>46160</v>
      </c>
      <c r="G878">
        <v>23142</v>
      </c>
      <c r="H878" t="s">
        <v>4151</v>
      </c>
      <c r="I878" t="s">
        <v>3469</v>
      </c>
      <c r="J878">
        <v>1</v>
      </c>
      <c r="K878" t="s">
        <v>3892</v>
      </c>
      <c r="L878">
        <v>20.8</v>
      </c>
      <c r="M878">
        <v>20.8</v>
      </c>
      <c r="N878" t="s">
        <v>3469</v>
      </c>
      <c r="O878" t="s">
        <v>465</v>
      </c>
    </row>
    <row r="879" spans="1:15" x14ac:dyDescent="0.3">
      <c r="A879">
        <v>233778</v>
      </c>
      <c r="B879">
        <v>116</v>
      </c>
      <c r="C879" t="s">
        <v>568</v>
      </c>
      <c r="D879" t="s">
        <v>2280</v>
      </c>
      <c r="E879" t="s">
        <v>2521</v>
      </c>
      <c r="F879" s="452">
        <v>46160</v>
      </c>
      <c r="G879">
        <v>23096</v>
      </c>
      <c r="H879" t="s">
        <v>3876</v>
      </c>
      <c r="I879" t="s">
        <v>3469</v>
      </c>
      <c r="J879">
        <v>30</v>
      </c>
      <c r="K879" t="s">
        <v>3872</v>
      </c>
      <c r="L879">
        <v>18.600000000000001</v>
      </c>
      <c r="M879">
        <v>0.62</v>
      </c>
      <c r="N879" t="s">
        <v>3469</v>
      </c>
      <c r="O879" t="s">
        <v>465</v>
      </c>
    </row>
    <row r="880" spans="1:15" x14ac:dyDescent="0.3">
      <c r="A880">
        <v>233777</v>
      </c>
      <c r="B880">
        <v>116</v>
      </c>
      <c r="C880" t="s">
        <v>568</v>
      </c>
      <c r="D880" t="s">
        <v>2465</v>
      </c>
      <c r="E880" t="s">
        <v>2522</v>
      </c>
      <c r="F880" s="452">
        <v>46160</v>
      </c>
      <c r="G880">
        <v>24083</v>
      </c>
      <c r="H880" t="s">
        <v>3898</v>
      </c>
      <c r="I880" t="s">
        <v>3469</v>
      </c>
      <c r="J880">
        <v>10</v>
      </c>
      <c r="K880" t="s">
        <v>3892</v>
      </c>
      <c r="L880">
        <v>82</v>
      </c>
      <c r="M880">
        <v>8.1999999999999993</v>
      </c>
      <c r="N880" t="s">
        <v>4240</v>
      </c>
      <c r="O880" t="s">
        <v>465</v>
      </c>
    </row>
    <row r="881" spans="1:15" x14ac:dyDescent="0.3">
      <c r="A881">
        <v>233776</v>
      </c>
      <c r="B881">
        <v>116</v>
      </c>
      <c r="C881" t="s">
        <v>568</v>
      </c>
      <c r="D881" t="s">
        <v>2286</v>
      </c>
      <c r="E881" t="s">
        <v>2523</v>
      </c>
      <c r="F881" s="452">
        <v>46160</v>
      </c>
      <c r="G881">
        <v>23095</v>
      </c>
      <c r="H881" t="s">
        <v>3882</v>
      </c>
      <c r="I881" t="s">
        <v>3469</v>
      </c>
      <c r="J881">
        <v>40</v>
      </c>
      <c r="K881" t="s">
        <v>3872</v>
      </c>
      <c r="L881">
        <v>41.2</v>
      </c>
      <c r="M881">
        <v>1.03</v>
      </c>
      <c r="N881" t="s">
        <v>4240</v>
      </c>
      <c r="O881" t="s">
        <v>465</v>
      </c>
    </row>
    <row r="882" spans="1:15" x14ac:dyDescent="0.3">
      <c r="A882">
        <v>233776</v>
      </c>
      <c r="B882">
        <v>116</v>
      </c>
      <c r="C882" t="s">
        <v>568</v>
      </c>
      <c r="D882" t="s">
        <v>2286</v>
      </c>
      <c r="E882" t="s">
        <v>2523</v>
      </c>
      <c r="F882" s="452">
        <v>46160</v>
      </c>
      <c r="G882">
        <v>23113</v>
      </c>
      <c r="H882" t="s">
        <v>4079</v>
      </c>
      <c r="I882" t="s">
        <v>3469</v>
      </c>
      <c r="J882">
        <v>1.5</v>
      </c>
      <c r="K882" t="s">
        <v>3892</v>
      </c>
      <c r="L882">
        <v>22.5</v>
      </c>
      <c r="M882">
        <v>15</v>
      </c>
      <c r="N882" t="s">
        <v>4240</v>
      </c>
      <c r="O882" t="s">
        <v>465</v>
      </c>
    </row>
    <row r="883" spans="1:15" x14ac:dyDescent="0.3">
      <c r="A883">
        <v>233776</v>
      </c>
      <c r="B883">
        <v>116</v>
      </c>
      <c r="C883" t="s">
        <v>568</v>
      </c>
      <c r="D883" t="s">
        <v>2286</v>
      </c>
      <c r="E883" t="s">
        <v>2523</v>
      </c>
      <c r="F883" s="452">
        <v>46160</v>
      </c>
      <c r="G883">
        <v>19505</v>
      </c>
      <c r="H883" t="s">
        <v>4101</v>
      </c>
      <c r="I883" t="s">
        <v>3469</v>
      </c>
      <c r="J883">
        <v>1</v>
      </c>
      <c r="K883" t="s">
        <v>3892</v>
      </c>
      <c r="L883">
        <v>11.5</v>
      </c>
      <c r="M883">
        <v>11.5</v>
      </c>
      <c r="N883" t="s">
        <v>4240</v>
      </c>
      <c r="O883" t="s">
        <v>465</v>
      </c>
    </row>
    <row r="884" spans="1:15" x14ac:dyDescent="0.3">
      <c r="A884">
        <v>233776</v>
      </c>
      <c r="B884">
        <v>116</v>
      </c>
      <c r="C884" t="s">
        <v>568</v>
      </c>
      <c r="D884" t="s">
        <v>2286</v>
      </c>
      <c r="E884" t="s">
        <v>2523</v>
      </c>
      <c r="F884" s="452">
        <v>46160</v>
      </c>
      <c r="G884">
        <v>19617</v>
      </c>
      <c r="H884" t="s">
        <v>4110</v>
      </c>
      <c r="I884" t="s">
        <v>3469</v>
      </c>
      <c r="J884">
        <v>0.5</v>
      </c>
      <c r="K884" t="s">
        <v>3892</v>
      </c>
      <c r="L884">
        <v>15</v>
      </c>
      <c r="M884">
        <v>30</v>
      </c>
      <c r="N884" t="s">
        <v>4240</v>
      </c>
      <c r="O884" t="s">
        <v>465</v>
      </c>
    </row>
    <row r="885" spans="1:15" x14ac:dyDescent="0.3">
      <c r="A885">
        <v>233776</v>
      </c>
      <c r="B885">
        <v>116</v>
      </c>
      <c r="C885" t="s">
        <v>568</v>
      </c>
      <c r="D885" t="s">
        <v>2286</v>
      </c>
      <c r="E885" t="s">
        <v>2523</v>
      </c>
      <c r="F885" s="452">
        <v>46160</v>
      </c>
      <c r="G885">
        <v>23361</v>
      </c>
      <c r="H885" t="s">
        <v>4220</v>
      </c>
      <c r="I885" t="s">
        <v>3469</v>
      </c>
      <c r="J885">
        <v>18</v>
      </c>
      <c r="K885" t="s">
        <v>3892</v>
      </c>
      <c r="L885">
        <v>52.2</v>
      </c>
      <c r="M885">
        <v>2.9</v>
      </c>
      <c r="N885" t="s">
        <v>4240</v>
      </c>
      <c r="O885" t="s">
        <v>465</v>
      </c>
    </row>
    <row r="886" spans="1:15" x14ac:dyDescent="0.3">
      <c r="A886">
        <v>233776</v>
      </c>
      <c r="B886">
        <v>116</v>
      </c>
      <c r="C886" t="s">
        <v>568</v>
      </c>
      <c r="D886" t="s">
        <v>2286</v>
      </c>
      <c r="E886" t="s">
        <v>2523</v>
      </c>
      <c r="F886" s="452">
        <v>46160</v>
      </c>
      <c r="G886">
        <v>24509</v>
      </c>
      <c r="H886" t="s">
        <v>3906</v>
      </c>
      <c r="I886" t="s">
        <v>3469</v>
      </c>
      <c r="J886">
        <v>10</v>
      </c>
      <c r="K886" t="s">
        <v>3892</v>
      </c>
      <c r="L886">
        <v>48</v>
      </c>
      <c r="M886">
        <v>4.8</v>
      </c>
      <c r="N886" t="s">
        <v>4240</v>
      </c>
      <c r="O886" t="s">
        <v>465</v>
      </c>
    </row>
    <row r="887" spans="1:15" x14ac:dyDescent="0.3">
      <c r="A887">
        <v>233776</v>
      </c>
      <c r="B887">
        <v>116</v>
      </c>
      <c r="C887" t="s">
        <v>568</v>
      </c>
      <c r="D887" t="s">
        <v>2286</v>
      </c>
      <c r="E887" t="s">
        <v>2523</v>
      </c>
      <c r="F887" s="452">
        <v>46160</v>
      </c>
      <c r="G887">
        <v>19498</v>
      </c>
      <c r="H887" t="s">
        <v>4065</v>
      </c>
      <c r="I887" t="s">
        <v>3469</v>
      </c>
      <c r="J887">
        <v>1</v>
      </c>
      <c r="K887" t="s">
        <v>3892</v>
      </c>
      <c r="L887">
        <v>14</v>
      </c>
      <c r="M887">
        <v>14</v>
      </c>
      <c r="N887" t="s">
        <v>4240</v>
      </c>
      <c r="O887" t="s">
        <v>465</v>
      </c>
    </row>
    <row r="888" spans="1:15" x14ac:dyDescent="0.3">
      <c r="A888">
        <v>233776</v>
      </c>
      <c r="B888">
        <v>116</v>
      </c>
      <c r="C888" t="s">
        <v>568</v>
      </c>
      <c r="D888" t="s">
        <v>2286</v>
      </c>
      <c r="E888" t="s">
        <v>2523</v>
      </c>
      <c r="F888" s="452">
        <v>46160</v>
      </c>
      <c r="G888">
        <v>19506</v>
      </c>
      <c r="H888" t="s">
        <v>4112</v>
      </c>
      <c r="I888" t="s">
        <v>3469</v>
      </c>
      <c r="J888">
        <v>0.2</v>
      </c>
      <c r="K888" t="s">
        <v>3892</v>
      </c>
      <c r="L888">
        <v>10</v>
      </c>
      <c r="M888">
        <v>50</v>
      </c>
      <c r="N888" t="s">
        <v>4240</v>
      </c>
      <c r="O888" t="s">
        <v>465</v>
      </c>
    </row>
    <row r="889" spans="1:15" x14ac:dyDescent="0.3">
      <c r="A889">
        <v>233776</v>
      </c>
      <c r="B889">
        <v>116</v>
      </c>
      <c r="C889" t="s">
        <v>568</v>
      </c>
      <c r="D889" t="s">
        <v>2286</v>
      </c>
      <c r="E889" t="s">
        <v>2523</v>
      </c>
      <c r="F889" s="452">
        <v>46160</v>
      </c>
      <c r="G889">
        <v>19621</v>
      </c>
      <c r="H889" t="s">
        <v>4125</v>
      </c>
      <c r="I889" t="s">
        <v>3469</v>
      </c>
      <c r="J889">
        <v>2</v>
      </c>
      <c r="K889" t="s">
        <v>3892</v>
      </c>
      <c r="L889">
        <v>16</v>
      </c>
      <c r="M889">
        <v>8</v>
      </c>
      <c r="N889" t="s">
        <v>4240</v>
      </c>
      <c r="O889" t="s">
        <v>465</v>
      </c>
    </row>
    <row r="890" spans="1:15" x14ac:dyDescent="0.3">
      <c r="A890">
        <v>233776</v>
      </c>
      <c r="B890">
        <v>116</v>
      </c>
      <c r="C890" t="s">
        <v>568</v>
      </c>
      <c r="D890" t="s">
        <v>2286</v>
      </c>
      <c r="E890" t="s">
        <v>2523</v>
      </c>
      <c r="F890" s="452">
        <v>46160</v>
      </c>
      <c r="G890">
        <v>23195</v>
      </c>
      <c r="H890" t="s">
        <v>4184</v>
      </c>
      <c r="I890" t="s">
        <v>3469</v>
      </c>
      <c r="J890">
        <v>2</v>
      </c>
      <c r="K890" t="s">
        <v>3892</v>
      </c>
      <c r="L890">
        <v>24</v>
      </c>
      <c r="M890">
        <v>12</v>
      </c>
      <c r="N890" t="s">
        <v>4240</v>
      </c>
      <c r="O890" t="s">
        <v>465</v>
      </c>
    </row>
    <row r="891" spans="1:15" x14ac:dyDescent="0.3">
      <c r="A891">
        <v>233776</v>
      </c>
      <c r="B891">
        <v>116</v>
      </c>
      <c r="C891" t="s">
        <v>568</v>
      </c>
      <c r="D891" t="s">
        <v>2286</v>
      </c>
      <c r="E891" t="s">
        <v>2523</v>
      </c>
      <c r="F891" s="452">
        <v>46160</v>
      </c>
      <c r="G891">
        <v>19553</v>
      </c>
      <c r="H891" t="s">
        <v>4078</v>
      </c>
      <c r="I891" t="s">
        <v>3469</v>
      </c>
      <c r="J891">
        <v>2</v>
      </c>
      <c r="K891" t="s">
        <v>3892</v>
      </c>
      <c r="L891">
        <v>11.6</v>
      </c>
      <c r="M891">
        <v>5.8</v>
      </c>
      <c r="N891" t="s">
        <v>4240</v>
      </c>
      <c r="O891" t="s">
        <v>465</v>
      </c>
    </row>
    <row r="892" spans="1:15" x14ac:dyDescent="0.3">
      <c r="A892">
        <v>233776</v>
      </c>
      <c r="B892">
        <v>116</v>
      </c>
      <c r="C892" t="s">
        <v>568</v>
      </c>
      <c r="D892" t="s">
        <v>2286</v>
      </c>
      <c r="E892" t="s">
        <v>2523</v>
      </c>
      <c r="F892" s="452">
        <v>46160</v>
      </c>
      <c r="G892">
        <v>19752</v>
      </c>
      <c r="H892" t="s">
        <v>4042</v>
      </c>
      <c r="I892" t="s">
        <v>3469</v>
      </c>
      <c r="J892">
        <v>1</v>
      </c>
      <c r="K892" t="s">
        <v>3892</v>
      </c>
      <c r="L892">
        <v>7</v>
      </c>
      <c r="M892">
        <v>7</v>
      </c>
      <c r="N892" t="s">
        <v>4240</v>
      </c>
      <c r="O892" t="s">
        <v>465</v>
      </c>
    </row>
    <row r="893" spans="1:15" x14ac:dyDescent="0.3">
      <c r="A893">
        <v>233776</v>
      </c>
      <c r="B893">
        <v>116</v>
      </c>
      <c r="C893" t="s">
        <v>568</v>
      </c>
      <c r="D893" t="s">
        <v>2286</v>
      </c>
      <c r="E893" t="s">
        <v>2523</v>
      </c>
      <c r="F893" s="452">
        <v>46160</v>
      </c>
      <c r="G893">
        <v>19787</v>
      </c>
      <c r="H893" t="s">
        <v>3940</v>
      </c>
      <c r="I893" t="s">
        <v>3469</v>
      </c>
      <c r="J893">
        <v>4.5</v>
      </c>
      <c r="K893" t="s">
        <v>3892</v>
      </c>
      <c r="L893">
        <v>26.32</v>
      </c>
      <c r="M893">
        <v>5.8488889999999998</v>
      </c>
      <c r="N893" t="s">
        <v>4240</v>
      </c>
      <c r="O893" t="s">
        <v>465</v>
      </c>
    </row>
    <row r="894" spans="1:15" x14ac:dyDescent="0.3">
      <c r="A894">
        <v>233776</v>
      </c>
      <c r="B894">
        <v>116</v>
      </c>
      <c r="C894" t="s">
        <v>568</v>
      </c>
      <c r="D894" t="s">
        <v>2286</v>
      </c>
      <c r="E894" t="s">
        <v>2523</v>
      </c>
      <c r="F894" s="452">
        <v>46160</v>
      </c>
      <c r="G894">
        <v>23359</v>
      </c>
      <c r="H894" t="s">
        <v>3932</v>
      </c>
      <c r="I894" t="s">
        <v>3469</v>
      </c>
      <c r="J894">
        <v>10</v>
      </c>
      <c r="K894" t="s">
        <v>3892</v>
      </c>
      <c r="L894">
        <v>24</v>
      </c>
      <c r="M894">
        <v>2.4</v>
      </c>
      <c r="N894" t="s">
        <v>4240</v>
      </c>
      <c r="O894" t="s">
        <v>465</v>
      </c>
    </row>
    <row r="895" spans="1:15" x14ac:dyDescent="0.3">
      <c r="A895">
        <v>233776</v>
      </c>
      <c r="B895">
        <v>116</v>
      </c>
      <c r="C895" t="s">
        <v>568</v>
      </c>
      <c r="D895" t="s">
        <v>2286</v>
      </c>
      <c r="E895" t="s">
        <v>2523</v>
      </c>
      <c r="F895" s="452">
        <v>46160</v>
      </c>
      <c r="G895">
        <v>19494</v>
      </c>
      <c r="H895" t="s">
        <v>4126</v>
      </c>
      <c r="I895" t="s">
        <v>3469</v>
      </c>
      <c r="J895">
        <v>1</v>
      </c>
      <c r="K895" t="s">
        <v>3892</v>
      </c>
      <c r="L895">
        <v>19</v>
      </c>
      <c r="M895">
        <v>19</v>
      </c>
      <c r="N895" t="s">
        <v>4240</v>
      </c>
      <c r="O895" t="s">
        <v>465</v>
      </c>
    </row>
    <row r="896" spans="1:15" x14ac:dyDescent="0.3">
      <c r="A896">
        <v>233776</v>
      </c>
      <c r="B896">
        <v>116</v>
      </c>
      <c r="C896" t="s">
        <v>568</v>
      </c>
      <c r="D896" t="s">
        <v>2286</v>
      </c>
      <c r="E896" t="s">
        <v>2523</v>
      </c>
      <c r="F896" s="452">
        <v>46160</v>
      </c>
      <c r="G896">
        <v>23389</v>
      </c>
      <c r="H896" t="s">
        <v>4016</v>
      </c>
      <c r="I896" t="s">
        <v>3469</v>
      </c>
      <c r="J896">
        <v>5</v>
      </c>
      <c r="K896" t="s">
        <v>3892</v>
      </c>
      <c r="L896">
        <v>27.5</v>
      </c>
      <c r="M896">
        <v>5.5</v>
      </c>
      <c r="N896" t="s">
        <v>4240</v>
      </c>
      <c r="O896" t="s">
        <v>465</v>
      </c>
    </row>
    <row r="897" spans="1:15" x14ac:dyDescent="0.3">
      <c r="A897">
        <v>233776</v>
      </c>
      <c r="B897">
        <v>116</v>
      </c>
      <c r="C897" t="s">
        <v>568</v>
      </c>
      <c r="D897" t="s">
        <v>2286</v>
      </c>
      <c r="E897" t="s">
        <v>2523</v>
      </c>
      <c r="F897" s="452">
        <v>46160</v>
      </c>
      <c r="G897">
        <v>24037</v>
      </c>
      <c r="H897" t="s">
        <v>4104</v>
      </c>
      <c r="I897" t="s">
        <v>3469</v>
      </c>
      <c r="J897">
        <v>2</v>
      </c>
      <c r="K897" t="s">
        <v>3892</v>
      </c>
      <c r="L897">
        <v>35.6</v>
      </c>
      <c r="M897">
        <v>17.8</v>
      </c>
      <c r="N897" t="s">
        <v>4240</v>
      </c>
      <c r="O897" t="s">
        <v>465</v>
      </c>
    </row>
    <row r="898" spans="1:15" x14ac:dyDescent="0.3">
      <c r="A898">
        <v>233776</v>
      </c>
      <c r="B898">
        <v>116</v>
      </c>
      <c r="C898" t="s">
        <v>568</v>
      </c>
      <c r="D898" t="s">
        <v>2286</v>
      </c>
      <c r="E898" t="s">
        <v>2523</v>
      </c>
      <c r="F898" s="452">
        <v>46160</v>
      </c>
      <c r="G898">
        <v>23120</v>
      </c>
      <c r="H898" t="s">
        <v>4111</v>
      </c>
      <c r="I898" t="s">
        <v>3469</v>
      </c>
      <c r="J898">
        <v>0.2</v>
      </c>
      <c r="K898" t="s">
        <v>3892</v>
      </c>
      <c r="L898">
        <v>13</v>
      </c>
      <c r="M898">
        <v>65</v>
      </c>
      <c r="N898" t="s">
        <v>4240</v>
      </c>
      <c r="O898" t="s">
        <v>465</v>
      </c>
    </row>
    <row r="899" spans="1:15" x14ac:dyDescent="0.3">
      <c r="A899">
        <v>233775</v>
      </c>
      <c r="B899">
        <v>116</v>
      </c>
      <c r="C899" t="s">
        <v>568</v>
      </c>
      <c r="D899" t="s">
        <v>2318</v>
      </c>
      <c r="E899" t="s">
        <v>2524</v>
      </c>
      <c r="F899" s="452">
        <v>46160</v>
      </c>
      <c r="G899">
        <v>18764</v>
      </c>
      <c r="H899" t="s">
        <v>3907</v>
      </c>
      <c r="I899" t="s">
        <v>3469</v>
      </c>
      <c r="J899">
        <v>13.7</v>
      </c>
      <c r="K899" t="s">
        <v>3892</v>
      </c>
      <c r="L899">
        <v>1095.8599999999999</v>
      </c>
      <c r="M899">
        <v>79.989780999999994</v>
      </c>
      <c r="N899" t="s">
        <v>3469</v>
      </c>
      <c r="O899" t="s">
        <v>465</v>
      </c>
    </row>
    <row r="900" spans="1:15" x14ac:dyDescent="0.3">
      <c r="A900">
        <v>233774</v>
      </c>
      <c r="B900">
        <v>116</v>
      </c>
      <c r="C900" t="s">
        <v>568</v>
      </c>
      <c r="D900" t="s">
        <v>2267</v>
      </c>
      <c r="E900" t="s">
        <v>2525</v>
      </c>
      <c r="F900" s="452">
        <v>46161</v>
      </c>
      <c r="G900">
        <v>24343</v>
      </c>
      <c r="H900" t="s">
        <v>3990</v>
      </c>
      <c r="I900" t="s">
        <v>3469</v>
      </c>
      <c r="J900">
        <v>5.6</v>
      </c>
      <c r="K900" t="s">
        <v>3892</v>
      </c>
      <c r="L900">
        <v>111.94</v>
      </c>
      <c r="M900">
        <v>19.989286</v>
      </c>
      <c r="N900" t="s">
        <v>3469</v>
      </c>
      <c r="O900" t="s">
        <v>465</v>
      </c>
    </row>
    <row r="901" spans="1:15" x14ac:dyDescent="0.3">
      <c r="A901">
        <v>233774</v>
      </c>
      <c r="B901">
        <v>116</v>
      </c>
      <c r="C901" t="s">
        <v>568</v>
      </c>
      <c r="D901" t="s">
        <v>2267</v>
      </c>
      <c r="E901" t="s">
        <v>2525</v>
      </c>
      <c r="F901" s="452">
        <v>46161</v>
      </c>
      <c r="G901">
        <v>24517</v>
      </c>
      <c r="H901" t="s">
        <v>3991</v>
      </c>
      <c r="I901" t="s">
        <v>3469</v>
      </c>
      <c r="J901">
        <v>10</v>
      </c>
      <c r="K901" t="s">
        <v>3892</v>
      </c>
      <c r="L901">
        <v>279.89999999999998</v>
      </c>
      <c r="M901">
        <v>27.99</v>
      </c>
      <c r="N901" t="s">
        <v>3469</v>
      </c>
      <c r="O901" t="s">
        <v>465</v>
      </c>
    </row>
    <row r="902" spans="1:15" x14ac:dyDescent="0.3">
      <c r="A902">
        <v>233774</v>
      </c>
      <c r="B902">
        <v>116</v>
      </c>
      <c r="C902" t="s">
        <v>568</v>
      </c>
      <c r="D902" t="s">
        <v>2267</v>
      </c>
      <c r="E902" t="s">
        <v>2525</v>
      </c>
      <c r="F902" s="452">
        <v>46161</v>
      </c>
      <c r="G902">
        <v>20549</v>
      </c>
      <c r="H902" t="s">
        <v>4007</v>
      </c>
      <c r="I902" t="s">
        <v>3469</v>
      </c>
      <c r="J902">
        <v>5.7</v>
      </c>
      <c r="K902" t="s">
        <v>3892</v>
      </c>
      <c r="L902">
        <v>142.44</v>
      </c>
      <c r="M902">
        <v>24.989474000000001</v>
      </c>
      <c r="N902" t="s">
        <v>3469</v>
      </c>
      <c r="O902" t="s">
        <v>465</v>
      </c>
    </row>
    <row r="903" spans="1:15" x14ac:dyDescent="0.3">
      <c r="A903">
        <v>233774</v>
      </c>
      <c r="B903">
        <v>116</v>
      </c>
      <c r="C903" t="s">
        <v>568</v>
      </c>
      <c r="D903" t="s">
        <v>2267</v>
      </c>
      <c r="E903" t="s">
        <v>2525</v>
      </c>
      <c r="F903" s="452">
        <v>46161</v>
      </c>
      <c r="G903">
        <v>18666</v>
      </c>
      <c r="H903" t="s">
        <v>4003</v>
      </c>
      <c r="I903" t="s">
        <v>3469</v>
      </c>
      <c r="J903">
        <v>3</v>
      </c>
      <c r="K903" t="s">
        <v>3892</v>
      </c>
      <c r="L903">
        <v>71.97</v>
      </c>
      <c r="M903">
        <v>23.99</v>
      </c>
      <c r="N903" t="s">
        <v>3469</v>
      </c>
      <c r="O903" t="s">
        <v>465</v>
      </c>
    </row>
    <row r="904" spans="1:15" x14ac:dyDescent="0.3">
      <c r="A904">
        <v>233774</v>
      </c>
      <c r="B904">
        <v>116</v>
      </c>
      <c r="C904" t="s">
        <v>568</v>
      </c>
      <c r="D904" t="s">
        <v>2267</v>
      </c>
      <c r="E904" t="s">
        <v>2525</v>
      </c>
      <c r="F904" s="452">
        <v>46161</v>
      </c>
      <c r="G904">
        <v>24403</v>
      </c>
      <c r="H904" t="s">
        <v>3992</v>
      </c>
      <c r="I904" t="s">
        <v>3469</v>
      </c>
      <c r="J904">
        <v>3</v>
      </c>
      <c r="K904" t="s">
        <v>3892</v>
      </c>
      <c r="L904">
        <v>38.97</v>
      </c>
      <c r="M904">
        <v>12.99</v>
      </c>
      <c r="N904" t="s">
        <v>3469</v>
      </c>
      <c r="O904" t="s">
        <v>465</v>
      </c>
    </row>
    <row r="905" spans="1:15" x14ac:dyDescent="0.3">
      <c r="A905">
        <v>233774</v>
      </c>
      <c r="B905">
        <v>116</v>
      </c>
      <c r="C905" t="s">
        <v>568</v>
      </c>
      <c r="D905" t="s">
        <v>2267</v>
      </c>
      <c r="E905" t="s">
        <v>2525</v>
      </c>
      <c r="F905" s="452">
        <v>46161</v>
      </c>
      <c r="G905">
        <v>18696</v>
      </c>
      <c r="H905" t="s">
        <v>3956</v>
      </c>
      <c r="I905" t="s">
        <v>3469</v>
      </c>
      <c r="J905">
        <v>5.7</v>
      </c>
      <c r="K905" t="s">
        <v>3892</v>
      </c>
      <c r="L905">
        <v>113.94</v>
      </c>
      <c r="M905">
        <v>19.989474000000001</v>
      </c>
      <c r="N905" t="s">
        <v>3469</v>
      </c>
      <c r="O905" t="s">
        <v>465</v>
      </c>
    </row>
    <row r="906" spans="1:15" x14ac:dyDescent="0.3">
      <c r="A906">
        <v>233774</v>
      </c>
      <c r="B906">
        <v>116</v>
      </c>
      <c r="C906" t="s">
        <v>568</v>
      </c>
      <c r="D906" t="s">
        <v>2267</v>
      </c>
      <c r="E906" t="s">
        <v>2525</v>
      </c>
      <c r="F906" s="452">
        <v>46161</v>
      </c>
      <c r="G906">
        <v>18682</v>
      </c>
      <c r="H906" t="s">
        <v>4025</v>
      </c>
      <c r="I906" t="s">
        <v>3469</v>
      </c>
      <c r="J906">
        <v>7.2</v>
      </c>
      <c r="K906" t="s">
        <v>3892</v>
      </c>
      <c r="L906">
        <v>201.53</v>
      </c>
      <c r="M906">
        <v>27.990278</v>
      </c>
      <c r="N906" t="s">
        <v>3469</v>
      </c>
      <c r="O906" t="s">
        <v>465</v>
      </c>
    </row>
    <row r="907" spans="1:15" x14ac:dyDescent="0.3">
      <c r="A907">
        <v>233773</v>
      </c>
      <c r="B907">
        <v>116</v>
      </c>
      <c r="C907" t="s">
        <v>568</v>
      </c>
      <c r="D907" t="s">
        <v>2262</v>
      </c>
      <c r="E907" t="s">
        <v>2526</v>
      </c>
      <c r="F907" s="452">
        <v>46161</v>
      </c>
      <c r="G907">
        <v>18933</v>
      </c>
      <c r="H907" t="s">
        <v>3957</v>
      </c>
      <c r="I907" t="s">
        <v>3469</v>
      </c>
      <c r="J907">
        <v>6.3</v>
      </c>
      <c r="K907" t="s">
        <v>3892</v>
      </c>
      <c r="L907">
        <v>182.07</v>
      </c>
      <c r="M907">
        <v>28.9</v>
      </c>
      <c r="N907" t="s">
        <v>4240</v>
      </c>
      <c r="O907" t="s">
        <v>465</v>
      </c>
    </row>
    <row r="908" spans="1:15" x14ac:dyDescent="0.3">
      <c r="A908">
        <v>233773</v>
      </c>
      <c r="B908">
        <v>116</v>
      </c>
      <c r="C908" t="s">
        <v>568</v>
      </c>
      <c r="D908" t="s">
        <v>2262</v>
      </c>
      <c r="E908" t="s">
        <v>2526</v>
      </c>
      <c r="F908" s="452">
        <v>46161</v>
      </c>
      <c r="G908">
        <v>19017</v>
      </c>
      <c r="H908" t="s">
        <v>4172</v>
      </c>
      <c r="I908" t="s">
        <v>3469</v>
      </c>
      <c r="J908">
        <v>5.4</v>
      </c>
      <c r="K908" t="s">
        <v>3892</v>
      </c>
      <c r="L908">
        <v>81</v>
      </c>
      <c r="M908">
        <v>15</v>
      </c>
      <c r="N908" t="s">
        <v>4240</v>
      </c>
      <c r="O908" t="s">
        <v>465</v>
      </c>
    </row>
    <row r="909" spans="1:15" x14ac:dyDescent="0.3">
      <c r="A909">
        <v>233773</v>
      </c>
      <c r="B909">
        <v>116</v>
      </c>
      <c r="C909" t="s">
        <v>568</v>
      </c>
      <c r="D909" t="s">
        <v>2262</v>
      </c>
      <c r="E909" t="s">
        <v>2526</v>
      </c>
      <c r="F909" s="452">
        <v>46161</v>
      </c>
      <c r="G909">
        <v>18832</v>
      </c>
      <c r="H909" t="s">
        <v>3900</v>
      </c>
      <c r="I909" t="s">
        <v>3469</v>
      </c>
      <c r="J909">
        <v>20.8</v>
      </c>
      <c r="K909" t="s">
        <v>3892</v>
      </c>
      <c r="L909">
        <v>829.92</v>
      </c>
      <c r="M909">
        <v>39.9</v>
      </c>
      <c r="N909" t="s">
        <v>4240</v>
      </c>
      <c r="O909" t="s">
        <v>465</v>
      </c>
    </row>
    <row r="910" spans="1:15" x14ac:dyDescent="0.3">
      <c r="A910">
        <v>233773</v>
      </c>
      <c r="B910">
        <v>116</v>
      </c>
      <c r="C910" t="s">
        <v>568</v>
      </c>
      <c r="D910" t="s">
        <v>2262</v>
      </c>
      <c r="E910" t="s">
        <v>2526</v>
      </c>
      <c r="F910" s="452">
        <v>46161</v>
      </c>
      <c r="G910">
        <v>24116</v>
      </c>
      <c r="H910" t="s">
        <v>3963</v>
      </c>
      <c r="I910" t="s">
        <v>3469</v>
      </c>
      <c r="J910">
        <v>5</v>
      </c>
      <c r="K910" t="s">
        <v>3892</v>
      </c>
      <c r="L910">
        <v>209.5</v>
      </c>
      <c r="M910">
        <v>41.9</v>
      </c>
      <c r="N910" t="s">
        <v>4240</v>
      </c>
      <c r="O910" t="s">
        <v>465</v>
      </c>
    </row>
    <row r="911" spans="1:15" x14ac:dyDescent="0.3">
      <c r="A911">
        <v>233773</v>
      </c>
      <c r="B911">
        <v>116</v>
      </c>
      <c r="C911" t="s">
        <v>568</v>
      </c>
      <c r="D911" t="s">
        <v>2262</v>
      </c>
      <c r="E911" t="s">
        <v>2526</v>
      </c>
      <c r="F911" s="452">
        <v>46161</v>
      </c>
      <c r="G911">
        <v>24402</v>
      </c>
      <c r="H911" t="s">
        <v>3896</v>
      </c>
      <c r="I911" t="s">
        <v>3469</v>
      </c>
      <c r="J911">
        <v>13.3</v>
      </c>
      <c r="K911" t="s">
        <v>3892</v>
      </c>
      <c r="L911">
        <v>508.06</v>
      </c>
      <c r="M911">
        <v>38.200000000000003</v>
      </c>
      <c r="N911" t="s">
        <v>4240</v>
      </c>
      <c r="O911" t="s">
        <v>465</v>
      </c>
    </row>
    <row r="912" spans="1:15" x14ac:dyDescent="0.3">
      <c r="A912">
        <v>233773</v>
      </c>
      <c r="B912">
        <v>116</v>
      </c>
      <c r="C912" t="s">
        <v>568</v>
      </c>
      <c r="D912" t="s">
        <v>2262</v>
      </c>
      <c r="E912" t="s">
        <v>2526</v>
      </c>
      <c r="F912" s="452">
        <v>46161</v>
      </c>
      <c r="G912">
        <v>20501</v>
      </c>
      <c r="H912" t="s">
        <v>4219</v>
      </c>
      <c r="I912" t="s">
        <v>3469</v>
      </c>
      <c r="J912">
        <v>5</v>
      </c>
      <c r="K912" t="s">
        <v>3892</v>
      </c>
      <c r="L912">
        <v>109.5</v>
      </c>
      <c r="M912">
        <v>21.9</v>
      </c>
      <c r="N912" t="s">
        <v>4240</v>
      </c>
      <c r="O912" t="s">
        <v>465</v>
      </c>
    </row>
    <row r="913" spans="1:15" x14ac:dyDescent="0.3">
      <c r="A913">
        <v>233773</v>
      </c>
      <c r="B913">
        <v>116</v>
      </c>
      <c r="C913" t="s">
        <v>568</v>
      </c>
      <c r="D913" t="s">
        <v>2262</v>
      </c>
      <c r="E913" t="s">
        <v>2526</v>
      </c>
      <c r="F913" s="452">
        <v>46161</v>
      </c>
      <c r="G913">
        <v>24388</v>
      </c>
      <c r="H913" t="s">
        <v>3915</v>
      </c>
      <c r="I913" t="s">
        <v>3469</v>
      </c>
      <c r="J913">
        <v>5.0999999999999996</v>
      </c>
      <c r="K913" t="s">
        <v>3892</v>
      </c>
      <c r="L913">
        <v>147.38999999999999</v>
      </c>
      <c r="M913">
        <v>28.9</v>
      </c>
      <c r="N913" t="s">
        <v>4240</v>
      </c>
      <c r="O913" t="s">
        <v>465</v>
      </c>
    </row>
    <row r="914" spans="1:15" x14ac:dyDescent="0.3">
      <c r="A914">
        <v>233773</v>
      </c>
      <c r="B914">
        <v>116</v>
      </c>
      <c r="C914" t="s">
        <v>568</v>
      </c>
      <c r="D914" t="s">
        <v>2262</v>
      </c>
      <c r="E914" t="s">
        <v>2526</v>
      </c>
      <c r="F914" s="452">
        <v>46161</v>
      </c>
      <c r="G914">
        <v>24259</v>
      </c>
      <c r="H914" t="s">
        <v>3895</v>
      </c>
      <c r="I914" t="s">
        <v>3469</v>
      </c>
      <c r="J914">
        <v>15.3</v>
      </c>
      <c r="K914" t="s">
        <v>3892</v>
      </c>
      <c r="L914">
        <v>1222.47</v>
      </c>
      <c r="M914">
        <v>79.900000000000006</v>
      </c>
      <c r="N914" t="s">
        <v>4240</v>
      </c>
      <c r="O914" t="s">
        <v>465</v>
      </c>
    </row>
    <row r="915" spans="1:15" x14ac:dyDescent="0.3">
      <c r="A915">
        <v>233772</v>
      </c>
      <c r="B915">
        <v>116</v>
      </c>
      <c r="C915" t="s">
        <v>568</v>
      </c>
      <c r="D915" t="s">
        <v>2262</v>
      </c>
      <c r="E915" t="s">
        <v>2527</v>
      </c>
      <c r="F915" s="452">
        <v>46161</v>
      </c>
      <c r="G915">
        <v>27313</v>
      </c>
      <c r="H915" t="s">
        <v>4131</v>
      </c>
      <c r="I915" t="s">
        <v>3469</v>
      </c>
      <c r="J915">
        <v>10.4</v>
      </c>
      <c r="K915" t="s">
        <v>3892</v>
      </c>
      <c r="L915">
        <v>352.56</v>
      </c>
      <c r="M915">
        <v>33.9</v>
      </c>
      <c r="N915" t="s">
        <v>4240</v>
      </c>
      <c r="O915" t="s">
        <v>465</v>
      </c>
    </row>
    <row r="916" spans="1:15" x14ac:dyDescent="0.3">
      <c r="A916">
        <v>233771</v>
      </c>
      <c r="B916">
        <v>116</v>
      </c>
      <c r="C916" t="s">
        <v>568</v>
      </c>
      <c r="D916" t="s">
        <v>2528</v>
      </c>
      <c r="E916" t="s">
        <v>2529</v>
      </c>
      <c r="F916" s="452">
        <v>46156</v>
      </c>
      <c r="G916">
        <v>28537</v>
      </c>
      <c r="H916" t="s">
        <v>4159</v>
      </c>
      <c r="I916" t="s">
        <v>4202</v>
      </c>
      <c r="J916">
        <v>6</v>
      </c>
      <c r="K916" t="s">
        <v>3872</v>
      </c>
      <c r="L916">
        <v>226.8</v>
      </c>
      <c r="M916">
        <v>37.799999999999997</v>
      </c>
      <c r="N916" t="s">
        <v>3469</v>
      </c>
      <c r="O916" t="s">
        <v>465</v>
      </c>
    </row>
    <row r="917" spans="1:15" x14ac:dyDescent="0.3">
      <c r="A917">
        <v>233771</v>
      </c>
      <c r="B917">
        <v>116</v>
      </c>
      <c r="C917" t="s">
        <v>568</v>
      </c>
      <c r="D917" t="s">
        <v>2528</v>
      </c>
      <c r="E917" t="s">
        <v>2529</v>
      </c>
      <c r="F917" s="452">
        <v>46156</v>
      </c>
      <c r="G917">
        <v>25197</v>
      </c>
      <c r="H917" t="s">
        <v>4143</v>
      </c>
      <c r="I917" t="s">
        <v>3469</v>
      </c>
      <c r="J917">
        <v>90</v>
      </c>
      <c r="K917" t="s">
        <v>3872</v>
      </c>
      <c r="L917">
        <v>927</v>
      </c>
      <c r="M917">
        <v>10.3</v>
      </c>
      <c r="N917" t="s">
        <v>3469</v>
      </c>
      <c r="O917" t="s">
        <v>465</v>
      </c>
    </row>
    <row r="918" spans="1:15" x14ac:dyDescent="0.3">
      <c r="A918">
        <v>233771</v>
      </c>
      <c r="B918">
        <v>116</v>
      </c>
      <c r="C918" t="s">
        <v>568</v>
      </c>
      <c r="D918" t="s">
        <v>2528</v>
      </c>
      <c r="E918" t="s">
        <v>2529</v>
      </c>
      <c r="F918" s="452">
        <v>46156</v>
      </c>
      <c r="G918">
        <v>27711</v>
      </c>
      <c r="H918" t="s">
        <v>3913</v>
      </c>
      <c r="I918" t="s">
        <v>3469</v>
      </c>
      <c r="J918">
        <v>12</v>
      </c>
      <c r="K918" t="s">
        <v>3978</v>
      </c>
      <c r="L918">
        <v>410.4</v>
      </c>
      <c r="M918">
        <v>34.200000000000003</v>
      </c>
      <c r="N918" t="s">
        <v>3469</v>
      </c>
      <c r="O918" t="s">
        <v>465</v>
      </c>
    </row>
    <row r="919" spans="1:15" x14ac:dyDescent="0.3">
      <c r="A919">
        <v>233771</v>
      </c>
      <c r="B919">
        <v>116</v>
      </c>
      <c r="C919" t="s">
        <v>568</v>
      </c>
      <c r="D919" t="s">
        <v>2528</v>
      </c>
      <c r="E919" t="s">
        <v>2529</v>
      </c>
      <c r="F919" s="452">
        <v>46156</v>
      </c>
      <c r="G919">
        <v>25195</v>
      </c>
      <c r="H919" t="s">
        <v>3874</v>
      </c>
      <c r="I919" t="s">
        <v>3469</v>
      </c>
      <c r="J919">
        <v>48</v>
      </c>
      <c r="K919" t="s">
        <v>3872</v>
      </c>
      <c r="L919">
        <v>230.88</v>
      </c>
      <c r="M919">
        <v>4.8099999999999996</v>
      </c>
      <c r="N919" t="s">
        <v>3469</v>
      </c>
      <c r="O919" t="s">
        <v>465</v>
      </c>
    </row>
    <row r="920" spans="1:15" x14ac:dyDescent="0.3">
      <c r="A920">
        <v>233771</v>
      </c>
      <c r="B920">
        <v>116</v>
      </c>
      <c r="C920" t="s">
        <v>568</v>
      </c>
      <c r="D920" t="s">
        <v>2528</v>
      </c>
      <c r="E920" t="s">
        <v>2529</v>
      </c>
      <c r="F920" s="452">
        <v>46156</v>
      </c>
      <c r="G920">
        <v>24602</v>
      </c>
      <c r="H920" t="s">
        <v>4186</v>
      </c>
      <c r="I920" t="s">
        <v>3469</v>
      </c>
      <c r="J920">
        <v>45</v>
      </c>
      <c r="K920" t="s">
        <v>3872</v>
      </c>
      <c r="L920">
        <v>477</v>
      </c>
      <c r="M920">
        <v>10.6</v>
      </c>
      <c r="N920" t="s">
        <v>3469</v>
      </c>
      <c r="O920" t="s">
        <v>465</v>
      </c>
    </row>
    <row r="921" spans="1:15" x14ac:dyDescent="0.3">
      <c r="A921">
        <v>233771</v>
      </c>
      <c r="B921">
        <v>116</v>
      </c>
      <c r="C921" t="s">
        <v>568</v>
      </c>
      <c r="D921" t="s">
        <v>2528</v>
      </c>
      <c r="E921" t="s">
        <v>2529</v>
      </c>
      <c r="F921" s="452">
        <v>46156</v>
      </c>
      <c r="G921">
        <v>25196</v>
      </c>
      <c r="H921" t="s">
        <v>3873</v>
      </c>
      <c r="I921" t="s">
        <v>3469</v>
      </c>
      <c r="J921">
        <v>48</v>
      </c>
      <c r="K921" t="s">
        <v>4241</v>
      </c>
      <c r="L921">
        <v>198.24</v>
      </c>
      <c r="M921">
        <v>4.13</v>
      </c>
      <c r="N921" t="s">
        <v>3469</v>
      </c>
      <c r="O921" t="s">
        <v>465</v>
      </c>
    </row>
    <row r="922" spans="1:15" x14ac:dyDescent="0.3">
      <c r="A922">
        <v>233770</v>
      </c>
      <c r="B922">
        <v>116</v>
      </c>
      <c r="C922" t="s">
        <v>568</v>
      </c>
      <c r="D922" t="s">
        <v>2277</v>
      </c>
      <c r="E922" t="s">
        <v>2530</v>
      </c>
      <c r="F922" s="452">
        <v>46161</v>
      </c>
      <c r="G922">
        <v>19967</v>
      </c>
      <c r="H922" t="s">
        <v>3930</v>
      </c>
      <c r="I922" t="s">
        <v>3469</v>
      </c>
      <c r="J922">
        <v>3</v>
      </c>
      <c r="K922" t="s">
        <v>3872</v>
      </c>
      <c r="L922">
        <v>150.93</v>
      </c>
      <c r="M922">
        <v>50.31</v>
      </c>
      <c r="N922" t="s">
        <v>4240</v>
      </c>
      <c r="O922" t="s">
        <v>465</v>
      </c>
    </row>
    <row r="923" spans="1:15" x14ac:dyDescent="0.3">
      <c r="A923">
        <v>233770</v>
      </c>
      <c r="B923">
        <v>116</v>
      </c>
      <c r="C923" t="s">
        <v>568</v>
      </c>
      <c r="D923" t="s">
        <v>2277</v>
      </c>
      <c r="E923" t="s">
        <v>2530</v>
      </c>
      <c r="F923" s="452">
        <v>46161</v>
      </c>
      <c r="G923">
        <v>20752</v>
      </c>
      <c r="H923" t="s">
        <v>3964</v>
      </c>
      <c r="I923" t="s">
        <v>3469</v>
      </c>
      <c r="J923">
        <v>2</v>
      </c>
      <c r="K923" t="s">
        <v>3872</v>
      </c>
      <c r="L923">
        <v>225.04</v>
      </c>
      <c r="M923">
        <v>112.52</v>
      </c>
      <c r="N923" t="s">
        <v>4240</v>
      </c>
      <c r="O923" t="s">
        <v>465</v>
      </c>
    </row>
    <row r="924" spans="1:15" x14ac:dyDescent="0.3">
      <c r="A924">
        <v>233770</v>
      </c>
      <c r="B924">
        <v>116</v>
      </c>
      <c r="C924" t="s">
        <v>568</v>
      </c>
      <c r="D924" t="s">
        <v>2277</v>
      </c>
      <c r="E924" t="s">
        <v>2530</v>
      </c>
      <c r="F924" s="452">
        <v>46161</v>
      </c>
      <c r="G924">
        <v>21093</v>
      </c>
      <c r="H924" t="s">
        <v>3903</v>
      </c>
      <c r="I924" t="s">
        <v>3469</v>
      </c>
      <c r="J924">
        <v>10</v>
      </c>
      <c r="K924" t="s">
        <v>3872</v>
      </c>
      <c r="L924">
        <v>43.9</v>
      </c>
      <c r="M924">
        <v>4.3899999999999997</v>
      </c>
      <c r="N924" t="s">
        <v>4240</v>
      </c>
      <c r="O924" t="s">
        <v>465</v>
      </c>
    </row>
    <row r="925" spans="1:15" x14ac:dyDescent="0.3">
      <c r="A925">
        <v>233770</v>
      </c>
      <c r="B925">
        <v>116</v>
      </c>
      <c r="C925" t="s">
        <v>568</v>
      </c>
      <c r="D925" t="s">
        <v>2277</v>
      </c>
      <c r="E925" t="s">
        <v>2530</v>
      </c>
      <c r="F925" s="452">
        <v>46161</v>
      </c>
      <c r="G925">
        <v>20809</v>
      </c>
      <c r="H925" t="s">
        <v>4005</v>
      </c>
      <c r="I925" t="s">
        <v>3469</v>
      </c>
      <c r="J925">
        <v>3</v>
      </c>
      <c r="K925" t="s">
        <v>3872</v>
      </c>
      <c r="L925">
        <v>89.7</v>
      </c>
      <c r="M925">
        <v>29.9</v>
      </c>
      <c r="N925" t="s">
        <v>4240</v>
      </c>
      <c r="O925" t="s">
        <v>465</v>
      </c>
    </row>
    <row r="926" spans="1:15" x14ac:dyDescent="0.3">
      <c r="A926">
        <v>233770</v>
      </c>
      <c r="B926">
        <v>116</v>
      </c>
      <c r="C926" t="s">
        <v>568</v>
      </c>
      <c r="D926" t="s">
        <v>2277</v>
      </c>
      <c r="E926" t="s">
        <v>2530</v>
      </c>
      <c r="F926" s="452">
        <v>46161</v>
      </c>
      <c r="G926">
        <v>21024</v>
      </c>
      <c r="H926" t="s">
        <v>4180</v>
      </c>
      <c r="I926" t="s">
        <v>3469</v>
      </c>
      <c r="J926">
        <v>2</v>
      </c>
      <c r="K926" t="s">
        <v>3872</v>
      </c>
      <c r="L926">
        <v>353.74</v>
      </c>
      <c r="M926">
        <v>176.87</v>
      </c>
      <c r="N926" t="s">
        <v>4240</v>
      </c>
      <c r="O926" t="s">
        <v>465</v>
      </c>
    </row>
    <row r="927" spans="1:15" x14ac:dyDescent="0.3">
      <c r="A927">
        <v>233769</v>
      </c>
      <c r="B927">
        <v>116</v>
      </c>
      <c r="C927" t="s">
        <v>568</v>
      </c>
      <c r="D927" t="s">
        <v>2330</v>
      </c>
      <c r="E927" t="s">
        <v>2531</v>
      </c>
      <c r="F927" s="452">
        <v>46160</v>
      </c>
      <c r="G927">
        <v>18295</v>
      </c>
      <c r="H927" t="s">
        <v>4030</v>
      </c>
      <c r="I927" t="s">
        <v>3497</v>
      </c>
      <c r="J927">
        <v>2</v>
      </c>
      <c r="K927" t="s">
        <v>3878</v>
      </c>
      <c r="L927">
        <v>260</v>
      </c>
      <c r="M927">
        <v>130</v>
      </c>
      <c r="N927" t="s">
        <v>3497</v>
      </c>
      <c r="O927" t="s">
        <v>465</v>
      </c>
    </row>
    <row r="928" spans="1:15" x14ac:dyDescent="0.3">
      <c r="A928">
        <v>233768</v>
      </c>
      <c r="B928">
        <v>116</v>
      </c>
      <c r="C928" t="s">
        <v>568</v>
      </c>
      <c r="D928" t="s">
        <v>2284</v>
      </c>
      <c r="E928" t="s">
        <v>2532</v>
      </c>
      <c r="F928" s="452">
        <v>46160</v>
      </c>
      <c r="G928">
        <v>22721</v>
      </c>
      <c r="H928" t="s">
        <v>4221</v>
      </c>
      <c r="I928" t="s">
        <v>3469</v>
      </c>
      <c r="J928">
        <v>4.26</v>
      </c>
      <c r="K928" t="s">
        <v>3892</v>
      </c>
      <c r="L928">
        <v>125.67</v>
      </c>
      <c r="M928">
        <v>29.5</v>
      </c>
      <c r="N928" t="s">
        <v>4240</v>
      </c>
      <c r="O928" t="s">
        <v>465</v>
      </c>
    </row>
    <row r="929" spans="1:15" x14ac:dyDescent="0.3">
      <c r="A929">
        <v>233767</v>
      </c>
      <c r="B929">
        <v>116</v>
      </c>
      <c r="C929" t="s">
        <v>568</v>
      </c>
      <c r="D929" t="s">
        <v>2284</v>
      </c>
      <c r="E929" t="s">
        <v>2533</v>
      </c>
      <c r="F929" s="452">
        <v>46157</v>
      </c>
      <c r="G929">
        <v>27210</v>
      </c>
      <c r="H929" t="s">
        <v>4189</v>
      </c>
      <c r="I929" t="s">
        <v>3497</v>
      </c>
      <c r="J929">
        <v>7</v>
      </c>
      <c r="K929" t="s">
        <v>3878</v>
      </c>
      <c r="L929">
        <v>293.3</v>
      </c>
      <c r="M929">
        <v>41.9</v>
      </c>
      <c r="N929" t="s">
        <v>3497</v>
      </c>
      <c r="O929" t="s">
        <v>465</v>
      </c>
    </row>
    <row r="930" spans="1:15" x14ac:dyDescent="0.3">
      <c r="A930">
        <v>233766</v>
      </c>
      <c r="B930">
        <v>116</v>
      </c>
      <c r="C930" t="s">
        <v>568</v>
      </c>
      <c r="D930" t="s">
        <v>2410</v>
      </c>
      <c r="E930" t="s">
        <v>2534</v>
      </c>
      <c r="F930" s="452">
        <v>46160</v>
      </c>
      <c r="G930">
        <v>18475</v>
      </c>
      <c r="H930" t="s">
        <v>3918</v>
      </c>
      <c r="I930" t="s">
        <v>3497</v>
      </c>
      <c r="J930">
        <v>12</v>
      </c>
      <c r="K930" t="s">
        <v>3878</v>
      </c>
      <c r="L930">
        <v>394.8</v>
      </c>
      <c r="M930">
        <v>32.9</v>
      </c>
      <c r="N930" t="s">
        <v>3497</v>
      </c>
      <c r="O930" t="s">
        <v>465</v>
      </c>
    </row>
    <row r="931" spans="1:15" x14ac:dyDescent="0.3">
      <c r="A931">
        <v>233765</v>
      </c>
      <c r="B931">
        <v>116</v>
      </c>
      <c r="C931" t="s">
        <v>568</v>
      </c>
      <c r="D931" t="s">
        <v>2314</v>
      </c>
      <c r="E931" t="s">
        <v>2535</v>
      </c>
      <c r="F931" s="452">
        <v>46158</v>
      </c>
      <c r="G931">
        <v>18636</v>
      </c>
      <c r="H931" t="s">
        <v>3921</v>
      </c>
      <c r="I931" t="s">
        <v>3497</v>
      </c>
      <c r="J931">
        <v>6</v>
      </c>
      <c r="K931" t="s">
        <v>3922</v>
      </c>
      <c r="L931">
        <v>2896.8</v>
      </c>
      <c r="M931">
        <v>482.8</v>
      </c>
      <c r="N931" t="s">
        <v>3497</v>
      </c>
      <c r="O931" t="s">
        <v>465</v>
      </c>
    </row>
    <row r="932" spans="1:15" x14ac:dyDescent="0.3">
      <c r="A932">
        <v>233764</v>
      </c>
      <c r="B932">
        <v>116</v>
      </c>
      <c r="C932" t="s">
        <v>568</v>
      </c>
      <c r="D932" t="s">
        <v>2260</v>
      </c>
      <c r="E932" t="s">
        <v>2536</v>
      </c>
      <c r="F932" s="452">
        <v>46157</v>
      </c>
      <c r="G932">
        <v>18685</v>
      </c>
      <c r="H932" t="s">
        <v>3945</v>
      </c>
      <c r="I932" t="s">
        <v>3469</v>
      </c>
      <c r="J932">
        <v>10.8</v>
      </c>
      <c r="K932" t="s">
        <v>4197</v>
      </c>
      <c r="L932">
        <v>421.2</v>
      </c>
      <c r="M932">
        <v>39</v>
      </c>
      <c r="N932" t="s">
        <v>3469</v>
      </c>
      <c r="O932" t="s">
        <v>465</v>
      </c>
    </row>
    <row r="933" spans="1:15" x14ac:dyDescent="0.3">
      <c r="A933">
        <v>233764</v>
      </c>
      <c r="B933">
        <v>116</v>
      </c>
      <c r="C933" t="s">
        <v>568</v>
      </c>
      <c r="D933" t="s">
        <v>2260</v>
      </c>
      <c r="E933" t="s">
        <v>2536</v>
      </c>
      <c r="F933" s="452">
        <v>46157</v>
      </c>
      <c r="G933">
        <v>24194</v>
      </c>
      <c r="H933" t="s">
        <v>4181</v>
      </c>
      <c r="I933" t="s">
        <v>3469</v>
      </c>
      <c r="J933">
        <v>3.7</v>
      </c>
      <c r="K933" t="s">
        <v>3892</v>
      </c>
      <c r="L933">
        <v>155.4</v>
      </c>
      <c r="M933">
        <v>42</v>
      </c>
      <c r="N933" t="s">
        <v>3469</v>
      </c>
      <c r="O933" t="s">
        <v>465</v>
      </c>
    </row>
    <row r="934" spans="1:15" x14ac:dyDescent="0.3">
      <c r="A934">
        <v>233764</v>
      </c>
      <c r="B934">
        <v>116</v>
      </c>
      <c r="C934" t="s">
        <v>568</v>
      </c>
      <c r="D934" t="s">
        <v>2260</v>
      </c>
      <c r="E934" t="s">
        <v>2536</v>
      </c>
      <c r="F934" s="452">
        <v>46157</v>
      </c>
      <c r="G934">
        <v>24072</v>
      </c>
      <c r="H934" t="s">
        <v>4002</v>
      </c>
      <c r="I934" t="s">
        <v>3469</v>
      </c>
      <c r="J934">
        <v>3.1</v>
      </c>
      <c r="K934" t="s">
        <v>3892</v>
      </c>
      <c r="L934">
        <v>682</v>
      </c>
      <c r="M934">
        <v>220</v>
      </c>
      <c r="N934" t="s">
        <v>3469</v>
      </c>
      <c r="O934" t="s">
        <v>465</v>
      </c>
    </row>
    <row r="935" spans="1:15" x14ac:dyDescent="0.3">
      <c r="A935">
        <v>233764</v>
      </c>
      <c r="B935">
        <v>116</v>
      </c>
      <c r="C935" t="s">
        <v>568</v>
      </c>
      <c r="D935" t="s">
        <v>2260</v>
      </c>
      <c r="E935" t="s">
        <v>2536</v>
      </c>
      <c r="F935" s="452">
        <v>46157</v>
      </c>
      <c r="G935">
        <v>20555</v>
      </c>
      <c r="H935" t="s">
        <v>3959</v>
      </c>
      <c r="I935" t="s">
        <v>3469</v>
      </c>
      <c r="J935">
        <v>4.2</v>
      </c>
      <c r="K935" t="s">
        <v>3892</v>
      </c>
      <c r="L935">
        <v>331.8</v>
      </c>
      <c r="M935">
        <v>79</v>
      </c>
      <c r="N935" t="s">
        <v>3469</v>
      </c>
      <c r="O935" t="s">
        <v>465</v>
      </c>
    </row>
    <row r="936" spans="1:15" x14ac:dyDescent="0.3">
      <c r="A936">
        <v>233764</v>
      </c>
      <c r="B936">
        <v>116</v>
      </c>
      <c r="C936" t="s">
        <v>568</v>
      </c>
      <c r="D936" t="s">
        <v>2260</v>
      </c>
      <c r="E936" t="s">
        <v>2536</v>
      </c>
      <c r="F936" s="452">
        <v>46157</v>
      </c>
      <c r="G936">
        <v>27884</v>
      </c>
      <c r="H936" t="s">
        <v>3910</v>
      </c>
      <c r="I936" t="s">
        <v>3469</v>
      </c>
      <c r="J936">
        <v>10.7</v>
      </c>
      <c r="K936" t="s">
        <v>3892</v>
      </c>
      <c r="L936">
        <v>738.3</v>
      </c>
      <c r="M936">
        <v>69</v>
      </c>
      <c r="N936" t="s">
        <v>3469</v>
      </c>
      <c r="O936" t="s">
        <v>465</v>
      </c>
    </row>
    <row r="937" spans="1:15" x14ac:dyDescent="0.3">
      <c r="A937">
        <v>233764</v>
      </c>
      <c r="B937">
        <v>116</v>
      </c>
      <c r="C937" t="s">
        <v>568</v>
      </c>
      <c r="D937" t="s">
        <v>2260</v>
      </c>
      <c r="E937" t="s">
        <v>2536</v>
      </c>
      <c r="F937" s="452">
        <v>46157</v>
      </c>
      <c r="G937">
        <v>24200</v>
      </c>
      <c r="H937" t="s">
        <v>3975</v>
      </c>
      <c r="I937" t="s">
        <v>3469</v>
      </c>
      <c r="J937">
        <v>5.2</v>
      </c>
      <c r="K937" t="s">
        <v>3892</v>
      </c>
      <c r="L937">
        <v>171.08</v>
      </c>
      <c r="M937">
        <v>32.9</v>
      </c>
      <c r="N937" t="s">
        <v>3469</v>
      </c>
      <c r="O937" t="s">
        <v>465</v>
      </c>
    </row>
    <row r="938" spans="1:15" x14ac:dyDescent="0.3">
      <c r="A938">
        <v>233764</v>
      </c>
      <c r="B938">
        <v>116</v>
      </c>
      <c r="C938" t="s">
        <v>568</v>
      </c>
      <c r="D938" t="s">
        <v>2260</v>
      </c>
      <c r="E938" t="s">
        <v>2536</v>
      </c>
      <c r="F938" s="452">
        <v>46157</v>
      </c>
      <c r="G938">
        <v>22734</v>
      </c>
      <c r="H938" t="s">
        <v>3955</v>
      </c>
      <c r="I938" t="s">
        <v>3469</v>
      </c>
      <c r="J938">
        <v>10.1</v>
      </c>
      <c r="K938" t="s">
        <v>3892</v>
      </c>
      <c r="L938">
        <v>999.9</v>
      </c>
      <c r="M938">
        <v>99</v>
      </c>
      <c r="N938" t="s">
        <v>3469</v>
      </c>
      <c r="O938" t="s">
        <v>465</v>
      </c>
    </row>
    <row r="939" spans="1:15" x14ac:dyDescent="0.3">
      <c r="A939">
        <v>233764</v>
      </c>
      <c r="B939">
        <v>116</v>
      </c>
      <c r="C939" t="s">
        <v>568</v>
      </c>
      <c r="D939" t="s">
        <v>2260</v>
      </c>
      <c r="E939" t="s">
        <v>2536</v>
      </c>
      <c r="F939" s="452">
        <v>46157</v>
      </c>
      <c r="G939">
        <v>18684</v>
      </c>
      <c r="H939" t="s">
        <v>3925</v>
      </c>
      <c r="I939" t="s">
        <v>3469</v>
      </c>
      <c r="J939">
        <v>11</v>
      </c>
      <c r="K939" t="s">
        <v>3892</v>
      </c>
      <c r="L939">
        <v>396</v>
      </c>
      <c r="M939">
        <v>36</v>
      </c>
      <c r="N939" t="s">
        <v>3469</v>
      </c>
      <c r="O939" t="s">
        <v>465</v>
      </c>
    </row>
    <row r="940" spans="1:15" x14ac:dyDescent="0.3">
      <c r="A940">
        <v>233763</v>
      </c>
      <c r="B940">
        <v>116</v>
      </c>
      <c r="C940" t="s">
        <v>568</v>
      </c>
      <c r="D940" t="s">
        <v>2537</v>
      </c>
      <c r="E940" t="s">
        <v>2538</v>
      </c>
      <c r="F940" s="452">
        <v>46153</v>
      </c>
      <c r="G940">
        <v>28659</v>
      </c>
      <c r="H940" t="s">
        <v>4266</v>
      </c>
      <c r="I940" t="s">
        <v>4199</v>
      </c>
      <c r="J940">
        <v>4</v>
      </c>
      <c r="K940" t="s">
        <v>3881</v>
      </c>
      <c r="L940">
        <v>988</v>
      </c>
      <c r="M940">
        <v>247</v>
      </c>
      <c r="N940" t="s">
        <v>4294</v>
      </c>
      <c r="O940" t="s">
        <v>465</v>
      </c>
    </row>
    <row r="941" spans="1:15" x14ac:dyDescent="0.3">
      <c r="A941">
        <v>233762</v>
      </c>
      <c r="B941">
        <v>116</v>
      </c>
      <c r="C941" t="s">
        <v>568</v>
      </c>
      <c r="D941" t="s">
        <v>2280</v>
      </c>
      <c r="E941" t="s">
        <v>2539</v>
      </c>
      <c r="F941" s="452">
        <v>46156</v>
      </c>
      <c r="G941">
        <v>19740</v>
      </c>
      <c r="H941" t="s">
        <v>3933</v>
      </c>
      <c r="I941" t="s">
        <v>3469</v>
      </c>
      <c r="J941">
        <v>4.0999999999999996</v>
      </c>
      <c r="K941" t="s">
        <v>3892</v>
      </c>
      <c r="L941">
        <v>37.31</v>
      </c>
      <c r="M941">
        <v>9.1</v>
      </c>
      <c r="N941" t="s">
        <v>4240</v>
      </c>
      <c r="O941" t="s">
        <v>465</v>
      </c>
    </row>
    <row r="942" spans="1:15" x14ac:dyDescent="0.3">
      <c r="A942">
        <v>233762</v>
      </c>
      <c r="B942">
        <v>116</v>
      </c>
      <c r="C942" t="s">
        <v>568</v>
      </c>
      <c r="D942" t="s">
        <v>2280</v>
      </c>
      <c r="E942" t="s">
        <v>2539</v>
      </c>
      <c r="F942" s="452">
        <v>46156</v>
      </c>
      <c r="G942">
        <v>23198</v>
      </c>
      <c r="H942" t="s">
        <v>4167</v>
      </c>
      <c r="I942" t="s">
        <v>3469</v>
      </c>
      <c r="J942">
        <v>1</v>
      </c>
      <c r="K942" t="s">
        <v>3892</v>
      </c>
      <c r="L942">
        <v>18.2</v>
      </c>
      <c r="M942">
        <v>18.2</v>
      </c>
      <c r="N942" t="s">
        <v>4240</v>
      </c>
      <c r="O942" t="s">
        <v>465</v>
      </c>
    </row>
    <row r="943" spans="1:15" x14ac:dyDescent="0.3">
      <c r="A943">
        <v>233762</v>
      </c>
      <c r="B943">
        <v>116</v>
      </c>
      <c r="C943" t="s">
        <v>568</v>
      </c>
      <c r="D943" t="s">
        <v>2280</v>
      </c>
      <c r="E943" t="s">
        <v>2539</v>
      </c>
      <c r="F943" s="452">
        <v>46156</v>
      </c>
      <c r="G943">
        <v>23171</v>
      </c>
      <c r="H943" t="s">
        <v>4132</v>
      </c>
      <c r="I943" t="s">
        <v>3469</v>
      </c>
      <c r="J943">
        <v>3</v>
      </c>
      <c r="K943" t="s">
        <v>3892</v>
      </c>
      <c r="L943">
        <v>46.8</v>
      </c>
      <c r="M943">
        <v>15.6</v>
      </c>
      <c r="N943" t="s">
        <v>4240</v>
      </c>
      <c r="O943" t="s">
        <v>465</v>
      </c>
    </row>
    <row r="944" spans="1:15" x14ac:dyDescent="0.3">
      <c r="A944">
        <v>233762</v>
      </c>
      <c r="B944">
        <v>116</v>
      </c>
      <c r="C944" t="s">
        <v>568</v>
      </c>
      <c r="D944" t="s">
        <v>2280</v>
      </c>
      <c r="E944" t="s">
        <v>2539</v>
      </c>
      <c r="F944" s="452">
        <v>46156</v>
      </c>
      <c r="G944">
        <v>19642</v>
      </c>
      <c r="H944" t="s">
        <v>4067</v>
      </c>
      <c r="I944" t="s">
        <v>3469</v>
      </c>
      <c r="J944">
        <v>1</v>
      </c>
      <c r="K944" t="s">
        <v>3892</v>
      </c>
      <c r="L944">
        <v>5.85</v>
      </c>
      <c r="M944">
        <v>5.85</v>
      </c>
      <c r="N944" t="s">
        <v>4240</v>
      </c>
      <c r="O944" t="s">
        <v>465</v>
      </c>
    </row>
    <row r="945" spans="1:15" x14ac:dyDescent="0.3">
      <c r="A945">
        <v>233762</v>
      </c>
      <c r="B945">
        <v>116</v>
      </c>
      <c r="C945" t="s">
        <v>568</v>
      </c>
      <c r="D945" t="s">
        <v>2280</v>
      </c>
      <c r="E945" t="s">
        <v>2539</v>
      </c>
      <c r="F945" s="452">
        <v>46156</v>
      </c>
      <c r="G945">
        <v>19672</v>
      </c>
      <c r="H945" t="s">
        <v>4024</v>
      </c>
      <c r="I945" t="s">
        <v>3469</v>
      </c>
      <c r="J945">
        <v>2</v>
      </c>
      <c r="K945" t="s">
        <v>3892</v>
      </c>
      <c r="L945">
        <v>26</v>
      </c>
      <c r="M945">
        <v>13</v>
      </c>
      <c r="N945" t="s">
        <v>4240</v>
      </c>
      <c r="O945" t="s">
        <v>465</v>
      </c>
    </row>
    <row r="946" spans="1:15" x14ac:dyDescent="0.3">
      <c r="A946">
        <v>233762</v>
      </c>
      <c r="B946">
        <v>116</v>
      </c>
      <c r="C946" t="s">
        <v>568</v>
      </c>
      <c r="D946" t="s">
        <v>2280</v>
      </c>
      <c r="E946" t="s">
        <v>2539</v>
      </c>
      <c r="F946" s="452">
        <v>46156</v>
      </c>
      <c r="G946">
        <v>19787</v>
      </c>
      <c r="H946" t="s">
        <v>3940</v>
      </c>
      <c r="I946" t="s">
        <v>3469</v>
      </c>
      <c r="J946">
        <v>3.2</v>
      </c>
      <c r="K946" t="s">
        <v>3892</v>
      </c>
      <c r="L946">
        <v>19.14</v>
      </c>
      <c r="M946">
        <v>5.9812500000000002</v>
      </c>
      <c r="N946" t="s">
        <v>4240</v>
      </c>
      <c r="O946" t="s">
        <v>465</v>
      </c>
    </row>
    <row r="947" spans="1:15" x14ac:dyDescent="0.3">
      <c r="A947">
        <v>233762</v>
      </c>
      <c r="B947">
        <v>116</v>
      </c>
      <c r="C947" t="s">
        <v>568</v>
      </c>
      <c r="D947" t="s">
        <v>2280</v>
      </c>
      <c r="E947" t="s">
        <v>2539</v>
      </c>
      <c r="F947" s="452">
        <v>46156</v>
      </c>
      <c r="G947">
        <v>23361</v>
      </c>
      <c r="H947" t="s">
        <v>4220</v>
      </c>
      <c r="I947" t="s">
        <v>3469</v>
      </c>
      <c r="J947">
        <v>20</v>
      </c>
      <c r="K947" t="s">
        <v>3892</v>
      </c>
      <c r="L947">
        <v>58.6</v>
      </c>
      <c r="M947">
        <v>2.93</v>
      </c>
      <c r="N947" t="s">
        <v>4240</v>
      </c>
      <c r="O947" t="s">
        <v>465</v>
      </c>
    </row>
    <row r="948" spans="1:15" x14ac:dyDescent="0.3">
      <c r="A948">
        <v>233762</v>
      </c>
      <c r="B948">
        <v>116</v>
      </c>
      <c r="C948" t="s">
        <v>568</v>
      </c>
      <c r="D948" t="s">
        <v>2280</v>
      </c>
      <c r="E948" t="s">
        <v>2539</v>
      </c>
      <c r="F948" s="452">
        <v>46156</v>
      </c>
      <c r="G948">
        <v>23096</v>
      </c>
      <c r="H948" t="s">
        <v>3876</v>
      </c>
      <c r="I948" t="s">
        <v>3469</v>
      </c>
      <c r="J948">
        <v>60</v>
      </c>
      <c r="K948" t="s">
        <v>3872</v>
      </c>
      <c r="L948">
        <v>39</v>
      </c>
      <c r="M948">
        <v>0.65</v>
      </c>
      <c r="N948" t="s">
        <v>4240</v>
      </c>
      <c r="O948" t="s">
        <v>465</v>
      </c>
    </row>
    <row r="949" spans="1:15" x14ac:dyDescent="0.3">
      <c r="A949">
        <v>233762</v>
      </c>
      <c r="B949">
        <v>116</v>
      </c>
      <c r="C949" t="s">
        <v>568</v>
      </c>
      <c r="D949" t="s">
        <v>2280</v>
      </c>
      <c r="E949" t="s">
        <v>2539</v>
      </c>
      <c r="F949" s="452">
        <v>46156</v>
      </c>
      <c r="G949">
        <v>23142</v>
      </c>
      <c r="H949" t="s">
        <v>4151</v>
      </c>
      <c r="I949" t="s">
        <v>3469</v>
      </c>
      <c r="J949">
        <v>1</v>
      </c>
      <c r="K949" t="s">
        <v>3892</v>
      </c>
      <c r="L949">
        <v>20.8</v>
      </c>
      <c r="M949">
        <v>20.8</v>
      </c>
      <c r="N949" t="s">
        <v>4240</v>
      </c>
      <c r="O949" t="s">
        <v>465</v>
      </c>
    </row>
    <row r="950" spans="1:15" x14ac:dyDescent="0.3">
      <c r="A950">
        <v>233762</v>
      </c>
      <c r="B950">
        <v>116</v>
      </c>
      <c r="C950" t="s">
        <v>568</v>
      </c>
      <c r="D950" t="s">
        <v>2280</v>
      </c>
      <c r="E950" t="s">
        <v>2539</v>
      </c>
      <c r="F950" s="452">
        <v>46156</v>
      </c>
      <c r="G950">
        <v>23236</v>
      </c>
      <c r="H950" t="s">
        <v>4017</v>
      </c>
      <c r="I950" t="s">
        <v>3469</v>
      </c>
      <c r="J950">
        <v>4</v>
      </c>
      <c r="K950" t="s">
        <v>3892</v>
      </c>
      <c r="L950">
        <v>37.56</v>
      </c>
      <c r="M950">
        <v>9.39</v>
      </c>
      <c r="N950" t="s">
        <v>4240</v>
      </c>
      <c r="O950" t="s">
        <v>465</v>
      </c>
    </row>
    <row r="951" spans="1:15" x14ac:dyDescent="0.3">
      <c r="A951">
        <v>233761</v>
      </c>
      <c r="B951">
        <v>116</v>
      </c>
      <c r="C951" t="s">
        <v>568</v>
      </c>
      <c r="D951" t="s">
        <v>2280</v>
      </c>
      <c r="E951" t="s">
        <v>2540</v>
      </c>
      <c r="F951" s="452">
        <v>46153</v>
      </c>
      <c r="G951">
        <v>19555</v>
      </c>
      <c r="H951" t="s">
        <v>4109</v>
      </c>
      <c r="I951" t="s">
        <v>3469</v>
      </c>
      <c r="J951">
        <v>0.5</v>
      </c>
      <c r="K951" t="s">
        <v>3892</v>
      </c>
      <c r="L951">
        <v>7.58</v>
      </c>
      <c r="M951">
        <v>15.16</v>
      </c>
      <c r="N951" t="s">
        <v>4240</v>
      </c>
      <c r="O951" t="s">
        <v>465</v>
      </c>
    </row>
    <row r="952" spans="1:15" x14ac:dyDescent="0.3">
      <c r="A952">
        <v>233761</v>
      </c>
      <c r="B952">
        <v>116</v>
      </c>
      <c r="C952" t="s">
        <v>568</v>
      </c>
      <c r="D952" t="s">
        <v>2280</v>
      </c>
      <c r="E952" t="s">
        <v>2540</v>
      </c>
      <c r="F952" s="452">
        <v>46153</v>
      </c>
      <c r="G952">
        <v>19672</v>
      </c>
      <c r="H952" t="s">
        <v>4024</v>
      </c>
      <c r="I952" t="s">
        <v>3469</v>
      </c>
      <c r="J952">
        <v>2</v>
      </c>
      <c r="K952" t="s">
        <v>3892</v>
      </c>
      <c r="L952">
        <v>26</v>
      </c>
      <c r="M952">
        <v>13</v>
      </c>
      <c r="N952" t="s">
        <v>4240</v>
      </c>
      <c r="O952" t="s">
        <v>465</v>
      </c>
    </row>
    <row r="953" spans="1:15" x14ac:dyDescent="0.3">
      <c r="A953">
        <v>233761</v>
      </c>
      <c r="B953">
        <v>116</v>
      </c>
      <c r="C953" t="s">
        <v>568</v>
      </c>
      <c r="D953" t="s">
        <v>2280</v>
      </c>
      <c r="E953" t="s">
        <v>2540</v>
      </c>
      <c r="F953" s="452">
        <v>46153</v>
      </c>
      <c r="G953">
        <v>23142</v>
      </c>
      <c r="H953" t="s">
        <v>4151</v>
      </c>
      <c r="I953" t="s">
        <v>3469</v>
      </c>
      <c r="J953">
        <v>1</v>
      </c>
      <c r="K953" t="s">
        <v>3892</v>
      </c>
      <c r="L953">
        <v>20.8</v>
      </c>
      <c r="M953">
        <v>20.8</v>
      </c>
      <c r="N953" t="s">
        <v>4240</v>
      </c>
      <c r="O953" t="s">
        <v>465</v>
      </c>
    </row>
    <row r="954" spans="1:15" x14ac:dyDescent="0.3">
      <c r="A954">
        <v>233760</v>
      </c>
      <c r="B954">
        <v>116</v>
      </c>
      <c r="C954" t="s">
        <v>568</v>
      </c>
      <c r="D954" t="s">
        <v>2273</v>
      </c>
      <c r="E954" t="s">
        <v>2541</v>
      </c>
      <c r="F954" s="452">
        <v>46160</v>
      </c>
      <c r="G954">
        <v>23171</v>
      </c>
      <c r="H954" t="s">
        <v>4132</v>
      </c>
      <c r="I954" t="s">
        <v>3469</v>
      </c>
      <c r="J954">
        <v>3</v>
      </c>
      <c r="K954" t="s">
        <v>3892</v>
      </c>
      <c r="L954">
        <v>33.299999999999997</v>
      </c>
      <c r="M954">
        <v>11.1</v>
      </c>
      <c r="N954" t="s">
        <v>3469</v>
      </c>
      <c r="O954" t="s">
        <v>465</v>
      </c>
    </row>
    <row r="955" spans="1:15" x14ac:dyDescent="0.3">
      <c r="A955">
        <v>233760</v>
      </c>
      <c r="B955">
        <v>116</v>
      </c>
      <c r="C955" t="s">
        <v>568</v>
      </c>
      <c r="D955" t="s">
        <v>2273</v>
      </c>
      <c r="E955" t="s">
        <v>2541</v>
      </c>
      <c r="F955" s="452">
        <v>46160</v>
      </c>
      <c r="G955">
        <v>23096</v>
      </c>
      <c r="H955" t="s">
        <v>3876</v>
      </c>
      <c r="I955" t="s">
        <v>3469</v>
      </c>
      <c r="J955">
        <v>60</v>
      </c>
      <c r="K955" t="s">
        <v>3872</v>
      </c>
      <c r="L955">
        <v>39</v>
      </c>
      <c r="M955">
        <v>0.65</v>
      </c>
      <c r="N955" t="s">
        <v>3469</v>
      </c>
      <c r="O955" t="s">
        <v>465</v>
      </c>
    </row>
    <row r="956" spans="1:15" x14ac:dyDescent="0.3">
      <c r="A956">
        <v>233760</v>
      </c>
      <c r="B956">
        <v>116</v>
      </c>
      <c r="C956" t="s">
        <v>568</v>
      </c>
      <c r="D956" t="s">
        <v>2273</v>
      </c>
      <c r="E956" t="s">
        <v>2541</v>
      </c>
      <c r="F956" s="452">
        <v>46160</v>
      </c>
      <c r="G956">
        <v>24484</v>
      </c>
      <c r="H956" t="s">
        <v>4154</v>
      </c>
      <c r="I956" t="s">
        <v>3469</v>
      </c>
      <c r="J956">
        <v>0.6</v>
      </c>
      <c r="K956" t="s">
        <v>3892</v>
      </c>
      <c r="L956">
        <v>8.27</v>
      </c>
      <c r="M956">
        <v>13.783333000000001</v>
      </c>
      <c r="N956" t="s">
        <v>3469</v>
      </c>
      <c r="O956" t="s">
        <v>465</v>
      </c>
    </row>
    <row r="957" spans="1:15" x14ac:dyDescent="0.3">
      <c r="A957">
        <v>233760</v>
      </c>
      <c r="B957">
        <v>116</v>
      </c>
      <c r="C957" t="s">
        <v>568</v>
      </c>
      <c r="D957" t="s">
        <v>2273</v>
      </c>
      <c r="E957" t="s">
        <v>2541</v>
      </c>
      <c r="F957" s="452">
        <v>46160</v>
      </c>
      <c r="G957">
        <v>19558</v>
      </c>
      <c r="H957" t="s">
        <v>4183</v>
      </c>
      <c r="I957" t="s">
        <v>3469</v>
      </c>
      <c r="J957">
        <v>1.1000000000000001</v>
      </c>
      <c r="K957" t="s">
        <v>3892</v>
      </c>
      <c r="L957">
        <v>22.33</v>
      </c>
      <c r="M957">
        <v>20.3</v>
      </c>
      <c r="N957" t="s">
        <v>3469</v>
      </c>
      <c r="O957" t="s">
        <v>465</v>
      </c>
    </row>
    <row r="958" spans="1:15" x14ac:dyDescent="0.3">
      <c r="A958">
        <v>233760</v>
      </c>
      <c r="B958">
        <v>116</v>
      </c>
      <c r="C958" t="s">
        <v>568</v>
      </c>
      <c r="D958" t="s">
        <v>2273</v>
      </c>
      <c r="E958" t="s">
        <v>2541</v>
      </c>
      <c r="F958" s="452">
        <v>46160</v>
      </c>
      <c r="G958">
        <v>19572</v>
      </c>
      <c r="H958" t="s">
        <v>4023</v>
      </c>
      <c r="I958" t="s">
        <v>3469</v>
      </c>
      <c r="J958">
        <v>1.1000000000000001</v>
      </c>
      <c r="K958" t="s">
        <v>3892</v>
      </c>
      <c r="L958">
        <v>8.86</v>
      </c>
      <c r="M958">
        <v>8.0545449999999992</v>
      </c>
      <c r="N958" t="s">
        <v>3469</v>
      </c>
      <c r="O958" t="s">
        <v>465</v>
      </c>
    </row>
    <row r="959" spans="1:15" x14ac:dyDescent="0.3">
      <c r="A959">
        <v>233760</v>
      </c>
      <c r="B959">
        <v>116</v>
      </c>
      <c r="C959" t="s">
        <v>568</v>
      </c>
      <c r="D959" t="s">
        <v>2273</v>
      </c>
      <c r="E959" t="s">
        <v>2541</v>
      </c>
      <c r="F959" s="452">
        <v>46160</v>
      </c>
      <c r="G959">
        <v>19742</v>
      </c>
      <c r="H959" t="s">
        <v>4074</v>
      </c>
      <c r="I959" t="s">
        <v>3469</v>
      </c>
      <c r="J959">
        <v>1.2</v>
      </c>
      <c r="K959" t="s">
        <v>3892</v>
      </c>
      <c r="L959">
        <v>15.79</v>
      </c>
      <c r="M959">
        <v>13.158333000000001</v>
      </c>
      <c r="N959" t="s">
        <v>3469</v>
      </c>
      <c r="O959" t="s">
        <v>465</v>
      </c>
    </row>
    <row r="960" spans="1:15" x14ac:dyDescent="0.3">
      <c r="A960">
        <v>233760</v>
      </c>
      <c r="B960">
        <v>116</v>
      </c>
      <c r="C960" t="s">
        <v>568</v>
      </c>
      <c r="D960" t="s">
        <v>2273</v>
      </c>
      <c r="E960" t="s">
        <v>2541</v>
      </c>
      <c r="F960" s="452">
        <v>46160</v>
      </c>
      <c r="G960">
        <v>23389</v>
      </c>
      <c r="H960" t="s">
        <v>4016</v>
      </c>
      <c r="I960" t="s">
        <v>3469</v>
      </c>
      <c r="J960">
        <v>4.2</v>
      </c>
      <c r="K960" t="s">
        <v>3892</v>
      </c>
      <c r="L960">
        <v>20.29</v>
      </c>
      <c r="M960">
        <v>4.8309519999999999</v>
      </c>
      <c r="N960" t="s">
        <v>3469</v>
      </c>
      <c r="O960" t="s">
        <v>465</v>
      </c>
    </row>
    <row r="961" spans="1:15" x14ac:dyDescent="0.3">
      <c r="A961">
        <v>233760</v>
      </c>
      <c r="B961">
        <v>116</v>
      </c>
      <c r="C961" t="s">
        <v>568</v>
      </c>
      <c r="D961" t="s">
        <v>2273</v>
      </c>
      <c r="E961" t="s">
        <v>2541</v>
      </c>
      <c r="F961" s="452">
        <v>46160</v>
      </c>
      <c r="G961">
        <v>23113</v>
      </c>
      <c r="H961" t="s">
        <v>4079</v>
      </c>
      <c r="I961" t="s">
        <v>3469</v>
      </c>
      <c r="J961">
        <v>1.1000000000000001</v>
      </c>
      <c r="K961" t="s">
        <v>3892</v>
      </c>
      <c r="L961">
        <v>15.95</v>
      </c>
      <c r="M961">
        <v>14.5</v>
      </c>
      <c r="N961" t="s">
        <v>3469</v>
      </c>
      <c r="O961" t="s">
        <v>465</v>
      </c>
    </row>
    <row r="962" spans="1:15" x14ac:dyDescent="0.3">
      <c r="A962">
        <v>233760</v>
      </c>
      <c r="B962">
        <v>116</v>
      </c>
      <c r="C962" t="s">
        <v>568</v>
      </c>
      <c r="D962" t="s">
        <v>2273</v>
      </c>
      <c r="E962" t="s">
        <v>2541</v>
      </c>
      <c r="F962" s="452">
        <v>46160</v>
      </c>
      <c r="G962">
        <v>17066</v>
      </c>
      <c r="H962" t="s">
        <v>4155</v>
      </c>
      <c r="I962" t="s">
        <v>3469</v>
      </c>
      <c r="J962">
        <v>1</v>
      </c>
      <c r="K962" t="s">
        <v>3892</v>
      </c>
      <c r="L962">
        <v>23.78</v>
      </c>
      <c r="M962">
        <v>23.78</v>
      </c>
      <c r="N962" t="s">
        <v>3469</v>
      </c>
      <c r="O962" t="s">
        <v>465</v>
      </c>
    </row>
    <row r="963" spans="1:15" x14ac:dyDescent="0.3">
      <c r="A963">
        <v>233760</v>
      </c>
      <c r="B963">
        <v>116</v>
      </c>
      <c r="C963" t="s">
        <v>568</v>
      </c>
      <c r="D963" t="s">
        <v>2273</v>
      </c>
      <c r="E963" t="s">
        <v>2541</v>
      </c>
      <c r="F963" s="452">
        <v>46160</v>
      </c>
      <c r="G963">
        <v>23095</v>
      </c>
      <c r="H963" t="s">
        <v>3882</v>
      </c>
      <c r="I963" t="s">
        <v>3469</v>
      </c>
      <c r="J963">
        <v>60</v>
      </c>
      <c r="K963" t="s">
        <v>3872</v>
      </c>
      <c r="L963">
        <v>62.4</v>
      </c>
      <c r="M963">
        <v>1.04</v>
      </c>
      <c r="N963" t="s">
        <v>3469</v>
      </c>
      <c r="O963" t="s">
        <v>465</v>
      </c>
    </row>
    <row r="964" spans="1:15" x14ac:dyDescent="0.3">
      <c r="A964">
        <v>233760</v>
      </c>
      <c r="B964">
        <v>116</v>
      </c>
      <c r="C964" t="s">
        <v>568</v>
      </c>
      <c r="D964" t="s">
        <v>2273</v>
      </c>
      <c r="E964" t="s">
        <v>2541</v>
      </c>
      <c r="F964" s="452">
        <v>46160</v>
      </c>
      <c r="G964">
        <v>19488</v>
      </c>
      <c r="H964" t="s">
        <v>4070</v>
      </c>
      <c r="I964" t="s">
        <v>3469</v>
      </c>
      <c r="J964">
        <v>0.7</v>
      </c>
      <c r="K964" t="s">
        <v>3892</v>
      </c>
      <c r="L964">
        <v>10.15</v>
      </c>
      <c r="M964">
        <v>14.5</v>
      </c>
      <c r="N964" t="s">
        <v>3469</v>
      </c>
      <c r="O964" t="s">
        <v>465</v>
      </c>
    </row>
    <row r="965" spans="1:15" x14ac:dyDescent="0.3">
      <c r="A965">
        <v>233759</v>
      </c>
      <c r="B965">
        <v>116</v>
      </c>
      <c r="C965" t="s">
        <v>568</v>
      </c>
      <c r="D965" t="s">
        <v>2260</v>
      </c>
      <c r="E965" t="s">
        <v>2542</v>
      </c>
      <c r="F965" s="452">
        <v>46156</v>
      </c>
      <c r="G965">
        <v>27884</v>
      </c>
      <c r="H965" t="s">
        <v>3910</v>
      </c>
      <c r="I965" t="s">
        <v>3469</v>
      </c>
      <c r="J965">
        <v>15.8</v>
      </c>
      <c r="K965" t="s">
        <v>3892</v>
      </c>
      <c r="L965">
        <v>1090.2</v>
      </c>
      <c r="M965">
        <v>69</v>
      </c>
      <c r="N965" t="s">
        <v>4240</v>
      </c>
      <c r="O965" t="s">
        <v>465</v>
      </c>
    </row>
    <row r="966" spans="1:15" x14ac:dyDescent="0.3">
      <c r="A966">
        <v>233759</v>
      </c>
      <c r="B966">
        <v>116</v>
      </c>
      <c r="C966" t="s">
        <v>568</v>
      </c>
      <c r="D966" t="s">
        <v>2260</v>
      </c>
      <c r="E966" t="s">
        <v>2542</v>
      </c>
      <c r="F966" s="452">
        <v>46156</v>
      </c>
      <c r="G966">
        <v>20555</v>
      </c>
      <c r="H966" t="s">
        <v>3959</v>
      </c>
      <c r="I966" t="s">
        <v>3469</v>
      </c>
      <c r="J966">
        <v>10.7</v>
      </c>
      <c r="K966" t="s">
        <v>3892</v>
      </c>
      <c r="L966">
        <v>845.3</v>
      </c>
      <c r="M966">
        <v>79</v>
      </c>
      <c r="N966" t="s">
        <v>4240</v>
      </c>
      <c r="O966" t="s">
        <v>465</v>
      </c>
    </row>
    <row r="967" spans="1:15" x14ac:dyDescent="0.3">
      <c r="A967">
        <v>233758</v>
      </c>
      <c r="B967">
        <v>116</v>
      </c>
      <c r="C967" t="s">
        <v>568</v>
      </c>
      <c r="D967" t="s">
        <v>2267</v>
      </c>
      <c r="E967" t="s">
        <v>2543</v>
      </c>
      <c r="F967" s="452">
        <v>46155</v>
      </c>
      <c r="G967">
        <v>24343</v>
      </c>
      <c r="H967" t="s">
        <v>3990</v>
      </c>
      <c r="I967" t="s">
        <v>3469</v>
      </c>
      <c r="J967">
        <v>5.7</v>
      </c>
      <c r="K967" t="s">
        <v>3892</v>
      </c>
      <c r="L967">
        <v>142.44</v>
      </c>
      <c r="M967">
        <v>24.989474000000001</v>
      </c>
      <c r="N967" t="s">
        <v>3469</v>
      </c>
      <c r="O967" t="s">
        <v>465</v>
      </c>
    </row>
    <row r="968" spans="1:15" x14ac:dyDescent="0.3">
      <c r="A968">
        <v>233758</v>
      </c>
      <c r="B968">
        <v>116</v>
      </c>
      <c r="C968" t="s">
        <v>568</v>
      </c>
      <c r="D968" t="s">
        <v>2267</v>
      </c>
      <c r="E968" t="s">
        <v>2543</v>
      </c>
      <c r="F968" s="452">
        <v>46155</v>
      </c>
      <c r="G968">
        <v>18682</v>
      </c>
      <c r="H968" t="s">
        <v>4025</v>
      </c>
      <c r="I968" t="s">
        <v>3469</v>
      </c>
      <c r="J968">
        <v>5.4</v>
      </c>
      <c r="K968" t="s">
        <v>3892</v>
      </c>
      <c r="L968">
        <v>151.15</v>
      </c>
      <c r="M968">
        <v>27.990741</v>
      </c>
      <c r="N968" t="s">
        <v>3469</v>
      </c>
      <c r="O968" t="s">
        <v>465</v>
      </c>
    </row>
    <row r="969" spans="1:15" x14ac:dyDescent="0.3">
      <c r="A969">
        <v>233758</v>
      </c>
      <c r="B969">
        <v>116</v>
      </c>
      <c r="C969" t="s">
        <v>568</v>
      </c>
      <c r="D969" t="s">
        <v>2267</v>
      </c>
      <c r="E969" t="s">
        <v>2543</v>
      </c>
      <c r="F969" s="452">
        <v>46155</v>
      </c>
      <c r="G969">
        <v>20549</v>
      </c>
      <c r="H969" t="s">
        <v>4007</v>
      </c>
      <c r="I969" t="s">
        <v>3469</v>
      </c>
      <c r="J969">
        <v>7.59</v>
      </c>
      <c r="K969" t="s">
        <v>3892</v>
      </c>
      <c r="L969">
        <v>151.72</v>
      </c>
      <c r="M969">
        <v>19.989460000000001</v>
      </c>
      <c r="N969" t="s">
        <v>3469</v>
      </c>
      <c r="O969" t="s">
        <v>465</v>
      </c>
    </row>
    <row r="970" spans="1:15" x14ac:dyDescent="0.3">
      <c r="A970">
        <v>233758</v>
      </c>
      <c r="B970">
        <v>116</v>
      </c>
      <c r="C970" t="s">
        <v>568</v>
      </c>
      <c r="D970" t="s">
        <v>2267</v>
      </c>
      <c r="E970" t="s">
        <v>2543</v>
      </c>
      <c r="F970" s="452">
        <v>46155</v>
      </c>
      <c r="G970">
        <v>24517</v>
      </c>
      <c r="H970" t="s">
        <v>3991</v>
      </c>
      <c r="I970" t="s">
        <v>3469</v>
      </c>
      <c r="J970">
        <v>10</v>
      </c>
      <c r="K970" t="s">
        <v>3892</v>
      </c>
      <c r="L970">
        <v>279.89999999999998</v>
      </c>
      <c r="M970">
        <v>27.99</v>
      </c>
      <c r="N970" t="s">
        <v>3469</v>
      </c>
      <c r="O970" t="s">
        <v>465</v>
      </c>
    </row>
    <row r="971" spans="1:15" x14ac:dyDescent="0.3">
      <c r="A971">
        <v>233757</v>
      </c>
      <c r="B971">
        <v>116</v>
      </c>
      <c r="C971" t="s">
        <v>568</v>
      </c>
      <c r="D971" t="s">
        <v>2468</v>
      </c>
      <c r="E971" t="s">
        <v>2544</v>
      </c>
      <c r="F971" s="452">
        <v>46153</v>
      </c>
      <c r="G971">
        <v>27312</v>
      </c>
      <c r="H971" t="s">
        <v>3927</v>
      </c>
      <c r="I971" t="s">
        <v>3469</v>
      </c>
      <c r="J971">
        <v>14.11</v>
      </c>
      <c r="K971" t="s">
        <v>3892</v>
      </c>
      <c r="L971">
        <v>684.33</v>
      </c>
      <c r="M971">
        <v>48.499645999999998</v>
      </c>
      <c r="N971" t="s">
        <v>4240</v>
      </c>
      <c r="O971" t="s">
        <v>465</v>
      </c>
    </row>
    <row r="972" spans="1:15" x14ac:dyDescent="0.3">
      <c r="A972">
        <v>233756</v>
      </c>
      <c r="B972">
        <v>116</v>
      </c>
      <c r="C972" t="s">
        <v>568</v>
      </c>
      <c r="D972" t="s">
        <v>2262</v>
      </c>
      <c r="E972" t="s">
        <v>2545</v>
      </c>
      <c r="F972" s="452">
        <v>46154</v>
      </c>
      <c r="G972">
        <v>18818</v>
      </c>
      <c r="H972" t="s">
        <v>3916</v>
      </c>
      <c r="I972" t="s">
        <v>3469</v>
      </c>
      <c r="J972">
        <v>10.8</v>
      </c>
      <c r="K972" t="s">
        <v>3892</v>
      </c>
      <c r="L972">
        <v>354.24</v>
      </c>
      <c r="M972">
        <v>32.799999999999997</v>
      </c>
      <c r="N972" t="s">
        <v>3469</v>
      </c>
      <c r="O972" t="s">
        <v>465</v>
      </c>
    </row>
    <row r="973" spans="1:15" x14ac:dyDescent="0.3">
      <c r="A973">
        <v>233756</v>
      </c>
      <c r="B973">
        <v>116</v>
      </c>
      <c r="C973" t="s">
        <v>568</v>
      </c>
      <c r="D973" t="s">
        <v>2262</v>
      </c>
      <c r="E973" t="s">
        <v>2545</v>
      </c>
      <c r="F973" s="452">
        <v>46154</v>
      </c>
      <c r="G973">
        <v>19017</v>
      </c>
      <c r="H973" t="s">
        <v>4172</v>
      </c>
      <c r="I973" t="s">
        <v>3469</v>
      </c>
      <c r="J973">
        <v>6.7</v>
      </c>
      <c r="K973" t="s">
        <v>3892</v>
      </c>
      <c r="L973">
        <v>100.5</v>
      </c>
      <c r="M973">
        <v>15</v>
      </c>
      <c r="N973" t="s">
        <v>3469</v>
      </c>
      <c r="O973" t="s">
        <v>465</v>
      </c>
    </row>
    <row r="974" spans="1:15" x14ac:dyDescent="0.3">
      <c r="A974">
        <v>233756</v>
      </c>
      <c r="B974">
        <v>116</v>
      </c>
      <c r="C974" t="s">
        <v>568</v>
      </c>
      <c r="D974" t="s">
        <v>2262</v>
      </c>
      <c r="E974" t="s">
        <v>2545</v>
      </c>
      <c r="F974" s="452">
        <v>46154</v>
      </c>
      <c r="G974">
        <v>24402</v>
      </c>
      <c r="H974" t="s">
        <v>3896</v>
      </c>
      <c r="I974" t="s">
        <v>3469</v>
      </c>
      <c r="J974">
        <v>12.8</v>
      </c>
      <c r="K974" t="s">
        <v>3892</v>
      </c>
      <c r="L974">
        <v>488.96</v>
      </c>
      <c r="M974">
        <v>38.200000000000003</v>
      </c>
      <c r="N974" t="s">
        <v>3469</v>
      </c>
      <c r="O974" t="s">
        <v>465</v>
      </c>
    </row>
    <row r="975" spans="1:15" x14ac:dyDescent="0.3">
      <c r="A975">
        <v>233756</v>
      </c>
      <c r="B975">
        <v>116</v>
      </c>
      <c r="C975" t="s">
        <v>568</v>
      </c>
      <c r="D975" t="s">
        <v>2262</v>
      </c>
      <c r="E975" t="s">
        <v>2545</v>
      </c>
      <c r="F975" s="452">
        <v>46154</v>
      </c>
      <c r="G975">
        <v>24259</v>
      </c>
      <c r="H975" t="s">
        <v>3895</v>
      </c>
      <c r="I975" t="s">
        <v>3469</v>
      </c>
      <c r="J975">
        <v>16.3</v>
      </c>
      <c r="K975" t="s">
        <v>3892</v>
      </c>
      <c r="L975">
        <v>1302.3699999999999</v>
      </c>
      <c r="M975">
        <v>79.900000000000006</v>
      </c>
      <c r="N975" t="s">
        <v>3469</v>
      </c>
      <c r="O975" t="s">
        <v>465</v>
      </c>
    </row>
    <row r="976" spans="1:15" x14ac:dyDescent="0.3">
      <c r="A976">
        <v>233756</v>
      </c>
      <c r="B976">
        <v>116</v>
      </c>
      <c r="C976" t="s">
        <v>568</v>
      </c>
      <c r="D976" t="s">
        <v>2262</v>
      </c>
      <c r="E976" t="s">
        <v>2545</v>
      </c>
      <c r="F976" s="452">
        <v>46154</v>
      </c>
      <c r="G976">
        <v>18832</v>
      </c>
      <c r="H976" t="s">
        <v>3900</v>
      </c>
      <c r="I976" t="s">
        <v>3469</v>
      </c>
      <c r="J976">
        <v>20.8</v>
      </c>
      <c r="K976" t="s">
        <v>3892</v>
      </c>
      <c r="L976">
        <v>829.92</v>
      </c>
      <c r="M976">
        <v>39.9</v>
      </c>
      <c r="N976" t="s">
        <v>3469</v>
      </c>
      <c r="O976" t="s">
        <v>465</v>
      </c>
    </row>
    <row r="977" spans="1:15" x14ac:dyDescent="0.3">
      <c r="A977">
        <v>233756</v>
      </c>
      <c r="B977">
        <v>116</v>
      </c>
      <c r="C977" t="s">
        <v>568</v>
      </c>
      <c r="D977" t="s">
        <v>2262</v>
      </c>
      <c r="E977" t="s">
        <v>2545</v>
      </c>
      <c r="F977" s="452">
        <v>46154</v>
      </c>
      <c r="G977">
        <v>24339</v>
      </c>
      <c r="H977" t="s">
        <v>4119</v>
      </c>
      <c r="I977" t="s">
        <v>3469</v>
      </c>
      <c r="J977">
        <v>3</v>
      </c>
      <c r="K977" t="s">
        <v>3892</v>
      </c>
      <c r="L977">
        <v>89.4</v>
      </c>
      <c r="M977">
        <v>29.8</v>
      </c>
      <c r="N977" t="s">
        <v>3469</v>
      </c>
      <c r="O977" t="s">
        <v>465</v>
      </c>
    </row>
    <row r="978" spans="1:15" x14ac:dyDescent="0.3">
      <c r="A978">
        <v>233756</v>
      </c>
      <c r="B978">
        <v>116</v>
      </c>
      <c r="C978" t="s">
        <v>568</v>
      </c>
      <c r="D978" t="s">
        <v>2262</v>
      </c>
      <c r="E978" t="s">
        <v>2545</v>
      </c>
      <c r="F978" s="452">
        <v>46154</v>
      </c>
      <c r="G978">
        <v>24116</v>
      </c>
      <c r="H978" t="s">
        <v>3963</v>
      </c>
      <c r="I978" t="s">
        <v>3469</v>
      </c>
      <c r="J978">
        <v>5</v>
      </c>
      <c r="K978" t="s">
        <v>3892</v>
      </c>
      <c r="L978">
        <v>209.5</v>
      </c>
      <c r="M978">
        <v>41.9</v>
      </c>
      <c r="N978" t="s">
        <v>3469</v>
      </c>
      <c r="O978" t="s">
        <v>465</v>
      </c>
    </row>
    <row r="979" spans="1:15" x14ac:dyDescent="0.3">
      <c r="A979">
        <v>233755</v>
      </c>
      <c r="B979">
        <v>116</v>
      </c>
      <c r="C979" t="s">
        <v>568</v>
      </c>
      <c r="D979" t="s">
        <v>2308</v>
      </c>
      <c r="E979" t="s">
        <v>2546</v>
      </c>
      <c r="F979" s="452">
        <v>46154</v>
      </c>
      <c r="G979">
        <v>28760</v>
      </c>
      <c r="H979" t="s">
        <v>4188</v>
      </c>
      <c r="I979" t="s">
        <v>3469</v>
      </c>
      <c r="J979">
        <v>14.8</v>
      </c>
      <c r="K979" t="s">
        <v>3892</v>
      </c>
      <c r="L979">
        <v>1021.2</v>
      </c>
      <c r="M979">
        <v>69</v>
      </c>
      <c r="N979" t="s">
        <v>4240</v>
      </c>
      <c r="O979" t="s">
        <v>465</v>
      </c>
    </row>
    <row r="980" spans="1:15" x14ac:dyDescent="0.3">
      <c r="A980">
        <v>233754</v>
      </c>
      <c r="B980">
        <v>116</v>
      </c>
      <c r="C980" t="s">
        <v>568</v>
      </c>
      <c r="D980" t="s">
        <v>2312</v>
      </c>
      <c r="E980" t="s">
        <v>2547</v>
      </c>
      <c r="F980" s="452">
        <v>46154</v>
      </c>
      <c r="G980">
        <v>20621</v>
      </c>
      <c r="H980" t="s">
        <v>3885</v>
      </c>
      <c r="I980" t="s">
        <v>3469</v>
      </c>
      <c r="J980">
        <v>6</v>
      </c>
      <c r="K980" t="s">
        <v>3872</v>
      </c>
      <c r="L980">
        <v>156</v>
      </c>
      <c r="M980">
        <v>26</v>
      </c>
      <c r="N980" t="s">
        <v>3469</v>
      </c>
      <c r="O980" t="s">
        <v>465</v>
      </c>
    </row>
    <row r="981" spans="1:15" x14ac:dyDescent="0.3">
      <c r="A981">
        <v>233754</v>
      </c>
      <c r="B981">
        <v>116</v>
      </c>
      <c r="C981" t="s">
        <v>568</v>
      </c>
      <c r="D981" t="s">
        <v>2312</v>
      </c>
      <c r="E981" t="s">
        <v>2547</v>
      </c>
      <c r="F981" s="452">
        <v>46154</v>
      </c>
      <c r="G981">
        <v>20624</v>
      </c>
      <c r="H981" t="s">
        <v>3982</v>
      </c>
      <c r="I981" t="s">
        <v>3469</v>
      </c>
      <c r="J981">
        <v>2</v>
      </c>
      <c r="K981" t="s">
        <v>3872</v>
      </c>
      <c r="L981">
        <v>141.80000000000001</v>
      </c>
      <c r="M981">
        <v>70.900000000000006</v>
      </c>
      <c r="N981" t="s">
        <v>3469</v>
      </c>
      <c r="O981" t="s">
        <v>465</v>
      </c>
    </row>
    <row r="982" spans="1:15" x14ac:dyDescent="0.3">
      <c r="A982">
        <v>233753</v>
      </c>
      <c r="B982">
        <v>116</v>
      </c>
      <c r="C982" t="s">
        <v>568</v>
      </c>
      <c r="D982" t="s">
        <v>2340</v>
      </c>
      <c r="E982" t="s">
        <v>2548</v>
      </c>
      <c r="F982" s="452">
        <v>46154</v>
      </c>
      <c r="G982">
        <v>19287</v>
      </c>
      <c r="H982" t="s">
        <v>3974</v>
      </c>
      <c r="I982" t="s">
        <v>3469</v>
      </c>
      <c r="J982">
        <v>3.34</v>
      </c>
      <c r="K982" t="s">
        <v>3892</v>
      </c>
      <c r="L982">
        <v>140.15</v>
      </c>
      <c r="M982">
        <v>41.961078000000001</v>
      </c>
      <c r="N982" t="s">
        <v>4240</v>
      </c>
      <c r="O982" t="s">
        <v>465</v>
      </c>
    </row>
    <row r="983" spans="1:15" x14ac:dyDescent="0.3">
      <c r="A983">
        <v>233753</v>
      </c>
      <c r="B983">
        <v>116</v>
      </c>
      <c r="C983" t="s">
        <v>568</v>
      </c>
      <c r="D983" t="s">
        <v>2340</v>
      </c>
      <c r="E983" t="s">
        <v>2548</v>
      </c>
      <c r="F983" s="452">
        <v>46154</v>
      </c>
      <c r="G983">
        <v>19324</v>
      </c>
      <c r="H983" t="s">
        <v>3937</v>
      </c>
      <c r="I983" t="s">
        <v>3469</v>
      </c>
      <c r="J983">
        <v>8.2200000000000006</v>
      </c>
      <c r="K983" t="s">
        <v>3892</v>
      </c>
      <c r="L983">
        <v>327.16000000000003</v>
      </c>
      <c r="M983">
        <v>39.800486999999997</v>
      </c>
      <c r="N983" t="s">
        <v>4240</v>
      </c>
      <c r="O983" t="s">
        <v>465</v>
      </c>
    </row>
    <row r="984" spans="1:15" x14ac:dyDescent="0.3">
      <c r="A984">
        <v>233752</v>
      </c>
      <c r="B984">
        <v>116</v>
      </c>
      <c r="C984" t="s">
        <v>568</v>
      </c>
      <c r="D984" t="s">
        <v>2312</v>
      </c>
      <c r="E984" t="s">
        <v>2549</v>
      </c>
      <c r="F984" s="452">
        <v>46156</v>
      </c>
      <c r="G984">
        <v>20621</v>
      </c>
      <c r="H984" t="s">
        <v>3885</v>
      </c>
      <c r="I984" t="s">
        <v>3469</v>
      </c>
      <c r="J984">
        <v>12</v>
      </c>
      <c r="K984" t="s">
        <v>3872</v>
      </c>
      <c r="L984">
        <v>300</v>
      </c>
      <c r="M984">
        <v>25</v>
      </c>
      <c r="N984" t="s">
        <v>4240</v>
      </c>
      <c r="O984" t="s">
        <v>465</v>
      </c>
    </row>
    <row r="985" spans="1:15" x14ac:dyDescent="0.3">
      <c r="A985">
        <v>233751</v>
      </c>
      <c r="B985">
        <v>116</v>
      </c>
      <c r="C985" t="s">
        <v>568</v>
      </c>
      <c r="D985" t="s">
        <v>2277</v>
      </c>
      <c r="E985" t="s">
        <v>2550</v>
      </c>
      <c r="F985" s="452">
        <v>46154</v>
      </c>
      <c r="G985">
        <v>20729</v>
      </c>
      <c r="H985" t="s">
        <v>3965</v>
      </c>
      <c r="I985" t="s">
        <v>3469</v>
      </c>
      <c r="J985">
        <v>4</v>
      </c>
      <c r="K985" t="s">
        <v>3966</v>
      </c>
      <c r="L985">
        <v>271.52</v>
      </c>
      <c r="M985">
        <v>67.88</v>
      </c>
      <c r="N985" t="s">
        <v>4240</v>
      </c>
      <c r="O985" t="s">
        <v>465</v>
      </c>
    </row>
    <row r="986" spans="1:15" x14ac:dyDescent="0.3">
      <c r="A986">
        <v>233751</v>
      </c>
      <c r="B986">
        <v>116</v>
      </c>
      <c r="C986" t="s">
        <v>568</v>
      </c>
      <c r="D986" t="s">
        <v>2277</v>
      </c>
      <c r="E986" t="s">
        <v>2550</v>
      </c>
      <c r="F986" s="452">
        <v>46154</v>
      </c>
      <c r="G986">
        <v>20661</v>
      </c>
      <c r="H986" t="s">
        <v>3919</v>
      </c>
      <c r="I986" t="s">
        <v>3469</v>
      </c>
      <c r="J986">
        <v>12</v>
      </c>
      <c r="K986" t="s">
        <v>3872</v>
      </c>
      <c r="L986">
        <v>103.08</v>
      </c>
      <c r="M986">
        <v>8.59</v>
      </c>
      <c r="N986" t="s">
        <v>4240</v>
      </c>
      <c r="O986" t="s">
        <v>465</v>
      </c>
    </row>
    <row r="987" spans="1:15" x14ac:dyDescent="0.3">
      <c r="A987">
        <v>233751</v>
      </c>
      <c r="B987">
        <v>116</v>
      </c>
      <c r="C987" t="s">
        <v>568</v>
      </c>
      <c r="D987" t="s">
        <v>2277</v>
      </c>
      <c r="E987" t="s">
        <v>2550</v>
      </c>
      <c r="F987" s="452">
        <v>46154</v>
      </c>
      <c r="G987">
        <v>24212</v>
      </c>
      <c r="H987" t="s">
        <v>4056</v>
      </c>
      <c r="I987" t="s">
        <v>3469</v>
      </c>
      <c r="J987">
        <v>2</v>
      </c>
      <c r="K987" t="s">
        <v>3892</v>
      </c>
      <c r="L987">
        <v>25.8</v>
      </c>
      <c r="M987">
        <v>12.9</v>
      </c>
      <c r="N987" t="s">
        <v>4240</v>
      </c>
      <c r="O987" t="s">
        <v>465</v>
      </c>
    </row>
    <row r="988" spans="1:15" x14ac:dyDescent="0.3">
      <c r="A988">
        <v>233750</v>
      </c>
      <c r="B988">
        <v>116</v>
      </c>
      <c r="C988" t="s">
        <v>568</v>
      </c>
      <c r="D988" t="s">
        <v>2277</v>
      </c>
      <c r="E988" t="s">
        <v>2551</v>
      </c>
      <c r="F988" s="452">
        <v>46154</v>
      </c>
      <c r="G988">
        <v>21093</v>
      </c>
      <c r="H988" t="s">
        <v>3903</v>
      </c>
      <c r="I988" t="s">
        <v>3469</v>
      </c>
      <c r="J988">
        <v>10</v>
      </c>
      <c r="K988" t="s">
        <v>3872</v>
      </c>
      <c r="L988">
        <v>43.9</v>
      </c>
      <c r="M988">
        <v>4.3899999999999997</v>
      </c>
      <c r="N988" t="s">
        <v>3469</v>
      </c>
      <c r="O988" t="s">
        <v>465</v>
      </c>
    </row>
    <row r="989" spans="1:15" x14ac:dyDescent="0.3">
      <c r="A989">
        <v>233750</v>
      </c>
      <c r="B989">
        <v>116</v>
      </c>
      <c r="C989" t="s">
        <v>568</v>
      </c>
      <c r="D989" t="s">
        <v>2277</v>
      </c>
      <c r="E989" t="s">
        <v>2551</v>
      </c>
      <c r="F989" s="452">
        <v>46154</v>
      </c>
      <c r="G989">
        <v>21024</v>
      </c>
      <c r="H989" t="s">
        <v>4180</v>
      </c>
      <c r="I989" t="s">
        <v>3469</v>
      </c>
      <c r="J989">
        <v>2</v>
      </c>
      <c r="K989" t="s">
        <v>3872</v>
      </c>
      <c r="L989">
        <v>353.74</v>
      </c>
      <c r="M989">
        <v>176.87</v>
      </c>
      <c r="N989" t="s">
        <v>3469</v>
      </c>
      <c r="O989" t="s">
        <v>465</v>
      </c>
    </row>
    <row r="990" spans="1:15" x14ac:dyDescent="0.3">
      <c r="A990">
        <v>233750</v>
      </c>
      <c r="B990">
        <v>116</v>
      </c>
      <c r="C990" t="s">
        <v>568</v>
      </c>
      <c r="D990" t="s">
        <v>2277</v>
      </c>
      <c r="E990" t="s">
        <v>2551</v>
      </c>
      <c r="F990" s="452">
        <v>46154</v>
      </c>
      <c r="G990">
        <v>20057</v>
      </c>
      <c r="H990" t="s">
        <v>3967</v>
      </c>
      <c r="I990" t="s">
        <v>3469</v>
      </c>
      <c r="J990">
        <v>2</v>
      </c>
      <c r="K990" t="s">
        <v>3872</v>
      </c>
      <c r="L990">
        <v>84.36</v>
      </c>
      <c r="M990">
        <v>42.18</v>
      </c>
      <c r="N990" t="s">
        <v>3469</v>
      </c>
      <c r="O990" t="s">
        <v>465</v>
      </c>
    </row>
    <row r="991" spans="1:15" x14ac:dyDescent="0.3">
      <c r="A991">
        <v>233750</v>
      </c>
      <c r="B991">
        <v>116</v>
      </c>
      <c r="C991" t="s">
        <v>568</v>
      </c>
      <c r="D991" t="s">
        <v>2277</v>
      </c>
      <c r="E991" t="s">
        <v>2551</v>
      </c>
      <c r="F991" s="452">
        <v>46154</v>
      </c>
      <c r="G991">
        <v>20752</v>
      </c>
      <c r="H991" t="s">
        <v>3964</v>
      </c>
      <c r="I991" t="s">
        <v>3469</v>
      </c>
      <c r="J991">
        <v>2</v>
      </c>
      <c r="K991" t="s">
        <v>3872</v>
      </c>
      <c r="L991">
        <v>205.6</v>
      </c>
      <c r="M991">
        <v>102.8</v>
      </c>
      <c r="N991" t="s">
        <v>3469</v>
      </c>
      <c r="O991" t="s">
        <v>465</v>
      </c>
    </row>
    <row r="992" spans="1:15" x14ac:dyDescent="0.3">
      <c r="A992">
        <v>233750</v>
      </c>
      <c r="B992">
        <v>116</v>
      </c>
      <c r="C992" t="s">
        <v>568</v>
      </c>
      <c r="D992" t="s">
        <v>2277</v>
      </c>
      <c r="E992" t="s">
        <v>2551</v>
      </c>
      <c r="F992" s="452">
        <v>46154</v>
      </c>
      <c r="G992">
        <v>20809</v>
      </c>
      <c r="H992" t="s">
        <v>4005</v>
      </c>
      <c r="I992" t="s">
        <v>3469</v>
      </c>
      <c r="J992">
        <v>2</v>
      </c>
      <c r="K992" t="s">
        <v>3872</v>
      </c>
      <c r="L992">
        <v>59.8</v>
      </c>
      <c r="M992">
        <v>29.9</v>
      </c>
      <c r="N992" t="s">
        <v>3469</v>
      </c>
      <c r="O992" t="s">
        <v>465</v>
      </c>
    </row>
    <row r="993" spans="1:15" x14ac:dyDescent="0.3">
      <c r="A993">
        <v>233749</v>
      </c>
      <c r="B993">
        <v>116</v>
      </c>
      <c r="C993" t="s">
        <v>568</v>
      </c>
      <c r="D993" t="s">
        <v>2284</v>
      </c>
      <c r="E993" t="s">
        <v>2552</v>
      </c>
      <c r="F993" s="452">
        <v>46156</v>
      </c>
      <c r="G993">
        <v>19346</v>
      </c>
      <c r="H993" t="s">
        <v>3948</v>
      </c>
      <c r="I993" t="s">
        <v>3469</v>
      </c>
      <c r="J993">
        <v>13.98</v>
      </c>
      <c r="K993" t="s">
        <v>3892</v>
      </c>
      <c r="L993">
        <v>838.8</v>
      </c>
      <c r="M993">
        <v>60</v>
      </c>
      <c r="N993" t="s">
        <v>4240</v>
      </c>
      <c r="O993" t="s">
        <v>465</v>
      </c>
    </row>
    <row r="994" spans="1:15" x14ac:dyDescent="0.3">
      <c r="A994">
        <v>233748</v>
      </c>
      <c r="B994">
        <v>116</v>
      </c>
      <c r="C994" t="s">
        <v>568</v>
      </c>
      <c r="D994" t="s">
        <v>2284</v>
      </c>
      <c r="E994" t="s">
        <v>2553</v>
      </c>
      <c r="F994" s="452">
        <v>46154</v>
      </c>
      <c r="G994">
        <v>21400</v>
      </c>
      <c r="H994" t="s">
        <v>4165</v>
      </c>
      <c r="I994" t="s">
        <v>3469</v>
      </c>
      <c r="J994">
        <v>3</v>
      </c>
      <c r="K994" t="s">
        <v>3892</v>
      </c>
      <c r="L994">
        <v>86.85</v>
      </c>
      <c r="M994">
        <v>28.95</v>
      </c>
      <c r="N994" t="s">
        <v>4240</v>
      </c>
      <c r="O994" t="s">
        <v>465</v>
      </c>
    </row>
    <row r="995" spans="1:15" x14ac:dyDescent="0.3">
      <c r="A995">
        <v>233747</v>
      </c>
      <c r="B995">
        <v>116</v>
      </c>
      <c r="C995" t="s">
        <v>568</v>
      </c>
      <c r="D995" t="s">
        <v>2284</v>
      </c>
      <c r="E995" t="s">
        <v>2554</v>
      </c>
      <c r="F995" s="452">
        <v>46153</v>
      </c>
      <c r="G995">
        <v>21030</v>
      </c>
      <c r="H995" t="s">
        <v>3890</v>
      </c>
      <c r="I995" t="s">
        <v>3469</v>
      </c>
      <c r="J995">
        <v>6</v>
      </c>
      <c r="K995" t="s">
        <v>3872</v>
      </c>
      <c r="L995">
        <v>119.4</v>
      </c>
      <c r="M995">
        <v>19.899999999999999</v>
      </c>
      <c r="N995" t="s">
        <v>4240</v>
      </c>
      <c r="O995" t="s">
        <v>465</v>
      </c>
    </row>
    <row r="996" spans="1:15" x14ac:dyDescent="0.3">
      <c r="A996">
        <v>233747</v>
      </c>
      <c r="B996">
        <v>116</v>
      </c>
      <c r="C996" t="s">
        <v>568</v>
      </c>
      <c r="D996" t="s">
        <v>2284</v>
      </c>
      <c r="E996" t="s">
        <v>2554</v>
      </c>
      <c r="F996" s="452">
        <v>46153</v>
      </c>
      <c r="G996">
        <v>19979</v>
      </c>
      <c r="H996" t="s">
        <v>4295</v>
      </c>
      <c r="I996" t="s">
        <v>3469</v>
      </c>
      <c r="J996">
        <v>2</v>
      </c>
      <c r="K996" t="s">
        <v>3931</v>
      </c>
      <c r="L996">
        <v>42.9</v>
      </c>
      <c r="M996">
        <v>21.45</v>
      </c>
      <c r="N996" t="s">
        <v>4240</v>
      </c>
      <c r="O996" t="s">
        <v>465</v>
      </c>
    </row>
    <row r="997" spans="1:15" x14ac:dyDescent="0.3">
      <c r="A997">
        <v>233746</v>
      </c>
      <c r="B997">
        <v>116</v>
      </c>
      <c r="C997" t="s">
        <v>568</v>
      </c>
      <c r="D997" t="s">
        <v>2332</v>
      </c>
      <c r="E997" t="s">
        <v>2555</v>
      </c>
      <c r="F997" s="452">
        <v>46154</v>
      </c>
      <c r="G997">
        <v>18538</v>
      </c>
      <c r="H997" t="s">
        <v>4026</v>
      </c>
      <c r="I997" t="s">
        <v>3497</v>
      </c>
      <c r="J997">
        <v>2</v>
      </c>
      <c r="K997" t="s">
        <v>3878</v>
      </c>
      <c r="L997">
        <v>205.78</v>
      </c>
      <c r="M997">
        <v>102.89</v>
      </c>
      <c r="N997" t="s">
        <v>3497</v>
      </c>
      <c r="O997" t="s">
        <v>465</v>
      </c>
    </row>
    <row r="998" spans="1:15" x14ac:dyDescent="0.3">
      <c r="A998">
        <v>233746</v>
      </c>
      <c r="B998">
        <v>116</v>
      </c>
      <c r="C998" t="s">
        <v>568</v>
      </c>
      <c r="D998" t="s">
        <v>2332</v>
      </c>
      <c r="E998" t="s">
        <v>2555</v>
      </c>
      <c r="F998" s="452">
        <v>46154</v>
      </c>
      <c r="G998">
        <v>18030</v>
      </c>
      <c r="H998" t="s">
        <v>4033</v>
      </c>
      <c r="I998" t="s">
        <v>3497</v>
      </c>
      <c r="J998">
        <v>2</v>
      </c>
      <c r="K998" t="s">
        <v>3878</v>
      </c>
      <c r="L998">
        <v>56.1</v>
      </c>
      <c r="M998">
        <v>28.05</v>
      </c>
      <c r="N998" t="s">
        <v>3497</v>
      </c>
      <c r="O998" t="s">
        <v>465</v>
      </c>
    </row>
    <row r="999" spans="1:15" x14ac:dyDescent="0.3">
      <c r="A999">
        <v>233746</v>
      </c>
      <c r="B999">
        <v>116</v>
      </c>
      <c r="C999" t="s">
        <v>568</v>
      </c>
      <c r="D999" t="s">
        <v>2332</v>
      </c>
      <c r="E999" t="s">
        <v>2555</v>
      </c>
      <c r="F999" s="452">
        <v>46154</v>
      </c>
      <c r="G999">
        <v>18315</v>
      </c>
      <c r="H999" t="s">
        <v>4088</v>
      </c>
      <c r="I999" t="s">
        <v>3497</v>
      </c>
      <c r="J999">
        <v>1</v>
      </c>
      <c r="K999" t="s">
        <v>3878</v>
      </c>
      <c r="L999">
        <v>129</v>
      </c>
      <c r="M999">
        <v>129</v>
      </c>
      <c r="N999" t="s">
        <v>3497</v>
      </c>
      <c r="O999" t="s">
        <v>465</v>
      </c>
    </row>
    <row r="1000" spans="1:15" x14ac:dyDescent="0.3">
      <c r="A1000">
        <v>233745</v>
      </c>
      <c r="B1000">
        <v>116</v>
      </c>
      <c r="C1000" t="s">
        <v>568</v>
      </c>
      <c r="D1000" t="s">
        <v>2275</v>
      </c>
      <c r="E1000" t="s">
        <v>2556</v>
      </c>
      <c r="F1000" s="452">
        <v>46153</v>
      </c>
      <c r="G1000">
        <v>24006</v>
      </c>
      <c r="H1000" t="s">
        <v>4177</v>
      </c>
      <c r="I1000" t="s">
        <v>3497</v>
      </c>
      <c r="J1000">
        <v>10</v>
      </c>
      <c r="K1000" t="s">
        <v>3888</v>
      </c>
      <c r="L1000">
        <v>239</v>
      </c>
      <c r="M1000">
        <v>23.9</v>
      </c>
      <c r="N1000" t="s">
        <v>3497</v>
      </c>
      <c r="O1000" t="s">
        <v>465</v>
      </c>
    </row>
    <row r="1001" spans="1:15" x14ac:dyDescent="0.3">
      <c r="A1001">
        <v>233745</v>
      </c>
      <c r="B1001">
        <v>116</v>
      </c>
      <c r="C1001" t="s">
        <v>568</v>
      </c>
      <c r="D1001" t="s">
        <v>2275</v>
      </c>
      <c r="E1001" t="s">
        <v>2556</v>
      </c>
      <c r="F1001" s="452">
        <v>46153</v>
      </c>
      <c r="G1001">
        <v>17969</v>
      </c>
      <c r="H1001" t="s">
        <v>4175</v>
      </c>
      <c r="I1001" t="s">
        <v>3497</v>
      </c>
      <c r="J1001">
        <v>15</v>
      </c>
      <c r="K1001" t="s">
        <v>3888</v>
      </c>
      <c r="L1001">
        <v>340.5</v>
      </c>
      <c r="M1001">
        <v>22.7</v>
      </c>
      <c r="N1001" t="s">
        <v>3497</v>
      </c>
      <c r="O1001" t="s">
        <v>465</v>
      </c>
    </row>
    <row r="1002" spans="1:15" x14ac:dyDescent="0.3">
      <c r="A1002">
        <v>233744</v>
      </c>
      <c r="B1002">
        <v>116</v>
      </c>
      <c r="C1002" t="s">
        <v>568</v>
      </c>
      <c r="D1002" t="s">
        <v>2314</v>
      </c>
      <c r="E1002" t="s">
        <v>2557</v>
      </c>
      <c r="F1002" s="452">
        <v>46156</v>
      </c>
      <c r="G1002">
        <v>25561</v>
      </c>
      <c r="H1002" t="s">
        <v>4296</v>
      </c>
      <c r="I1002" t="s">
        <v>3497</v>
      </c>
      <c r="J1002">
        <v>1</v>
      </c>
      <c r="K1002" t="s">
        <v>3888</v>
      </c>
      <c r="L1002">
        <v>132</v>
      </c>
      <c r="M1002">
        <v>132</v>
      </c>
      <c r="N1002" t="s">
        <v>3497</v>
      </c>
      <c r="O1002" t="s">
        <v>465</v>
      </c>
    </row>
    <row r="1003" spans="1:15" x14ac:dyDescent="0.3">
      <c r="A1003">
        <v>233744</v>
      </c>
      <c r="B1003">
        <v>116</v>
      </c>
      <c r="C1003" t="s">
        <v>568</v>
      </c>
      <c r="D1003" t="s">
        <v>2314</v>
      </c>
      <c r="E1003" t="s">
        <v>2557</v>
      </c>
      <c r="F1003" s="452">
        <v>46156</v>
      </c>
      <c r="G1003">
        <v>18636</v>
      </c>
      <c r="H1003" t="s">
        <v>3921</v>
      </c>
      <c r="I1003" t="s">
        <v>3497</v>
      </c>
      <c r="J1003">
        <v>10</v>
      </c>
      <c r="K1003" t="s">
        <v>3922</v>
      </c>
      <c r="L1003">
        <v>4828</v>
      </c>
      <c r="M1003">
        <v>482.8</v>
      </c>
      <c r="N1003" t="s">
        <v>3497</v>
      </c>
      <c r="O1003" t="s">
        <v>465</v>
      </c>
    </row>
    <row r="1004" spans="1:15" x14ac:dyDescent="0.3">
      <c r="A1004">
        <v>233744</v>
      </c>
      <c r="B1004">
        <v>116</v>
      </c>
      <c r="C1004" t="s">
        <v>568</v>
      </c>
      <c r="D1004" t="s">
        <v>2314</v>
      </c>
      <c r="E1004" t="s">
        <v>2557</v>
      </c>
      <c r="F1004" s="452">
        <v>46156</v>
      </c>
      <c r="G1004">
        <v>18640</v>
      </c>
      <c r="H1004" t="s">
        <v>3994</v>
      </c>
      <c r="I1004" t="s">
        <v>3497</v>
      </c>
      <c r="J1004">
        <v>1</v>
      </c>
      <c r="K1004" t="s">
        <v>3922</v>
      </c>
      <c r="L1004">
        <v>306</v>
      </c>
      <c r="M1004">
        <v>306</v>
      </c>
      <c r="N1004" t="s">
        <v>3497</v>
      </c>
      <c r="O1004" t="s">
        <v>465</v>
      </c>
    </row>
    <row r="1005" spans="1:15" x14ac:dyDescent="0.3">
      <c r="A1005">
        <v>233743</v>
      </c>
      <c r="B1005">
        <v>116</v>
      </c>
      <c r="C1005" t="s">
        <v>568</v>
      </c>
      <c r="D1005" t="s">
        <v>2314</v>
      </c>
      <c r="E1005" t="s">
        <v>2558</v>
      </c>
      <c r="F1005" s="452">
        <v>46156</v>
      </c>
      <c r="G1005">
        <v>18636</v>
      </c>
      <c r="H1005" t="s">
        <v>3921</v>
      </c>
      <c r="I1005" t="s">
        <v>3497</v>
      </c>
      <c r="J1005">
        <v>10</v>
      </c>
      <c r="K1005" t="s">
        <v>3922</v>
      </c>
      <c r="L1005">
        <v>4828</v>
      </c>
      <c r="M1005">
        <v>482.8</v>
      </c>
      <c r="N1005" t="s">
        <v>3497</v>
      </c>
      <c r="O1005" t="s">
        <v>465</v>
      </c>
    </row>
    <row r="1006" spans="1:15" x14ac:dyDescent="0.3">
      <c r="A1006">
        <v>233743</v>
      </c>
      <c r="B1006">
        <v>116</v>
      </c>
      <c r="C1006" t="s">
        <v>568</v>
      </c>
      <c r="D1006" t="s">
        <v>2314</v>
      </c>
      <c r="E1006" t="s">
        <v>2558</v>
      </c>
      <c r="F1006" s="452">
        <v>46156</v>
      </c>
      <c r="G1006">
        <v>25561</v>
      </c>
      <c r="H1006" t="s">
        <v>4296</v>
      </c>
      <c r="I1006" t="s">
        <v>3497</v>
      </c>
      <c r="J1006">
        <v>1</v>
      </c>
      <c r="K1006" t="s">
        <v>3888</v>
      </c>
      <c r="L1006">
        <v>132</v>
      </c>
      <c r="M1006">
        <v>132</v>
      </c>
      <c r="N1006" t="s">
        <v>3497</v>
      </c>
      <c r="O1006" t="s">
        <v>465</v>
      </c>
    </row>
    <row r="1007" spans="1:15" x14ac:dyDescent="0.3">
      <c r="A1007">
        <v>233743</v>
      </c>
      <c r="B1007">
        <v>116</v>
      </c>
      <c r="C1007" t="s">
        <v>568</v>
      </c>
      <c r="D1007" t="s">
        <v>2314</v>
      </c>
      <c r="E1007" t="s">
        <v>2558</v>
      </c>
      <c r="F1007" s="452">
        <v>46156</v>
      </c>
      <c r="G1007">
        <v>18640</v>
      </c>
      <c r="H1007" t="s">
        <v>3994</v>
      </c>
      <c r="I1007" t="s">
        <v>3497</v>
      </c>
      <c r="J1007">
        <v>1</v>
      </c>
      <c r="K1007" t="s">
        <v>3922</v>
      </c>
      <c r="L1007">
        <v>306</v>
      </c>
      <c r="M1007">
        <v>306</v>
      </c>
      <c r="N1007" t="s">
        <v>3497</v>
      </c>
      <c r="O1007" t="s">
        <v>465</v>
      </c>
    </row>
    <row r="1008" spans="1:15" x14ac:dyDescent="0.3">
      <c r="A1008">
        <v>233742</v>
      </c>
      <c r="B1008">
        <v>116</v>
      </c>
      <c r="C1008" t="s">
        <v>568</v>
      </c>
      <c r="D1008" t="s">
        <v>2314</v>
      </c>
      <c r="E1008" t="s">
        <v>2559</v>
      </c>
      <c r="F1008" s="452">
        <v>46155</v>
      </c>
      <c r="G1008">
        <v>18636</v>
      </c>
      <c r="H1008" t="s">
        <v>3921</v>
      </c>
      <c r="I1008" t="s">
        <v>3497</v>
      </c>
      <c r="J1008">
        <v>6</v>
      </c>
      <c r="K1008" t="s">
        <v>3922</v>
      </c>
      <c r="L1008">
        <v>2896.8</v>
      </c>
      <c r="M1008">
        <v>482.8</v>
      </c>
      <c r="N1008" t="s">
        <v>3497</v>
      </c>
      <c r="O1008" t="s">
        <v>465</v>
      </c>
    </row>
    <row r="1009" spans="1:15" x14ac:dyDescent="0.3">
      <c r="A1009">
        <v>233741</v>
      </c>
      <c r="B1009">
        <v>116</v>
      </c>
      <c r="C1009" t="s">
        <v>568</v>
      </c>
      <c r="D1009" t="s">
        <v>2314</v>
      </c>
      <c r="E1009" t="s">
        <v>2560</v>
      </c>
      <c r="F1009" s="452">
        <v>46154</v>
      </c>
      <c r="G1009">
        <v>18595</v>
      </c>
      <c r="H1009" t="s">
        <v>4297</v>
      </c>
      <c r="I1009" t="s">
        <v>3497</v>
      </c>
      <c r="J1009">
        <v>20</v>
      </c>
      <c r="K1009" t="s">
        <v>3888</v>
      </c>
      <c r="L1009">
        <v>3009.6</v>
      </c>
      <c r="M1009">
        <v>150.47999999999999</v>
      </c>
      <c r="N1009" t="s">
        <v>4276</v>
      </c>
      <c r="O1009" t="s">
        <v>465</v>
      </c>
    </row>
    <row r="1010" spans="1:15" x14ac:dyDescent="0.3">
      <c r="A1010">
        <v>233741</v>
      </c>
      <c r="B1010">
        <v>116</v>
      </c>
      <c r="C1010" t="s">
        <v>568</v>
      </c>
      <c r="D1010" t="s">
        <v>2314</v>
      </c>
      <c r="E1010" t="s">
        <v>2560</v>
      </c>
      <c r="F1010" s="452">
        <v>46154</v>
      </c>
      <c r="G1010">
        <v>17886</v>
      </c>
      <c r="H1010" t="s">
        <v>3935</v>
      </c>
      <c r="I1010" t="s">
        <v>3497</v>
      </c>
      <c r="J1010">
        <v>20</v>
      </c>
      <c r="K1010" t="s">
        <v>3888</v>
      </c>
      <c r="L1010">
        <v>566.4</v>
      </c>
      <c r="M1010">
        <v>28.32</v>
      </c>
      <c r="N1010" t="s">
        <v>4276</v>
      </c>
      <c r="O1010" t="s">
        <v>465</v>
      </c>
    </row>
    <row r="1011" spans="1:15" x14ac:dyDescent="0.3">
      <c r="A1011">
        <v>233741</v>
      </c>
      <c r="B1011">
        <v>116</v>
      </c>
      <c r="C1011" t="s">
        <v>568</v>
      </c>
      <c r="D1011" t="s">
        <v>2314</v>
      </c>
      <c r="E1011" t="s">
        <v>2560</v>
      </c>
      <c r="F1011" s="452">
        <v>46154</v>
      </c>
      <c r="G1011">
        <v>17903</v>
      </c>
      <c r="H1011" t="s">
        <v>3971</v>
      </c>
      <c r="I1011" t="s">
        <v>3497</v>
      </c>
      <c r="J1011">
        <v>20</v>
      </c>
      <c r="K1011" t="s">
        <v>3888</v>
      </c>
      <c r="L1011">
        <v>510.6</v>
      </c>
      <c r="M1011">
        <v>25.53</v>
      </c>
      <c r="N1011" t="s">
        <v>4276</v>
      </c>
      <c r="O1011" t="s">
        <v>465</v>
      </c>
    </row>
    <row r="1012" spans="1:15" x14ac:dyDescent="0.3">
      <c r="A1012">
        <v>233741</v>
      </c>
      <c r="B1012">
        <v>116</v>
      </c>
      <c r="C1012" t="s">
        <v>568</v>
      </c>
      <c r="D1012" t="s">
        <v>2314</v>
      </c>
      <c r="E1012" t="s">
        <v>2560</v>
      </c>
      <c r="F1012" s="452">
        <v>46154</v>
      </c>
      <c r="G1012">
        <v>18586</v>
      </c>
      <c r="H1012" t="s">
        <v>4107</v>
      </c>
      <c r="I1012" t="s">
        <v>3497</v>
      </c>
      <c r="J1012">
        <v>10</v>
      </c>
      <c r="K1012" t="s">
        <v>3888</v>
      </c>
      <c r="L1012">
        <v>1320.7</v>
      </c>
      <c r="M1012">
        <v>132.07</v>
      </c>
      <c r="N1012" t="s">
        <v>4276</v>
      </c>
      <c r="O1012" t="s">
        <v>465</v>
      </c>
    </row>
    <row r="1013" spans="1:15" x14ac:dyDescent="0.3">
      <c r="A1013">
        <v>233741</v>
      </c>
      <c r="B1013">
        <v>116</v>
      </c>
      <c r="C1013" t="s">
        <v>568</v>
      </c>
      <c r="D1013" t="s">
        <v>2314</v>
      </c>
      <c r="E1013" t="s">
        <v>2560</v>
      </c>
      <c r="F1013" s="452">
        <v>46154</v>
      </c>
      <c r="G1013">
        <v>17905</v>
      </c>
      <c r="H1013" t="s">
        <v>4139</v>
      </c>
      <c r="I1013" t="s">
        <v>3497</v>
      </c>
      <c r="J1013">
        <v>20</v>
      </c>
      <c r="K1013" t="s">
        <v>3888</v>
      </c>
      <c r="L1013">
        <v>510.6</v>
      </c>
      <c r="M1013">
        <v>25.53</v>
      </c>
      <c r="N1013" t="s">
        <v>4276</v>
      </c>
      <c r="O1013" t="s">
        <v>465</v>
      </c>
    </row>
    <row r="1014" spans="1:15" x14ac:dyDescent="0.3">
      <c r="A1014">
        <v>233741</v>
      </c>
      <c r="B1014">
        <v>116</v>
      </c>
      <c r="C1014" t="s">
        <v>568</v>
      </c>
      <c r="D1014" t="s">
        <v>2314</v>
      </c>
      <c r="E1014" t="s">
        <v>2560</v>
      </c>
      <c r="F1014" s="452">
        <v>46154</v>
      </c>
      <c r="G1014">
        <v>18006</v>
      </c>
      <c r="H1014" t="s">
        <v>4138</v>
      </c>
      <c r="I1014" t="s">
        <v>3497</v>
      </c>
      <c r="J1014">
        <v>10</v>
      </c>
      <c r="K1014" t="s">
        <v>3888</v>
      </c>
      <c r="L1014">
        <v>296.39999999999998</v>
      </c>
      <c r="M1014">
        <v>29.64</v>
      </c>
      <c r="N1014" t="s">
        <v>4276</v>
      </c>
      <c r="O1014" t="s">
        <v>465</v>
      </c>
    </row>
    <row r="1015" spans="1:15" x14ac:dyDescent="0.3">
      <c r="A1015">
        <v>233741</v>
      </c>
      <c r="B1015">
        <v>116</v>
      </c>
      <c r="C1015" t="s">
        <v>568</v>
      </c>
      <c r="D1015" t="s">
        <v>2314</v>
      </c>
      <c r="E1015" t="s">
        <v>2560</v>
      </c>
      <c r="F1015" s="452">
        <v>46154</v>
      </c>
      <c r="G1015">
        <v>17896</v>
      </c>
      <c r="H1015" t="s">
        <v>3972</v>
      </c>
      <c r="I1015" t="s">
        <v>3497</v>
      </c>
      <c r="J1015">
        <v>10</v>
      </c>
      <c r="K1015" t="s">
        <v>3888</v>
      </c>
      <c r="L1015">
        <v>402.9</v>
      </c>
      <c r="M1015">
        <v>40.29</v>
      </c>
      <c r="N1015" t="s">
        <v>4276</v>
      </c>
      <c r="O1015" t="s">
        <v>465</v>
      </c>
    </row>
    <row r="1016" spans="1:15" x14ac:dyDescent="0.3">
      <c r="A1016">
        <v>233741</v>
      </c>
      <c r="B1016">
        <v>116</v>
      </c>
      <c r="C1016" t="s">
        <v>568</v>
      </c>
      <c r="D1016" t="s">
        <v>2314</v>
      </c>
      <c r="E1016" t="s">
        <v>2560</v>
      </c>
      <c r="F1016" s="452">
        <v>46154</v>
      </c>
      <c r="G1016">
        <v>25561</v>
      </c>
      <c r="H1016" t="s">
        <v>4296</v>
      </c>
      <c r="I1016" t="s">
        <v>3497</v>
      </c>
      <c r="J1016">
        <v>10</v>
      </c>
      <c r="K1016" t="s">
        <v>3888</v>
      </c>
      <c r="L1016">
        <v>1320</v>
      </c>
      <c r="M1016">
        <v>132</v>
      </c>
      <c r="N1016" t="s">
        <v>4276</v>
      </c>
      <c r="O1016" t="s">
        <v>465</v>
      </c>
    </row>
    <row r="1017" spans="1:15" x14ac:dyDescent="0.3">
      <c r="A1017">
        <v>233740</v>
      </c>
      <c r="B1017">
        <v>116</v>
      </c>
      <c r="C1017" t="s">
        <v>568</v>
      </c>
      <c r="D1017" t="s">
        <v>2314</v>
      </c>
      <c r="E1017" t="s">
        <v>2561</v>
      </c>
      <c r="F1017" s="452">
        <v>46154</v>
      </c>
      <c r="G1017">
        <v>17886</v>
      </c>
      <c r="H1017" t="s">
        <v>3935</v>
      </c>
      <c r="I1017" t="s">
        <v>3497</v>
      </c>
      <c r="J1017">
        <v>20</v>
      </c>
      <c r="K1017" t="s">
        <v>3888</v>
      </c>
      <c r="L1017">
        <v>566.4</v>
      </c>
      <c r="M1017">
        <v>28.32</v>
      </c>
      <c r="N1017" t="s">
        <v>3497</v>
      </c>
      <c r="O1017" t="s">
        <v>465</v>
      </c>
    </row>
    <row r="1018" spans="1:15" x14ac:dyDescent="0.3">
      <c r="A1018">
        <v>233740</v>
      </c>
      <c r="B1018">
        <v>116</v>
      </c>
      <c r="C1018" t="s">
        <v>568</v>
      </c>
      <c r="D1018" t="s">
        <v>2314</v>
      </c>
      <c r="E1018" t="s">
        <v>2561</v>
      </c>
      <c r="F1018" s="452">
        <v>46154</v>
      </c>
      <c r="G1018">
        <v>25561</v>
      </c>
      <c r="H1018" t="s">
        <v>4296</v>
      </c>
      <c r="I1018" t="s">
        <v>3497</v>
      </c>
      <c r="J1018">
        <v>10</v>
      </c>
      <c r="K1018" t="s">
        <v>3888</v>
      </c>
      <c r="L1018">
        <v>1320</v>
      </c>
      <c r="M1018">
        <v>132</v>
      </c>
      <c r="N1018" t="s">
        <v>3497</v>
      </c>
      <c r="O1018" t="s">
        <v>465</v>
      </c>
    </row>
    <row r="1019" spans="1:15" x14ac:dyDescent="0.3">
      <c r="A1019">
        <v>233740</v>
      </c>
      <c r="B1019">
        <v>116</v>
      </c>
      <c r="C1019" t="s">
        <v>568</v>
      </c>
      <c r="D1019" t="s">
        <v>2314</v>
      </c>
      <c r="E1019" t="s">
        <v>2561</v>
      </c>
      <c r="F1019" s="452">
        <v>46154</v>
      </c>
      <c r="G1019">
        <v>18006</v>
      </c>
      <c r="H1019" t="s">
        <v>4138</v>
      </c>
      <c r="I1019" t="s">
        <v>3497</v>
      </c>
      <c r="J1019">
        <v>10</v>
      </c>
      <c r="K1019" t="s">
        <v>3888</v>
      </c>
      <c r="L1019">
        <v>296.39999999999998</v>
      </c>
      <c r="M1019">
        <v>29.64</v>
      </c>
      <c r="N1019" t="s">
        <v>3497</v>
      </c>
      <c r="O1019" t="s">
        <v>465</v>
      </c>
    </row>
    <row r="1020" spans="1:15" x14ac:dyDescent="0.3">
      <c r="A1020">
        <v>233740</v>
      </c>
      <c r="B1020">
        <v>116</v>
      </c>
      <c r="C1020" t="s">
        <v>568</v>
      </c>
      <c r="D1020" t="s">
        <v>2314</v>
      </c>
      <c r="E1020" t="s">
        <v>2561</v>
      </c>
      <c r="F1020" s="452">
        <v>46154</v>
      </c>
      <c r="G1020">
        <v>18586</v>
      </c>
      <c r="H1020" t="s">
        <v>4107</v>
      </c>
      <c r="I1020" t="s">
        <v>3497</v>
      </c>
      <c r="J1020">
        <v>10</v>
      </c>
      <c r="K1020" t="s">
        <v>3888</v>
      </c>
      <c r="L1020">
        <v>1320.7</v>
      </c>
      <c r="M1020">
        <v>132.07</v>
      </c>
      <c r="N1020" t="s">
        <v>3497</v>
      </c>
      <c r="O1020" t="s">
        <v>465</v>
      </c>
    </row>
    <row r="1021" spans="1:15" x14ac:dyDescent="0.3">
      <c r="A1021">
        <v>233740</v>
      </c>
      <c r="B1021">
        <v>116</v>
      </c>
      <c r="C1021" t="s">
        <v>568</v>
      </c>
      <c r="D1021" t="s">
        <v>2314</v>
      </c>
      <c r="E1021" t="s">
        <v>2561</v>
      </c>
      <c r="F1021" s="452">
        <v>46154</v>
      </c>
      <c r="G1021">
        <v>18595</v>
      </c>
      <c r="H1021" t="s">
        <v>4297</v>
      </c>
      <c r="I1021" t="s">
        <v>3497</v>
      </c>
      <c r="J1021">
        <v>20</v>
      </c>
      <c r="K1021" t="s">
        <v>3888</v>
      </c>
      <c r="L1021">
        <v>3009.6</v>
      </c>
      <c r="M1021">
        <v>150.47999999999999</v>
      </c>
      <c r="N1021" t="s">
        <v>3497</v>
      </c>
      <c r="O1021" t="s">
        <v>465</v>
      </c>
    </row>
    <row r="1022" spans="1:15" x14ac:dyDescent="0.3">
      <c r="A1022">
        <v>233740</v>
      </c>
      <c r="B1022">
        <v>116</v>
      </c>
      <c r="C1022" t="s">
        <v>568</v>
      </c>
      <c r="D1022" t="s">
        <v>2314</v>
      </c>
      <c r="E1022" t="s">
        <v>2561</v>
      </c>
      <c r="F1022" s="452">
        <v>46154</v>
      </c>
      <c r="G1022">
        <v>17896</v>
      </c>
      <c r="H1022" t="s">
        <v>3972</v>
      </c>
      <c r="I1022" t="s">
        <v>3497</v>
      </c>
      <c r="J1022">
        <v>10</v>
      </c>
      <c r="K1022" t="s">
        <v>3888</v>
      </c>
      <c r="L1022">
        <v>402.9</v>
      </c>
      <c r="M1022">
        <v>40.29</v>
      </c>
      <c r="N1022" t="s">
        <v>3497</v>
      </c>
      <c r="O1022" t="s">
        <v>465</v>
      </c>
    </row>
    <row r="1023" spans="1:15" x14ac:dyDescent="0.3">
      <c r="A1023">
        <v>233740</v>
      </c>
      <c r="B1023">
        <v>116</v>
      </c>
      <c r="C1023" t="s">
        <v>568</v>
      </c>
      <c r="D1023" t="s">
        <v>2314</v>
      </c>
      <c r="E1023" t="s">
        <v>2561</v>
      </c>
      <c r="F1023" s="452">
        <v>46154</v>
      </c>
      <c r="G1023">
        <v>17903</v>
      </c>
      <c r="H1023" t="s">
        <v>3971</v>
      </c>
      <c r="I1023" t="s">
        <v>3497</v>
      </c>
      <c r="J1023">
        <v>20</v>
      </c>
      <c r="K1023" t="s">
        <v>3888</v>
      </c>
      <c r="L1023">
        <v>510.6</v>
      </c>
      <c r="M1023">
        <v>25.53</v>
      </c>
      <c r="N1023" t="s">
        <v>3497</v>
      </c>
      <c r="O1023" t="s">
        <v>465</v>
      </c>
    </row>
    <row r="1024" spans="1:15" x14ac:dyDescent="0.3">
      <c r="A1024">
        <v>233740</v>
      </c>
      <c r="B1024">
        <v>116</v>
      </c>
      <c r="C1024" t="s">
        <v>568</v>
      </c>
      <c r="D1024" t="s">
        <v>2314</v>
      </c>
      <c r="E1024" t="s">
        <v>2561</v>
      </c>
      <c r="F1024" s="452">
        <v>46154</v>
      </c>
      <c r="G1024">
        <v>17905</v>
      </c>
      <c r="H1024" t="s">
        <v>4139</v>
      </c>
      <c r="I1024" t="s">
        <v>3497</v>
      </c>
      <c r="J1024">
        <v>20</v>
      </c>
      <c r="K1024" t="s">
        <v>3888</v>
      </c>
      <c r="L1024">
        <v>510.6</v>
      </c>
      <c r="M1024">
        <v>25.53</v>
      </c>
      <c r="N1024" t="s">
        <v>3497</v>
      </c>
      <c r="O1024" t="s">
        <v>465</v>
      </c>
    </row>
    <row r="1025" spans="1:15" x14ac:dyDescent="0.3">
      <c r="A1025">
        <v>233739</v>
      </c>
      <c r="B1025">
        <v>116</v>
      </c>
      <c r="C1025" t="s">
        <v>568</v>
      </c>
      <c r="D1025" t="s">
        <v>2408</v>
      </c>
      <c r="E1025" t="s">
        <v>2562</v>
      </c>
      <c r="F1025" s="452">
        <v>46143</v>
      </c>
      <c r="G1025">
        <v>24550</v>
      </c>
      <c r="H1025" t="s">
        <v>4270</v>
      </c>
      <c r="I1025" t="s">
        <v>4202</v>
      </c>
      <c r="J1025">
        <v>120</v>
      </c>
      <c r="K1025" t="s">
        <v>3872</v>
      </c>
      <c r="L1025">
        <v>574.79999999999995</v>
      </c>
      <c r="M1025">
        <v>4.79</v>
      </c>
      <c r="N1025" t="s">
        <v>4256</v>
      </c>
      <c r="O1025" t="s">
        <v>465</v>
      </c>
    </row>
    <row r="1026" spans="1:15" x14ac:dyDescent="0.3">
      <c r="A1026">
        <v>233738</v>
      </c>
      <c r="B1026">
        <v>116</v>
      </c>
      <c r="C1026" t="s">
        <v>568</v>
      </c>
      <c r="D1026" t="s">
        <v>2563</v>
      </c>
      <c r="E1026" t="s">
        <v>2564</v>
      </c>
      <c r="F1026" s="452">
        <v>46148</v>
      </c>
      <c r="G1026">
        <v>27281</v>
      </c>
      <c r="H1026" t="s">
        <v>4298</v>
      </c>
      <c r="I1026" t="s">
        <v>4202</v>
      </c>
      <c r="J1026">
        <v>10</v>
      </c>
      <c r="K1026" t="s">
        <v>3888</v>
      </c>
      <c r="L1026">
        <v>600</v>
      </c>
      <c r="M1026">
        <v>60</v>
      </c>
      <c r="N1026" t="s">
        <v>4299</v>
      </c>
      <c r="O1026" t="s">
        <v>465</v>
      </c>
    </row>
    <row r="1027" spans="1:15" x14ac:dyDescent="0.3">
      <c r="A1027">
        <v>233197</v>
      </c>
      <c r="B1027">
        <v>116</v>
      </c>
      <c r="C1027" t="s">
        <v>568</v>
      </c>
      <c r="D1027" t="s">
        <v>2269</v>
      </c>
      <c r="E1027" t="s">
        <v>2565</v>
      </c>
      <c r="F1027" s="452">
        <v>46157</v>
      </c>
      <c r="G1027">
        <v>29129</v>
      </c>
      <c r="H1027" t="s">
        <v>4176</v>
      </c>
      <c r="I1027" t="s">
        <v>3469</v>
      </c>
      <c r="J1027">
        <v>10</v>
      </c>
      <c r="K1027" t="s">
        <v>3872</v>
      </c>
      <c r="L1027">
        <v>114.7</v>
      </c>
      <c r="M1027">
        <v>11.47</v>
      </c>
      <c r="N1027" t="s">
        <v>3469</v>
      </c>
      <c r="O1027" t="s">
        <v>465</v>
      </c>
    </row>
    <row r="1028" spans="1:15" x14ac:dyDescent="0.3">
      <c r="A1028">
        <v>233195</v>
      </c>
      <c r="B1028">
        <v>116</v>
      </c>
      <c r="C1028" t="s">
        <v>568</v>
      </c>
      <c r="D1028" t="s">
        <v>2258</v>
      </c>
      <c r="E1028" t="s">
        <v>2566</v>
      </c>
      <c r="F1028" s="452">
        <v>46160</v>
      </c>
      <c r="G1028">
        <v>17006</v>
      </c>
      <c r="H1028" t="s">
        <v>4128</v>
      </c>
      <c r="I1028" t="s">
        <v>3469</v>
      </c>
      <c r="J1028">
        <v>13.94</v>
      </c>
      <c r="K1028" t="s">
        <v>3892</v>
      </c>
      <c r="L1028">
        <v>181.22</v>
      </c>
      <c r="M1028">
        <v>13</v>
      </c>
      <c r="N1028" t="s">
        <v>4240</v>
      </c>
      <c r="O1028" t="s">
        <v>465</v>
      </c>
    </row>
    <row r="1029" spans="1:15" x14ac:dyDescent="0.3">
      <c r="A1029">
        <v>233187</v>
      </c>
      <c r="B1029">
        <v>116</v>
      </c>
      <c r="C1029" t="s">
        <v>568</v>
      </c>
      <c r="D1029" t="s">
        <v>2265</v>
      </c>
      <c r="E1029" t="s">
        <v>2567</v>
      </c>
      <c r="F1029" s="452">
        <v>46154</v>
      </c>
      <c r="G1029">
        <v>17129</v>
      </c>
      <c r="H1029" t="s">
        <v>4200</v>
      </c>
      <c r="I1029" t="s">
        <v>4199</v>
      </c>
      <c r="J1029">
        <v>1</v>
      </c>
      <c r="K1029" t="s">
        <v>3888</v>
      </c>
      <c r="L1029">
        <v>26.61</v>
      </c>
      <c r="M1029">
        <v>26.61</v>
      </c>
      <c r="N1029" t="s">
        <v>2176</v>
      </c>
      <c r="O1029" t="s">
        <v>465</v>
      </c>
    </row>
    <row r="1030" spans="1:15" x14ac:dyDescent="0.3">
      <c r="A1030">
        <v>233187</v>
      </c>
      <c r="B1030">
        <v>116</v>
      </c>
      <c r="C1030" t="s">
        <v>568</v>
      </c>
      <c r="D1030" t="s">
        <v>2265</v>
      </c>
      <c r="E1030" t="s">
        <v>2567</v>
      </c>
      <c r="F1030" s="452">
        <v>46154</v>
      </c>
      <c r="G1030">
        <v>17341</v>
      </c>
      <c r="H1030" t="s">
        <v>4232</v>
      </c>
      <c r="I1030" t="s">
        <v>4199</v>
      </c>
      <c r="J1030">
        <v>1</v>
      </c>
      <c r="K1030" t="s">
        <v>3931</v>
      </c>
      <c r="L1030">
        <v>74.8</v>
      </c>
      <c r="M1030">
        <v>74.8</v>
      </c>
      <c r="N1030" t="s">
        <v>2176</v>
      </c>
      <c r="O1030" t="s">
        <v>465</v>
      </c>
    </row>
    <row r="1031" spans="1:15" x14ac:dyDescent="0.3">
      <c r="A1031">
        <v>233187</v>
      </c>
      <c r="B1031">
        <v>116</v>
      </c>
      <c r="C1031" t="s">
        <v>568</v>
      </c>
      <c r="D1031" t="s">
        <v>2265</v>
      </c>
      <c r="E1031" t="s">
        <v>2567</v>
      </c>
      <c r="F1031" s="452">
        <v>46154</v>
      </c>
      <c r="G1031">
        <v>17416</v>
      </c>
      <c r="H1031" t="s">
        <v>4205</v>
      </c>
      <c r="I1031" t="s">
        <v>4199</v>
      </c>
      <c r="J1031">
        <v>3</v>
      </c>
      <c r="K1031" t="s">
        <v>3881</v>
      </c>
      <c r="L1031">
        <v>145.74</v>
      </c>
      <c r="M1031">
        <v>48.58</v>
      </c>
      <c r="N1031" t="s">
        <v>2176</v>
      </c>
      <c r="O1031" t="s">
        <v>465</v>
      </c>
    </row>
    <row r="1032" spans="1:15" x14ac:dyDescent="0.3">
      <c r="A1032">
        <v>233187</v>
      </c>
      <c r="B1032">
        <v>116</v>
      </c>
      <c r="C1032" t="s">
        <v>568</v>
      </c>
      <c r="D1032" t="s">
        <v>2265</v>
      </c>
      <c r="E1032" t="s">
        <v>2567</v>
      </c>
      <c r="F1032" s="452">
        <v>46154</v>
      </c>
      <c r="G1032">
        <v>17162</v>
      </c>
      <c r="H1032" t="s">
        <v>4209</v>
      </c>
      <c r="I1032" t="s">
        <v>4199</v>
      </c>
      <c r="J1032">
        <v>1</v>
      </c>
      <c r="K1032" t="s">
        <v>3872</v>
      </c>
      <c r="L1032">
        <v>54</v>
      </c>
      <c r="M1032">
        <v>54</v>
      </c>
      <c r="N1032" t="s">
        <v>2176</v>
      </c>
      <c r="O1032" t="s">
        <v>465</v>
      </c>
    </row>
    <row r="1033" spans="1:15" x14ac:dyDescent="0.3">
      <c r="A1033">
        <v>233187</v>
      </c>
      <c r="B1033">
        <v>116</v>
      </c>
      <c r="C1033" t="s">
        <v>568</v>
      </c>
      <c r="D1033" t="s">
        <v>2265</v>
      </c>
      <c r="E1033" t="s">
        <v>2567</v>
      </c>
      <c r="F1033" s="452">
        <v>46154</v>
      </c>
      <c r="G1033">
        <v>17437</v>
      </c>
      <c r="H1033" t="s">
        <v>4198</v>
      </c>
      <c r="I1033" t="s">
        <v>4199</v>
      </c>
      <c r="J1033">
        <v>10</v>
      </c>
      <c r="K1033" t="s">
        <v>3872</v>
      </c>
      <c r="L1033">
        <v>23</v>
      </c>
      <c r="M1033">
        <v>2.2999999999999998</v>
      </c>
      <c r="N1033" t="s">
        <v>2176</v>
      </c>
      <c r="O1033" t="s">
        <v>465</v>
      </c>
    </row>
    <row r="1034" spans="1:15" x14ac:dyDescent="0.3">
      <c r="A1034">
        <v>233187</v>
      </c>
      <c r="B1034">
        <v>116</v>
      </c>
      <c r="C1034" t="s">
        <v>568</v>
      </c>
      <c r="D1034" t="s">
        <v>2265</v>
      </c>
      <c r="E1034" t="s">
        <v>2567</v>
      </c>
      <c r="F1034" s="452">
        <v>46154</v>
      </c>
      <c r="G1034">
        <v>17405</v>
      </c>
      <c r="H1034" t="s">
        <v>4251</v>
      </c>
      <c r="I1034" t="s">
        <v>4199</v>
      </c>
      <c r="J1034">
        <v>1</v>
      </c>
      <c r="K1034" t="s">
        <v>3872</v>
      </c>
      <c r="L1034">
        <v>9.26</v>
      </c>
      <c r="M1034">
        <v>9.26</v>
      </c>
      <c r="N1034" t="s">
        <v>2176</v>
      </c>
      <c r="O1034" t="s">
        <v>465</v>
      </c>
    </row>
    <row r="1035" spans="1:15" x14ac:dyDescent="0.3">
      <c r="A1035">
        <v>233187</v>
      </c>
      <c r="B1035">
        <v>116</v>
      </c>
      <c r="C1035" t="s">
        <v>568</v>
      </c>
      <c r="D1035" t="s">
        <v>2265</v>
      </c>
      <c r="E1035" t="s">
        <v>2567</v>
      </c>
      <c r="F1035" s="452">
        <v>46154</v>
      </c>
      <c r="G1035">
        <v>17314</v>
      </c>
      <c r="H1035" t="s">
        <v>4204</v>
      </c>
      <c r="I1035" t="s">
        <v>4199</v>
      </c>
      <c r="J1035">
        <v>2</v>
      </c>
      <c r="K1035" t="s">
        <v>3978</v>
      </c>
      <c r="L1035">
        <v>11.78</v>
      </c>
      <c r="M1035">
        <v>5.89</v>
      </c>
      <c r="N1035" t="s">
        <v>2176</v>
      </c>
      <c r="O1035" t="s">
        <v>465</v>
      </c>
    </row>
    <row r="1036" spans="1:15" x14ac:dyDescent="0.3">
      <c r="A1036">
        <v>233187</v>
      </c>
      <c r="B1036">
        <v>116</v>
      </c>
      <c r="C1036" t="s">
        <v>568</v>
      </c>
      <c r="D1036" t="s">
        <v>2265</v>
      </c>
      <c r="E1036" t="s">
        <v>2567</v>
      </c>
      <c r="F1036" s="452">
        <v>46154</v>
      </c>
      <c r="G1036">
        <v>17381</v>
      </c>
      <c r="H1036" t="s">
        <v>4247</v>
      </c>
      <c r="I1036" t="s">
        <v>4199</v>
      </c>
      <c r="J1036">
        <v>1</v>
      </c>
      <c r="K1036" t="s">
        <v>3872</v>
      </c>
      <c r="L1036">
        <v>38.89</v>
      </c>
      <c r="M1036">
        <v>38.89</v>
      </c>
      <c r="N1036" t="s">
        <v>2176</v>
      </c>
      <c r="O1036" t="s">
        <v>465</v>
      </c>
    </row>
    <row r="1037" spans="1:15" x14ac:dyDescent="0.3">
      <c r="A1037">
        <v>233187</v>
      </c>
      <c r="B1037">
        <v>116</v>
      </c>
      <c r="C1037" t="s">
        <v>568</v>
      </c>
      <c r="D1037" t="s">
        <v>2265</v>
      </c>
      <c r="E1037" t="s">
        <v>2567</v>
      </c>
      <c r="F1037" s="452">
        <v>46154</v>
      </c>
      <c r="G1037">
        <v>17362</v>
      </c>
      <c r="H1037" t="s">
        <v>4278</v>
      </c>
      <c r="I1037" t="s">
        <v>4199</v>
      </c>
      <c r="J1037">
        <v>1</v>
      </c>
      <c r="K1037" t="s">
        <v>3888</v>
      </c>
      <c r="L1037">
        <v>49.97</v>
      </c>
      <c r="M1037">
        <v>49.97</v>
      </c>
      <c r="N1037" t="s">
        <v>2176</v>
      </c>
      <c r="O1037" t="s">
        <v>465</v>
      </c>
    </row>
    <row r="1038" spans="1:15" x14ac:dyDescent="0.3">
      <c r="A1038">
        <v>233185</v>
      </c>
      <c r="B1038">
        <v>116</v>
      </c>
      <c r="C1038" t="s">
        <v>568</v>
      </c>
      <c r="D1038" t="s">
        <v>2465</v>
      </c>
      <c r="E1038" t="s">
        <v>2568</v>
      </c>
      <c r="F1038" s="452">
        <v>46156</v>
      </c>
      <c r="G1038">
        <v>24083</v>
      </c>
      <c r="H1038" t="s">
        <v>3898</v>
      </c>
      <c r="I1038" t="s">
        <v>3469</v>
      </c>
      <c r="J1038">
        <v>25</v>
      </c>
      <c r="K1038" t="s">
        <v>3892</v>
      </c>
      <c r="L1038">
        <v>210</v>
      </c>
      <c r="M1038">
        <v>8.4</v>
      </c>
      <c r="N1038" t="s">
        <v>4240</v>
      </c>
      <c r="O1038" t="s">
        <v>465</v>
      </c>
    </row>
    <row r="1039" spans="1:15" x14ac:dyDescent="0.3">
      <c r="A1039">
        <v>233183</v>
      </c>
      <c r="B1039">
        <v>116</v>
      </c>
      <c r="C1039" t="s">
        <v>568</v>
      </c>
      <c r="D1039" t="s">
        <v>2465</v>
      </c>
      <c r="E1039" t="s">
        <v>2569</v>
      </c>
      <c r="F1039" s="452">
        <v>46154</v>
      </c>
      <c r="G1039">
        <v>28226</v>
      </c>
      <c r="H1039" t="s">
        <v>4300</v>
      </c>
      <c r="I1039" t="s">
        <v>3469</v>
      </c>
      <c r="J1039">
        <v>15</v>
      </c>
      <c r="K1039" t="s">
        <v>3892</v>
      </c>
      <c r="L1039">
        <v>134.85</v>
      </c>
      <c r="M1039">
        <v>8.99</v>
      </c>
      <c r="N1039" t="s">
        <v>4240</v>
      </c>
      <c r="O1039" t="s">
        <v>465</v>
      </c>
    </row>
    <row r="1040" spans="1:15" x14ac:dyDescent="0.3">
      <c r="A1040">
        <v>233179</v>
      </c>
      <c r="B1040">
        <v>116</v>
      </c>
      <c r="C1040" t="s">
        <v>568</v>
      </c>
      <c r="D1040" t="s">
        <v>2286</v>
      </c>
      <c r="E1040" t="s">
        <v>2570</v>
      </c>
      <c r="F1040" s="452">
        <v>46156</v>
      </c>
      <c r="G1040">
        <v>19498</v>
      </c>
      <c r="H1040" t="s">
        <v>4065</v>
      </c>
      <c r="I1040" t="s">
        <v>3469</v>
      </c>
      <c r="J1040">
        <v>1</v>
      </c>
      <c r="K1040" t="s">
        <v>3892</v>
      </c>
      <c r="L1040">
        <v>13</v>
      </c>
      <c r="M1040">
        <v>13</v>
      </c>
      <c r="N1040" t="s">
        <v>4240</v>
      </c>
      <c r="O1040" t="s">
        <v>465</v>
      </c>
    </row>
    <row r="1041" spans="1:15" x14ac:dyDescent="0.3">
      <c r="A1041">
        <v>233179</v>
      </c>
      <c r="B1041">
        <v>116</v>
      </c>
      <c r="C1041" t="s">
        <v>568</v>
      </c>
      <c r="D1041" t="s">
        <v>2286</v>
      </c>
      <c r="E1041" t="s">
        <v>2570</v>
      </c>
      <c r="F1041" s="452">
        <v>46156</v>
      </c>
      <c r="G1041">
        <v>19505</v>
      </c>
      <c r="H1041" t="s">
        <v>4101</v>
      </c>
      <c r="I1041" t="s">
        <v>3469</v>
      </c>
      <c r="J1041">
        <v>1</v>
      </c>
      <c r="K1041" t="s">
        <v>3892</v>
      </c>
      <c r="L1041">
        <v>10</v>
      </c>
      <c r="M1041">
        <v>10</v>
      </c>
      <c r="N1041" t="s">
        <v>4240</v>
      </c>
      <c r="O1041" t="s">
        <v>465</v>
      </c>
    </row>
    <row r="1042" spans="1:15" x14ac:dyDescent="0.3">
      <c r="A1042">
        <v>233179</v>
      </c>
      <c r="B1042">
        <v>116</v>
      </c>
      <c r="C1042" t="s">
        <v>568</v>
      </c>
      <c r="D1042" t="s">
        <v>2286</v>
      </c>
      <c r="E1042" t="s">
        <v>2570</v>
      </c>
      <c r="F1042" s="452">
        <v>46156</v>
      </c>
      <c r="G1042">
        <v>23359</v>
      </c>
      <c r="H1042" t="s">
        <v>3932</v>
      </c>
      <c r="I1042" t="s">
        <v>3469</v>
      </c>
      <c r="J1042">
        <v>10</v>
      </c>
      <c r="K1042" t="s">
        <v>3892</v>
      </c>
      <c r="L1042">
        <v>25</v>
      </c>
      <c r="M1042">
        <v>2.5</v>
      </c>
      <c r="N1042" t="s">
        <v>4240</v>
      </c>
      <c r="O1042" t="s">
        <v>465</v>
      </c>
    </row>
    <row r="1043" spans="1:15" x14ac:dyDescent="0.3">
      <c r="A1043">
        <v>233179</v>
      </c>
      <c r="B1043">
        <v>116</v>
      </c>
      <c r="C1043" t="s">
        <v>568</v>
      </c>
      <c r="D1043" t="s">
        <v>2286</v>
      </c>
      <c r="E1043" t="s">
        <v>2570</v>
      </c>
      <c r="F1043" s="452">
        <v>46156</v>
      </c>
      <c r="G1043">
        <v>19555</v>
      </c>
      <c r="H1043" t="s">
        <v>4109</v>
      </c>
      <c r="I1043" t="s">
        <v>3469</v>
      </c>
      <c r="J1043">
        <v>0.5</v>
      </c>
      <c r="K1043" t="s">
        <v>3892</v>
      </c>
      <c r="L1043">
        <v>7.5</v>
      </c>
      <c r="M1043">
        <v>15</v>
      </c>
      <c r="N1043" t="s">
        <v>4240</v>
      </c>
      <c r="O1043" t="s">
        <v>465</v>
      </c>
    </row>
    <row r="1044" spans="1:15" x14ac:dyDescent="0.3">
      <c r="A1044">
        <v>233179</v>
      </c>
      <c r="B1044">
        <v>116</v>
      </c>
      <c r="C1044" t="s">
        <v>568</v>
      </c>
      <c r="D1044" t="s">
        <v>2286</v>
      </c>
      <c r="E1044" t="s">
        <v>2570</v>
      </c>
      <c r="F1044" s="452">
        <v>46156</v>
      </c>
      <c r="G1044">
        <v>23389</v>
      </c>
      <c r="H1044" t="s">
        <v>4016</v>
      </c>
      <c r="I1044" t="s">
        <v>3469</v>
      </c>
      <c r="J1044">
        <v>6</v>
      </c>
      <c r="K1044" t="s">
        <v>3892</v>
      </c>
      <c r="L1044">
        <v>28.2</v>
      </c>
      <c r="M1044">
        <v>4.7</v>
      </c>
      <c r="N1044" t="s">
        <v>4240</v>
      </c>
      <c r="O1044" t="s">
        <v>465</v>
      </c>
    </row>
    <row r="1045" spans="1:15" x14ac:dyDescent="0.3">
      <c r="A1045">
        <v>233179</v>
      </c>
      <c r="B1045">
        <v>116</v>
      </c>
      <c r="C1045" t="s">
        <v>568</v>
      </c>
      <c r="D1045" t="s">
        <v>2286</v>
      </c>
      <c r="E1045" t="s">
        <v>2570</v>
      </c>
      <c r="F1045" s="452">
        <v>46156</v>
      </c>
      <c r="G1045">
        <v>23113</v>
      </c>
      <c r="H1045" t="s">
        <v>4079</v>
      </c>
      <c r="I1045" t="s">
        <v>3469</v>
      </c>
      <c r="J1045">
        <v>1.5</v>
      </c>
      <c r="K1045" t="s">
        <v>3892</v>
      </c>
      <c r="L1045">
        <v>22.5</v>
      </c>
      <c r="M1045">
        <v>15</v>
      </c>
      <c r="N1045" t="s">
        <v>4240</v>
      </c>
      <c r="O1045" t="s">
        <v>465</v>
      </c>
    </row>
    <row r="1046" spans="1:15" x14ac:dyDescent="0.3">
      <c r="A1046">
        <v>233179</v>
      </c>
      <c r="B1046">
        <v>116</v>
      </c>
      <c r="C1046" t="s">
        <v>568</v>
      </c>
      <c r="D1046" t="s">
        <v>2286</v>
      </c>
      <c r="E1046" t="s">
        <v>2570</v>
      </c>
      <c r="F1046" s="452">
        <v>46156</v>
      </c>
      <c r="G1046">
        <v>19751</v>
      </c>
      <c r="H1046" t="s">
        <v>4019</v>
      </c>
      <c r="I1046" t="s">
        <v>3469</v>
      </c>
      <c r="J1046">
        <v>2</v>
      </c>
      <c r="K1046" t="s">
        <v>3892</v>
      </c>
      <c r="L1046">
        <v>19</v>
      </c>
      <c r="M1046">
        <v>9.5</v>
      </c>
      <c r="N1046" t="s">
        <v>4240</v>
      </c>
      <c r="O1046" t="s">
        <v>465</v>
      </c>
    </row>
    <row r="1047" spans="1:15" x14ac:dyDescent="0.3">
      <c r="A1047">
        <v>233179</v>
      </c>
      <c r="B1047">
        <v>116</v>
      </c>
      <c r="C1047" t="s">
        <v>568</v>
      </c>
      <c r="D1047" t="s">
        <v>2286</v>
      </c>
      <c r="E1047" t="s">
        <v>2570</v>
      </c>
      <c r="F1047" s="452">
        <v>46156</v>
      </c>
      <c r="G1047">
        <v>19506</v>
      </c>
      <c r="H1047" t="s">
        <v>4112</v>
      </c>
      <c r="I1047" t="s">
        <v>3469</v>
      </c>
      <c r="J1047">
        <v>0.2</v>
      </c>
      <c r="K1047" t="s">
        <v>3892</v>
      </c>
      <c r="L1047">
        <v>11</v>
      </c>
      <c r="M1047">
        <v>55</v>
      </c>
      <c r="N1047" t="s">
        <v>4240</v>
      </c>
      <c r="O1047" t="s">
        <v>465</v>
      </c>
    </row>
    <row r="1048" spans="1:15" x14ac:dyDescent="0.3">
      <c r="A1048">
        <v>233179</v>
      </c>
      <c r="B1048">
        <v>116</v>
      </c>
      <c r="C1048" t="s">
        <v>568</v>
      </c>
      <c r="D1048" t="s">
        <v>2286</v>
      </c>
      <c r="E1048" t="s">
        <v>2570</v>
      </c>
      <c r="F1048" s="452">
        <v>46156</v>
      </c>
      <c r="G1048">
        <v>24598</v>
      </c>
      <c r="H1048" t="s">
        <v>4166</v>
      </c>
      <c r="I1048" t="s">
        <v>3469</v>
      </c>
      <c r="J1048">
        <v>1</v>
      </c>
      <c r="K1048" t="s">
        <v>3892</v>
      </c>
      <c r="L1048">
        <v>15</v>
      </c>
      <c r="M1048">
        <v>15</v>
      </c>
      <c r="N1048" t="s">
        <v>4240</v>
      </c>
      <c r="O1048" t="s">
        <v>465</v>
      </c>
    </row>
    <row r="1049" spans="1:15" x14ac:dyDescent="0.3">
      <c r="A1049">
        <v>233179</v>
      </c>
      <c r="B1049">
        <v>116</v>
      </c>
      <c r="C1049" t="s">
        <v>568</v>
      </c>
      <c r="D1049" t="s">
        <v>2286</v>
      </c>
      <c r="E1049" t="s">
        <v>2570</v>
      </c>
      <c r="F1049" s="452">
        <v>46156</v>
      </c>
      <c r="G1049">
        <v>23120</v>
      </c>
      <c r="H1049" t="s">
        <v>4111</v>
      </c>
      <c r="I1049" t="s">
        <v>3469</v>
      </c>
      <c r="J1049">
        <v>0.2</v>
      </c>
      <c r="K1049" t="s">
        <v>3892</v>
      </c>
      <c r="L1049">
        <v>12.4</v>
      </c>
      <c r="M1049">
        <v>62</v>
      </c>
      <c r="N1049" t="s">
        <v>4240</v>
      </c>
      <c r="O1049" t="s">
        <v>465</v>
      </c>
    </row>
    <row r="1050" spans="1:15" x14ac:dyDescent="0.3">
      <c r="A1050">
        <v>233179</v>
      </c>
      <c r="B1050">
        <v>116</v>
      </c>
      <c r="C1050" t="s">
        <v>568</v>
      </c>
      <c r="D1050" t="s">
        <v>2286</v>
      </c>
      <c r="E1050" t="s">
        <v>2570</v>
      </c>
      <c r="F1050" s="452">
        <v>46156</v>
      </c>
      <c r="G1050">
        <v>24509</v>
      </c>
      <c r="H1050" t="s">
        <v>3906</v>
      </c>
      <c r="I1050" t="s">
        <v>3469</v>
      </c>
      <c r="J1050">
        <v>20</v>
      </c>
      <c r="K1050" t="s">
        <v>3892</v>
      </c>
      <c r="L1050">
        <v>96</v>
      </c>
      <c r="M1050">
        <v>4.8</v>
      </c>
      <c r="N1050" t="s">
        <v>4240</v>
      </c>
      <c r="O1050" t="s">
        <v>465</v>
      </c>
    </row>
    <row r="1051" spans="1:15" x14ac:dyDescent="0.3">
      <c r="A1051">
        <v>233179</v>
      </c>
      <c r="B1051">
        <v>116</v>
      </c>
      <c r="C1051" t="s">
        <v>568</v>
      </c>
      <c r="D1051" t="s">
        <v>2286</v>
      </c>
      <c r="E1051" t="s">
        <v>2570</v>
      </c>
      <c r="F1051" s="452">
        <v>46156</v>
      </c>
      <c r="G1051">
        <v>24037</v>
      </c>
      <c r="H1051" t="s">
        <v>4104</v>
      </c>
      <c r="I1051" t="s">
        <v>3469</v>
      </c>
      <c r="J1051">
        <v>2</v>
      </c>
      <c r="K1051" t="s">
        <v>3892</v>
      </c>
      <c r="L1051">
        <v>35.6</v>
      </c>
      <c r="M1051">
        <v>17.8</v>
      </c>
      <c r="N1051" t="s">
        <v>4240</v>
      </c>
      <c r="O1051" t="s">
        <v>465</v>
      </c>
    </row>
    <row r="1052" spans="1:15" x14ac:dyDescent="0.3">
      <c r="A1052">
        <v>233179</v>
      </c>
      <c r="B1052">
        <v>116</v>
      </c>
      <c r="C1052" t="s">
        <v>568</v>
      </c>
      <c r="D1052" t="s">
        <v>2286</v>
      </c>
      <c r="E1052" t="s">
        <v>2570</v>
      </c>
      <c r="F1052" s="452">
        <v>46156</v>
      </c>
      <c r="G1052">
        <v>23095</v>
      </c>
      <c r="H1052" t="s">
        <v>3882</v>
      </c>
      <c r="I1052" t="s">
        <v>3469</v>
      </c>
      <c r="J1052">
        <v>60</v>
      </c>
      <c r="K1052" t="s">
        <v>3872</v>
      </c>
      <c r="L1052">
        <v>63</v>
      </c>
      <c r="M1052">
        <v>1.05</v>
      </c>
      <c r="N1052" t="s">
        <v>4240</v>
      </c>
      <c r="O1052" t="s">
        <v>465</v>
      </c>
    </row>
    <row r="1053" spans="1:15" x14ac:dyDescent="0.3">
      <c r="A1053">
        <v>233179</v>
      </c>
      <c r="B1053">
        <v>116</v>
      </c>
      <c r="C1053" t="s">
        <v>568</v>
      </c>
      <c r="D1053" t="s">
        <v>2286</v>
      </c>
      <c r="E1053" t="s">
        <v>2570</v>
      </c>
      <c r="F1053" s="452">
        <v>46156</v>
      </c>
      <c r="G1053">
        <v>19494</v>
      </c>
      <c r="H1053" t="s">
        <v>4126</v>
      </c>
      <c r="I1053" t="s">
        <v>3469</v>
      </c>
      <c r="J1053">
        <v>2</v>
      </c>
      <c r="K1053" t="s">
        <v>3892</v>
      </c>
      <c r="L1053">
        <v>34</v>
      </c>
      <c r="M1053">
        <v>17</v>
      </c>
      <c r="N1053" t="s">
        <v>4240</v>
      </c>
      <c r="O1053" t="s">
        <v>465</v>
      </c>
    </row>
    <row r="1054" spans="1:15" x14ac:dyDescent="0.3">
      <c r="A1054">
        <v>233179</v>
      </c>
      <c r="B1054">
        <v>116</v>
      </c>
      <c r="C1054" t="s">
        <v>568</v>
      </c>
      <c r="D1054" t="s">
        <v>2286</v>
      </c>
      <c r="E1054" t="s">
        <v>2570</v>
      </c>
      <c r="F1054" s="452">
        <v>46156</v>
      </c>
      <c r="G1054">
        <v>19465</v>
      </c>
      <c r="H1054" t="s">
        <v>4080</v>
      </c>
      <c r="I1054" t="s">
        <v>3469</v>
      </c>
      <c r="J1054">
        <v>1</v>
      </c>
      <c r="K1054" t="s">
        <v>3892</v>
      </c>
      <c r="L1054">
        <v>7</v>
      </c>
      <c r="M1054">
        <v>7</v>
      </c>
      <c r="N1054" t="s">
        <v>4240</v>
      </c>
      <c r="O1054" t="s">
        <v>465</v>
      </c>
    </row>
    <row r="1055" spans="1:15" x14ac:dyDescent="0.3">
      <c r="A1055">
        <v>233179</v>
      </c>
      <c r="B1055">
        <v>116</v>
      </c>
      <c r="C1055" t="s">
        <v>568</v>
      </c>
      <c r="D1055" t="s">
        <v>2286</v>
      </c>
      <c r="E1055" t="s">
        <v>2570</v>
      </c>
      <c r="F1055" s="452">
        <v>46156</v>
      </c>
      <c r="G1055">
        <v>19647</v>
      </c>
      <c r="H1055" t="s">
        <v>4066</v>
      </c>
      <c r="I1055" t="s">
        <v>3469</v>
      </c>
      <c r="J1055">
        <v>1</v>
      </c>
      <c r="K1055" t="s">
        <v>3892</v>
      </c>
      <c r="L1055">
        <v>15</v>
      </c>
      <c r="M1055">
        <v>15</v>
      </c>
      <c r="N1055" t="s">
        <v>4240</v>
      </c>
      <c r="O1055" t="s">
        <v>465</v>
      </c>
    </row>
    <row r="1056" spans="1:15" x14ac:dyDescent="0.3">
      <c r="A1056">
        <v>233179</v>
      </c>
      <c r="B1056">
        <v>116</v>
      </c>
      <c r="C1056" t="s">
        <v>568</v>
      </c>
      <c r="D1056" t="s">
        <v>2286</v>
      </c>
      <c r="E1056" t="s">
        <v>2570</v>
      </c>
      <c r="F1056" s="452">
        <v>46156</v>
      </c>
      <c r="G1056">
        <v>19488</v>
      </c>
      <c r="H1056" t="s">
        <v>4070</v>
      </c>
      <c r="I1056" t="s">
        <v>3469</v>
      </c>
      <c r="J1056">
        <v>0.5</v>
      </c>
      <c r="K1056" t="s">
        <v>3892</v>
      </c>
      <c r="L1056">
        <v>6.9</v>
      </c>
      <c r="M1056">
        <v>13.8</v>
      </c>
      <c r="N1056" t="s">
        <v>4240</v>
      </c>
      <c r="O1056" t="s">
        <v>465</v>
      </c>
    </row>
    <row r="1057" spans="1:15" x14ac:dyDescent="0.3">
      <c r="A1057">
        <v>233179</v>
      </c>
      <c r="B1057">
        <v>116</v>
      </c>
      <c r="C1057" t="s">
        <v>568</v>
      </c>
      <c r="D1057" t="s">
        <v>2286</v>
      </c>
      <c r="E1057" t="s">
        <v>2570</v>
      </c>
      <c r="F1057" s="452">
        <v>46156</v>
      </c>
      <c r="G1057">
        <v>19652</v>
      </c>
      <c r="H1057" t="s">
        <v>4014</v>
      </c>
      <c r="I1057" t="s">
        <v>3469</v>
      </c>
      <c r="J1057">
        <v>1</v>
      </c>
      <c r="K1057" t="s">
        <v>3892</v>
      </c>
      <c r="L1057">
        <v>22.5</v>
      </c>
      <c r="M1057">
        <v>22.5</v>
      </c>
      <c r="N1057" t="s">
        <v>4240</v>
      </c>
      <c r="O1057" t="s">
        <v>465</v>
      </c>
    </row>
    <row r="1058" spans="1:15" x14ac:dyDescent="0.3">
      <c r="A1058">
        <v>233179</v>
      </c>
      <c r="B1058">
        <v>116</v>
      </c>
      <c r="C1058" t="s">
        <v>568</v>
      </c>
      <c r="D1058" t="s">
        <v>2286</v>
      </c>
      <c r="E1058" t="s">
        <v>2570</v>
      </c>
      <c r="F1058" s="452">
        <v>46156</v>
      </c>
      <c r="G1058">
        <v>19539</v>
      </c>
      <c r="H1058" t="s">
        <v>4133</v>
      </c>
      <c r="I1058" t="s">
        <v>3469</v>
      </c>
      <c r="J1058">
        <v>18</v>
      </c>
      <c r="K1058" t="s">
        <v>3892</v>
      </c>
      <c r="L1058">
        <v>270</v>
      </c>
      <c r="M1058">
        <v>15</v>
      </c>
      <c r="N1058" t="s">
        <v>4240</v>
      </c>
      <c r="O1058" t="s">
        <v>465</v>
      </c>
    </row>
    <row r="1059" spans="1:15" x14ac:dyDescent="0.3">
      <c r="A1059">
        <v>233179</v>
      </c>
      <c r="B1059">
        <v>116</v>
      </c>
      <c r="C1059" t="s">
        <v>568</v>
      </c>
      <c r="D1059" t="s">
        <v>2286</v>
      </c>
      <c r="E1059" t="s">
        <v>2570</v>
      </c>
      <c r="F1059" s="452">
        <v>46156</v>
      </c>
      <c r="G1059">
        <v>19752</v>
      </c>
      <c r="H1059" t="s">
        <v>4042</v>
      </c>
      <c r="I1059" t="s">
        <v>3469</v>
      </c>
      <c r="J1059">
        <v>1</v>
      </c>
      <c r="K1059" t="s">
        <v>3892</v>
      </c>
      <c r="L1059">
        <v>8.5</v>
      </c>
      <c r="M1059">
        <v>8.5</v>
      </c>
      <c r="N1059" t="s">
        <v>4240</v>
      </c>
      <c r="O1059" t="s">
        <v>465</v>
      </c>
    </row>
    <row r="1060" spans="1:15" x14ac:dyDescent="0.3">
      <c r="A1060">
        <v>233179</v>
      </c>
      <c r="B1060">
        <v>116</v>
      </c>
      <c r="C1060" t="s">
        <v>568</v>
      </c>
      <c r="D1060" t="s">
        <v>2286</v>
      </c>
      <c r="E1060" t="s">
        <v>2570</v>
      </c>
      <c r="F1060" s="452">
        <v>46156</v>
      </c>
      <c r="G1060">
        <v>19480</v>
      </c>
      <c r="H1060" t="s">
        <v>4113</v>
      </c>
      <c r="I1060" t="s">
        <v>3469</v>
      </c>
      <c r="J1060">
        <v>0.2</v>
      </c>
      <c r="K1060" t="s">
        <v>3892</v>
      </c>
      <c r="L1060">
        <v>3.4</v>
      </c>
      <c r="M1060">
        <v>17</v>
      </c>
      <c r="N1060" t="s">
        <v>4240</v>
      </c>
      <c r="O1060" t="s">
        <v>465</v>
      </c>
    </row>
    <row r="1061" spans="1:15" x14ac:dyDescent="0.3">
      <c r="A1061">
        <v>233179</v>
      </c>
      <c r="B1061">
        <v>116</v>
      </c>
      <c r="C1061" t="s">
        <v>568</v>
      </c>
      <c r="D1061" t="s">
        <v>2286</v>
      </c>
      <c r="E1061" t="s">
        <v>2570</v>
      </c>
      <c r="F1061" s="452">
        <v>46156</v>
      </c>
      <c r="G1061">
        <v>19553</v>
      </c>
      <c r="H1061" t="s">
        <v>4078</v>
      </c>
      <c r="I1061" t="s">
        <v>3469</v>
      </c>
      <c r="J1061">
        <v>1.5</v>
      </c>
      <c r="K1061" t="s">
        <v>3892</v>
      </c>
      <c r="L1061">
        <v>8.25</v>
      </c>
      <c r="M1061">
        <v>5.5</v>
      </c>
      <c r="N1061" t="s">
        <v>4240</v>
      </c>
      <c r="O1061" t="s">
        <v>465</v>
      </c>
    </row>
    <row r="1062" spans="1:15" x14ac:dyDescent="0.3">
      <c r="A1062">
        <v>233178</v>
      </c>
      <c r="B1062">
        <v>116</v>
      </c>
      <c r="C1062" t="s">
        <v>568</v>
      </c>
      <c r="D1062" t="s">
        <v>2286</v>
      </c>
      <c r="E1062" t="s">
        <v>2571</v>
      </c>
      <c r="F1062" s="452">
        <v>46153</v>
      </c>
      <c r="G1062">
        <v>19751</v>
      </c>
      <c r="H1062" t="s">
        <v>4019</v>
      </c>
      <c r="I1062" t="s">
        <v>3469</v>
      </c>
      <c r="J1062">
        <v>2</v>
      </c>
      <c r="K1062" t="s">
        <v>3892</v>
      </c>
      <c r="L1062">
        <v>18</v>
      </c>
      <c r="M1062">
        <v>9</v>
      </c>
      <c r="N1062" t="s">
        <v>4240</v>
      </c>
      <c r="O1062" t="s">
        <v>465</v>
      </c>
    </row>
    <row r="1063" spans="1:15" x14ac:dyDescent="0.3">
      <c r="A1063">
        <v>233178</v>
      </c>
      <c r="B1063">
        <v>116</v>
      </c>
      <c r="C1063" t="s">
        <v>568</v>
      </c>
      <c r="D1063" t="s">
        <v>2286</v>
      </c>
      <c r="E1063" t="s">
        <v>2571</v>
      </c>
      <c r="F1063" s="452">
        <v>46153</v>
      </c>
      <c r="G1063">
        <v>19617</v>
      </c>
      <c r="H1063" t="s">
        <v>4110</v>
      </c>
      <c r="I1063" t="s">
        <v>3469</v>
      </c>
      <c r="J1063">
        <v>0.5</v>
      </c>
      <c r="K1063" t="s">
        <v>3892</v>
      </c>
      <c r="L1063">
        <v>15</v>
      </c>
      <c r="M1063">
        <v>30</v>
      </c>
      <c r="N1063" t="s">
        <v>4240</v>
      </c>
      <c r="O1063" t="s">
        <v>465</v>
      </c>
    </row>
    <row r="1064" spans="1:15" x14ac:dyDescent="0.3">
      <c r="A1064">
        <v>233178</v>
      </c>
      <c r="B1064">
        <v>116</v>
      </c>
      <c r="C1064" t="s">
        <v>568</v>
      </c>
      <c r="D1064" t="s">
        <v>2286</v>
      </c>
      <c r="E1064" t="s">
        <v>2571</v>
      </c>
      <c r="F1064" s="452">
        <v>46153</v>
      </c>
      <c r="G1064">
        <v>19787</v>
      </c>
      <c r="H1064" t="s">
        <v>3940</v>
      </c>
      <c r="I1064" t="s">
        <v>3469</v>
      </c>
      <c r="J1064">
        <v>4.5</v>
      </c>
      <c r="K1064" t="s">
        <v>3892</v>
      </c>
      <c r="L1064">
        <v>28.35</v>
      </c>
      <c r="M1064">
        <v>6.3</v>
      </c>
      <c r="N1064" t="s">
        <v>4240</v>
      </c>
      <c r="O1064" t="s">
        <v>465</v>
      </c>
    </row>
    <row r="1065" spans="1:15" x14ac:dyDescent="0.3">
      <c r="A1065">
        <v>233178</v>
      </c>
      <c r="B1065">
        <v>116</v>
      </c>
      <c r="C1065" t="s">
        <v>568</v>
      </c>
      <c r="D1065" t="s">
        <v>2286</v>
      </c>
      <c r="E1065" t="s">
        <v>2571</v>
      </c>
      <c r="F1065" s="452">
        <v>46153</v>
      </c>
      <c r="G1065">
        <v>23361</v>
      </c>
      <c r="H1065" t="s">
        <v>4220</v>
      </c>
      <c r="I1065" t="s">
        <v>3469</v>
      </c>
      <c r="J1065">
        <v>18</v>
      </c>
      <c r="K1065" t="s">
        <v>3892</v>
      </c>
      <c r="L1065">
        <v>53.64</v>
      </c>
      <c r="M1065">
        <v>2.98</v>
      </c>
      <c r="N1065" t="s">
        <v>4240</v>
      </c>
      <c r="O1065" t="s">
        <v>465</v>
      </c>
    </row>
    <row r="1066" spans="1:15" x14ac:dyDescent="0.3">
      <c r="A1066">
        <v>233178</v>
      </c>
      <c r="B1066">
        <v>116</v>
      </c>
      <c r="C1066" t="s">
        <v>568</v>
      </c>
      <c r="D1066" t="s">
        <v>2286</v>
      </c>
      <c r="E1066" t="s">
        <v>2571</v>
      </c>
      <c r="F1066" s="452">
        <v>46153</v>
      </c>
      <c r="G1066">
        <v>24037</v>
      </c>
      <c r="H1066" t="s">
        <v>4104</v>
      </c>
      <c r="I1066" t="s">
        <v>3469</v>
      </c>
      <c r="J1066">
        <v>2</v>
      </c>
      <c r="K1066" t="s">
        <v>3892</v>
      </c>
      <c r="L1066">
        <v>35.6</v>
      </c>
      <c r="M1066">
        <v>17.8</v>
      </c>
      <c r="N1066" t="s">
        <v>4240</v>
      </c>
      <c r="O1066" t="s">
        <v>465</v>
      </c>
    </row>
    <row r="1067" spans="1:15" x14ac:dyDescent="0.3">
      <c r="A1067">
        <v>233178</v>
      </c>
      <c r="B1067">
        <v>116</v>
      </c>
      <c r="C1067" t="s">
        <v>568</v>
      </c>
      <c r="D1067" t="s">
        <v>2286</v>
      </c>
      <c r="E1067" t="s">
        <v>2571</v>
      </c>
      <c r="F1067" s="452">
        <v>46153</v>
      </c>
      <c r="G1067">
        <v>19647</v>
      </c>
      <c r="H1067" t="s">
        <v>4066</v>
      </c>
      <c r="I1067" t="s">
        <v>3469</v>
      </c>
      <c r="J1067">
        <v>1</v>
      </c>
      <c r="K1067" t="s">
        <v>3892</v>
      </c>
      <c r="L1067">
        <v>15</v>
      </c>
      <c r="M1067">
        <v>15</v>
      </c>
      <c r="N1067" t="s">
        <v>4240</v>
      </c>
      <c r="O1067" t="s">
        <v>465</v>
      </c>
    </row>
    <row r="1068" spans="1:15" x14ac:dyDescent="0.3">
      <c r="A1068">
        <v>233178</v>
      </c>
      <c r="B1068">
        <v>116</v>
      </c>
      <c r="C1068" t="s">
        <v>568</v>
      </c>
      <c r="D1068" t="s">
        <v>2286</v>
      </c>
      <c r="E1068" t="s">
        <v>2571</v>
      </c>
      <c r="F1068" s="452">
        <v>46153</v>
      </c>
      <c r="G1068">
        <v>23120</v>
      </c>
      <c r="H1068" t="s">
        <v>4111</v>
      </c>
      <c r="I1068" t="s">
        <v>3469</v>
      </c>
      <c r="J1068">
        <v>0.2</v>
      </c>
      <c r="K1068" t="s">
        <v>3892</v>
      </c>
      <c r="L1068">
        <v>13</v>
      </c>
      <c r="M1068">
        <v>65</v>
      </c>
      <c r="N1068" t="s">
        <v>4240</v>
      </c>
      <c r="O1068" t="s">
        <v>465</v>
      </c>
    </row>
    <row r="1069" spans="1:15" x14ac:dyDescent="0.3">
      <c r="A1069">
        <v>233178</v>
      </c>
      <c r="B1069">
        <v>116</v>
      </c>
      <c r="C1069" t="s">
        <v>568</v>
      </c>
      <c r="D1069" t="s">
        <v>2286</v>
      </c>
      <c r="E1069" t="s">
        <v>2571</v>
      </c>
      <c r="F1069" s="452">
        <v>46153</v>
      </c>
      <c r="G1069">
        <v>19498</v>
      </c>
      <c r="H1069" t="s">
        <v>4065</v>
      </c>
      <c r="I1069" t="s">
        <v>3469</v>
      </c>
      <c r="J1069">
        <v>1</v>
      </c>
      <c r="K1069" t="s">
        <v>3892</v>
      </c>
      <c r="L1069">
        <v>13</v>
      </c>
      <c r="M1069">
        <v>13</v>
      </c>
      <c r="N1069" t="s">
        <v>4240</v>
      </c>
      <c r="O1069" t="s">
        <v>465</v>
      </c>
    </row>
    <row r="1070" spans="1:15" x14ac:dyDescent="0.3">
      <c r="A1070">
        <v>233178</v>
      </c>
      <c r="B1070">
        <v>116</v>
      </c>
      <c r="C1070" t="s">
        <v>568</v>
      </c>
      <c r="D1070" t="s">
        <v>2286</v>
      </c>
      <c r="E1070" t="s">
        <v>2571</v>
      </c>
      <c r="F1070" s="452">
        <v>46153</v>
      </c>
      <c r="G1070">
        <v>19505</v>
      </c>
      <c r="H1070" t="s">
        <v>4101</v>
      </c>
      <c r="I1070" t="s">
        <v>3469</v>
      </c>
      <c r="J1070">
        <v>1</v>
      </c>
      <c r="K1070" t="s">
        <v>3892</v>
      </c>
      <c r="L1070">
        <v>11.5</v>
      </c>
      <c r="M1070">
        <v>11.5</v>
      </c>
      <c r="N1070" t="s">
        <v>4240</v>
      </c>
      <c r="O1070" t="s">
        <v>465</v>
      </c>
    </row>
    <row r="1071" spans="1:15" x14ac:dyDescent="0.3">
      <c r="A1071">
        <v>233178</v>
      </c>
      <c r="B1071">
        <v>116</v>
      </c>
      <c r="C1071" t="s">
        <v>568</v>
      </c>
      <c r="D1071" t="s">
        <v>2286</v>
      </c>
      <c r="E1071" t="s">
        <v>2571</v>
      </c>
      <c r="F1071" s="452">
        <v>46153</v>
      </c>
      <c r="G1071">
        <v>19506</v>
      </c>
      <c r="H1071" t="s">
        <v>4112</v>
      </c>
      <c r="I1071" t="s">
        <v>3469</v>
      </c>
      <c r="J1071">
        <v>0.2</v>
      </c>
      <c r="K1071" t="s">
        <v>3892</v>
      </c>
      <c r="L1071">
        <v>13</v>
      </c>
      <c r="M1071">
        <v>65</v>
      </c>
      <c r="N1071" t="s">
        <v>4240</v>
      </c>
      <c r="O1071" t="s">
        <v>465</v>
      </c>
    </row>
    <row r="1072" spans="1:15" x14ac:dyDescent="0.3">
      <c r="A1072">
        <v>233178</v>
      </c>
      <c r="B1072">
        <v>116</v>
      </c>
      <c r="C1072" t="s">
        <v>568</v>
      </c>
      <c r="D1072" t="s">
        <v>2286</v>
      </c>
      <c r="E1072" t="s">
        <v>2571</v>
      </c>
      <c r="F1072" s="452">
        <v>46153</v>
      </c>
      <c r="G1072">
        <v>23236</v>
      </c>
      <c r="H1072" t="s">
        <v>4017</v>
      </c>
      <c r="I1072" t="s">
        <v>3469</v>
      </c>
      <c r="J1072">
        <v>3</v>
      </c>
      <c r="K1072" t="s">
        <v>3892</v>
      </c>
      <c r="L1072">
        <v>27</v>
      </c>
      <c r="M1072">
        <v>9</v>
      </c>
      <c r="N1072" t="s">
        <v>4240</v>
      </c>
      <c r="O1072" t="s">
        <v>465</v>
      </c>
    </row>
    <row r="1073" spans="1:15" x14ac:dyDescent="0.3">
      <c r="A1073">
        <v>233178</v>
      </c>
      <c r="B1073">
        <v>116</v>
      </c>
      <c r="C1073" t="s">
        <v>568</v>
      </c>
      <c r="D1073" t="s">
        <v>2286</v>
      </c>
      <c r="E1073" t="s">
        <v>2571</v>
      </c>
      <c r="F1073" s="452">
        <v>46153</v>
      </c>
      <c r="G1073">
        <v>19623</v>
      </c>
      <c r="H1073" t="s">
        <v>3984</v>
      </c>
      <c r="I1073" t="s">
        <v>3469</v>
      </c>
      <c r="J1073">
        <v>3</v>
      </c>
      <c r="K1073" t="s">
        <v>3892</v>
      </c>
      <c r="L1073">
        <v>17.55</v>
      </c>
      <c r="M1073">
        <v>5.85</v>
      </c>
      <c r="N1073" t="s">
        <v>4240</v>
      </c>
      <c r="O1073" t="s">
        <v>465</v>
      </c>
    </row>
    <row r="1074" spans="1:15" x14ac:dyDescent="0.3">
      <c r="A1074">
        <v>233178</v>
      </c>
      <c r="B1074">
        <v>116</v>
      </c>
      <c r="C1074" t="s">
        <v>568</v>
      </c>
      <c r="D1074" t="s">
        <v>2286</v>
      </c>
      <c r="E1074" t="s">
        <v>2571</v>
      </c>
      <c r="F1074" s="452">
        <v>46153</v>
      </c>
      <c r="G1074">
        <v>24509</v>
      </c>
      <c r="H1074" t="s">
        <v>3906</v>
      </c>
      <c r="I1074" t="s">
        <v>3469</v>
      </c>
      <c r="J1074">
        <v>10</v>
      </c>
      <c r="K1074" t="s">
        <v>3892</v>
      </c>
      <c r="L1074">
        <v>48</v>
      </c>
      <c r="M1074">
        <v>4.8</v>
      </c>
      <c r="N1074" t="s">
        <v>4240</v>
      </c>
      <c r="O1074" t="s">
        <v>465</v>
      </c>
    </row>
    <row r="1075" spans="1:15" x14ac:dyDescent="0.3">
      <c r="A1075">
        <v>233178</v>
      </c>
      <c r="B1075">
        <v>116</v>
      </c>
      <c r="C1075" t="s">
        <v>568</v>
      </c>
      <c r="D1075" t="s">
        <v>2286</v>
      </c>
      <c r="E1075" t="s">
        <v>2571</v>
      </c>
      <c r="F1075" s="452">
        <v>46153</v>
      </c>
      <c r="G1075">
        <v>19740</v>
      </c>
      <c r="H1075" t="s">
        <v>3933</v>
      </c>
      <c r="I1075" t="s">
        <v>3469</v>
      </c>
      <c r="J1075">
        <v>6</v>
      </c>
      <c r="K1075" t="s">
        <v>3892</v>
      </c>
      <c r="L1075">
        <v>54</v>
      </c>
      <c r="M1075">
        <v>9</v>
      </c>
      <c r="N1075" t="s">
        <v>4240</v>
      </c>
      <c r="O1075" t="s">
        <v>465</v>
      </c>
    </row>
    <row r="1076" spans="1:15" x14ac:dyDescent="0.3">
      <c r="A1076">
        <v>233178</v>
      </c>
      <c r="B1076">
        <v>116</v>
      </c>
      <c r="C1076" t="s">
        <v>568</v>
      </c>
      <c r="D1076" t="s">
        <v>2286</v>
      </c>
      <c r="E1076" t="s">
        <v>2571</v>
      </c>
      <c r="F1076" s="452">
        <v>46153</v>
      </c>
      <c r="G1076">
        <v>23359</v>
      </c>
      <c r="H1076" t="s">
        <v>3932</v>
      </c>
      <c r="I1076" t="s">
        <v>3469</v>
      </c>
      <c r="J1076">
        <v>6</v>
      </c>
      <c r="K1076" t="s">
        <v>3892</v>
      </c>
      <c r="L1076">
        <v>13.8</v>
      </c>
      <c r="M1076">
        <v>2.2999999999999998</v>
      </c>
      <c r="N1076" t="s">
        <v>4240</v>
      </c>
      <c r="O1076" t="s">
        <v>465</v>
      </c>
    </row>
    <row r="1077" spans="1:15" x14ac:dyDescent="0.3">
      <c r="A1077">
        <v>233178</v>
      </c>
      <c r="B1077">
        <v>116</v>
      </c>
      <c r="C1077" t="s">
        <v>568</v>
      </c>
      <c r="D1077" t="s">
        <v>2286</v>
      </c>
      <c r="E1077" t="s">
        <v>2571</v>
      </c>
      <c r="F1077" s="452">
        <v>46153</v>
      </c>
      <c r="G1077">
        <v>19494</v>
      </c>
      <c r="H1077" t="s">
        <v>4126</v>
      </c>
      <c r="I1077" t="s">
        <v>3469</v>
      </c>
      <c r="J1077">
        <v>1</v>
      </c>
      <c r="K1077" t="s">
        <v>3892</v>
      </c>
      <c r="L1077">
        <v>15</v>
      </c>
      <c r="M1077">
        <v>15</v>
      </c>
      <c r="N1077" t="s">
        <v>4240</v>
      </c>
      <c r="O1077" t="s">
        <v>465</v>
      </c>
    </row>
    <row r="1078" spans="1:15" x14ac:dyDescent="0.3">
      <c r="A1078">
        <v>233177</v>
      </c>
      <c r="B1078">
        <v>116</v>
      </c>
      <c r="C1078" t="s">
        <v>568</v>
      </c>
      <c r="D1078" t="s">
        <v>2260</v>
      </c>
      <c r="E1078" t="s">
        <v>2572</v>
      </c>
      <c r="F1078" s="452">
        <v>46154</v>
      </c>
      <c r="G1078">
        <v>20555</v>
      </c>
      <c r="H1078" t="s">
        <v>3959</v>
      </c>
      <c r="I1078" t="s">
        <v>3469</v>
      </c>
      <c r="J1078">
        <v>3.2</v>
      </c>
      <c r="K1078" t="s">
        <v>3892</v>
      </c>
      <c r="L1078">
        <v>252.8</v>
      </c>
      <c r="M1078">
        <v>79</v>
      </c>
      <c r="N1078" t="s">
        <v>4240</v>
      </c>
      <c r="O1078" t="s">
        <v>465</v>
      </c>
    </row>
    <row r="1079" spans="1:15" x14ac:dyDescent="0.3">
      <c r="A1079">
        <v>233177</v>
      </c>
      <c r="B1079">
        <v>116</v>
      </c>
      <c r="C1079" t="s">
        <v>568</v>
      </c>
      <c r="D1079" t="s">
        <v>2260</v>
      </c>
      <c r="E1079" t="s">
        <v>2572</v>
      </c>
      <c r="F1079" s="452">
        <v>46154</v>
      </c>
      <c r="G1079">
        <v>24072</v>
      </c>
      <c r="H1079" t="s">
        <v>4002</v>
      </c>
      <c r="I1079" t="s">
        <v>3469</v>
      </c>
      <c r="J1079">
        <v>3.2</v>
      </c>
      <c r="K1079" t="s">
        <v>3892</v>
      </c>
      <c r="L1079">
        <v>704</v>
      </c>
      <c r="M1079">
        <v>220</v>
      </c>
      <c r="N1079" t="s">
        <v>4240</v>
      </c>
      <c r="O1079" t="s">
        <v>465</v>
      </c>
    </row>
    <row r="1080" spans="1:15" x14ac:dyDescent="0.3">
      <c r="A1080">
        <v>233177</v>
      </c>
      <c r="B1080">
        <v>116</v>
      </c>
      <c r="C1080" t="s">
        <v>568</v>
      </c>
      <c r="D1080" t="s">
        <v>2260</v>
      </c>
      <c r="E1080" t="s">
        <v>2572</v>
      </c>
      <c r="F1080" s="452">
        <v>46154</v>
      </c>
      <c r="G1080">
        <v>22734</v>
      </c>
      <c r="H1080" t="s">
        <v>3955</v>
      </c>
      <c r="I1080" t="s">
        <v>3469</v>
      </c>
      <c r="J1080">
        <v>10.3</v>
      </c>
      <c r="K1080" t="s">
        <v>3892</v>
      </c>
      <c r="L1080">
        <v>1019.7</v>
      </c>
      <c r="M1080">
        <v>99</v>
      </c>
      <c r="N1080" t="s">
        <v>4240</v>
      </c>
      <c r="O1080" t="s">
        <v>465</v>
      </c>
    </row>
    <row r="1081" spans="1:15" x14ac:dyDescent="0.3">
      <c r="A1081">
        <v>233177</v>
      </c>
      <c r="B1081">
        <v>116</v>
      </c>
      <c r="C1081" t="s">
        <v>568</v>
      </c>
      <c r="D1081" t="s">
        <v>2260</v>
      </c>
      <c r="E1081" t="s">
        <v>2572</v>
      </c>
      <c r="F1081" s="452">
        <v>46154</v>
      </c>
      <c r="G1081">
        <v>18685</v>
      </c>
      <c r="H1081" t="s">
        <v>3945</v>
      </c>
      <c r="I1081" t="s">
        <v>3469</v>
      </c>
      <c r="J1081">
        <v>6.1</v>
      </c>
      <c r="K1081" t="s">
        <v>4197</v>
      </c>
      <c r="L1081">
        <v>237.9</v>
      </c>
      <c r="M1081">
        <v>39</v>
      </c>
      <c r="N1081" t="s">
        <v>4240</v>
      </c>
      <c r="O1081" t="s">
        <v>465</v>
      </c>
    </row>
    <row r="1082" spans="1:15" x14ac:dyDescent="0.3">
      <c r="A1082">
        <v>233177</v>
      </c>
      <c r="B1082">
        <v>116</v>
      </c>
      <c r="C1082" t="s">
        <v>568</v>
      </c>
      <c r="D1082" t="s">
        <v>2260</v>
      </c>
      <c r="E1082" t="s">
        <v>2572</v>
      </c>
      <c r="F1082" s="452">
        <v>46154</v>
      </c>
      <c r="G1082">
        <v>27884</v>
      </c>
      <c r="H1082" t="s">
        <v>3910</v>
      </c>
      <c r="I1082" t="s">
        <v>3469</v>
      </c>
      <c r="J1082">
        <v>10</v>
      </c>
      <c r="K1082" t="s">
        <v>3892</v>
      </c>
      <c r="L1082">
        <v>690</v>
      </c>
      <c r="M1082">
        <v>69</v>
      </c>
      <c r="N1082" t="s">
        <v>4240</v>
      </c>
      <c r="O1082" t="s">
        <v>465</v>
      </c>
    </row>
    <row r="1083" spans="1:15" x14ac:dyDescent="0.3">
      <c r="A1083">
        <v>233176</v>
      </c>
      <c r="B1083">
        <v>116</v>
      </c>
      <c r="C1083" t="s">
        <v>568</v>
      </c>
      <c r="D1083" t="s">
        <v>2320</v>
      </c>
      <c r="E1083" t="s">
        <v>2573</v>
      </c>
      <c r="F1083" s="452">
        <v>46154</v>
      </c>
      <c r="G1083">
        <v>22857</v>
      </c>
      <c r="H1083" t="s">
        <v>4130</v>
      </c>
      <c r="I1083" t="s">
        <v>3469</v>
      </c>
      <c r="J1083">
        <v>17.510000000000002</v>
      </c>
      <c r="K1083" t="s">
        <v>3892</v>
      </c>
      <c r="L1083">
        <v>1137.97</v>
      </c>
      <c r="M1083">
        <v>64.989720000000005</v>
      </c>
      <c r="N1083" t="s">
        <v>4240</v>
      </c>
      <c r="O1083" t="s">
        <v>465</v>
      </c>
    </row>
    <row r="1084" spans="1:15" x14ac:dyDescent="0.3">
      <c r="A1084">
        <v>233175</v>
      </c>
      <c r="B1084">
        <v>116</v>
      </c>
      <c r="C1084" t="s">
        <v>568</v>
      </c>
      <c r="D1084" t="s">
        <v>2269</v>
      </c>
      <c r="E1084" t="s">
        <v>2574</v>
      </c>
      <c r="F1084" s="452">
        <v>46155</v>
      </c>
      <c r="G1084">
        <v>29129</v>
      </c>
      <c r="H1084" t="s">
        <v>4176</v>
      </c>
      <c r="I1084" t="s">
        <v>3469</v>
      </c>
      <c r="J1084">
        <v>9</v>
      </c>
      <c r="K1084" t="s">
        <v>3872</v>
      </c>
      <c r="L1084">
        <v>103.23</v>
      </c>
      <c r="M1084">
        <v>11.47</v>
      </c>
      <c r="N1084" t="s">
        <v>4240</v>
      </c>
      <c r="O1084" t="s">
        <v>465</v>
      </c>
    </row>
    <row r="1085" spans="1:15" x14ac:dyDescent="0.3">
      <c r="A1085">
        <v>233174</v>
      </c>
      <c r="B1085">
        <v>116</v>
      </c>
      <c r="C1085" t="s">
        <v>568</v>
      </c>
      <c r="D1085" t="s">
        <v>2269</v>
      </c>
      <c r="E1085" t="s">
        <v>2575</v>
      </c>
      <c r="F1085" s="452">
        <v>46153</v>
      </c>
      <c r="G1085">
        <v>29129</v>
      </c>
      <c r="H1085" t="s">
        <v>4176</v>
      </c>
      <c r="I1085" t="s">
        <v>3469</v>
      </c>
      <c r="J1085">
        <v>9</v>
      </c>
      <c r="K1085" t="s">
        <v>3872</v>
      </c>
      <c r="L1085">
        <v>103.23</v>
      </c>
      <c r="M1085">
        <v>11.47</v>
      </c>
      <c r="N1085" t="s">
        <v>3469</v>
      </c>
      <c r="O1085" t="s">
        <v>465</v>
      </c>
    </row>
    <row r="1086" spans="1:15" x14ac:dyDescent="0.3">
      <c r="A1086">
        <v>233172</v>
      </c>
      <c r="B1086">
        <v>116</v>
      </c>
      <c r="C1086" t="s">
        <v>568</v>
      </c>
      <c r="D1086" t="s">
        <v>2361</v>
      </c>
      <c r="E1086" t="s">
        <v>2576</v>
      </c>
      <c r="F1086" s="452">
        <v>46155</v>
      </c>
      <c r="G1086">
        <v>21123</v>
      </c>
      <c r="H1086" t="s">
        <v>4115</v>
      </c>
      <c r="I1086" t="s">
        <v>3469</v>
      </c>
      <c r="J1086">
        <v>8</v>
      </c>
      <c r="K1086" t="s">
        <v>4241</v>
      </c>
      <c r="L1086">
        <v>48</v>
      </c>
      <c r="M1086">
        <v>6</v>
      </c>
      <c r="N1086" t="s">
        <v>4240</v>
      </c>
      <c r="O1086" t="s">
        <v>465</v>
      </c>
    </row>
    <row r="1087" spans="1:15" x14ac:dyDescent="0.3">
      <c r="A1087">
        <v>233172</v>
      </c>
      <c r="B1087">
        <v>116</v>
      </c>
      <c r="C1087" t="s">
        <v>568</v>
      </c>
      <c r="D1087" t="s">
        <v>2361</v>
      </c>
      <c r="E1087" t="s">
        <v>2576</v>
      </c>
      <c r="F1087" s="452">
        <v>46155</v>
      </c>
      <c r="G1087">
        <v>26627</v>
      </c>
      <c r="H1087" t="s">
        <v>4237</v>
      </c>
      <c r="I1087" t="s">
        <v>3469</v>
      </c>
      <c r="J1087">
        <v>20</v>
      </c>
      <c r="K1087" t="s">
        <v>3892</v>
      </c>
      <c r="L1087">
        <v>158</v>
      </c>
      <c r="M1087">
        <v>7.9</v>
      </c>
      <c r="N1087" t="s">
        <v>4240</v>
      </c>
      <c r="O1087" t="s">
        <v>465</v>
      </c>
    </row>
    <row r="1088" spans="1:15" x14ac:dyDescent="0.3">
      <c r="A1088">
        <v>233171</v>
      </c>
      <c r="B1088">
        <v>116</v>
      </c>
      <c r="C1088" t="s">
        <v>568</v>
      </c>
      <c r="D1088" t="s">
        <v>2277</v>
      </c>
      <c r="E1088" t="s">
        <v>2577</v>
      </c>
      <c r="F1088" s="452">
        <v>46157</v>
      </c>
      <c r="G1088">
        <v>20729</v>
      </c>
      <c r="H1088" t="s">
        <v>3965</v>
      </c>
      <c r="I1088" t="s">
        <v>3469</v>
      </c>
      <c r="J1088">
        <v>6</v>
      </c>
      <c r="K1088" t="s">
        <v>3966</v>
      </c>
      <c r="L1088">
        <v>407.28</v>
      </c>
      <c r="M1088">
        <v>67.88</v>
      </c>
      <c r="N1088" t="s">
        <v>3469</v>
      </c>
      <c r="O1088" t="s">
        <v>465</v>
      </c>
    </row>
    <row r="1089" spans="1:15" x14ac:dyDescent="0.3">
      <c r="A1089">
        <v>233170</v>
      </c>
      <c r="B1089">
        <v>116</v>
      </c>
      <c r="C1089" t="s">
        <v>568</v>
      </c>
      <c r="D1089" t="s">
        <v>2359</v>
      </c>
      <c r="E1089" t="s">
        <v>2578</v>
      </c>
      <c r="F1089" s="452">
        <v>46153</v>
      </c>
      <c r="G1089">
        <v>18179</v>
      </c>
      <c r="H1089" t="s">
        <v>3995</v>
      </c>
      <c r="I1089" t="s">
        <v>3497</v>
      </c>
      <c r="J1089">
        <v>1</v>
      </c>
      <c r="K1089" t="s">
        <v>3878</v>
      </c>
      <c r="L1089">
        <v>116.41</v>
      </c>
      <c r="M1089">
        <v>116.41</v>
      </c>
      <c r="N1089" t="s">
        <v>3497</v>
      </c>
      <c r="O1089" t="s">
        <v>465</v>
      </c>
    </row>
    <row r="1090" spans="1:15" x14ac:dyDescent="0.3">
      <c r="A1090">
        <v>233169</v>
      </c>
      <c r="B1090">
        <v>116</v>
      </c>
      <c r="C1090" t="s">
        <v>568</v>
      </c>
      <c r="D1090" t="s">
        <v>2288</v>
      </c>
      <c r="E1090" t="s">
        <v>2579</v>
      </c>
      <c r="F1090" s="452">
        <v>46155</v>
      </c>
      <c r="G1090">
        <v>28559</v>
      </c>
      <c r="H1090" t="s">
        <v>4301</v>
      </c>
      <c r="I1090" t="s">
        <v>4217</v>
      </c>
      <c r="J1090">
        <v>2</v>
      </c>
      <c r="K1090" t="s">
        <v>3881</v>
      </c>
      <c r="L1090">
        <v>431.88</v>
      </c>
      <c r="M1090">
        <v>215.94</v>
      </c>
      <c r="N1090" t="s">
        <v>4302</v>
      </c>
      <c r="O1090" t="s">
        <v>465</v>
      </c>
    </row>
    <row r="1091" spans="1:15" x14ac:dyDescent="0.3">
      <c r="A1091">
        <v>233169</v>
      </c>
      <c r="B1091">
        <v>116</v>
      </c>
      <c r="C1091" t="s">
        <v>568</v>
      </c>
      <c r="D1091" t="s">
        <v>2288</v>
      </c>
      <c r="E1091" t="s">
        <v>2579</v>
      </c>
      <c r="F1091" s="452">
        <v>46155</v>
      </c>
      <c r="G1091">
        <v>28639</v>
      </c>
      <c r="H1091" t="s">
        <v>4303</v>
      </c>
      <c r="I1091" t="s">
        <v>4217</v>
      </c>
      <c r="J1091">
        <v>2</v>
      </c>
      <c r="K1091" t="s">
        <v>3881</v>
      </c>
      <c r="L1091">
        <v>569.91999999999996</v>
      </c>
      <c r="M1091">
        <v>284.95999999999998</v>
      </c>
      <c r="N1091" t="s">
        <v>4302</v>
      </c>
      <c r="O1091" t="s">
        <v>465</v>
      </c>
    </row>
    <row r="1092" spans="1:15" x14ac:dyDescent="0.3">
      <c r="A1092">
        <v>232109</v>
      </c>
      <c r="B1092">
        <v>116</v>
      </c>
      <c r="C1092" t="s">
        <v>568</v>
      </c>
      <c r="D1092" t="s">
        <v>2314</v>
      </c>
      <c r="E1092" t="s">
        <v>2580</v>
      </c>
      <c r="F1092" s="452">
        <v>46150</v>
      </c>
      <c r="G1092">
        <v>18640</v>
      </c>
      <c r="H1092" t="s">
        <v>3994</v>
      </c>
      <c r="I1092" t="s">
        <v>3497</v>
      </c>
      <c r="J1092">
        <v>3</v>
      </c>
      <c r="K1092" t="s">
        <v>3922</v>
      </c>
      <c r="L1092">
        <v>918</v>
      </c>
      <c r="M1092">
        <v>306</v>
      </c>
      <c r="N1092" t="s">
        <v>4276</v>
      </c>
      <c r="O1092" t="s">
        <v>465</v>
      </c>
    </row>
    <row r="1093" spans="1:15" x14ac:dyDescent="0.3">
      <c r="A1093">
        <v>232108</v>
      </c>
      <c r="B1093">
        <v>116</v>
      </c>
      <c r="C1093" t="s">
        <v>568</v>
      </c>
      <c r="D1093" t="s">
        <v>2275</v>
      </c>
      <c r="E1093" t="s">
        <v>2581</v>
      </c>
      <c r="F1093" s="452">
        <v>46146</v>
      </c>
      <c r="G1093">
        <v>24006</v>
      </c>
      <c r="H1093" t="s">
        <v>4177</v>
      </c>
      <c r="I1093" t="s">
        <v>3497</v>
      </c>
      <c r="J1093">
        <v>15</v>
      </c>
      <c r="K1093" t="s">
        <v>3888</v>
      </c>
      <c r="L1093">
        <v>358.5</v>
      </c>
      <c r="M1093">
        <v>23.9</v>
      </c>
      <c r="N1093" t="s">
        <v>4276</v>
      </c>
      <c r="O1093" t="s">
        <v>465</v>
      </c>
    </row>
    <row r="1094" spans="1:15" x14ac:dyDescent="0.3">
      <c r="A1094">
        <v>232108</v>
      </c>
      <c r="B1094">
        <v>116</v>
      </c>
      <c r="C1094" t="s">
        <v>568</v>
      </c>
      <c r="D1094" t="s">
        <v>2275</v>
      </c>
      <c r="E1094" t="s">
        <v>2581</v>
      </c>
      <c r="F1094" s="452">
        <v>46146</v>
      </c>
      <c r="G1094">
        <v>17969</v>
      </c>
      <c r="H1094" t="s">
        <v>4175</v>
      </c>
      <c r="I1094" t="s">
        <v>3497</v>
      </c>
      <c r="J1094">
        <v>15</v>
      </c>
      <c r="K1094" t="s">
        <v>3888</v>
      </c>
      <c r="L1094">
        <v>340.5</v>
      </c>
      <c r="M1094">
        <v>22.7</v>
      </c>
      <c r="N1094" t="s">
        <v>4276</v>
      </c>
      <c r="O1094" t="s">
        <v>465</v>
      </c>
    </row>
    <row r="1095" spans="1:15" x14ac:dyDescent="0.3">
      <c r="A1095">
        <v>232107</v>
      </c>
      <c r="B1095">
        <v>116</v>
      </c>
      <c r="C1095" t="s">
        <v>568</v>
      </c>
      <c r="D1095" t="s">
        <v>2284</v>
      </c>
      <c r="E1095" t="s">
        <v>2582</v>
      </c>
      <c r="F1095" s="452">
        <v>46147</v>
      </c>
      <c r="G1095">
        <v>24364</v>
      </c>
      <c r="H1095" t="s">
        <v>4061</v>
      </c>
      <c r="I1095" t="s">
        <v>3469</v>
      </c>
      <c r="J1095">
        <v>1</v>
      </c>
      <c r="K1095" t="s">
        <v>3892</v>
      </c>
      <c r="L1095">
        <v>13.1</v>
      </c>
      <c r="M1095">
        <v>13.1</v>
      </c>
      <c r="N1095" t="s">
        <v>4276</v>
      </c>
      <c r="O1095" t="s">
        <v>465</v>
      </c>
    </row>
    <row r="1096" spans="1:15" x14ac:dyDescent="0.3">
      <c r="A1096">
        <v>232107</v>
      </c>
      <c r="B1096">
        <v>116</v>
      </c>
      <c r="C1096" t="s">
        <v>568</v>
      </c>
      <c r="D1096" t="s">
        <v>2284</v>
      </c>
      <c r="E1096" t="s">
        <v>2582</v>
      </c>
      <c r="F1096" s="452">
        <v>46147</v>
      </c>
      <c r="G1096">
        <v>18233</v>
      </c>
      <c r="H1096" t="s">
        <v>4090</v>
      </c>
      <c r="I1096" t="s">
        <v>3497</v>
      </c>
      <c r="J1096">
        <v>1</v>
      </c>
      <c r="K1096" t="s">
        <v>3878</v>
      </c>
      <c r="L1096">
        <v>103.9</v>
      </c>
      <c r="M1096">
        <v>103.9</v>
      </c>
      <c r="N1096" t="s">
        <v>4276</v>
      </c>
      <c r="O1096" t="s">
        <v>465</v>
      </c>
    </row>
    <row r="1097" spans="1:15" x14ac:dyDescent="0.3">
      <c r="A1097">
        <v>232107</v>
      </c>
      <c r="B1097">
        <v>116</v>
      </c>
      <c r="C1097" t="s">
        <v>568</v>
      </c>
      <c r="D1097" t="s">
        <v>2284</v>
      </c>
      <c r="E1097" t="s">
        <v>2582</v>
      </c>
      <c r="F1097" s="452">
        <v>46147</v>
      </c>
      <c r="G1097">
        <v>18538</v>
      </c>
      <c r="H1097" t="s">
        <v>4026</v>
      </c>
      <c r="I1097" t="s">
        <v>3497</v>
      </c>
      <c r="J1097">
        <v>3</v>
      </c>
      <c r="K1097" t="s">
        <v>3878</v>
      </c>
      <c r="L1097">
        <v>317.7</v>
      </c>
      <c r="M1097">
        <v>105.9</v>
      </c>
      <c r="N1097" t="s">
        <v>4276</v>
      </c>
      <c r="O1097" t="s">
        <v>465</v>
      </c>
    </row>
    <row r="1098" spans="1:15" x14ac:dyDescent="0.3">
      <c r="A1098">
        <v>232106</v>
      </c>
      <c r="B1098">
        <v>116</v>
      </c>
      <c r="C1098" t="s">
        <v>568</v>
      </c>
      <c r="D1098" t="s">
        <v>2284</v>
      </c>
      <c r="E1098" t="s">
        <v>2583</v>
      </c>
      <c r="F1098" s="452">
        <v>46148</v>
      </c>
      <c r="G1098">
        <v>24185</v>
      </c>
      <c r="H1098" t="s">
        <v>4040</v>
      </c>
      <c r="I1098" t="s">
        <v>3469</v>
      </c>
      <c r="J1098">
        <v>2</v>
      </c>
      <c r="K1098" t="s">
        <v>3892</v>
      </c>
      <c r="L1098">
        <v>46.4</v>
      </c>
      <c r="M1098">
        <v>23.2</v>
      </c>
      <c r="N1098" t="s">
        <v>4240</v>
      </c>
      <c r="O1098" t="s">
        <v>465</v>
      </c>
    </row>
    <row r="1099" spans="1:15" x14ac:dyDescent="0.3">
      <c r="A1099">
        <v>232106</v>
      </c>
      <c r="B1099">
        <v>116</v>
      </c>
      <c r="C1099" t="s">
        <v>568</v>
      </c>
      <c r="D1099" t="s">
        <v>2284</v>
      </c>
      <c r="E1099" t="s">
        <v>2583</v>
      </c>
      <c r="F1099" s="452">
        <v>46148</v>
      </c>
      <c r="G1099">
        <v>17878</v>
      </c>
      <c r="H1099" t="s">
        <v>4096</v>
      </c>
      <c r="I1099" t="s">
        <v>3497</v>
      </c>
      <c r="J1099">
        <v>1</v>
      </c>
      <c r="K1099" t="s">
        <v>3872</v>
      </c>
      <c r="L1099">
        <v>35.9</v>
      </c>
      <c r="M1099">
        <v>35.9</v>
      </c>
      <c r="N1099" t="s">
        <v>4240</v>
      </c>
      <c r="O1099" t="s">
        <v>465</v>
      </c>
    </row>
    <row r="1100" spans="1:15" x14ac:dyDescent="0.3">
      <c r="A1100">
        <v>232106</v>
      </c>
      <c r="B1100">
        <v>116</v>
      </c>
      <c r="C1100" t="s">
        <v>568</v>
      </c>
      <c r="D1100" t="s">
        <v>2284</v>
      </c>
      <c r="E1100" t="s">
        <v>2583</v>
      </c>
      <c r="F1100" s="452">
        <v>46148</v>
      </c>
      <c r="G1100">
        <v>19415</v>
      </c>
      <c r="H1100" t="s">
        <v>3941</v>
      </c>
      <c r="I1100" t="s">
        <v>3469</v>
      </c>
      <c r="J1100">
        <v>6</v>
      </c>
      <c r="K1100" t="s">
        <v>3872</v>
      </c>
      <c r="L1100">
        <v>52.8</v>
      </c>
      <c r="M1100">
        <v>8.8000000000000007</v>
      </c>
      <c r="N1100" t="s">
        <v>4240</v>
      </c>
      <c r="O1100" t="s">
        <v>465</v>
      </c>
    </row>
    <row r="1101" spans="1:15" x14ac:dyDescent="0.3">
      <c r="A1101">
        <v>232106</v>
      </c>
      <c r="B1101">
        <v>116</v>
      </c>
      <c r="C1101" t="s">
        <v>568</v>
      </c>
      <c r="D1101" t="s">
        <v>2284</v>
      </c>
      <c r="E1101" t="s">
        <v>2583</v>
      </c>
      <c r="F1101" s="452">
        <v>46148</v>
      </c>
      <c r="G1101">
        <v>24212</v>
      </c>
      <c r="H1101" t="s">
        <v>4056</v>
      </c>
      <c r="I1101" t="s">
        <v>3469</v>
      </c>
      <c r="J1101">
        <v>2</v>
      </c>
      <c r="K1101" t="s">
        <v>3892</v>
      </c>
      <c r="L1101">
        <v>25.6</v>
      </c>
      <c r="M1101">
        <v>12.8</v>
      </c>
      <c r="N1101" t="s">
        <v>4240</v>
      </c>
      <c r="O1101" t="s">
        <v>465</v>
      </c>
    </row>
    <row r="1102" spans="1:15" x14ac:dyDescent="0.3">
      <c r="A1102">
        <v>232106</v>
      </c>
      <c r="B1102">
        <v>116</v>
      </c>
      <c r="C1102" t="s">
        <v>568</v>
      </c>
      <c r="D1102" t="s">
        <v>2284</v>
      </c>
      <c r="E1102" t="s">
        <v>2583</v>
      </c>
      <c r="F1102" s="452">
        <v>46148</v>
      </c>
      <c r="G1102">
        <v>20682</v>
      </c>
      <c r="H1102" t="s">
        <v>3929</v>
      </c>
      <c r="I1102" t="s">
        <v>3469</v>
      </c>
      <c r="J1102">
        <v>12</v>
      </c>
      <c r="K1102" t="s">
        <v>3872</v>
      </c>
      <c r="L1102">
        <v>115.8</v>
      </c>
      <c r="M1102">
        <v>9.65</v>
      </c>
      <c r="N1102" t="s">
        <v>4240</v>
      </c>
      <c r="O1102" t="s">
        <v>465</v>
      </c>
    </row>
    <row r="1103" spans="1:15" x14ac:dyDescent="0.3">
      <c r="A1103">
        <v>232106</v>
      </c>
      <c r="B1103">
        <v>116</v>
      </c>
      <c r="C1103" t="s">
        <v>568</v>
      </c>
      <c r="D1103" t="s">
        <v>2284</v>
      </c>
      <c r="E1103" t="s">
        <v>2583</v>
      </c>
      <c r="F1103" s="452">
        <v>46148</v>
      </c>
      <c r="G1103">
        <v>20117</v>
      </c>
      <c r="H1103" t="s">
        <v>4010</v>
      </c>
      <c r="I1103" t="s">
        <v>3469</v>
      </c>
      <c r="J1103">
        <v>2</v>
      </c>
      <c r="K1103" t="s">
        <v>3872</v>
      </c>
      <c r="L1103">
        <v>77</v>
      </c>
      <c r="M1103">
        <v>38.5</v>
      </c>
      <c r="N1103" t="s">
        <v>4240</v>
      </c>
      <c r="O1103" t="s">
        <v>465</v>
      </c>
    </row>
    <row r="1104" spans="1:15" x14ac:dyDescent="0.3">
      <c r="A1104">
        <v>232106</v>
      </c>
      <c r="B1104">
        <v>116</v>
      </c>
      <c r="C1104" t="s">
        <v>568</v>
      </c>
      <c r="D1104" t="s">
        <v>2284</v>
      </c>
      <c r="E1104" t="s">
        <v>2583</v>
      </c>
      <c r="F1104" s="452">
        <v>46148</v>
      </c>
      <c r="G1104">
        <v>20007</v>
      </c>
      <c r="H1104" t="s">
        <v>4009</v>
      </c>
      <c r="I1104" t="s">
        <v>3469</v>
      </c>
      <c r="J1104">
        <v>2</v>
      </c>
      <c r="K1104" t="s">
        <v>3966</v>
      </c>
      <c r="L1104">
        <v>107.2</v>
      </c>
      <c r="M1104">
        <v>53.6</v>
      </c>
      <c r="N1104" t="s">
        <v>4240</v>
      </c>
      <c r="O1104" t="s">
        <v>465</v>
      </c>
    </row>
    <row r="1105" spans="1:15" x14ac:dyDescent="0.3">
      <c r="A1105">
        <v>232106</v>
      </c>
      <c r="B1105">
        <v>116</v>
      </c>
      <c r="C1105" t="s">
        <v>568</v>
      </c>
      <c r="D1105" t="s">
        <v>2284</v>
      </c>
      <c r="E1105" t="s">
        <v>2583</v>
      </c>
      <c r="F1105" s="452">
        <v>46148</v>
      </c>
      <c r="G1105">
        <v>20717</v>
      </c>
      <c r="H1105" t="s">
        <v>4055</v>
      </c>
      <c r="I1105" t="s">
        <v>3469</v>
      </c>
      <c r="J1105">
        <v>1</v>
      </c>
      <c r="K1105" t="s">
        <v>3872</v>
      </c>
      <c r="L1105">
        <v>44.98</v>
      </c>
      <c r="M1105">
        <v>44.98</v>
      </c>
      <c r="N1105" t="s">
        <v>4240</v>
      </c>
      <c r="O1105" t="s">
        <v>465</v>
      </c>
    </row>
    <row r="1106" spans="1:15" x14ac:dyDescent="0.3">
      <c r="A1106">
        <v>232106</v>
      </c>
      <c r="B1106">
        <v>116</v>
      </c>
      <c r="C1106" t="s">
        <v>568</v>
      </c>
      <c r="D1106" t="s">
        <v>2284</v>
      </c>
      <c r="E1106" t="s">
        <v>2583</v>
      </c>
      <c r="F1106" s="452">
        <v>46148</v>
      </c>
      <c r="G1106">
        <v>20685</v>
      </c>
      <c r="H1106" t="s">
        <v>4122</v>
      </c>
      <c r="I1106" t="s">
        <v>3469</v>
      </c>
      <c r="J1106">
        <v>6</v>
      </c>
      <c r="K1106" t="s">
        <v>3872</v>
      </c>
      <c r="L1106">
        <v>21.48</v>
      </c>
      <c r="M1106">
        <v>3.58</v>
      </c>
      <c r="N1106" t="s">
        <v>4240</v>
      </c>
      <c r="O1106" t="s">
        <v>465</v>
      </c>
    </row>
    <row r="1107" spans="1:15" x14ac:dyDescent="0.3">
      <c r="A1107">
        <v>232106</v>
      </c>
      <c r="B1107">
        <v>116</v>
      </c>
      <c r="C1107" t="s">
        <v>568</v>
      </c>
      <c r="D1107" t="s">
        <v>2284</v>
      </c>
      <c r="E1107" t="s">
        <v>2583</v>
      </c>
      <c r="F1107" s="452">
        <v>46148</v>
      </c>
      <c r="G1107">
        <v>25237</v>
      </c>
      <c r="H1107" t="s">
        <v>4164</v>
      </c>
      <c r="I1107" t="s">
        <v>3469</v>
      </c>
      <c r="J1107">
        <v>10</v>
      </c>
      <c r="K1107" t="s">
        <v>3888</v>
      </c>
      <c r="L1107">
        <v>52.9</v>
      </c>
      <c r="M1107">
        <v>5.29</v>
      </c>
      <c r="N1107" t="s">
        <v>4240</v>
      </c>
      <c r="O1107" t="s">
        <v>465</v>
      </c>
    </row>
    <row r="1108" spans="1:15" x14ac:dyDescent="0.3">
      <c r="A1108">
        <v>232106</v>
      </c>
      <c r="B1108">
        <v>116</v>
      </c>
      <c r="C1108" t="s">
        <v>568</v>
      </c>
      <c r="D1108" t="s">
        <v>2284</v>
      </c>
      <c r="E1108" t="s">
        <v>2583</v>
      </c>
      <c r="F1108" s="452">
        <v>46148</v>
      </c>
      <c r="G1108">
        <v>20250</v>
      </c>
      <c r="H1108" t="s">
        <v>4008</v>
      </c>
      <c r="I1108" t="s">
        <v>3469</v>
      </c>
      <c r="J1108">
        <v>2</v>
      </c>
      <c r="K1108" t="s">
        <v>3888</v>
      </c>
      <c r="L1108">
        <v>85</v>
      </c>
      <c r="M1108">
        <v>42.5</v>
      </c>
      <c r="N1108" t="s">
        <v>4240</v>
      </c>
      <c r="O1108" t="s">
        <v>465</v>
      </c>
    </row>
    <row r="1109" spans="1:15" x14ac:dyDescent="0.3">
      <c r="A1109">
        <v>232105</v>
      </c>
      <c r="B1109">
        <v>116</v>
      </c>
      <c r="C1109" t="s">
        <v>568</v>
      </c>
      <c r="D1109" t="s">
        <v>2284</v>
      </c>
      <c r="E1109" t="s">
        <v>2584</v>
      </c>
      <c r="F1109" s="452">
        <v>46148</v>
      </c>
      <c r="G1109">
        <v>18272</v>
      </c>
      <c r="H1109" t="s">
        <v>4046</v>
      </c>
      <c r="I1109" t="s">
        <v>3497</v>
      </c>
      <c r="J1109">
        <v>3</v>
      </c>
      <c r="K1109" t="s">
        <v>3878</v>
      </c>
      <c r="L1109">
        <v>116.7</v>
      </c>
      <c r="M1109">
        <v>38.9</v>
      </c>
      <c r="N1109" t="s">
        <v>3497</v>
      </c>
      <c r="O1109" t="s">
        <v>465</v>
      </c>
    </row>
    <row r="1110" spans="1:15" x14ac:dyDescent="0.3">
      <c r="A1110">
        <v>232104</v>
      </c>
      <c r="B1110">
        <v>116</v>
      </c>
      <c r="C1110" t="s">
        <v>568</v>
      </c>
      <c r="D1110" t="s">
        <v>2094</v>
      </c>
      <c r="E1110" t="s">
        <v>2585</v>
      </c>
      <c r="F1110" s="452">
        <v>46145</v>
      </c>
      <c r="G1110">
        <v>17955</v>
      </c>
      <c r="H1110" t="s">
        <v>4190</v>
      </c>
      <c r="I1110" t="s">
        <v>3497</v>
      </c>
      <c r="J1110">
        <v>5</v>
      </c>
      <c r="K1110" t="s">
        <v>3872</v>
      </c>
      <c r="L1110">
        <v>75</v>
      </c>
      <c r="M1110">
        <v>15</v>
      </c>
      <c r="N1110" t="s">
        <v>4304</v>
      </c>
      <c r="O1110" t="s">
        <v>465</v>
      </c>
    </row>
    <row r="1111" spans="1:15" x14ac:dyDescent="0.3">
      <c r="A1111">
        <v>232104</v>
      </c>
      <c r="B1111">
        <v>116</v>
      </c>
      <c r="C1111" t="s">
        <v>568</v>
      </c>
      <c r="D1111" t="s">
        <v>2094</v>
      </c>
      <c r="E1111" t="s">
        <v>2585</v>
      </c>
      <c r="F1111" s="452">
        <v>46145</v>
      </c>
      <c r="G1111">
        <v>17093</v>
      </c>
      <c r="H1111" t="s">
        <v>3993</v>
      </c>
      <c r="I1111" t="s">
        <v>3497</v>
      </c>
      <c r="J1111">
        <v>55</v>
      </c>
      <c r="K1111" t="s">
        <v>3888</v>
      </c>
      <c r="L1111">
        <v>550</v>
      </c>
      <c r="M1111">
        <v>10</v>
      </c>
      <c r="N1111" t="s">
        <v>4304</v>
      </c>
      <c r="O1111" t="s">
        <v>465</v>
      </c>
    </row>
    <row r="1112" spans="1:15" x14ac:dyDescent="0.3">
      <c r="A1112">
        <v>232103</v>
      </c>
      <c r="B1112">
        <v>116</v>
      </c>
      <c r="C1112" t="s">
        <v>568</v>
      </c>
      <c r="D1112" t="s">
        <v>2277</v>
      </c>
      <c r="E1112" t="s">
        <v>2586</v>
      </c>
      <c r="F1112" s="452">
        <v>46148</v>
      </c>
      <c r="G1112">
        <v>20358</v>
      </c>
      <c r="H1112" t="s">
        <v>3952</v>
      </c>
      <c r="I1112" t="s">
        <v>3469</v>
      </c>
      <c r="J1112">
        <v>2</v>
      </c>
      <c r="K1112" t="s">
        <v>3888</v>
      </c>
      <c r="L1112">
        <v>28.5</v>
      </c>
      <c r="M1112">
        <v>14.25</v>
      </c>
      <c r="N1112" t="s">
        <v>4240</v>
      </c>
      <c r="O1112" t="s">
        <v>465</v>
      </c>
    </row>
    <row r="1113" spans="1:15" x14ac:dyDescent="0.3">
      <c r="A1113">
        <v>232103</v>
      </c>
      <c r="B1113">
        <v>116</v>
      </c>
      <c r="C1113" t="s">
        <v>568</v>
      </c>
      <c r="D1113" t="s">
        <v>2277</v>
      </c>
      <c r="E1113" t="s">
        <v>2586</v>
      </c>
      <c r="F1113" s="452">
        <v>46148</v>
      </c>
      <c r="G1113">
        <v>20213</v>
      </c>
      <c r="H1113" t="s">
        <v>4059</v>
      </c>
      <c r="I1113" t="s">
        <v>3469</v>
      </c>
      <c r="J1113">
        <v>2</v>
      </c>
      <c r="K1113" t="s">
        <v>4268</v>
      </c>
      <c r="L1113">
        <v>63.2</v>
      </c>
      <c r="M1113">
        <v>31.6</v>
      </c>
      <c r="N1113" t="s">
        <v>4240</v>
      </c>
      <c r="O1113" t="s">
        <v>465</v>
      </c>
    </row>
    <row r="1114" spans="1:15" x14ac:dyDescent="0.3">
      <c r="A1114">
        <v>232103</v>
      </c>
      <c r="B1114">
        <v>116</v>
      </c>
      <c r="C1114" t="s">
        <v>568</v>
      </c>
      <c r="D1114" t="s">
        <v>2277</v>
      </c>
      <c r="E1114" t="s">
        <v>2586</v>
      </c>
      <c r="F1114" s="452">
        <v>46148</v>
      </c>
      <c r="G1114">
        <v>20809</v>
      </c>
      <c r="H1114" t="s">
        <v>4005</v>
      </c>
      <c r="I1114" t="s">
        <v>3469</v>
      </c>
      <c r="J1114">
        <v>3</v>
      </c>
      <c r="K1114" t="s">
        <v>3872</v>
      </c>
      <c r="L1114">
        <v>89.7</v>
      </c>
      <c r="M1114">
        <v>29.9</v>
      </c>
      <c r="N1114" t="s">
        <v>4240</v>
      </c>
      <c r="O1114" t="s">
        <v>465</v>
      </c>
    </row>
    <row r="1115" spans="1:15" x14ac:dyDescent="0.3">
      <c r="A1115">
        <v>232103</v>
      </c>
      <c r="B1115">
        <v>116</v>
      </c>
      <c r="C1115" t="s">
        <v>568</v>
      </c>
      <c r="D1115" t="s">
        <v>2277</v>
      </c>
      <c r="E1115" t="s">
        <v>2586</v>
      </c>
      <c r="F1115" s="452">
        <v>46148</v>
      </c>
      <c r="G1115">
        <v>20752</v>
      </c>
      <c r="H1115" t="s">
        <v>3964</v>
      </c>
      <c r="I1115" t="s">
        <v>3469</v>
      </c>
      <c r="J1115">
        <v>2</v>
      </c>
      <c r="K1115" t="s">
        <v>3872</v>
      </c>
      <c r="L1115">
        <v>222.62</v>
      </c>
      <c r="M1115">
        <v>111.31</v>
      </c>
      <c r="N1115" t="s">
        <v>4240</v>
      </c>
      <c r="O1115" t="s">
        <v>465</v>
      </c>
    </row>
    <row r="1116" spans="1:15" x14ac:dyDescent="0.3">
      <c r="A1116">
        <v>232103</v>
      </c>
      <c r="B1116">
        <v>116</v>
      </c>
      <c r="C1116" t="s">
        <v>568</v>
      </c>
      <c r="D1116" t="s">
        <v>2277</v>
      </c>
      <c r="E1116" t="s">
        <v>2586</v>
      </c>
      <c r="F1116" s="452">
        <v>46148</v>
      </c>
      <c r="G1116">
        <v>19967</v>
      </c>
      <c r="H1116" t="s">
        <v>3930</v>
      </c>
      <c r="I1116" t="s">
        <v>3469</v>
      </c>
      <c r="J1116">
        <v>2</v>
      </c>
      <c r="K1116" t="s">
        <v>3872</v>
      </c>
      <c r="L1116">
        <v>98.56</v>
      </c>
      <c r="M1116">
        <v>49.28</v>
      </c>
      <c r="N1116" t="s">
        <v>4240</v>
      </c>
      <c r="O1116" t="s">
        <v>465</v>
      </c>
    </row>
    <row r="1117" spans="1:15" x14ac:dyDescent="0.3">
      <c r="A1117">
        <v>232103</v>
      </c>
      <c r="B1117">
        <v>116</v>
      </c>
      <c r="C1117" t="s">
        <v>568</v>
      </c>
      <c r="D1117" t="s">
        <v>2277</v>
      </c>
      <c r="E1117" t="s">
        <v>2586</v>
      </c>
      <c r="F1117" s="452">
        <v>46148</v>
      </c>
      <c r="G1117">
        <v>21024</v>
      </c>
      <c r="H1117" t="s">
        <v>4180</v>
      </c>
      <c r="I1117" t="s">
        <v>3469</v>
      </c>
      <c r="J1117">
        <v>2</v>
      </c>
      <c r="K1117" t="s">
        <v>3872</v>
      </c>
      <c r="L1117">
        <v>353.74</v>
      </c>
      <c r="M1117">
        <v>176.87</v>
      </c>
      <c r="N1117" t="s">
        <v>4240</v>
      </c>
      <c r="O1117" t="s">
        <v>465</v>
      </c>
    </row>
    <row r="1118" spans="1:15" x14ac:dyDescent="0.3">
      <c r="A1118">
        <v>232102</v>
      </c>
      <c r="B1118">
        <v>116</v>
      </c>
      <c r="C1118" t="s">
        <v>568</v>
      </c>
      <c r="D1118" t="s">
        <v>2277</v>
      </c>
      <c r="E1118" t="s">
        <v>2587</v>
      </c>
      <c r="F1118" s="452">
        <v>46148</v>
      </c>
      <c r="G1118">
        <v>20287</v>
      </c>
      <c r="H1118" t="s">
        <v>4053</v>
      </c>
      <c r="I1118" t="s">
        <v>3469</v>
      </c>
      <c r="J1118">
        <v>1</v>
      </c>
      <c r="K1118" t="s">
        <v>4197</v>
      </c>
      <c r="L1118">
        <v>24.99</v>
      </c>
      <c r="M1118">
        <v>24.99</v>
      </c>
      <c r="N1118" t="s">
        <v>4240</v>
      </c>
      <c r="O1118" t="s">
        <v>465</v>
      </c>
    </row>
    <row r="1119" spans="1:15" x14ac:dyDescent="0.3">
      <c r="A1119">
        <v>232102</v>
      </c>
      <c r="B1119">
        <v>116</v>
      </c>
      <c r="C1119" t="s">
        <v>568</v>
      </c>
      <c r="D1119" t="s">
        <v>2277</v>
      </c>
      <c r="E1119" t="s">
        <v>2587</v>
      </c>
      <c r="F1119" s="452">
        <v>46148</v>
      </c>
      <c r="G1119">
        <v>20227</v>
      </c>
      <c r="H1119" t="s">
        <v>3968</v>
      </c>
      <c r="I1119" t="s">
        <v>3469</v>
      </c>
      <c r="J1119">
        <v>10</v>
      </c>
      <c r="K1119" t="s">
        <v>3888</v>
      </c>
      <c r="L1119">
        <v>127</v>
      </c>
      <c r="M1119">
        <v>12.7</v>
      </c>
      <c r="N1119" t="s">
        <v>4240</v>
      </c>
      <c r="O1119" t="s">
        <v>465</v>
      </c>
    </row>
    <row r="1120" spans="1:15" x14ac:dyDescent="0.3">
      <c r="A1120">
        <v>232102</v>
      </c>
      <c r="B1120">
        <v>116</v>
      </c>
      <c r="C1120" t="s">
        <v>568</v>
      </c>
      <c r="D1120" t="s">
        <v>2277</v>
      </c>
      <c r="E1120" t="s">
        <v>2587</v>
      </c>
      <c r="F1120" s="452">
        <v>46148</v>
      </c>
      <c r="G1120">
        <v>20949</v>
      </c>
      <c r="H1120" t="s">
        <v>3983</v>
      </c>
      <c r="I1120" t="s">
        <v>3469</v>
      </c>
      <c r="J1120">
        <v>6</v>
      </c>
      <c r="K1120" t="s">
        <v>3872</v>
      </c>
      <c r="L1120">
        <v>47.76</v>
      </c>
      <c r="M1120">
        <v>7.96</v>
      </c>
      <c r="N1120" t="s">
        <v>4240</v>
      </c>
      <c r="O1120" t="s">
        <v>465</v>
      </c>
    </row>
    <row r="1121" spans="1:15" x14ac:dyDescent="0.3">
      <c r="A1121">
        <v>232102</v>
      </c>
      <c r="B1121">
        <v>116</v>
      </c>
      <c r="C1121" t="s">
        <v>568</v>
      </c>
      <c r="D1121" t="s">
        <v>2277</v>
      </c>
      <c r="E1121" t="s">
        <v>2587</v>
      </c>
      <c r="F1121" s="452">
        <v>46148</v>
      </c>
      <c r="G1121">
        <v>19906</v>
      </c>
      <c r="H1121" t="s">
        <v>4171</v>
      </c>
      <c r="I1121" t="s">
        <v>3469</v>
      </c>
      <c r="J1121">
        <v>10</v>
      </c>
      <c r="K1121" t="s">
        <v>3888</v>
      </c>
      <c r="L1121">
        <v>35.799999999999997</v>
      </c>
      <c r="M1121">
        <v>3.58</v>
      </c>
      <c r="N1121" t="s">
        <v>4240</v>
      </c>
      <c r="O1121" t="s">
        <v>465</v>
      </c>
    </row>
    <row r="1122" spans="1:15" x14ac:dyDescent="0.3">
      <c r="A1122">
        <v>232102</v>
      </c>
      <c r="B1122">
        <v>116</v>
      </c>
      <c r="C1122" t="s">
        <v>568</v>
      </c>
      <c r="D1122" t="s">
        <v>2277</v>
      </c>
      <c r="E1122" t="s">
        <v>2587</v>
      </c>
      <c r="F1122" s="452">
        <v>46148</v>
      </c>
      <c r="G1122">
        <v>20729</v>
      </c>
      <c r="H1122" t="s">
        <v>3965</v>
      </c>
      <c r="I1122" t="s">
        <v>3469</v>
      </c>
      <c r="J1122">
        <v>3</v>
      </c>
      <c r="K1122" t="s">
        <v>3966</v>
      </c>
      <c r="L1122">
        <v>203.64</v>
      </c>
      <c r="M1122">
        <v>67.88</v>
      </c>
      <c r="N1122" t="s">
        <v>4240</v>
      </c>
      <c r="O1122" t="s">
        <v>465</v>
      </c>
    </row>
    <row r="1123" spans="1:15" x14ac:dyDescent="0.3">
      <c r="A1123">
        <v>232101</v>
      </c>
      <c r="B1123">
        <v>116</v>
      </c>
      <c r="C1123" t="s">
        <v>568</v>
      </c>
      <c r="D1123" t="s">
        <v>2340</v>
      </c>
      <c r="E1123" t="s">
        <v>2588</v>
      </c>
      <c r="F1123" s="452">
        <v>46148</v>
      </c>
      <c r="G1123">
        <v>19287</v>
      </c>
      <c r="H1123" t="s">
        <v>3974</v>
      </c>
      <c r="I1123" t="s">
        <v>3469</v>
      </c>
      <c r="J1123">
        <v>3.52</v>
      </c>
      <c r="K1123" t="s">
        <v>3892</v>
      </c>
      <c r="L1123">
        <v>151.01</v>
      </c>
      <c r="M1123">
        <v>42.900568</v>
      </c>
      <c r="N1123" t="s">
        <v>3469</v>
      </c>
      <c r="O1123" t="s">
        <v>465</v>
      </c>
    </row>
    <row r="1124" spans="1:15" x14ac:dyDescent="0.3">
      <c r="A1124">
        <v>232101</v>
      </c>
      <c r="B1124">
        <v>116</v>
      </c>
      <c r="C1124" t="s">
        <v>568</v>
      </c>
      <c r="D1124" t="s">
        <v>2340</v>
      </c>
      <c r="E1124" t="s">
        <v>2588</v>
      </c>
      <c r="F1124" s="452">
        <v>46148</v>
      </c>
      <c r="G1124">
        <v>19324</v>
      </c>
      <c r="H1124" t="s">
        <v>3937</v>
      </c>
      <c r="I1124" t="s">
        <v>3469</v>
      </c>
      <c r="J1124">
        <v>8.18</v>
      </c>
      <c r="K1124" t="s">
        <v>3892</v>
      </c>
      <c r="L1124">
        <v>331.29</v>
      </c>
      <c r="M1124">
        <v>40.5</v>
      </c>
      <c r="N1124" t="s">
        <v>3469</v>
      </c>
      <c r="O1124" t="s">
        <v>465</v>
      </c>
    </row>
    <row r="1125" spans="1:15" x14ac:dyDescent="0.3">
      <c r="A1125">
        <v>232100</v>
      </c>
      <c r="B1125">
        <v>116</v>
      </c>
      <c r="C1125" t="s">
        <v>568</v>
      </c>
      <c r="D1125" t="s">
        <v>2312</v>
      </c>
      <c r="E1125" t="s">
        <v>2589</v>
      </c>
      <c r="F1125" s="452">
        <v>46147</v>
      </c>
      <c r="G1125">
        <v>20702</v>
      </c>
      <c r="H1125" t="s">
        <v>4006</v>
      </c>
      <c r="I1125" t="s">
        <v>3469</v>
      </c>
      <c r="J1125">
        <v>1</v>
      </c>
      <c r="K1125" t="s">
        <v>3966</v>
      </c>
      <c r="L1125">
        <v>42.9</v>
      </c>
      <c r="M1125">
        <v>42.9</v>
      </c>
      <c r="N1125" t="s">
        <v>4240</v>
      </c>
      <c r="O1125" t="s">
        <v>465</v>
      </c>
    </row>
    <row r="1126" spans="1:15" x14ac:dyDescent="0.3">
      <c r="A1126">
        <v>232099</v>
      </c>
      <c r="B1126">
        <v>116</v>
      </c>
      <c r="C1126" t="s">
        <v>568</v>
      </c>
      <c r="D1126" t="s">
        <v>2338</v>
      </c>
      <c r="E1126" t="s">
        <v>2590</v>
      </c>
      <c r="F1126" s="452">
        <v>46147</v>
      </c>
      <c r="G1126">
        <v>20984</v>
      </c>
      <c r="H1126" t="s">
        <v>4235</v>
      </c>
      <c r="I1126" t="s">
        <v>3469</v>
      </c>
      <c r="J1126">
        <v>24</v>
      </c>
      <c r="K1126" t="s">
        <v>3931</v>
      </c>
      <c r="L1126">
        <v>195.6</v>
      </c>
      <c r="M1126">
        <v>8.15</v>
      </c>
      <c r="N1126" t="s">
        <v>4240</v>
      </c>
      <c r="O1126" t="s">
        <v>465</v>
      </c>
    </row>
    <row r="1127" spans="1:15" x14ac:dyDescent="0.3">
      <c r="A1127">
        <v>232099</v>
      </c>
      <c r="B1127">
        <v>116</v>
      </c>
      <c r="C1127" t="s">
        <v>568</v>
      </c>
      <c r="D1127" t="s">
        <v>2338</v>
      </c>
      <c r="E1127" t="s">
        <v>2590</v>
      </c>
      <c r="F1127" s="452">
        <v>46147</v>
      </c>
      <c r="G1127">
        <v>20301</v>
      </c>
      <c r="H1127" t="s">
        <v>4161</v>
      </c>
      <c r="I1127" t="s">
        <v>3469</v>
      </c>
      <c r="J1127">
        <v>6</v>
      </c>
      <c r="K1127" t="s">
        <v>3888</v>
      </c>
      <c r="L1127">
        <v>126</v>
      </c>
      <c r="M1127">
        <v>21</v>
      </c>
      <c r="N1127" t="s">
        <v>4240</v>
      </c>
      <c r="O1127" t="s">
        <v>465</v>
      </c>
    </row>
    <row r="1128" spans="1:15" x14ac:dyDescent="0.3">
      <c r="A1128">
        <v>232099</v>
      </c>
      <c r="B1128">
        <v>116</v>
      </c>
      <c r="C1128" t="s">
        <v>568</v>
      </c>
      <c r="D1128" t="s">
        <v>2338</v>
      </c>
      <c r="E1128" t="s">
        <v>2590</v>
      </c>
      <c r="F1128" s="452">
        <v>46147</v>
      </c>
      <c r="G1128">
        <v>21017</v>
      </c>
      <c r="H1128" t="s">
        <v>4290</v>
      </c>
      <c r="I1128" t="s">
        <v>3469</v>
      </c>
      <c r="J1128">
        <v>1</v>
      </c>
      <c r="K1128" t="s">
        <v>4291</v>
      </c>
      <c r="L1128">
        <v>158.9</v>
      </c>
      <c r="M1128">
        <v>158.9</v>
      </c>
      <c r="N1128" t="s">
        <v>4240</v>
      </c>
      <c r="O1128" t="s">
        <v>465</v>
      </c>
    </row>
    <row r="1129" spans="1:15" x14ac:dyDescent="0.3">
      <c r="A1129">
        <v>232098</v>
      </c>
      <c r="B1129">
        <v>116</v>
      </c>
      <c r="C1129" t="s">
        <v>568</v>
      </c>
      <c r="D1129" t="s">
        <v>2468</v>
      </c>
      <c r="E1129" t="s">
        <v>2591</v>
      </c>
      <c r="F1129" s="452">
        <v>46146</v>
      </c>
      <c r="G1129">
        <v>24259</v>
      </c>
      <c r="H1129" t="s">
        <v>3895</v>
      </c>
      <c r="I1129" t="s">
        <v>3469</v>
      </c>
      <c r="J1129">
        <v>9.7100000000000009</v>
      </c>
      <c r="K1129" t="s">
        <v>3892</v>
      </c>
      <c r="L1129">
        <v>786.51</v>
      </c>
      <c r="M1129">
        <v>81</v>
      </c>
      <c r="N1129" t="s">
        <v>4240</v>
      </c>
      <c r="O1129" t="s">
        <v>465</v>
      </c>
    </row>
    <row r="1130" spans="1:15" x14ac:dyDescent="0.3">
      <c r="A1130">
        <v>232097</v>
      </c>
      <c r="B1130">
        <v>116</v>
      </c>
      <c r="C1130" t="s">
        <v>568</v>
      </c>
      <c r="D1130" t="s">
        <v>2342</v>
      </c>
      <c r="E1130" t="s">
        <v>2592</v>
      </c>
      <c r="F1130" s="452">
        <v>46146</v>
      </c>
      <c r="G1130">
        <v>24351</v>
      </c>
      <c r="H1130" t="s">
        <v>3912</v>
      </c>
      <c r="I1130" t="s">
        <v>3469</v>
      </c>
      <c r="J1130">
        <v>20</v>
      </c>
      <c r="K1130" t="s">
        <v>3892</v>
      </c>
      <c r="L1130">
        <v>240</v>
      </c>
      <c r="M1130">
        <v>12</v>
      </c>
      <c r="N1130" t="s">
        <v>4240</v>
      </c>
      <c r="O1130" t="s">
        <v>465</v>
      </c>
    </row>
    <row r="1131" spans="1:15" x14ac:dyDescent="0.3">
      <c r="A1131">
        <v>232096</v>
      </c>
      <c r="B1131">
        <v>116</v>
      </c>
      <c r="C1131" t="s">
        <v>568</v>
      </c>
      <c r="D1131" t="s">
        <v>2468</v>
      </c>
      <c r="E1131" t="s">
        <v>2593</v>
      </c>
      <c r="F1131" s="452">
        <v>46147</v>
      </c>
      <c r="G1131">
        <v>24259</v>
      </c>
      <c r="H1131" t="s">
        <v>3895</v>
      </c>
      <c r="I1131" t="s">
        <v>3469</v>
      </c>
      <c r="J1131">
        <v>11.85</v>
      </c>
      <c r="K1131" t="s">
        <v>3892</v>
      </c>
      <c r="L1131">
        <v>959.85</v>
      </c>
      <c r="M1131">
        <v>81</v>
      </c>
      <c r="N1131" t="s">
        <v>4240</v>
      </c>
      <c r="O1131" t="s">
        <v>465</v>
      </c>
    </row>
    <row r="1132" spans="1:15" x14ac:dyDescent="0.3">
      <c r="A1132">
        <v>232095</v>
      </c>
      <c r="B1132">
        <v>116</v>
      </c>
      <c r="C1132" t="s">
        <v>568</v>
      </c>
      <c r="D1132" t="s">
        <v>2262</v>
      </c>
      <c r="E1132" t="s">
        <v>2594</v>
      </c>
      <c r="F1132" s="452">
        <v>46146</v>
      </c>
      <c r="G1132">
        <v>24389</v>
      </c>
      <c r="H1132" t="s">
        <v>4305</v>
      </c>
      <c r="I1132" t="s">
        <v>3469</v>
      </c>
      <c r="J1132">
        <v>5.5</v>
      </c>
      <c r="K1132" t="s">
        <v>3892</v>
      </c>
      <c r="L1132">
        <v>164.45</v>
      </c>
      <c r="M1132">
        <v>29.9</v>
      </c>
      <c r="N1132" t="s">
        <v>3469</v>
      </c>
      <c r="O1132" t="s">
        <v>465</v>
      </c>
    </row>
    <row r="1133" spans="1:15" x14ac:dyDescent="0.3">
      <c r="A1133">
        <v>232095</v>
      </c>
      <c r="B1133">
        <v>116</v>
      </c>
      <c r="C1133" t="s">
        <v>568</v>
      </c>
      <c r="D1133" t="s">
        <v>2262</v>
      </c>
      <c r="E1133" t="s">
        <v>2594</v>
      </c>
      <c r="F1133" s="452">
        <v>46146</v>
      </c>
      <c r="G1133">
        <v>18818</v>
      </c>
      <c r="H1133" t="s">
        <v>3916</v>
      </c>
      <c r="I1133" t="s">
        <v>3469</v>
      </c>
      <c r="J1133">
        <v>11.2</v>
      </c>
      <c r="K1133" t="s">
        <v>3892</v>
      </c>
      <c r="L1133">
        <v>378.56</v>
      </c>
      <c r="M1133">
        <v>33.799999999999997</v>
      </c>
      <c r="N1133" t="s">
        <v>3469</v>
      </c>
      <c r="O1133" t="s">
        <v>465</v>
      </c>
    </row>
    <row r="1134" spans="1:15" x14ac:dyDescent="0.3">
      <c r="A1134">
        <v>232094</v>
      </c>
      <c r="B1134">
        <v>116</v>
      </c>
      <c r="C1134" t="s">
        <v>568</v>
      </c>
      <c r="D1134" t="s">
        <v>2262</v>
      </c>
      <c r="E1134" t="s">
        <v>2595</v>
      </c>
      <c r="F1134" s="452">
        <v>46147</v>
      </c>
      <c r="G1134">
        <v>24388</v>
      </c>
      <c r="H1134" t="s">
        <v>3915</v>
      </c>
      <c r="I1134" t="s">
        <v>3469</v>
      </c>
      <c r="J1134">
        <v>10.6</v>
      </c>
      <c r="K1134" t="s">
        <v>3892</v>
      </c>
      <c r="L1134">
        <v>316.94</v>
      </c>
      <c r="M1134">
        <v>29.9</v>
      </c>
      <c r="N1134" t="s">
        <v>4240</v>
      </c>
      <c r="O1134" t="s">
        <v>465</v>
      </c>
    </row>
    <row r="1135" spans="1:15" x14ac:dyDescent="0.3">
      <c r="A1135">
        <v>232094</v>
      </c>
      <c r="B1135">
        <v>116</v>
      </c>
      <c r="C1135" t="s">
        <v>568</v>
      </c>
      <c r="D1135" t="s">
        <v>2262</v>
      </c>
      <c r="E1135" t="s">
        <v>2595</v>
      </c>
      <c r="F1135" s="452">
        <v>46147</v>
      </c>
      <c r="G1135">
        <v>20501</v>
      </c>
      <c r="H1135" t="s">
        <v>4219</v>
      </c>
      <c r="I1135" t="s">
        <v>3469</v>
      </c>
      <c r="J1135">
        <v>5</v>
      </c>
      <c r="K1135" t="s">
        <v>3892</v>
      </c>
      <c r="L1135">
        <v>111</v>
      </c>
      <c r="M1135">
        <v>22.2</v>
      </c>
      <c r="N1135" t="s">
        <v>4240</v>
      </c>
      <c r="O1135" t="s">
        <v>465</v>
      </c>
    </row>
    <row r="1136" spans="1:15" x14ac:dyDescent="0.3">
      <c r="A1136">
        <v>232094</v>
      </c>
      <c r="B1136">
        <v>116</v>
      </c>
      <c r="C1136" t="s">
        <v>568</v>
      </c>
      <c r="D1136" t="s">
        <v>2262</v>
      </c>
      <c r="E1136" t="s">
        <v>2595</v>
      </c>
      <c r="F1136" s="452">
        <v>46147</v>
      </c>
      <c r="G1136">
        <v>24320</v>
      </c>
      <c r="H1136" t="s">
        <v>4160</v>
      </c>
      <c r="I1136" t="s">
        <v>3469</v>
      </c>
      <c r="J1136">
        <v>13.8</v>
      </c>
      <c r="K1136" t="s">
        <v>3892</v>
      </c>
      <c r="L1136">
        <v>494.04</v>
      </c>
      <c r="M1136">
        <v>35.799999999999997</v>
      </c>
      <c r="N1136" t="s">
        <v>4240</v>
      </c>
      <c r="O1136" t="s">
        <v>465</v>
      </c>
    </row>
    <row r="1137" spans="1:15" x14ac:dyDescent="0.3">
      <c r="A1137">
        <v>232094</v>
      </c>
      <c r="B1137">
        <v>116</v>
      </c>
      <c r="C1137" t="s">
        <v>568</v>
      </c>
      <c r="D1137" t="s">
        <v>2262</v>
      </c>
      <c r="E1137" t="s">
        <v>2595</v>
      </c>
      <c r="F1137" s="452">
        <v>46147</v>
      </c>
      <c r="G1137">
        <v>18818</v>
      </c>
      <c r="H1137" t="s">
        <v>3916</v>
      </c>
      <c r="I1137" t="s">
        <v>3469</v>
      </c>
      <c r="J1137">
        <v>10.5</v>
      </c>
      <c r="K1137" t="s">
        <v>3892</v>
      </c>
      <c r="L1137">
        <v>354.9</v>
      </c>
      <c r="M1137">
        <v>33.799999999999997</v>
      </c>
      <c r="N1137" t="s">
        <v>4240</v>
      </c>
      <c r="O1137" t="s">
        <v>465</v>
      </c>
    </row>
    <row r="1138" spans="1:15" x14ac:dyDescent="0.3">
      <c r="A1138">
        <v>232094</v>
      </c>
      <c r="B1138">
        <v>116</v>
      </c>
      <c r="C1138" t="s">
        <v>568</v>
      </c>
      <c r="D1138" t="s">
        <v>2262</v>
      </c>
      <c r="E1138" t="s">
        <v>2595</v>
      </c>
      <c r="F1138" s="452">
        <v>46147</v>
      </c>
      <c r="G1138">
        <v>24402</v>
      </c>
      <c r="H1138" t="s">
        <v>3896</v>
      </c>
      <c r="I1138" t="s">
        <v>3469</v>
      </c>
      <c r="J1138">
        <v>12.7</v>
      </c>
      <c r="K1138" t="s">
        <v>3892</v>
      </c>
      <c r="L1138">
        <v>494.03</v>
      </c>
      <c r="M1138">
        <v>38.9</v>
      </c>
      <c r="N1138" t="s">
        <v>4240</v>
      </c>
      <c r="O1138" t="s">
        <v>465</v>
      </c>
    </row>
    <row r="1139" spans="1:15" x14ac:dyDescent="0.3">
      <c r="A1139">
        <v>232094</v>
      </c>
      <c r="B1139">
        <v>116</v>
      </c>
      <c r="C1139" t="s">
        <v>568</v>
      </c>
      <c r="D1139" t="s">
        <v>2262</v>
      </c>
      <c r="E1139" t="s">
        <v>2595</v>
      </c>
      <c r="F1139" s="452">
        <v>46147</v>
      </c>
      <c r="G1139">
        <v>19034</v>
      </c>
      <c r="H1139" t="s">
        <v>3989</v>
      </c>
      <c r="I1139" t="s">
        <v>3469</v>
      </c>
      <c r="J1139">
        <v>5.3</v>
      </c>
      <c r="K1139" t="s">
        <v>3892</v>
      </c>
      <c r="L1139">
        <v>47.7</v>
      </c>
      <c r="M1139">
        <v>9</v>
      </c>
      <c r="N1139" t="s">
        <v>4240</v>
      </c>
      <c r="O1139" t="s">
        <v>465</v>
      </c>
    </row>
    <row r="1140" spans="1:15" x14ac:dyDescent="0.3">
      <c r="A1140">
        <v>232093</v>
      </c>
      <c r="B1140">
        <v>116</v>
      </c>
      <c r="C1140" t="s">
        <v>568</v>
      </c>
      <c r="D1140" t="s">
        <v>2262</v>
      </c>
      <c r="E1140" t="s">
        <v>2596</v>
      </c>
      <c r="F1140" s="452">
        <v>46148</v>
      </c>
      <c r="G1140">
        <v>18832</v>
      </c>
      <c r="H1140" t="s">
        <v>3900</v>
      </c>
      <c r="I1140" t="s">
        <v>3469</v>
      </c>
      <c r="J1140">
        <v>26.1</v>
      </c>
      <c r="K1140" t="s">
        <v>3892</v>
      </c>
      <c r="L1140">
        <v>1041.3900000000001</v>
      </c>
      <c r="M1140">
        <v>39.9</v>
      </c>
      <c r="N1140" t="s">
        <v>4240</v>
      </c>
      <c r="O1140" t="s">
        <v>465</v>
      </c>
    </row>
    <row r="1141" spans="1:15" x14ac:dyDescent="0.3">
      <c r="A1141">
        <v>232092</v>
      </c>
      <c r="B1141">
        <v>116</v>
      </c>
      <c r="C1141" t="s">
        <v>568</v>
      </c>
      <c r="D1141" t="s">
        <v>2267</v>
      </c>
      <c r="E1141" t="s">
        <v>2597</v>
      </c>
      <c r="F1141" s="452">
        <v>46146</v>
      </c>
      <c r="G1141">
        <v>18682</v>
      </c>
      <c r="H1141" t="s">
        <v>4025</v>
      </c>
      <c r="I1141" t="s">
        <v>3469</v>
      </c>
      <c r="J1141">
        <v>6.5</v>
      </c>
      <c r="K1141" t="s">
        <v>3892</v>
      </c>
      <c r="L1141">
        <v>181.94</v>
      </c>
      <c r="M1141">
        <v>27.990769</v>
      </c>
      <c r="N1141" t="s">
        <v>4240</v>
      </c>
      <c r="O1141" t="s">
        <v>465</v>
      </c>
    </row>
    <row r="1142" spans="1:15" x14ac:dyDescent="0.3">
      <c r="A1142">
        <v>232092</v>
      </c>
      <c r="B1142">
        <v>116</v>
      </c>
      <c r="C1142" t="s">
        <v>568</v>
      </c>
      <c r="D1142" t="s">
        <v>2267</v>
      </c>
      <c r="E1142" t="s">
        <v>2597</v>
      </c>
      <c r="F1142" s="452">
        <v>46146</v>
      </c>
      <c r="G1142">
        <v>20549</v>
      </c>
      <c r="H1142" t="s">
        <v>4007</v>
      </c>
      <c r="I1142" t="s">
        <v>3469</v>
      </c>
      <c r="J1142">
        <v>7.2</v>
      </c>
      <c r="K1142" t="s">
        <v>3892</v>
      </c>
      <c r="L1142">
        <v>143.93</v>
      </c>
      <c r="M1142">
        <v>19.990278</v>
      </c>
      <c r="N1142" t="s">
        <v>4240</v>
      </c>
      <c r="O1142" t="s">
        <v>465</v>
      </c>
    </row>
    <row r="1143" spans="1:15" x14ac:dyDescent="0.3">
      <c r="A1143">
        <v>232092</v>
      </c>
      <c r="B1143">
        <v>116</v>
      </c>
      <c r="C1143" t="s">
        <v>568</v>
      </c>
      <c r="D1143" t="s">
        <v>2267</v>
      </c>
      <c r="E1143" t="s">
        <v>2597</v>
      </c>
      <c r="F1143" s="452">
        <v>46146</v>
      </c>
      <c r="G1143">
        <v>24517</v>
      </c>
      <c r="H1143" t="s">
        <v>3991</v>
      </c>
      <c r="I1143" t="s">
        <v>3469</v>
      </c>
      <c r="J1143">
        <v>9.1999999999999993</v>
      </c>
      <c r="K1143" t="s">
        <v>3892</v>
      </c>
      <c r="L1143">
        <v>257.51</v>
      </c>
      <c r="M1143">
        <v>27.990217000000001</v>
      </c>
      <c r="N1143" t="s">
        <v>4240</v>
      </c>
      <c r="O1143" t="s">
        <v>465</v>
      </c>
    </row>
    <row r="1144" spans="1:15" x14ac:dyDescent="0.3">
      <c r="A1144">
        <v>232091</v>
      </c>
      <c r="B1144">
        <v>116</v>
      </c>
      <c r="C1144" t="s">
        <v>568</v>
      </c>
      <c r="D1144" t="s">
        <v>2273</v>
      </c>
      <c r="E1144" t="s">
        <v>2598</v>
      </c>
      <c r="F1144" s="452">
        <v>46146</v>
      </c>
      <c r="G1144">
        <v>19465</v>
      </c>
      <c r="H1144" t="s">
        <v>4080</v>
      </c>
      <c r="I1144" t="s">
        <v>3469</v>
      </c>
      <c r="J1144">
        <v>1.2</v>
      </c>
      <c r="K1144" t="s">
        <v>3892</v>
      </c>
      <c r="L1144">
        <v>6.96</v>
      </c>
      <c r="M1144">
        <v>5.8</v>
      </c>
      <c r="N1144" t="s">
        <v>4240</v>
      </c>
      <c r="O1144" t="s">
        <v>465</v>
      </c>
    </row>
    <row r="1145" spans="1:15" x14ac:dyDescent="0.3">
      <c r="A1145">
        <v>232091</v>
      </c>
      <c r="B1145">
        <v>116</v>
      </c>
      <c r="C1145" t="s">
        <v>568</v>
      </c>
      <c r="D1145" t="s">
        <v>2273</v>
      </c>
      <c r="E1145" t="s">
        <v>2598</v>
      </c>
      <c r="F1145" s="452">
        <v>46146</v>
      </c>
      <c r="G1145">
        <v>24509</v>
      </c>
      <c r="H1145" t="s">
        <v>3906</v>
      </c>
      <c r="I1145" t="s">
        <v>3469</v>
      </c>
      <c r="J1145">
        <v>10.35</v>
      </c>
      <c r="K1145" t="s">
        <v>3892</v>
      </c>
      <c r="L1145">
        <v>50.3</v>
      </c>
      <c r="M1145">
        <v>4.8599030000000001</v>
      </c>
      <c r="N1145" t="s">
        <v>4240</v>
      </c>
      <c r="O1145" t="s">
        <v>465</v>
      </c>
    </row>
    <row r="1146" spans="1:15" x14ac:dyDescent="0.3">
      <c r="A1146">
        <v>232091</v>
      </c>
      <c r="B1146">
        <v>116</v>
      </c>
      <c r="C1146" t="s">
        <v>568</v>
      </c>
      <c r="D1146" t="s">
        <v>2273</v>
      </c>
      <c r="E1146" t="s">
        <v>2598</v>
      </c>
      <c r="F1146" s="452">
        <v>46146</v>
      </c>
      <c r="G1146">
        <v>23171</v>
      </c>
      <c r="H1146" t="s">
        <v>4132</v>
      </c>
      <c r="I1146" t="s">
        <v>3469</v>
      </c>
      <c r="J1146">
        <v>3</v>
      </c>
      <c r="K1146" t="s">
        <v>3892</v>
      </c>
      <c r="L1146">
        <v>24.81</v>
      </c>
      <c r="M1146">
        <v>8.27</v>
      </c>
      <c r="N1146" t="s">
        <v>4240</v>
      </c>
      <c r="O1146" t="s">
        <v>465</v>
      </c>
    </row>
    <row r="1147" spans="1:15" x14ac:dyDescent="0.3">
      <c r="A1147">
        <v>232091</v>
      </c>
      <c r="B1147">
        <v>116</v>
      </c>
      <c r="C1147" t="s">
        <v>568</v>
      </c>
      <c r="D1147" t="s">
        <v>2273</v>
      </c>
      <c r="E1147" t="s">
        <v>2598</v>
      </c>
      <c r="F1147" s="452">
        <v>46146</v>
      </c>
      <c r="G1147">
        <v>24083</v>
      </c>
      <c r="H1147" t="s">
        <v>3898</v>
      </c>
      <c r="I1147" t="s">
        <v>3469</v>
      </c>
      <c r="J1147">
        <v>10.45</v>
      </c>
      <c r="K1147" t="s">
        <v>3892</v>
      </c>
      <c r="L1147">
        <v>56.85</v>
      </c>
      <c r="M1147">
        <v>5.4401910000000004</v>
      </c>
      <c r="N1147" t="s">
        <v>4240</v>
      </c>
      <c r="O1147" t="s">
        <v>465</v>
      </c>
    </row>
    <row r="1148" spans="1:15" x14ac:dyDescent="0.3">
      <c r="A1148">
        <v>232091</v>
      </c>
      <c r="B1148">
        <v>116</v>
      </c>
      <c r="C1148" t="s">
        <v>568</v>
      </c>
      <c r="D1148" t="s">
        <v>2273</v>
      </c>
      <c r="E1148" t="s">
        <v>2598</v>
      </c>
      <c r="F1148" s="452">
        <v>46146</v>
      </c>
      <c r="G1148">
        <v>19763</v>
      </c>
      <c r="H1148" t="s">
        <v>4187</v>
      </c>
      <c r="I1148" t="s">
        <v>3469</v>
      </c>
      <c r="J1148">
        <v>2.0699999999999998</v>
      </c>
      <c r="K1148" t="s">
        <v>3892</v>
      </c>
      <c r="L1148">
        <v>24.01</v>
      </c>
      <c r="M1148">
        <v>11.599034</v>
      </c>
      <c r="N1148" t="s">
        <v>4240</v>
      </c>
      <c r="O1148" t="s">
        <v>465</v>
      </c>
    </row>
    <row r="1149" spans="1:15" x14ac:dyDescent="0.3">
      <c r="A1149">
        <v>232091</v>
      </c>
      <c r="B1149">
        <v>116</v>
      </c>
      <c r="C1149" t="s">
        <v>568</v>
      </c>
      <c r="D1149" t="s">
        <v>2273</v>
      </c>
      <c r="E1149" t="s">
        <v>2598</v>
      </c>
      <c r="F1149" s="452">
        <v>46146</v>
      </c>
      <c r="G1149">
        <v>24385</v>
      </c>
      <c r="H1149" t="s">
        <v>4182</v>
      </c>
      <c r="I1149" t="s">
        <v>3469</v>
      </c>
      <c r="J1149">
        <v>1</v>
      </c>
      <c r="K1149" t="s">
        <v>3892</v>
      </c>
      <c r="L1149">
        <v>15.22</v>
      </c>
      <c r="M1149">
        <v>15.22</v>
      </c>
      <c r="N1149" t="s">
        <v>4240</v>
      </c>
      <c r="O1149" t="s">
        <v>465</v>
      </c>
    </row>
    <row r="1150" spans="1:15" x14ac:dyDescent="0.3">
      <c r="A1150">
        <v>232091</v>
      </c>
      <c r="B1150">
        <v>116</v>
      </c>
      <c r="C1150" t="s">
        <v>568</v>
      </c>
      <c r="D1150" t="s">
        <v>2273</v>
      </c>
      <c r="E1150" t="s">
        <v>2598</v>
      </c>
      <c r="F1150" s="452">
        <v>46146</v>
      </c>
      <c r="G1150">
        <v>23113</v>
      </c>
      <c r="H1150" t="s">
        <v>4079</v>
      </c>
      <c r="I1150" t="s">
        <v>3469</v>
      </c>
      <c r="J1150">
        <v>1.29</v>
      </c>
      <c r="K1150" t="s">
        <v>3892</v>
      </c>
      <c r="L1150">
        <v>18.71</v>
      </c>
      <c r="M1150">
        <v>14.503876</v>
      </c>
      <c r="N1150" t="s">
        <v>4240</v>
      </c>
      <c r="O1150" t="s">
        <v>465</v>
      </c>
    </row>
    <row r="1151" spans="1:15" x14ac:dyDescent="0.3">
      <c r="A1151">
        <v>232091</v>
      </c>
      <c r="B1151">
        <v>116</v>
      </c>
      <c r="C1151" t="s">
        <v>568</v>
      </c>
      <c r="D1151" t="s">
        <v>2273</v>
      </c>
      <c r="E1151" t="s">
        <v>2598</v>
      </c>
      <c r="F1151" s="452">
        <v>46146</v>
      </c>
      <c r="G1151">
        <v>19539</v>
      </c>
      <c r="H1151" t="s">
        <v>4133</v>
      </c>
      <c r="I1151" t="s">
        <v>3469</v>
      </c>
      <c r="J1151">
        <v>18</v>
      </c>
      <c r="K1151" t="s">
        <v>3892</v>
      </c>
      <c r="L1151">
        <v>148.86000000000001</v>
      </c>
      <c r="M1151">
        <v>8.27</v>
      </c>
      <c r="N1151" t="s">
        <v>4240</v>
      </c>
      <c r="O1151" t="s">
        <v>465</v>
      </c>
    </row>
    <row r="1152" spans="1:15" x14ac:dyDescent="0.3">
      <c r="A1152">
        <v>232091</v>
      </c>
      <c r="B1152">
        <v>116</v>
      </c>
      <c r="C1152" t="s">
        <v>568</v>
      </c>
      <c r="D1152" t="s">
        <v>2273</v>
      </c>
      <c r="E1152" t="s">
        <v>2598</v>
      </c>
      <c r="F1152" s="452">
        <v>46146</v>
      </c>
      <c r="G1152">
        <v>23120</v>
      </c>
      <c r="H1152" t="s">
        <v>4111</v>
      </c>
      <c r="I1152" t="s">
        <v>3469</v>
      </c>
      <c r="J1152">
        <v>0.3</v>
      </c>
      <c r="K1152" t="s">
        <v>3892</v>
      </c>
      <c r="L1152">
        <v>20.45</v>
      </c>
      <c r="M1152">
        <v>68.166667000000004</v>
      </c>
      <c r="N1152" t="s">
        <v>4240</v>
      </c>
      <c r="O1152" t="s">
        <v>465</v>
      </c>
    </row>
    <row r="1153" spans="1:15" x14ac:dyDescent="0.3">
      <c r="A1153">
        <v>232090</v>
      </c>
      <c r="B1153">
        <v>116</v>
      </c>
      <c r="C1153" t="s">
        <v>568</v>
      </c>
      <c r="D1153" t="s">
        <v>2273</v>
      </c>
      <c r="E1153" t="s">
        <v>2599</v>
      </c>
      <c r="F1153" s="452">
        <v>46149</v>
      </c>
      <c r="G1153">
        <v>24484</v>
      </c>
      <c r="H1153" t="s">
        <v>4154</v>
      </c>
      <c r="I1153" t="s">
        <v>3469</v>
      </c>
      <c r="J1153">
        <v>0.7</v>
      </c>
      <c r="K1153" t="s">
        <v>3892</v>
      </c>
      <c r="L1153">
        <v>9.65</v>
      </c>
      <c r="M1153">
        <v>13.785714</v>
      </c>
      <c r="N1153" t="s">
        <v>4240</v>
      </c>
      <c r="O1153" t="s">
        <v>465</v>
      </c>
    </row>
    <row r="1154" spans="1:15" x14ac:dyDescent="0.3">
      <c r="A1154">
        <v>232090</v>
      </c>
      <c r="B1154">
        <v>116</v>
      </c>
      <c r="C1154" t="s">
        <v>568</v>
      </c>
      <c r="D1154" t="s">
        <v>2273</v>
      </c>
      <c r="E1154" t="s">
        <v>2599</v>
      </c>
      <c r="F1154" s="452">
        <v>46149</v>
      </c>
      <c r="G1154">
        <v>19742</v>
      </c>
      <c r="H1154" t="s">
        <v>4074</v>
      </c>
      <c r="I1154" t="s">
        <v>3469</v>
      </c>
      <c r="J1154">
        <v>1</v>
      </c>
      <c r="K1154" t="s">
        <v>3892</v>
      </c>
      <c r="L1154">
        <v>11.38</v>
      </c>
      <c r="M1154">
        <v>11.38</v>
      </c>
      <c r="N1154" t="s">
        <v>4240</v>
      </c>
      <c r="O1154" t="s">
        <v>465</v>
      </c>
    </row>
    <row r="1155" spans="1:15" x14ac:dyDescent="0.3">
      <c r="A1155">
        <v>232090</v>
      </c>
      <c r="B1155">
        <v>116</v>
      </c>
      <c r="C1155" t="s">
        <v>568</v>
      </c>
      <c r="D1155" t="s">
        <v>2273</v>
      </c>
      <c r="E1155" t="s">
        <v>2599</v>
      </c>
      <c r="F1155" s="452">
        <v>46149</v>
      </c>
      <c r="G1155">
        <v>19652</v>
      </c>
      <c r="H1155" t="s">
        <v>4014</v>
      </c>
      <c r="I1155" t="s">
        <v>3469</v>
      </c>
      <c r="J1155">
        <v>1</v>
      </c>
      <c r="K1155" t="s">
        <v>3892</v>
      </c>
      <c r="L1155">
        <v>18.53</v>
      </c>
      <c r="M1155">
        <v>18.53</v>
      </c>
      <c r="N1155" t="s">
        <v>4240</v>
      </c>
      <c r="O1155" t="s">
        <v>465</v>
      </c>
    </row>
    <row r="1156" spans="1:15" x14ac:dyDescent="0.3">
      <c r="A1156">
        <v>232090</v>
      </c>
      <c r="B1156">
        <v>116</v>
      </c>
      <c r="C1156" t="s">
        <v>568</v>
      </c>
      <c r="D1156" t="s">
        <v>2273</v>
      </c>
      <c r="E1156" t="s">
        <v>2599</v>
      </c>
      <c r="F1156" s="452">
        <v>46149</v>
      </c>
      <c r="G1156">
        <v>23389</v>
      </c>
      <c r="H1156" t="s">
        <v>4016</v>
      </c>
      <c r="I1156" t="s">
        <v>3469</v>
      </c>
      <c r="J1156">
        <v>6</v>
      </c>
      <c r="K1156" t="s">
        <v>3892</v>
      </c>
      <c r="L1156">
        <v>28.98</v>
      </c>
      <c r="M1156">
        <v>4.83</v>
      </c>
      <c r="N1156" t="s">
        <v>4240</v>
      </c>
      <c r="O1156" t="s">
        <v>465</v>
      </c>
    </row>
    <row r="1157" spans="1:15" x14ac:dyDescent="0.3">
      <c r="A1157">
        <v>232090</v>
      </c>
      <c r="B1157">
        <v>116</v>
      </c>
      <c r="C1157" t="s">
        <v>568</v>
      </c>
      <c r="D1157" t="s">
        <v>2273</v>
      </c>
      <c r="E1157" t="s">
        <v>2599</v>
      </c>
      <c r="F1157" s="452">
        <v>46149</v>
      </c>
      <c r="G1157">
        <v>19465</v>
      </c>
      <c r="H1157" t="s">
        <v>4080</v>
      </c>
      <c r="I1157" t="s">
        <v>3469</v>
      </c>
      <c r="J1157">
        <v>1.3</v>
      </c>
      <c r="K1157" t="s">
        <v>3892</v>
      </c>
      <c r="L1157">
        <v>7.54</v>
      </c>
      <c r="M1157">
        <v>5.8</v>
      </c>
      <c r="N1157" t="s">
        <v>4240</v>
      </c>
      <c r="O1157" t="s">
        <v>465</v>
      </c>
    </row>
    <row r="1158" spans="1:15" x14ac:dyDescent="0.3">
      <c r="A1158">
        <v>232090</v>
      </c>
      <c r="B1158">
        <v>116</v>
      </c>
      <c r="C1158" t="s">
        <v>568</v>
      </c>
      <c r="D1158" t="s">
        <v>2273</v>
      </c>
      <c r="E1158" t="s">
        <v>2599</v>
      </c>
      <c r="F1158" s="452">
        <v>46149</v>
      </c>
      <c r="G1158">
        <v>19642</v>
      </c>
      <c r="H1158" t="s">
        <v>4067</v>
      </c>
      <c r="I1158" t="s">
        <v>3469</v>
      </c>
      <c r="J1158">
        <v>1</v>
      </c>
      <c r="K1158" t="s">
        <v>3892</v>
      </c>
      <c r="L1158">
        <v>5.44</v>
      </c>
      <c r="M1158">
        <v>5.44</v>
      </c>
      <c r="N1158" t="s">
        <v>4240</v>
      </c>
      <c r="O1158" t="s">
        <v>465</v>
      </c>
    </row>
    <row r="1159" spans="1:15" x14ac:dyDescent="0.3">
      <c r="A1159">
        <v>232090</v>
      </c>
      <c r="B1159">
        <v>116</v>
      </c>
      <c r="C1159" t="s">
        <v>568</v>
      </c>
      <c r="D1159" t="s">
        <v>2273</v>
      </c>
      <c r="E1159" t="s">
        <v>2599</v>
      </c>
      <c r="F1159" s="452">
        <v>46149</v>
      </c>
      <c r="G1159">
        <v>19572</v>
      </c>
      <c r="H1159" t="s">
        <v>4023</v>
      </c>
      <c r="I1159" t="s">
        <v>3469</v>
      </c>
      <c r="J1159">
        <v>1.2</v>
      </c>
      <c r="K1159" t="s">
        <v>3892</v>
      </c>
      <c r="L1159">
        <v>9.66</v>
      </c>
      <c r="M1159">
        <v>8.0500000000000007</v>
      </c>
      <c r="N1159" t="s">
        <v>4240</v>
      </c>
      <c r="O1159" t="s">
        <v>465</v>
      </c>
    </row>
    <row r="1160" spans="1:15" x14ac:dyDescent="0.3">
      <c r="A1160">
        <v>232090</v>
      </c>
      <c r="B1160">
        <v>116</v>
      </c>
      <c r="C1160" t="s">
        <v>568</v>
      </c>
      <c r="D1160" t="s">
        <v>2273</v>
      </c>
      <c r="E1160" t="s">
        <v>2599</v>
      </c>
      <c r="F1160" s="452">
        <v>46149</v>
      </c>
      <c r="G1160">
        <v>19763</v>
      </c>
      <c r="H1160" t="s">
        <v>4187</v>
      </c>
      <c r="I1160" t="s">
        <v>3469</v>
      </c>
      <c r="J1160">
        <v>2</v>
      </c>
      <c r="K1160" t="s">
        <v>3892</v>
      </c>
      <c r="L1160">
        <v>20.3</v>
      </c>
      <c r="M1160">
        <v>10.15</v>
      </c>
      <c r="N1160" t="s">
        <v>4240</v>
      </c>
      <c r="O1160" t="s">
        <v>465</v>
      </c>
    </row>
    <row r="1161" spans="1:15" x14ac:dyDescent="0.3">
      <c r="A1161">
        <v>232090</v>
      </c>
      <c r="B1161">
        <v>116</v>
      </c>
      <c r="C1161" t="s">
        <v>568</v>
      </c>
      <c r="D1161" t="s">
        <v>2273</v>
      </c>
      <c r="E1161" t="s">
        <v>2599</v>
      </c>
      <c r="F1161" s="452">
        <v>46149</v>
      </c>
      <c r="G1161">
        <v>19634</v>
      </c>
      <c r="H1161" t="s">
        <v>4068</v>
      </c>
      <c r="I1161" t="s">
        <v>3469</v>
      </c>
      <c r="J1161">
        <v>2</v>
      </c>
      <c r="K1161" t="s">
        <v>3892</v>
      </c>
      <c r="L1161">
        <v>15.22</v>
      </c>
      <c r="M1161">
        <v>7.61</v>
      </c>
      <c r="N1161" t="s">
        <v>4240</v>
      </c>
      <c r="O1161" t="s">
        <v>465</v>
      </c>
    </row>
    <row r="1162" spans="1:15" x14ac:dyDescent="0.3">
      <c r="A1162">
        <v>232090</v>
      </c>
      <c r="B1162">
        <v>116</v>
      </c>
      <c r="C1162" t="s">
        <v>568</v>
      </c>
      <c r="D1162" t="s">
        <v>2273</v>
      </c>
      <c r="E1162" t="s">
        <v>2599</v>
      </c>
      <c r="F1162" s="452">
        <v>46149</v>
      </c>
      <c r="G1162">
        <v>23171</v>
      </c>
      <c r="H1162" t="s">
        <v>4132</v>
      </c>
      <c r="I1162" t="s">
        <v>3469</v>
      </c>
      <c r="J1162">
        <v>3</v>
      </c>
      <c r="K1162" t="s">
        <v>3892</v>
      </c>
      <c r="L1162">
        <v>28.29</v>
      </c>
      <c r="M1162">
        <v>9.43</v>
      </c>
      <c r="N1162" t="s">
        <v>4240</v>
      </c>
      <c r="O1162" t="s">
        <v>465</v>
      </c>
    </row>
    <row r="1163" spans="1:15" x14ac:dyDescent="0.3">
      <c r="A1163">
        <v>232090</v>
      </c>
      <c r="B1163">
        <v>116</v>
      </c>
      <c r="C1163" t="s">
        <v>568</v>
      </c>
      <c r="D1163" t="s">
        <v>2273</v>
      </c>
      <c r="E1163" t="s">
        <v>2599</v>
      </c>
      <c r="F1163" s="452">
        <v>46149</v>
      </c>
      <c r="G1163">
        <v>24083</v>
      </c>
      <c r="H1163" t="s">
        <v>3898</v>
      </c>
      <c r="I1163" t="s">
        <v>3469</v>
      </c>
      <c r="J1163">
        <v>25</v>
      </c>
      <c r="K1163" t="s">
        <v>3892</v>
      </c>
      <c r="L1163">
        <v>162.5</v>
      </c>
      <c r="M1163">
        <v>6.5</v>
      </c>
      <c r="N1163" t="s">
        <v>4240</v>
      </c>
      <c r="O1163" t="s">
        <v>465</v>
      </c>
    </row>
    <row r="1164" spans="1:15" x14ac:dyDescent="0.3">
      <c r="A1164">
        <v>232090</v>
      </c>
      <c r="B1164">
        <v>116</v>
      </c>
      <c r="C1164" t="s">
        <v>568</v>
      </c>
      <c r="D1164" t="s">
        <v>2273</v>
      </c>
      <c r="E1164" t="s">
        <v>2599</v>
      </c>
      <c r="F1164" s="452">
        <v>46149</v>
      </c>
      <c r="G1164">
        <v>23095</v>
      </c>
      <c r="H1164" t="s">
        <v>3882</v>
      </c>
      <c r="I1164" t="s">
        <v>3469</v>
      </c>
      <c r="J1164">
        <v>60</v>
      </c>
      <c r="K1164" t="s">
        <v>3872</v>
      </c>
      <c r="L1164">
        <v>62.4</v>
      </c>
      <c r="M1164">
        <v>1.04</v>
      </c>
      <c r="N1164" t="s">
        <v>4240</v>
      </c>
      <c r="O1164" t="s">
        <v>465</v>
      </c>
    </row>
    <row r="1165" spans="1:15" x14ac:dyDescent="0.3">
      <c r="A1165">
        <v>232090</v>
      </c>
      <c r="B1165">
        <v>116</v>
      </c>
      <c r="C1165" t="s">
        <v>568</v>
      </c>
      <c r="D1165" t="s">
        <v>2273</v>
      </c>
      <c r="E1165" t="s">
        <v>2599</v>
      </c>
      <c r="F1165" s="452">
        <v>46149</v>
      </c>
      <c r="G1165">
        <v>24037</v>
      </c>
      <c r="H1165" t="s">
        <v>4104</v>
      </c>
      <c r="I1165" t="s">
        <v>3469</v>
      </c>
      <c r="J1165">
        <v>3</v>
      </c>
      <c r="K1165" t="s">
        <v>3892</v>
      </c>
      <c r="L1165">
        <v>53.52</v>
      </c>
      <c r="M1165">
        <v>17.84</v>
      </c>
      <c r="N1165" t="s">
        <v>4240</v>
      </c>
      <c r="O1165" t="s">
        <v>465</v>
      </c>
    </row>
    <row r="1166" spans="1:15" x14ac:dyDescent="0.3">
      <c r="A1166">
        <v>232089</v>
      </c>
      <c r="B1166">
        <v>116</v>
      </c>
      <c r="C1166" t="s">
        <v>568</v>
      </c>
      <c r="D1166" t="s">
        <v>2280</v>
      </c>
      <c r="E1166" t="s">
        <v>2600</v>
      </c>
      <c r="F1166" s="452">
        <v>46146</v>
      </c>
      <c r="G1166">
        <v>23361</v>
      </c>
      <c r="H1166" t="s">
        <v>4220</v>
      </c>
      <c r="I1166" t="s">
        <v>3469</v>
      </c>
      <c r="J1166">
        <v>20</v>
      </c>
      <c r="K1166" t="s">
        <v>3892</v>
      </c>
      <c r="L1166">
        <v>54.6</v>
      </c>
      <c r="M1166">
        <v>2.73</v>
      </c>
      <c r="N1166" t="s">
        <v>4240</v>
      </c>
      <c r="O1166" t="s">
        <v>465</v>
      </c>
    </row>
    <row r="1167" spans="1:15" x14ac:dyDescent="0.3">
      <c r="A1167">
        <v>232089</v>
      </c>
      <c r="B1167">
        <v>116</v>
      </c>
      <c r="C1167" t="s">
        <v>568</v>
      </c>
      <c r="D1167" t="s">
        <v>2280</v>
      </c>
      <c r="E1167" t="s">
        <v>2600</v>
      </c>
      <c r="F1167" s="452">
        <v>46146</v>
      </c>
      <c r="G1167">
        <v>19555</v>
      </c>
      <c r="H1167" t="s">
        <v>4109</v>
      </c>
      <c r="I1167" t="s">
        <v>3469</v>
      </c>
      <c r="J1167">
        <v>0.5</v>
      </c>
      <c r="K1167" t="s">
        <v>3892</v>
      </c>
      <c r="L1167">
        <v>7.58</v>
      </c>
      <c r="M1167">
        <v>15.16</v>
      </c>
      <c r="N1167" t="s">
        <v>4240</v>
      </c>
      <c r="O1167" t="s">
        <v>465</v>
      </c>
    </row>
    <row r="1168" spans="1:15" x14ac:dyDescent="0.3">
      <c r="A1168">
        <v>232089</v>
      </c>
      <c r="B1168">
        <v>116</v>
      </c>
      <c r="C1168" t="s">
        <v>568</v>
      </c>
      <c r="D1168" t="s">
        <v>2280</v>
      </c>
      <c r="E1168" t="s">
        <v>2600</v>
      </c>
      <c r="F1168" s="452">
        <v>46146</v>
      </c>
      <c r="G1168">
        <v>19672</v>
      </c>
      <c r="H1168" t="s">
        <v>4024</v>
      </c>
      <c r="I1168" t="s">
        <v>3469</v>
      </c>
      <c r="J1168">
        <v>2</v>
      </c>
      <c r="K1168" t="s">
        <v>3892</v>
      </c>
      <c r="L1168">
        <v>26</v>
      </c>
      <c r="M1168">
        <v>13</v>
      </c>
      <c r="N1168" t="s">
        <v>4240</v>
      </c>
      <c r="O1168" t="s">
        <v>465</v>
      </c>
    </row>
    <row r="1169" spans="1:15" x14ac:dyDescent="0.3">
      <c r="A1169">
        <v>232089</v>
      </c>
      <c r="B1169">
        <v>116</v>
      </c>
      <c r="C1169" t="s">
        <v>568</v>
      </c>
      <c r="D1169" t="s">
        <v>2280</v>
      </c>
      <c r="E1169" t="s">
        <v>2600</v>
      </c>
      <c r="F1169" s="452">
        <v>46146</v>
      </c>
      <c r="G1169">
        <v>23389</v>
      </c>
      <c r="H1169" t="s">
        <v>4016</v>
      </c>
      <c r="I1169" t="s">
        <v>3469</v>
      </c>
      <c r="J1169">
        <v>5</v>
      </c>
      <c r="K1169" t="s">
        <v>3892</v>
      </c>
      <c r="L1169">
        <v>26</v>
      </c>
      <c r="M1169">
        <v>5.2</v>
      </c>
      <c r="N1169" t="s">
        <v>4240</v>
      </c>
      <c r="O1169" t="s">
        <v>465</v>
      </c>
    </row>
    <row r="1170" spans="1:15" x14ac:dyDescent="0.3">
      <c r="A1170">
        <v>232089</v>
      </c>
      <c r="B1170">
        <v>116</v>
      </c>
      <c r="C1170" t="s">
        <v>568</v>
      </c>
      <c r="D1170" t="s">
        <v>2280</v>
      </c>
      <c r="E1170" t="s">
        <v>2600</v>
      </c>
      <c r="F1170" s="452">
        <v>46146</v>
      </c>
      <c r="G1170">
        <v>23142</v>
      </c>
      <c r="H1170" t="s">
        <v>4151</v>
      </c>
      <c r="I1170" t="s">
        <v>3469</v>
      </c>
      <c r="J1170">
        <v>1</v>
      </c>
      <c r="K1170" t="s">
        <v>3892</v>
      </c>
      <c r="L1170">
        <v>20.8</v>
      </c>
      <c r="M1170">
        <v>20.8</v>
      </c>
      <c r="N1170" t="s">
        <v>4240</v>
      </c>
      <c r="O1170" t="s">
        <v>465</v>
      </c>
    </row>
    <row r="1171" spans="1:15" x14ac:dyDescent="0.3">
      <c r="A1171">
        <v>232089</v>
      </c>
      <c r="B1171">
        <v>116</v>
      </c>
      <c r="C1171" t="s">
        <v>568</v>
      </c>
      <c r="D1171" t="s">
        <v>2280</v>
      </c>
      <c r="E1171" t="s">
        <v>2600</v>
      </c>
      <c r="F1171" s="452">
        <v>46146</v>
      </c>
      <c r="G1171">
        <v>19742</v>
      </c>
      <c r="H1171" t="s">
        <v>4074</v>
      </c>
      <c r="I1171" t="s">
        <v>3469</v>
      </c>
      <c r="J1171">
        <v>1.4</v>
      </c>
      <c r="K1171" t="s">
        <v>3892</v>
      </c>
      <c r="L1171">
        <v>14.56</v>
      </c>
      <c r="M1171">
        <v>10.4</v>
      </c>
      <c r="N1171" t="s">
        <v>4240</v>
      </c>
      <c r="O1171" t="s">
        <v>465</v>
      </c>
    </row>
    <row r="1172" spans="1:15" x14ac:dyDescent="0.3">
      <c r="A1172">
        <v>232089</v>
      </c>
      <c r="B1172">
        <v>116</v>
      </c>
      <c r="C1172" t="s">
        <v>568</v>
      </c>
      <c r="D1172" t="s">
        <v>2280</v>
      </c>
      <c r="E1172" t="s">
        <v>2600</v>
      </c>
      <c r="F1172" s="452">
        <v>46146</v>
      </c>
      <c r="G1172">
        <v>23236</v>
      </c>
      <c r="H1172" t="s">
        <v>4017</v>
      </c>
      <c r="I1172" t="s">
        <v>3469</v>
      </c>
      <c r="J1172">
        <v>3</v>
      </c>
      <c r="K1172" t="s">
        <v>3892</v>
      </c>
      <c r="L1172">
        <v>28.17</v>
      </c>
      <c r="M1172">
        <v>9.39</v>
      </c>
      <c r="N1172" t="s">
        <v>4240</v>
      </c>
      <c r="O1172" t="s">
        <v>465</v>
      </c>
    </row>
    <row r="1173" spans="1:15" x14ac:dyDescent="0.3">
      <c r="A1173">
        <v>232088</v>
      </c>
      <c r="B1173">
        <v>116</v>
      </c>
      <c r="C1173" t="s">
        <v>568</v>
      </c>
      <c r="D1173" t="s">
        <v>2280</v>
      </c>
      <c r="E1173" t="s">
        <v>2601</v>
      </c>
      <c r="F1173" s="452">
        <v>46149</v>
      </c>
      <c r="G1173">
        <v>19740</v>
      </c>
      <c r="H1173" t="s">
        <v>3933</v>
      </c>
      <c r="I1173" t="s">
        <v>3469</v>
      </c>
      <c r="J1173">
        <v>8</v>
      </c>
      <c r="K1173" t="s">
        <v>3892</v>
      </c>
      <c r="L1173">
        <v>60.32</v>
      </c>
      <c r="M1173">
        <v>7.54</v>
      </c>
      <c r="N1173" t="s">
        <v>3469</v>
      </c>
      <c r="O1173" t="s">
        <v>465</v>
      </c>
    </row>
    <row r="1174" spans="1:15" x14ac:dyDescent="0.3">
      <c r="A1174">
        <v>232088</v>
      </c>
      <c r="B1174">
        <v>116</v>
      </c>
      <c r="C1174" t="s">
        <v>568</v>
      </c>
      <c r="D1174" t="s">
        <v>2280</v>
      </c>
      <c r="E1174" t="s">
        <v>2601</v>
      </c>
      <c r="F1174" s="452">
        <v>46149</v>
      </c>
      <c r="G1174">
        <v>23198</v>
      </c>
      <c r="H1174" t="s">
        <v>4167</v>
      </c>
      <c r="I1174" t="s">
        <v>3469</v>
      </c>
      <c r="J1174">
        <v>1</v>
      </c>
      <c r="K1174" t="s">
        <v>3892</v>
      </c>
      <c r="L1174">
        <v>14.3</v>
      </c>
      <c r="M1174">
        <v>14.3</v>
      </c>
      <c r="N1174" t="s">
        <v>3469</v>
      </c>
      <c r="O1174" t="s">
        <v>465</v>
      </c>
    </row>
    <row r="1175" spans="1:15" x14ac:dyDescent="0.3">
      <c r="A1175">
        <v>232088</v>
      </c>
      <c r="B1175">
        <v>116</v>
      </c>
      <c r="C1175" t="s">
        <v>568</v>
      </c>
      <c r="D1175" t="s">
        <v>2280</v>
      </c>
      <c r="E1175" t="s">
        <v>2601</v>
      </c>
      <c r="F1175" s="452">
        <v>46149</v>
      </c>
      <c r="G1175">
        <v>23142</v>
      </c>
      <c r="H1175" t="s">
        <v>4151</v>
      </c>
      <c r="I1175" t="s">
        <v>3469</v>
      </c>
      <c r="J1175">
        <v>1</v>
      </c>
      <c r="K1175" t="s">
        <v>3892</v>
      </c>
      <c r="L1175">
        <v>20.8</v>
      </c>
      <c r="M1175">
        <v>20.8</v>
      </c>
      <c r="N1175" t="s">
        <v>3469</v>
      </c>
      <c r="O1175" t="s">
        <v>465</v>
      </c>
    </row>
    <row r="1176" spans="1:15" x14ac:dyDescent="0.3">
      <c r="A1176">
        <v>232088</v>
      </c>
      <c r="B1176">
        <v>116</v>
      </c>
      <c r="C1176" t="s">
        <v>568</v>
      </c>
      <c r="D1176" t="s">
        <v>2280</v>
      </c>
      <c r="E1176" t="s">
        <v>2601</v>
      </c>
      <c r="F1176" s="452">
        <v>46149</v>
      </c>
      <c r="G1176">
        <v>19672</v>
      </c>
      <c r="H1176" t="s">
        <v>4024</v>
      </c>
      <c r="I1176" t="s">
        <v>3469</v>
      </c>
      <c r="J1176">
        <v>2</v>
      </c>
      <c r="K1176" t="s">
        <v>3892</v>
      </c>
      <c r="L1176">
        <v>26</v>
      </c>
      <c r="M1176">
        <v>13</v>
      </c>
      <c r="N1176" t="s">
        <v>3469</v>
      </c>
      <c r="O1176" t="s">
        <v>465</v>
      </c>
    </row>
    <row r="1177" spans="1:15" x14ac:dyDescent="0.3">
      <c r="A1177">
        <v>232087</v>
      </c>
      <c r="B1177">
        <v>116</v>
      </c>
      <c r="C1177" t="s">
        <v>568</v>
      </c>
      <c r="D1177" t="s">
        <v>2312</v>
      </c>
      <c r="E1177" t="s">
        <v>2602</v>
      </c>
      <c r="F1177" s="452">
        <v>46146</v>
      </c>
      <c r="G1177">
        <v>17573</v>
      </c>
      <c r="H1177" t="s">
        <v>4306</v>
      </c>
      <c r="I1177" t="s">
        <v>4199</v>
      </c>
      <c r="J1177">
        <v>3</v>
      </c>
      <c r="K1177" t="s">
        <v>3881</v>
      </c>
      <c r="L1177">
        <v>224.7</v>
      </c>
      <c r="M1177">
        <v>74.900000000000006</v>
      </c>
      <c r="N1177" t="s">
        <v>2176</v>
      </c>
      <c r="O1177" t="s">
        <v>465</v>
      </c>
    </row>
    <row r="1178" spans="1:15" x14ac:dyDescent="0.3">
      <c r="A1178">
        <v>231446</v>
      </c>
      <c r="B1178">
        <v>116</v>
      </c>
      <c r="C1178" t="s">
        <v>568</v>
      </c>
      <c r="D1178" t="s">
        <v>2314</v>
      </c>
      <c r="E1178" t="s">
        <v>2603</v>
      </c>
      <c r="F1178" s="452">
        <v>46148</v>
      </c>
      <c r="G1178">
        <v>17895</v>
      </c>
      <c r="H1178" t="s">
        <v>4137</v>
      </c>
      <c r="I1178" t="s">
        <v>3497</v>
      </c>
      <c r="J1178">
        <v>6</v>
      </c>
      <c r="K1178" t="s">
        <v>3888</v>
      </c>
      <c r="L1178">
        <v>169.92</v>
      </c>
      <c r="M1178">
        <v>28.32</v>
      </c>
      <c r="N1178" t="s">
        <v>3497</v>
      </c>
      <c r="O1178" t="s">
        <v>465</v>
      </c>
    </row>
    <row r="1179" spans="1:15" x14ac:dyDescent="0.3">
      <c r="A1179">
        <v>231446</v>
      </c>
      <c r="B1179">
        <v>116</v>
      </c>
      <c r="C1179" t="s">
        <v>568</v>
      </c>
      <c r="D1179" t="s">
        <v>2314</v>
      </c>
      <c r="E1179" t="s">
        <v>2603</v>
      </c>
      <c r="F1179" s="452">
        <v>46148</v>
      </c>
      <c r="G1179">
        <v>17903</v>
      </c>
      <c r="H1179" t="s">
        <v>3971</v>
      </c>
      <c r="I1179" t="s">
        <v>3497</v>
      </c>
      <c r="J1179">
        <v>6</v>
      </c>
      <c r="K1179" t="s">
        <v>3888</v>
      </c>
      <c r="L1179">
        <v>153.18</v>
      </c>
      <c r="M1179">
        <v>25.53</v>
      </c>
      <c r="N1179" t="s">
        <v>3497</v>
      </c>
      <c r="O1179" t="s">
        <v>465</v>
      </c>
    </row>
    <row r="1180" spans="1:15" x14ac:dyDescent="0.3">
      <c r="A1180">
        <v>231446</v>
      </c>
      <c r="B1180">
        <v>116</v>
      </c>
      <c r="C1180" t="s">
        <v>568</v>
      </c>
      <c r="D1180" t="s">
        <v>2314</v>
      </c>
      <c r="E1180" t="s">
        <v>2603</v>
      </c>
      <c r="F1180" s="452">
        <v>46148</v>
      </c>
      <c r="G1180">
        <v>18636</v>
      </c>
      <c r="H1180" t="s">
        <v>3921</v>
      </c>
      <c r="I1180" t="s">
        <v>3497</v>
      </c>
      <c r="J1180">
        <v>8</v>
      </c>
      <c r="K1180" t="s">
        <v>3922</v>
      </c>
      <c r="L1180">
        <v>3862.4</v>
      </c>
      <c r="M1180">
        <v>482.8</v>
      </c>
      <c r="N1180" t="s">
        <v>3497</v>
      </c>
      <c r="O1180" t="s">
        <v>465</v>
      </c>
    </row>
    <row r="1181" spans="1:15" x14ac:dyDescent="0.3">
      <c r="A1181">
        <v>231446</v>
      </c>
      <c r="B1181">
        <v>116</v>
      </c>
      <c r="C1181" t="s">
        <v>568</v>
      </c>
      <c r="D1181" t="s">
        <v>2314</v>
      </c>
      <c r="E1181" t="s">
        <v>2603</v>
      </c>
      <c r="F1181" s="452">
        <v>46148</v>
      </c>
      <c r="G1181">
        <v>17905</v>
      </c>
      <c r="H1181" t="s">
        <v>4139</v>
      </c>
      <c r="I1181" t="s">
        <v>3497</v>
      </c>
      <c r="J1181">
        <v>6</v>
      </c>
      <c r="K1181" t="s">
        <v>3888</v>
      </c>
      <c r="L1181">
        <v>153.18</v>
      </c>
      <c r="M1181">
        <v>25.53</v>
      </c>
      <c r="N1181" t="s">
        <v>3497</v>
      </c>
      <c r="O1181" t="s">
        <v>465</v>
      </c>
    </row>
    <row r="1182" spans="1:15" x14ac:dyDescent="0.3">
      <c r="A1182">
        <v>231446</v>
      </c>
      <c r="B1182">
        <v>116</v>
      </c>
      <c r="C1182" t="s">
        <v>568</v>
      </c>
      <c r="D1182" t="s">
        <v>2314</v>
      </c>
      <c r="E1182" t="s">
        <v>2603</v>
      </c>
      <c r="F1182" s="452">
        <v>46148</v>
      </c>
      <c r="G1182">
        <v>17886</v>
      </c>
      <c r="H1182" t="s">
        <v>3935</v>
      </c>
      <c r="I1182" t="s">
        <v>3497</v>
      </c>
      <c r="J1182">
        <v>10</v>
      </c>
      <c r="K1182" t="s">
        <v>3888</v>
      </c>
      <c r="L1182">
        <v>283.2</v>
      </c>
      <c r="M1182">
        <v>28.32</v>
      </c>
      <c r="N1182" t="s">
        <v>3497</v>
      </c>
      <c r="O1182" t="s">
        <v>465</v>
      </c>
    </row>
    <row r="1183" spans="1:15" x14ac:dyDescent="0.3">
      <c r="A1183">
        <v>231446</v>
      </c>
      <c r="B1183">
        <v>116</v>
      </c>
      <c r="C1183" t="s">
        <v>568</v>
      </c>
      <c r="D1183" t="s">
        <v>2314</v>
      </c>
      <c r="E1183" t="s">
        <v>2603</v>
      </c>
      <c r="F1183" s="452">
        <v>46148</v>
      </c>
      <c r="G1183">
        <v>18004</v>
      </c>
      <c r="H1183" t="s">
        <v>4140</v>
      </c>
      <c r="I1183" t="s">
        <v>3497</v>
      </c>
      <c r="J1183">
        <v>2</v>
      </c>
      <c r="K1183" t="s">
        <v>3888</v>
      </c>
      <c r="L1183">
        <v>59.28</v>
      </c>
      <c r="M1183">
        <v>29.64</v>
      </c>
      <c r="N1183" t="s">
        <v>3497</v>
      </c>
      <c r="O1183" t="s">
        <v>465</v>
      </c>
    </row>
    <row r="1184" spans="1:15" x14ac:dyDescent="0.3">
      <c r="A1184">
        <v>231443</v>
      </c>
      <c r="B1184">
        <v>116</v>
      </c>
      <c r="C1184" t="s">
        <v>568</v>
      </c>
      <c r="D1184" t="s">
        <v>2359</v>
      </c>
      <c r="E1184" t="s">
        <v>2604</v>
      </c>
      <c r="F1184" s="452">
        <v>46147</v>
      </c>
      <c r="G1184">
        <v>18172</v>
      </c>
      <c r="H1184" t="s">
        <v>3923</v>
      </c>
      <c r="I1184" t="s">
        <v>3497</v>
      </c>
      <c r="J1184">
        <v>6</v>
      </c>
      <c r="K1184" t="s">
        <v>3878</v>
      </c>
      <c r="L1184">
        <v>162.66</v>
      </c>
      <c r="M1184">
        <v>27.11</v>
      </c>
      <c r="N1184" t="s">
        <v>3497</v>
      </c>
      <c r="O1184" t="s">
        <v>465</v>
      </c>
    </row>
    <row r="1185" spans="1:15" x14ac:dyDescent="0.3">
      <c r="A1185">
        <v>231439</v>
      </c>
      <c r="B1185">
        <v>116</v>
      </c>
      <c r="C1185" t="s">
        <v>568</v>
      </c>
      <c r="D1185" t="s">
        <v>2357</v>
      </c>
      <c r="E1185" t="s">
        <v>2605</v>
      </c>
      <c r="F1185" s="452">
        <v>46146</v>
      </c>
      <c r="G1185">
        <v>20278</v>
      </c>
      <c r="H1185" t="s">
        <v>3939</v>
      </c>
      <c r="I1185" t="s">
        <v>3469</v>
      </c>
      <c r="J1185">
        <v>12</v>
      </c>
      <c r="K1185" t="s">
        <v>3872</v>
      </c>
      <c r="L1185">
        <v>313.8</v>
      </c>
      <c r="M1185">
        <v>26.15</v>
      </c>
      <c r="N1185" t="s">
        <v>3469</v>
      </c>
      <c r="O1185" t="s">
        <v>465</v>
      </c>
    </row>
    <row r="1186" spans="1:15" x14ac:dyDescent="0.3">
      <c r="A1186">
        <v>231438</v>
      </c>
      <c r="B1186">
        <v>116</v>
      </c>
      <c r="C1186" t="s">
        <v>568</v>
      </c>
      <c r="D1186" t="s">
        <v>2320</v>
      </c>
      <c r="E1186" t="s">
        <v>2606</v>
      </c>
      <c r="F1186" s="452">
        <v>46150</v>
      </c>
      <c r="G1186">
        <v>22857</v>
      </c>
      <c r="H1186" t="s">
        <v>4130</v>
      </c>
      <c r="I1186" t="s">
        <v>3469</v>
      </c>
      <c r="J1186">
        <v>17.260000000000002</v>
      </c>
      <c r="K1186" t="s">
        <v>3892</v>
      </c>
      <c r="L1186">
        <v>1120.17</v>
      </c>
      <c r="M1186">
        <v>64.899767999999995</v>
      </c>
      <c r="N1186" t="s">
        <v>3469</v>
      </c>
      <c r="O1186" t="s">
        <v>465</v>
      </c>
    </row>
    <row r="1187" spans="1:15" x14ac:dyDescent="0.3">
      <c r="A1187">
        <v>231436</v>
      </c>
      <c r="B1187">
        <v>116</v>
      </c>
      <c r="C1187" t="s">
        <v>568</v>
      </c>
      <c r="D1187" t="s">
        <v>2367</v>
      </c>
      <c r="E1187" t="s">
        <v>2607</v>
      </c>
      <c r="F1187" s="452">
        <v>46147</v>
      </c>
      <c r="G1187">
        <v>19346</v>
      </c>
      <c r="H1187" t="s">
        <v>3948</v>
      </c>
      <c r="I1187" t="s">
        <v>3469</v>
      </c>
      <c r="J1187">
        <v>6.09</v>
      </c>
      <c r="K1187" t="s">
        <v>3892</v>
      </c>
      <c r="L1187">
        <v>355.05</v>
      </c>
      <c r="M1187">
        <v>58.300493000000003</v>
      </c>
      <c r="N1187" t="s">
        <v>3469</v>
      </c>
      <c r="O1187" t="s">
        <v>465</v>
      </c>
    </row>
    <row r="1188" spans="1:15" x14ac:dyDescent="0.3">
      <c r="A1188">
        <v>231433</v>
      </c>
      <c r="B1188">
        <v>116</v>
      </c>
      <c r="C1188" t="s">
        <v>568</v>
      </c>
      <c r="D1188" t="s">
        <v>2282</v>
      </c>
      <c r="E1188" t="s">
        <v>2608</v>
      </c>
      <c r="F1188" s="452">
        <v>46147</v>
      </c>
      <c r="G1188">
        <v>25518</v>
      </c>
      <c r="H1188" t="s">
        <v>4238</v>
      </c>
      <c r="I1188" t="s">
        <v>4215</v>
      </c>
      <c r="J1188">
        <v>1</v>
      </c>
      <c r="K1188" t="s">
        <v>3872</v>
      </c>
      <c r="L1188">
        <v>110.4</v>
      </c>
      <c r="M1188">
        <v>110.4</v>
      </c>
      <c r="N1188" t="s">
        <v>4239</v>
      </c>
      <c r="O1188" t="s">
        <v>465</v>
      </c>
    </row>
    <row r="1189" spans="1:15" x14ac:dyDescent="0.3">
      <c r="A1189">
        <v>231433</v>
      </c>
      <c r="B1189">
        <v>116</v>
      </c>
      <c r="C1189" t="s">
        <v>568</v>
      </c>
      <c r="D1189" t="s">
        <v>2282</v>
      </c>
      <c r="E1189" t="s">
        <v>2608</v>
      </c>
      <c r="F1189" s="452">
        <v>46147</v>
      </c>
      <c r="G1189">
        <v>24497</v>
      </c>
      <c r="H1189" t="s">
        <v>4214</v>
      </c>
      <c r="I1189" t="s">
        <v>4215</v>
      </c>
      <c r="J1189">
        <v>2</v>
      </c>
      <c r="K1189" t="s">
        <v>3872</v>
      </c>
      <c r="L1189">
        <v>269.10000000000002</v>
      </c>
      <c r="M1189">
        <v>134.55000000000001</v>
      </c>
      <c r="N1189" t="s">
        <v>4239</v>
      </c>
      <c r="O1189" t="s">
        <v>465</v>
      </c>
    </row>
    <row r="1190" spans="1:15" x14ac:dyDescent="0.3">
      <c r="A1190">
        <v>231427</v>
      </c>
      <c r="B1190">
        <v>116</v>
      </c>
      <c r="C1190" t="s">
        <v>568</v>
      </c>
      <c r="D1190" t="s">
        <v>2265</v>
      </c>
      <c r="E1190" t="s">
        <v>2609</v>
      </c>
      <c r="F1190" s="452">
        <v>46148</v>
      </c>
      <c r="G1190">
        <v>17129</v>
      </c>
      <c r="H1190" t="s">
        <v>4200</v>
      </c>
      <c r="I1190" t="s">
        <v>4199</v>
      </c>
      <c r="J1190">
        <v>1</v>
      </c>
      <c r="K1190" t="s">
        <v>3888</v>
      </c>
      <c r="L1190">
        <v>26.61</v>
      </c>
      <c r="M1190">
        <v>26.61</v>
      </c>
      <c r="N1190" t="s">
        <v>2176</v>
      </c>
      <c r="O1190" t="s">
        <v>465</v>
      </c>
    </row>
    <row r="1191" spans="1:15" x14ac:dyDescent="0.3">
      <c r="A1191">
        <v>231427</v>
      </c>
      <c r="B1191">
        <v>116</v>
      </c>
      <c r="C1191" t="s">
        <v>568</v>
      </c>
      <c r="D1191" t="s">
        <v>2265</v>
      </c>
      <c r="E1191" t="s">
        <v>2609</v>
      </c>
      <c r="F1191" s="452">
        <v>46148</v>
      </c>
      <c r="G1191">
        <v>17474</v>
      </c>
      <c r="H1191" t="s">
        <v>4273</v>
      </c>
      <c r="I1191" t="s">
        <v>4199</v>
      </c>
      <c r="J1191">
        <v>1</v>
      </c>
      <c r="K1191" t="s">
        <v>3881</v>
      </c>
      <c r="L1191">
        <v>75</v>
      </c>
      <c r="M1191">
        <v>75</v>
      </c>
      <c r="N1191" t="s">
        <v>2176</v>
      </c>
      <c r="O1191" t="s">
        <v>465</v>
      </c>
    </row>
    <row r="1192" spans="1:15" x14ac:dyDescent="0.3">
      <c r="A1192">
        <v>231427</v>
      </c>
      <c r="B1192">
        <v>116</v>
      </c>
      <c r="C1192" t="s">
        <v>568</v>
      </c>
      <c r="D1192" t="s">
        <v>2265</v>
      </c>
      <c r="E1192" t="s">
        <v>2609</v>
      </c>
      <c r="F1192" s="452">
        <v>46148</v>
      </c>
      <c r="G1192">
        <v>17455</v>
      </c>
      <c r="H1192" t="s">
        <v>4231</v>
      </c>
      <c r="I1192" t="s">
        <v>4199</v>
      </c>
      <c r="J1192">
        <v>2</v>
      </c>
      <c r="K1192" t="s">
        <v>3872</v>
      </c>
      <c r="L1192">
        <v>70.540000000000006</v>
      </c>
      <c r="M1192">
        <v>35.270000000000003</v>
      </c>
      <c r="N1192" t="s">
        <v>2176</v>
      </c>
      <c r="O1192" t="s">
        <v>465</v>
      </c>
    </row>
    <row r="1193" spans="1:15" x14ac:dyDescent="0.3">
      <c r="A1193">
        <v>231427</v>
      </c>
      <c r="B1193">
        <v>116</v>
      </c>
      <c r="C1193" t="s">
        <v>568</v>
      </c>
      <c r="D1193" t="s">
        <v>2265</v>
      </c>
      <c r="E1193" t="s">
        <v>2609</v>
      </c>
      <c r="F1193" s="452">
        <v>46148</v>
      </c>
      <c r="G1193">
        <v>17304</v>
      </c>
      <c r="H1193" t="s">
        <v>4206</v>
      </c>
      <c r="I1193" t="s">
        <v>4199</v>
      </c>
      <c r="J1193">
        <v>1</v>
      </c>
      <c r="K1193" t="s">
        <v>3978</v>
      </c>
      <c r="L1193">
        <v>6.59</v>
      </c>
      <c r="M1193">
        <v>6.59</v>
      </c>
      <c r="N1193" t="s">
        <v>2176</v>
      </c>
      <c r="O1193" t="s">
        <v>465</v>
      </c>
    </row>
    <row r="1194" spans="1:15" x14ac:dyDescent="0.3">
      <c r="A1194">
        <v>231427</v>
      </c>
      <c r="B1194">
        <v>116</v>
      </c>
      <c r="C1194" t="s">
        <v>568</v>
      </c>
      <c r="D1194" t="s">
        <v>2265</v>
      </c>
      <c r="E1194" t="s">
        <v>2609</v>
      </c>
      <c r="F1194" s="452">
        <v>46148</v>
      </c>
      <c r="G1194">
        <v>17437</v>
      </c>
      <c r="H1194" t="s">
        <v>4198</v>
      </c>
      <c r="I1194" t="s">
        <v>4199</v>
      </c>
      <c r="J1194">
        <v>10</v>
      </c>
      <c r="K1194" t="s">
        <v>3872</v>
      </c>
      <c r="L1194">
        <v>23</v>
      </c>
      <c r="M1194">
        <v>2.2999999999999998</v>
      </c>
      <c r="N1194" t="s">
        <v>2176</v>
      </c>
      <c r="O1194" t="s">
        <v>465</v>
      </c>
    </row>
    <row r="1195" spans="1:15" x14ac:dyDescent="0.3">
      <c r="A1195">
        <v>231427</v>
      </c>
      <c r="B1195">
        <v>116</v>
      </c>
      <c r="C1195" t="s">
        <v>568</v>
      </c>
      <c r="D1195" t="s">
        <v>2265</v>
      </c>
      <c r="E1195" t="s">
        <v>2609</v>
      </c>
      <c r="F1195" s="452">
        <v>46148</v>
      </c>
      <c r="G1195">
        <v>17314</v>
      </c>
      <c r="H1195" t="s">
        <v>4204</v>
      </c>
      <c r="I1195" t="s">
        <v>4199</v>
      </c>
      <c r="J1195">
        <v>2</v>
      </c>
      <c r="K1195" t="s">
        <v>3978</v>
      </c>
      <c r="L1195">
        <v>11.78</v>
      </c>
      <c r="M1195">
        <v>5.89</v>
      </c>
      <c r="N1195" t="s">
        <v>2176</v>
      </c>
      <c r="O1195" t="s">
        <v>465</v>
      </c>
    </row>
    <row r="1196" spans="1:15" x14ac:dyDescent="0.3">
      <c r="A1196">
        <v>231427</v>
      </c>
      <c r="B1196">
        <v>116</v>
      </c>
      <c r="C1196" t="s">
        <v>568</v>
      </c>
      <c r="D1196" t="s">
        <v>2265</v>
      </c>
      <c r="E1196" t="s">
        <v>2609</v>
      </c>
      <c r="F1196" s="452">
        <v>46148</v>
      </c>
      <c r="G1196">
        <v>17498</v>
      </c>
      <c r="H1196" t="s">
        <v>4243</v>
      </c>
      <c r="I1196" t="s">
        <v>4199</v>
      </c>
      <c r="J1196">
        <v>2</v>
      </c>
      <c r="K1196" t="s">
        <v>3881</v>
      </c>
      <c r="L1196">
        <v>54</v>
      </c>
      <c r="M1196">
        <v>27</v>
      </c>
      <c r="N1196" t="s">
        <v>2176</v>
      </c>
      <c r="O1196" t="s">
        <v>465</v>
      </c>
    </row>
    <row r="1197" spans="1:15" x14ac:dyDescent="0.3">
      <c r="A1197">
        <v>231427</v>
      </c>
      <c r="B1197">
        <v>116</v>
      </c>
      <c r="C1197" t="s">
        <v>568</v>
      </c>
      <c r="D1197" t="s">
        <v>2265</v>
      </c>
      <c r="E1197" t="s">
        <v>2609</v>
      </c>
      <c r="F1197" s="452">
        <v>46148</v>
      </c>
      <c r="G1197">
        <v>17416</v>
      </c>
      <c r="H1197" t="s">
        <v>4205</v>
      </c>
      <c r="I1197" t="s">
        <v>4199</v>
      </c>
      <c r="J1197">
        <v>4</v>
      </c>
      <c r="K1197" t="s">
        <v>3881</v>
      </c>
      <c r="L1197">
        <v>194.32</v>
      </c>
      <c r="M1197">
        <v>48.58</v>
      </c>
      <c r="N1197" t="s">
        <v>2176</v>
      </c>
      <c r="O1197" t="s">
        <v>465</v>
      </c>
    </row>
    <row r="1198" spans="1:15" x14ac:dyDescent="0.3">
      <c r="A1198">
        <v>231427</v>
      </c>
      <c r="B1198">
        <v>116</v>
      </c>
      <c r="C1198" t="s">
        <v>568</v>
      </c>
      <c r="D1198" t="s">
        <v>2265</v>
      </c>
      <c r="E1198" t="s">
        <v>2609</v>
      </c>
      <c r="F1198" s="452">
        <v>46148</v>
      </c>
      <c r="G1198">
        <v>17017</v>
      </c>
      <c r="H1198" t="s">
        <v>4230</v>
      </c>
      <c r="I1198" t="s">
        <v>4199</v>
      </c>
      <c r="J1198">
        <v>2</v>
      </c>
      <c r="K1198" t="s">
        <v>3888</v>
      </c>
      <c r="L1198">
        <v>6</v>
      </c>
      <c r="M1198">
        <v>3</v>
      </c>
      <c r="N1198" t="s">
        <v>2176</v>
      </c>
      <c r="O1198" t="s">
        <v>465</v>
      </c>
    </row>
    <row r="1199" spans="1:15" x14ac:dyDescent="0.3">
      <c r="A1199">
        <v>231427</v>
      </c>
      <c r="B1199">
        <v>116</v>
      </c>
      <c r="C1199" t="s">
        <v>568</v>
      </c>
      <c r="D1199" t="s">
        <v>2265</v>
      </c>
      <c r="E1199" t="s">
        <v>2609</v>
      </c>
      <c r="F1199" s="452">
        <v>46148</v>
      </c>
      <c r="G1199">
        <v>17418</v>
      </c>
      <c r="H1199" t="s">
        <v>4280</v>
      </c>
      <c r="I1199" t="s">
        <v>4199</v>
      </c>
      <c r="J1199">
        <v>1</v>
      </c>
      <c r="K1199" t="s">
        <v>3881</v>
      </c>
      <c r="L1199">
        <v>58.9</v>
      </c>
      <c r="M1199">
        <v>58.9</v>
      </c>
      <c r="N1199" t="s">
        <v>2176</v>
      </c>
      <c r="O1199" t="s">
        <v>465</v>
      </c>
    </row>
    <row r="1200" spans="1:15" x14ac:dyDescent="0.3">
      <c r="A1200">
        <v>231427</v>
      </c>
      <c r="B1200">
        <v>116</v>
      </c>
      <c r="C1200" t="s">
        <v>568</v>
      </c>
      <c r="D1200" t="s">
        <v>2265</v>
      </c>
      <c r="E1200" t="s">
        <v>2609</v>
      </c>
      <c r="F1200" s="452">
        <v>46148</v>
      </c>
      <c r="G1200">
        <v>21783</v>
      </c>
      <c r="H1200" t="s">
        <v>4228</v>
      </c>
      <c r="I1200" t="s">
        <v>4202</v>
      </c>
      <c r="J1200">
        <v>2</v>
      </c>
      <c r="K1200" t="s">
        <v>3872</v>
      </c>
      <c r="L1200">
        <v>32</v>
      </c>
      <c r="M1200">
        <v>16</v>
      </c>
      <c r="N1200" t="s">
        <v>2176</v>
      </c>
      <c r="O1200" t="s">
        <v>465</v>
      </c>
    </row>
    <row r="1201" spans="1:15" x14ac:dyDescent="0.3">
      <c r="A1201">
        <v>231427</v>
      </c>
      <c r="B1201">
        <v>116</v>
      </c>
      <c r="C1201" t="s">
        <v>568</v>
      </c>
      <c r="D1201" t="s">
        <v>2265</v>
      </c>
      <c r="E1201" t="s">
        <v>2609</v>
      </c>
      <c r="F1201" s="452">
        <v>46148</v>
      </c>
      <c r="G1201">
        <v>17215</v>
      </c>
      <c r="H1201" t="s">
        <v>4283</v>
      </c>
      <c r="I1201" t="s">
        <v>4199</v>
      </c>
      <c r="J1201">
        <v>5</v>
      </c>
      <c r="K1201" t="s">
        <v>3978</v>
      </c>
      <c r="L1201">
        <v>99.95</v>
      </c>
      <c r="M1201">
        <v>19.989999999999998</v>
      </c>
      <c r="N1201" t="s">
        <v>2176</v>
      </c>
      <c r="O1201" t="s">
        <v>465</v>
      </c>
    </row>
    <row r="1202" spans="1:15" x14ac:dyDescent="0.3">
      <c r="A1202">
        <v>231427</v>
      </c>
      <c r="B1202">
        <v>116</v>
      </c>
      <c r="C1202" t="s">
        <v>568</v>
      </c>
      <c r="D1202" t="s">
        <v>2265</v>
      </c>
      <c r="E1202" t="s">
        <v>2609</v>
      </c>
      <c r="F1202" s="452">
        <v>46148</v>
      </c>
      <c r="G1202">
        <v>17162</v>
      </c>
      <c r="H1202" t="s">
        <v>4209</v>
      </c>
      <c r="I1202" t="s">
        <v>4199</v>
      </c>
      <c r="J1202">
        <v>1</v>
      </c>
      <c r="K1202" t="s">
        <v>3872</v>
      </c>
      <c r="L1202">
        <v>54</v>
      </c>
      <c r="M1202">
        <v>54</v>
      </c>
      <c r="N1202" t="s">
        <v>2176</v>
      </c>
      <c r="O1202" t="s">
        <v>465</v>
      </c>
    </row>
    <row r="1203" spans="1:15" x14ac:dyDescent="0.3">
      <c r="A1203">
        <v>231427</v>
      </c>
      <c r="B1203">
        <v>116</v>
      </c>
      <c r="C1203" t="s">
        <v>568</v>
      </c>
      <c r="D1203" t="s">
        <v>2265</v>
      </c>
      <c r="E1203" t="s">
        <v>2609</v>
      </c>
      <c r="F1203" s="452">
        <v>46148</v>
      </c>
      <c r="G1203">
        <v>17266</v>
      </c>
      <c r="H1203" t="s">
        <v>4229</v>
      </c>
      <c r="I1203" t="s">
        <v>4199</v>
      </c>
      <c r="J1203">
        <v>12</v>
      </c>
      <c r="K1203" t="s">
        <v>3872</v>
      </c>
      <c r="L1203">
        <v>58.68</v>
      </c>
      <c r="M1203">
        <v>4.8899999999999997</v>
      </c>
      <c r="N1203" t="s">
        <v>2176</v>
      </c>
      <c r="O1203" t="s">
        <v>465</v>
      </c>
    </row>
    <row r="1204" spans="1:15" x14ac:dyDescent="0.3">
      <c r="A1204">
        <v>231427</v>
      </c>
      <c r="B1204">
        <v>116</v>
      </c>
      <c r="C1204" t="s">
        <v>568</v>
      </c>
      <c r="D1204" t="s">
        <v>2265</v>
      </c>
      <c r="E1204" t="s">
        <v>2609</v>
      </c>
      <c r="F1204" s="452">
        <v>46148</v>
      </c>
      <c r="G1204">
        <v>17444</v>
      </c>
      <c r="H1204" t="s">
        <v>4211</v>
      </c>
      <c r="I1204" t="s">
        <v>4199</v>
      </c>
      <c r="J1204">
        <v>1</v>
      </c>
      <c r="K1204" t="s">
        <v>3888</v>
      </c>
      <c r="L1204">
        <v>12.59</v>
      </c>
      <c r="M1204">
        <v>12.59</v>
      </c>
      <c r="N1204" t="s">
        <v>2176</v>
      </c>
      <c r="O1204" t="s">
        <v>465</v>
      </c>
    </row>
    <row r="1205" spans="1:15" x14ac:dyDescent="0.3">
      <c r="A1205">
        <v>231425</v>
      </c>
      <c r="B1205">
        <v>116</v>
      </c>
      <c r="C1205" t="s">
        <v>568</v>
      </c>
      <c r="D1205" t="s">
        <v>2286</v>
      </c>
      <c r="E1205" t="s">
        <v>2610</v>
      </c>
      <c r="F1205" s="452">
        <v>46149</v>
      </c>
      <c r="G1205">
        <v>23113</v>
      </c>
      <c r="H1205" t="s">
        <v>4079</v>
      </c>
      <c r="I1205" t="s">
        <v>3469</v>
      </c>
      <c r="J1205">
        <v>1.5</v>
      </c>
      <c r="K1205" t="s">
        <v>3892</v>
      </c>
      <c r="L1205">
        <v>21</v>
      </c>
      <c r="M1205">
        <v>14</v>
      </c>
      <c r="N1205" t="s">
        <v>3469</v>
      </c>
      <c r="O1205" t="s">
        <v>465</v>
      </c>
    </row>
    <row r="1206" spans="1:15" x14ac:dyDescent="0.3">
      <c r="A1206">
        <v>231425</v>
      </c>
      <c r="B1206">
        <v>116</v>
      </c>
      <c r="C1206" t="s">
        <v>568</v>
      </c>
      <c r="D1206" t="s">
        <v>2286</v>
      </c>
      <c r="E1206" t="s">
        <v>2610</v>
      </c>
      <c r="F1206" s="452">
        <v>46149</v>
      </c>
      <c r="G1206">
        <v>19505</v>
      </c>
      <c r="H1206" t="s">
        <v>4101</v>
      </c>
      <c r="I1206" t="s">
        <v>3469</v>
      </c>
      <c r="J1206">
        <v>1.5</v>
      </c>
      <c r="K1206" t="s">
        <v>3892</v>
      </c>
      <c r="L1206">
        <v>14.25</v>
      </c>
      <c r="M1206">
        <v>9.5</v>
      </c>
      <c r="N1206" t="s">
        <v>3469</v>
      </c>
      <c r="O1206" t="s">
        <v>465</v>
      </c>
    </row>
    <row r="1207" spans="1:15" x14ac:dyDescent="0.3">
      <c r="A1207">
        <v>231425</v>
      </c>
      <c r="B1207">
        <v>116</v>
      </c>
      <c r="C1207" t="s">
        <v>568</v>
      </c>
      <c r="D1207" t="s">
        <v>2286</v>
      </c>
      <c r="E1207" t="s">
        <v>2610</v>
      </c>
      <c r="F1207" s="452">
        <v>46149</v>
      </c>
      <c r="G1207">
        <v>19480</v>
      </c>
      <c r="H1207" t="s">
        <v>4113</v>
      </c>
      <c r="I1207" t="s">
        <v>3469</v>
      </c>
      <c r="J1207">
        <v>0.2</v>
      </c>
      <c r="K1207" t="s">
        <v>3892</v>
      </c>
      <c r="L1207">
        <v>3.3</v>
      </c>
      <c r="M1207">
        <v>16.5</v>
      </c>
      <c r="N1207" t="s">
        <v>3469</v>
      </c>
      <c r="O1207" t="s">
        <v>465</v>
      </c>
    </row>
    <row r="1208" spans="1:15" x14ac:dyDescent="0.3">
      <c r="A1208">
        <v>231425</v>
      </c>
      <c r="B1208">
        <v>116</v>
      </c>
      <c r="C1208" t="s">
        <v>568</v>
      </c>
      <c r="D1208" t="s">
        <v>2286</v>
      </c>
      <c r="E1208" t="s">
        <v>2610</v>
      </c>
      <c r="F1208" s="452">
        <v>46149</v>
      </c>
      <c r="G1208">
        <v>19555</v>
      </c>
      <c r="H1208" t="s">
        <v>4109</v>
      </c>
      <c r="I1208" t="s">
        <v>3469</v>
      </c>
      <c r="J1208">
        <v>0.6</v>
      </c>
      <c r="K1208" t="s">
        <v>3892</v>
      </c>
      <c r="L1208">
        <v>9</v>
      </c>
      <c r="M1208">
        <v>15</v>
      </c>
      <c r="N1208" t="s">
        <v>3469</v>
      </c>
      <c r="O1208" t="s">
        <v>465</v>
      </c>
    </row>
    <row r="1209" spans="1:15" x14ac:dyDescent="0.3">
      <c r="A1209">
        <v>231425</v>
      </c>
      <c r="B1209">
        <v>116</v>
      </c>
      <c r="C1209" t="s">
        <v>568</v>
      </c>
      <c r="D1209" t="s">
        <v>2286</v>
      </c>
      <c r="E1209" t="s">
        <v>2610</v>
      </c>
      <c r="F1209" s="452">
        <v>46149</v>
      </c>
      <c r="G1209">
        <v>19647</v>
      </c>
      <c r="H1209" t="s">
        <v>4066</v>
      </c>
      <c r="I1209" t="s">
        <v>3469</v>
      </c>
      <c r="J1209">
        <v>1</v>
      </c>
      <c r="K1209" t="s">
        <v>3892</v>
      </c>
      <c r="L1209">
        <v>15</v>
      </c>
      <c r="M1209">
        <v>15</v>
      </c>
      <c r="N1209" t="s">
        <v>3469</v>
      </c>
      <c r="O1209" t="s">
        <v>465</v>
      </c>
    </row>
    <row r="1210" spans="1:15" x14ac:dyDescent="0.3">
      <c r="A1210">
        <v>231425</v>
      </c>
      <c r="B1210">
        <v>116</v>
      </c>
      <c r="C1210" t="s">
        <v>568</v>
      </c>
      <c r="D1210" t="s">
        <v>2286</v>
      </c>
      <c r="E1210" t="s">
        <v>2610</v>
      </c>
      <c r="F1210" s="452">
        <v>46149</v>
      </c>
      <c r="G1210">
        <v>19498</v>
      </c>
      <c r="H1210" t="s">
        <v>4065</v>
      </c>
      <c r="I1210" t="s">
        <v>3469</v>
      </c>
      <c r="J1210">
        <v>1</v>
      </c>
      <c r="K1210" t="s">
        <v>3892</v>
      </c>
      <c r="L1210">
        <v>12.5</v>
      </c>
      <c r="M1210">
        <v>12.5</v>
      </c>
      <c r="N1210" t="s">
        <v>3469</v>
      </c>
      <c r="O1210" t="s">
        <v>465</v>
      </c>
    </row>
    <row r="1211" spans="1:15" x14ac:dyDescent="0.3">
      <c r="A1211">
        <v>231425</v>
      </c>
      <c r="B1211">
        <v>116</v>
      </c>
      <c r="C1211" t="s">
        <v>568</v>
      </c>
      <c r="D1211" t="s">
        <v>2286</v>
      </c>
      <c r="E1211" t="s">
        <v>2610</v>
      </c>
      <c r="F1211" s="452">
        <v>46149</v>
      </c>
      <c r="G1211">
        <v>23096</v>
      </c>
      <c r="H1211" t="s">
        <v>3876</v>
      </c>
      <c r="I1211" t="s">
        <v>3469</v>
      </c>
      <c r="J1211">
        <v>60</v>
      </c>
      <c r="K1211" t="s">
        <v>3872</v>
      </c>
      <c r="L1211">
        <v>39</v>
      </c>
      <c r="M1211">
        <v>0.65</v>
      </c>
      <c r="N1211" t="s">
        <v>3469</v>
      </c>
      <c r="O1211" t="s">
        <v>465</v>
      </c>
    </row>
    <row r="1212" spans="1:15" x14ac:dyDescent="0.3">
      <c r="A1212">
        <v>231425</v>
      </c>
      <c r="B1212">
        <v>116</v>
      </c>
      <c r="C1212" t="s">
        <v>568</v>
      </c>
      <c r="D1212" t="s">
        <v>2286</v>
      </c>
      <c r="E1212" t="s">
        <v>2610</v>
      </c>
      <c r="F1212" s="452">
        <v>46149</v>
      </c>
      <c r="G1212">
        <v>23236</v>
      </c>
      <c r="H1212" t="s">
        <v>4017</v>
      </c>
      <c r="I1212" t="s">
        <v>3469</v>
      </c>
      <c r="J1212">
        <v>4</v>
      </c>
      <c r="K1212" t="s">
        <v>3892</v>
      </c>
      <c r="L1212">
        <v>30</v>
      </c>
      <c r="M1212">
        <v>7.5</v>
      </c>
      <c r="N1212" t="s">
        <v>3469</v>
      </c>
      <c r="O1212" t="s">
        <v>465</v>
      </c>
    </row>
    <row r="1213" spans="1:15" x14ac:dyDescent="0.3">
      <c r="A1213">
        <v>231425</v>
      </c>
      <c r="B1213">
        <v>116</v>
      </c>
      <c r="C1213" t="s">
        <v>568</v>
      </c>
      <c r="D1213" t="s">
        <v>2286</v>
      </c>
      <c r="E1213" t="s">
        <v>2610</v>
      </c>
      <c r="F1213" s="452">
        <v>46149</v>
      </c>
      <c r="G1213">
        <v>23359</v>
      </c>
      <c r="H1213" t="s">
        <v>3932</v>
      </c>
      <c r="I1213" t="s">
        <v>3469</v>
      </c>
      <c r="J1213">
        <v>10</v>
      </c>
      <c r="K1213" t="s">
        <v>3892</v>
      </c>
      <c r="L1213">
        <v>21</v>
      </c>
      <c r="M1213">
        <v>2.1</v>
      </c>
      <c r="N1213" t="s">
        <v>3469</v>
      </c>
      <c r="O1213" t="s">
        <v>465</v>
      </c>
    </row>
    <row r="1214" spans="1:15" x14ac:dyDescent="0.3">
      <c r="A1214">
        <v>231425</v>
      </c>
      <c r="B1214">
        <v>116</v>
      </c>
      <c r="C1214" t="s">
        <v>568</v>
      </c>
      <c r="D1214" t="s">
        <v>2286</v>
      </c>
      <c r="E1214" t="s">
        <v>2610</v>
      </c>
      <c r="F1214" s="452">
        <v>46149</v>
      </c>
      <c r="G1214">
        <v>19506</v>
      </c>
      <c r="H1214" t="s">
        <v>4112</v>
      </c>
      <c r="I1214" t="s">
        <v>3469</v>
      </c>
      <c r="J1214">
        <v>0.3</v>
      </c>
      <c r="K1214" t="s">
        <v>3892</v>
      </c>
      <c r="L1214">
        <v>15</v>
      </c>
      <c r="M1214">
        <v>50</v>
      </c>
      <c r="N1214" t="s">
        <v>3469</v>
      </c>
      <c r="O1214" t="s">
        <v>465</v>
      </c>
    </row>
    <row r="1215" spans="1:15" x14ac:dyDescent="0.3">
      <c r="A1215">
        <v>231425</v>
      </c>
      <c r="B1215">
        <v>116</v>
      </c>
      <c r="C1215" t="s">
        <v>568</v>
      </c>
      <c r="D1215" t="s">
        <v>2286</v>
      </c>
      <c r="E1215" t="s">
        <v>2610</v>
      </c>
      <c r="F1215" s="452">
        <v>46149</v>
      </c>
      <c r="G1215">
        <v>24509</v>
      </c>
      <c r="H1215" t="s">
        <v>3906</v>
      </c>
      <c r="I1215" t="s">
        <v>3469</v>
      </c>
      <c r="J1215">
        <v>10</v>
      </c>
      <c r="K1215" t="s">
        <v>3892</v>
      </c>
      <c r="L1215">
        <v>48</v>
      </c>
      <c r="M1215">
        <v>4.8</v>
      </c>
      <c r="N1215" t="s">
        <v>3469</v>
      </c>
      <c r="O1215" t="s">
        <v>465</v>
      </c>
    </row>
    <row r="1216" spans="1:15" x14ac:dyDescent="0.3">
      <c r="A1216">
        <v>231425</v>
      </c>
      <c r="B1216">
        <v>116</v>
      </c>
      <c r="C1216" t="s">
        <v>568</v>
      </c>
      <c r="D1216" t="s">
        <v>2286</v>
      </c>
      <c r="E1216" t="s">
        <v>2610</v>
      </c>
      <c r="F1216" s="452">
        <v>46149</v>
      </c>
      <c r="G1216">
        <v>24598</v>
      </c>
      <c r="H1216" t="s">
        <v>4166</v>
      </c>
      <c r="I1216" t="s">
        <v>3469</v>
      </c>
      <c r="J1216">
        <v>1</v>
      </c>
      <c r="K1216" t="s">
        <v>3892</v>
      </c>
      <c r="L1216">
        <v>15</v>
      </c>
      <c r="M1216">
        <v>15</v>
      </c>
      <c r="N1216" t="s">
        <v>3469</v>
      </c>
      <c r="O1216" t="s">
        <v>465</v>
      </c>
    </row>
    <row r="1217" spans="1:15" x14ac:dyDescent="0.3">
      <c r="A1217">
        <v>231425</v>
      </c>
      <c r="B1217">
        <v>116</v>
      </c>
      <c r="C1217" t="s">
        <v>568</v>
      </c>
      <c r="D1217" t="s">
        <v>2286</v>
      </c>
      <c r="E1217" t="s">
        <v>2610</v>
      </c>
      <c r="F1217" s="452">
        <v>46149</v>
      </c>
      <c r="G1217">
        <v>23361</v>
      </c>
      <c r="H1217" t="s">
        <v>4220</v>
      </c>
      <c r="I1217" t="s">
        <v>3469</v>
      </c>
      <c r="J1217">
        <v>36</v>
      </c>
      <c r="K1217" t="s">
        <v>3892</v>
      </c>
      <c r="L1217">
        <v>100.8</v>
      </c>
      <c r="M1217">
        <v>2.8</v>
      </c>
      <c r="N1217" t="s">
        <v>3469</v>
      </c>
      <c r="O1217" t="s">
        <v>465</v>
      </c>
    </row>
    <row r="1218" spans="1:15" x14ac:dyDescent="0.3">
      <c r="A1218">
        <v>231425</v>
      </c>
      <c r="B1218">
        <v>116</v>
      </c>
      <c r="C1218" t="s">
        <v>568</v>
      </c>
      <c r="D1218" t="s">
        <v>2286</v>
      </c>
      <c r="E1218" t="s">
        <v>2610</v>
      </c>
      <c r="F1218" s="452">
        <v>46149</v>
      </c>
      <c r="G1218">
        <v>23120</v>
      </c>
      <c r="H1218" t="s">
        <v>4111</v>
      </c>
      <c r="I1218" t="s">
        <v>3469</v>
      </c>
      <c r="J1218">
        <v>0.3</v>
      </c>
      <c r="K1218" t="s">
        <v>3892</v>
      </c>
      <c r="L1218">
        <v>19.5</v>
      </c>
      <c r="M1218">
        <v>65</v>
      </c>
      <c r="N1218" t="s">
        <v>3469</v>
      </c>
      <c r="O1218" t="s">
        <v>465</v>
      </c>
    </row>
    <row r="1219" spans="1:15" x14ac:dyDescent="0.3">
      <c r="A1219">
        <v>231425</v>
      </c>
      <c r="B1219">
        <v>116</v>
      </c>
      <c r="C1219" t="s">
        <v>568</v>
      </c>
      <c r="D1219" t="s">
        <v>2286</v>
      </c>
      <c r="E1219" t="s">
        <v>2610</v>
      </c>
      <c r="F1219" s="452">
        <v>46149</v>
      </c>
      <c r="G1219">
        <v>19787</v>
      </c>
      <c r="H1219" t="s">
        <v>3940</v>
      </c>
      <c r="I1219" t="s">
        <v>3469</v>
      </c>
      <c r="J1219">
        <v>4.5</v>
      </c>
      <c r="K1219" t="s">
        <v>3892</v>
      </c>
      <c r="L1219">
        <v>28.8</v>
      </c>
      <c r="M1219">
        <v>6.4</v>
      </c>
      <c r="N1219" t="s">
        <v>3469</v>
      </c>
      <c r="O1219" t="s">
        <v>465</v>
      </c>
    </row>
    <row r="1220" spans="1:15" x14ac:dyDescent="0.3">
      <c r="A1220">
        <v>231424</v>
      </c>
      <c r="B1220">
        <v>116</v>
      </c>
      <c r="C1220" t="s">
        <v>568</v>
      </c>
      <c r="D1220" t="s">
        <v>2286</v>
      </c>
      <c r="E1220" t="s">
        <v>2611</v>
      </c>
      <c r="F1220" s="452">
        <v>46147</v>
      </c>
      <c r="G1220">
        <v>19505</v>
      </c>
      <c r="H1220" t="s">
        <v>4101</v>
      </c>
      <c r="I1220" t="s">
        <v>3469</v>
      </c>
      <c r="J1220">
        <v>1</v>
      </c>
      <c r="K1220" t="s">
        <v>3892</v>
      </c>
      <c r="L1220">
        <v>10.5</v>
      </c>
      <c r="M1220">
        <v>10.5</v>
      </c>
      <c r="N1220" t="s">
        <v>4240</v>
      </c>
      <c r="O1220" t="s">
        <v>465</v>
      </c>
    </row>
    <row r="1221" spans="1:15" x14ac:dyDescent="0.3">
      <c r="A1221">
        <v>231424</v>
      </c>
      <c r="B1221">
        <v>116</v>
      </c>
      <c r="C1221" t="s">
        <v>568</v>
      </c>
      <c r="D1221" t="s">
        <v>2286</v>
      </c>
      <c r="E1221" t="s">
        <v>2611</v>
      </c>
      <c r="F1221" s="452">
        <v>46147</v>
      </c>
      <c r="G1221">
        <v>19458</v>
      </c>
      <c r="H1221" t="s">
        <v>4212</v>
      </c>
      <c r="I1221" t="s">
        <v>3469</v>
      </c>
      <c r="J1221">
        <v>1</v>
      </c>
      <c r="K1221" t="s">
        <v>3892</v>
      </c>
      <c r="L1221">
        <v>16</v>
      </c>
      <c r="M1221">
        <v>16</v>
      </c>
      <c r="N1221" t="s">
        <v>4240</v>
      </c>
      <c r="O1221" t="s">
        <v>465</v>
      </c>
    </row>
    <row r="1222" spans="1:15" x14ac:dyDescent="0.3">
      <c r="A1222">
        <v>231424</v>
      </c>
      <c r="B1222">
        <v>116</v>
      </c>
      <c r="C1222" t="s">
        <v>568</v>
      </c>
      <c r="D1222" t="s">
        <v>2286</v>
      </c>
      <c r="E1222" t="s">
        <v>2611</v>
      </c>
      <c r="F1222" s="452">
        <v>46147</v>
      </c>
      <c r="G1222">
        <v>23359</v>
      </c>
      <c r="H1222" t="s">
        <v>3932</v>
      </c>
      <c r="I1222" t="s">
        <v>3469</v>
      </c>
      <c r="J1222">
        <v>5</v>
      </c>
      <c r="K1222" t="s">
        <v>3892</v>
      </c>
      <c r="L1222">
        <v>11.25</v>
      </c>
      <c r="M1222">
        <v>2.25</v>
      </c>
      <c r="N1222" t="s">
        <v>4240</v>
      </c>
      <c r="O1222" t="s">
        <v>465</v>
      </c>
    </row>
    <row r="1223" spans="1:15" x14ac:dyDescent="0.3">
      <c r="A1223">
        <v>231424</v>
      </c>
      <c r="B1223">
        <v>116</v>
      </c>
      <c r="C1223" t="s">
        <v>568</v>
      </c>
      <c r="D1223" t="s">
        <v>2286</v>
      </c>
      <c r="E1223" t="s">
        <v>2611</v>
      </c>
      <c r="F1223" s="452">
        <v>46147</v>
      </c>
      <c r="G1223">
        <v>23195</v>
      </c>
      <c r="H1223" t="s">
        <v>4184</v>
      </c>
      <c r="I1223" t="s">
        <v>3469</v>
      </c>
      <c r="J1223">
        <v>1</v>
      </c>
      <c r="K1223" t="s">
        <v>3892</v>
      </c>
      <c r="L1223">
        <v>12</v>
      </c>
      <c r="M1223">
        <v>12</v>
      </c>
      <c r="N1223" t="s">
        <v>4240</v>
      </c>
      <c r="O1223" t="s">
        <v>465</v>
      </c>
    </row>
    <row r="1224" spans="1:15" x14ac:dyDescent="0.3">
      <c r="A1224">
        <v>231424</v>
      </c>
      <c r="B1224">
        <v>116</v>
      </c>
      <c r="C1224" t="s">
        <v>568</v>
      </c>
      <c r="D1224" t="s">
        <v>2286</v>
      </c>
      <c r="E1224" t="s">
        <v>2611</v>
      </c>
      <c r="F1224" s="452">
        <v>46147</v>
      </c>
      <c r="G1224">
        <v>19617</v>
      </c>
      <c r="H1224" t="s">
        <v>4110</v>
      </c>
      <c r="I1224" t="s">
        <v>3469</v>
      </c>
      <c r="J1224">
        <v>0.3</v>
      </c>
      <c r="K1224" t="s">
        <v>3892</v>
      </c>
      <c r="L1224">
        <v>7.5</v>
      </c>
      <c r="M1224">
        <v>25</v>
      </c>
      <c r="N1224" t="s">
        <v>4240</v>
      </c>
      <c r="O1224" t="s">
        <v>465</v>
      </c>
    </row>
    <row r="1225" spans="1:15" x14ac:dyDescent="0.3">
      <c r="A1225">
        <v>231424</v>
      </c>
      <c r="B1225">
        <v>116</v>
      </c>
      <c r="C1225" t="s">
        <v>568</v>
      </c>
      <c r="D1225" t="s">
        <v>2286</v>
      </c>
      <c r="E1225" t="s">
        <v>2611</v>
      </c>
      <c r="F1225" s="452">
        <v>46147</v>
      </c>
      <c r="G1225">
        <v>24037</v>
      </c>
      <c r="H1225" t="s">
        <v>4104</v>
      </c>
      <c r="I1225" t="s">
        <v>3469</v>
      </c>
      <c r="J1225">
        <v>2</v>
      </c>
      <c r="K1225" t="s">
        <v>3892</v>
      </c>
      <c r="L1225">
        <v>36</v>
      </c>
      <c r="M1225">
        <v>18</v>
      </c>
      <c r="N1225" t="s">
        <v>4240</v>
      </c>
      <c r="O1225" t="s">
        <v>465</v>
      </c>
    </row>
    <row r="1226" spans="1:15" x14ac:dyDescent="0.3">
      <c r="A1226">
        <v>231424</v>
      </c>
      <c r="B1226">
        <v>116</v>
      </c>
      <c r="C1226" t="s">
        <v>568</v>
      </c>
      <c r="D1226" t="s">
        <v>2286</v>
      </c>
      <c r="E1226" t="s">
        <v>2611</v>
      </c>
      <c r="F1226" s="452">
        <v>46147</v>
      </c>
      <c r="G1226">
        <v>19623</v>
      </c>
      <c r="H1226" t="s">
        <v>3984</v>
      </c>
      <c r="I1226" t="s">
        <v>3469</v>
      </c>
      <c r="J1226">
        <v>3</v>
      </c>
      <c r="K1226" t="s">
        <v>3892</v>
      </c>
      <c r="L1226">
        <v>17.399999999999999</v>
      </c>
      <c r="M1226">
        <v>5.8</v>
      </c>
      <c r="N1226" t="s">
        <v>4240</v>
      </c>
      <c r="O1226" t="s">
        <v>465</v>
      </c>
    </row>
    <row r="1227" spans="1:15" x14ac:dyDescent="0.3">
      <c r="A1227">
        <v>231424</v>
      </c>
      <c r="B1227">
        <v>116</v>
      </c>
      <c r="C1227" t="s">
        <v>568</v>
      </c>
      <c r="D1227" t="s">
        <v>2286</v>
      </c>
      <c r="E1227" t="s">
        <v>2611</v>
      </c>
      <c r="F1227" s="452">
        <v>46147</v>
      </c>
      <c r="G1227">
        <v>19488</v>
      </c>
      <c r="H1227" t="s">
        <v>4070</v>
      </c>
      <c r="I1227" t="s">
        <v>3469</v>
      </c>
      <c r="J1227">
        <v>0.5</v>
      </c>
      <c r="K1227" t="s">
        <v>3892</v>
      </c>
      <c r="L1227">
        <v>7</v>
      </c>
      <c r="M1227">
        <v>14</v>
      </c>
      <c r="N1227" t="s">
        <v>4240</v>
      </c>
      <c r="O1227" t="s">
        <v>465</v>
      </c>
    </row>
    <row r="1228" spans="1:15" x14ac:dyDescent="0.3">
      <c r="A1228">
        <v>231424</v>
      </c>
      <c r="B1228">
        <v>116</v>
      </c>
      <c r="C1228" t="s">
        <v>568</v>
      </c>
      <c r="D1228" t="s">
        <v>2286</v>
      </c>
      <c r="E1228" t="s">
        <v>2611</v>
      </c>
      <c r="F1228" s="452">
        <v>46147</v>
      </c>
      <c r="G1228">
        <v>19494</v>
      </c>
      <c r="H1228" t="s">
        <v>4126</v>
      </c>
      <c r="I1228" t="s">
        <v>3469</v>
      </c>
      <c r="J1228">
        <v>2</v>
      </c>
      <c r="K1228" t="s">
        <v>3892</v>
      </c>
      <c r="L1228">
        <v>27</v>
      </c>
      <c r="M1228">
        <v>13.5</v>
      </c>
      <c r="N1228" t="s">
        <v>4240</v>
      </c>
      <c r="O1228" t="s">
        <v>465</v>
      </c>
    </row>
    <row r="1229" spans="1:15" x14ac:dyDescent="0.3">
      <c r="A1229">
        <v>231424</v>
      </c>
      <c r="B1229">
        <v>116</v>
      </c>
      <c r="C1229" t="s">
        <v>568</v>
      </c>
      <c r="D1229" t="s">
        <v>2286</v>
      </c>
      <c r="E1229" t="s">
        <v>2611</v>
      </c>
      <c r="F1229" s="452">
        <v>46147</v>
      </c>
      <c r="G1229">
        <v>19506</v>
      </c>
      <c r="H1229" t="s">
        <v>4112</v>
      </c>
      <c r="I1229" t="s">
        <v>3469</v>
      </c>
      <c r="J1229">
        <v>0.2</v>
      </c>
      <c r="K1229" t="s">
        <v>3892</v>
      </c>
      <c r="L1229">
        <v>11</v>
      </c>
      <c r="M1229">
        <v>55</v>
      </c>
      <c r="N1229" t="s">
        <v>4240</v>
      </c>
      <c r="O1229" t="s">
        <v>465</v>
      </c>
    </row>
    <row r="1230" spans="1:15" x14ac:dyDescent="0.3">
      <c r="A1230">
        <v>231424</v>
      </c>
      <c r="B1230">
        <v>116</v>
      </c>
      <c r="C1230" t="s">
        <v>568</v>
      </c>
      <c r="D1230" t="s">
        <v>2286</v>
      </c>
      <c r="E1230" t="s">
        <v>2611</v>
      </c>
      <c r="F1230" s="452">
        <v>46147</v>
      </c>
      <c r="G1230">
        <v>19553</v>
      </c>
      <c r="H1230" t="s">
        <v>4078</v>
      </c>
      <c r="I1230" t="s">
        <v>3469</v>
      </c>
      <c r="J1230">
        <v>1.5</v>
      </c>
      <c r="K1230" t="s">
        <v>3892</v>
      </c>
      <c r="L1230">
        <v>9.75</v>
      </c>
      <c r="M1230">
        <v>6.5</v>
      </c>
      <c r="N1230" t="s">
        <v>4240</v>
      </c>
      <c r="O1230" t="s">
        <v>465</v>
      </c>
    </row>
    <row r="1231" spans="1:15" x14ac:dyDescent="0.3">
      <c r="A1231">
        <v>231424</v>
      </c>
      <c r="B1231">
        <v>116</v>
      </c>
      <c r="C1231" t="s">
        <v>568</v>
      </c>
      <c r="D1231" t="s">
        <v>2286</v>
      </c>
      <c r="E1231" t="s">
        <v>2611</v>
      </c>
      <c r="F1231" s="452">
        <v>46147</v>
      </c>
      <c r="G1231">
        <v>19743</v>
      </c>
      <c r="H1231" t="s">
        <v>4152</v>
      </c>
      <c r="I1231" t="s">
        <v>3469</v>
      </c>
      <c r="J1231">
        <v>3</v>
      </c>
      <c r="K1231" t="s">
        <v>3892</v>
      </c>
      <c r="L1231">
        <v>45</v>
      </c>
      <c r="M1231">
        <v>15</v>
      </c>
      <c r="N1231" t="s">
        <v>4240</v>
      </c>
      <c r="O1231" t="s">
        <v>465</v>
      </c>
    </row>
    <row r="1232" spans="1:15" x14ac:dyDescent="0.3">
      <c r="A1232">
        <v>231424</v>
      </c>
      <c r="B1232">
        <v>116</v>
      </c>
      <c r="C1232" t="s">
        <v>568</v>
      </c>
      <c r="D1232" t="s">
        <v>2286</v>
      </c>
      <c r="E1232" t="s">
        <v>2611</v>
      </c>
      <c r="F1232" s="452">
        <v>46147</v>
      </c>
      <c r="G1232">
        <v>19498</v>
      </c>
      <c r="H1232" t="s">
        <v>4065</v>
      </c>
      <c r="I1232" t="s">
        <v>3469</v>
      </c>
      <c r="J1232">
        <v>1</v>
      </c>
      <c r="K1232" t="s">
        <v>3892</v>
      </c>
      <c r="L1232">
        <v>16</v>
      </c>
      <c r="M1232">
        <v>16</v>
      </c>
      <c r="N1232" t="s">
        <v>4240</v>
      </c>
      <c r="O1232" t="s">
        <v>465</v>
      </c>
    </row>
    <row r="1233" spans="1:15" x14ac:dyDescent="0.3">
      <c r="A1233">
        <v>231424</v>
      </c>
      <c r="B1233">
        <v>116</v>
      </c>
      <c r="C1233" t="s">
        <v>568</v>
      </c>
      <c r="D1233" t="s">
        <v>2286</v>
      </c>
      <c r="E1233" t="s">
        <v>2611</v>
      </c>
      <c r="F1233" s="452">
        <v>46147</v>
      </c>
      <c r="G1233">
        <v>19787</v>
      </c>
      <c r="H1233" t="s">
        <v>3940</v>
      </c>
      <c r="I1233" t="s">
        <v>3469</v>
      </c>
      <c r="J1233">
        <v>4.5</v>
      </c>
      <c r="K1233" t="s">
        <v>3892</v>
      </c>
      <c r="L1233">
        <v>29.25</v>
      </c>
      <c r="M1233">
        <v>6.5</v>
      </c>
      <c r="N1233" t="s">
        <v>4240</v>
      </c>
      <c r="O1233" t="s">
        <v>465</v>
      </c>
    </row>
    <row r="1234" spans="1:15" x14ac:dyDescent="0.3">
      <c r="A1234">
        <v>231423</v>
      </c>
      <c r="B1234">
        <v>116</v>
      </c>
      <c r="C1234" t="s">
        <v>568</v>
      </c>
      <c r="D1234" t="s">
        <v>2260</v>
      </c>
      <c r="E1234" t="s">
        <v>2612</v>
      </c>
      <c r="F1234" s="452">
        <v>46147</v>
      </c>
      <c r="G1234">
        <v>18685</v>
      </c>
      <c r="H1234" t="s">
        <v>3945</v>
      </c>
      <c r="I1234" t="s">
        <v>3469</v>
      </c>
      <c r="J1234">
        <v>11.6</v>
      </c>
      <c r="K1234" t="s">
        <v>4197</v>
      </c>
      <c r="L1234">
        <v>452.4</v>
      </c>
      <c r="M1234">
        <v>39</v>
      </c>
      <c r="N1234" t="s">
        <v>4240</v>
      </c>
      <c r="O1234" t="s">
        <v>465</v>
      </c>
    </row>
    <row r="1235" spans="1:15" x14ac:dyDescent="0.3">
      <c r="A1235">
        <v>231423</v>
      </c>
      <c r="B1235">
        <v>116</v>
      </c>
      <c r="C1235" t="s">
        <v>568</v>
      </c>
      <c r="D1235" t="s">
        <v>2260</v>
      </c>
      <c r="E1235" t="s">
        <v>2612</v>
      </c>
      <c r="F1235" s="452">
        <v>46147</v>
      </c>
      <c r="G1235">
        <v>20555</v>
      </c>
      <c r="H1235" t="s">
        <v>3959</v>
      </c>
      <c r="I1235" t="s">
        <v>3469</v>
      </c>
      <c r="J1235">
        <v>3.3</v>
      </c>
      <c r="K1235" t="s">
        <v>3892</v>
      </c>
      <c r="L1235">
        <v>260.7</v>
      </c>
      <c r="M1235">
        <v>79</v>
      </c>
      <c r="N1235" t="s">
        <v>4240</v>
      </c>
      <c r="O1235" t="s">
        <v>465</v>
      </c>
    </row>
    <row r="1236" spans="1:15" x14ac:dyDescent="0.3">
      <c r="A1236">
        <v>231423</v>
      </c>
      <c r="B1236">
        <v>116</v>
      </c>
      <c r="C1236" t="s">
        <v>568</v>
      </c>
      <c r="D1236" t="s">
        <v>2260</v>
      </c>
      <c r="E1236" t="s">
        <v>2612</v>
      </c>
      <c r="F1236" s="452">
        <v>46147</v>
      </c>
      <c r="G1236">
        <v>24200</v>
      </c>
      <c r="H1236" t="s">
        <v>3975</v>
      </c>
      <c r="I1236" t="s">
        <v>3469</v>
      </c>
      <c r="J1236">
        <v>5.0999999999999996</v>
      </c>
      <c r="K1236" t="s">
        <v>3892</v>
      </c>
      <c r="L1236">
        <v>167.79</v>
      </c>
      <c r="M1236">
        <v>32.9</v>
      </c>
      <c r="N1236" t="s">
        <v>4240</v>
      </c>
      <c r="O1236" t="s">
        <v>465</v>
      </c>
    </row>
    <row r="1237" spans="1:15" x14ac:dyDescent="0.3">
      <c r="A1237">
        <v>231423</v>
      </c>
      <c r="B1237">
        <v>116</v>
      </c>
      <c r="C1237" t="s">
        <v>568</v>
      </c>
      <c r="D1237" t="s">
        <v>2260</v>
      </c>
      <c r="E1237" t="s">
        <v>2612</v>
      </c>
      <c r="F1237" s="452">
        <v>46147</v>
      </c>
      <c r="G1237">
        <v>20458</v>
      </c>
      <c r="H1237" t="s">
        <v>4121</v>
      </c>
      <c r="I1237" t="s">
        <v>3469</v>
      </c>
      <c r="J1237">
        <v>3.4</v>
      </c>
      <c r="K1237" t="s">
        <v>3892</v>
      </c>
      <c r="L1237">
        <v>111.86</v>
      </c>
      <c r="M1237">
        <v>32.9</v>
      </c>
      <c r="N1237" t="s">
        <v>4240</v>
      </c>
      <c r="O1237" t="s">
        <v>465</v>
      </c>
    </row>
    <row r="1238" spans="1:15" x14ac:dyDescent="0.3">
      <c r="A1238">
        <v>231423</v>
      </c>
      <c r="B1238">
        <v>116</v>
      </c>
      <c r="C1238" t="s">
        <v>568</v>
      </c>
      <c r="D1238" t="s">
        <v>2260</v>
      </c>
      <c r="E1238" t="s">
        <v>2612</v>
      </c>
      <c r="F1238" s="452">
        <v>46147</v>
      </c>
      <c r="G1238">
        <v>18684</v>
      </c>
      <c r="H1238" t="s">
        <v>3925</v>
      </c>
      <c r="I1238" t="s">
        <v>3469</v>
      </c>
      <c r="J1238">
        <v>7</v>
      </c>
      <c r="K1238" t="s">
        <v>3892</v>
      </c>
      <c r="L1238">
        <v>252</v>
      </c>
      <c r="M1238">
        <v>36</v>
      </c>
      <c r="N1238" t="s">
        <v>4240</v>
      </c>
      <c r="O1238" t="s">
        <v>465</v>
      </c>
    </row>
    <row r="1239" spans="1:15" x14ac:dyDescent="0.3">
      <c r="A1239">
        <v>231423</v>
      </c>
      <c r="B1239">
        <v>116</v>
      </c>
      <c r="C1239" t="s">
        <v>568</v>
      </c>
      <c r="D1239" t="s">
        <v>2260</v>
      </c>
      <c r="E1239" t="s">
        <v>2612</v>
      </c>
      <c r="F1239" s="452">
        <v>46147</v>
      </c>
      <c r="G1239">
        <v>27884</v>
      </c>
      <c r="H1239" t="s">
        <v>3910</v>
      </c>
      <c r="I1239" t="s">
        <v>3469</v>
      </c>
      <c r="J1239">
        <v>6.4</v>
      </c>
      <c r="K1239" t="s">
        <v>3892</v>
      </c>
      <c r="L1239">
        <v>441.6</v>
      </c>
      <c r="M1239">
        <v>69</v>
      </c>
      <c r="N1239" t="s">
        <v>4240</v>
      </c>
      <c r="O1239" t="s">
        <v>465</v>
      </c>
    </row>
    <row r="1240" spans="1:15" x14ac:dyDescent="0.3">
      <c r="A1240">
        <v>231423</v>
      </c>
      <c r="B1240">
        <v>116</v>
      </c>
      <c r="C1240" t="s">
        <v>568</v>
      </c>
      <c r="D1240" t="s">
        <v>2260</v>
      </c>
      <c r="E1240" t="s">
        <v>2612</v>
      </c>
      <c r="F1240" s="452">
        <v>46147</v>
      </c>
      <c r="G1240">
        <v>20457</v>
      </c>
      <c r="H1240" t="s">
        <v>3999</v>
      </c>
      <c r="I1240" t="s">
        <v>3469</v>
      </c>
      <c r="J1240">
        <v>2.6</v>
      </c>
      <c r="K1240" t="s">
        <v>3892</v>
      </c>
      <c r="L1240">
        <v>101.4</v>
      </c>
      <c r="M1240">
        <v>39</v>
      </c>
      <c r="N1240" t="s">
        <v>4240</v>
      </c>
      <c r="O1240" t="s">
        <v>465</v>
      </c>
    </row>
    <row r="1241" spans="1:15" x14ac:dyDescent="0.3">
      <c r="A1241">
        <v>231423</v>
      </c>
      <c r="B1241">
        <v>116</v>
      </c>
      <c r="C1241" t="s">
        <v>568</v>
      </c>
      <c r="D1241" t="s">
        <v>2260</v>
      </c>
      <c r="E1241" t="s">
        <v>2612</v>
      </c>
      <c r="F1241" s="452">
        <v>46147</v>
      </c>
      <c r="G1241">
        <v>20456</v>
      </c>
      <c r="H1241" t="s">
        <v>4000</v>
      </c>
      <c r="I1241" t="s">
        <v>3469</v>
      </c>
      <c r="J1241">
        <v>2.8</v>
      </c>
      <c r="K1241" t="s">
        <v>3892</v>
      </c>
      <c r="L1241">
        <v>109.2</v>
      </c>
      <c r="M1241">
        <v>39</v>
      </c>
      <c r="N1241" t="s">
        <v>4240</v>
      </c>
      <c r="O1241" t="s">
        <v>465</v>
      </c>
    </row>
    <row r="1242" spans="1:15" x14ac:dyDescent="0.3">
      <c r="A1242">
        <v>231423</v>
      </c>
      <c r="B1242">
        <v>116</v>
      </c>
      <c r="C1242" t="s">
        <v>568</v>
      </c>
      <c r="D1242" t="s">
        <v>2260</v>
      </c>
      <c r="E1242" t="s">
        <v>2612</v>
      </c>
      <c r="F1242" s="452">
        <v>46147</v>
      </c>
      <c r="G1242">
        <v>24194</v>
      </c>
      <c r="H1242" t="s">
        <v>4181</v>
      </c>
      <c r="I1242" t="s">
        <v>3469</v>
      </c>
      <c r="J1242">
        <v>3.4</v>
      </c>
      <c r="K1242" t="s">
        <v>3892</v>
      </c>
      <c r="L1242">
        <v>142.80000000000001</v>
      </c>
      <c r="M1242">
        <v>42</v>
      </c>
      <c r="N1242" t="s">
        <v>4240</v>
      </c>
      <c r="O1242" t="s">
        <v>465</v>
      </c>
    </row>
    <row r="1243" spans="1:15" x14ac:dyDescent="0.3">
      <c r="A1243">
        <v>231423</v>
      </c>
      <c r="B1243">
        <v>116</v>
      </c>
      <c r="C1243" t="s">
        <v>568</v>
      </c>
      <c r="D1243" t="s">
        <v>2260</v>
      </c>
      <c r="E1243" t="s">
        <v>2612</v>
      </c>
      <c r="F1243" s="452">
        <v>46147</v>
      </c>
      <c r="G1243">
        <v>22734</v>
      </c>
      <c r="H1243" t="s">
        <v>3955</v>
      </c>
      <c r="I1243" t="s">
        <v>3469</v>
      </c>
      <c r="J1243">
        <v>10</v>
      </c>
      <c r="K1243" t="s">
        <v>3892</v>
      </c>
      <c r="L1243">
        <v>990</v>
      </c>
      <c r="M1243">
        <v>99</v>
      </c>
      <c r="N1243" t="s">
        <v>4240</v>
      </c>
      <c r="O1243" t="s">
        <v>465</v>
      </c>
    </row>
    <row r="1244" spans="1:15" x14ac:dyDescent="0.3">
      <c r="A1244">
        <v>231188</v>
      </c>
      <c r="B1244">
        <v>116</v>
      </c>
      <c r="C1244" t="s">
        <v>568</v>
      </c>
      <c r="D1244" t="s">
        <v>2293</v>
      </c>
      <c r="E1244" t="s">
        <v>2613</v>
      </c>
      <c r="F1244" s="452">
        <v>46143</v>
      </c>
      <c r="G1244">
        <v>16974</v>
      </c>
      <c r="H1244" t="s">
        <v>3996</v>
      </c>
      <c r="I1244" t="s">
        <v>3497</v>
      </c>
      <c r="J1244">
        <v>5</v>
      </c>
      <c r="K1244" t="s">
        <v>3881</v>
      </c>
      <c r="L1244">
        <v>675</v>
      </c>
      <c r="M1244">
        <v>135</v>
      </c>
      <c r="N1244" t="s">
        <v>4307</v>
      </c>
      <c r="O1244" t="s">
        <v>465</v>
      </c>
    </row>
    <row r="1245" spans="1:15" x14ac:dyDescent="0.3">
      <c r="A1245">
        <v>230190</v>
      </c>
      <c r="B1245">
        <v>116</v>
      </c>
      <c r="C1245" t="s">
        <v>568</v>
      </c>
      <c r="D1245" t="s">
        <v>2258</v>
      </c>
      <c r="E1245" t="s">
        <v>2065</v>
      </c>
      <c r="F1245" s="452">
        <v>46149</v>
      </c>
      <c r="G1245">
        <v>17006</v>
      </c>
      <c r="H1245" t="s">
        <v>4128</v>
      </c>
      <c r="I1245" t="s">
        <v>3469</v>
      </c>
      <c r="J1245">
        <v>12.24</v>
      </c>
      <c r="K1245" t="s">
        <v>3892</v>
      </c>
      <c r="L1245">
        <v>159.12</v>
      </c>
      <c r="M1245">
        <v>13</v>
      </c>
      <c r="N1245" t="s">
        <v>4240</v>
      </c>
      <c r="O1245" t="s">
        <v>465</v>
      </c>
    </row>
    <row r="1246" spans="1:15" x14ac:dyDescent="0.3">
      <c r="A1246">
        <v>230189</v>
      </c>
      <c r="B1246">
        <v>116</v>
      </c>
      <c r="C1246" t="s">
        <v>568</v>
      </c>
      <c r="D1246" t="s">
        <v>2258</v>
      </c>
      <c r="E1246" t="s">
        <v>2614</v>
      </c>
      <c r="F1246" s="452">
        <v>46149</v>
      </c>
      <c r="G1246">
        <v>17006</v>
      </c>
      <c r="H1246" t="s">
        <v>4128</v>
      </c>
      <c r="I1246" t="s">
        <v>3469</v>
      </c>
      <c r="J1246">
        <v>13.98</v>
      </c>
      <c r="K1246" t="s">
        <v>3892</v>
      </c>
      <c r="L1246">
        <v>181.74</v>
      </c>
      <c r="M1246">
        <v>13</v>
      </c>
      <c r="N1246" t="s">
        <v>4240</v>
      </c>
      <c r="O1246" t="s">
        <v>465</v>
      </c>
    </row>
    <row r="1247" spans="1:15" x14ac:dyDescent="0.3">
      <c r="A1247">
        <v>230188</v>
      </c>
      <c r="B1247">
        <v>116</v>
      </c>
      <c r="C1247" t="s">
        <v>568</v>
      </c>
      <c r="D1247" t="s">
        <v>2463</v>
      </c>
      <c r="E1247" t="s">
        <v>2615</v>
      </c>
      <c r="F1247" s="452">
        <v>46143</v>
      </c>
      <c r="G1247">
        <v>19130</v>
      </c>
      <c r="H1247" t="s">
        <v>4284</v>
      </c>
      <c r="I1247" t="s">
        <v>3469</v>
      </c>
      <c r="J1247">
        <v>815</v>
      </c>
      <c r="K1247" t="s">
        <v>3892</v>
      </c>
      <c r="L1247">
        <v>937.25</v>
      </c>
      <c r="M1247">
        <v>1.1499999999999999</v>
      </c>
      <c r="N1247" t="s">
        <v>4308</v>
      </c>
      <c r="O1247" t="s">
        <v>465</v>
      </c>
    </row>
    <row r="1248" spans="1:15" x14ac:dyDescent="0.3">
      <c r="A1248">
        <v>230186</v>
      </c>
      <c r="B1248">
        <v>116</v>
      </c>
      <c r="C1248" t="s">
        <v>568</v>
      </c>
      <c r="D1248" t="s">
        <v>2273</v>
      </c>
      <c r="E1248" t="s">
        <v>2616</v>
      </c>
      <c r="F1248" s="452">
        <v>46142</v>
      </c>
      <c r="G1248">
        <v>19672</v>
      </c>
      <c r="H1248" t="s">
        <v>4024</v>
      </c>
      <c r="I1248" t="s">
        <v>3469</v>
      </c>
      <c r="J1248">
        <v>2</v>
      </c>
      <c r="K1248" t="s">
        <v>3892</v>
      </c>
      <c r="L1248">
        <v>15.94</v>
      </c>
      <c r="M1248">
        <v>7.97</v>
      </c>
      <c r="N1248" t="s">
        <v>4240</v>
      </c>
      <c r="O1248" t="s">
        <v>464</v>
      </c>
    </row>
    <row r="1249" spans="1:15" x14ac:dyDescent="0.3">
      <c r="A1249">
        <v>230186</v>
      </c>
      <c r="B1249">
        <v>116</v>
      </c>
      <c r="C1249" t="s">
        <v>568</v>
      </c>
      <c r="D1249" t="s">
        <v>2273</v>
      </c>
      <c r="E1249" t="s">
        <v>2616</v>
      </c>
      <c r="F1249" s="452">
        <v>46142</v>
      </c>
      <c r="G1249">
        <v>23171</v>
      </c>
      <c r="H1249" t="s">
        <v>4132</v>
      </c>
      <c r="I1249" t="s">
        <v>3469</v>
      </c>
      <c r="J1249">
        <v>3</v>
      </c>
      <c r="K1249" t="s">
        <v>3892</v>
      </c>
      <c r="L1249">
        <v>31.89</v>
      </c>
      <c r="M1249">
        <v>10.63</v>
      </c>
      <c r="N1249" t="s">
        <v>4240</v>
      </c>
      <c r="O1249" t="s">
        <v>464</v>
      </c>
    </row>
    <row r="1250" spans="1:15" x14ac:dyDescent="0.3">
      <c r="A1250">
        <v>230186</v>
      </c>
      <c r="B1250">
        <v>116</v>
      </c>
      <c r="C1250" t="s">
        <v>568</v>
      </c>
      <c r="D1250" t="s">
        <v>2273</v>
      </c>
      <c r="E1250" t="s">
        <v>2616</v>
      </c>
      <c r="F1250" s="452">
        <v>46142</v>
      </c>
      <c r="G1250">
        <v>24083</v>
      </c>
      <c r="H1250" t="s">
        <v>3898</v>
      </c>
      <c r="I1250" t="s">
        <v>3469</v>
      </c>
      <c r="J1250">
        <v>15</v>
      </c>
      <c r="K1250" t="s">
        <v>3892</v>
      </c>
      <c r="L1250">
        <v>81.599999999999994</v>
      </c>
      <c r="M1250">
        <v>5.44</v>
      </c>
      <c r="N1250" t="s">
        <v>4240</v>
      </c>
      <c r="O1250" t="s">
        <v>464</v>
      </c>
    </row>
    <row r="1251" spans="1:15" x14ac:dyDescent="0.3">
      <c r="A1251">
        <v>230186</v>
      </c>
      <c r="B1251">
        <v>116</v>
      </c>
      <c r="C1251" t="s">
        <v>568</v>
      </c>
      <c r="D1251" t="s">
        <v>2273</v>
      </c>
      <c r="E1251" t="s">
        <v>2616</v>
      </c>
      <c r="F1251" s="452">
        <v>46142</v>
      </c>
      <c r="G1251">
        <v>19465</v>
      </c>
      <c r="H1251" t="s">
        <v>4080</v>
      </c>
      <c r="I1251" t="s">
        <v>3469</v>
      </c>
      <c r="J1251">
        <v>1</v>
      </c>
      <c r="K1251" t="s">
        <v>3892</v>
      </c>
      <c r="L1251">
        <v>5.8</v>
      </c>
      <c r="M1251">
        <v>5.8</v>
      </c>
      <c r="N1251" t="s">
        <v>4240</v>
      </c>
      <c r="O1251" t="s">
        <v>464</v>
      </c>
    </row>
    <row r="1252" spans="1:15" x14ac:dyDescent="0.3">
      <c r="A1252">
        <v>230142</v>
      </c>
      <c r="B1252">
        <v>116</v>
      </c>
      <c r="C1252" t="s">
        <v>568</v>
      </c>
      <c r="D1252" t="s">
        <v>2269</v>
      </c>
      <c r="E1252" t="s">
        <v>2617</v>
      </c>
      <c r="F1252" s="452">
        <v>46142</v>
      </c>
      <c r="G1252">
        <v>29129</v>
      </c>
      <c r="H1252" t="s">
        <v>4176</v>
      </c>
      <c r="I1252" t="s">
        <v>3469</v>
      </c>
      <c r="J1252">
        <v>8</v>
      </c>
      <c r="K1252" t="s">
        <v>3872</v>
      </c>
      <c r="L1252">
        <v>91.76</v>
      </c>
      <c r="M1252">
        <v>11.47</v>
      </c>
      <c r="N1252" t="s">
        <v>4240</v>
      </c>
      <c r="O1252" t="s">
        <v>464</v>
      </c>
    </row>
    <row r="1253" spans="1:15" x14ac:dyDescent="0.3">
      <c r="A1253">
        <v>230141</v>
      </c>
      <c r="B1253">
        <v>116</v>
      </c>
      <c r="C1253" t="s">
        <v>568</v>
      </c>
      <c r="D1253" t="s">
        <v>2286</v>
      </c>
      <c r="E1253" t="s">
        <v>2618</v>
      </c>
      <c r="F1253" s="452">
        <v>46143</v>
      </c>
      <c r="G1253">
        <v>19623</v>
      </c>
      <c r="H1253" t="s">
        <v>3984</v>
      </c>
      <c r="I1253" t="s">
        <v>3469</v>
      </c>
      <c r="J1253">
        <v>3</v>
      </c>
      <c r="K1253" t="s">
        <v>3892</v>
      </c>
      <c r="L1253">
        <v>16.5</v>
      </c>
      <c r="M1253">
        <v>5.5</v>
      </c>
      <c r="N1253" t="s">
        <v>4240</v>
      </c>
      <c r="O1253" t="s">
        <v>465</v>
      </c>
    </row>
    <row r="1254" spans="1:15" x14ac:dyDescent="0.3">
      <c r="A1254">
        <v>230141</v>
      </c>
      <c r="B1254">
        <v>116</v>
      </c>
      <c r="C1254" t="s">
        <v>568</v>
      </c>
      <c r="D1254" t="s">
        <v>2286</v>
      </c>
      <c r="E1254" t="s">
        <v>2618</v>
      </c>
      <c r="F1254" s="452">
        <v>46143</v>
      </c>
      <c r="G1254">
        <v>23095</v>
      </c>
      <c r="H1254" t="s">
        <v>3882</v>
      </c>
      <c r="I1254" t="s">
        <v>3469</v>
      </c>
      <c r="J1254">
        <v>20</v>
      </c>
      <c r="K1254" t="s">
        <v>3872</v>
      </c>
      <c r="L1254">
        <v>23.4</v>
      </c>
      <c r="M1254">
        <v>1.17</v>
      </c>
      <c r="N1254" t="s">
        <v>4240</v>
      </c>
      <c r="O1254" t="s">
        <v>465</v>
      </c>
    </row>
    <row r="1255" spans="1:15" x14ac:dyDescent="0.3">
      <c r="A1255">
        <v>230141</v>
      </c>
      <c r="B1255">
        <v>116</v>
      </c>
      <c r="C1255" t="s">
        <v>568</v>
      </c>
      <c r="D1255" t="s">
        <v>2286</v>
      </c>
      <c r="E1255" t="s">
        <v>2618</v>
      </c>
      <c r="F1255" s="452">
        <v>46143</v>
      </c>
      <c r="G1255">
        <v>19752</v>
      </c>
      <c r="H1255" t="s">
        <v>4042</v>
      </c>
      <c r="I1255" t="s">
        <v>3469</v>
      </c>
      <c r="J1255">
        <v>1</v>
      </c>
      <c r="K1255" t="s">
        <v>3892</v>
      </c>
      <c r="L1255">
        <v>5.5</v>
      </c>
      <c r="M1255">
        <v>5.5</v>
      </c>
      <c r="N1255" t="s">
        <v>4240</v>
      </c>
      <c r="O1255" t="s">
        <v>465</v>
      </c>
    </row>
    <row r="1256" spans="1:15" x14ac:dyDescent="0.3">
      <c r="A1256">
        <v>230141</v>
      </c>
      <c r="B1256">
        <v>116</v>
      </c>
      <c r="C1256" t="s">
        <v>568</v>
      </c>
      <c r="D1256" t="s">
        <v>2286</v>
      </c>
      <c r="E1256" t="s">
        <v>2618</v>
      </c>
      <c r="F1256" s="452">
        <v>46143</v>
      </c>
      <c r="G1256">
        <v>19617</v>
      </c>
      <c r="H1256" t="s">
        <v>4110</v>
      </c>
      <c r="I1256" t="s">
        <v>3469</v>
      </c>
      <c r="J1256">
        <v>0.5</v>
      </c>
      <c r="K1256" t="s">
        <v>3892</v>
      </c>
      <c r="L1256">
        <v>13.5</v>
      </c>
      <c r="M1256">
        <v>27</v>
      </c>
      <c r="N1256" t="s">
        <v>4240</v>
      </c>
      <c r="O1256" t="s">
        <v>465</v>
      </c>
    </row>
    <row r="1257" spans="1:15" x14ac:dyDescent="0.3">
      <c r="A1257">
        <v>230141</v>
      </c>
      <c r="B1257">
        <v>116</v>
      </c>
      <c r="C1257" t="s">
        <v>568</v>
      </c>
      <c r="D1257" t="s">
        <v>2286</v>
      </c>
      <c r="E1257" t="s">
        <v>2618</v>
      </c>
      <c r="F1257" s="452">
        <v>46143</v>
      </c>
      <c r="G1257">
        <v>23120</v>
      </c>
      <c r="H1257" t="s">
        <v>4111</v>
      </c>
      <c r="I1257" t="s">
        <v>3469</v>
      </c>
      <c r="J1257">
        <v>0.3</v>
      </c>
      <c r="K1257" t="s">
        <v>3892</v>
      </c>
      <c r="L1257">
        <v>19.5</v>
      </c>
      <c r="M1257">
        <v>65</v>
      </c>
      <c r="N1257" t="s">
        <v>4240</v>
      </c>
      <c r="O1257" t="s">
        <v>465</v>
      </c>
    </row>
    <row r="1258" spans="1:15" x14ac:dyDescent="0.3">
      <c r="A1258">
        <v>230141</v>
      </c>
      <c r="B1258">
        <v>116</v>
      </c>
      <c r="C1258" t="s">
        <v>568</v>
      </c>
      <c r="D1258" t="s">
        <v>2286</v>
      </c>
      <c r="E1258" t="s">
        <v>2618</v>
      </c>
      <c r="F1258" s="452">
        <v>46143</v>
      </c>
      <c r="G1258">
        <v>19505</v>
      </c>
      <c r="H1258" t="s">
        <v>4101</v>
      </c>
      <c r="I1258" t="s">
        <v>3469</v>
      </c>
      <c r="J1258">
        <v>1</v>
      </c>
      <c r="K1258" t="s">
        <v>3892</v>
      </c>
      <c r="L1258">
        <v>9.5</v>
      </c>
      <c r="M1258">
        <v>9.5</v>
      </c>
      <c r="N1258" t="s">
        <v>4240</v>
      </c>
      <c r="O1258" t="s">
        <v>465</v>
      </c>
    </row>
    <row r="1259" spans="1:15" x14ac:dyDescent="0.3">
      <c r="A1259">
        <v>230141</v>
      </c>
      <c r="B1259">
        <v>116</v>
      </c>
      <c r="C1259" t="s">
        <v>568</v>
      </c>
      <c r="D1259" t="s">
        <v>2286</v>
      </c>
      <c r="E1259" t="s">
        <v>2618</v>
      </c>
      <c r="F1259" s="452">
        <v>46143</v>
      </c>
      <c r="G1259">
        <v>23361</v>
      </c>
      <c r="H1259" t="s">
        <v>4220</v>
      </c>
      <c r="I1259" t="s">
        <v>3469</v>
      </c>
      <c r="J1259">
        <v>18</v>
      </c>
      <c r="K1259" t="s">
        <v>3892</v>
      </c>
      <c r="L1259">
        <v>53.46</v>
      </c>
      <c r="M1259">
        <v>2.97</v>
      </c>
      <c r="N1259" t="s">
        <v>4240</v>
      </c>
      <c r="O1259" t="s">
        <v>465</v>
      </c>
    </row>
    <row r="1260" spans="1:15" x14ac:dyDescent="0.3">
      <c r="A1260">
        <v>230141</v>
      </c>
      <c r="B1260">
        <v>116</v>
      </c>
      <c r="C1260" t="s">
        <v>568</v>
      </c>
      <c r="D1260" t="s">
        <v>2286</v>
      </c>
      <c r="E1260" t="s">
        <v>2618</v>
      </c>
      <c r="F1260" s="452">
        <v>46143</v>
      </c>
      <c r="G1260">
        <v>19498</v>
      </c>
      <c r="H1260" t="s">
        <v>4065</v>
      </c>
      <c r="I1260" t="s">
        <v>3469</v>
      </c>
      <c r="J1260">
        <v>1</v>
      </c>
      <c r="K1260" t="s">
        <v>3892</v>
      </c>
      <c r="L1260">
        <v>15</v>
      </c>
      <c r="M1260">
        <v>15</v>
      </c>
      <c r="N1260" t="s">
        <v>4240</v>
      </c>
      <c r="O1260" t="s">
        <v>465</v>
      </c>
    </row>
    <row r="1261" spans="1:15" x14ac:dyDescent="0.3">
      <c r="A1261">
        <v>230141</v>
      </c>
      <c r="B1261">
        <v>116</v>
      </c>
      <c r="C1261" t="s">
        <v>568</v>
      </c>
      <c r="D1261" t="s">
        <v>2286</v>
      </c>
      <c r="E1261" t="s">
        <v>2618</v>
      </c>
      <c r="F1261" s="452">
        <v>46143</v>
      </c>
      <c r="G1261">
        <v>24037</v>
      </c>
      <c r="H1261" t="s">
        <v>4104</v>
      </c>
      <c r="I1261" t="s">
        <v>3469</v>
      </c>
      <c r="J1261">
        <v>2</v>
      </c>
      <c r="K1261" t="s">
        <v>3892</v>
      </c>
      <c r="L1261">
        <v>36</v>
      </c>
      <c r="M1261">
        <v>18</v>
      </c>
      <c r="N1261" t="s">
        <v>4240</v>
      </c>
      <c r="O1261" t="s">
        <v>465</v>
      </c>
    </row>
    <row r="1262" spans="1:15" x14ac:dyDescent="0.3">
      <c r="A1262">
        <v>230141</v>
      </c>
      <c r="B1262">
        <v>116</v>
      </c>
      <c r="C1262" t="s">
        <v>568</v>
      </c>
      <c r="D1262" t="s">
        <v>2286</v>
      </c>
      <c r="E1262" t="s">
        <v>2618</v>
      </c>
      <c r="F1262" s="452">
        <v>46143</v>
      </c>
      <c r="G1262">
        <v>19589</v>
      </c>
      <c r="H1262" t="s">
        <v>4153</v>
      </c>
      <c r="I1262" t="s">
        <v>3469</v>
      </c>
      <c r="J1262">
        <v>2</v>
      </c>
      <c r="K1262" t="s">
        <v>3892</v>
      </c>
      <c r="L1262">
        <v>14</v>
      </c>
      <c r="M1262">
        <v>7</v>
      </c>
      <c r="N1262" t="s">
        <v>4240</v>
      </c>
      <c r="O1262" t="s">
        <v>465</v>
      </c>
    </row>
    <row r="1263" spans="1:15" x14ac:dyDescent="0.3">
      <c r="A1263">
        <v>230141</v>
      </c>
      <c r="B1263">
        <v>116</v>
      </c>
      <c r="C1263" t="s">
        <v>568</v>
      </c>
      <c r="D1263" t="s">
        <v>2286</v>
      </c>
      <c r="E1263" t="s">
        <v>2618</v>
      </c>
      <c r="F1263" s="452">
        <v>46143</v>
      </c>
      <c r="G1263">
        <v>19555</v>
      </c>
      <c r="H1263" t="s">
        <v>4109</v>
      </c>
      <c r="I1263" t="s">
        <v>3469</v>
      </c>
      <c r="J1263">
        <v>0.6</v>
      </c>
      <c r="K1263" t="s">
        <v>3892</v>
      </c>
      <c r="L1263">
        <v>9</v>
      </c>
      <c r="M1263">
        <v>15</v>
      </c>
      <c r="N1263" t="s">
        <v>4240</v>
      </c>
      <c r="O1263" t="s">
        <v>465</v>
      </c>
    </row>
    <row r="1264" spans="1:15" x14ac:dyDescent="0.3">
      <c r="A1264">
        <v>230141</v>
      </c>
      <c r="B1264">
        <v>116</v>
      </c>
      <c r="C1264" t="s">
        <v>568</v>
      </c>
      <c r="D1264" t="s">
        <v>2286</v>
      </c>
      <c r="E1264" t="s">
        <v>2618</v>
      </c>
      <c r="F1264" s="452">
        <v>46143</v>
      </c>
      <c r="G1264">
        <v>19553</v>
      </c>
      <c r="H1264" t="s">
        <v>4078</v>
      </c>
      <c r="I1264" t="s">
        <v>3469</v>
      </c>
      <c r="J1264">
        <v>1.5</v>
      </c>
      <c r="K1264" t="s">
        <v>3892</v>
      </c>
      <c r="L1264">
        <v>8.25</v>
      </c>
      <c r="M1264">
        <v>5.5</v>
      </c>
      <c r="N1264" t="s">
        <v>4240</v>
      </c>
      <c r="O1264" t="s">
        <v>465</v>
      </c>
    </row>
    <row r="1265" spans="1:15" x14ac:dyDescent="0.3">
      <c r="A1265">
        <v>230141</v>
      </c>
      <c r="B1265">
        <v>116</v>
      </c>
      <c r="C1265" t="s">
        <v>568</v>
      </c>
      <c r="D1265" t="s">
        <v>2286</v>
      </c>
      <c r="E1265" t="s">
        <v>2618</v>
      </c>
      <c r="F1265" s="452">
        <v>46143</v>
      </c>
      <c r="G1265">
        <v>19480</v>
      </c>
      <c r="H1265" t="s">
        <v>4113</v>
      </c>
      <c r="I1265" t="s">
        <v>3469</v>
      </c>
      <c r="J1265">
        <v>0.2</v>
      </c>
      <c r="K1265" t="s">
        <v>3892</v>
      </c>
      <c r="L1265">
        <v>3.4</v>
      </c>
      <c r="M1265">
        <v>17</v>
      </c>
      <c r="N1265" t="s">
        <v>4240</v>
      </c>
      <c r="O1265" t="s">
        <v>465</v>
      </c>
    </row>
    <row r="1266" spans="1:15" x14ac:dyDescent="0.3">
      <c r="A1266">
        <v>230141</v>
      </c>
      <c r="B1266">
        <v>116</v>
      </c>
      <c r="C1266" t="s">
        <v>568</v>
      </c>
      <c r="D1266" t="s">
        <v>2286</v>
      </c>
      <c r="E1266" t="s">
        <v>2618</v>
      </c>
      <c r="F1266" s="452">
        <v>46143</v>
      </c>
      <c r="G1266">
        <v>23359</v>
      </c>
      <c r="H1266" t="s">
        <v>3932</v>
      </c>
      <c r="I1266" t="s">
        <v>3469</v>
      </c>
      <c r="J1266">
        <v>10</v>
      </c>
      <c r="K1266" t="s">
        <v>3892</v>
      </c>
      <c r="L1266">
        <v>21</v>
      </c>
      <c r="M1266">
        <v>2.1</v>
      </c>
      <c r="N1266" t="s">
        <v>4240</v>
      </c>
      <c r="O1266" t="s">
        <v>465</v>
      </c>
    </row>
    <row r="1267" spans="1:15" x14ac:dyDescent="0.3">
      <c r="A1267">
        <v>230141</v>
      </c>
      <c r="B1267">
        <v>116</v>
      </c>
      <c r="C1267" t="s">
        <v>568</v>
      </c>
      <c r="D1267" t="s">
        <v>2286</v>
      </c>
      <c r="E1267" t="s">
        <v>2618</v>
      </c>
      <c r="F1267" s="452">
        <v>46143</v>
      </c>
      <c r="G1267">
        <v>19751</v>
      </c>
      <c r="H1267" t="s">
        <v>4019</v>
      </c>
      <c r="I1267" t="s">
        <v>3469</v>
      </c>
      <c r="J1267">
        <v>2</v>
      </c>
      <c r="K1267" t="s">
        <v>3892</v>
      </c>
      <c r="L1267">
        <v>18.8</v>
      </c>
      <c r="M1267">
        <v>9.4</v>
      </c>
      <c r="N1267" t="s">
        <v>4240</v>
      </c>
      <c r="O1267" t="s">
        <v>465</v>
      </c>
    </row>
    <row r="1268" spans="1:15" x14ac:dyDescent="0.3">
      <c r="A1268">
        <v>230141</v>
      </c>
      <c r="B1268">
        <v>116</v>
      </c>
      <c r="C1268" t="s">
        <v>568</v>
      </c>
      <c r="D1268" t="s">
        <v>2286</v>
      </c>
      <c r="E1268" t="s">
        <v>2618</v>
      </c>
      <c r="F1268" s="452">
        <v>46143</v>
      </c>
      <c r="G1268">
        <v>19787</v>
      </c>
      <c r="H1268" t="s">
        <v>3940</v>
      </c>
      <c r="I1268" t="s">
        <v>3469</v>
      </c>
      <c r="J1268">
        <v>6</v>
      </c>
      <c r="K1268" t="s">
        <v>3892</v>
      </c>
      <c r="L1268">
        <v>32.4</v>
      </c>
      <c r="M1268">
        <v>5.4</v>
      </c>
      <c r="N1268" t="s">
        <v>4240</v>
      </c>
      <c r="O1268" t="s">
        <v>465</v>
      </c>
    </row>
    <row r="1269" spans="1:15" x14ac:dyDescent="0.3">
      <c r="A1269">
        <v>230141</v>
      </c>
      <c r="B1269">
        <v>116</v>
      </c>
      <c r="C1269" t="s">
        <v>568</v>
      </c>
      <c r="D1269" t="s">
        <v>2286</v>
      </c>
      <c r="E1269" t="s">
        <v>2618</v>
      </c>
      <c r="F1269" s="452">
        <v>46143</v>
      </c>
      <c r="G1269">
        <v>19506</v>
      </c>
      <c r="H1269" t="s">
        <v>4112</v>
      </c>
      <c r="I1269" t="s">
        <v>3469</v>
      </c>
      <c r="J1269">
        <v>0.2</v>
      </c>
      <c r="K1269" t="s">
        <v>3892</v>
      </c>
      <c r="L1269">
        <v>12</v>
      </c>
      <c r="M1269">
        <v>60</v>
      </c>
      <c r="N1269" t="s">
        <v>4240</v>
      </c>
      <c r="O1269" t="s">
        <v>465</v>
      </c>
    </row>
    <row r="1270" spans="1:15" x14ac:dyDescent="0.3">
      <c r="A1270">
        <v>230141</v>
      </c>
      <c r="B1270">
        <v>116</v>
      </c>
      <c r="C1270" t="s">
        <v>568</v>
      </c>
      <c r="D1270" t="s">
        <v>2286</v>
      </c>
      <c r="E1270" t="s">
        <v>2618</v>
      </c>
      <c r="F1270" s="452">
        <v>46143</v>
      </c>
      <c r="G1270">
        <v>19740</v>
      </c>
      <c r="H1270" t="s">
        <v>3933</v>
      </c>
      <c r="I1270" t="s">
        <v>3469</v>
      </c>
      <c r="J1270">
        <v>5</v>
      </c>
      <c r="K1270" t="s">
        <v>3892</v>
      </c>
      <c r="L1270">
        <v>47.5</v>
      </c>
      <c r="M1270">
        <v>9.5</v>
      </c>
      <c r="N1270" t="s">
        <v>4240</v>
      </c>
      <c r="O1270" t="s">
        <v>465</v>
      </c>
    </row>
    <row r="1271" spans="1:15" x14ac:dyDescent="0.3">
      <c r="A1271">
        <v>230141</v>
      </c>
      <c r="B1271">
        <v>116</v>
      </c>
      <c r="C1271" t="s">
        <v>568</v>
      </c>
      <c r="D1271" t="s">
        <v>2286</v>
      </c>
      <c r="E1271" t="s">
        <v>2618</v>
      </c>
      <c r="F1271" s="452">
        <v>46143</v>
      </c>
      <c r="G1271">
        <v>19773</v>
      </c>
      <c r="H1271" t="s">
        <v>4168</v>
      </c>
      <c r="I1271" t="s">
        <v>3469</v>
      </c>
      <c r="J1271">
        <v>1</v>
      </c>
      <c r="K1271" t="s">
        <v>3892</v>
      </c>
      <c r="L1271">
        <v>15</v>
      </c>
      <c r="M1271">
        <v>15</v>
      </c>
      <c r="N1271" t="s">
        <v>4240</v>
      </c>
      <c r="O1271" t="s">
        <v>465</v>
      </c>
    </row>
    <row r="1272" spans="1:15" x14ac:dyDescent="0.3">
      <c r="A1272">
        <v>230140</v>
      </c>
      <c r="B1272">
        <v>116</v>
      </c>
      <c r="C1272" t="s">
        <v>568</v>
      </c>
      <c r="D1272" t="s">
        <v>2273</v>
      </c>
      <c r="E1272" t="s">
        <v>2619</v>
      </c>
      <c r="F1272" s="452">
        <v>46143</v>
      </c>
      <c r="G1272">
        <v>24083</v>
      </c>
      <c r="H1272" t="s">
        <v>3898</v>
      </c>
      <c r="I1272" t="s">
        <v>3469</v>
      </c>
      <c r="J1272">
        <v>25</v>
      </c>
      <c r="K1272" t="s">
        <v>3892</v>
      </c>
      <c r="L1272">
        <v>136</v>
      </c>
      <c r="M1272">
        <v>5.44</v>
      </c>
      <c r="N1272" t="s">
        <v>3469</v>
      </c>
      <c r="O1272" t="s">
        <v>465</v>
      </c>
    </row>
    <row r="1273" spans="1:15" x14ac:dyDescent="0.3">
      <c r="A1273">
        <v>230140</v>
      </c>
      <c r="B1273">
        <v>116</v>
      </c>
      <c r="C1273" t="s">
        <v>568</v>
      </c>
      <c r="D1273" t="s">
        <v>2273</v>
      </c>
      <c r="E1273" t="s">
        <v>2619</v>
      </c>
      <c r="F1273" s="452">
        <v>46143</v>
      </c>
      <c r="G1273">
        <v>23349</v>
      </c>
      <c r="H1273" t="s">
        <v>4173</v>
      </c>
      <c r="I1273" t="s">
        <v>3469</v>
      </c>
      <c r="J1273">
        <v>2.2000000000000002</v>
      </c>
      <c r="K1273" t="s">
        <v>3892</v>
      </c>
      <c r="L1273">
        <v>20.39</v>
      </c>
      <c r="M1273">
        <v>9.2681819999999995</v>
      </c>
      <c r="N1273" t="s">
        <v>3469</v>
      </c>
      <c r="O1273" t="s">
        <v>465</v>
      </c>
    </row>
    <row r="1274" spans="1:15" x14ac:dyDescent="0.3">
      <c r="A1274">
        <v>230140</v>
      </c>
      <c r="B1274">
        <v>116</v>
      </c>
      <c r="C1274" t="s">
        <v>568</v>
      </c>
      <c r="D1274" t="s">
        <v>2273</v>
      </c>
      <c r="E1274" t="s">
        <v>2619</v>
      </c>
      <c r="F1274" s="452">
        <v>46143</v>
      </c>
      <c r="G1274">
        <v>19742</v>
      </c>
      <c r="H1274" t="s">
        <v>4074</v>
      </c>
      <c r="I1274" t="s">
        <v>3469</v>
      </c>
      <c r="J1274">
        <v>1.2</v>
      </c>
      <c r="K1274" t="s">
        <v>3892</v>
      </c>
      <c r="L1274">
        <v>13.66</v>
      </c>
      <c r="M1274">
        <v>11.383333</v>
      </c>
      <c r="N1274" t="s">
        <v>3469</v>
      </c>
      <c r="O1274" t="s">
        <v>465</v>
      </c>
    </row>
    <row r="1275" spans="1:15" x14ac:dyDescent="0.3">
      <c r="A1275">
        <v>230140</v>
      </c>
      <c r="B1275">
        <v>116</v>
      </c>
      <c r="C1275" t="s">
        <v>568</v>
      </c>
      <c r="D1275" t="s">
        <v>2273</v>
      </c>
      <c r="E1275" t="s">
        <v>2619</v>
      </c>
      <c r="F1275" s="452">
        <v>46143</v>
      </c>
      <c r="G1275">
        <v>23171</v>
      </c>
      <c r="H1275" t="s">
        <v>4132</v>
      </c>
      <c r="I1275" t="s">
        <v>3469</v>
      </c>
      <c r="J1275">
        <v>3.1</v>
      </c>
      <c r="K1275" t="s">
        <v>3892</v>
      </c>
      <c r="L1275">
        <v>25.64</v>
      </c>
      <c r="M1275">
        <v>8.2709679999999999</v>
      </c>
      <c r="N1275" t="s">
        <v>3469</v>
      </c>
      <c r="O1275" t="s">
        <v>465</v>
      </c>
    </row>
    <row r="1276" spans="1:15" x14ac:dyDescent="0.3">
      <c r="A1276">
        <v>230140</v>
      </c>
      <c r="B1276">
        <v>116</v>
      </c>
      <c r="C1276" t="s">
        <v>568</v>
      </c>
      <c r="D1276" t="s">
        <v>2273</v>
      </c>
      <c r="E1276" t="s">
        <v>2619</v>
      </c>
      <c r="F1276" s="452">
        <v>46143</v>
      </c>
      <c r="G1276">
        <v>19621</v>
      </c>
      <c r="H1276" t="s">
        <v>4125</v>
      </c>
      <c r="I1276" t="s">
        <v>3469</v>
      </c>
      <c r="J1276">
        <v>2.5</v>
      </c>
      <c r="K1276" t="s">
        <v>3892</v>
      </c>
      <c r="L1276">
        <v>19.93</v>
      </c>
      <c r="M1276">
        <v>7.9720000000000004</v>
      </c>
      <c r="N1276" t="s">
        <v>3469</v>
      </c>
      <c r="O1276" t="s">
        <v>465</v>
      </c>
    </row>
    <row r="1277" spans="1:15" x14ac:dyDescent="0.3">
      <c r="A1277">
        <v>230140</v>
      </c>
      <c r="B1277">
        <v>116</v>
      </c>
      <c r="C1277" t="s">
        <v>568</v>
      </c>
      <c r="D1277" t="s">
        <v>2273</v>
      </c>
      <c r="E1277" t="s">
        <v>2619</v>
      </c>
      <c r="F1277" s="452">
        <v>46143</v>
      </c>
      <c r="G1277">
        <v>23113</v>
      </c>
      <c r="H1277" t="s">
        <v>4079</v>
      </c>
      <c r="I1277" t="s">
        <v>3469</v>
      </c>
      <c r="J1277">
        <v>1.7</v>
      </c>
      <c r="K1277" t="s">
        <v>3892</v>
      </c>
      <c r="L1277">
        <v>24.65</v>
      </c>
      <c r="M1277">
        <v>14.5</v>
      </c>
      <c r="N1277" t="s">
        <v>3469</v>
      </c>
      <c r="O1277" t="s">
        <v>465</v>
      </c>
    </row>
    <row r="1278" spans="1:15" x14ac:dyDescent="0.3">
      <c r="A1278">
        <v>230140</v>
      </c>
      <c r="B1278">
        <v>116</v>
      </c>
      <c r="C1278" t="s">
        <v>568</v>
      </c>
      <c r="D1278" t="s">
        <v>2273</v>
      </c>
      <c r="E1278" t="s">
        <v>2619</v>
      </c>
      <c r="F1278" s="452">
        <v>46143</v>
      </c>
      <c r="G1278">
        <v>17066</v>
      </c>
      <c r="H1278" t="s">
        <v>4155</v>
      </c>
      <c r="I1278" t="s">
        <v>3469</v>
      </c>
      <c r="J1278">
        <v>1</v>
      </c>
      <c r="K1278" t="s">
        <v>3892</v>
      </c>
      <c r="L1278">
        <v>23.78</v>
      </c>
      <c r="M1278">
        <v>23.78</v>
      </c>
      <c r="N1278" t="s">
        <v>3469</v>
      </c>
      <c r="O1278" t="s">
        <v>465</v>
      </c>
    </row>
    <row r="1279" spans="1:15" x14ac:dyDescent="0.3">
      <c r="A1279">
        <v>230140</v>
      </c>
      <c r="B1279">
        <v>116</v>
      </c>
      <c r="C1279" t="s">
        <v>568</v>
      </c>
      <c r="D1279" t="s">
        <v>2273</v>
      </c>
      <c r="E1279" t="s">
        <v>2619</v>
      </c>
      <c r="F1279" s="452">
        <v>46143</v>
      </c>
      <c r="G1279">
        <v>19652</v>
      </c>
      <c r="H1279" t="s">
        <v>4014</v>
      </c>
      <c r="I1279" t="s">
        <v>3469</v>
      </c>
      <c r="J1279">
        <v>1</v>
      </c>
      <c r="K1279" t="s">
        <v>3892</v>
      </c>
      <c r="L1279">
        <v>17.559999999999999</v>
      </c>
      <c r="M1279">
        <v>17.559999999999999</v>
      </c>
      <c r="N1279" t="s">
        <v>3469</v>
      </c>
      <c r="O1279" t="s">
        <v>465</v>
      </c>
    </row>
    <row r="1280" spans="1:15" x14ac:dyDescent="0.3">
      <c r="A1280">
        <v>230139</v>
      </c>
      <c r="B1280">
        <v>116</v>
      </c>
      <c r="C1280" t="s">
        <v>568</v>
      </c>
      <c r="D1280" t="s">
        <v>2280</v>
      </c>
      <c r="E1280" t="s">
        <v>2620</v>
      </c>
      <c r="F1280" s="452">
        <v>46143</v>
      </c>
      <c r="G1280">
        <v>23234</v>
      </c>
      <c r="H1280" t="s">
        <v>4018</v>
      </c>
      <c r="I1280" t="s">
        <v>3469</v>
      </c>
      <c r="J1280">
        <v>2</v>
      </c>
      <c r="K1280" t="s">
        <v>3892</v>
      </c>
      <c r="L1280">
        <v>50</v>
      </c>
      <c r="M1280">
        <v>25</v>
      </c>
      <c r="N1280" t="s">
        <v>3469</v>
      </c>
      <c r="O1280" t="s">
        <v>465</v>
      </c>
    </row>
    <row r="1281" spans="1:15" x14ac:dyDescent="0.3">
      <c r="A1281">
        <v>230139</v>
      </c>
      <c r="B1281">
        <v>116</v>
      </c>
      <c r="C1281" t="s">
        <v>568</v>
      </c>
      <c r="D1281" t="s">
        <v>2280</v>
      </c>
      <c r="E1281" t="s">
        <v>2620</v>
      </c>
      <c r="F1281" s="452">
        <v>46143</v>
      </c>
      <c r="G1281">
        <v>24598</v>
      </c>
      <c r="H1281" t="s">
        <v>4166</v>
      </c>
      <c r="I1281" t="s">
        <v>3469</v>
      </c>
      <c r="J1281">
        <v>1</v>
      </c>
      <c r="K1281" t="s">
        <v>3892</v>
      </c>
      <c r="L1281">
        <v>15.6</v>
      </c>
      <c r="M1281">
        <v>15.6</v>
      </c>
      <c r="N1281" t="s">
        <v>3469</v>
      </c>
      <c r="O1281" t="s">
        <v>465</v>
      </c>
    </row>
    <row r="1282" spans="1:15" x14ac:dyDescent="0.3">
      <c r="A1282">
        <v>230139</v>
      </c>
      <c r="B1282">
        <v>116</v>
      </c>
      <c r="C1282" t="s">
        <v>568</v>
      </c>
      <c r="D1282" t="s">
        <v>2280</v>
      </c>
      <c r="E1282" t="s">
        <v>2620</v>
      </c>
      <c r="F1282" s="452">
        <v>46143</v>
      </c>
      <c r="G1282">
        <v>19478</v>
      </c>
      <c r="H1282" t="s">
        <v>4072</v>
      </c>
      <c r="I1282" t="s">
        <v>3469</v>
      </c>
      <c r="J1282">
        <v>1</v>
      </c>
      <c r="K1282" t="s">
        <v>3892</v>
      </c>
      <c r="L1282">
        <v>45.5</v>
      </c>
      <c r="M1282">
        <v>45.5</v>
      </c>
      <c r="N1282" t="s">
        <v>3469</v>
      </c>
      <c r="O1282" t="s">
        <v>465</v>
      </c>
    </row>
    <row r="1283" spans="1:15" x14ac:dyDescent="0.3">
      <c r="A1283">
        <v>230139</v>
      </c>
      <c r="B1283">
        <v>116</v>
      </c>
      <c r="C1283" t="s">
        <v>568</v>
      </c>
      <c r="D1283" t="s">
        <v>2280</v>
      </c>
      <c r="E1283" t="s">
        <v>2620</v>
      </c>
      <c r="F1283" s="452">
        <v>46143</v>
      </c>
      <c r="G1283">
        <v>23142</v>
      </c>
      <c r="H1283" t="s">
        <v>4151</v>
      </c>
      <c r="I1283" t="s">
        <v>3469</v>
      </c>
      <c r="J1283">
        <v>1</v>
      </c>
      <c r="K1283" t="s">
        <v>3892</v>
      </c>
      <c r="L1283">
        <v>20.8</v>
      </c>
      <c r="M1283">
        <v>20.8</v>
      </c>
      <c r="N1283" t="s">
        <v>3469</v>
      </c>
      <c r="O1283" t="s">
        <v>465</v>
      </c>
    </row>
    <row r="1284" spans="1:15" x14ac:dyDescent="0.3">
      <c r="A1284">
        <v>230139</v>
      </c>
      <c r="B1284">
        <v>116</v>
      </c>
      <c r="C1284" t="s">
        <v>568</v>
      </c>
      <c r="D1284" t="s">
        <v>2280</v>
      </c>
      <c r="E1284" t="s">
        <v>2620</v>
      </c>
      <c r="F1284" s="452">
        <v>46143</v>
      </c>
      <c r="G1284">
        <v>23236</v>
      </c>
      <c r="H1284" t="s">
        <v>4017</v>
      </c>
      <c r="I1284" t="s">
        <v>3469</v>
      </c>
      <c r="J1284">
        <v>3</v>
      </c>
      <c r="K1284" t="s">
        <v>3892</v>
      </c>
      <c r="L1284">
        <v>28.17</v>
      </c>
      <c r="M1284">
        <v>9.39</v>
      </c>
      <c r="N1284" t="s">
        <v>3469</v>
      </c>
      <c r="O1284" t="s">
        <v>465</v>
      </c>
    </row>
    <row r="1285" spans="1:15" x14ac:dyDescent="0.3">
      <c r="A1285">
        <v>230139</v>
      </c>
      <c r="B1285">
        <v>116</v>
      </c>
      <c r="C1285" t="s">
        <v>568</v>
      </c>
      <c r="D1285" t="s">
        <v>2280</v>
      </c>
      <c r="E1285" t="s">
        <v>2620</v>
      </c>
      <c r="F1285" s="452">
        <v>46143</v>
      </c>
      <c r="G1285">
        <v>23198</v>
      </c>
      <c r="H1285" t="s">
        <v>4167</v>
      </c>
      <c r="I1285" t="s">
        <v>3469</v>
      </c>
      <c r="J1285">
        <v>1</v>
      </c>
      <c r="K1285" t="s">
        <v>3892</v>
      </c>
      <c r="L1285">
        <v>11.7</v>
      </c>
      <c r="M1285">
        <v>11.7</v>
      </c>
      <c r="N1285" t="s">
        <v>3469</v>
      </c>
      <c r="O1285" t="s">
        <v>465</v>
      </c>
    </row>
    <row r="1286" spans="1:15" x14ac:dyDescent="0.3">
      <c r="A1286">
        <v>230139</v>
      </c>
      <c r="B1286">
        <v>116</v>
      </c>
      <c r="C1286" t="s">
        <v>568</v>
      </c>
      <c r="D1286" t="s">
        <v>2280</v>
      </c>
      <c r="E1286" t="s">
        <v>2620</v>
      </c>
      <c r="F1286" s="452">
        <v>46143</v>
      </c>
      <c r="G1286">
        <v>19672</v>
      </c>
      <c r="H1286" t="s">
        <v>4024</v>
      </c>
      <c r="I1286" t="s">
        <v>3469</v>
      </c>
      <c r="J1286">
        <v>2.2000000000000002</v>
      </c>
      <c r="K1286" t="s">
        <v>3892</v>
      </c>
      <c r="L1286">
        <v>28.6</v>
      </c>
      <c r="M1286">
        <v>13</v>
      </c>
      <c r="N1286" t="s">
        <v>3469</v>
      </c>
      <c r="O1286" t="s">
        <v>465</v>
      </c>
    </row>
    <row r="1287" spans="1:15" x14ac:dyDescent="0.3">
      <c r="A1287">
        <v>229659</v>
      </c>
      <c r="B1287">
        <v>116</v>
      </c>
      <c r="C1287" t="s">
        <v>568</v>
      </c>
      <c r="D1287" t="s">
        <v>2267</v>
      </c>
      <c r="E1287" t="s">
        <v>2621</v>
      </c>
      <c r="F1287" s="452">
        <v>46142</v>
      </c>
      <c r="G1287">
        <v>18696</v>
      </c>
      <c r="H1287" t="s">
        <v>3956</v>
      </c>
      <c r="I1287" t="s">
        <v>3469</v>
      </c>
      <c r="J1287">
        <v>5.6</v>
      </c>
      <c r="K1287" t="s">
        <v>3892</v>
      </c>
      <c r="L1287">
        <v>100.74</v>
      </c>
      <c r="M1287">
        <v>17.989286</v>
      </c>
      <c r="N1287" t="s">
        <v>4240</v>
      </c>
      <c r="O1287" t="s">
        <v>464</v>
      </c>
    </row>
    <row r="1288" spans="1:15" x14ac:dyDescent="0.3">
      <c r="A1288">
        <v>229659</v>
      </c>
      <c r="B1288">
        <v>116</v>
      </c>
      <c r="C1288" t="s">
        <v>568</v>
      </c>
      <c r="D1288" t="s">
        <v>2267</v>
      </c>
      <c r="E1288" t="s">
        <v>2621</v>
      </c>
      <c r="F1288" s="452">
        <v>46142</v>
      </c>
      <c r="G1288">
        <v>20549</v>
      </c>
      <c r="H1288" t="s">
        <v>4007</v>
      </c>
      <c r="I1288" t="s">
        <v>3469</v>
      </c>
      <c r="J1288">
        <v>6.6</v>
      </c>
      <c r="K1288" t="s">
        <v>3892</v>
      </c>
      <c r="L1288">
        <v>131.93</v>
      </c>
      <c r="M1288">
        <v>19.989394000000001</v>
      </c>
      <c r="N1288" t="s">
        <v>4240</v>
      </c>
      <c r="O1288" t="s">
        <v>464</v>
      </c>
    </row>
    <row r="1289" spans="1:15" x14ac:dyDescent="0.3">
      <c r="A1289">
        <v>229659</v>
      </c>
      <c r="B1289">
        <v>116</v>
      </c>
      <c r="C1289" t="s">
        <v>568</v>
      </c>
      <c r="D1289" t="s">
        <v>2267</v>
      </c>
      <c r="E1289" t="s">
        <v>2621</v>
      </c>
      <c r="F1289" s="452">
        <v>46142</v>
      </c>
      <c r="G1289">
        <v>24393</v>
      </c>
      <c r="H1289" t="s">
        <v>4039</v>
      </c>
      <c r="I1289" t="s">
        <v>3469</v>
      </c>
      <c r="J1289">
        <v>3</v>
      </c>
      <c r="K1289" t="s">
        <v>3892</v>
      </c>
      <c r="L1289">
        <v>41.97</v>
      </c>
      <c r="M1289">
        <v>13.99</v>
      </c>
      <c r="N1289" t="s">
        <v>4240</v>
      </c>
      <c r="O1289" t="s">
        <v>464</v>
      </c>
    </row>
    <row r="1290" spans="1:15" x14ac:dyDescent="0.3">
      <c r="A1290">
        <v>229659</v>
      </c>
      <c r="B1290">
        <v>116</v>
      </c>
      <c r="C1290" t="s">
        <v>568</v>
      </c>
      <c r="D1290" t="s">
        <v>2267</v>
      </c>
      <c r="E1290" t="s">
        <v>2621</v>
      </c>
      <c r="F1290" s="452">
        <v>46142</v>
      </c>
      <c r="G1290">
        <v>24403</v>
      </c>
      <c r="H1290" t="s">
        <v>3992</v>
      </c>
      <c r="I1290" t="s">
        <v>3469</v>
      </c>
      <c r="J1290">
        <v>3</v>
      </c>
      <c r="K1290" t="s">
        <v>3892</v>
      </c>
      <c r="L1290">
        <v>38.700000000000003</v>
      </c>
      <c r="M1290">
        <v>12.9</v>
      </c>
      <c r="N1290" t="s">
        <v>4240</v>
      </c>
      <c r="O1290" t="s">
        <v>464</v>
      </c>
    </row>
    <row r="1291" spans="1:15" x14ac:dyDescent="0.3">
      <c r="A1291">
        <v>229659</v>
      </c>
      <c r="B1291">
        <v>116</v>
      </c>
      <c r="C1291" t="s">
        <v>568</v>
      </c>
      <c r="D1291" t="s">
        <v>2267</v>
      </c>
      <c r="E1291" t="s">
        <v>2621</v>
      </c>
      <c r="F1291" s="452">
        <v>46142</v>
      </c>
      <c r="G1291">
        <v>24517</v>
      </c>
      <c r="H1291" t="s">
        <v>3991</v>
      </c>
      <c r="I1291" t="s">
        <v>3469</v>
      </c>
      <c r="J1291">
        <v>13</v>
      </c>
      <c r="K1291" t="s">
        <v>3892</v>
      </c>
      <c r="L1291">
        <v>363.87</v>
      </c>
      <c r="M1291">
        <v>27.99</v>
      </c>
      <c r="N1291" t="s">
        <v>4240</v>
      </c>
      <c r="O1291" t="s">
        <v>464</v>
      </c>
    </row>
    <row r="1292" spans="1:15" x14ac:dyDescent="0.3">
      <c r="A1292">
        <v>229659</v>
      </c>
      <c r="B1292">
        <v>116</v>
      </c>
      <c r="C1292" t="s">
        <v>568</v>
      </c>
      <c r="D1292" t="s">
        <v>2267</v>
      </c>
      <c r="E1292" t="s">
        <v>2621</v>
      </c>
      <c r="F1292" s="452">
        <v>46142</v>
      </c>
      <c r="G1292">
        <v>24343</v>
      </c>
      <c r="H1292" t="s">
        <v>3990</v>
      </c>
      <c r="I1292" t="s">
        <v>3469</v>
      </c>
      <c r="J1292">
        <v>4.5999999999999996</v>
      </c>
      <c r="K1292" t="s">
        <v>3892</v>
      </c>
      <c r="L1292">
        <v>91.95</v>
      </c>
      <c r="M1292">
        <v>19.989129999999999</v>
      </c>
      <c r="N1292" t="s">
        <v>4240</v>
      </c>
      <c r="O1292" t="s">
        <v>464</v>
      </c>
    </row>
    <row r="1293" spans="1:15" x14ac:dyDescent="0.3">
      <c r="A1293">
        <v>229659</v>
      </c>
      <c r="B1293">
        <v>116</v>
      </c>
      <c r="C1293" t="s">
        <v>568</v>
      </c>
      <c r="D1293" t="s">
        <v>2267</v>
      </c>
      <c r="E1293" t="s">
        <v>2621</v>
      </c>
      <c r="F1293" s="452">
        <v>46142</v>
      </c>
      <c r="G1293">
        <v>18666</v>
      </c>
      <c r="H1293" t="s">
        <v>4003</v>
      </c>
      <c r="I1293" t="s">
        <v>3469</v>
      </c>
      <c r="J1293">
        <v>3</v>
      </c>
      <c r="K1293" t="s">
        <v>3892</v>
      </c>
      <c r="L1293">
        <v>71.97</v>
      </c>
      <c r="M1293">
        <v>23.99</v>
      </c>
      <c r="N1293" t="s">
        <v>4240</v>
      </c>
      <c r="O1293" t="s">
        <v>464</v>
      </c>
    </row>
    <row r="1294" spans="1:15" x14ac:dyDescent="0.3">
      <c r="A1294">
        <v>229658</v>
      </c>
      <c r="B1294">
        <v>116</v>
      </c>
      <c r="C1294" t="s">
        <v>568</v>
      </c>
      <c r="D1294" t="s">
        <v>2260</v>
      </c>
      <c r="E1294" t="s">
        <v>2622</v>
      </c>
      <c r="F1294" s="452">
        <v>46142</v>
      </c>
      <c r="G1294">
        <v>20466</v>
      </c>
      <c r="H1294" t="s">
        <v>4098</v>
      </c>
      <c r="I1294" t="s">
        <v>3469</v>
      </c>
      <c r="J1294">
        <v>1.4</v>
      </c>
      <c r="K1294" t="s">
        <v>3892</v>
      </c>
      <c r="L1294">
        <v>95.2</v>
      </c>
      <c r="M1294">
        <v>68</v>
      </c>
      <c r="N1294" t="s">
        <v>4240</v>
      </c>
      <c r="O1294" t="s">
        <v>464</v>
      </c>
    </row>
    <row r="1295" spans="1:15" x14ac:dyDescent="0.3">
      <c r="A1295">
        <v>229658</v>
      </c>
      <c r="B1295">
        <v>116</v>
      </c>
      <c r="C1295" t="s">
        <v>568</v>
      </c>
      <c r="D1295" t="s">
        <v>2260</v>
      </c>
      <c r="E1295" t="s">
        <v>2622</v>
      </c>
      <c r="F1295" s="452">
        <v>46142</v>
      </c>
      <c r="G1295">
        <v>24194</v>
      </c>
      <c r="H1295" t="s">
        <v>4181</v>
      </c>
      <c r="I1295" t="s">
        <v>3469</v>
      </c>
      <c r="J1295">
        <v>2.4</v>
      </c>
      <c r="K1295" t="s">
        <v>3892</v>
      </c>
      <c r="L1295">
        <v>100.8</v>
      </c>
      <c r="M1295">
        <v>42</v>
      </c>
      <c r="N1295" t="s">
        <v>4240</v>
      </c>
      <c r="O1295" t="s">
        <v>464</v>
      </c>
    </row>
    <row r="1296" spans="1:15" x14ac:dyDescent="0.3">
      <c r="A1296">
        <v>229658</v>
      </c>
      <c r="B1296">
        <v>116</v>
      </c>
      <c r="C1296" t="s">
        <v>568</v>
      </c>
      <c r="D1296" t="s">
        <v>2260</v>
      </c>
      <c r="E1296" t="s">
        <v>2622</v>
      </c>
      <c r="F1296" s="452">
        <v>46142</v>
      </c>
      <c r="G1296">
        <v>18685</v>
      </c>
      <c r="H1296" t="s">
        <v>3945</v>
      </c>
      <c r="I1296" t="s">
        <v>3469</v>
      </c>
      <c r="J1296">
        <v>7</v>
      </c>
      <c r="K1296" t="s">
        <v>4197</v>
      </c>
      <c r="L1296">
        <v>273</v>
      </c>
      <c r="M1296">
        <v>39</v>
      </c>
      <c r="N1296" t="s">
        <v>4240</v>
      </c>
      <c r="O1296" t="s">
        <v>464</v>
      </c>
    </row>
    <row r="1297" spans="1:15" x14ac:dyDescent="0.3">
      <c r="A1297">
        <v>229658</v>
      </c>
      <c r="B1297">
        <v>116</v>
      </c>
      <c r="C1297" t="s">
        <v>568</v>
      </c>
      <c r="D1297" t="s">
        <v>2260</v>
      </c>
      <c r="E1297" t="s">
        <v>2622</v>
      </c>
      <c r="F1297" s="452">
        <v>46142</v>
      </c>
      <c r="G1297">
        <v>20555</v>
      </c>
      <c r="H1297" t="s">
        <v>3959</v>
      </c>
      <c r="I1297" t="s">
        <v>3469</v>
      </c>
      <c r="J1297">
        <v>4.5</v>
      </c>
      <c r="K1297" t="s">
        <v>3892</v>
      </c>
      <c r="L1297">
        <v>355.5</v>
      </c>
      <c r="M1297">
        <v>79</v>
      </c>
      <c r="N1297" t="s">
        <v>4240</v>
      </c>
      <c r="O1297" t="s">
        <v>464</v>
      </c>
    </row>
    <row r="1298" spans="1:15" x14ac:dyDescent="0.3">
      <c r="A1298">
        <v>229658</v>
      </c>
      <c r="B1298">
        <v>116</v>
      </c>
      <c r="C1298" t="s">
        <v>568</v>
      </c>
      <c r="D1298" t="s">
        <v>2260</v>
      </c>
      <c r="E1298" t="s">
        <v>2622</v>
      </c>
      <c r="F1298" s="452">
        <v>46142</v>
      </c>
      <c r="G1298">
        <v>24072</v>
      </c>
      <c r="H1298" t="s">
        <v>4002</v>
      </c>
      <c r="I1298" t="s">
        <v>3469</v>
      </c>
      <c r="J1298">
        <v>3.1</v>
      </c>
      <c r="K1298" t="s">
        <v>3892</v>
      </c>
      <c r="L1298">
        <v>682</v>
      </c>
      <c r="M1298">
        <v>220</v>
      </c>
      <c r="N1298" t="s">
        <v>4240</v>
      </c>
      <c r="O1298" t="s">
        <v>464</v>
      </c>
    </row>
    <row r="1299" spans="1:15" x14ac:dyDescent="0.3">
      <c r="A1299">
        <v>229658</v>
      </c>
      <c r="B1299">
        <v>116</v>
      </c>
      <c r="C1299" t="s">
        <v>568</v>
      </c>
      <c r="D1299" t="s">
        <v>2260</v>
      </c>
      <c r="E1299" t="s">
        <v>2622</v>
      </c>
      <c r="F1299" s="452">
        <v>46142</v>
      </c>
      <c r="G1299">
        <v>22734</v>
      </c>
      <c r="H1299" t="s">
        <v>3955</v>
      </c>
      <c r="I1299" t="s">
        <v>3469</v>
      </c>
      <c r="J1299">
        <v>10</v>
      </c>
      <c r="K1299" t="s">
        <v>3892</v>
      </c>
      <c r="L1299">
        <v>990</v>
      </c>
      <c r="M1299">
        <v>99</v>
      </c>
      <c r="N1299" t="s">
        <v>4240</v>
      </c>
      <c r="O1299" t="s">
        <v>464</v>
      </c>
    </row>
    <row r="1300" spans="1:15" x14ac:dyDescent="0.3">
      <c r="A1300">
        <v>229657</v>
      </c>
      <c r="B1300">
        <v>116</v>
      </c>
      <c r="C1300" t="s">
        <v>568</v>
      </c>
      <c r="D1300" t="s">
        <v>2340</v>
      </c>
      <c r="E1300" t="s">
        <v>2623</v>
      </c>
      <c r="F1300" s="452">
        <v>46142</v>
      </c>
      <c r="G1300">
        <v>20661</v>
      </c>
      <c r="H1300" t="s">
        <v>3919</v>
      </c>
      <c r="I1300" t="s">
        <v>3469</v>
      </c>
      <c r="J1300">
        <v>6</v>
      </c>
      <c r="K1300" t="s">
        <v>3872</v>
      </c>
      <c r="L1300">
        <v>53.28</v>
      </c>
      <c r="M1300">
        <v>8.8800000000000008</v>
      </c>
      <c r="N1300" t="s">
        <v>4240</v>
      </c>
      <c r="O1300" t="s">
        <v>464</v>
      </c>
    </row>
    <row r="1301" spans="1:15" x14ac:dyDescent="0.3">
      <c r="A1301">
        <v>229657</v>
      </c>
      <c r="B1301">
        <v>116</v>
      </c>
      <c r="C1301" t="s">
        <v>568</v>
      </c>
      <c r="D1301" t="s">
        <v>2340</v>
      </c>
      <c r="E1301" t="s">
        <v>2623</v>
      </c>
      <c r="F1301" s="452">
        <v>46142</v>
      </c>
      <c r="G1301">
        <v>20246</v>
      </c>
      <c r="H1301" t="s">
        <v>3911</v>
      </c>
      <c r="I1301" t="s">
        <v>3469</v>
      </c>
      <c r="J1301">
        <v>20</v>
      </c>
      <c r="K1301" t="s">
        <v>3872</v>
      </c>
      <c r="L1301">
        <v>192.2</v>
      </c>
      <c r="M1301">
        <v>9.61</v>
      </c>
      <c r="N1301" t="s">
        <v>4240</v>
      </c>
      <c r="O1301" t="s">
        <v>464</v>
      </c>
    </row>
    <row r="1302" spans="1:15" x14ac:dyDescent="0.3">
      <c r="A1302">
        <v>229657</v>
      </c>
      <c r="B1302">
        <v>116</v>
      </c>
      <c r="C1302" t="s">
        <v>568</v>
      </c>
      <c r="D1302" t="s">
        <v>2340</v>
      </c>
      <c r="E1302" t="s">
        <v>2623</v>
      </c>
      <c r="F1302" s="452">
        <v>46142</v>
      </c>
      <c r="G1302">
        <v>19287</v>
      </c>
      <c r="H1302" t="s">
        <v>3974</v>
      </c>
      <c r="I1302" t="s">
        <v>3469</v>
      </c>
      <c r="J1302">
        <v>3.61</v>
      </c>
      <c r="K1302" t="s">
        <v>3892</v>
      </c>
      <c r="L1302">
        <v>155.09</v>
      </c>
      <c r="M1302">
        <v>42.961219</v>
      </c>
      <c r="N1302" t="s">
        <v>4240</v>
      </c>
      <c r="O1302" t="s">
        <v>464</v>
      </c>
    </row>
    <row r="1303" spans="1:15" x14ac:dyDescent="0.3">
      <c r="A1303">
        <v>229657</v>
      </c>
      <c r="B1303">
        <v>116</v>
      </c>
      <c r="C1303" t="s">
        <v>568</v>
      </c>
      <c r="D1303" t="s">
        <v>2340</v>
      </c>
      <c r="E1303" t="s">
        <v>2623</v>
      </c>
      <c r="F1303" s="452">
        <v>46142</v>
      </c>
      <c r="G1303">
        <v>19324</v>
      </c>
      <c r="H1303" t="s">
        <v>3937</v>
      </c>
      <c r="I1303" t="s">
        <v>3469</v>
      </c>
      <c r="J1303">
        <v>4.0599999999999996</v>
      </c>
      <c r="K1303" t="s">
        <v>3892</v>
      </c>
      <c r="L1303">
        <v>162.32</v>
      </c>
      <c r="M1303">
        <v>39.980296000000003</v>
      </c>
      <c r="N1303" t="s">
        <v>4240</v>
      </c>
      <c r="O1303" t="s">
        <v>464</v>
      </c>
    </row>
    <row r="1304" spans="1:15" x14ac:dyDescent="0.3">
      <c r="A1304">
        <v>229656</v>
      </c>
      <c r="B1304">
        <v>116</v>
      </c>
      <c r="C1304" t="s">
        <v>568</v>
      </c>
      <c r="D1304" t="s">
        <v>2277</v>
      </c>
      <c r="E1304" t="s">
        <v>2624</v>
      </c>
      <c r="F1304" s="452">
        <v>46142</v>
      </c>
      <c r="G1304">
        <v>19967</v>
      </c>
      <c r="H1304" t="s">
        <v>3930</v>
      </c>
      <c r="I1304" t="s">
        <v>3469</v>
      </c>
      <c r="J1304">
        <v>2</v>
      </c>
      <c r="K1304" t="s">
        <v>3872</v>
      </c>
      <c r="L1304">
        <v>98.56</v>
      </c>
      <c r="M1304">
        <v>49.28</v>
      </c>
      <c r="N1304" t="s">
        <v>4240</v>
      </c>
      <c r="O1304" t="s">
        <v>464</v>
      </c>
    </row>
    <row r="1305" spans="1:15" x14ac:dyDescent="0.3">
      <c r="A1305">
        <v>229656</v>
      </c>
      <c r="B1305">
        <v>116</v>
      </c>
      <c r="C1305" t="s">
        <v>568</v>
      </c>
      <c r="D1305" t="s">
        <v>2277</v>
      </c>
      <c r="E1305" t="s">
        <v>2624</v>
      </c>
      <c r="F1305" s="452">
        <v>46142</v>
      </c>
      <c r="G1305">
        <v>21093</v>
      </c>
      <c r="H1305" t="s">
        <v>3903</v>
      </c>
      <c r="I1305" t="s">
        <v>3469</v>
      </c>
      <c r="J1305">
        <v>10</v>
      </c>
      <c r="K1305" t="s">
        <v>3872</v>
      </c>
      <c r="L1305">
        <v>43.9</v>
      </c>
      <c r="M1305">
        <v>4.3899999999999997</v>
      </c>
      <c r="N1305" t="s">
        <v>4240</v>
      </c>
      <c r="O1305" t="s">
        <v>464</v>
      </c>
    </row>
    <row r="1306" spans="1:15" x14ac:dyDescent="0.3">
      <c r="A1306">
        <v>229656</v>
      </c>
      <c r="B1306">
        <v>116</v>
      </c>
      <c r="C1306" t="s">
        <v>568</v>
      </c>
      <c r="D1306" t="s">
        <v>2277</v>
      </c>
      <c r="E1306" t="s">
        <v>2624</v>
      </c>
      <c r="F1306" s="452">
        <v>46142</v>
      </c>
      <c r="G1306">
        <v>20809</v>
      </c>
      <c r="H1306" t="s">
        <v>4005</v>
      </c>
      <c r="I1306" t="s">
        <v>3469</v>
      </c>
      <c r="J1306">
        <v>3</v>
      </c>
      <c r="K1306" t="s">
        <v>3872</v>
      </c>
      <c r="L1306">
        <v>89.7</v>
      </c>
      <c r="M1306">
        <v>29.9</v>
      </c>
      <c r="N1306" t="s">
        <v>4240</v>
      </c>
      <c r="O1306" t="s">
        <v>464</v>
      </c>
    </row>
    <row r="1307" spans="1:15" x14ac:dyDescent="0.3">
      <c r="A1307">
        <v>229656</v>
      </c>
      <c r="B1307">
        <v>116</v>
      </c>
      <c r="C1307" t="s">
        <v>568</v>
      </c>
      <c r="D1307" t="s">
        <v>2277</v>
      </c>
      <c r="E1307" t="s">
        <v>2624</v>
      </c>
      <c r="F1307" s="452">
        <v>46142</v>
      </c>
      <c r="G1307">
        <v>20752</v>
      </c>
      <c r="H1307" t="s">
        <v>3964</v>
      </c>
      <c r="I1307" t="s">
        <v>3469</v>
      </c>
      <c r="J1307">
        <v>3</v>
      </c>
      <c r="K1307" t="s">
        <v>3872</v>
      </c>
      <c r="L1307">
        <v>308.39999999999998</v>
      </c>
      <c r="M1307">
        <v>102.8</v>
      </c>
      <c r="N1307" t="s">
        <v>4240</v>
      </c>
      <c r="O1307" t="s">
        <v>464</v>
      </c>
    </row>
    <row r="1308" spans="1:15" x14ac:dyDescent="0.3">
      <c r="A1308">
        <v>229656</v>
      </c>
      <c r="B1308">
        <v>116</v>
      </c>
      <c r="C1308" t="s">
        <v>568</v>
      </c>
      <c r="D1308" t="s">
        <v>2277</v>
      </c>
      <c r="E1308" t="s">
        <v>2624</v>
      </c>
      <c r="F1308" s="452">
        <v>46142</v>
      </c>
      <c r="G1308">
        <v>21024</v>
      </c>
      <c r="H1308" t="s">
        <v>4180</v>
      </c>
      <c r="I1308" t="s">
        <v>3469</v>
      </c>
      <c r="J1308">
        <v>2</v>
      </c>
      <c r="K1308" t="s">
        <v>3872</v>
      </c>
      <c r="L1308">
        <v>353.74</v>
      </c>
      <c r="M1308">
        <v>176.87</v>
      </c>
      <c r="N1308" t="s">
        <v>4240</v>
      </c>
      <c r="O1308" t="s">
        <v>464</v>
      </c>
    </row>
    <row r="1309" spans="1:15" x14ac:dyDescent="0.3">
      <c r="A1309">
        <v>229655</v>
      </c>
      <c r="B1309">
        <v>116</v>
      </c>
      <c r="C1309" t="s">
        <v>568</v>
      </c>
      <c r="D1309" t="s">
        <v>2308</v>
      </c>
      <c r="E1309" t="s">
        <v>2625</v>
      </c>
      <c r="F1309" s="452">
        <v>46142</v>
      </c>
      <c r="G1309">
        <v>27901</v>
      </c>
      <c r="H1309" t="s">
        <v>3942</v>
      </c>
      <c r="I1309" t="s">
        <v>3469</v>
      </c>
      <c r="J1309">
        <v>10.199999999999999</v>
      </c>
      <c r="K1309" t="s">
        <v>3892</v>
      </c>
      <c r="L1309">
        <v>1213.8</v>
      </c>
      <c r="M1309">
        <v>119</v>
      </c>
      <c r="N1309" t="s">
        <v>4240</v>
      </c>
      <c r="O1309" t="s">
        <v>464</v>
      </c>
    </row>
    <row r="1310" spans="1:15" x14ac:dyDescent="0.3">
      <c r="A1310">
        <v>229654</v>
      </c>
      <c r="B1310">
        <v>116</v>
      </c>
      <c r="C1310" t="s">
        <v>568</v>
      </c>
      <c r="D1310" t="s">
        <v>2262</v>
      </c>
      <c r="E1310" t="s">
        <v>2626</v>
      </c>
      <c r="F1310" s="452">
        <v>46142</v>
      </c>
      <c r="G1310">
        <v>18933</v>
      </c>
      <c r="H1310" t="s">
        <v>3957</v>
      </c>
      <c r="I1310" t="s">
        <v>3469</v>
      </c>
      <c r="J1310">
        <v>5.4</v>
      </c>
      <c r="K1310" t="s">
        <v>3892</v>
      </c>
      <c r="L1310">
        <v>150.12</v>
      </c>
      <c r="M1310">
        <v>27.8</v>
      </c>
      <c r="N1310" t="s">
        <v>4240</v>
      </c>
      <c r="O1310" t="s">
        <v>464</v>
      </c>
    </row>
    <row r="1311" spans="1:15" x14ac:dyDescent="0.3">
      <c r="A1311">
        <v>229654</v>
      </c>
      <c r="B1311">
        <v>116</v>
      </c>
      <c r="C1311" t="s">
        <v>568</v>
      </c>
      <c r="D1311" t="s">
        <v>2262</v>
      </c>
      <c r="E1311" t="s">
        <v>2626</v>
      </c>
      <c r="F1311" s="452">
        <v>46142</v>
      </c>
      <c r="G1311">
        <v>19034</v>
      </c>
      <c r="H1311" t="s">
        <v>3989</v>
      </c>
      <c r="I1311" t="s">
        <v>3469</v>
      </c>
      <c r="J1311">
        <v>5.5</v>
      </c>
      <c r="K1311" t="s">
        <v>3892</v>
      </c>
      <c r="L1311">
        <v>49.45</v>
      </c>
      <c r="M1311">
        <v>8.9909090000000003</v>
      </c>
      <c r="N1311" t="s">
        <v>4240</v>
      </c>
      <c r="O1311" t="s">
        <v>464</v>
      </c>
    </row>
    <row r="1312" spans="1:15" x14ac:dyDescent="0.3">
      <c r="A1312">
        <v>229654</v>
      </c>
      <c r="B1312">
        <v>116</v>
      </c>
      <c r="C1312" t="s">
        <v>568</v>
      </c>
      <c r="D1312" t="s">
        <v>2262</v>
      </c>
      <c r="E1312" t="s">
        <v>2626</v>
      </c>
      <c r="F1312" s="452">
        <v>46142</v>
      </c>
      <c r="G1312">
        <v>24339</v>
      </c>
      <c r="H1312" t="s">
        <v>4119</v>
      </c>
      <c r="I1312" t="s">
        <v>3469</v>
      </c>
      <c r="J1312">
        <v>6.75</v>
      </c>
      <c r="K1312" t="s">
        <v>3892</v>
      </c>
      <c r="L1312">
        <v>201.82</v>
      </c>
      <c r="M1312">
        <v>29.899259000000001</v>
      </c>
      <c r="N1312" t="s">
        <v>4240</v>
      </c>
      <c r="O1312" t="s">
        <v>464</v>
      </c>
    </row>
    <row r="1313" spans="1:15" x14ac:dyDescent="0.3">
      <c r="A1313">
        <v>229654</v>
      </c>
      <c r="B1313">
        <v>116</v>
      </c>
      <c r="C1313" t="s">
        <v>568</v>
      </c>
      <c r="D1313" t="s">
        <v>2262</v>
      </c>
      <c r="E1313" t="s">
        <v>2626</v>
      </c>
      <c r="F1313" s="452">
        <v>46142</v>
      </c>
      <c r="G1313">
        <v>19017</v>
      </c>
      <c r="H1313" t="s">
        <v>4172</v>
      </c>
      <c r="I1313" t="s">
        <v>3469</v>
      </c>
      <c r="J1313">
        <v>5.0999999999999996</v>
      </c>
      <c r="K1313" t="s">
        <v>3892</v>
      </c>
      <c r="L1313">
        <v>81.09</v>
      </c>
      <c r="M1313">
        <v>15.9</v>
      </c>
      <c r="N1313" t="s">
        <v>4240</v>
      </c>
      <c r="O1313" t="s">
        <v>464</v>
      </c>
    </row>
    <row r="1314" spans="1:15" x14ac:dyDescent="0.3">
      <c r="A1314">
        <v>229654</v>
      </c>
      <c r="B1314">
        <v>116</v>
      </c>
      <c r="C1314" t="s">
        <v>568</v>
      </c>
      <c r="D1314" t="s">
        <v>2262</v>
      </c>
      <c r="E1314" t="s">
        <v>2626</v>
      </c>
      <c r="F1314" s="452">
        <v>46142</v>
      </c>
      <c r="G1314">
        <v>18832</v>
      </c>
      <c r="H1314" t="s">
        <v>3900</v>
      </c>
      <c r="I1314" t="s">
        <v>3469</v>
      </c>
      <c r="J1314">
        <v>26</v>
      </c>
      <c r="K1314" t="s">
        <v>3892</v>
      </c>
      <c r="L1314">
        <v>1037.4000000000001</v>
      </c>
      <c r="M1314">
        <v>39.9</v>
      </c>
      <c r="N1314" t="s">
        <v>4240</v>
      </c>
      <c r="O1314" t="s">
        <v>464</v>
      </c>
    </row>
    <row r="1315" spans="1:15" x14ac:dyDescent="0.3">
      <c r="A1315">
        <v>229654</v>
      </c>
      <c r="B1315">
        <v>116</v>
      </c>
      <c r="C1315" t="s">
        <v>568</v>
      </c>
      <c r="D1315" t="s">
        <v>2262</v>
      </c>
      <c r="E1315" t="s">
        <v>2626</v>
      </c>
      <c r="F1315" s="452">
        <v>46142</v>
      </c>
      <c r="G1315">
        <v>24116</v>
      </c>
      <c r="H1315" t="s">
        <v>3963</v>
      </c>
      <c r="I1315" t="s">
        <v>3469</v>
      </c>
      <c r="J1315">
        <v>5</v>
      </c>
      <c r="K1315" t="s">
        <v>3892</v>
      </c>
      <c r="L1315">
        <v>209.5</v>
      </c>
      <c r="M1315">
        <v>41.9</v>
      </c>
      <c r="N1315" t="s">
        <v>4240</v>
      </c>
      <c r="O1315" t="s">
        <v>464</v>
      </c>
    </row>
    <row r="1316" spans="1:15" x14ac:dyDescent="0.3">
      <c r="A1316">
        <v>229652</v>
      </c>
      <c r="B1316">
        <v>116</v>
      </c>
      <c r="C1316" t="s">
        <v>568</v>
      </c>
      <c r="D1316" t="s">
        <v>2280</v>
      </c>
      <c r="E1316" t="s">
        <v>2627</v>
      </c>
      <c r="F1316" s="452">
        <v>46142</v>
      </c>
      <c r="G1316">
        <v>24484</v>
      </c>
      <c r="H1316" t="s">
        <v>4154</v>
      </c>
      <c r="I1316" t="s">
        <v>3469</v>
      </c>
      <c r="J1316">
        <v>0.5</v>
      </c>
      <c r="K1316" t="s">
        <v>3892</v>
      </c>
      <c r="L1316">
        <v>6.5</v>
      </c>
      <c r="M1316">
        <v>13</v>
      </c>
      <c r="N1316" t="s">
        <v>4240</v>
      </c>
      <c r="O1316" t="s">
        <v>464</v>
      </c>
    </row>
    <row r="1317" spans="1:15" x14ac:dyDescent="0.3">
      <c r="A1317">
        <v>229652</v>
      </c>
      <c r="B1317">
        <v>116</v>
      </c>
      <c r="C1317" t="s">
        <v>568</v>
      </c>
      <c r="D1317" t="s">
        <v>2280</v>
      </c>
      <c r="E1317" t="s">
        <v>2627</v>
      </c>
      <c r="F1317" s="452">
        <v>46142</v>
      </c>
      <c r="G1317">
        <v>19555</v>
      </c>
      <c r="H1317" t="s">
        <v>4109</v>
      </c>
      <c r="I1317" t="s">
        <v>3469</v>
      </c>
      <c r="J1317">
        <v>1</v>
      </c>
      <c r="K1317" t="s">
        <v>3892</v>
      </c>
      <c r="L1317">
        <v>15.16</v>
      </c>
      <c r="M1317">
        <v>15.16</v>
      </c>
      <c r="N1317" t="s">
        <v>4240</v>
      </c>
      <c r="O1317" t="s">
        <v>464</v>
      </c>
    </row>
    <row r="1318" spans="1:15" x14ac:dyDescent="0.3">
      <c r="A1318">
        <v>229652</v>
      </c>
      <c r="B1318">
        <v>116</v>
      </c>
      <c r="C1318" t="s">
        <v>568</v>
      </c>
      <c r="D1318" t="s">
        <v>2280</v>
      </c>
      <c r="E1318" t="s">
        <v>2627</v>
      </c>
      <c r="F1318" s="452">
        <v>46142</v>
      </c>
      <c r="G1318">
        <v>23096</v>
      </c>
      <c r="H1318" t="s">
        <v>3876</v>
      </c>
      <c r="I1318" t="s">
        <v>3469</v>
      </c>
      <c r="J1318">
        <v>30</v>
      </c>
      <c r="K1318" t="s">
        <v>3872</v>
      </c>
      <c r="L1318">
        <v>19.5</v>
      </c>
      <c r="M1318">
        <v>0.65</v>
      </c>
      <c r="N1318" t="s">
        <v>4240</v>
      </c>
      <c r="O1318" t="s">
        <v>464</v>
      </c>
    </row>
    <row r="1319" spans="1:15" x14ac:dyDescent="0.3">
      <c r="A1319">
        <v>229652</v>
      </c>
      <c r="B1319">
        <v>116</v>
      </c>
      <c r="C1319" t="s">
        <v>568</v>
      </c>
      <c r="D1319" t="s">
        <v>2280</v>
      </c>
      <c r="E1319" t="s">
        <v>2627</v>
      </c>
      <c r="F1319" s="452">
        <v>46142</v>
      </c>
      <c r="G1319">
        <v>23142</v>
      </c>
      <c r="H1319" t="s">
        <v>4151</v>
      </c>
      <c r="I1319" t="s">
        <v>3469</v>
      </c>
      <c r="J1319">
        <v>1</v>
      </c>
      <c r="K1319" t="s">
        <v>3892</v>
      </c>
      <c r="L1319">
        <v>20.8</v>
      </c>
      <c r="M1319">
        <v>20.8</v>
      </c>
      <c r="N1319" t="s">
        <v>4240</v>
      </c>
      <c r="O1319" t="s">
        <v>464</v>
      </c>
    </row>
    <row r="1320" spans="1:15" x14ac:dyDescent="0.3">
      <c r="A1320">
        <v>229652</v>
      </c>
      <c r="B1320">
        <v>116</v>
      </c>
      <c r="C1320" t="s">
        <v>568</v>
      </c>
      <c r="D1320" t="s">
        <v>2280</v>
      </c>
      <c r="E1320" t="s">
        <v>2627</v>
      </c>
      <c r="F1320" s="452">
        <v>46142</v>
      </c>
      <c r="G1320">
        <v>19672</v>
      </c>
      <c r="H1320" t="s">
        <v>4024</v>
      </c>
      <c r="I1320" t="s">
        <v>3469</v>
      </c>
      <c r="J1320">
        <v>2</v>
      </c>
      <c r="K1320" t="s">
        <v>3892</v>
      </c>
      <c r="L1320">
        <v>26</v>
      </c>
      <c r="M1320">
        <v>13</v>
      </c>
      <c r="N1320" t="s">
        <v>4240</v>
      </c>
      <c r="O1320" t="s">
        <v>464</v>
      </c>
    </row>
    <row r="1321" spans="1:15" x14ac:dyDescent="0.3">
      <c r="A1321">
        <v>229652</v>
      </c>
      <c r="B1321">
        <v>116</v>
      </c>
      <c r="C1321" t="s">
        <v>568</v>
      </c>
      <c r="D1321" t="s">
        <v>2280</v>
      </c>
      <c r="E1321" t="s">
        <v>2627</v>
      </c>
      <c r="F1321" s="452">
        <v>46142</v>
      </c>
      <c r="G1321">
        <v>23236</v>
      </c>
      <c r="H1321" t="s">
        <v>4017</v>
      </c>
      <c r="I1321" t="s">
        <v>3469</v>
      </c>
      <c r="J1321">
        <v>3</v>
      </c>
      <c r="K1321" t="s">
        <v>3892</v>
      </c>
      <c r="L1321">
        <v>28.17</v>
      </c>
      <c r="M1321">
        <v>9.39</v>
      </c>
      <c r="N1321" t="s">
        <v>4240</v>
      </c>
      <c r="O1321" t="s">
        <v>464</v>
      </c>
    </row>
    <row r="1322" spans="1:15" x14ac:dyDescent="0.3">
      <c r="A1322">
        <v>229652</v>
      </c>
      <c r="B1322">
        <v>116</v>
      </c>
      <c r="C1322" t="s">
        <v>568</v>
      </c>
      <c r="D1322" t="s">
        <v>2280</v>
      </c>
      <c r="E1322" t="s">
        <v>2627</v>
      </c>
      <c r="F1322" s="452">
        <v>46142</v>
      </c>
      <c r="G1322">
        <v>23389</v>
      </c>
      <c r="H1322" t="s">
        <v>4016</v>
      </c>
      <c r="I1322" t="s">
        <v>3469</v>
      </c>
      <c r="J1322">
        <v>5</v>
      </c>
      <c r="K1322" t="s">
        <v>3892</v>
      </c>
      <c r="L1322">
        <v>22.75</v>
      </c>
      <c r="M1322">
        <v>4.55</v>
      </c>
      <c r="N1322" t="s">
        <v>4240</v>
      </c>
      <c r="O1322" t="s">
        <v>464</v>
      </c>
    </row>
    <row r="1323" spans="1:15" x14ac:dyDescent="0.3">
      <c r="A1323">
        <v>229652</v>
      </c>
      <c r="B1323">
        <v>116</v>
      </c>
      <c r="C1323" t="s">
        <v>568</v>
      </c>
      <c r="D1323" t="s">
        <v>2280</v>
      </c>
      <c r="E1323" t="s">
        <v>2627</v>
      </c>
      <c r="F1323" s="452">
        <v>46142</v>
      </c>
      <c r="G1323">
        <v>23095</v>
      </c>
      <c r="H1323" t="s">
        <v>3882</v>
      </c>
      <c r="I1323" t="s">
        <v>3469</v>
      </c>
      <c r="J1323">
        <v>40</v>
      </c>
      <c r="K1323" t="s">
        <v>3872</v>
      </c>
      <c r="L1323">
        <v>46.8</v>
      </c>
      <c r="M1323">
        <v>1.17</v>
      </c>
      <c r="N1323" t="s">
        <v>4240</v>
      </c>
      <c r="O1323" t="s">
        <v>464</v>
      </c>
    </row>
    <row r="1324" spans="1:15" x14ac:dyDescent="0.3">
      <c r="A1324">
        <v>229652</v>
      </c>
      <c r="B1324">
        <v>116</v>
      </c>
      <c r="C1324" t="s">
        <v>568</v>
      </c>
      <c r="D1324" t="s">
        <v>2280</v>
      </c>
      <c r="E1324" t="s">
        <v>2627</v>
      </c>
      <c r="F1324" s="452">
        <v>46142</v>
      </c>
      <c r="G1324">
        <v>23361</v>
      </c>
      <c r="H1324" t="s">
        <v>4220</v>
      </c>
      <c r="I1324" t="s">
        <v>3469</v>
      </c>
      <c r="J1324">
        <v>20</v>
      </c>
      <c r="K1324" t="s">
        <v>3892</v>
      </c>
      <c r="L1324">
        <v>59.8</v>
      </c>
      <c r="M1324">
        <v>2.99</v>
      </c>
      <c r="N1324" t="s">
        <v>4240</v>
      </c>
      <c r="O1324" t="s">
        <v>464</v>
      </c>
    </row>
    <row r="1325" spans="1:15" x14ac:dyDescent="0.3">
      <c r="A1325">
        <v>229652</v>
      </c>
      <c r="B1325">
        <v>116</v>
      </c>
      <c r="C1325" t="s">
        <v>568</v>
      </c>
      <c r="D1325" t="s">
        <v>2280</v>
      </c>
      <c r="E1325" t="s">
        <v>2627</v>
      </c>
      <c r="F1325" s="452">
        <v>46142</v>
      </c>
      <c r="G1325">
        <v>19634</v>
      </c>
      <c r="H1325" t="s">
        <v>4068</v>
      </c>
      <c r="I1325" t="s">
        <v>3469</v>
      </c>
      <c r="J1325">
        <v>2</v>
      </c>
      <c r="K1325" t="s">
        <v>3892</v>
      </c>
      <c r="L1325">
        <v>15.6</v>
      </c>
      <c r="M1325">
        <v>7.8</v>
      </c>
      <c r="N1325" t="s">
        <v>4240</v>
      </c>
      <c r="O1325" t="s">
        <v>464</v>
      </c>
    </row>
    <row r="1326" spans="1:15" x14ac:dyDescent="0.3">
      <c r="A1326">
        <v>229652</v>
      </c>
      <c r="B1326">
        <v>116</v>
      </c>
      <c r="C1326" t="s">
        <v>568</v>
      </c>
      <c r="D1326" t="s">
        <v>2280</v>
      </c>
      <c r="E1326" t="s">
        <v>2627</v>
      </c>
      <c r="F1326" s="452">
        <v>46142</v>
      </c>
      <c r="G1326">
        <v>19589</v>
      </c>
      <c r="H1326" t="s">
        <v>4153</v>
      </c>
      <c r="I1326" t="s">
        <v>3469</v>
      </c>
      <c r="J1326">
        <v>2</v>
      </c>
      <c r="K1326" t="s">
        <v>3892</v>
      </c>
      <c r="L1326">
        <v>14.56</v>
      </c>
      <c r="M1326">
        <v>7.28</v>
      </c>
      <c r="N1326" t="s">
        <v>4240</v>
      </c>
      <c r="O1326" t="s">
        <v>464</v>
      </c>
    </row>
    <row r="1327" spans="1:15" x14ac:dyDescent="0.3">
      <c r="A1327">
        <v>229651</v>
      </c>
      <c r="B1327">
        <v>116</v>
      </c>
      <c r="C1327" t="s">
        <v>568</v>
      </c>
      <c r="D1327" t="s">
        <v>2308</v>
      </c>
      <c r="E1327" t="s">
        <v>2628</v>
      </c>
      <c r="F1327" s="452">
        <v>46142</v>
      </c>
      <c r="G1327">
        <v>28760</v>
      </c>
      <c r="H1327" t="s">
        <v>4188</v>
      </c>
      <c r="I1327" t="s">
        <v>3469</v>
      </c>
      <c r="J1327">
        <v>15.7</v>
      </c>
      <c r="K1327" t="s">
        <v>3892</v>
      </c>
      <c r="L1327">
        <v>957.7</v>
      </c>
      <c r="M1327">
        <v>61</v>
      </c>
      <c r="N1327" t="s">
        <v>4240</v>
      </c>
      <c r="O1327" t="s">
        <v>464</v>
      </c>
    </row>
    <row r="1328" spans="1:15" x14ac:dyDescent="0.3">
      <c r="A1328">
        <v>229649</v>
      </c>
      <c r="B1328">
        <v>116</v>
      </c>
      <c r="C1328" t="s">
        <v>568</v>
      </c>
      <c r="D1328" t="s">
        <v>2273</v>
      </c>
      <c r="E1328" t="s">
        <v>2629</v>
      </c>
      <c r="F1328" s="452">
        <v>46142</v>
      </c>
      <c r="G1328">
        <v>19621</v>
      </c>
      <c r="H1328" t="s">
        <v>4125</v>
      </c>
      <c r="I1328" t="s">
        <v>3469</v>
      </c>
      <c r="J1328">
        <v>2.1</v>
      </c>
      <c r="K1328" t="s">
        <v>3892</v>
      </c>
      <c r="L1328">
        <v>16.739999999999998</v>
      </c>
      <c r="M1328">
        <v>7.9714289999999997</v>
      </c>
      <c r="N1328" t="s">
        <v>4240</v>
      </c>
      <c r="O1328" t="s">
        <v>464</v>
      </c>
    </row>
    <row r="1329" spans="1:15" x14ac:dyDescent="0.3">
      <c r="A1329">
        <v>229649</v>
      </c>
      <c r="B1329">
        <v>116</v>
      </c>
      <c r="C1329" t="s">
        <v>568</v>
      </c>
      <c r="D1329" t="s">
        <v>2273</v>
      </c>
      <c r="E1329" t="s">
        <v>2629</v>
      </c>
      <c r="F1329" s="452">
        <v>46142</v>
      </c>
      <c r="G1329">
        <v>23120</v>
      </c>
      <c r="H1329" t="s">
        <v>4111</v>
      </c>
      <c r="I1329" t="s">
        <v>3469</v>
      </c>
      <c r="J1329">
        <v>0.4</v>
      </c>
      <c r="K1329" t="s">
        <v>3892</v>
      </c>
      <c r="L1329">
        <v>27.26</v>
      </c>
      <c r="M1329">
        <v>68.150000000000006</v>
      </c>
      <c r="N1329" t="s">
        <v>4240</v>
      </c>
      <c r="O1329" t="s">
        <v>464</v>
      </c>
    </row>
    <row r="1330" spans="1:15" x14ac:dyDescent="0.3">
      <c r="A1330">
        <v>229649</v>
      </c>
      <c r="B1330">
        <v>116</v>
      </c>
      <c r="C1330" t="s">
        <v>568</v>
      </c>
      <c r="D1330" t="s">
        <v>2273</v>
      </c>
      <c r="E1330" t="s">
        <v>2629</v>
      </c>
      <c r="F1330" s="452">
        <v>46142</v>
      </c>
      <c r="G1330">
        <v>19572</v>
      </c>
      <c r="H1330" t="s">
        <v>4023</v>
      </c>
      <c r="I1330" t="s">
        <v>3469</v>
      </c>
      <c r="J1330">
        <v>0.4</v>
      </c>
      <c r="K1330" t="s">
        <v>3892</v>
      </c>
      <c r="L1330">
        <v>4.38</v>
      </c>
      <c r="M1330">
        <v>10.95</v>
      </c>
      <c r="N1330" t="s">
        <v>4240</v>
      </c>
      <c r="O1330" t="s">
        <v>464</v>
      </c>
    </row>
    <row r="1331" spans="1:15" x14ac:dyDescent="0.3">
      <c r="A1331">
        <v>229649</v>
      </c>
      <c r="B1331">
        <v>116</v>
      </c>
      <c r="C1331" t="s">
        <v>568</v>
      </c>
      <c r="D1331" t="s">
        <v>2273</v>
      </c>
      <c r="E1331" t="s">
        <v>2629</v>
      </c>
      <c r="F1331" s="452">
        <v>46142</v>
      </c>
      <c r="G1331">
        <v>23171</v>
      </c>
      <c r="H1331" t="s">
        <v>4132</v>
      </c>
      <c r="I1331" t="s">
        <v>3469</v>
      </c>
      <c r="J1331">
        <v>3.1</v>
      </c>
      <c r="K1331" t="s">
        <v>3892</v>
      </c>
      <c r="L1331">
        <v>25.64</v>
      </c>
      <c r="M1331">
        <v>8.2709679999999999</v>
      </c>
      <c r="N1331" t="s">
        <v>4240</v>
      </c>
      <c r="O1331" t="s">
        <v>464</v>
      </c>
    </row>
    <row r="1332" spans="1:15" x14ac:dyDescent="0.3">
      <c r="A1332">
        <v>229648</v>
      </c>
      <c r="B1332">
        <v>116</v>
      </c>
      <c r="C1332" t="s">
        <v>568</v>
      </c>
      <c r="D1332" t="s">
        <v>2273</v>
      </c>
      <c r="E1332" t="s">
        <v>2630</v>
      </c>
      <c r="F1332" s="452">
        <v>46142</v>
      </c>
      <c r="G1332">
        <v>23113</v>
      </c>
      <c r="H1332" t="s">
        <v>4079</v>
      </c>
      <c r="I1332" t="s">
        <v>3469</v>
      </c>
      <c r="J1332">
        <v>0.6</v>
      </c>
      <c r="K1332" t="s">
        <v>3892</v>
      </c>
      <c r="L1332">
        <v>6.57</v>
      </c>
      <c r="M1332">
        <v>10.95</v>
      </c>
      <c r="N1332" t="s">
        <v>4240</v>
      </c>
      <c r="O1332" t="s">
        <v>464</v>
      </c>
    </row>
    <row r="1333" spans="1:15" x14ac:dyDescent="0.3">
      <c r="A1333">
        <v>229647</v>
      </c>
      <c r="B1333">
        <v>116</v>
      </c>
      <c r="C1333" t="s">
        <v>568</v>
      </c>
      <c r="D1333" t="s">
        <v>2312</v>
      </c>
      <c r="E1333" t="s">
        <v>2631</v>
      </c>
      <c r="F1333" s="452">
        <v>46142</v>
      </c>
      <c r="G1333">
        <v>20621</v>
      </c>
      <c r="H1333" t="s">
        <v>3885</v>
      </c>
      <c r="I1333" t="s">
        <v>3469</v>
      </c>
      <c r="J1333">
        <v>6</v>
      </c>
      <c r="K1333" t="s">
        <v>3872</v>
      </c>
      <c r="L1333">
        <v>156</v>
      </c>
      <c r="M1333">
        <v>26</v>
      </c>
      <c r="N1333" t="s">
        <v>4240</v>
      </c>
      <c r="O1333" t="s">
        <v>464</v>
      </c>
    </row>
    <row r="1334" spans="1:15" x14ac:dyDescent="0.3">
      <c r="A1334">
        <v>229647</v>
      </c>
      <c r="B1334">
        <v>116</v>
      </c>
      <c r="C1334" t="s">
        <v>568</v>
      </c>
      <c r="D1334" t="s">
        <v>2312</v>
      </c>
      <c r="E1334" t="s">
        <v>2631</v>
      </c>
      <c r="F1334" s="452">
        <v>46142</v>
      </c>
      <c r="G1334">
        <v>25768</v>
      </c>
      <c r="H1334" t="s">
        <v>4012</v>
      </c>
      <c r="I1334" t="s">
        <v>3469</v>
      </c>
      <c r="J1334">
        <v>3</v>
      </c>
      <c r="K1334" t="s">
        <v>3892</v>
      </c>
      <c r="L1334">
        <v>29.7</v>
      </c>
      <c r="M1334">
        <v>9.9</v>
      </c>
      <c r="N1334" t="s">
        <v>4240</v>
      </c>
      <c r="O1334" t="s">
        <v>464</v>
      </c>
    </row>
    <row r="1335" spans="1:15" x14ac:dyDescent="0.3">
      <c r="A1335">
        <v>229644</v>
      </c>
      <c r="B1335">
        <v>116</v>
      </c>
      <c r="C1335" t="s">
        <v>568</v>
      </c>
      <c r="D1335" t="s">
        <v>2284</v>
      </c>
      <c r="E1335" t="s">
        <v>2632</v>
      </c>
      <c r="F1335" s="452">
        <v>46142</v>
      </c>
      <c r="G1335">
        <v>22721</v>
      </c>
      <c r="H1335" t="s">
        <v>4221</v>
      </c>
      <c r="I1335" t="s">
        <v>3469</v>
      </c>
      <c r="J1335">
        <v>3.76</v>
      </c>
      <c r="K1335" t="s">
        <v>3892</v>
      </c>
      <c r="L1335">
        <v>110.92</v>
      </c>
      <c r="M1335">
        <v>29.5</v>
      </c>
      <c r="N1335" t="s">
        <v>4240</v>
      </c>
      <c r="O1335" t="s">
        <v>464</v>
      </c>
    </row>
    <row r="1336" spans="1:15" x14ac:dyDescent="0.3">
      <c r="A1336">
        <v>229643</v>
      </c>
      <c r="B1336">
        <v>116</v>
      </c>
      <c r="C1336" t="s">
        <v>568</v>
      </c>
      <c r="D1336" t="s">
        <v>2284</v>
      </c>
      <c r="E1336" t="s">
        <v>2633</v>
      </c>
      <c r="F1336" s="452">
        <v>46142</v>
      </c>
      <c r="G1336">
        <v>19973</v>
      </c>
      <c r="H1336" t="s">
        <v>3981</v>
      </c>
      <c r="I1336" t="s">
        <v>3469</v>
      </c>
      <c r="J1336">
        <v>2</v>
      </c>
      <c r="K1336" t="s">
        <v>3872</v>
      </c>
      <c r="L1336">
        <v>30.8</v>
      </c>
      <c r="M1336">
        <v>15.4</v>
      </c>
      <c r="N1336" t="s">
        <v>4240</v>
      </c>
      <c r="O1336" t="s">
        <v>464</v>
      </c>
    </row>
    <row r="1337" spans="1:15" x14ac:dyDescent="0.3">
      <c r="A1337">
        <v>229643</v>
      </c>
      <c r="B1337">
        <v>116</v>
      </c>
      <c r="C1337" t="s">
        <v>568</v>
      </c>
      <c r="D1337" t="s">
        <v>2284</v>
      </c>
      <c r="E1337" t="s">
        <v>2633</v>
      </c>
      <c r="F1337" s="452">
        <v>46142</v>
      </c>
      <c r="G1337">
        <v>20007</v>
      </c>
      <c r="H1337" t="s">
        <v>4009</v>
      </c>
      <c r="I1337" t="s">
        <v>3469</v>
      </c>
      <c r="J1337">
        <v>1</v>
      </c>
      <c r="K1337" t="s">
        <v>3966</v>
      </c>
      <c r="L1337">
        <v>53.4</v>
      </c>
      <c r="M1337">
        <v>53.4</v>
      </c>
      <c r="N1337" t="s">
        <v>4240</v>
      </c>
      <c r="O1337" t="s">
        <v>464</v>
      </c>
    </row>
    <row r="1338" spans="1:15" x14ac:dyDescent="0.3">
      <c r="A1338">
        <v>229643</v>
      </c>
      <c r="B1338">
        <v>116</v>
      </c>
      <c r="C1338" t="s">
        <v>568</v>
      </c>
      <c r="D1338" t="s">
        <v>2284</v>
      </c>
      <c r="E1338" t="s">
        <v>2633</v>
      </c>
      <c r="F1338" s="452">
        <v>46142</v>
      </c>
      <c r="G1338">
        <v>20685</v>
      </c>
      <c r="H1338" t="s">
        <v>4122</v>
      </c>
      <c r="I1338" t="s">
        <v>3469</v>
      </c>
      <c r="J1338">
        <v>6</v>
      </c>
      <c r="K1338" t="s">
        <v>3872</v>
      </c>
      <c r="L1338">
        <v>21.48</v>
      </c>
      <c r="M1338">
        <v>3.58</v>
      </c>
      <c r="N1338" t="s">
        <v>4240</v>
      </c>
      <c r="O1338" t="s">
        <v>464</v>
      </c>
    </row>
    <row r="1339" spans="1:15" x14ac:dyDescent="0.3">
      <c r="A1339">
        <v>229643</v>
      </c>
      <c r="B1339">
        <v>116</v>
      </c>
      <c r="C1339" t="s">
        <v>568</v>
      </c>
      <c r="D1339" t="s">
        <v>2284</v>
      </c>
      <c r="E1339" t="s">
        <v>2633</v>
      </c>
      <c r="F1339" s="452">
        <v>46142</v>
      </c>
      <c r="G1339">
        <v>25769</v>
      </c>
      <c r="H1339" t="s">
        <v>4013</v>
      </c>
      <c r="I1339" t="s">
        <v>3469</v>
      </c>
      <c r="J1339">
        <v>2</v>
      </c>
      <c r="K1339" t="s">
        <v>3892</v>
      </c>
      <c r="L1339">
        <v>26</v>
      </c>
      <c r="M1339">
        <v>13</v>
      </c>
      <c r="N1339" t="s">
        <v>4240</v>
      </c>
      <c r="O1339" t="s">
        <v>464</v>
      </c>
    </row>
    <row r="1340" spans="1:15" x14ac:dyDescent="0.3">
      <c r="A1340">
        <v>229643</v>
      </c>
      <c r="B1340">
        <v>116</v>
      </c>
      <c r="C1340" t="s">
        <v>568</v>
      </c>
      <c r="D1340" t="s">
        <v>2284</v>
      </c>
      <c r="E1340" t="s">
        <v>2633</v>
      </c>
      <c r="F1340" s="452">
        <v>46142</v>
      </c>
      <c r="G1340">
        <v>19415</v>
      </c>
      <c r="H1340" t="s">
        <v>3941</v>
      </c>
      <c r="I1340" t="s">
        <v>3469</v>
      </c>
      <c r="J1340">
        <v>6</v>
      </c>
      <c r="K1340" t="s">
        <v>3872</v>
      </c>
      <c r="L1340">
        <v>52.8</v>
      </c>
      <c r="M1340">
        <v>8.8000000000000007</v>
      </c>
      <c r="N1340" t="s">
        <v>4240</v>
      </c>
      <c r="O1340" t="s">
        <v>464</v>
      </c>
    </row>
    <row r="1341" spans="1:15" x14ac:dyDescent="0.3">
      <c r="A1341">
        <v>229641</v>
      </c>
      <c r="B1341">
        <v>116</v>
      </c>
      <c r="C1341" t="s">
        <v>568</v>
      </c>
      <c r="D1341" t="s">
        <v>2338</v>
      </c>
      <c r="E1341" t="s">
        <v>2634</v>
      </c>
      <c r="F1341" s="452">
        <v>46142</v>
      </c>
      <c r="G1341">
        <v>20984</v>
      </c>
      <c r="H1341" t="s">
        <v>4235</v>
      </c>
      <c r="I1341" t="s">
        <v>3469</v>
      </c>
      <c r="J1341">
        <v>24</v>
      </c>
      <c r="K1341" t="s">
        <v>3931</v>
      </c>
      <c r="L1341">
        <v>195.6</v>
      </c>
      <c r="M1341">
        <v>8.15</v>
      </c>
      <c r="N1341" t="s">
        <v>4240</v>
      </c>
      <c r="O1341" t="s">
        <v>464</v>
      </c>
    </row>
    <row r="1342" spans="1:15" x14ac:dyDescent="0.3">
      <c r="A1342">
        <v>229641</v>
      </c>
      <c r="B1342">
        <v>116</v>
      </c>
      <c r="C1342" t="s">
        <v>568</v>
      </c>
      <c r="D1342" t="s">
        <v>2338</v>
      </c>
      <c r="E1342" t="s">
        <v>2634</v>
      </c>
      <c r="F1342" s="452">
        <v>46142</v>
      </c>
      <c r="G1342">
        <v>20301</v>
      </c>
      <c r="H1342" t="s">
        <v>4161</v>
      </c>
      <c r="I1342" t="s">
        <v>3469</v>
      </c>
      <c r="J1342">
        <v>10</v>
      </c>
      <c r="K1342" t="s">
        <v>3888</v>
      </c>
      <c r="L1342">
        <v>210</v>
      </c>
      <c r="M1342">
        <v>21</v>
      </c>
      <c r="N1342" t="s">
        <v>4240</v>
      </c>
      <c r="O1342" t="s">
        <v>464</v>
      </c>
    </row>
    <row r="1343" spans="1:15" x14ac:dyDescent="0.3">
      <c r="A1343">
        <v>229640</v>
      </c>
      <c r="B1343">
        <v>116</v>
      </c>
      <c r="C1343" t="s">
        <v>568</v>
      </c>
      <c r="D1343" t="s">
        <v>2342</v>
      </c>
      <c r="E1343" t="s">
        <v>2635</v>
      </c>
      <c r="F1343" s="452">
        <v>46142</v>
      </c>
      <c r="G1343">
        <v>24351</v>
      </c>
      <c r="H1343" t="s">
        <v>3912</v>
      </c>
      <c r="I1343" t="s">
        <v>3469</v>
      </c>
      <c r="J1343">
        <v>20</v>
      </c>
      <c r="K1343" t="s">
        <v>3892</v>
      </c>
      <c r="L1343">
        <v>240</v>
      </c>
      <c r="M1343">
        <v>12</v>
      </c>
      <c r="N1343" t="s">
        <v>4240</v>
      </c>
      <c r="O1343" t="s">
        <v>464</v>
      </c>
    </row>
    <row r="1344" spans="1:15" x14ac:dyDescent="0.3">
      <c r="A1344">
        <v>229639</v>
      </c>
      <c r="B1344">
        <v>116</v>
      </c>
      <c r="C1344" t="s">
        <v>568</v>
      </c>
      <c r="D1344" t="s">
        <v>2277</v>
      </c>
      <c r="E1344" t="s">
        <v>2636</v>
      </c>
      <c r="F1344" s="452">
        <v>46142</v>
      </c>
      <c r="G1344">
        <v>20395</v>
      </c>
      <c r="H1344" t="s">
        <v>4057</v>
      </c>
      <c r="I1344" t="s">
        <v>3469</v>
      </c>
      <c r="J1344">
        <v>1</v>
      </c>
      <c r="K1344" t="s">
        <v>3872</v>
      </c>
      <c r="L1344">
        <v>29.4</v>
      </c>
      <c r="M1344">
        <v>29.4</v>
      </c>
      <c r="N1344" t="s">
        <v>4240</v>
      </c>
      <c r="O1344" t="s">
        <v>464</v>
      </c>
    </row>
    <row r="1345" spans="1:15" x14ac:dyDescent="0.3">
      <c r="A1345">
        <v>229639</v>
      </c>
      <c r="B1345">
        <v>116</v>
      </c>
      <c r="C1345" t="s">
        <v>568</v>
      </c>
      <c r="D1345" t="s">
        <v>2277</v>
      </c>
      <c r="E1345" t="s">
        <v>2636</v>
      </c>
      <c r="F1345" s="452">
        <v>46142</v>
      </c>
      <c r="G1345">
        <v>20624</v>
      </c>
      <c r="H1345" t="s">
        <v>3982</v>
      </c>
      <c r="I1345" t="s">
        <v>3469</v>
      </c>
      <c r="J1345">
        <v>1</v>
      </c>
      <c r="K1345" t="s">
        <v>3872</v>
      </c>
      <c r="L1345">
        <v>70.900000000000006</v>
      </c>
      <c r="M1345">
        <v>70.900000000000006</v>
      </c>
      <c r="N1345" t="s">
        <v>4240</v>
      </c>
      <c r="O1345" t="s">
        <v>464</v>
      </c>
    </row>
    <row r="1346" spans="1:15" x14ac:dyDescent="0.3">
      <c r="A1346">
        <v>229639</v>
      </c>
      <c r="B1346">
        <v>116</v>
      </c>
      <c r="C1346" t="s">
        <v>568</v>
      </c>
      <c r="D1346" t="s">
        <v>2277</v>
      </c>
      <c r="E1346" t="s">
        <v>2636</v>
      </c>
      <c r="F1346" s="452">
        <v>46142</v>
      </c>
      <c r="G1346">
        <v>24185</v>
      </c>
      <c r="H1346" t="s">
        <v>4040</v>
      </c>
      <c r="I1346" t="s">
        <v>3469</v>
      </c>
      <c r="J1346">
        <v>2</v>
      </c>
      <c r="K1346" t="s">
        <v>3892</v>
      </c>
      <c r="L1346">
        <v>47</v>
      </c>
      <c r="M1346">
        <v>23.5</v>
      </c>
      <c r="N1346" t="s">
        <v>4240</v>
      </c>
      <c r="O1346" t="s">
        <v>464</v>
      </c>
    </row>
    <row r="1347" spans="1:15" x14ac:dyDescent="0.3">
      <c r="A1347">
        <v>229639</v>
      </c>
      <c r="B1347">
        <v>116</v>
      </c>
      <c r="C1347" t="s">
        <v>568</v>
      </c>
      <c r="D1347" t="s">
        <v>2277</v>
      </c>
      <c r="E1347" t="s">
        <v>2636</v>
      </c>
      <c r="F1347" s="452">
        <v>46142</v>
      </c>
      <c r="G1347">
        <v>20287</v>
      </c>
      <c r="H1347" t="s">
        <v>4053</v>
      </c>
      <c r="I1347" t="s">
        <v>3469</v>
      </c>
      <c r="J1347">
        <v>1</v>
      </c>
      <c r="K1347" t="s">
        <v>4197</v>
      </c>
      <c r="L1347">
        <v>24.99</v>
      </c>
      <c r="M1347">
        <v>24.99</v>
      </c>
      <c r="N1347" t="s">
        <v>4240</v>
      </c>
      <c r="O1347" t="s">
        <v>464</v>
      </c>
    </row>
    <row r="1348" spans="1:15" x14ac:dyDescent="0.3">
      <c r="A1348">
        <v>229639</v>
      </c>
      <c r="B1348">
        <v>116</v>
      </c>
      <c r="C1348" t="s">
        <v>568</v>
      </c>
      <c r="D1348" t="s">
        <v>2277</v>
      </c>
      <c r="E1348" t="s">
        <v>2636</v>
      </c>
      <c r="F1348" s="452">
        <v>46142</v>
      </c>
      <c r="G1348">
        <v>24212</v>
      </c>
      <c r="H1348" t="s">
        <v>4056</v>
      </c>
      <c r="I1348" t="s">
        <v>3469</v>
      </c>
      <c r="J1348">
        <v>2</v>
      </c>
      <c r="K1348" t="s">
        <v>3892</v>
      </c>
      <c r="L1348">
        <v>25.8</v>
      </c>
      <c r="M1348">
        <v>12.9</v>
      </c>
      <c r="N1348" t="s">
        <v>4240</v>
      </c>
      <c r="O1348" t="s">
        <v>464</v>
      </c>
    </row>
    <row r="1349" spans="1:15" x14ac:dyDescent="0.3">
      <c r="A1349">
        <v>229639</v>
      </c>
      <c r="B1349">
        <v>116</v>
      </c>
      <c r="C1349" t="s">
        <v>568</v>
      </c>
      <c r="D1349" t="s">
        <v>2277</v>
      </c>
      <c r="E1349" t="s">
        <v>2636</v>
      </c>
      <c r="F1349" s="452">
        <v>46142</v>
      </c>
      <c r="G1349">
        <v>20729</v>
      </c>
      <c r="H1349" t="s">
        <v>3965</v>
      </c>
      <c r="I1349" t="s">
        <v>3469</v>
      </c>
      <c r="J1349">
        <v>3</v>
      </c>
      <c r="K1349" t="s">
        <v>3966</v>
      </c>
      <c r="L1349">
        <v>203.64</v>
      </c>
      <c r="M1349">
        <v>67.88</v>
      </c>
      <c r="N1349" t="s">
        <v>4240</v>
      </c>
      <c r="O1349" t="s">
        <v>464</v>
      </c>
    </row>
    <row r="1350" spans="1:15" x14ac:dyDescent="0.3">
      <c r="A1350">
        <v>229638</v>
      </c>
      <c r="B1350">
        <v>116</v>
      </c>
      <c r="C1350" t="s">
        <v>568</v>
      </c>
      <c r="D1350" t="s">
        <v>2381</v>
      </c>
      <c r="E1350" t="s">
        <v>2637</v>
      </c>
      <c r="F1350" s="452">
        <v>46142</v>
      </c>
      <c r="G1350">
        <v>19291</v>
      </c>
      <c r="H1350" t="s">
        <v>4254</v>
      </c>
      <c r="I1350" t="s">
        <v>3469</v>
      </c>
      <c r="J1350">
        <v>28.74</v>
      </c>
      <c r="K1350" t="s">
        <v>3892</v>
      </c>
      <c r="L1350">
        <v>1724.4</v>
      </c>
      <c r="M1350">
        <v>60</v>
      </c>
      <c r="N1350" t="s">
        <v>4240</v>
      </c>
      <c r="O1350" t="s">
        <v>464</v>
      </c>
    </row>
    <row r="1351" spans="1:15" x14ac:dyDescent="0.3">
      <c r="A1351">
        <v>229631</v>
      </c>
      <c r="B1351">
        <v>116</v>
      </c>
      <c r="C1351" t="s">
        <v>568</v>
      </c>
      <c r="D1351" t="s">
        <v>2410</v>
      </c>
      <c r="E1351" t="s">
        <v>2638</v>
      </c>
      <c r="F1351" s="452">
        <v>46142</v>
      </c>
      <c r="G1351">
        <v>18493</v>
      </c>
      <c r="H1351" t="s">
        <v>3958</v>
      </c>
      <c r="I1351" t="s">
        <v>3497</v>
      </c>
      <c r="J1351">
        <v>4</v>
      </c>
      <c r="K1351" t="s">
        <v>3878</v>
      </c>
      <c r="L1351">
        <v>279.60000000000002</v>
      </c>
      <c r="M1351">
        <v>69.900000000000006</v>
      </c>
      <c r="N1351" t="s">
        <v>3497</v>
      </c>
      <c r="O1351" t="s">
        <v>464</v>
      </c>
    </row>
    <row r="1352" spans="1:15" x14ac:dyDescent="0.3">
      <c r="A1352">
        <v>229631</v>
      </c>
      <c r="B1352">
        <v>116</v>
      </c>
      <c r="C1352" t="s">
        <v>568</v>
      </c>
      <c r="D1352" t="s">
        <v>2410</v>
      </c>
      <c r="E1352" t="s">
        <v>2638</v>
      </c>
      <c r="F1352" s="452">
        <v>46142</v>
      </c>
      <c r="G1352">
        <v>18475</v>
      </c>
      <c r="H1352" t="s">
        <v>3918</v>
      </c>
      <c r="I1352" t="s">
        <v>3497</v>
      </c>
      <c r="J1352">
        <v>12</v>
      </c>
      <c r="K1352" t="s">
        <v>3878</v>
      </c>
      <c r="L1352">
        <v>394.8</v>
      </c>
      <c r="M1352">
        <v>32.9</v>
      </c>
      <c r="N1352" t="s">
        <v>3497</v>
      </c>
      <c r="O1352" t="s">
        <v>464</v>
      </c>
    </row>
    <row r="1353" spans="1:15" x14ac:dyDescent="0.3">
      <c r="A1353">
        <v>229629</v>
      </c>
      <c r="B1353">
        <v>116</v>
      </c>
      <c r="C1353" t="s">
        <v>568</v>
      </c>
      <c r="D1353" t="s">
        <v>2332</v>
      </c>
      <c r="E1353" t="s">
        <v>2639</v>
      </c>
      <c r="F1353" s="452">
        <v>46142</v>
      </c>
      <c r="G1353">
        <v>18538</v>
      </c>
      <c r="H1353" t="s">
        <v>4026</v>
      </c>
      <c r="I1353" t="s">
        <v>3497</v>
      </c>
      <c r="J1353">
        <v>2</v>
      </c>
      <c r="K1353" t="s">
        <v>3878</v>
      </c>
      <c r="L1353">
        <v>205.96</v>
      </c>
      <c r="M1353">
        <v>102.98</v>
      </c>
      <c r="N1353" t="s">
        <v>3497</v>
      </c>
      <c r="O1353" t="s">
        <v>464</v>
      </c>
    </row>
    <row r="1354" spans="1:15" x14ac:dyDescent="0.3">
      <c r="A1354">
        <v>229628</v>
      </c>
      <c r="B1354">
        <v>116</v>
      </c>
      <c r="C1354" t="s">
        <v>568</v>
      </c>
      <c r="D1354" t="s">
        <v>2293</v>
      </c>
      <c r="E1354" t="s">
        <v>2640</v>
      </c>
      <c r="F1354" s="452">
        <v>46143</v>
      </c>
      <c r="G1354">
        <v>16974</v>
      </c>
      <c r="H1354" t="s">
        <v>3996</v>
      </c>
      <c r="I1354" t="s">
        <v>3497</v>
      </c>
      <c r="J1354">
        <v>4</v>
      </c>
      <c r="K1354" t="s">
        <v>3881</v>
      </c>
      <c r="L1354">
        <v>540</v>
      </c>
      <c r="M1354">
        <v>135</v>
      </c>
      <c r="N1354" t="s">
        <v>3497</v>
      </c>
      <c r="O1354" t="s">
        <v>465</v>
      </c>
    </row>
    <row r="1355" spans="1:15" x14ac:dyDescent="0.3">
      <c r="A1355">
        <v>229627</v>
      </c>
      <c r="B1355">
        <v>116</v>
      </c>
      <c r="C1355" t="s">
        <v>568</v>
      </c>
      <c r="D1355" t="s">
        <v>2314</v>
      </c>
      <c r="E1355" t="s">
        <v>2641</v>
      </c>
      <c r="F1355" s="452">
        <v>46142</v>
      </c>
      <c r="G1355">
        <v>18636</v>
      </c>
      <c r="H1355" t="s">
        <v>3921</v>
      </c>
      <c r="I1355" t="s">
        <v>3497</v>
      </c>
      <c r="J1355">
        <v>6</v>
      </c>
      <c r="K1355" t="s">
        <v>3922</v>
      </c>
      <c r="L1355">
        <v>2896.8</v>
      </c>
      <c r="M1355">
        <v>482.8</v>
      </c>
      <c r="N1355" t="s">
        <v>4309</v>
      </c>
      <c r="O1355" t="s">
        <v>464</v>
      </c>
    </row>
    <row r="1356" spans="1:15" x14ac:dyDescent="0.3">
      <c r="A1356">
        <v>229626</v>
      </c>
      <c r="B1356">
        <v>116</v>
      </c>
      <c r="C1356" t="s">
        <v>568</v>
      </c>
      <c r="D1356" t="s">
        <v>2314</v>
      </c>
      <c r="E1356" t="s">
        <v>2642</v>
      </c>
      <c r="F1356" s="452">
        <v>46142</v>
      </c>
      <c r="G1356">
        <v>18636</v>
      </c>
      <c r="H1356" t="s">
        <v>3921</v>
      </c>
      <c r="I1356" t="s">
        <v>3497</v>
      </c>
      <c r="J1356">
        <v>6</v>
      </c>
      <c r="K1356" t="s">
        <v>3922</v>
      </c>
      <c r="L1356">
        <v>2896.8</v>
      </c>
      <c r="M1356">
        <v>482.8</v>
      </c>
      <c r="N1356" t="s">
        <v>3497</v>
      </c>
      <c r="O1356" t="s">
        <v>464</v>
      </c>
    </row>
    <row r="1357" spans="1:15" x14ac:dyDescent="0.3">
      <c r="A1357">
        <v>229624</v>
      </c>
      <c r="B1357">
        <v>116</v>
      </c>
      <c r="C1357" t="s">
        <v>568</v>
      </c>
      <c r="D1357" t="s">
        <v>2314</v>
      </c>
      <c r="E1357" t="s">
        <v>2643</v>
      </c>
      <c r="F1357" s="452">
        <v>46142</v>
      </c>
      <c r="G1357">
        <v>17916</v>
      </c>
      <c r="H1357" t="s">
        <v>4191</v>
      </c>
      <c r="I1357" t="s">
        <v>3497</v>
      </c>
      <c r="J1357">
        <v>3</v>
      </c>
      <c r="K1357" t="s">
        <v>3888</v>
      </c>
      <c r="L1357">
        <v>86.4</v>
      </c>
      <c r="M1357">
        <v>28.8</v>
      </c>
      <c r="N1357" t="s">
        <v>3497</v>
      </c>
      <c r="O1357" t="s">
        <v>464</v>
      </c>
    </row>
    <row r="1358" spans="1:15" x14ac:dyDescent="0.3">
      <c r="A1358">
        <v>229624</v>
      </c>
      <c r="B1358">
        <v>116</v>
      </c>
      <c r="C1358" t="s">
        <v>568</v>
      </c>
      <c r="D1358" t="s">
        <v>2314</v>
      </c>
      <c r="E1358" t="s">
        <v>2643</v>
      </c>
      <c r="F1358" s="452">
        <v>46142</v>
      </c>
      <c r="G1358">
        <v>17914</v>
      </c>
      <c r="H1358" t="s">
        <v>3997</v>
      </c>
      <c r="I1358" t="s">
        <v>3497</v>
      </c>
      <c r="J1358">
        <v>3</v>
      </c>
      <c r="K1358" t="s">
        <v>3888</v>
      </c>
      <c r="L1358">
        <v>96.72</v>
      </c>
      <c r="M1358">
        <v>32.24</v>
      </c>
      <c r="N1358" t="s">
        <v>3497</v>
      </c>
      <c r="O1358" t="s">
        <v>464</v>
      </c>
    </row>
    <row r="1359" spans="1:15" x14ac:dyDescent="0.3">
      <c r="A1359">
        <v>229624</v>
      </c>
      <c r="B1359">
        <v>116</v>
      </c>
      <c r="C1359" t="s">
        <v>568</v>
      </c>
      <c r="D1359" t="s">
        <v>2314</v>
      </c>
      <c r="E1359" t="s">
        <v>2643</v>
      </c>
      <c r="F1359" s="452">
        <v>46142</v>
      </c>
      <c r="G1359">
        <v>17918</v>
      </c>
      <c r="H1359" t="s">
        <v>4034</v>
      </c>
      <c r="I1359" t="s">
        <v>3497</v>
      </c>
      <c r="J1359">
        <v>2</v>
      </c>
      <c r="K1359" t="s">
        <v>3888</v>
      </c>
      <c r="L1359">
        <v>86.4</v>
      </c>
      <c r="M1359">
        <v>43.2</v>
      </c>
      <c r="N1359" t="s">
        <v>3497</v>
      </c>
      <c r="O1359" t="s">
        <v>464</v>
      </c>
    </row>
    <row r="1360" spans="1:15" x14ac:dyDescent="0.3">
      <c r="A1360">
        <v>229624</v>
      </c>
      <c r="B1360">
        <v>116</v>
      </c>
      <c r="C1360" t="s">
        <v>568</v>
      </c>
      <c r="D1360" t="s">
        <v>2314</v>
      </c>
      <c r="E1360" t="s">
        <v>2643</v>
      </c>
      <c r="F1360" s="452">
        <v>46142</v>
      </c>
      <c r="G1360">
        <v>18640</v>
      </c>
      <c r="H1360" t="s">
        <v>3994</v>
      </c>
      <c r="I1360" t="s">
        <v>3497</v>
      </c>
      <c r="J1360">
        <v>2</v>
      </c>
      <c r="K1360" t="s">
        <v>3922</v>
      </c>
      <c r="L1360">
        <v>612</v>
      </c>
      <c r="M1360">
        <v>306</v>
      </c>
      <c r="N1360" t="s">
        <v>3497</v>
      </c>
      <c r="O1360" t="s">
        <v>464</v>
      </c>
    </row>
    <row r="1361" spans="1:15" x14ac:dyDescent="0.3">
      <c r="A1361">
        <v>229624</v>
      </c>
      <c r="B1361">
        <v>116</v>
      </c>
      <c r="C1361" t="s">
        <v>568</v>
      </c>
      <c r="D1361" t="s">
        <v>2314</v>
      </c>
      <c r="E1361" t="s">
        <v>2643</v>
      </c>
      <c r="F1361" s="452">
        <v>46142</v>
      </c>
      <c r="G1361">
        <v>18636</v>
      </c>
      <c r="H1361" t="s">
        <v>3921</v>
      </c>
      <c r="I1361" t="s">
        <v>3497</v>
      </c>
      <c r="J1361">
        <v>8</v>
      </c>
      <c r="K1361" t="s">
        <v>3922</v>
      </c>
      <c r="L1361">
        <v>3862.4</v>
      </c>
      <c r="M1361">
        <v>482.8</v>
      </c>
      <c r="N1361" t="s">
        <v>3497</v>
      </c>
      <c r="O1361" t="s">
        <v>464</v>
      </c>
    </row>
    <row r="1362" spans="1:15" x14ac:dyDescent="0.3">
      <c r="A1362">
        <v>229622</v>
      </c>
      <c r="B1362">
        <v>116</v>
      </c>
      <c r="C1362" t="s">
        <v>568</v>
      </c>
      <c r="D1362" t="s">
        <v>2269</v>
      </c>
      <c r="E1362" t="s">
        <v>2644</v>
      </c>
      <c r="F1362" s="452">
        <v>46142</v>
      </c>
      <c r="G1362">
        <v>29129</v>
      </c>
      <c r="H1362" t="s">
        <v>4176</v>
      </c>
      <c r="I1362" t="s">
        <v>3469</v>
      </c>
      <c r="J1362">
        <v>8</v>
      </c>
      <c r="K1362" t="s">
        <v>3872</v>
      </c>
      <c r="L1362">
        <v>91.76</v>
      </c>
      <c r="M1362">
        <v>11.47</v>
      </c>
      <c r="N1362" t="s">
        <v>4240</v>
      </c>
      <c r="O1362" t="s">
        <v>464</v>
      </c>
    </row>
    <row r="1363" spans="1:15" x14ac:dyDescent="0.3">
      <c r="A1363">
        <v>229619</v>
      </c>
      <c r="B1363">
        <v>116</v>
      </c>
      <c r="C1363" t="s">
        <v>568</v>
      </c>
      <c r="D1363" t="s">
        <v>2265</v>
      </c>
      <c r="E1363" t="s">
        <v>2645</v>
      </c>
      <c r="F1363" s="452">
        <v>46143</v>
      </c>
      <c r="G1363">
        <v>17437</v>
      </c>
      <c r="H1363" t="s">
        <v>4198</v>
      </c>
      <c r="I1363" t="s">
        <v>4199</v>
      </c>
      <c r="J1363">
        <v>10</v>
      </c>
      <c r="K1363" t="s">
        <v>3872</v>
      </c>
      <c r="L1363">
        <v>23</v>
      </c>
      <c r="M1363">
        <v>2.2999999999999998</v>
      </c>
      <c r="N1363" t="s">
        <v>2176</v>
      </c>
      <c r="O1363" t="s">
        <v>465</v>
      </c>
    </row>
    <row r="1364" spans="1:15" x14ac:dyDescent="0.3">
      <c r="A1364">
        <v>229619</v>
      </c>
      <c r="B1364">
        <v>116</v>
      </c>
      <c r="C1364" t="s">
        <v>568</v>
      </c>
      <c r="D1364" t="s">
        <v>2265</v>
      </c>
      <c r="E1364" t="s">
        <v>2645</v>
      </c>
      <c r="F1364" s="452">
        <v>46143</v>
      </c>
      <c r="G1364">
        <v>17314</v>
      </c>
      <c r="H1364" t="s">
        <v>4204</v>
      </c>
      <c r="I1364" t="s">
        <v>4199</v>
      </c>
      <c r="J1364">
        <v>2</v>
      </c>
      <c r="K1364" t="s">
        <v>3978</v>
      </c>
      <c r="L1364">
        <v>11.78</v>
      </c>
      <c r="M1364">
        <v>5.89</v>
      </c>
      <c r="N1364" t="s">
        <v>2176</v>
      </c>
      <c r="O1364" t="s">
        <v>465</v>
      </c>
    </row>
    <row r="1365" spans="1:15" x14ac:dyDescent="0.3">
      <c r="A1365">
        <v>229619</v>
      </c>
      <c r="B1365">
        <v>116</v>
      </c>
      <c r="C1365" t="s">
        <v>568</v>
      </c>
      <c r="D1365" t="s">
        <v>2265</v>
      </c>
      <c r="E1365" t="s">
        <v>2645</v>
      </c>
      <c r="F1365" s="452">
        <v>46143</v>
      </c>
      <c r="G1365">
        <v>17342</v>
      </c>
      <c r="H1365" t="s">
        <v>4208</v>
      </c>
      <c r="I1365" t="s">
        <v>4199</v>
      </c>
      <c r="J1365">
        <v>1</v>
      </c>
      <c r="K1365" t="s">
        <v>3931</v>
      </c>
      <c r="L1365">
        <v>34.229999999999997</v>
      </c>
      <c r="M1365">
        <v>34.229999999999997</v>
      </c>
      <c r="N1365" t="s">
        <v>2176</v>
      </c>
      <c r="O1365" t="s">
        <v>465</v>
      </c>
    </row>
    <row r="1366" spans="1:15" x14ac:dyDescent="0.3">
      <c r="A1366">
        <v>229619</v>
      </c>
      <c r="B1366">
        <v>116</v>
      </c>
      <c r="C1366" t="s">
        <v>568</v>
      </c>
      <c r="D1366" t="s">
        <v>2265</v>
      </c>
      <c r="E1366" t="s">
        <v>2645</v>
      </c>
      <c r="F1366" s="452">
        <v>46143</v>
      </c>
      <c r="G1366">
        <v>28386</v>
      </c>
      <c r="H1366" t="s">
        <v>4245</v>
      </c>
      <c r="I1366" t="s">
        <v>4199</v>
      </c>
      <c r="J1366">
        <v>2</v>
      </c>
      <c r="K1366" t="s">
        <v>4203</v>
      </c>
      <c r="L1366">
        <v>83.34</v>
      </c>
      <c r="M1366">
        <v>41.67</v>
      </c>
      <c r="N1366" t="s">
        <v>2176</v>
      </c>
      <c r="O1366" t="s">
        <v>465</v>
      </c>
    </row>
    <row r="1367" spans="1:15" x14ac:dyDescent="0.3">
      <c r="A1367">
        <v>229619</v>
      </c>
      <c r="B1367">
        <v>116</v>
      </c>
      <c r="C1367" t="s">
        <v>568</v>
      </c>
      <c r="D1367" t="s">
        <v>2265</v>
      </c>
      <c r="E1367" t="s">
        <v>2645</v>
      </c>
      <c r="F1367" s="452">
        <v>46143</v>
      </c>
      <c r="G1367">
        <v>21783</v>
      </c>
      <c r="H1367" t="s">
        <v>4228</v>
      </c>
      <c r="I1367" t="s">
        <v>4202</v>
      </c>
      <c r="J1367">
        <v>2</v>
      </c>
      <c r="K1367" t="s">
        <v>3872</v>
      </c>
      <c r="L1367">
        <v>32</v>
      </c>
      <c r="M1367">
        <v>16</v>
      </c>
      <c r="N1367" t="s">
        <v>2176</v>
      </c>
      <c r="O1367" t="s">
        <v>465</v>
      </c>
    </row>
    <row r="1368" spans="1:15" x14ac:dyDescent="0.3">
      <c r="A1368">
        <v>229619</v>
      </c>
      <c r="B1368">
        <v>116</v>
      </c>
      <c r="C1368" t="s">
        <v>568</v>
      </c>
      <c r="D1368" t="s">
        <v>2265</v>
      </c>
      <c r="E1368" t="s">
        <v>2645</v>
      </c>
      <c r="F1368" s="452">
        <v>46143</v>
      </c>
      <c r="G1368">
        <v>17304</v>
      </c>
      <c r="H1368" t="s">
        <v>4206</v>
      </c>
      <c r="I1368" t="s">
        <v>4199</v>
      </c>
      <c r="J1368">
        <v>1</v>
      </c>
      <c r="K1368" t="s">
        <v>3978</v>
      </c>
      <c r="L1368">
        <v>6.59</v>
      </c>
      <c r="M1368">
        <v>6.59</v>
      </c>
      <c r="N1368" t="s">
        <v>2176</v>
      </c>
      <c r="O1368" t="s">
        <v>465</v>
      </c>
    </row>
    <row r="1369" spans="1:15" x14ac:dyDescent="0.3">
      <c r="A1369">
        <v>229619</v>
      </c>
      <c r="B1369">
        <v>116</v>
      </c>
      <c r="C1369" t="s">
        <v>568</v>
      </c>
      <c r="D1369" t="s">
        <v>2265</v>
      </c>
      <c r="E1369" t="s">
        <v>2645</v>
      </c>
      <c r="F1369" s="452">
        <v>46143</v>
      </c>
      <c r="G1369">
        <v>17017</v>
      </c>
      <c r="H1369" t="s">
        <v>4230</v>
      </c>
      <c r="I1369" t="s">
        <v>4199</v>
      </c>
      <c r="J1369">
        <v>2</v>
      </c>
      <c r="K1369" t="s">
        <v>3888</v>
      </c>
      <c r="L1369">
        <v>6</v>
      </c>
      <c r="M1369">
        <v>3</v>
      </c>
      <c r="N1369" t="s">
        <v>2176</v>
      </c>
      <c r="O1369" t="s">
        <v>465</v>
      </c>
    </row>
    <row r="1370" spans="1:15" x14ac:dyDescent="0.3">
      <c r="A1370">
        <v>229619</v>
      </c>
      <c r="B1370">
        <v>116</v>
      </c>
      <c r="C1370" t="s">
        <v>568</v>
      </c>
      <c r="D1370" t="s">
        <v>2265</v>
      </c>
      <c r="E1370" t="s">
        <v>2645</v>
      </c>
      <c r="F1370" s="452">
        <v>46143</v>
      </c>
      <c r="G1370">
        <v>17230</v>
      </c>
      <c r="H1370" t="s">
        <v>4281</v>
      </c>
      <c r="I1370" t="s">
        <v>4199</v>
      </c>
      <c r="J1370">
        <v>1</v>
      </c>
      <c r="K1370" t="s">
        <v>3872</v>
      </c>
      <c r="L1370">
        <v>38.89</v>
      </c>
      <c r="M1370">
        <v>38.89</v>
      </c>
      <c r="N1370" t="s">
        <v>2176</v>
      </c>
      <c r="O1370" t="s">
        <v>465</v>
      </c>
    </row>
    <row r="1371" spans="1:15" x14ac:dyDescent="0.3">
      <c r="A1371">
        <v>229619</v>
      </c>
      <c r="B1371">
        <v>116</v>
      </c>
      <c r="C1371" t="s">
        <v>568</v>
      </c>
      <c r="D1371" t="s">
        <v>2265</v>
      </c>
      <c r="E1371" t="s">
        <v>2645</v>
      </c>
      <c r="F1371" s="452">
        <v>46143</v>
      </c>
      <c r="G1371">
        <v>17498</v>
      </c>
      <c r="H1371" t="s">
        <v>4243</v>
      </c>
      <c r="I1371" t="s">
        <v>4199</v>
      </c>
      <c r="J1371">
        <v>2</v>
      </c>
      <c r="K1371" t="s">
        <v>3881</v>
      </c>
      <c r="L1371">
        <v>42</v>
      </c>
      <c r="M1371">
        <v>21</v>
      </c>
      <c r="N1371" t="s">
        <v>2176</v>
      </c>
      <c r="O1371" t="s">
        <v>465</v>
      </c>
    </row>
    <row r="1372" spans="1:15" x14ac:dyDescent="0.3">
      <c r="A1372">
        <v>229619</v>
      </c>
      <c r="B1372">
        <v>116</v>
      </c>
      <c r="C1372" t="s">
        <v>568</v>
      </c>
      <c r="D1372" t="s">
        <v>2265</v>
      </c>
      <c r="E1372" t="s">
        <v>2645</v>
      </c>
      <c r="F1372" s="452">
        <v>46143</v>
      </c>
      <c r="G1372">
        <v>17418</v>
      </c>
      <c r="H1372" t="s">
        <v>4280</v>
      </c>
      <c r="I1372" t="s">
        <v>4199</v>
      </c>
      <c r="J1372">
        <v>1</v>
      </c>
      <c r="K1372" t="s">
        <v>3881</v>
      </c>
      <c r="L1372">
        <v>58.9</v>
      </c>
      <c r="M1372">
        <v>58.9</v>
      </c>
      <c r="N1372" t="s">
        <v>2176</v>
      </c>
      <c r="O1372" t="s">
        <v>465</v>
      </c>
    </row>
    <row r="1373" spans="1:15" x14ac:dyDescent="0.3">
      <c r="A1373">
        <v>229619</v>
      </c>
      <c r="B1373">
        <v>116</v>
      </c>
      <c r="C1373" t="s">
        <v>568</v>
      </c>
      <c r="D1373" t="s">
        <v>2265</v>
      </c>
      <c r="E1373" t="s">
        <v>2645</v>
      </c>
      <c r="F1373" s="452">
        <v>46143</v>
      </c>
      <c r="G1373">
        <v>17381</v>
      </c>
      <c r="H1373" t="s">
        <v>4247</v>
      </c>
      <c r="I1373" t="s">
        <v>4199</v>
      </c>
      <c r="J1373">
        <v>2</v>
      </c>
      <c r="K1373" t="s">
        <v>3872</v>
      </c>
      <c r="L1373">
        <v>77.78</v>
      </c>
      <c r="M1373">
        <v>38.89</v>
      </c>
      <c r="N1373" t="s">
        <v>2176</v>
      </c>
      <c r="O1373" t="s">
        <v>465</v>
      </c>
    </row>
    <row r="1374" spans="1:15" x14ac:dyDescent="0.3">
      <c r="A1374">
        <v>229619</v>
      </c>
      <c r="B1374">
        <v>116</v>
      </c>
      <c r="C1374" t="s">
        <v>568</v>
      </c>
      <c r="D1374" t="s">
        <v>2265</v>
      </c>
      <c r="E1374" t="s">
        <v>2645</v>
      </c>
      <c r="F1374" s="452">
        <v>46143</v>
      </c>
      <c r="G1374">
        <v>17416</v>
      </c>
      <c r="H1374" t="s">
        <v>4205</v>
      </c>
      <c r="I1374" t="s">
        <v>4199</v>
      </c>
      <c r="J1374">
        <v>2</v>
      </c>
      <c r="K1374" t="s">
        <v>3881</v>
      </c>
      <c r="L1374">
        <v>97.16</v>
      </c>
      <c r="M1374">
        <v>48.58</v>
      </c>
      <c r="N1374" t="s">
        <v>2176</v>
      </c>
      <c r="O1374" t="s">
        <v>465</v>
      </c>
    </row>
    <row r="1375" spans="1:15" x14ac:dyDescent="0.3">
      <c r="A1375">
        <v>229619</v>
      </c>
      <c r="B1375">
        <v>116</v>
      </c>
      <c r="C1375" t="s">
        <v>568</v>
      </c>
      <c r="D1375" t="s">
        <v>2265</v>
      </c>
      <c r="E1375" t="s">
        <v>2645</v>
      </c>
      <c r="F1375" s="452">
        <v>46143</v>
      </c>
      <c r="G1375">
        <v>17190</v>
      </c>
      <c r="H1375" t="s">
        <v>4271</v>
      </c>
      <c r="I1375" t="s">
        <v>4199</v>
      </c>
      <c r="J1375">
        <v>4</v>
      </c>
      <c r="K1375" t="s">
        <v>3888</v>
      </c>
      <c r="L1375">
        <v>32.4</v>
      </c>
      <c r="M1375">
        <v>8.1</v>
      </c>
      <c r="N1375" t="s">
        <v>2176</v>
      </c>
      <c r="O1375" t="s">
        <v>465</v>
      </c>
    </row>
    <row r="1376" spans="1:15" x14ac:dyDescent="0.3">
      <c r="A1376">
        <v>229619</v>
      </c>
      <c r="B1376">
        <v>116</v>
      </c>
      <c r="C1376" t="s">
        <v>568</v>
      </c>
      <c r="D1376" t="s">
        <v>2265</v>
      </c>
      <c r="E1376" t="s">
        <v>2645</v>
      </c>
      <c r="F1376" s="452">
        <v>46143</v>
      </c>
      <c r="G1376">
        <v>17129</v>
      </c>
      <c r="H1376" t="s">
        <v>4200</v>
      </c>
      <c r="I1376" t="s">
        <v>4199</v>
      </c>
      <c r="J1376">
        <v>1</v>
      </c>
      <c r="K1376" t="s">
        <v>3888</v>
      </c>
      <c r="L1376">
        <v>26.61</v>
      </c>
      <c r="M1376">
        <v>26.61</v>
      </c>
      <c r="N1376" t="s">
        <v>2176</v>
      </c>
      <c r="O1376" t="s">
        <v>465</v>
      </c>
    </row>
    <row r="1377" spans="1:15" x14ac:dyDescent="0.3">
      <c r="A1377">
        <v>229619</v>
      </c>
      <c r="B1377">
        <v>116</v>
      </c>
      <c r="C1377" t="s">
        <v>568</v>
      </c>
      <c r="D1377" t="s">
        <v>2265</v>
      </c>
      <c r="E1377" t="s">
        <v>2645</v>
      </c>
      <c r="F1377" s="452">
        <v>46143</v>
      </c>
      <c r="G1377">
        <v>17215</v>
      </c>
      <c r="H1377" t="s">
        <v>4283</v>
      </c>
      <c r="I1377" t="s">
        <v>4199</v>
      </c>
      <c r="J1377">
        <v>5</v>
      </c>
      <c r="K1377" t="s">
        <v>3978</v>
      </c>
      <c r="L1377">
        <v>99.95</v>
      </c>
      <c r="M1377">
        <v>19.989999999999998</v>
      </c>
      <c r="N1377" t="s">
        <v>2176</v>
      </c>
      <c r="O1377" t="s">
        <v>465</v>
      </c>
    </row>
    <row r="1378" spans="1:15" x14ac:dyDescent="0.3">
      <c r="A1378">
        <v>229615</v>
      </c>
      <c r="B1378">
        <v>116</v>
      </c>
      <c r="C1378" t="s">
        <v>568</v>
      </c>
      <c r="D1378" t="s">
        <v>2260</v>
      </c>
      <c r="E1378" t="s">
        <v>2401</v>
      </c>
      <c r="F1378" s="452">
        <v>46142</v>
      </c>
      <c r="G1378">
        <v>27884</v>
      </c>
      <c r="H1378" t="s">
        <v>3910</v>
      </c>
      <c r="I1378" t="s">
        <v>3469</v>
      </c>
      <c r="J1378">
        <v>10.199999999999999</v>
      </c>
      <c r="K1378" t="s">
        <v>3892</v>
      </c>
      <c r="L1378">
        <v>703.8</v>
      </c>
      <c r="M1378">
        <v>69</v>
      </c>
      <c r="N1378" t="s">
        <v>4240</v>
      </c>
      <c r="O1378" t="s">
        <v>464</v>
      </c>
    </row>
    <row r="1379" spans="1:15" x14ac:dyDescent="0.3">
      <c r="A1379">
        <v>229612</v>
      </c>
      <c r="B1379">
        <v>116</v>
      </c>
      <c r="C1379" t="s">
        <v>568</v>
      </c>
      <c r="D1379" t="s">
        <v>2367</v>
      </c>
      <c r="E1379" t="s">
        <v>2646</v>
      </c>
      <c r="F1379" s="452">
        <v>46142</v>
      </c>
      <c r="G1379">
        <v>19346</v>
      </c>
      <c r="H1379" t="s">
        <v>3948</v>
      </c>
      <c r="I1379" t="s">
        <v>3469</v>
      </c>
      <c r="J1379">
        <v>5.39</v>
      </c>
      <c r="K1379" t="s">
        <v>3892</v>
      </c>
      <c r="L1379">
        <v>314.24</v>
      </c>
      <c r="M1379">
        <v>58.300556999999998</v>
      </c>
      <c r="N1379" t="s">
        <v>3469</v>
      </c>
      <c r="O1379" t="s">
        <v>464</v>
      </c>
    </row>
    <row r="1380" spans="1:15" x14ac:dyDescent="0.3">
      <c r="A1380">
        <v>229603</v>
      </c>
      <c r="B1380">
        <v>116</v>
      </c>
      <c r="C1380" t="s">
        <v>568</v>
      </c>
      <c r="D1380" t="s">
        <v>2286</v>
      </c>
      <c r="E1380" t="s">
        <v>2647</v>
      </c>
      <c r="F1380" s="452">
        <v>46142</v>
      </c>
      <c r="G1380">
        <v>19505</v>
      </c>
      <c r="H1380" t="s">
        <v>4101</v>
      </c>
      <c r="I1380" t="s">
        <v>3469</v>
      </c>
      <c r="J1380">
        <v>1.5</v>
      </c>
      <c r="K1380" t="s">
        <v>3892</v>
      </c>
      <c r="L1380">
        <v>15</v>
      </c>
      <c r="M1380">
        <v>10</v>
      </c>
      <c r="N1380" t="s">
        <v>3469</v>
      </c>
      <c r="O1380" t="s">
        <v>464</v>
      </c>
    </row>
    <row r="1381" spans="1:15" x14ac:dyDescent="0.3">
      <c r="A1381">
        <v>229603</v>
      </c>
      <c r="B1381">
        <v>116</v>
      </c>
      <c r="C1381" t="s">
        <v>568</v>
      </c>
      <c r="D1381" t="s">
        <v>2286</v>
      </c>
      <c r="E1381" t="s">
        <v>2647</v>
      </c>
      <c r="F1381" s="452">
        <v>46142</v>
      </c>
      <c r="G1381">
        <v>19480</v>
      </c>
      <c r="H1381" t="s">
        <v>4113</v>
      </c>
      <c r="I1381" t="s">
        <v>3469</v>
      </c>
      <c r="J1381">
        <v>0.2</v>
      </c>
      <c r="K1381" t="s">
        <v>3892</v>
      </c>
      <c r="L1381">
        <v>3.6</v>
      </c>
      <c r="M1381">
        <v>18</v>
      </c>
      <c r="N1381" t="s">
        <v>3469</v>
      </c>
      <c r="O1381" t="s">
        <v>464</v>
      </c>
    </row>
    <row r="1382" spans="1:15" x14ac:dyDescent="0.3">
      <c r="A1382">
        <v>229603</v>
      </c>
      <c r="B1382">
        <v>116</v>
      </c>
      <c r="C1382" t="s">
        <v>568</v>
      </c>
      <c r="D1382" t="s">
        <v>2286</v>
      </c>
      <c r="E1382" t="s">
        <v>2647</v>
      </c>
      <c r="F1382" s="452">
        <v>46142</v>
      </c>
      <c r="G1382">
        <v>24598</v>
      </c>
      <c r="H1382" t="s">
        <v>4166</v>
      </c>
      <c r="I1382" t="s">
        <v>3469</v>
      </c>
      <c r="J1382">
        <v>1</v>
      </c>
      <c r="K1382" t="s">
        <v>3892</v>
      </c>
      <c r="L1382">
        <v>14</v>
      </c>
      <c r="M1382">
        <v>14</v>
      </c>
      <c r="N1382" t="s">
        <v>3469</v>
      </c>
      <c r="O1382" t="s">
        <v>464</v>
      </c>
    </row>
    <row r="1383" spans="1:15" x14ac:dyDescent="0.3">
      <c r="A1383">
        <v>229603</v>
      </c>
      <c r="B1383">
        <v>116</v>
      </c>
      <c r="C1383" t="s">
        <v>568</v>
      </c>
      <c r="D1383" t="s">
        <v>2286</v>
      </c>
      <c r="E1383" t="s">
        <v>2647</v>
      </c>
      <c r="F1383" s="452">
        <v>46142</v>
      </c>
      <c r="G1383">
        <v>19558</v>
      </c>
      <c r="H1383" t="s">
        <v>4183</v>
      </c>
      <c r="I1383" t="s">
        <v>3469</v>
      </c>
      <c r="J1383">
        <v>1</v>
      </c>
      <c r="K1383" t="s">
        <v>3892</v>
      </c>
      <c r="L1383">
        <v>14</v>
      </c>
      <c r="M1383">
        <v>14</v>
      </c>
      <c r="N1383" t="s">
        <v>3469</v>
      </c>
      <c r="O1383" t="s">
        <v>464</v>
      </c>
    </row>
    <row r="1384" spans="1:15" x14ac:dyDescent="0.3">
      <c r="A1384">
        <v>229603</v>
      </c>
      <c r="B1384">
        <v>116</v>
      </c>
      <c r="C1384" t="s">
        <v>568</v>
      </c>
      <c r="D1384" t="s">
        <v>2286</v>
      </c>
      <c r="E1384" t="s">
        <v>2647</v>
      </c>
      <c r="F1384" s="452">
        <v>46142</v>
      </c>
      <c r="G1384">
        <v>23236</v>
      </c>
      <c r="H1384" t="s">
        <v>4017</v>
      </c>
      <c r="I1384" t="s">
        <v>3469</v>
      </c>
      <c r="J1384">
        <v>3</v>
      </c>
      <c r="K1384" t="s">
        <v>3892</v>
      </c>
      <c r="L1384">
        <v>25.5</v>
      </c>
      <c r="M1384">
        <v>8.5</v>
      </c>
      <c r="N1384" t="s">
        <v>3469</v>
      </c>
      <c r="O1384" t="s">
        <v>464</v>
      </c>
    </row>
    <row r="1385" spans="1:15" x14ac:dyDescent="0.3">
      <c r="A1385">
        <v>229603</v>
      </c>
      <c r="B1385">
        <v>116</v>
      </c>
      <c r="C1385" t="s">
        <v>568</v>
      </c>
      <c r="D1385" t="s">
        <v>2286</v>
      </c>
      <c r="E1385" t="s">
        <v>2647</v>
      </c>
      <c r="F1385" s="452">
        <v>46142</v>
      </c>
      <c r="G1385">
        <v>19647</v>
      </c>
      <c r="H1385" t="s">
        <v>4066</v>
      </c>
      <c r="I1385" t="s">
        <v>3469</v>
      </c>
      <c r="J1385">
        <v>1</v>
      </c>
      <c r="K1385" t="s">
        <v>3892</v>
      </c>
      <c r="L1385">
        <v>14</v>
      </c>
      <c r="M1385">
        <v>14</v>
      </c>
      <c r="N1385" t="s">
        <v>3469</v>
      </c>
      <c r="O1385" t="s">
        <v>464</v>
      </c>
    </row>
    <row r="1386" spans="1:15" x14ac:dyDescent="0.3">
      <c r="A1386">
        <v>229603</v>
      </c>
      <c r="B1386">
        <v>116</v>
      </c>
      <c r="C1386" t="s">
        <v>568</v>
      </c>
      <c r="D1386" t="s">
        <v>2286</v>
      </c>
      <c r="E1386" t="s">
        <v>2647</v>
      </c>
      <c r="F1386" s="452">
        <v>46142</v>
      </c>
      <c r="G1386">
        <v>19752</v>
      </c>
      <c r="H1386" t="s">
        <v>4042</v>
      </c>
      <c r="I1386" t="s">
        <v>3469</v>
      </c>
      <c r="J1386">
        <v>1</v>
      </c>
      <c r="K1386" t="s">
        <v>3892</v>
      </c>
      <c r="L1386">
        <v>6</v>
      </c>
      <c r="M1386">
        <v>6</v>
      </c>
      <c r="N1386" t="s">
        <v>3469</v>
      </c>
      <c r="O1386" t="s">
        <v>464</v>
      </c>
    </row>
    <row r="1387" spans="1:15" x14ac:dyDescent="0.3">
      <c r="A1387">
        <v>229603</v>
      </c>
      <c r="B1387">
        <v>116</v>
      </c>
      <c r="C1387" t="s">
        <v>568</v>
      </c>
      <c r="D1387" t="s">
        <v>2286</v>
      </c>
      <c r="E1387" t="s">
        <v>2647</v>
      </c>
      <c r="F1387" s="452">
        <v>46142</v>
      </c>
      <c r="G1387">
        <v>19589</v>
      </c>
      <c r="H1387" t="s">
        <v>4153</v>
      </c>
      <c r="I1387" t="s">
        <v>3469</v>
      </c>
      <c r="J1387">
        <v>2</v>
      </c>
      <c r="K1387" t="s">
        <v>3892</v>
      </c>
      <c r="L1387">
        <v>15.8</v>
      </c>
      <c r="M1387">
        <v>7.9</v>
      </c>
      <c r="N1387" t="s">
        <v>3469</v>
      </c>
      <c r="O1387" t="s">
        <v>464</v>
      </c>
    </row>
    <row r="1388" spans="1:15" x14ac:dyDescent="0.3">
      <c r="A1388">
        <v>229603</v>
      </c>
      <c r="B1388">
        <v>116</v>
      </c>
      <c r="C1388" t="s">
        <v>568</v>
      </c>
      <c r="D1388" t="s">
        <v>2286</v>
      </c>
      <c r="E1388" t="s">
        <v>2647</v>
      </c>
      <c r="F1388" s="452">
        <v>46142</v>
      </c>
      <c r="G1388">
        <v>19488</v>
      </c>
      <c r="H1388" t="s">
        <v>4070</v>
      </c>
      <c r="I1388" t="s">
        <v>3469</v>
      </c>
      <c r="J1388">
        <v>0.5</v>
      </c>
      <c r="K1388" t="s">
        <v>3892</v>
      </c>
      <c r="L1388">
        <v>6.9</v>
      </c>
      <c r="M1388">
        <v>13.8</v>
      </c>
      <c r="N1388" t="s">
        <v>3469</v>
      </c>
      <c r="O1388" t="s">
        <v>464</v>
      </c>
    </row>
    <row r="1389" spans="1:15" x14ac:dyDescent="0.3">
      <c r="A1389">
        <v>229603</v>
      </c>
      <c r="B1389">
        <v>116</v>
      </c>
      <c r="C1389" t="s">
        <v>568</v>
      </c>
      <c r="D1389" t="s">
        <v>2286</v>
      </c>
      <c r="E1389" t="s">
        <v>2647</v>
      </c>
      <c r="F1389" s="452">
        <v>46142</v>
      </c>
      <c r="G1389">
        <v>23195</v>
      </c>
      <c r="H1389" t="s">
        <v>4184</v>
      </c>
      <c r="I1389" t="s">
        <v>3469</v>
      </c>
      <c r="J1389">
        <v>2</v>
      </c>
      <c r="K1389" t="s">
        <v>3892</v>
      </c>
      <c r="L1389">
        <v>20</v>
      </c>
      <c r="M1389">
        <v>10</v>
      </c>
      <c r="N1389" t="s">
        <v>3469</v>
      </c>
      <c r="O1389" t="s">
        <v>464</v>
      </c>
    </row>
    <row r="1390" spans="1:15" x14ac:dyDescent="0.3">
      <c r="A1390">
        <v>229603</v>
      </c>
      <c r="B1390">
        <v>116</v>
      </c>
      <c r="C1390" t="s">
        <v>568</v>
      </c>
      <c r="D1390" t="s">
        <v>2286</v>
      </c>
      <c r="E1390" t="s">
        <v>2647</v>
      </c>
      <c r="F1390" s="452">
        <v>46142</v>
      </c>
      <c r="G1390">
        <v>24037</v>
      </c>
      <c r="H1390" t="s">
        <v>4104</v>
      </c>
      <c r="I1390" t="s">
        <v>3469</v>
      </c>
      <c r="J1390">
        <v>3</v>
      </c>
      <c r="K1390" t="s">
        <v>3892</v>
      </c>
      <c r="L1390">
        <v>53.4</v>
      </c>
      <c r="M1390">
        <v>17.8</v>
      </c>
      <c r="N1390" t="s">
        <v>3469</v>
      </c>
      <c r="O1390" t="s">
        <v>464</v>
      </c>
    </row>
    <row r="1391" spans="1:15" x14ac:dyDescent="0.3">
      <c r="A1391">
        <v>229603</v>
      </c>
      <c r="B1391">
        <v>116</v>
      </c>
      <c r="C1391" t="s">
        <v>568</v>
      </c>
      <c r="D1391" t="s">
        <v>2286</v>
      </c>
      <c r="E1391" t="s">
        <v>2647</v>
      </c>
      <c r="F1391" s="452">
        <v>46142</v>
      </c>
      <c r="G1391">
        <v>19553</v>
      </c>
      <c r="H1391" t="s">
        <v>4078</v>
      </c>
      <c r="I1391" t="s">
        <v>3469</v>
      </c>
      <c r="J1391">
        <v>1</v>
      </c>
      <c r="K1391" t="s">
        <v>3892</v>
      </c>
      <c r="L1391">
        <v>5</v>
      </c>
      <c r="M1391">
        <v>5</v>
      </c>
      <c r="N1391" t="s">
        <v>3469</v>
      </c>
      <c r="O1391" t="s">
        <v>464</v>
      </c>
    </row>
    <row r="1392" spans="1:15" x14ac:dyDescent="0.3">
      <c r="A1392">
        <v>229603</v>
      </c>
      <c r="B1392">
        <v>116</v>
      </c>
      <c r="C1392" t="s">
        <v>568</v>
      </c>
      <c r="D1392" t="s">
        <v>2286</v>
      </c>
      <c r="E1392" t="s">
        <v>2647</v>
      </c>
      <c r="F1392" s="452">
        <v>46142</v>
      </c>
      <c r="G1392">
        <v>19742</v>
      </c>
      <c r="H1392" t="s">
        <v>4074</v>
      </c>
      <c r="I1392" t="s">
        <v>3469</v>
      </c>
      <c r="J1392">
        <v>1</v>
      </c>
      <c r="K1392" t="s">
        <v>3892</v>
      </c>
      <c r="L1392">
        <v>11</v>
      </c>
      <c r="M1392">
        <v>11</v>
      </c>
      <c r="N1392" t="s">
        <v>3469</v>
      </c>
      <c r="O1392" t="s">
        <v>464</v>
      </c>
    </row>
    <row r="1393" spans="1:15" x14ac:dyDescent="0.3">
      <c r="A1393">
        <v>229603</v>
      </c>
      <c r="B1393">
        <v>116</v>
      </c>
      <c r="C1393" t="s">
        <v>568</v>
      </c>
      <c r="D1393" t="s">
        <v>2286</v>
      </c>
      <c r="E1393" t="s">
        <v>2647</v>
      </c>
      <c r="F1393" s="452">
        <v>46142</v>
      </c>
      <c r="G1393">
        <v>19498</v>
      </c>
      <c r="H1393" t="s">
        <v>4065</v>
      </c>
      <c r="I1393" t="s">
        <v>3469</v>
      </c>
      <c r="J1393">
        <v>1</v>
      </c>
      <c r="K1393" t="s">
        <v>3892</v>
      </c>
      <c r="L1393">
        <v>15</v>
      </c>
      <c r="M1393">
        <v>15</v>
      </c>
      <c r="N1393" t="s">
        <v>3469</v>
      </c>
      <c r="O1393" t="s">
        <v>464</v>
      </c>
    </row>
    <row r="1394" spans="1:15" x14ac:dyDescent="0.3">
      <c r="A1394">
        <v>229603</v>
      </c>
      <c r="B1394">
        <v>116</v>
      </c>
      <c r="C1394" t="s">
        <v>568</v>
      </c>
      <c r="D1394" t="s">
        <v>2286</v>
      </c>
      <c r="E1394" t="s">
        <v>2647</v>
      </c>
      <c r="F1394" s="452">
        <v>46142</v>
      </c>
      <c r="G1394">
        <v>19572</v>
      </c>
      <c r="H1394" t="s">
        <v>4023</v>
      </c>
      <c r="I1394" t="s">
        <v>3469</v>
      </c>
      <c r="J1394">
        <v>1</v>
      </c>
      <c r="K1394" t="s">
        <v>3892</v>
      </c>
      <c r="L1394">
        <v>10</v>
      </c>
      <c r="M1394">
        <v>10</v>
      </c>
      <c r="N1394" t="s">
        <v>3469</v>
      </c>
      <c r="O1394" t="s">
        <v>464</v>
      </c>
    </row>
    <row r="1395" spans="1:15" x14ac:dyDescent="0.3">
      <c r="A1395">
        <v>229603</v>
      </c>
      <c r="B1395">
        <v>116</v>
      </c>
      <c r="C1395" t="s">
        <v>568</v>
      </c>
      <c r="D1395" t="s">
        <v>2286</v>
      </c>
      <c r="E1395" t="s">
        <v>2647</v>
      </c>
      <c r="F1395" s="452">
        <v>46142</v>
      </c>
      <c r="G1395">
        <v>19751</v>
      </c>
      <c r="H1395" t="s">
        <v>4019</v>
      </c>
      <c r="I1395" t="s">
        <v>3469</v>
      </c>
      <c r="J1395">
        <v>2</v>
      </c>
      <c r="K1395" t="s">
        <v>3892</v>
      </c>
      <c r="L1395">
        <v>19.399999999999999</v>
      </c>
      <c r="M1395">
        <v>9.6999999999999993</v>
      </c>
      <c r="N1395" t="s">
        <v>3469</v>
      </c>
      <c r="O1395" t="s">
        <v>464</v>
      </c>
    </row>
    <row r="1396" spans="1:15" x14ac:dyDescent="0.3">
      <c r="A1396">
        <v>229603</v>
      </c>
      <c r="B1396">
        <v>116</v>
      </c>
      <c r="C1396" t="s">
        <v>568</v>
      </c>
      <c r="D1396" t="s">
        <v>2286</v>
      </c>
      <c r="E1396" t="s">
        <v>2647</v>
      </c>
      <c r="F1396" s="452">
        <v>46142</v>
      </c>
      <c r="G1396">
        <v>19623</v>
      </c>
      <c r="H1396" t="s">
        <v>3984</v>
      </c>
      <c r="I1396" t="s">
        <v>3469</v>
      </c>
      <c r="J1396">
        <v>3</v>
      </c>
      <c r="K1396" t="s">
        <v>3892</v>
      </c>
      <c r="L1396">
        <v>17.399999999999999</v>
      </c>
      <c r="M1396">
        <v>5.8</v>
      </c>
      <c r="N1396" t="s">
        <v>3469</v>
      </c>
      <c r="O1396" t="s">
        <v>464</v>
      </c>
    </row>
    <row r="1397" spans="1:15" x14ac:dyDescent="0.3">
      <c r="A1397">
        <v>229603</v>
      </c>
      <c r="B1397">
        <v>116</v>
      </c>
      <c r="C1397" t="s">
        <v>568</v>
      </c>
      <c r="D1397" t="s">
        <v>2286</v>
      </c>
      <c r="E1397" t="s">
        <v>2647</v>
      </c>
      <c r="F1397" s="452">
        <v>46142</v>
      </c>
      <c r="G1397">
        <v>23113</v>
      </c>
      <c r="H1397" t="s">
        <v>4079</v>
      </c>
      <c r="I1397" t="s">
        <v>3469</v>
      </c>
      <c r="J1397">
        <v>1.5</v>
      </c>
      <c r="K1397" t="s">
        <v>3892</v>
      </c>
      <c r="L1397">
        <v>18</v>
      </c>
      <c r="M1397">
        <v>12</v>
      </c>
      <c r="N1397" t="s">
        <v>3469</v>
      </c>
      <c r="O1397" t="s">
        <v>464</v>
      </c>
    </row>
    <row r="1398" spans="1:15" x14ac:dyDescent="0.3">
      <c r="A1398">
        <v>229603</v>
      </c>
      <c r="B1398">
        <v>116</v>
      </c>
      <c r="C1398" t="s">
        <v>568</v>
      </c>
      <c r="D1398" t="s">
        <v>2286</v>
      </c>
      <c r="E1398" t="s">
        <v>2647</v>
      </c>
      <c r="F1398" s="452">
        <v>46142</v>
      </c>
      <c r="G1398">
        <v>23198</v>
      </c>
      <c r="H1398" t="s">
        <v>4167</v>
      </c>
      <c r="I1398" t="s">
        <v>3469</v>
      </c>
      <c r="J1398">
        <v>1</v>
      </c>
      <c r="K1398" t="s">
        <v>3892</v>
      </c>
      <c r="L1398">
        <v>13</v>
      </c>
      <c r="M1398">
        <v>13</v>
      </c>
      <c r="N1398" t="s">
        <v>3469</v>
      </c>
      <c r="O1398" t="s">
        <v>464</v>
      </c>
    </row>
    <row r="1399" spans="1:15" x14ac:dyDescent="0.3">
      <c r="A1399">
        <v>229603</v>
      </c>
      <c r="B1399">
        <v>116</v>
      </c>
      <c r="C1399" t="s">
        <v>568</v>
      </c>
      <c r="D1399" t="s">
        <v>2286</v>
      </c>
      <c r="E1399" t="s">
        <v>2647</v>
      </c>
      <c r="F1399" s="452">
        <v>46142</v>
      </c>
      <c r="G1399">
        <v>24509</v>
      </c>
      <c r="H1399" t="s">
        <v>3906</v>
      </c>
      <c r="I1399" t="s">
        <v>3469</v>
      </c>
      <c r="J1399">
        <v>10</v>
      </c>
      <c r="K1399" t="s">
        <v>3892</v>
      </c>
      <c r="L1399">
        <v>38</v>
      </c>
      <c r="M1399">
        <v>3.8</v>
      </c>
      <c r="N1399" t="s">
        <v>3469</v>
      </c>
      <c r="O1399" t="s">
        <v>464</v>
      </c>
    </row>
    <row r="1400" spans="1:15" x14ac:dyDescent="0.3">
      <c r="A1400">
        <v>229603</v>
      </c>
      <c r="B1400">
        <v>116</v>
      </c>
      <c r="C1400" t="s">
        <v>568</v>
      </c>
      <c r="D1400" t="s">
        <v>2286</v>
      </c>
      <c r="E1400" t="s">
        <v>2647</v>
      </c>
      <c r="F1400" s="452">
        <v>46142</v>
      </c>
      <c r="G1400">
        <v>23389</v>
      </c>
      <c r="H1400" t="s">
        <v>4016</v>
      </c>
      <c r="I1400" t="s">
        <v>3469</v>
      </c>
      <c r="J1400">
        <v>6</v>
      </c>
      <c r="K1400" t="s">
        <v>3892</v>
      </c>
      <c r="L1400">
        <v>30</v>
      </c>
      <c r="M1400">
        <v>5</v>
      </c>
      <c r="N1400" t="s">
        <v>3469</v>
      </c>
      <c r="O1400" t="s">
        <v>464</v>
      </c>
    </row>
    <row r="1401" spans="1:15" x14ac:dyDescent="0.3">
      <c r="A1401">
        <v>229603</v>
      </c>
      <c r="B1401">
        <v>116</v>
      </c>
      <c r="C1401" t="s">
        <v>568</v>
      </c>
      <c r="D1401" t="s">
        <v>2286</v>
      </c>
      <c r="E1401" t="s">
        <v>2647</v>
      </c>
      <c r="F1401" s="452">
        <v>46142</v>
      </c>
      <c r="G1401">
        <v>19539</v>
      </c>
      <c r="H1401" t="s">
        <v>4133</v>
      </c>
      <c r="I1401" t="s">
        <v>3469</v>
      </c>
      <c r="J1401">
        <v>18</v>
      </c>
      <c r="K1401" t="s">
        <v>3892</v>
      </c>
      <c r="L1401">
        <v>125.82</v>
      </c>
      <c r="M1401">
        <v>6.99</v>
      </c>
      <c r="N1401" t="s">
        <v>3469</v>
      </c>
      <c r="O1401" t="s">
        <v>464</v>
      </c>
    </row>
    <row r="1402" spans="1:15" x14ac:dyDescent="0.3">
      <c r="A1402">
        <v>229603</v>
      </c>
      <c r="B1402">
        <v>116</v>
      </c>
      <c r="C1402" t="s">
        <v>568</v>
      </c>
      <c r="D1402" t="s">
        <v>2286</v>
      </c>
      <c r="E1402" t="s">
        <v>2647</v>
      </c>
      <c r="F1402" s="452">
        <v>46142</v>
      </c>
      <c r="G1402">
        <v>23359</v>
      </c>
      <c r="H1402" t="s">
        <v>3932</v>
      </c>
      <c r="I1402" t="s">
        <v>3469</v>
      </c>
      <c r="J1402">
        <v>10</v>
      </c>
      <c r="K1402" t="s">
        <v>3892</v>
      </c>
      <c r="L1402">
        <v>22</v>
      </c>
      <c r="M1402">
        <v>2.2000000000000002</v>
      </c>
      <c r="N1402" t="s">
        <v>3469</v>
      </c>
      <c r="O1402" t="s">
        <v>464</v>
      </c>
    </row>
    <row r="1403" spans="1:15" x14ac:dyDescent="0.3">
      <c r="A1403">
        <v>229603</v>
      </c>
      <c r="B1403">
        <v>116</v>
      </c>
      <c r="C1403" t="s">
        <v>568</v>
      </c>
      <c r="D1403" t="s">
        <v>2286</v>
      </c>
      <c r="E1403" t="s">
        <v>2647</v>
      </c>
      <c r="F1403" s="452">
        <v>46142</v>
      </c>
      <c r="G1403">
        <v>19787</v>
      </c>
      <c r="H1403" t="s">
        <v>3940</v>
      </c>
      <c r="I1403" t="s">
        <v>3469</v>
      </c>
      <c r="J1403">
        <v>4.5</v>
      </c>
      <c r="K1403" t="s">
        <v>3892</v>
      </c>
      <c r="L1403">
        <v>28.8</v>
      </c>
      <c r="M1403">
        <v>6.4</v>
      </c>
      <c r="N1403" t="s">
        <v>3469</v>
      </c>
      <c r="O1403" t="s">
        <v>464</v>
      </c>
    </row>
    <row r="1404" spans="1:15" x14ac:dyDescent="0.3">
      <c r="A1404">
        <v>229603</v>
      </c>
      <c r="B1404">
        <v>116</v>
      </c>
      <c r="C1404" t="s">
        <v>568</v>
      </c>
      <c r="D1404" t="s">
        <v>2286</v>
      </c>
      <c r="E1404" t="s">
        <v>2647</v>
      </c>
      <c r="F1404" s="452">
        <v>46142</v>
      </c>
      <c r="G1404">
        <v>19740</v>
      </c>
      <c r="H1404" t="s">
        <v>3933</v>
      </c>
      <c r="I1404" t="s">
        <v>3469</v>
      </c>
      <c r="J1404">
        <v>8</v>
      </c>
      <c r="K1404" t="s">
        <v>3892</v>
      </c>
      <c r="L1404">
        <v>76</v>
      </c>
      <c r="M1404">
        <v>9.5</v>
      </c>
      <c r="N1404" t="s">
        <v>3469</v>
      </c>
      <c r="O1404" t="s">
        <v>464</v>
      </c>
    </row>
    <row r="1405" spans="1:15" x14ac:dyDescent="0.3">
      <c r="A1405">
        <v>229603</v>
      </c>
      <c r="B1405">
        <v>116</v>
      </c>
      <c r="C1405" t="s">
        <v>568</v>
      </c>
      <c r="D1405" t="s">
        <v>2286</v>
      </c>
      <c r="E1405" t="s">
        <v>2647</v>
      </c>
      <c r="F1405" s="452">
        <v>46142</v>
      </c>
      <c r="G1405">
        <v>19506</v>
      </c>
      <c r="H1405" t="s">
        <v>4112</v>
      </c>
      <c r="I1405" t="s">
        <v>3469</v>
      </c>
      <c r="J1405">
        <v>0.2</v>
      </c>
      <c r="K1405" t="s">
        <v>3892</v>
      </c>
      <c r="L1405">
        <v>13</v>
      </c>
      <c r="M1405">
        <v>65</v>
      </c>
      <c r="N1405" t="s">
        <v>3469</v>
      </c>
      <c r="O1405" t="s">
        <v>464</v>
      </c>
    </row>
    <row r="1406" spans="1:15" x14ac:dyDescent="0.3">
      <c r="A1406">
        <v>229591</v>
      </c>
      <c r="B1406">
        <v>116</v>
      </c>
      <c r="C1406" t="s">
        <v>568</v>
      </c>
      <c r="D1406" t="s">
        <v>2286</v>
      </c>
      <c r="E1406" t="s">
        <v>2648</v>
      </c>
      <c r="F1406" s="452">
        <v>46142</v>
      </c>
      <c r="G1406">
        <v>19506</v>
      </c>
      <c r="H1406" t="s">
        <v>4112</v>
      </c>
      <c r="I1406" t="s">
        <v>3469</v>
      </c>
      <c r="J1406">
        <v>0.2</v>
      </c>
      <c r="K1406" t="s">
        <v>3892</v>
      </c>
      <c r="L1406">
        <v>14</v>
      </c>
      <c r="M1406">
        <v>70</v>
      </c>
      <c r="N1406" t="s">
        <v>4240</v>
      </c>
      <c r="O1406" t="s">
        <v>464</v>
      </c>
    </row>
    <row r="1407" spans="1:15" x14ac:dyDescent="0.3">
      <c r="A1407">
        <v>229591</v>
      </c>
      <c r="B1407">
        <v>116</v>
      </c>
      <c r="C1407" t="s">
        <v>568</v>
      </c>
      <c r="D1407" t="s">
        <v>2286</v>
      </c>
      <c r="E1407" t="s">
        <v>2648</v>
      </c>
      <c r="F1407" s="452">
        <v>46142</v>
      </c>
      <c r="G1407">
        <v>19498</v>
      </c>
      <c r="H1407" t="s">
        <v>4065</v>
      </c>
      <c r="I1407" t="s">
        <v>3469</v>
      </c>
      <c r="J1407">
        <v>1</v>
      </c>
      <c r="K1407" t="s">
        <v>3892</v>
      </c>
      <c r="L1407">
        <v>14</v>
      </c>
      <c r="M1407">
        <v>14</v>
      </c>
      <c r="N1407" t="s">
        <v>4240</v>
      </c>
      <c r="O1407" t="s">
        <v>464</v>
      </c>
    </row>
    <row r="1408" spans="1:15" x14ac:dyDescent="0.3">
      <c r="A1408">
        <v>229591</v>
      </c>
      <c r="B1408">
        <v>116</v>
      </c>
      <c r="C1408" t="s">
        <v>568</v>
      </c>
      <c r="D1408" t="s">
        <v>2286</v>
      </c>
      <c r="E1408" t="s">
        <v>2648</v>
      </c>
      <c r="F1408" s="452">
        <v>46142</v>
      </c>
      <c r="G1408">
        <v>19617</v>
      </c>
      <c r="H1408" t="s">
        <v>4110</v>
      </c>
      <c r="I1408" t="s">
        <v>3469</v>
      </c>
      <c r="J1408">
        <v>0.5</v>
      </c>
      <c r="K1408" t="s">
        <v>3892</v>
      </c>
      <c r="L1408">
        <v>15</v>
      </c>
      <c r="M1408">
        <v>30</v>
      </c>
      <c r="N1408" t="s">
        <v>4240</v>
      </c>
      <c r="O1408" t="s">
        <v>464</v>
      </c>
    </row>
    <row r="1409" spans="1:15" x14ac:dyDescent="0.3">
      <c r="A1409">
        <v>229591</v>
      </c>
      <c r="B1409">
        <v>116</v>
      </c>
      <c r="C1409" t="s">
        <v>568</v>
      </c>
      <c r="D1409" t="s">
        <v>2286</v>
      </c>
      <c r="E1409" t="s">
        <v>2648</v>
      </c>
      <c r="F1409" s="452">
        <v>46142</v>
      </c>
      <c r="G1409">
        <v>19647</v>
      </c>
      <c r="H1409" t="s">
        <v>4066</v>
      </c>
      <c r="I1409" t="s">
        <v>3469</v>
      </c>
      <c r="J1409">
        <v>1</v>
      </c>
      <c r="K1409" t="s">
        <v>3892</v>
      </c>
      <c r="L1409">
        <v>15</v>
      </c>
      <c r="M1409">
        <v>15</v>
      </c>
      <c r="N1409" t="s">
        <v>4240</v>
      </c>
      <c r="O1409" t="s">
        <v>464</v>
      </c>
    </row>
    <row r="1410" spans="1:15" x14ac:dyDescent="0.3">
      <c r="A1410">
        <v>229591</v>
      </c>
      <c r="B1410">
        <v>116</v>
      </c>
      <c r="C1410" t="s">
        <v>568</v>
      </c>
      <c r="D1410" t="s">
        <v>2286</v>
      </c>
      <c r="E1410" t="s">
        <v>2648</v>
      </c>
      <c r="F1410" s="452">
        <v>46142</v>
      </c>
      <c r="G1410">
        <v>19494</v>
      </c>
      <c r="H1410" t="s">
        <v>4126</v>
      </c>
      <c r="I1410" t="s">
        <v>3469</v>
      </c>
      <c r="J1410">
        <v>2</v>
      </c>
      <c r="K1410" t="s">
        <v>3892</v>
      </c>
      <c r="L1410">
        <v>26</v>
      </c>
      <c r="M1410">
        <v>13</v>
      </c>
      <c r="N1410" t="s">
        <v>4240</v>
      </c>
      <c r="O1410" t="s">
        <v>464</v>
      </c>
    </row>
    <row r="1411" spans="1:15" x14ac:dyDescent="0.3">
      <c r="A1411">
        <v>229591</v>
      </c>
      <c r="B1411">
        <v>116</v>
      </c>
      <c r="C1411" t="s">
        <v>568</v>
      </c>
      <c r="D1411" t="s">
        <v>2286</v>
      </c>
      <c r="E1411" t="s">
        <v>2648</v>
      </c>
      <c r="F1411" s="452">
        <v>46142</v>
      </c>
      <c r="G1411">
        <v>19623</v>
      </c>
      <c r="H1411" t="s">
        <v>3984</v>
      </c>
      <c r="I1411" t="s">
        <v>3469</v>
      </c>
      <c r="J1411">
        <v>3</v>
      </c>
      <c r="K1411" t="s">
        <v>3892</v>
      </c>
      <c r="L1411">
        <v>17.7</v>
      </c>
      <c r="M1411">
        <v>5.9</v>
      </c>
      <c r="N1411" t="s">
        <v>4240</v>
      </c>
      <c r="O1411" t="s">
        <v>464</v>
      </c>
    </row>
    <row r="1412" spans="1:15" x14ac:dyDescent="0.3">
      <c r="A1412">
        <v>229591</v>
      </c>
      <c r="B1412">
        <v>116</v>
      </c>
      <c r="C1412" t="s">
        <v>568</v>
      </c>
      <c r="D1412" t="s">
        <v>2286</v>
      </c>
      <c r="E1412" t="s">
        <v>2648</v>
      </c>
      <c r="F1412" s="452">
        <v>46142</v>
      </c>
      <c r="G1412">
        <v>24037</v>
      </c>
      <c r="H1412" t="s">
        <v>4104</v>
      </c>
      <c r="I1412" t="s">
        <v>3469</v>
      </c>
      <c r="J1412">
        <v>2</v>
      </c>
      <c r="K1412" t="s">
        <v>3892</v>
      </c>
      <c r="L1412">
        <v>36</v>
      </c>
      <c r="M1412">
        <v>18</v>
      </c>
      <c r="N1412" t="s">
        <v>4240</v>
      </c>
      <c r="O1412" t="s">
        <v>464</v>
      </c>
    </row>
    <row r="1413" spans="1:15" x14ac:dyDescent="0.3">
      <c r="A1413">
        <v>229591</v>
      </c>
      <c r="B1413">
        <v>116</v>
      </c>
      <c r="C1413" t="s">
        <v>568</v>
      </c>
      <c r="D1413" t="s">
        <v>2286</v>
      </c>
      <c r="E1413" t="s">
        <v>2648</v>
      </c>
      <c r="F1413" s="452">
        <v>46142</v>
      </c>
      <c r="G1413">
        <v>19773</v>
      </c>
      <c r="H1413" t="s">
        <v>4168</v>
      </c>
      <c r="I1413" t="s">
        <v>3469</v>
      </c>
      <c r="J1413">
        <v>1</v>
      </c>
      <c r="K1413" t="s">
        <v>3892</v>
      </c>
      <c r="L1413">
        <v>20</v>
      </c>
      <c r="M1413">
        <v>20</v>
      </c>
      <c r="N1413" t="s">
        <v>4240</v>
      </c>
      <c r="O1413" t="s">
        <v>464</v>
      </c>
    </row>
    <row r="1414" spans="1:15" x14ac:dyDescent="0.3">
      <c r="A1414">
        <v>229591</v>
      </c>
      <c r="B1414">
        <v>116</v>
      </c>
      <c r="C1414" t="s">
        <v>568</v>
      </c>
      <c r="D1414" t="s">
        <v>2286</v>
      </c>
      <c r="E1414" t="s">
        <v>2648</v>
      </c>
      <c r="F1414" s="452">
        <v>46142</v>
      </c>
      <c r="G1414">
        <v>19505</v>
      </c>
      <c r="H1414" t="s">
        <v>4101</v>
      </c>
      <c r="I1414" t="s">
        <v>3469</v>
      </c>
      <c r="J1414">
        <v>1</v>
      </c>
      <c r="K1414" t="s">
        <v>3892</v>
      </c>
      <c r="L1414">
        <v>11.5</v>
      </c>
      <c r="M1414">
        <v>11.5</v>
      </c>
      <c r="N1414" t="s">
        <v>4240</v>
      </c>
      <c r="O1414" t="s">
        <v>464</v>
      </c>
    </row>
    <row r="1415" spans="1:15" x14ac:dyDescent="0.3">
      <c r="A1415">
        <v>229591</v>
      </c>
      <c r="B1415">
        <v>116</v>
      </c>
      <c r="C1415" t="s">
        <v>568</v>
      </c>
      <c r="D1415" t="s">
        <v>2286</v>
      </c>
      <c r="E1415" t="s">
        <v>2648</v>
      </c>
      <c r="F1415" s="452">
        <v>46142</v>
      </c>
      <c r="G1415">
        <v>24509</v>
      </c>
      <c r="H1415" t="s">
        <v>3906</v>
      </c>
      <c r="I1415" t="s">
        <v>3469</v>
      </c>
      <c r="J1415">
        <v>10</v>
      </c>
      <c r="K1415" t="s">
        <v>3892</v>
      </c>
      <c r="L1415">
        <v>45</v>
      </c>
      <c r="M1415">
        <v>4.5</v>
      </c>
      <c r="N1415" t="s">
        <v>4240</v>
      </c>
      <c r="O1415" t="s">
        <v>464</v>
      </c>
    </row>
    <row r="1416" spans="1:15" x14ac:dyDescent="0.3">
      <c r="A1416">
        <v>229591</v>
      </c>
      <c r="B1416">
        <v>116</v>
      </c>
      <c r="C1416" t="s">
        <v>568</v>
      </c>
      <c r="D1416" t="s">
        <v>2286</v>
      </c>
      <c r="E1416" t="s">
        <v>2648</v>
      </c>
      <c r="F1416" s="452">
        <v>46142</v>
      </c>
      <c r="G1416">
        <v>19751</v>
      </c>
      <c r="H1416" t="s">
        <v>4019</v>
      </c>
      <c r="I1416" t="s">
        <v>3469</v>
      </c>
      <c r="J1416">
        <v>2</v>
      </c>
      <c r="K1416" t="s">
        <v>3892</v>
      </c>
      <c r="L1416">
        <v>19</v>
      </c>
      <c r="M1416">
        <v>9.5</v>
      </c>
      <c r="N1416" t="s">
        <v>4240</v>
      </c>
      <c r="O1416" t="s">
        <v>464</v>
      </c>
    </row>
    <row r="1417" spans="1:15" x14ac:dyDescent="0.3">
      <c r="A1417">
        <v>229591</v>
      </c>
      <c r="B1417">
        <v>116</v>
      </c>
      <c r="C1417" t="s">
        <v>568</v>
      </c>
      <c r="D1417" t="s">
        <v>2286</v>
      </c>
      <c r="E1417" t="s">
        <v>2648</v>
      </c>
      <c r="F1417" s="452">
        <v>46142</v>
      </c>
      <c r="G1417">
        <v>23113</v>
      </c>
      <c r="H1417" t="s">
        <v>4079</v>
      </c>
      <c r="I1417" t="s">
        <v>3469</v>
      </c>
      <c r="J1417">
        <v>1</v>
      </c>
      <c r="K1417" t="s">
        <v>3892</v>
      </c>
      <c r="L1417">
        <v>13</v>
      </c>
      <c r="M1417">
        <v>13</v>
      </c>
      <c r="N1417" t="s">
        <v>4240</v>
      </c>
      <c r="O1417" t="s">
        <v>464</v>
      </c>
    </row>
    <row r="1418" spans="1:15" x14ac:dyDescent="0.3">
      <c r="A1418">
        <v>229591</v>
      </c>
      <c r="B1418">
        <v>116</v>
      </c>
      <c r="C1418" t="s">
        <v>568</v>
      </c>
      <c r="D1418" t="s">
        <v>2286</v>
      </c>
      <c r="E1418" t="s">
        <v>2648</v>
      </c>
      <c r="F1418" s="452">
        <v>46142</v>
      </c>
      <c r="G1418">
        <v>23359</v>
      </c>
      <c r="H1418" t="s">
        <v>3932</v>
      </c>
      <c r="I1418" t="s">
        <v>3469</v>
      </c>
      <c r="J1418">
        <v>10</v>
      </c>
      <c r="K1418" t="s">
        <v>3892</v>
      </c>
      <c r="L1418">
        <v>22.5</v>
      </c>
      <c r="M1418">
        <v>2.25</v>
      </c>
      <c r="N1418" t="s">
        <v>4240</v>
      </c>
      <c r="O1418" t="s">
        <v>464</v>
      </c>
    </row>
    <row r="1419" spans="1:15" x14ac:dyDescent="0.3">
      <c r="A1419">
        <v>229591</v>
      </c>
      <c r="B1419">
        <v>116</v>
      </c>
      <c r="C1419" t="s">
        <v>568</v>
      </c>
      <c r="D1419" t="s">
        <v>2286</v>
      </c>
      <c r="E1419" t="s">
        <v>2648</v>
      </c>
      <c r="F1419" s="452">
        <v>46142</v>
      </c>
      <c r="G1419">
        <v>19488</v>
      </c>
      <c r="H1419" t="s">
        <v>4070</v>
      </c>
      <c r="I1419" t="s">
        <v>3469</v>
      </c>
      <c r="J1419">
        <v>0.5</v>
      </c>
      <c r="K1419" t="s">
        <v>3892</v>
      </c>
      <c r="L1419">
        <v>7</v>
      </c>
      <c r="M1419">
        <v>14</v>
      </c>
      <c r="N1419" t="s">
        <v>4240</v>
      </c>
      <c r="O1419" t="s">
        <v>464</v>
      </c>
    </row>
    <row r="1420" spans="1:15" x14ac:dyDescent="0.3">
      <c r="A1420">
        <v>229591</v>
      </c>
      <c r="B1420">
        <v>116</v>
      </c>
      <c r="C1420" t="s">
        <v>568</v>
      </c>
      <c r="D1420" t="s">
        <v>2286</v>
      </c>
      <c r="E1420" t="s">
        <v>2648</v>
      </c>
      <c r="F1420" s="452">
        <v>46142</v>
      </c>
      <c r="G1420">
        <v>19742</v>
      </c>
      <c r="H1420" t="s">
        <v>4074</v>
      </c>
      <c r="I1420" t="s">
        <v>3469</v>
      </c>
      <c r="J1420">
        <v>1</v>
      </c>
      <c r="K1420" t="s">
        <v>3892</v>
      </c>
      <c r="L1420">
        <v>11</v>
      </c>
      <c r="M1420">
        <v>11</v>
      </c>
      <c r="N1420" t="s">
        <v>4240</v>
      </c>
      <c r="O1420" t="s">
        <v>464</v>
      </c>
    </row>
    <row r="1421" spans="1:15" x14ac:dyDescent="0.3">
      <c r="A1421">
        <v>229591</v>
      </c>
      <c r="B1421">
        <v>116</v>
      </c>
      <c r="C1421" t="s">
        <v>568</v>
      </c>
      <c r="D1421" t="s">
        <v>2286</v>
      </c>
      <c r="E1421" t="s">
        <v>2648</v>
      </c>
      <c r="F1421" s="452">
        <v>46142</v>
      </c>
      <c r="G1421">
        <v>19787</v>
      </c>
      <c r="H1421" t="s">
        <v>3940</v>
      </c>
      <c r="I1421" t="s">
        <v>3469</v>
      </c>
      <c r="J1421">
        <v>3</v>
      </c>
      <c r="K1421" t="s">
        <v>3892</v>
      </c>
      <c r="L1421">
        <v>17.100000000000001</v>
      </c>
      <c r="M1421">
        <v>5.7</v>
      </c>
      <c r="N1421" t="s">
        <v>4240</v>
      </c>
      <c r="O1421" t="s">
        <v>464</v>
      </c>
    </row>
    <row r="1422" spans="1:15" x14ac:dyDescent="0.3">
      <c r="A1422">
        <v>229588</v>
      </c>
      <c r="B1422">
        <v>116</v>
      </c>
      <c r="C1422" t="s">
        <v>568</v>
      </c>
      <c r="D1422" t="s">
        <v>2262</v>
      </c>
      <c r="E1422" t="s">
        <v>2649</v>
      </c>
      <c r="F1422" s="452">
        <v>46142</v>
      </c>
      <c r="G1422">
        <v>27313</v>
      </c>
      <c r="H1422" t="s">
        <v>4131</v>
      </c>
      <c r="I1422" t="s">
        <v>3469</v>
      </c>
      <c r="J1422">
        <v>10.199999999999999</v>
      </c>
      <c r="K1422" t="s">
        <v>3892</v>
      </c>
      <c r="L1422">
        <v>344.76</v>
      </c>
      <c r="M1422">
        <v>33.799999999999997</v>
      </c>
      <c r="N1422" t="s">
        <v>4240</v>
      </c>
      <c r="O1422" t="s">
        <v>464</v>
      </c>
    </row>
    <row r="1423" spans="1:15" x14ac:dyDescent="0.3">
      <c r="A1423">
        <v>229584</v>
      </c>
      <c r="B1423">
        <v>116</v>
      </c>
      <c r="C1423" t="s">
        <v>568</v>
      </c>
      <c r="D1423" t="s">
        <v>2650</v>
      </c>
      <c r="E1423" t="s">
        <v>2651</v>
      </c>
      <c r="F1423" s="452">
        <v>46142</v>
      </c>
      <c r="G1423">
        <v>19765</v>
      </c>
      <c r="H1423" t="s">
        <v>4071</v>
      </c>
      <c r="I1423" t="s">
        <v>3469</v>
      </c>
      <c r="J1423">
        <v>3</v>
      </c>
      <c r="K1423" t="s">
        <v>3892</v>
      </c>
      <c r="L1423">
        <v>105</v>
      </c>
      <c r="M1423">
        <v>35</v>
      </c>
      <c r="N1423" t="s">
        <v>4240</v>
      </c>
      <c r="O1423" t="s">
        <v>464</v>
      </c>
    </row>
    <row r="1424" spans="1:15" x14ac:dyDescent="0.3">
      <c r="A1424">
        <v>229581</v>
      </c>
      <c r="B1424">
        <v>116</v>
      </c>
      <c r="C1424" t="s">
        <v>568</v>
      </c>
      <c r="D1424" t="s">
        <v>2280</v>
      </c>
      <c r="E1424" t="s">
        <v>2652</v>
      </c>
      <c r="F1424" s="452">
        <v>46142</v>
      </c>
      <c r="G1424">
        <v>19506</v>
      </c>
      <c r="H1424" t="s">
        <v>4112</v>
      </c>
      <c r="I1424" t="s">
        <v>3469</v>
      </c>
      <c r="J1424">
        <v>0.2</v>
      </c>
      <c r="K1424" t="s">
        <v>3892</v>
      </c>
      <c r="L1424">
        <v>13</v>
      </c>
      <c r="M1424">
        <v>65</v>
      </c>
      <c r="N1424" t="s">
        <v>4240</v>
      </c>
      <c r="O1424" t="s">
        <v>464</v>
      </c>
    </row>
    <row r="1425" spans="1:15" x14ac:dyDescent="0.3">
      <c r="A1425">
        <v>229581</v>
      </c>
      <c r="B1425">
        <v>116</v>
      </c>
      <c r="C1425" t="s">
        <v>568</v>
      </c>
      <c r="D1425" t="s">
        <v>2280</v>
      </c>
      <c r="E1425" t="s">
        <v>2652</v>
      </c>
      <c r="F1425" s="452">
        <v>46142</v>
      </c>
      <c r="G1425">
        <v>23096</v>
      </c>
      <c r="H1425" t="s">
        <v>3876</v>
      </c>
      <c r="I1425" t="s">
        <v>3469</v>
      </c>
      <c r="J1425">
        <v>30</v>
      </c>
      <c r="K1425" t="s">
        <v>3872</v>
      </c>
      <c r="L1425">
        <v>22.2</v>
      </c>
      <c r="M1425">
        <v>0.74</v>
      </c>
      <c r="N1425" t="s">
        <v>4240</v>
      </c>
      <c r="O1425" t="s">
        <v>464</v>
      </c>
    </row>
    <row r="1426" spans="1:15" x14ac:dyDescent="0.3">
      <c r="A1426">
        <v>229581</v>
      </c>
      <c r="B1426">
        <v>116</v>
      </c>
      <c r="C1426" t="s">
        <v>568</v>
      </c>
      <c r="D1426" t="s">
        <v>2280</v>
      </c>
      <c r="E1426" t="s">
        <v>2652</v>
      </c>
      <c r="F1426" s="452">
        <v>46142</v>
      </c>
      <c r="G1426">
        <v>23361</v>
      </c>
      <c r="H1426" t="s">
        <v>4220</v>
      </c>
      <c r="I1426" t="s">
        <v>3469</v>
      </c>
      <c r="J1426">
        <v>20</v>
      </c>
      <c r="K1426" t="s">
        <v>3892</v>
      </c>
      <c r="L1426">
        <v>59.8</v>
      </c>
      <c r="M1426">
        <v>2.99</v>
      </c>
      <c r="N1426" t="s">
        <v>4240</v>
      </c>
      <c r="O1426" t="s">
        <v>464</v>
      </c>
    </row>
    <row r="1427" spans="1:15" x14ac:dyDescent="0.3">
      <c r="A1427">
        <v>229581</v>
      </c>
      <c r="B1427">
        <v>116</v>
      </c>
      <c r="C1427" t="s">
        <v>568</v>
      </c>
      <c r="D1427" t="s">
        <v>2280</v>
      </c>
      <c r="E1427" t="s">
        <v>2652</v>
      </c>
      <c r="F1427" s="452">
        <v>46142</v>
      </c>
      <c r="G1427">
        <v>23142</v>
      </c>
      <c r="H1427" t="s">
        <v>4151</v>
      </c>
      <c r="I1427" t="s">
        <v>3469</v>
      </c>
      <c r="J1427">
        <v>1</v>
      </c>
      <c r="K1427" t="s">
        <v>3892</v>
      </c>
      <c r="L1427">
        <v>21.66</v>
      </c>
      <c r="M1427">
        <v>21.66</v>
      </c>
      <c r="N1427" t="s">
        <v>4240</v>
      </c>
      <c r="O1427" t="s">
        <v>464</v>
      </c>
    </row>
    <row r="1428" spans="1:15" x14ac:dyDescent="0.3">
      <c r="A1428">
        <v>229578</v>
      </c>
      <c r="B1428">
        <v>116</v>
      </c>
      <c r="C1428" t="s">
        <v>568</v>
      </c>
      <c r="D1428" t="s">
        <v>2273</v>
      </c>
      <c r="E1428" t="s">
        <v>2653</v>
      </c>
      <c r="F1428" s="452">
        <v>46142</v>
      </c>
      <c r="G1428">
        <v>23120</v>
      </c>
      <c r="H1428" t="s">
        <v>4111</v>
      </c>
      <c r="I1428" t="s">
        <v>3469</v>
      </c>
      <c r="J1428">
        <v>0.2</v>
      </c>
      <c r="K1428" t="s">
        <v>3892</v>
      </c>
      <c r="L1428">
        <v>13.63</v>
      </c>
      <c r="M1428">
        <v>68.150000000000006</v>
      </c>
      <c r="N1428" t="s">
        <v>4240</v>
      </c>
      <c r="O1428" t="s">
        <v>464</v>
      </c>
    </row>
    <row r="1429" spans="1:15" x14ac:dyDescent="0.3">
      <c r="A1429">
        <v>229578</v>
      </c>
      <c r="B1429">
        <v>116</v>
      </c>
      <c r="C1429" t="s">
        <v>568</v>
      </c>
      <c r="D1429" t="s">
        <v>2273</v>
      </c>
      <c r="E1429" t="s">
        <v>2653</v>
      </c>
      <c r="F1429" s="452">
        <v>46142</v>
      </c>
      <c r="G1429">
        <v>23096</v>
      </c>
      <c r="H1429" t="s">
        <v>3876</v>
      </c>
      <c r="I1429" t="s">
        <v>3469</v>
      </c>
      <c r="J1429">
        <v>60</v>
      </c>
      <c r="K1429" t="s">
        <v>3872</v>
      </c>
      <c r="L1429">
        <v>43.2</v>
      </c>
      <c r="M1429">
        <v>0.72</v>
      </c>
      <c r="N1429" t="s">
        <v>4240</v>
      </c>
      <c r="O1429" t="s">
        <v>464</v>
      </c>
    </row>
    <row r="1430" spans="1:15" x14ac:dyDescent="0.3">
      <c r="A1430">
        <v>229578</v>
      </c>
      <c r="B1430">
        <v>116</v>
      </c>
      <c r="C1430" t="s">
        <v>568</v>
      </c>
      <c r="D1430" t="s">
        <v>2273</v>
      </c>
      <c r="E1430" t="s">
        <v>2653</v>
      </c>
      <c r="F1430" s="452">
        <v>46142</v>
      </c>
      <c r="G1430">
        <v>19652</v>
      </c>
      <c r="H1430" t="s">
        <v>4014</v>
      </c>
      <c r="I1430" t="s">
        <v>3469</v>
      </c>
      <c r="J1430">
        <v>1</v>
      </c>
      <c r="K1430" t="s">
        <v>3892</v>
      </c>
      <c r="L1430">
        <v>17.559999999999999</v>
      </c>
      <c r="M1430">
        <v>17.559999999999999</v>
      </c>
      <c r="N1430" t="s">
        <v>4240</v>
      </c>
      <c r="O1430" t="s">
        <v>464</v>
      </c>
    </row>
    <row r="1431" spans="1:15" x14ac:dyDescent="0.3">
      <c r="A1431">
        <v>229578</v>
      </c>
      <c r="B1431">
        <v>116</v>
      </c>
      <c r="C1431" t="s">
        <v>568</v>
      </c>
      <c r="D1431" t="s">
        <v>2273</v>
      </c>
      <c r="E1431" t="s">
        <v>2653</v>
      </c>
      <c r="F1431" s="452">
        <v>46142</v>
      </c>
      <c r="G1431">
        <v>23095</v>
      </c>
      <c r="H1431" t="s">
        <v>3882</v>
      </c>
      <c r="I1431" t="s">
        <v>3469</v>
      </c>
      <c r="J1431">
        <v>40</v>
      </c>
      <c r="K1431" t="s">
        <v>3872</v>
      </c>
      <c r="L1431">
        <v>50</v>
      </c>
      <c r="M1431">
        <v>1.25</v>
      </c>
      <c r="N1431" t="s">
        <v>4240</v>
      </c>
      <c r="O1431" t="s">
        <v>464</v>
      </c>
    </row>
    <row r="1432" spans="1:15" x14ac:dyDescent="0.3">
      <c r="A1432">
        <v>229578</v>
      </c>
      <c r="B1432">
        <v>116</v>
      </c>
      <c r="C1432" t="s">
        <v>568</v>
      </c>
      <c r="D1432" t="s">
        <v>2273</v>
      </c>
      <c r="E1432" t="s">
        <v>2653</v>
      </c>
      <c r="F1432" s="452">
        <v>46142</v>
      </c>
      <c r="G1432">
        <v>24083</v>
      </c>
      <c r="H1432" t="s">
        <v>3898</v>
      </c>
      <c r="I1432" t="s">
        <v>3469</v>
      </c>
      <c r="J1432">
        <v>25</v>
      </c>
      <c r="K1432" t="s">
        <v>3892</v>
      </c>
      <c r="L1432">
        <v>136</v>
      </c>
      <c r="M1432">
        <v>5.44</v>
      </c>
      <c r="N1432" t="s">
        <v>4240</v>
      </c>
      <c r="O1432" t="s">
        <v>464</v>
      </c>
    </row>
    <row r="1433" spans="1:15" x14ac:dyDescent="0.3">
      <c r="A1433">
        <v>229578</v>
      </c>
      <c r="B1433">
        <v>116</v>
      </c>
      <c r="C1433" t="s">
        <v>568</v>
      </c>
      <c r="D1433" t="s">
        <v>2273</v>
      </c>
      <c r="E1433" t="s">
        <v>2653</v>
      </c>
      <c r="F1433" s="452">
        <v>46142</v>
      </c>
      <c r="G1433">
        <v>19763</v>
      </c>
      <c r="H1433" t="s">
        <v>4187</v>
      </c>
      <c r="I1433" t="s">
        <v>3469</v>
      </c>
      <c r="J1433">
        <v>2</v>
      </c>
      <c r="K1433" t="s">
        <v>3892</v>
      </c>
      <c r="L1433">
        <v>23.2</v>
      </c>
      <c r="M1433">
        <v>11.6</v>
      </c>
      <c r="N1433" t="s">
        <v>4240</v>
      </c>
      <c r="O1433" t="s">
        <v>464</v>
      </c>
    </row>
    <row r="1434" spans="1:15" x14ac:dyDescent="0.3">
      <c r="A1434">
        <v>229578</v>
      </c>
      <c r="B1434">
        <v>116</v>
      </c>
      <c r="C1434" t="s">
        <v>568</v>
      </c>
      <c r="D1434" t="s">
        <v>2273</v>
      </c>
      <c r="E1434" t="s">
        <v>2653</v>
      </c>
      <c r="F1434" s="452">
        <v>46142</v>
      </c>
      <c r="G1434">
        <v>19621</v>
      </c>
      <c r="H1434" t="s">
        <v>4125</v>
      </c>
      <c r="I1434" t="s">
        <v>3469</v>
      </c>
      <c r="J1434">
        <v>2.2000000000000002</v>
      </c>
      <c r="K1434" t="s">
        <v>3892</v>
      </c>
      <c r="L1434">
        <v>17.53</v>
      </c>
      <c r="M1434">
        <v>7.9681819999999997</v>
      </c>
      <c r="N1434" t="s">
        <v>4240</v>
      </c>
      <c r="O1434" t="s">
        <v>464</v>
      </c>
    </row>
    <row r="1435" spans="1:15" x14ac:dyDescent="0.3">
      <c r="A1435">
        <v>229578</v>
      </c>
      <c r="B1435">
        <v>116</v>
      </c>
      <c r="C1435" t="s">
        <v>568</v>
      </c>
      <c r="D1435" t="s">
        <v>2273</v>
      </c>
      <c r="E1435" t="s">
        <v>2653</v>
      </c>
      <c r="F1435" s="452">
        <v>46142</v>
      </c>
      <c r="G1435">
        <v>19583</v>
      </c>
      <c r="H1435" t="s">
        <v>4076</v>
      </c>
      <c r="I1435" t="s">
        <v>3469</v>
      </c>
      <c r="J1435">
        <v>1</v>
      </c>
      <c r="K1435" t="s">
        <v>3892</v>
      </c>
      <c r="L1435">
        <v>53.65</v>
      </c>
      <c r="M1435">
        <v>53.65</v>
      </c>
      <c r="N1435" t="s">
        <v>4240</v>
      </c>
      <c r="O1435" t="s">
        <v>464</v>
      </c>
    </row>
    <row r="1436" spans="1:15" x14ac:dyDescent="0.3">
      <c r="A1436">
        <v>229578</v>
      </c>
      <c r="B1436">
        <v>116</v>
      </c>
      <c r="C1436" t="s">
        <v>568</v>
      </c>
      <c r="D1436" t="s">
        <v>2273</v>
      </c>
      <c r="E1436" t="s">
        <v>2653</v>
      </c>
      <c r="F1436" s="452">
        <v>46142</v>
      </c>
      <c r="G1436">
        <v>19642</v>
      </c>
      <c r="H1436" t="s">
        <v>4067</v>
      </c>
      <c r="I1436" t="s">
        <v>3469</v>
      </c>
      <c r="J1436">
        <v>1</v>
      </c>
      <c r="K1436" t="s">
        <v>3892</v>
      </c>
      <c r="L1436">
        <v>5.58</v>
      </c>
      <c r="M1436">
        <v>5.58</v>
      </c>
      <c r="N1436" t="s">
        <v>4240</v>
      </c>
      <c r="O1436" t="s">
        <v>464</v>
      </c>
    </row>
    <row r="1437" spans="1:15" x14ac:dyDescent="0.3">
      <c r="A1437">
        <v>229578</v>
      </c>
      <c r="B1437">
        <v>116</v>
      </c>
      <c r="C1437" t="s">
        <v>568</v>
      </c>
      <c r="D1437" t="s">
        <v>2273</v>
      </c>
      <c r="E1437" t="s">
        <v>2653</v>
      </c>
      <c r="F1437" s="452">
        <v>46142</v>
      </c>
      <c r="G1437">
        <v>23171</v>
      </c>
      <c r="H1437" t="s">
        <v>4132</v>
      </c>
      <c r="I1437" t="s">
        <v>3469</v>
      </c>
      <c r="J1437">
        <v>3</v>
      </c>
      <c r="K1437" t="s">
        <v>3892</v>
      </c>
      <c r="L1437">
        <v>24.81</v>
      </c>
      <c r="M1437">
        <v>8.27</v>
      </c>
      <c r="N1437" t="s">
        <v>4240</v>
      </c>
      <c r="O1437" t="s">
        <v>464</v>
      </c>
    </row>
    <row r="1438" spans="1:15" x14ac:dyDescent="0.3">
      <c r="A1438">
        <v>229569</v>
      </c>
      <c r="B1438">
        <v>116</v>
      </c>
      <c r="C1438" t="s">
        <v>568</v>
      </c>
      <c r="D1438" t="s">
        <v>2280</v>
      </c>
      <c r="E1438" t="s">
        <v>2654</v>
      </c>
      <c r="F1438" s="452">
        <v>46142</v>
      </c>
      <c r="G1438">
        <v>23142</v>
      </c>
      <c r="H1438" t="s">
        <v>4151</v>
      </c>
      <c r="I1438" t="s">
        <v>3469</v>
      </c>
      <c r="J1438">
        <v>2</v>
      </c>
      <c r="K1438" t="s">
        <v>3892</v>
      </c>
      <c r="L1438">
        <v>43.32</v>
      </c>
      <c r="M1438">
        <v>21.66</v>
      </c>
      <c r="N1438" t="s">
        <v>4240</v>
      </c>
      <c r="O1438" t="s">
        <v>464</v>
      </c>
    </row>
    <row r="1439" spans="1:15" x14ac:dyDescent="0.3">
      <c r="A1439">
        <v>229569</v>
      </c>
      <c r="B1439">
        <v>116</v>
      </c>
      <c r="C1439" t="s">
        <v>568</v>
      </c>
      <c r="D1439" t="s">
        <v>2280</v>
      </c>
      <c r="E1439" t="s">
        <v>2654</v>
      </c>
      <c r="F1439" s="452">
        <v>46142</v>
      </c>
      <c r="G1439">
        <v>24484</v>
      </c>
      <c r="H1439" t="s">
        <v>4154</v>
      </c>
      <c r="I1439" t="s">
        <v>3469</v>
      </c>
      <c r="J1439">
        <v>1</v>
      </c>
      <c r="K1439" t="s">
        <v>3892</v>
      </c>
      <c r="L1439">
        <v>13</v>
      </c>
      <c r="M1439">
        <v>13</v>
      </c>
      <c r="N1439" t="s">
        <v>4240</v>
      </c>
      <c r="O1439" t="s">
        <v>464</v>
      </c>
    </row>
    <row r="1440" spans="1:15" x14ac:dyDescent="0.3">
      <c r="A1440">
        <v>229569</v>
      </c>
      <c r="B1440">
        <v>116</v>
      </c>
      <c r="C1440" t="s">
        <v>568</v>
      </c>
      <c r="D1440" t="s">
        <v>2280</v>
      </c>
      <c r="E1440" t="s">
        <v>2654</v>
      </c>
      <c r="F1440" s="452">
        <v>46142</v>
      </c>
      <c r="G1440">
        <v>23361</v>
      </c>
      <c r="H1440" t="s">
        <v>4220</v>
      </c>
      <c r="I1440" t="s">
        <v>3469</v>
      </c>
      <c r="J1440">
        <v>20</v>
      </c>
      <c r="K1440" t="s">
        <v>3892</v>
      </c>
      <c r="L1440">
        <v>59.8</v>
      </c>
      <c r="M1440">
        <v>2.99</v>
      </c>
      <c r="N1440" t="s">
        <v>4240</v>
      </c>
      <c r="O1440" t="s">
        <v>464</v>
      </c>
    </row>
    <row r="1441" spans="1:15" x14ac:dyDescent="0.3">
      <c r="A1441">
        <v>229544</v>
      </c>
      <c r="B1441">
        <v>116</v>
      </c>
      <c r="C1441" t="s">
        <v>568</v>
      </c>
      <c r="D1441" t="s">
        <v>2468</v>
      </c>
      <c r="E1441" t="s">
        <v>2655</v>
      </c>
      <c r="F1441" s="452">
        <v>46142</v>
      </c>
      <c r="G1441">
        <v>27312</v>
      </c>
      <c r="H1441" t="s">
        <v>3927</v>
      </c>
      <c r="I1441" t="s">
        <v>3469</v>
      </c>
      <c r="J1441">
        <v>12.24</v>
      </c>
      <c r="K1441" t="s">
        <v>3892</v>
      </c>
      <c r="L1441">
        <v>593.64</v>
      </c>
      <c r="M1441">
        <v>48.5</v>
      </c>
      <c r="N1441" t="s">
        <v>4240</v>
      </c>
      <c r="O1441" t="s">
        <v>464</v>
      </c>
    </row>
    <row r="1442" spans="1:15" x14ac:dyDescent="0.3">
      <c r="A1442">
        <v>229541</v>
      </c>
      <c r="B1442">
        <v>116</v>
      </c>
      <c r="C1442" t="s">
        <v>568</v>
      </c>
      <c r="D1442" t="s">
        <v>2267</v>
      </c>
      <c r="E1442" t="s">
        <v>2656</v>
      </c>
      <c r="F1442" s="452">
        <v>46142</v>
      </c>
      <c r="G1442">
        <v>20549</v>
      </c>
      <c r="H1442" t="s">
        <v>4007</v>
      </c>
      <c r="I1442" t="s">
        <v>3469</v>
      </c>
      <c r="J1442">
        <v>6.5</v>
      </c>
      <c r="K1442" t="s">
        <v>3892</v>
      </c>
      <c r="L1442">
        <v>129.94</v>
      </c>
      <c r="M1442">
        <v>19.990769</v>
      </c>
      <c r="N1442" t="s">
        <v>4240</v>
      </c>
      <c r="O1442" t="s">
        <v>464</v>
      </c>
    </row>
    <row r="1443" spans="1:15" x14ac:dyDescent="0.3">
      <c r="A1443">
        <v>229541</v>
      </c>
      <c r="B1443">
        <v>116</v>
      </c>
      <c r="C1443" t="s">
        <v>568</v>
      </c>
      <c r="D1443" t="s">
        <v>2267</v>
      </c>
      <c r="E1443" t="s">
        <v>2656</v>
      </c>
      <c r="F1443" s="452">
        <v>46142</v>
      </c>
      <c r="G1443">
        <v>24393</v>
      </c>
      <c r="H1443" t="s">
        <v>4039</v>
      </c>
      <c r="I1443" t="s">
        <v>3469</v>
      </c>
      <c r="J1443">
        <v>3</v>
      </c>
      <c r="K1443" t="s">
        <v>3892</v>
      </c>
      <c r="L1443">
        <v>41.97</v>
      </c>
      <c r="M1443">
        <v>13.99</v>
      </c>
      <c r="N1443" t="s">
        <v>4240</v>
      </c>
      <c r="O1443" t="s">
        <v>464</v>
      </c>
    </row>
    <row r="1444" spans="1:15" x14ac:dyDescent="0.3">
      <c r="A1444">
        <v>229541</v>
      </c>
      <c r="B1444">
        <v>116</v>
      </c>
      <c r="C1444" t="s">
        <v>568</v>
      </c>
      <c r="D1444" t="s">
        <v>2267</v>
      </c>
      <c r="E1444" t="s">
        <v>2656</v>
      </c>
      <c r="F1444" s="452">
        <v>46142</v>
      </c>
      <c r="G1444">
        <v>18696</v>
      </c>
      <c r="H1444" t="s">
        <v>3956</v>
      </c>
      <c r="I1444" t="s">
        <v>3469</v>
      </c>
      <c r="J1444">
        <v>5</v>
      </c>
      <c r="K1444" t="s">
        <v>3892</v>
      </c>
      <c r="L1444">
        <v>89.95</v>
      </c>
      <c r="M1444">
        <v>17.989999999999998</v>
      </c>
      <c r="N1444" t="s">
        <v>4240</v>
      </c>
      <c r="O1444" t="s">
        <v>464</v>
      </c>
    </row>
    <row r="1445" spans="1:15" x14ac:dyDescent="0.3">
      <c r="A1445">
        <v>229541</v>
      </c>
      <c r="B1445">
        <v>116</v>
      </c>
      <c r="C1445" t="s">
        <v>568</v>
      </c>
      <c r="D1445" t="s">
        <v>2267</v>
      </c>
      <c r="E1445" t="s">
        <v>2656</v>
      </c>
      <c r="F1445" s="452">
        <v>46142</v>
      </c>
      <c r="G1445">
        <v>18682</v>
      </c>
      <c r="H1445" t="s">
        <v>4025</v>
      </c>
      <c r="I1445" t="s">
        <v>3469</v>
      </c>
      <c r="J1445">
        <v>5.7</v>
      </c>
      <c r="K1445" t="s">
        <v>3892</v>
      </c>
      <c r="L1445">
        <v>159.54</v>
      </c>
      <c r="M1445">
        <v>27.989474000000001</v>
      </c>
      <c r="N1445" t="s">
        <v>4240</v>
      </c>
      <c r="O1445" t="s">
        <v>464</v>
      </c>
    </row>
    <row r="1446" spans="1:15" x14ac:dyDescent="0.3">
      <c r="A1446">
        <v>229541</v>
      </c>
      <c r="B1446">
        <v>116</v>
      </c>
      <c r="C1446" t="s">
        <v>568</v>
      </c>
      <c r="D1446" t="s">
        <v>2267</v>
      </c>
      <c r="E1446" t="s">
        <v>2656</v>
      </c>
      <c r="F1446" s="452">
        <v>46142</v>
      </c>
      <c r="G1446">
        <v>24517</v>
      </c>
      <c r="H1446" t="s">
        <v>3991</v>
      </c>
      <c r="I1446" t="s">
        <v>3469</v>
      </c>
      <c r="J1446">
        <v>12</v>
      </c>
      <c r="K1446" t="s">
        <v>3892</v>
      </c>
      <c r="L1446">
        <v>335.88</v>
      </c>
      <c r="M1446">
        <v>27.99</v>
      </c>
      <c r="N1446" t="s">
        <v>4240</v>
      </c>
      <c r="O1446" t="s">
        <v>464</v>
      </c>
    </row>
    <row r="1447" spans="1:15" x14ac:dyDescent="0.3">
      <c r="A1447">
        <v>229539</v>
      </c>
      <c r="B1447">
        <v>116</v>
      </c>
      <c r="C1447" t="s">
        <v>568</v>
      </c>
      <c r="D1447" t="s">
        <v>2262</v>
      </c>
      <c r="E1447" t="s">
        <v>2657</v>
      </c>
      <c r="F1447" s="452">
        <v>46142</v>
      </c>
      <c r="G1447">
        <v>24339</v>
      </c>
      <c r="H1447" t="s">
        <v>4119</v>
      </c>
      <c r="I1447" t="s">
        <v>3469</v>
      </c>
      <c r="J1447">
        <v>2.8</v>
      </c>
      <c r="K1447" t="s">
        <v>3892</v>
      </c>
      <c r="L1447">
        <v>89.04</v>
      </c>
      <c r="M1447">
        <v>31.8</v>
      </c>
      <c r="N1447" t="s">
        <v>3469</v>
      </c>
      <c r="O1447" t="s">
        <v>464</v>
      </c>
    </row>
    <row r="1448" spans="1:15" x14ac:dyDescent="0.3">
      <c r="A1448">
        <v>229539</v>
      </c>
      <c r="B1448">
        <v>116</v>
      </c>
      <c r="C1448" t="s">
        <v>568</v>
      </c>
      <c r="D1448" t="s">
        <v>2262</v>
      </c>
      <c r="E1448" t="s">
        <v>2657</v>
      </c>
      <c r="F1448" s="452">
        <v>46142</v>
      </c>
      <c r="G1448">
        <v>24402</v>
      </c>
      <c r="H1448" t="s">
        <v>3896</v>
      </c>
      <c r="I1448" t="s">
        <v>3469</v>
      </c>
      <c r="J1448">
        <v>12.2</v>
      </c>
      <c r="K1448" t="s">
        <v>3892</v>
      </c>
      <c r="L1448">
        <v>466.04</v>
      </c>
      <c r="M1448">
        <v>38.200000000000003</v>
      </c>
      <c r="N1448" t="s">
        <v>3469</v>
      </c>
      <c r="O1448" t="s">
        <v>464</v>
      </c>
    </row>
    <row r="1449" spans="1:15" x14ac:dyDescent="0.3">
      <c r="A1449">
        <v>229539</v>
      </c>
      <c r="B1449">
        <v>116</v>
      </c>
      <c r="C1449" t="s">
        <v>568</v>
      </c>
      <c r="D1449" t="s">
        <v>2262</v>
      </c>
      <c r="E1449" t="s">
        <v>2657</v>
      </c>
      <c r="F1449" s="452">
        <v>46142</v>
      </c>
      <c r="G1449">
        <v>20501</v>
      </c>
      <c r="H1449" t="s">
        <v>4219</v>
      </c>
      <c r="I1449" t="s">
        <v>3469</v>
      </c>
      <c r="J1449">
        <v>5</v>
      </c>
      <c r="K1449" t="s">
        <v>3892</v>
      </c>
      <c r="L1449">
        <v>114</v>
      </c>
      <c r="M1449">
        <v>22.8</v>
      </c>
      <c r="N1449" t="s">
        <v>3469</v>
      </c>
      <c r="O1449" t="s">
        <v>464</v>
      </c>
    </row>
    <row r="1450" spans="1:15" x14ac:dyDescent="0.3">
      <c r="A1450">
        <v>229539</v>
      </c>
      <c r="B1450">
        <v>116</v>
      </c>
      <c r="C1450" t="s">
        <v>568</v>
      </c>
      <c r="D1450" t="s">
        <v>2262</v>
      </c>
      <c r="E1450" t="s">
        <v>2657</v>
      </c>
      <c r="F1450" s="452">
        <v>46142</v>
      </c>
      <c r="G1450">
        <v>24259</v>
      </c>
      <c r="H1450" t="s">
        <v>3895</v>
      </c>
      <c r="I1450" t="s">
        <v>3469</v>
      </c>
      <c r="J1450">
        <v>21.1</v>
      </c>
      <c r="K1450" t="s">
        <v>3892</v>
      </c>
      <c r="L1450">
        <v>1685.89</v>
      </c>
      <c r="M1450">
        <v>79.900000000000006</v>
      </c>
      <c r="N1450" t="s">
        <v>3469</v>
      </c>
      <c r="O1450" t="s">
        <v>464</v>
      </c>
    </row>
    <row r="1451" spans="1:15" x14ac:dyDescent="0.3">
      <c r="A1451">
        <v>229539</v>
      </c>
      <c r="B1451">
        <v>116</v>
      </c>
      <c r="C1451" t="s">
        <v>568</v>
      </c>
      <c r="D1451" t="s">
        <v>2262</v>
      </c>
      <c r="E1451" t="s">
        <v>2657</v>
      </c>
      <c r="F1451" s="452">
        <v>46142</v>
      </c>
      <c r="G1451">
        <v>18832</v>
      </c>
      <c r="H1451" t="s">
        <v>3900</v>
      </c>
      <c r="I1451" t="s">
        <v>3469</v>
      </c>
      <c r="J1451">
        <v>20.8</v>
      </c>
      <c r="K1451" t="s">
        <v>3892</v>
      </c>
      <c r="L1451">
        <v>829.92</v>
      </c>
      <c r="M1451">
        <v>39.9</v>
      </c>
      <c r="N1451" t="s">
        <v>3469</v>
      </c>
      <c r="O1451" t="s">
        <v>464</v>
      </c>
    </row>
    <row r="1452" spans="1:15" x14ac:dyDescent="0.3">
      <c r="A1452">
        <v>229539</v>
      </c>
      <c r="B1452">
        <v>116</v>
      </c>
      <c r="C1452" t="s">
        <v>568</v>
      </c>
      <c r="D1452" t="s">
        <v>2262</v>
      </c>
      <c r="E1452" t="s">
        <v>2657</v>
      </c>
      <c r="F1452" s="452">
        <v>46142</v>
      </c>
      <c r="G1452">
        <v>19017</v>
      </c>
      <c r="H1452" t="s">
        <v>4172</v>
      </c>
      <c r="I1452" t="s">
        <v>3469</v>
      </c>
      <c r="J1452">
        <v>5.9</v>
      </c>
      <c r="K1452" t="s">
        <v>3892</v>
      </c>
      <c r="L1452">
        <v>88.5</v>
      </c>
      <c r="M1452">
        <v>15</v>
      </c>
      <c r="N1452" t="s">
        <v>3469</v>
      </c>
      <c r="O1452" t="s">
        <v>464</v>
      </c>
    </row>
    <row r="1453" spans="1:15" x14ac:dyDescent="0.3">
      <c r="A1453">
        <v>229539</v>
      </c>
      <c r="B1453">
        <v>116</v>
      </c>
      <c r="C1453" t="s">
        <v>568</v>
      </c>
      <c r="D1453" t="s">
        <v>2262</v>
      </c>
      <c r="E1453" t="s">
        <v>2657</v>
      </c>
      <c r="F1453" s="452">
        <v>46142</v>
      </c>
      <c r="G1453">
        <v>24116</v>
      </c>
      <c r="H1453" t="s">
        <v>3963</v>
      </c>
      <c r="I1453" t="s">
        <v>3469</v>
      </c>
      <c r="J1453">
        <v>5</v>
      </c>
      <c r="K1453" t="s">
        <v>3892</v>
      </c>
      <c r="L1453">
        <v>209.5</v>
      </c>
      <c r="M1453">
        <v>41.9</v>
      </c>
      <c r="N1453" t="s">
        <v>3469</v>
      </c>
      <c r="O1453" t="s">
        <v>464</v>
      </c>
    </row>
    <row r="1454" spans="1:15" x14ac:dyDescent="0.3">
      <c r="A1454">
        <v>229539</v>
      </c>
      <c r="B1454">
        <v>116</v>
      </c>
      <c r="C1454" t="s">
        <v>568</v>
      </c>
      <c r="D1454" t="s">
        <v>2262</v>
      </c>
      <c r="E1454" t="s">
        <v>2657</v>
      </c>
      <c r="F1454" s="452">
        <v>46142</v>
      </c>
      <c r="G1454">
        <v>24388</v>
      </c>
      <c r="H1454" t="s">
        <v>3915</v>
      </c>
      <c r="I1454" t="s">
        <v>3469</v>
      </c>
      <c r="J1454">
        <v>5.4</v>
      </c>
      <c r="K1454" t="s">
        <v>3892</v>
      </c>
      <c r="L1454">
        <v>161.46</v>
      </c>
      <c r="M1454">
        <v>29.9</v>
      </c>
      <c r="N1454" t="s">
        <v>3469</v>
      </c>
      <c r="O1454" t="s">
        <v>464</v>
      </c>
    </row>
    <row r="1455" spans="1:15" x14ac:dyDescent="0.3">
      <c r="A1455">
        <v>229537</v>
      </c>
      <c r="B1455">
        <v>116</v>
      </c>
      <c r="C1455" t="s">
        <v>568</v>
      </c>
      <c r="D1455" t="s">
        <v>2308</v>
      </c>
      <c r="E1455" t="s">
        <v>2658</v>
      </c>
      <c r="F1455" s="452">
        <v>46142</v>
      </c>
      <c r="G1455">
        <v>28760</v>
      </c>
      <c r="H1455" t="s">
        <v>4188</v>
      </c>
      <c r="I1455" t="s">
        <v>3469</v>
      </c>
      <c r="J1455">
        <v>15.4</v>
      </c>
      <c r="K1455" t="s">
        <v>3892</v>
      </c>
      <c r="L1455">
        <v>939.4</v>
      </c>
      <c r="M1455">
        <v>61</v>
      </c>
      <c r="N1455" t="s">
        <v>4240</v>
      </c>
      <c r="O1455" t="s">
        <v>464</v>
      </c>
    </row>
    <row r="1456" spans="1:15" x14ac:dyDescent="0.3">
      <c r="A1456">
        <v>229523</v>
      </c>
      <c r="B1456">
        <v>116</v>
      </c>
      <c r="C1456" t="s">
        <v>568</v>
      </c>
      <c r="D1456" t="s">
        <v>2312</v>
      </c>
      <c r="E1456" t="s">
        <v>2659</v>
      </c>
      <c r="F1456" s="452">
        <v>46142</v>
      </c>
      <c r="G1456">
        <v>20624</v>
      </c>
      <c r="H1456" t="s">
        <v>3982</v>
      </c>
      <c r="I1456" t="s">
        <v>3469</v>
      </c>
      <c r="J1456">
        <v>1</v>
      </c>
      <c r="K1456" t="s">
        <v>3872</v>
      </c>
      <c r="L1456">
        <v>70.900000000000006</v>
      </c>
      <c r="M1456">
        <v>70.900000000000006</v>
      </c>
      <c r="N1456" t="s">
        <v>4240</v>
      </c>
      <c r="O1456" t="s">
        <v>464</v>
      </c>
    </row>
    <row r="1457" spans="1:15" x14ac:dyDescent="0.3">
      <c r="A1457">
        <v>229523</v>
      </c>
      <c r="B1457">
        <v>116</v>
      </c>
      <c r="C1457" t="s">
        <v>568</v>
      </c>
      <c r="D1457" t="s">
        <v>2312</v>
      </c>
      <c r="E1457" t="s">
        <v>2659</v>
      </c>
      <c r="F1457" s="452">
        <v>46142</v>
      </c>
      <c r="G1457">
        <v>19984</v>
      </c>
      <c r="H1457" t="s">
        <v>3904</v>
      </c>
      <c r="I1457" t="s">
        <v>3469</v>
      </c>
      <c r="J1457">
        <v>12</v>
      </c>
      <c r="K1457" t="s">
        <v>3872</v>
      </c>
      <c r="L1457">
        <v>238.8</v>
      </c>
      <c r="M1457">
        <v>19.899999999999999</v>
      </c>
      <c r="N1457" t="s">
        <v>4240</v>
      </c>
      <c r="O1457" t="s">
        <v>464</v>
      </c>
    </row>
    <row r="1458" spans="1:15" x14ac:dyDescent="0.3">
      <c r="A1458">
        <v>229520</v>
      </c>
      <c r="B1458">
        <v>116</v>
      </c>
      <c r="C1458" t="s">
        <v>568</v>
      </c>
      <c r="D1458" t="s">
        <v>2284</v>
      </c>
      <c r="E1458" t="s">
        <v>2660</v>
      </c>
      <c r="F1458" s="452">
        <v>46142</v>
      </c>
      <c r="G1458">
        <v>20487</v>
      </c>
      <c r="H1458" t="s">
        <v>4310</v>
      </c>
      <c r="I1458" t="s">
        <v>3469</v>
      </c>
      <c r="J1458">
        <v>3.6</v>
      </c>
      <c r="K1458" t="s">
        <v>3892</v>
      </c>
      <c r="L1458">
        <v>104.22</v>
      </c>
      <c r="M1458">
        <v>28.95</v>
      </c>
      <c r="N1458" t="s">
        <v>4240</v>
      </c>
      <c r="O1458" t="s">
        <v>464</v>
      </c>
    </row>
    <row r="1459" spans="1:15" x14ac:dyDescent="0.3">
      <c r="A1459">
        <v>229514</v>
      </c>
      <c r="B1459">
        <v>116</v>
      </c>
      <c r="C1459" t="s">
        <v>568</v>
      </c>
      <c r="D1459" t="s">
        <v>2342</v>
      </c>
      <c r="E1459" t="s">
        <v>2661</v>
      </c>
      <c r="F1459" s="452">
        <v>46142</v>
      </c>
      <c r="G1459">
        <v>24351</v>
      </c>
      <c r="H1459" t="s">
        <v>3912</v>
      </c>
      <c r="I1459" t="s">
        <v>3469</v>
      </c>
      <c r="J1459">
        <v>20</v>
      </c>
      <c r="K1459" t="s">
        <v>3892</v>
      </c>
      <c r="L1459">
        <v>240</v>
      </c>
      <c r="M1459">
        <v>12</v>
      </c>
      <c r="N1459" t="s">
        <v>4240</v>
      </c>
      <c r="O1459" t="s">
        <v>464</v>
      </c>
    </row>
    <row r="1460" spans="1:15" x14ac:dyDescent="0.3">
      <c r="A1460">
        <v>229509</v>
      </c>
      <c r="B1460">
        <v>116</v>
      </c>
      <c r="C1460" t="s">
        <v>568</v>
      </c>
      <c r="D1460" t="s">
        <v>2338</v>
      </c>
      <c r="E1460" t="s">
        <v>2662</v>
      </c>
      <c r="F1460" s="452">
        <v>46142</v>
      </c>
      <c r="G1460">
        <v>20301</v>
      </c>
      <c r="H1460" t="s">
        <v>4161</v>
      </c>
      <c r="I1460" t="s">
        <v>3469</v>
      </c>
      <c r="J1460">
        <v>6</v>
      </c>
      <c r="K1460" t="s">
        <v>3888</v>
      </c>
      <c r="L1460">
        <v>126</v>
      </c>
      <c r="M1460">
        <v>21</v>
      </c>
      <c r="N1460" t="s">
        <v>4240</v>
      </c>
      <c r="O1460" t="s">
        <v>464</v>
      </c>
    </row>
    <row r="1461" spans="1:15" x14ac:dyDescent="0.3">
      <c r="A1461">
        <v>229509</v>
      </c>
      <c r="B1461">
        <v>116</v>
      </c>
      <c r="C1461" t="s">
        <v>568</v>
      </c>
      <c r="D1461" t="s">
        <v>2338</v>
      </c>
      <c r="E1461" t="s">
        <v>2662</v>
      </c>
      <c r="F1461" s="452">
        <v>46142</v>
      </c>
      <c r="G1461">
        <v>20984</v>
      </c>
      <c r="H1461" t="s">
        <v>4235</v>
      </c>
      <c r="I1461" t="s">
        <v>3469</v>
      </c>
      <c r="J1461">
        <v>48</v>
      </c>
      <c r="K1461" t="s">
        <v>3931</v>
      </c>
      <c r="L1461">
        <v>391.2</v>
      </c>
      <c r="M1461">
        <v>8.15</v>
      </c>
      <c r="N1461" t="s">
        <v>4240</v>
      </c>
      <c r="O1461" t="s">
        <v>464</v>
      </c>
    </row>
    <row r="1462" spans="1:15" x14ac:dyDescent="0.3">
      <c r="A1462">
        <v>229507</v>
      </c>
      <c r="B1462">
        <v>116</v>
      </c>
      <c r="C1462" t="s">
        <v>568</v>
      </c>
      <c r="D1462" t="s">
        <v>2340</v>
      </c>
      <c r="E1462" t="s">
        <v>2663</v>
      </c>
      <c r="F1462" s="452">
        <v>46142</v>
      </c>
      <c r="G1462">
        <v>19324</v>
      </c>
      <c r="H1462" t="s">
        <v>3937</v>
      </c>
      <c r="I1462" t="s">
        <v>3469</v>
      </c>
      <c r="J1462">
        <v>12.7</v>
      </c>
      <c r="K1462" t="s">
        <v>3892</v>
      </c>
      <c r="L1462">
        <v>514.35</v>
      </c>
      <c r="M1462">
        <v>40.5</v>
      </c>
      <c r="N1462" t="s">
        <v>3469</v>
      </c>
      <c r="O1462" t="s">
        <v>464</v>
      </c>
    </row>
    <row r="1463" spans="1:15" x14ac:dyDescent="0.3">
      <c r="A1463">
        <v>229504</v>
      </c>
      <c r="B1463">
        <v>116</v>
      </c>
      <c r="C1463" t="s">
        <v>568</v>
      </c>
      <c r="D1463" t="s">
        <v>2277</v>
      </c>
      <c r="E1463" t="s">
        <v>2664</v>
      </c>
      <c r="F1463" s="452">
        <v>46142</v>
      </c>
      <c r="G1463">
        <v>20729</v>
      </c>
      <c r="H1463" t="s">
        <v>3965</v>
      </c>
      <c r="I1463" t="s">
        <v>3469</v>
      </c>
      <c r="J1463">
        <v>3</v>
      </c>
      <c r="K1463" t="s">
        <v>3966</v>
      </c>
      <c r="L1463">
        <v>200.7</v>
      </c>
      <c r="M1463">
        <v>66.900000000000006</v>
      </c>
      <c r="N1463" t="s">
        <v>4240</v>
      </c>
      <c r="O1463" t="s">
        <v>464</v>
      </c>
    </row>
    <row r="1464" spans="1:15" x14ac:dyDescent="0.3">
      <c r="A1464">
        <v>229504</v>
      </c>
      <c r="B1464">
        <v>116</v>
      </c>
      <c r="C1464" t="s">
        <v>568</v>
      </c>
      <c r="D1464" t="s">
        <v>2277</v>
      </c>
      <c r="E1464" t="s">
        <v>2664</v>
      </c>
      <c r="F1464" s="452">
        <v>46142</v>
      </c>
      <c r="G1464">
        <v>20227</v>
      </c>
      <c r="H1464" t="s">
        <v>3968</v>
      </c>
      <c r="I1464" t="s">
        <v>3469</v>
      </c>
      <c r="J1464">
        <v>5</v>
      </c>
      <c r="K1464" t="s">
        <v>3888</v>
      </c>
      <c r="L1464">
        <v>63.5</v>
      </c>
      <c r="M1464">
        <v>12.7</v>
      </c>
      <c r="N1464" t="s">
        <v>4240</v>
      </c>
      <c r="O1464" t="s">
        <v>464</v>
      </c>
    </row>
    <row r="1465" spans="1:15" x14ac:dyDescent="0.3">
      <c r="A1465">
        <v>229504</v>
      </c>
      <c r="B1465">
        <v>116</v>
      </c>
      <c r="C1465" t="s">
        <v>568</v>
      </c>
      <c r="D1465" t="s">
        <v>2277</v>
      </c>
      <c r="E1465" t="s">
        <v>2664</v>
      </c>
      <c r="F1465" s="452">
        <v>46142</v>
      </c>
      <c r="G1465">
        <v>20661</v>
      </c>
      <c r="H1465" t="s">
        <v>3919</v>
      </c>
      <c r="I1465" t="s">
        <v>3469</v>
      </c>
      <c r="J1465">
        <v>6</v>
      </c>
      <c r="K1465" t="s">
        <v>3872</v>
      </c>
      <c r="L1465">
        <v>51.54</v>
      </c>
      <c r="M1465">
        <v>8.59</v>
      </c>
      <c r="N1465" t="s">
        <v>4240</v>
      </c>
      <c r="O1465" t="s">
        <v>464</v>
      </c>
    </row>
    <row r="1466" spans="1:15" x14ac:dyDescent="0.3">
      <c r="A1466">
        <v>229501</v>
      </c>
      <c r="B1466">
        <v>116</v>
      </c>
      <c r="C1466" t="s">
        <v>568</v>
      </c>
      <c r="D1466" t="s">
        <v>2284</v>
      </c>
      <c r="E1466" t="s">
        <v>2665</v>
      </c>
      <c r="F1466" s="452">
        <v>46142</v>
      </c>
      <c r="G1466">
        <v>19291</v>
      </c>
      <c r="H1466" t="s">
        <v>4254</v>
      </c>
      <c r="I1466" t="s">
        <v>3469</v>
      </c>
      <c r="J1466">
        <v>7.1</v>
      </c>
      <c r="K1466" t="s">
        <v>4197</v>
      </c>
      <c r="L1466">
        <v>531.79</v>
      </c>
      <c r="M1466">
        <v>74.900000000000006</v>
      </c>
      <c r="N1466" t="s">
        <v>4240</v>
      </c>
      <c r="O1466" t="s">
        <v>464</v>
      </c>
    </row>
    <row r="1467" spans="1:15" x14ac:dyDescent="0.3">
      <c r="A1467">
        <v>229498</v>
      </c>
      <c r="B1467">
        <v>116</v>
      </c>
      <c r="C1467" t="s">
        <v>568</v>
      </c>
      <c r="D1467" t="s">
        <v>2284</v>
      </c>
      <c r="E1467" t="s">
        <v>2666</v>
      </c>
      <c r="F1467" s="452">
        <v>46142</v>
      </c>
      <c r="G1467">
        <v>25769</v>
      </c>
      <c r="H1467" t="s">
        <v>4013</v>
      </c>
      <c r="I1467" t="s">
        <v>3469</v>
      </c>
      <c r="J1467">
        <v>1</v>
      </c>
      <c r="K1467" t="s">
        <v>3892</v>
      </c>
      <c r="L1467">
        <v>13</v>
      </c>
      <c r="M1467">
        <v>13</v>
      </c>
      <c r="N1467" t="s">
        <v>4240</v>
      </c>
      <c r="O1467" t="s">
        <v>464</v>
      </c>
    </row>
    <row r="1468" spans="1:15" x14ac:dyDescent="0.3">
      <c r="A1468">
        <v>229498</v>
      </c>
      <c r="B1468">
        <v>116</v>
      </c>
      <c r="C1468" t="s">
        <v>568</v>
      </c>
      <c r="D1468" t="s">
        <v>2284</v>
      </c>
      <c r="E1468" t="s">
        <v>2666</v>
      </c>
      <c r="F1468" s="452">
        <v>46142</v>
      </c>
      <c r="G1468">
        <v>20007</v>
      </c>
      <c r="H1468" t="s">
        <v>4009</v>
      </c>
      <c r="I1468" t="s">
        <v>3469</v>
      </c>
      <c r="J1468">
        <v>1</v>
      </c>
      <c r="K1468" t="s">
        <v>3966</v>
      </c>
      <c r="L1468">
        <v>52.6</v>
      </c>
      <c r="M1468">
        <v>52.6</v>
      </c>
      <c r="N1468" t="s">
        <v>4240</v>
      </c>
      <c r="O1468" t="s">
        <v>464</v>
      </c>
    </row>
    <row r="1469" spans="1:15" x14ac:dyDescent="0.3">
      <c r="A1469">
        <v>229498</v>
      </c>
      <c r="B1469">
        <v>116</v>
      </c>
      <c r="C1469" t="s">
        <v>568</v>
      </c>
      <c r="D1469" t="s">
        <v>2284</v>
      </c>
      <c r="E1469" t="s">
        <v>2666</v>
      </c>
      <c r="F1469" s="452">
        <v>46142</v>
      </c>
      <c r="G1469">
        <v>20117</v>
      </c>
      <c r="H1469" t="s">
        <v>4010</v>
      </c>
      <c r="I1469" t="s">
        <v>3469</v>
      </c>
      <c r="J1469">
        <v>2</v>
      </c>
      <c r="K1469" t="s">
        <v>3872</v>
      </c>
      <c r="L1469">
        <v>75.8</v>
      </c>
      <c r="M1469">
        <v>37.9</v>
      </c>
      <c r="N1469" t="s">
        <v>4240</v>
      </c>
      <c r="O1469" t="s">
        <v>464</v>
      </c>
    </row>
    <row r="1470" spans="1:15" x14ac:dyDescent="0.3">
      <c r="A1470">
        <v>229498</v>
      </c>
      <c r="B1470">
        <v>116</v>
      </c>
      <c r="C1470" t="s">
        <v>568</v>
      </c>
      <c r="D1470" t="s">
        <v>2284</v>
      </c>
      <c r="E1470" t="s">
        <v>2666</v>
      </c>
      <c r="F1470" s="452">
        <v>46142</v>
      </c>
      <c r="G1470">
        <v>23270</v>
      </c>
      <c r="H1470" t="s">
        <v>4103</v>
      </c>
      <c r="I1470" t="s">
        <v>3469</v>
      </c>
      <c r="J1470">
        <v>1</v>
      </c>
      <c r="K1470" t="s">
        <v>3892</v>
      </c>
      <c r="L1470">
        <v>19.899999999999999</v>
      </c>
      <c r="M1470">
        <v>19.899999999999999</v>
      </c>
      <c r="N1470" t="s">
        <v>4240</v>
      </c>
      <c r="O1470" t="s">
        <v>464</v>
      </c>
    </row>
    <row r="1471" spans="1:15" x14ac:dyDescent="0.3">
      <c r="A1471">
        <v>229498</v>
      </c>
      <c r="B1471">
        <v>116</v>
      </c>
      <c r="C1471" t="s">
        <v>568</v>
      </c>
      <c r="D1471" t="s">
        <v>2284</v>
      </c>
      <c r="E1471" t="s">
        <v>2666</v>
      </c>
      <c r="F1471" s="452">
        <v>46142</v>
      </c>
      <c r="G1471">
        <v>19287</v>
      </c>
      <c r="H1471" t="s">
        <v>3974</v>
      </c>
      <c r="I1471" t="s">
        <v>3469</v>
      </c>
      <c r="J1471">
        <v>3.24</v>
      </c>
      <c r="K1471" t="s">
        <v>3892</v>
      </c>
      <c r="L1471">
        <v>140.62</v>
      </c>
      <c r="M1471">
        <v>43.401235</v>
      </c>
      <c r="N1471" t="s">
        <v>4240</v>
      </c>
      <c r="O1471" t="s">
        <v>464</v>
      </c>
    </row>
    <row r="1472" spans="1:15" x14ac:dyDescent="0.3">
      <c r="A1472">
        <v>229498</v>
      </c>
      <c r="B1472">
        <v>116</v>
      </c>
      <c r="C1472" t="s">
        <v>568</v>
      </c>
      <c r="D1472" t="s">
        <v>2284</v>
      </c>
      <c r="E1472" t="s">
        <v>2666</v>
      </c>
      <c r="F1472" s="452">
        <v>46142</v>
      </c>
      <c r="G1472">
        <v>21126</v>
      </c>
      <c r="H1472" t="s">
        <v>4004</v>
      </c>
      <c r="I1472" t="s">
        <v>3469</v>
      </c>
      <c r="J1472">
        <v>2</v>
      </c>
      <c r="K1472" t="s">
        <v>3872</v>
      </c>
      <c r="L1472">
        <v>15.6</v>
      </c>
      <c r="M1472">
        <v>7.8</v>
      </c>
      <c r="N1472" t="s">
        <v>4240</v>
      </c>
      <c r="O1472" t="s">
        <v>464</v>
      </c>
    </row>
    <row r="1473" spans="1:15" x14ac:dyDescent="0.3">
      <c r="A1473">
        <v>229498</v>
      </c>
      <c r="B1473">
        <v>116</v>
      </c>
      <c r="C1473" t="s">
        <v>568</v>
      </c>
      <c r="D1473" t="s">
        <v>2284</v>
      </c>
      <c r="E1473" t="s">
        <v>2666</v>
      </c>
      <c r="F1473" s="452">
        <v>46142</v>
      </c>
      <c r="G1473">
        <v>19415</v>
      </c>
      <c r="H1473" t="s">
        <v>3941</v>
      </c>
      <c r="I1473" t="s">
        <v>3469</v>
      </c>
      <c r="J1473">
        <v>12</v>
      </c>
      <c r="K1473" t="s">
        <v>3872</v>
      </c>
      <c r="L1473">
        <v>105.6</v>
      </c>
      <c r="M1473">
        <v>8.8000000000000007</v>
      </c>
      <c r="N1473" t="s">
        <v>4240</v>
      </c>
      <c r="O1473" t="s">
        <v>464</v>
      </c>
    </row>
    <row r="1474" spans="1:15" x14ac:dyDescent="0.3">
      <c r="A1474">
        <v>229498</v>
      </c>
      <c r="B1474">
        <v>116</v>
      </c>
      <c r="C1474" t="s">
        <v>568</v>
      </c>
      <c r="D1474" t="s">
        <v>2284</v>
      </c>
      <c r="E1474" t="s">
        <v>2666</v>
      </c>
      <c r="F1474" s="452">
        <v>46142</v>
      </c>
      <c r="G1474">
        <v>19939</v>
      </c>
      <c r="H1474" t="s">
        <v>4311</v>
      </c>
      <c r="I1474" t="s">
        <v>3469</v>
      </c>
      <c r="J1474">
        <v>0.5</v>
      </c>
      <c r="K1474" t="s">
        <v>3892</v>
      </c>
      <c r="L1474">
        <v>45</v>
      </c>
      <c r="M1474">
        <v>90</v>
      </c>
      <c r="N1474" t="s">
        <v>4240</v>
      </c>
      <c r="O1474" t="s">
        <v>464</v>
      </c>
    </row>
    <row r="1475" spans="1:15" x14ac:dyDescent="0.3">
      <c r="A1475">
        <v>229498</v>
      </c>
      <c r="B1475">
        <v>116</v>
      </c>
      <c r="C1475" t="s">
        <v>568</v>
      </c>
      <c r="D1475" t="s">
        <v>2284</v>
      </c>
      <c r="E1475" t="s">
        <v>2666</v>
      </c>
      <c r="F1475" s="452">
        <v>46142</v>
      </c>
      <c r="G1475">
        <v>20077</v>
      </c>
      <c r="H1475" t="s">
        <v>4054</v>
      </c>
      <c r="I1475" t="s">
        <v>3469</v>
      </c>
      <c r="J1475">
        <v>1</v>
      </c>
      <c r="K1475" t="s">
        <v>4268</v>
      </c>
      <c r="L1475">
        <v>16.350000000000001</v>
      </c>
      <c r="M1475">
        <v>16.350000000000001</v>
      </c>
      <c r="N1475" t="s">
        <v>4240</v>
      </c>
      <c r="O1475" t="s">
        <v>464</v>
      </c>
    </row>
    <row r="1476" spans="1:15" x14ac:dyDescent="0.3">
      <c r="A1476">
        <v>229496</v>
      </c>
      <c r="B1476">
        <v>116</v>
      </c>
      <c r="C1476" t="s">
        <v>568</v>
      </c>
      <c r="D1476" t="s">
        <v>2284</v>
      </c>
      <c r="E1476" t="s">
        <v>2667</v>
      </c>
      <c r="F1476" s="452">
        <v>46142</v>
      </c>
      <c r="G1476">
        <v>18467</v>
      </c>
      <c r="H1476" t="s">
        <v>4028</v>
      </c>
      <c r="I1476" t="s">
        <v>3497</v>
      </c>
      <c r="J1476">
        <v>2</v>
      </c>
      <c r="K1476" t="s">
        <v>3878</v>
      </c>
      <c r="L1476">
        <v>153.9</v>
      </c>
      <c r="M1476">
        <v>76.95</v>
      </c>
      <c r="N1476" t="s">
        <v>3497</v>
      </c>
      <c r="O1476" t="s">
        <v>464</v>
      </c>
    </row>
    <row r="1477" spans="1:15" x14ac:dyDescent="0.3">
      <c r="A1477">
        <v>229494</v>
      </c>
      <c r="B1477">
        <v>116</v>
      </c>
      <c r="C1477" t="s">
        <v>568</v>
      </c>
      <c r="D1477" t="s">
        <v>2332</v>
      </c>
      <c r="E1477" t="s">
        <v>2668</v>
      </c>
      <c r="F1477" s="452">
        <v>46142</v>
      </c>
      <c r="G1477">
        <v>18538</v>
      </c>
      <c r="H1477" t="s">
        <v>4026</v>
      </c>
      <c r="I1477" t="s">
        <v>3497</v>
      </c>
      <c r="J1477">
        <v>2</v>
      </c>
      <c r="K1477" t="s">
        <v>3878</v>
      </c>
      <c r="L1477">
        <v>207.6</v>
      </c>
      <c r="M1477">
        <v>103.8</v>
      </c>
      <c r="N1477" t="s">
        <v>3497</v>
      </c>
      <c r="O1477" t="s">
        <v>464</v>
      </c>
    </row>
    <row r="1478" spans="1:15" x14ac:dyDescent="0.3">
      <c r="A1478">
        <v>229493</v>
      </c>
      <c r="B1478">
        <v>116</v>
      </c>
      <c r="C1478" t="s">
        <v>568</v>
      </c>
      <c r="D1478" t="s">
        <v>2275</v>
      </c>
      <c r="E1478" t="s">
        <v>2669</v>
      </c>
      <c r="F1478" s="452">
        <v>46142</v>
      </c>
      <c r="G1478">
        <v>24006</v>
      </c>
      <c r="H1478" t="s">
        <v>4177</v>
      </c>
      <c r="I1478" t="s">
        <v>3497</v>
      </c>
      <c r="J1478">
        <v>15</v>
      </c>
      <c r="K1478" t="s">
        <v>3888</v>
      </c>
      <c r="L1478">
        <v>358.5</v>
      </c>
      <c r="M1478">
        <v>23.9</v>
      </c>
      <c r="N1478" t="s">
        <v>3497</v>
      </c>
      <c r="O1478" t="s">
        <v>464</v>
      </c>
    </row>
    <row r="1479" spans="1:15" x14ac:dyDescent="0.3">
      <c r="A1479">
        <v>229493</v>
      </c>
      <c r="B1479">
        <v>116</v>
      </c>
      <c r="C1479" t="s">
        <v>568</v>
      </c>
      <c r="D1479" t="s">
        <v>2275</v>
      </c>
      <c r="E1479" t="s">
        <v>2669</v>
      </c>
      <c r="F1479" s="452">
        <v>46142</v>
      </c>
      <c r="G1479">
        <v>17969</v>
      </c>
      <c r="H1479" t="s">
        <v>4175</v>
      </c>
      <c r="I1479" t="s">
        <v>3497</v>
      </c>
      <c r="J1479">
        <v>15</v>
      </c>
      <c r="K1479" t="s">
        <v>3888</v>
      </c>
      <c r="L1479">
        <v>340.5</v>
      </c>
      <c r="M1479">
        <v>22.7</v>
      </c>
      <c r="N1479" t="s">
        <v>3497</v>
      </c>
      <c r="O1479" t="s">
        <v>464</v>
      </c>
    </row>
    <row r="1480" spans="1:15" x14ac:dyDescent="0.3">
      <c r="A1480">
        <v>229490</v>
      </c>
      <c r="B1480">
        <v>116</v>
      </c>
      <c r="C1480" t="s">
        <v>568</v>
      </c>
      <c r="D1480" t="s">
        <v>2314</v>
      </c>
      <c r="E1480" t="s">
        <v>2670</v>
      </c>
      <c r="F1480" s="452">
        <v>46142</v>
      </c>
      <c r="G1480">
        <v>18636</v>
      </c>
      <c r="H1480" t="s">
        <v>3921</v>
      </c>
      <c r="I1480" t="s">
        <v>3497</v>
      </c>
      <c r="J1480">
        <v>6</v>
      </c>
      <c r="K1480" t="s">
        <v>3922</v>
      </c>
      <c r="L1480">
        <v>2896.8</v>
      </c>
      <c r="M1480">
        <v>482.8</v>
      </c>
      <c r="N1480" t="s">
        <v>4276</v>
      </c>
      <c r="O1480" t="s">
        <v>464</v>
      </c>
    </row>
    <row r="1481" spans="1:15" x14ac:dyDescent="0.3">
      <c r="A1481">
        <v>229488</v>
      </c>
      <c r="B1481">
        <v>116</v>
      </c>
      <c r="C1481" t="s">
        <v>568</v>
      </c>
      <c r="D1481" t="s">
        <v>2277</v>
      </c>
      <c r="E1481" t="s">
        <v>2671</v>
      </c>
      <c r="F1481" s="452">
        <v>46142</v>
      </c>
      <c r="G1481">
        <v>21024</v>
      </c>
      <c r="H1481" t="s">
        <v>4180</v>
      </c>
      <c r="I1481" t="s">
        <v>3469</v>
      </c>
      <c r="J1481">
        <v>2</v>
      </c>
      <c r="K1481" t="s">
        <v>3872</v>
      </c>
      <c r="L1481">
        <v>353.74</v>
      </c>
      <c r="M1481">
        <v>176.87</v>
      </c>
      <c r="N1481" t="s">
        <v>4240</v>
      </c>
      <c r="O1481" t="s">
        <v>464</v>
      </c>
    </row>
    <row r="1482" spans="1:15" x14ac:dyDescent="0.3">
      <c r="A1482">
        <v>229488</v>
      </c>
      <c r="B1482">
        <v>116</v>
      </c>
      <c r="C1482" t="s">
        <v>568</v>
      </c>
      <c r="D1482" t="s">
        <v>2277</v>
      </c>
      <c r="E1482" t="s">
        <v>2671</v>
      </c>
      <c r="F1482" s="452">
        <v>46142</v>
      </c>
      <c r="G1482">
        <v>20365</v>
      </c>
      <c r="H1482" t="s">
        <v>4312</v>
      </c>
      <c r="I1482" t="s">
        <v>3469</v>
      </c>
      <c r="J1482">
        <v>10</v>
      </c>
      <c r="K1482" t="s">
        <v>3872</v>
      </c>
      <c r="L1482">
        <v>52.9</v>
      </c>
      <c r="M1482">
        <v>5.29</v>
      </c>
      <c r="N1482" t="s">
        <v>4240</v>
      </c>
      <c r="O1482" t="s">
        <v>464</v>
      </c>
    </row>
    <row r="1483" spans="1:15" x14ac:dyDescent="0.3">
      <c r="A1483">
        <v>229488</v>
      </c>
      <c r="B1483">
        <v>116</v>
      </c>
      <c r="C1483" t="s">
        <v>568</v>
      </c>
      <c r="D1483" t="s">
        <v>2277</v>
      </c>
      <c r="E1483" t="s">
        <v>2671</v>
      </c>
      <c r="F1483" s="452">
        <v>46142</v>
      </c>
      <c r="G1483">
        <v>19421</v>
      </c>
      <c r="H1483" t="s">
        <v>4275</v>
      </c>
      <c r="I1483" t="s">
        <v>3469</v>
      </c>
      <c r="J1483">
        <v>1</v>
      </c>
      <c r="K1483" t="s">
        <v>3881</v>
      </c>
      <c r="L1483">
        <v>81.84</v>
      </c>
      <c r="M1483">
        <v>81.84</v>
      </c>
      <c r="N1483" t="s">
        <v>4240</v>
      </c>
      <c r="O1483" t="s">
        <v>464</v>
      </c>
    </row>
    <row r="1484" spans="1:15" x14ac:dyDescent="0.3">
      <c r="A1484">
        <v>229488</v>
      </c>
      <c r="B1484">
        <v>116</v>
      </c>
      <c r="C1484" t="s">
        <v>568</v>
      </c>
      <c r="D1484" t="s">
        <v>2277</v>
      </c>
      <c r="E1484" t="s">
        <v>2671</v>
      </c>
      <c r="F1484" s="452">
        <v>46142</v>
      </c>
      <c r="G1484">
        <v>21093</v>
      </c>
      <c r="H1484" t="s">
        <v>3903</v>
      </c>
      <c r="I1484" t="s">
        <v>3469</v>
      </c>
      <c r="J1484">
        <v>10</v>
      </c>
      <c r="K1484" t="s">
        <v>3872</v>
      </c>
      <c r="L1484">
        <v>43.9</v>
      </c>
      <c r="M1484">
        <v>4.3899999999999997</v>
      </c>
      <c r="N1484" t="s">
        <v>4240</v>
      </c>
      <c r="O1484" t="s">
        <v>464</v>
      </c>
    </row>
    <row r="1485" spans="1:15" x14ac:dyDescent="0.3">
      <c r="A1485">
        <v>229488</v>
      </c>
      <c r="B1485">
        <v>116</v>
      </c>
      <c r="C1485" t="s">
        <v>568</v>
      </c>
      <c r="D1485" t="s">
        <v>2277</v>
      </c>
      <c r="E1485" t="s">
        <v>2671</v>
      </c>
      <c r="F1485" s="452">
        <v>46142</v>
      </c>
      <c r="G1485">
        <v>20752</v>
      </c>
      <c r="H1485" t="s">
        <v>3964</v>
      </c>
      <c r="I1485" t="s">
        <v>3469</v>
      </c>
      <c r="J1485">
        <v>2</v>
      </c>
      <c r="K1485" t="s">
        <v>3872</v>
      </c>
      <c r="L1485">
        <v>205.6</v>
      </c>
      <c r="M1485">
        <v>102.8</v>
      </c>
      <c r="N1485" t="s">
        <v>4240</v>
      </c>
      <c r="O1485" t="s">
        <v>464</v>
      </c>
    </row>
    <row r="1486" spans="1:15" x14ac:dyDescent="0.3">
      <c r="A1486">
        <v>229488</v>
      </c>
      <c r="B1486">
        <v>116</v>
      </c>
      <c r="C1486" t="s">
        <v>568</v>
      </c>
      <c r="D1486" t="s">
        <v>2277</v>
      </c>
      <c r="E1486" t="s">
        <v>2671</v>
      </c>
      <c r="F1486" s="452">
        <v>46142</v>
      </c>
      <c r="G1486">
        <v>20809</v>
      </c>
      <c r="H1486" t="s">
        <v>4005</v>
      </c>
      <c r="I1486" t="s">
        <v>3469</v>
      </c>
      <c r="J1486">
        <v>3</v>
      </c>
      <c r="K1486" t="s">
        <v>3872</v>
      </c>
      <c r="L1486">
        <v>89.7</v>
      </c>
      <c r="M1486">
        <v>29.9</v>
      </c>
      <c r="N1486" t="s">
        <v>4240</v>
      </c>
      <c r="O1486" t="s">
        <v>464</v>
      </c>
    </row>
    <row r="1487" spans="1:15" x14ac:dyDescent="0.3">
      <c r="A1487">
        <v>229486</v>
      </c>
      <c r="B1487">
        <v>116</v>
      </c>
      <c r="C1487" t="s">
        <v>568</v>
      </c>
      <c r="D1487" t="s">
        <v>2269</v>
      </c>
      <c r="E1487" t="s">
        <v>2672</v>
      </c>
      <c r="F1487" s="452">
        <v>46142</v>
      </c>
      <c r="G1487">
        <v>29129</v>
      </c>
      <c r="H1487" t="s">
        <v>4176</v>
      </c>
      <c r="I1487" t="s">
        <v>3469</v>
      </c>
      <c r="J1487">
        <v>8</v>
      </c>
      <c r="K1487" t="s">
        <v>3872</v>
      </c>
      <c r="L1487">
        <v>91.76</v>
      </c>
      <c r="M1487">
        <v>11.47</v>
      </c>
      <c r="N1487" t="s">
        <v>4240</v>
      </c>
      <c r="O1487" t="s">
        <v>464</v>
      </c>
    </row>
    <row r="1488" spans="1:15" x14ac:dyDescent="0.3">
      <c r="A1488">
        <v>229482</v>
      </c>
      <c r="B1488">
        <v>116</v>
      </c>
      <c r="C1488" t="s">
        <v>568</v>
      </c>
      <c r="D1488" t="s">
        <v>2269</v>
      </c>
      <c r="E1488" t="s">
        <v>2673</v>
      </c>
      <c r="F1488" s="452">
        <v>46142</v>
      </c>
      <c r="G1488">
        <v>29129</v>
      </c>
      <c r="H1488" t="s">
        <v>4176</v>
      </c>
      <c r="I1488" t="s">
        <v>3469</v>
      </c>
      <c r="J1488">
        <v>10</v>
      </c>
      <c r="K1488" t="s">
        <v>3872</v>
      </c>
      <c r="L1488">
        <v>114.7</v>
      </c>
      <c r="M1488">
        <v>11.47</v>
      </c>
      <c r="N1488" t="s">
        <v>3469</v>
      </c>
      <c r="O1488" t="s">
        <v>464</v>
      </c>
    </row>
    <row r="1489" spans="1:15" x14ac:dyDescent="0.3">
      <c r="A1489">
        <v>229480</v>
      </c>
      <c r="B1489">
        <v>116</v>
      </c>
      <c r="C1489" t="s">
        <v>568</v>
      </c>
      <c r="D1489" t="s">
        <v>2269</v>
      </c>
      <c r="E1489" t="s">
        <v>2674</v>
      </c>
      <c r="F1489" s="452">
        <v>46142</v>
      </c>
      <c r="G1489">
        <v>29129</v>
      </c>
      <c r="H1489" t="s">
        <v>4176</v>
      </c>
      <c r="I1489" t="s">
        <v>3469</v>
      </c>
      <c r="J1489">
        <v>10</v>
      </c>
      <c r="K1489" t="s">
        <v>3872</v>
      </c>
      <c r="L1489">
        <v>114.7</v>
      </c>
      <c r="M1489">
        <v>11.47</v>
      </c>
      <c r="N1489" t="s">
        <v>4240</v>
      </c>
      <c r="O1489" t="s">
        <v>464</v>
      </c>
    </row>
    <row r="1490" spans="1:15" x14ac:dyDescent="0.3">
      <c r="A1490">
        <v>227936</v>
      </c>
      <c r="B1490">
        <v>116</v>
      </c>
      <c r="C1490" t="s">
        <v>568</v>
      </c>
      <c r="D1490" t="s">
        <v>2258</v>
      </c>
      <c r="E1490" t="s">
        <v>2675</v>
      </c>
      <c r="F1490" s="452">
        <v>46134</v>
      </c>
      <c r="G1490">
        <v>17006</v>
      </c>
      <c r="H1490" t="s">
        <v>4128</v>
      </c>
      <c r="I1490" t="s">
        <v>3469</v>
      </c>
      <c r="J1490">
        <v>13.6</v>
      </c>
      <c r="K1490" t="s">
        <v>3892</v>
      </c>
      <c r="L1490">
        <v>176.8</v>
      </c>
      <c r="M1490">
        <v>13</v>
      </c>
      <c r="N1490" t="s">
        <v>4240</v>
      </c>
      <c r="O1490" t="s">
        <v>464</v>
      </c>
    </row>
    <row r="1491" spans="1:15" x14ac:dyDescent="0.3">
      <c r="A1491">
        <v>227440</v>
      </c>
      <c r="B1491">
        <v>116</v>
      </c>
      <c r="C1491" t="s">
        <v>568</v>
      </c>
      <c r="D1491" t="s">
        <v>2676</v>
      </c>
      <c r="E1491" t="s">
        <v>2677</v>
      </c>
      <c r="F1491" s="452">
        <v>46133</v>
      </c>
      <c r="G1491">
        <v>23113</v>
      </c>
      <c r="H1491" t="s">
        <v>4079</v>
      </c>
      <c r="I1491" t="s">
        <v>3469</v>
      </c>
      <c r="J1491">
        <v>1.5</v>
      </c>
      <c r="K1491" t="s">
        <v>3892</v>
      </c>
      <c r="L1491">
        <v>14.6</v>
      </c>
      <c r="M1491">
        <v>9.733333</v>
      </c>
      <c r="N1491" t="s">
        <v>3469</v>
      </c>
      <c r="O1491" t="s">
        <v>464</v>
      </c>
    </row>
    <row r="1492" spans="1:15" x14ac:dyDescent="0.3">
      <c r="A1492">
        <v>227373</v>
      </c>
      <c r="B1492">
        <v>116</v>
      </c>
      <c r="C1492" t="s">
        <v>568</v>
      </c>
      <c r="D1492" t="s">
        <v>2260</v>
      </c>
      <c r="E1492" t="s">
        <v>2678</v>
      </c>
      <c r="F1492" s="452">
        <v>46134</v>
      </c>
      <c r="G1492">
        <v>18685</v>
      </c>
      <c r="H1492" t="s">
        <v>3945</v>
      </c>
      <c r="I1492" t="s">
        <v>3469</v>
      </c>
      <c r="J1492">
        <v>6.1</v>
      </c>
      <c r="K1492" t="s">
        <v>4197</v>
      </c>
      <c r="L1492">
        <v>237.9</v>
      </c>
      <c r="M1492">
        <v>39</v>
      </c>
      <c r="N1492" t="s">
        <v>3469</v>
      </c>
      <c r="O1492" t="s">
        <v>464</v>
      </c>
    </row>
    <row r="1493" spans="1:15" x14ac:dyDescent="0.3">
      <c r="A1493">
        <v>227373</v>
      </c>
      <c r="B1493">
        <v>116</v>
      </c>
      <c r="C1493" t="s">
        <v>568</v>
      </c>
      <c r="D1493" t="s">
        <v>2260</v>
      </c>
      <c r="E1493" t="s">
        <v>2678</v>
      </c>
      <c r="F1493" s="452">
        <v>46134</v>
      </c>
      <c r="G1493">
        <v>24072</v>
      </c>
      <c r="H1493" t="s">
        <v>4002</v>
      </c>
      <c r="I1493" t="s">
        <v>3469</v>
      </c>
      <c r="J1493">
        <v>3.2</v>
      </c>
      <c r="K1493" t="s">
        <v>3892</v>
      </c>
      <c r="L1493">
        <v>704</v>
      </c>
      <c r="M1493">
        <v>220</v>
      </c>
      <c r="N1493" t="s">
        <v>3469</v>
      </c>
      <c r="O1493" t="s">
        <v>464</v>
      </c>
    </row>
    <row r="1494" spans="1:15" x14ac:dyDescent="0.3">
      <c r="A1494">
        <v>227373</v>
      </c>
      <c r="B1494">
        <v>116</v>
      </c>
      <c r="C1494" t="s">
        <v>568</v>
      </c>
      <c r="D1494" t="s">
        <v>2260</v>
      </c>
      <c r="E1494" t="s">
        <v>2678</v>
      </c>
      <c r="F1494" s="452">
        <v>46134</v>
      </c>
      <c r="G1494">
        <v>22734</v>
      </c>
      <c r="H1494" t="s">
        <v>3955</v>
      </c>
      <c r="I1494" t="s">
        <v>3469</v>
      </c>
      <c r="J1494">
        <v>10</v>
      </c>
      <c r="K1494" t="s">
        <v>3892</v>
      </c>
      <c r="L1494">
        <v>990</v>
      </c>
      <c r="M1494">
        <v>99</v>
      </c>
      <c r="N1494" t="s">
        <v>3469</v>
      </c>
      <c r="O1494" t="s">
        <v>464</v>
      </c>
    </row>
    <row r="1495" spans="1:15" x14ac:dyDescent="0.3">
      <c r="A1495">
        <v>227373</v>
      </c>
      <c r="B1495">
        <v>116</v>
      </c>
      <c r="C1495" t="s">
        <v>568</v>
      </c>
      <c r="D1495" t="s">
        <v>2260</v>
      </c>
      <c r="E1495" t="s">
        <v>2678</v>
      </c>
      <c r="F1495" s="452">
        <v>46134</v>
      </c>
      <c r="G1495">
        <v>27884</v>
      </c>
      <c r="H1495" t="s">
        <v>3910</v>
      </c>
      <c r="I1495" t="s">
        <v>3469</v>
      </c>
      <c r="J1495">
        <v>10.199999999999999</v>
      </c>
      <c r="K1495" t="s">
        <v>3892</v>
      </c>
      <c r="L1495">
        <v>734.4</v>
      </c>
      <c r="M1495">
        <v>72</v>
      </c>
      <c r="N1495" t="s">
        <v>3469</v>
      </c>
      <c r="O1495" t="s">
        <v>464</v>
      </c>
    </row>
    <row r="1496" spans="1:15" x14ac:dyDescent="0.3">
      <c r="A1496">
        <v>227373</v>
      </c>
      <c r="B1496">
        <v>116</v>
      </c>
      <c r="C1496" t="s">
        <v>568</v>
      </c>
      <c r="D1496" t="s">
        <v>2260</v>
      </c>
      <c r="E1496" t="s">
        <v>2678</v>
      </c>
      <c r="F1496" s="452">
        <v>46134</v>
      </c>
      <c r="G1496">
        <v>24194</v>
      </c>
      <c r="H1496" t="s">
        <v>4181</v>
      </c>
      <c r="I1496" t="s">
        <v>3469</v>
      </c>
      <c r="J1496">
        <v>3.8</v>
      </c>
      <c r="K1496" t="s">
        <v>3892</v>
      </c>
      <c r="L1496">
        <v>159.6</v>
      </c>
      <c r="M1496">
        <v>42</v>
      </c>
      <c r="N1496" t="s">
        <v>3469</v>
      </c>
      <c r="O1496" t="s">
        <v>464</v>
      </c>
    </row>
    <row r="1497" spans="1:15" x14ac:dyDescent="0.3">
      <c r="A1497">
        <v>227373</v>
      </c>
      <c r="B1497">
        <v>116</v>
      </c>
      <c r="C1497" t="s">
        <v>568</v>
      </c>
      <c r="D1497" t="s">
        <v>2260</v>
      </c>
      <c r="E1497" t="s">
        <v>2678</v>
      </c>
      <c r="F1497" s="452">
        <v>46134</v>
      </c>
      <c r="G1497">
        <v>24200</v>
      </c>
      <c r="H1497" t="s">
        <v>3975</v>
      </c>
      <c r="I1497" t="s">
        <v>3469</v>
      </c>
      <c r="J1497">
        <v>5.4</v>
      </c>
      <c r="K1497" t="s">
        <v>3892</v>
      </c>
      <c r="L1497">
        <v>177.66</v>
      </c>
      <c r="M1497">
        <v>32.9</v>
      </c>
      <c r="N1497" t="s">
        <v>3469</v>
      </c>
      <c r="O1497" t="s">
        <v>464</v>
      </c>
    </row>
    <row r="1498" spans="1:15" x14ac:dyDescent="0.3">
      <c r="A1498">
        <v>227373</v>
      </c>
      <c r="B1498">
        <v>116</v>
      </c>
      <c r="C1498" t="s">
        <v>568</v>
      </c>
      <c r="D1498" t="s">
        <v>2260</v>
      </c>
      <c r="E1498" t="s">
        <v>2678</v>
      </c>
      <c r="F1498" s="452">
        <v>46134</v>
      </c>
      <c r="G1498">
        <v>18684</v>
      </c>
      <c r="H1498" t="s">
        <v>3925</v>
      </c>
      <c r="I1498" t="s">
        <v>3469</v>
      </c>
      <c r="J1498">
        <v>11.3</v>
      </c>
      <c r="K1498" t="s">
        <v>3892</v>
      </c>
      <c r="L1498">
        <v>406.8</v>
      </c>
      <c r="M1498">
        <v>36</v>
      </c>
      <c r="N1498" t="s">
        <v>3469</v>
      </c>
      <c r="O1498" t="s">
        <v>464</v>
      </c>
    </row>
    <row r="1499" spans="1:15" x14ac:dyDescent="0.3">
      <c r="A1499">
        <v>227373</v>
      </c>
      <c r="B1499">
        <v>116</v>
      </c>
      <c r="C1499" t="s">
        <v>568</v>
      </c>
      <c r="D1499" t="s">
        <v>2260</v>
      </c>
      <c r="E1499" t="s">
        <v>2678</v>
      </c>
      <c r="F1499" s="452">
        <v>46134</v>
      </c>
      <c r="G1499">
        <v>20555</v>
      </c>
      <c r="H1499" t="s">
        <v>3959</v>
      </c>
      <c r="I1499" t="s">
        <v>3469</v>
      </c>
      <c r="J1499">
        <v>4.3</v>
      </c>
      <c r="K1499" t="s">
        <v>3892</v>
      </c>
      <c r="L1499">
        <v>339.7</v>
      </c>
      <c r="M1499">
        <v>79</v>
      </c>
      <c r="N1499" t="s">
        <v>3469</v>
      </c>
      <c r="O1499" t="s">
        <v>464</v>
      </c>
    </row>
    <row r="1500" spans="1:15" x14ac:dyDescent="0.3">
      <c r="A1500">
        <v>227362</v>
      </c>
      <c r="B1500">
        <v>116</v>
      </c>
      <c r="C1500" t="s">
        <v>568</v>
      </c>
      <c r="D1500" t="s">
        <v>2282</v>
      </c>
      <c r="E1500" t="s">
        <v>2679</v>
      </c>
      <c r="F1500" s="452">
        <v>46132</v>
      </c>
      <c r="G1500">
        <v>25518</v>
      </c>
      <c r="H1500" t="s">
        <v>4238</v>
      </c>
      <c r="I1500" t="s">
        <v>4215</v>
      </c>
      <c r="J1500">
        <v>1</v>
      </c>
      <c r="K1500" t="s">
        <v>3872</v>
      </c>
      <c r="L1500">
        <v>110.4</v>
      </c>
      <c r="M1500">
        <v>110.4</v>
      </c>
      <c r="N1500" t="s">
        <v>4239</v>
      </c>
      <c r="O1500" t="s">
        <v>464</v>
      </c>
    </row>
    <row r="1501" spans="1:15" x14ac:dyDescent="0.3">
      <c r="A1501">
        <v>227362</v>
      </c>
      <c r="B1501">
        <v>116</v>
      </c>
      <c r="C1501" t="s">
        <v>568</v>
      </c>
      <c r="D1501" t="s">
        <v>2282</v>
      </c>
      <c r="E1501" t="s">
        <v>2679</v>
      </c>
      <c r="F1501" s="452">
        <v>46132</v>
      </c>
      <c r="G1501">
        <v>24497</v>
      </c>
      <c r="H1501" t="s">
        <v>4214</v>
      </c>
      <c r="I1501" t="s">
        <v>4215</v>
      </c>
      <c r="J1501">
        <v>1</v>
      </c>
      <c r="K1501" t="s">
        <v>3872</v>
      </c>
      <c r="L1501">
        <v>134.55000000000001</v>
      </c>
      <c r="M1501">
        <v>134.55000000000001</v>
      </c>
      <c r="N1501" t="s">
        <v>4239</v>
      </c>
      <c r="O1501" t="s">
        <v>464</v>
      </c>
    </row>
    <row r="1502" spans="1:15" x14ac:dyDescent="0.3">
      <c r="A1502">
        <v>227361</v>
      </c>
      <c r="B1502">
        <v>116</v>
      </c>
      <c r="C1502" t="s">
        <v>568</v>
      </c>
      <c r="D1502" t="s">
        <v>2286</v>
      </c>
      <c r="E1502" t="s">
        <v>2680</v>
      </c>
      <c r="F1502" s="452">
        <v>46133</v>
      </c>
      <c r="G1502">
        <v>19480</v>
      </c>
      <c r="H1502" t="s">
        <v>4113</v>
      </c>
      <c r="I1502" t="s">
        <v>3469</v>
      </c>
      <c r="J1502">
        <v>0.2</v>
      </c>
      <c r="K1502" t="s">
        <v>3892</v>
      </c>
      <c r="L1502">
        <v>3.8</v>
      </c>
      <c r="M1502">
        <v>19</v>
      </c>
      <c r="N1502" t="s">
        <v>4240</v>
      </c>
      <c r="O1502" t="s">
        <v>464</v>
      </c>
    </row>
    <row r="1503" spans="1:15" x14ac:dyDescent="0.3">
      <c r="A1503">
        <v>227361</v>
      </c>
      <c r="B1503">
        <v>116</v>
      </c>
      <c r="C1503" t="s">
        <v>568</v>
      </c>
      <c r="D1503" t="s">
        <v>2286</v>
      </c>
      <c r="E1503" t="s">
        <v>2680</v>
      </c>
      <c r="F1503" s="452">
        <v>46133</v>
      </c>
      <c r="G1503">
        <v>23389</v>
      </c>
      <c r="H1503" t="s">
        <v>4016</v>
      </c>
      <c r="I1503" t="s">
        <v>3469</v>
      </c>
      <c r="J1503">
        <v>5</v>
      </c>
      <c r="K1503" t="s">
        <v>3892</v>
      </c>
      <c r="L1503">
        <v>25</v>
      </c>
      <c r="M1503">
        <v>5</v>
      </c>
      <c r="N1503" t="s">
        <v>4240</v>
      </c>
      <c r="O1503" t="s">
        <v>464</v>
      </c>
    </row>
    <row r="1504" spans="1:15" x14ac:dyDescent="0.3">
      <c r="A1504">
        <v>227361</v>
      </c>
      <c r="B1504">
        <v>116</v>
      </c>
      <c r="C1504" t="s">
        <v>568</v>
      </c>
      <c r="D1504" t="s">
        <v>2286</v>
      </c>
      <c r="E1504" t="s">
        <v>2680</v>
      </c>
      <c r="F1504" s="452">
        <v>46133</v>
      </c>
      <c r="G1504">
        <v>19787</v>
      </c>
      <c r="H1504" t="s">
        <v>3940</v>
      </c>
      <c r="I1504" t="s">
        <v>3469</v>
      </c>
      <c r="J1504">
        <v>6</v>
      </c>
      <c r="K1504" t="s">
        <v>3892</v>
      </c>
      <c r="L1504">
        <v>39</v>
      </c>
      <c r="M1504">
        <v>6.5</v>
      </c>
      <c r="N1504" t="s">
        <v>4240</v>
      </c>
      <c r="O1504" t="s">
        <v>464</v>
      </c>
    </row>
    <row r="1505" spans="1:15" x14ac:dyDescent="0.3">
      <c r="A1505">
        <v>227361</v>
      </c>
      <c r="B1505">
        <v>116</v>
      </c>
      <c r="C1505" t="s">
        <v>568</v>
      </c>
      <c r="D1505" t="s">
        <v>2286</v>
      </c>
      <c r="E1505" t="s">
        <v>2680</v>
      </c>
      <c r="F1505" s="452">
        <v>46133</v>
      </c>
      <c r="G1505">
        <v>23095</v>
      </c>
      <c r="H1505" t="s">
        <v>3882</v>
      </c>
      <c r="I1505" t="s">
        <v>3469</v>
      </c>
      <c r="J1505">
        <v>60</v>
      </c>
      <c r="K1505" t="s">
        <v>3872</v>
      </c>
      <c r="L1505">
        <v>75</v>
      </c>
      <c r="M1505">
        <v>1.25</v>
      </c>
      <c r="N1505" t="s">
        <v>4240</v>
      </c>
      <c r="O1505" t="s">
        <v>464</v>
      </c>
    </row>
    <row r="1506" spans="1:15" x14ac:dyDescent="0.3">
      <c r="A1506">
        <v>227361</v>
      </c>
      <c r="B1506">
        <v>116</v>
      </c>
      <c r="C1506" t="s">
        <v>568</v>
      </c>
      <c r="D1506" t="s">
        <v>2286</v>
      </c>
      <c r="E1506" t="s">
        <v>2680</v>
      </c>
      <c r="F1506" s="452">
        <v>46133</v>
      </c>
      <c r="G1506">
        <v>19505</v>
      </c>
      <c r="H1506" t="s">
        <v>4101</v>
      </c>
      <c r="I1506" t="s">
        <v>3469</v>
      </c>
      <c r="J1506">
        <v>1.5</v>
      </c>
      <c r="K1506" t="s">
        <v>3892</v>
      </c>
      <c r="L1506">
        <v>14.25</v>
      </c>
      <c r="M1506">
        <v>9.5</v>
      </c>
      <c r="N1506" t="s">
        <v>4240</v>
      </c>
      <c r="O1506" t="s">
        <v>464</v>
      </c>
    </row>
    <row r="1507" spans="1:15" x14ac:dyDescent="0.3">
      <c r="A1507">
        <v>227361</v>
      </c>
      <c r="B1507">
        <v>116</v>
      </c>
      <c r="C1507" t="s">
        <v>568</v>
      </c>
      <c r="D1507" t="s">
        <v>2286</v>
      </c>
      <c r="E1507" t="s">
        <v>2680</v>
      </c>
      <c r="F1507" s="452">
        <v>46133</v>
      </c>
      <c r="G1507">
        <v>23236</v>
      </c>
      <c r="H1507" t="s">
        <v>4017</v>
      </c>
      <c r="I1507" t="s">
        <v>3469</v>
      </c>
      <c r="J1507">
        <v>3</v>
      </c>
      <c r="K1507" t="s">
        <v>3892</v>
      </c>
      <c r="L1507">
        <v>25.5</v>
      </c>
      <c r="M1507">
        <v>8.5</v>
      </c>
      <c r="N1507" t="s">
        <v>4240</v>
      </c>
      <c r="O1507" t="s">
        <v>464</v>
      </c>
    </row>
    <row r="1508" spans="1:15" x14ac:dyDescent="0.3">
      <c r="A1508">
        <v>227361</v>
      </c>
      <c r="B1508">
        <v>116</v>
      </c>
      <c r="C1508" t="s">
        <v>568</v>
      </c>
      <c r="D1508" t="s">
        <v>2286</v>
      </c>
      <c r="E1508" t="s">
        <v>2680</v>
      </c>
      <c r="F1508" s="452">
        <v>46133</v>
      </c>
      <c r="G1508">
        <v>19740</v>
      </c>
      <c r="H1508" t="s">
        <v>3933</v>
      </c>
      <c r="I1508" t="s">
        <v>3469</v>
      </c>
      <c r="J1508">
        <v>6</v>
      </c>
      <c r="K1508" t="s">
        <v>3892</v>
      </c>
      <c r="L1508">
        <v>52.8</v>
      </c>
      <c r="M1508">
        <v>8.8000000000000007</v>
      </c>
      <c r="N1508" t="s">
        <v>4240</v>
      </c>
      <c r="O1508" t="s">
        <v>464</v>
      </c>
    </row>
    <row r="1509" spans="1:15" x14ac:dyDescent="0.3">
      <c r="A1509">
        <v>227361</v>
      </c>
      <c r="B1509">
        <v>116</v>
      </c>
      <c r="C1509" t="s">
        <v>568</v>
      </c>
      <c r="D1509" t="s">
        <v>2286</v>
      </c>
      <c r="E1509" t="s">
        <v>2680</v>
      </c>
      <c r="F1509" s="452">
        <v>46133</v>
      </c>
      <c r="G1509">
        <v>19617</v>
      </c>
      <c r="H1509" t="s">
        <v>4110</v>
      </c>
      <c r="I1509" t="s">
        <v>3469</v>
      </c>
      <c r="J1509">
        <v>0.5</v>
      </c>
      <c r="K1509" t="s">
        <v>3892</v>
      </c>
      <c r="L1509">
        <v>8</v>
      </c>
      <c r="M1509">
        <v>16</v>
      </c>
      <c r="N1509" t="s">
        <v>4240</v>
      </c>
      <c r="O1509" t="s">
        <v>464</v>
      </c>
    </row>
    <row r="1510" spans="1:15" x14ac:dyDescent="0.3">
      <c r="A1510">
        <v>227361</v>
      </c>
      <c r="B1510">
        <v>116</v>
      </c>
      <c r="C1510" t="s">
        <v>568</v>
      </c>
      <c r="D1510" t="s">
        <v>2286</v>
      </c>
      <c r="E1510" t="s">
        <v>2680</v>
      </c>
      <c r="F1510" s="452">
        <v>46133</v>
      </c>
      <c r="G1510">
        <v>19751</v>
      </c>
      <c r="H1510" t="s">
        <v>4019</v>
      </c>
      <c r="I1510" t="s">
        <v>3469</v>
      </c>
      <c r="J1510">
        <v>2</v>
      </c>
      <c r="K1510" t="s">
        <v>3892</v>
      </c>
      <c r="L1510">
        <v>19.600000000000001</v>
      </c>
      <c r="M1510">
        <v>9.8000000000000007</v>
      </c>
      <c r="N1510" t="s">
        <v>4240</v>
      </c>
      <c r="O1510" t="s">
        <v>464</v>
      </c>
    </row>
    <row r="1511" spans="1:15" x14ac:dyDescent="0.3">
      <c r="A1511">
        <v>227361</v>
      </c>
      <c r="B1511">
        <v>116</v>
      </c>
      <c r="C1511" t="s">
        <v>568</v>
      </c>
      <c r="D1511" t="s">
        <v>2286</v>
      </c>
      <c r="E1511" t="s">
        <v>2680</v>
      </c>
      <c r="F1511" s="452">
        <v>46133</v>
      </c>
      <c r="G1511">
        <v>19555</v>
      </c>
      <c r="H1511" t="s">
        <v>4109</v>
      </c>
      <c r="I1511" t="s">
        <v>3469</v>
      </c>
      <c r="J1511">
        <v>0.6</v>
      </c>
      <c r="K1511" t="s">
        <v>3892</v>
      </c>
      <c r="L1511">
        <v>10.8</v>
      </c>
      <c r="M1511">
        <v>18</v>
      </c>
      <c r="N1511" t="s">
        <v>4240</v>
      </c>
      <c r="O1511" t="s">
        <v>464</v>
      </c>
    </row>
    <row r="1512" spans="1:15" x14ac:dyDescent="0.3">
      <c r="A1512">
        <v>227361</v>
      </c>
      <c r="B1512">
        <v>116</v>
      </c>
      <c r="C1512" t="s">
        <v>568</v>
      </c>
      <c r="D1512" t="s">
        <v>2286</v>
      </c>
      <c r="E1512" t="s">
        <v>2680</v>
      </c>
      <c r="F1512" s="452">
        <v>46133</v>
      </c>
      <c r="G1512">
        <v>19494</v>
      </c>
      <c r="H1512" t="s">
        <v>4126</v>
      </c>
      <c r="I1512" t="s">
        <v>3469</v>
      </c>
      <c r="J1512">
        <v>1</v>
      </c>
      <c r="K1512" t="s">
        <v>3892</v>
      </c>
      <c r="L1512">
        <v>13.8</v>
      </c>
      <c r="M1512">
        <v>13.8</v>
      </c>
      <c r="N1512" t="s">
        <v>4240</v>
      </c>
      <c r="O1512" t="s">
        <v>464</v>
      </c>
    </row>
    <row r="1513" spans="1:15" x14ac:dyDescent="0.3">
      <c r="A1513">
        <v>227361</v>
      </c>
      <c r="B1513">
        <v>116</v>
      </c>
      <c r="C1513" t="s">
        <v>568</v>
      </c>
      <c r="D1513" t="s">
        <v>2286</v>
      </c>
      <c r="E1513" t="s">
        <v>2680</v>
      </c>
      <c r="F1513" s="452">
        <v>46133</v>
      </c>
      <c r="G1513">
        <v>23120</v>
      </c>
      <c r="H1513" t="s">
        <v>4111</v>
      </c>
      <c r="I1513" t="s">
        <v>3469</v>
      </c>
      <c r="J1513">
        <v>0.2</v>
      </c>
      <c r="K1513" t="s">
        <v>3892</v>
      </c>
      <c r="L1513">
        <v>13</v>
      </c>
      <c r="M1513">
        <v>65</v>
      </c>
      <c r="N1513" t="s">
        <v>4240</v>
      </c>
      <c r="O1513" t="s">
        <v>464</v>
      </c>
    </row>
    <row r="1514" spans="1:15" x14ac:dyDescent="0.3">
      <c r="A1514">
        <v>227361</v>
      </c>
      <c r="B1514">
        <v>116</v>
      </c>
      <c r="C1514" t="s">
        <v>568</v>
      </c>
      <c r="D1514" t="s">
        <v>2286</v>
      </c>
      <c r="E1514" t="s">
        <v>2680</v>
      </c>
      <c r="F1514" s="452">
        <v>46133</v>
      </c>
      <c r="G1514">
        <v>19498</v>
      </c>
      <c r="H1514" t="s">
        <v>4065</v>
      </c>
      <c r="I1514" t="s">
        <v>3469</v>
      </c>
      <c r="J1514">
        <v>1</v>
      </c>
      <c r="K1514" t="s">
        <v>3892</v>
      </c>
      <c r="L1514">
        <v>13.5</v>
      </c>
      <c r="M1514">
        <v>13.5</v>
      </c>
      <c r="N1514" t="s">
        <v>4240</v>
      </c>
      <c r="O1514" t="s">
        <v>464</v>
      </c>
    </row>
    <row r="1515" spans="1:15" x14ac:dyDescent="0.3">
      <c r="A1515">
        <v>227361</v>
      </c>
      <c r="B1515">
        <v>116</v>
      </c>
      <c r="C1515" t="s">
        <v>568</v>
      </c>
      <c r="D1515" t="s">
        <v>2286</v>
      </c>
      <c r="E1515" t="s">
        <v>2680</v>
      </c>
      <c r="F1515" s="452">
        <v>46133</v>
      </c>
      <c r="G1515">
        <v>19752</v>
      </c>
      <c r="H1515" t="s">
        <v>4042</v>
      </c>
      <c r="I1515" t="s">
        <v>3469</v>
      </c>
      <c r="J1515">
        <v>1</v>
      </c>
      <c r="K1515" t="s">
        <v>3892</v>
      </c>
      <c r="L1515">
        <v>6</v>
      </c>
      <c r="M1515">
        <v>6</v>
      </c>
      <c r="N1515" t="s">
        <v>4240</v>
      </c>
      <c r="O1515" t="s">
        <v>464</v>
      </c>
    </row>
    <row r="1516" spans="1:15" x14ac:dyDescent="0.3">
      <c r="A1516">
        <v>227361</v>
      </c>
      <c r="B1516">
        <v>116</v>
      </c>
      <c r="C1516" t="s">
        <v>568</v>
      </c>
      <c r="D1516" t="s">
        <v>2286</v>
      </c>
      <c r="E1516" t="s">
        <v>2680</v>
      </c>
      <c r="F1516" s="452">
        <v>46133</v>
      </c>
      <c r="G1516">
        <v>24037</v>
      </c>
      <c r="H1516" t="s">
        <v>4104</v>
      </c>
      <c r="I1516" t="s">
        <v>3469</v>
      </c>
      <c r="J1516">
        <v>2</v>
      </c>
      <c r="K1516" t="s">
        <v>3892</v>
      </c>
      <c r="L1516">
        <v>36</v>
      </c>
      <c r="M1516">
        <v>18</v>
      </c>
      <c r="N1516" t="s">
        <v>4240</v>
      </c>
      <c r="O1516" t="s">
        <v>464</v>
      </c>
    </row>
    <row r="1517" spans="1:15" x14ac:dyDescent="0.3">
      <c r="A1517">
        <v>227361</v>
      </c>
      <c r="B1517">
        <v>116</v>
      </c>
      <c r="C1517" t="s">
        <v>568</v>
      </c>
      <c r="D1517" t="s">
        <v>2286</v>
      </c>
      <c r="E1517" t="s">
        <v>2680</v>
      </c>
      <c r="F1517" s="452">
        <v>46133</v>
      </c>
      <c r="G1517">
        <v>19558</v>
      </c>
      <c r="H1517" t="s">
        <v>4183</v>
      </c>
      <c r="I1517" t="s">
        <v>3469</v>
      </c>
      <c r="J1517">
        <v>1</v>
      </c>
      <c r="K1517" t="s">
        <v>3892</v>
      </c>
      <c r="L1517">
        <v>17</v>
      </c>
      <c r="M1517">
        <v>17</v>
      </c>
      <c r="N1517" t="s">
        <v>4240</v>
      </c>
      <c r="O1517" t="s">
        <v>464</v>
      </c>
    </row>
    <row r="1518" spans="1:15" x14ac:dyDescent="0.3">
      <c r="A1518">
        <v>227361</v>
      </c>
      <c r="B1518">
        <v>116</v>
      </c>
      <c r="C1518" t="s">
        <v>568</v>
      </c>
      <c r="D1518" t="s">
        <v>2286</v>
      </c>
      <c r="E1518" t="s">
        <v>2680</v>
      </c>
      <c r="F1518" s="452">
        <v>46133</v>
      </c>
      <c r="G1518">
        <v>23359</v>
      </c>
      <c r="H1518" t="s">
        <v>3932</v>
      </c>
      <c r="I1518" t="s">
        <v>3469</v>
      </c>
      <c r="J1518">
        <v>10</v>
      </c>
      <c r="K1518" t="s">
        <v>3892</v>
      </c>
      <c r="L1518">
        <v>21</v>
      </c>
      <c r="M1518">
        <v>2.1</v>
      </c>
      <c r="N1518" t="s">
        <v>4240</v>
      </c>
      <c r="O1518" t="s">
        <v>464</v>
      </c>
    </row>
    <row r="1519" spans="1:15" x14ac:dyDescent="0.3">
      <c r="A1519">
        <v>227361</v>
      </c>
      <c r="B1519">
        <v>116</v>
      </c>
      <c r="C1519" t="s">
        <v>568</v>
      </c>
      <c r="D1519" t="s">
        <v>2286</v>
      </c>
      <c r="E1519" t="s">
        <v>2680</v>
      </c>
      <c r="F1519" s="452">
        <v>46133</v>
      </c>
      <c r="G1519">
        <v>19539</v>
      </c>
      <c r="H1519" t="s">
        <v>4133</v>
      </c>
      <c r="I1519" t="s">
        <v>3469</v>
      </c>
      <c r="J1519">
        <v>18</v>
      </c>
      <c r="K1519" t="s">
        <v>3892</v>
      </c>
      <c r="L1519">
        <v>153</v>
      </c>
      <c r="M1519">
        <v>8.5</v>
      </c>
      <c r="N1519" t="s">
        <v>4240</v>
      </c>
      <c r="O1519" t="s">
        <v>464</v>
      </c>
    </row>
    <row r="1520" spans="1:15" x14ac:dyDescent="0.3">
      <c r="A1520">
        <v>227360</v>
      </c>
      <c r="B1520">
        <v>116</v>
      </c>
      <c r="C1520" t="s">
        <v>568</v>
      </c>
      <c r="D1520" t="s">
        <v>2286</v>
      </c>
      <c r="E1520" t="s">
        <v>2681</v>
      </c>
      <c r="F1520" s="452">
        <v>46133</v>
      </c>
      <c r="G1520">
        <v>23113</v>
      </c>
      <c r="H1520" t="s">
        <v>4079</v>
      </c>
      <c r="I1520" t="s">
        <v>3469</v>
      </c>
      <c r="J1520">
        <v>1.5</v>
      </c>
      <c r="K1520" t="s">
        <v>3892</v>
      </c>
      <c r="L1520">
        <v>18.75</v>
      </c>
      <c r="M1520">
        <v>12.5</v>
      </c>
      <c r="N1520" t="s">
        <v>4240</v>
      </c>
      <c r="O1520" t="s">
        <v>464</v>
      </c>
    </row>
    <row r="1521" spans="1:15" x14ac:dyDescent="0.3">
      <c r="A1521">
        <v>227358</v>
      </c>
      <c r="B1521">
        <v>116</v>
      </c>
      <c r="C1521" t="s">
        <v>568</v>
      </c>
      <c r="D1521" t="s">
        <v>2318</v>
      </c>
      <c r="E1521" t="s">
        <v>2682</v>
      </c>
      <c r="F1521" s="452">
        <v>46132</v>
      </c>
      <c r="G1521">
        <v>18764</v>
      </c>
      <c r="H1521" t="s">
        <v>3907</v>
      </c>
      <c r="I1521" t="s">
        <v>3469</v>
      </c>
      <c r="J1521">
        <v>16.399999999999999</v>
      </c>
      <c r="K1521" t="s">
        <v>3892</v>
      </c>
      <c r="L1521">
        <v>1344.64</v>
      </c>
      <c r="M1521">
        <v>81.990244000000004</v>
      </c>
      <c r="N1521" t="s">
        <v>4240</v>
      </c>
      <c r="O1521" t="s">
        <v>464</v>
      </c>
    </row>
    <row r="1522" spans="1:15" x14ac:dyDescent="0.3">
      <c r="A1522">
        <v>227355</v>
      </c>
      <c r="B1522">
        <v>116</v>
      </c>
      <c r="C1522" t="s">
        <v>568</v>
      </c>
      <c r="D1522" t="s">
        <v>2683</v>
      </c>
      <c r="E1522" t="s">
        <v>2684</v>
      </c>
      <c r="F1522" s="452">
        <v>46134</v>
      </c>
      <c r="G1522">
        <v>24114</v>
      </c>
      <c r="H1522" t="s">
        <v>4313</v>
      </c>
      <c r="I1522" t="s">
        <v>3469</v>
      </c>
      <c r="J1522">
        <v>5.2</v>
      </c>
      <c r="K1522" t="s">
        <v>3892</v>
      </c>
      <c r="L1522">
        <v>197.08</v>
      </c>
      <c r="M1522">
        <v>37.9</v>
      </c>
      <c r="N1522" t="s">
        <v>3469</v>
      </c>
      <c r="O1522" t="s">
        <v>464</v>
      </c>
    </row>
    <row r="1523" spans="1:15" x14ac:dyDescent="0.3">
      <c r="A1523">
        <v>227351</v>
      </c>
      <c r="B1523">
        <v>116</v>
      </c>
      <c r="C1523" t="s">
        <v>568</v>
      </c>
      <c r="D1523" t="s">
        <v>2685</v>
      </c>
      <c r="E1523" t="s">
        <v>2686</v>
      </c>
      <c r="F1523" s="452">
        <v>46132</v>
      </c>
      <c r="G1523">
        <v>19264</v>
      </c>
      <c r="H1523" t="s">
        <v>4082</v>
      </c>
      <c r="I1523" t="s">
        <v>3469</v>
      </c>
      <c r="J1523">
        <v>12</v>
      </c>
      <c r="K1523" t="s">
        <v>3888</v>
      </c>
      <c r="L1523">
        <v>683.16</v>
      </c>
      <c r="M1523">
        <v>56.93</v>
      </c>
      <c r="N1523" t="s">
        <v>4240</v>
      </c>
      <c r="O1523" t="s">
        <v>464</v>
      </c>
    </row>
    <row r="1524" spans="1:15" x14ac:dyDescent="0.3">
      <c r="A1524">
        <v>227349</v>
      </c>
      <c r="B1524">
        <v>116</v>
      </c>
      <c r="C1524" t="s">
        <v>568</v>
      </c>
      <c r="D1524" t="s">
        <v>2357</v>
      </c>
      <c r="E1524" t="s">
        <v>2687</v>
      </c>
      <c r="F1524" s="452">
        <v>46132</v>
      </c>
      <c r="G1524">
        <v>20278</v>
      </c>
      <c r="H1524" t="s">
        <v>3939</v>
      </c>
      <c r="I1524" t="s">
        <v>3469</v>
      </c>
      <c r="J1524">
        <v>12</v>
      </c>
      <c r="K1524" t="s">
        <v>3872</v>
      </c>
      <c r="L1524">
        <v>355.08</v>
      </c>
      <c r="M1524">
        <v>29.59</v>
      </c>
      <c r="N1524" t="s">
        <v>3469</v>
      </c>
      <c r="O1524" t="s">
        <v>464</v>
      </c>
    </row>
    <row r="1525" spans="1:15" x14ac:dyDescent="0.3">
      <c r="A1525">
        <v>227347</v>
      </c>
      <c r="B1525">
        <v>116</v>
      </c>
      <c r="C1525" t="s">
        <v>568</v>
      </c>
      <c r="D1525" t="s">
        <v>2359</v>
      </c>
      <c r="E1525" t="s">
        <v>2688</v>
      </c>
      <c r="F1525" s="452">
        <v>46132</v>
      </c>
      <c r="G1525">
        <v>18172</v>
      </c>
      <c r="H1525" t="s">
        <v>3923</v>
      </c>
      <c r="I1525" t="s">
        <v>3497</v>
      </c>
      <c r="J1525">
        <v>6</v>
      </c>
      <c r="K1525" t="s">
        <v>3878</v>
      </c>
      <c r="L1525">
        <v>162.66</v>
      </c>
      <c r="M1525">
        <v>27.11</v>
      </c>
      <c r="N1525" t="s">
        <v>3497</v>
      </c>
      <c r="O1525" t="s">
        <v>464</v>
      </c>
    </row>
    <row r="1526" spans="1:15" x14ac:dyDescent="0.3">
      <c r="A1526">
        <v>227346</v>
      </c>
      <c r="B1526">
        <v>116</v>
      </c>
      <c r="C1526" t="s">
        <v>568</v>
      </c>
      <c r="D1526" t="s">
        <v>2265</v>
      </c>
      <c r="E1526" t="s">
        <v>2689</v>
      </c>
      <c r="F1526" s="452">
        <v>46134</v>
      </c>
      <c r="G1526">
        <v>17266</v>
      </c>
      <c r="H1526" t="s">
        <v>4229</v>
      </c>
      <c r="I1526" t="s">
        <v>4199</v>
      </c>
      <c r="J1526">
        <v>1</v>
      </c>
      <c r="K1526" t="s">
        <v>3872</v>
      </c>
      <c r="L1526">
        <v>4.8899999999999997</v>
      </c>
      <c r="M1526">
        <v>4.8899999999999997</v>
      </c>
      <c r="N1526" t="s">
        <v>2176</v>
      </c>
      <c r="O1526" t="s">
        <v>464</v>
      </c>
    </row>
    <row r="1527" spans="1:15" x14ac:dyDescent="0.3">
      <c r="A1527">
        <v>227346</v>
      </c>
      <c r="B1527">
        <v>116</v>
      </c>
      <c r="C1527" t="s">
        <v>568</v>
      </c>
      <c r="D1527" t="s">
        <v>2265</v>
      </c>
      <c r="E1527" t="s">
        <v>2689</v>
      </c>
      <c r="F1527" s="452">
        <v>46134</v>
      </c>
      <c r="G1527">
        <v>17314</v>
      </c>
      <c r="H1527" t="s">
        <v>4204</v>
      </c>
      <c r="I1527" t="s">
        <v>4199</v>
      </c>
      <c r="J1527">
        <v>2</v>
      </c>
      <c r="K1527" t="s">
        <v>3978</v>
      </c>
      <c r="L1527">
        <v>19.8</v>
      </c>
      <c r="M1527">
        <v>9.9</v>
      </c>
      <c r="N1527" t="s">
        <v>2176</v>
      </c>
      <c r="O1527" t="s">
        <v>464</v>
      </c>
    </row>
    <row r="1528" spans="1:15" x14ac:dyDescent="0.3">
      <c r="A1528">
        <v>227346</v>
      </c>
      <c r="B1528">
        <v>116</v>
      </c>
      <c r="C1528" t="s">
        <v>568</v>
      </c>
      <c r="D1528" t="s">
        <v>2265</v>
      </c>
      <c r="E1528" t="s">
        <v>2689</v>
      </c>
      <c r="F1528" s="452">
        <v>46134</v>
      </c>
      <c r="G1528">
        <v>25425</v>
      </c>
      <c r="H1528" t="s">
        <v>4314</v>
      </c>
      <c r="I1528" t="s">
        <v>4202</v>
      </c>
      <c r="J1528">
        <v>1</v>
      </c>
      <c r="K1528" t="s">
        <v>3872</v>
      </c>
      <c r="L1528">
        <v>50</v>
      </c>
      <c r="M1528">
        <v>50</v>
      </c>
      <c r="N1528" t="s">
        <v>2176</v>
      </c>
      <c r="O1528" t="s">
        <v>464</v>
      </c>
    </row>
    <row r="1529" spans="1:15" x14ac:dyDescent="0.3">
      <c r="A1529">
        <v>227346</v>
      </c>
      <c r="B1529">
        <v>116</v>
      </c>
      <c r="C1529" t="s">
        <v>568</v>
      </c>
      <c r="D1529" t="s">
        <v>2265</v>
      </c>
      <c r="E1529" t="s">
        <v>2689</v>
      </c>
      <c r="F1529" s="452">
        <v>46134</v>
      </c>
      <c r="G1529">
        <v>17215</v>
      </c>
      <c r="H1529" t="s">
        <v>4283</v>
      </c>
      <c r="I1529" t="s">
        <v>4199</v>
      </c>
      <c r="J1529">
        <v>4</v>
      </c>
      <c r="K1529" t="s">
        <v>3978</v>
      </c>
      <c r="L1529">
        <v>79.959999999999994</v>
      </c>
      <c r="M1529">
        <v>19.989999999999998</v>
      </c>
      <c r="N1529" t="s">
        <v>2176</v>
      </c>
      <c r="O1529" t="s">
        <v>464</v>
      </c>
    </row>
    <row r="1530" spans="1:15" x14ac:dyDescent="0.3">
      <c r="A1530">
        <v>227346</v>
      </c>
      <c r="B1530">
        <v>116</v>
      </c>
      <c r="C1530" t="s">
        <v>568</v>
      </c>
      <c r="D1530" t="s">
        <v>2265</v>
      </c>
      <c r="E1530" t="s">
        <v>2689</v>
      </c>
      <c r="F1530" s="452">
        <v>46134</v>
      </c>
      <c r="G1530">
        <v>17437</v>
      </c>
      <c r="H1530" t="s">
        <v>4198</v>
      </c>
      <c r="I1530" t="s">
        <v>4199</v>
      </c>
      <c r="J1530">
        <v>10</v>
      </c>
      <c r="K1530" t="s">
        <v>3872</v>
      </c>
      <c r="L1530">
        <v>23</v>
      </c>
      <c r="M1530">
        <v>2.2999999999999998</v>
      </c>
      <c r="N1530" t="s">
        <v>2176</v>
      </c>
      <c r="O1530" t="s">
        <v>464</v>
      </c>
    </row>
    <row r="1531" spans="1:15" x14ac:dyDescent="0.3">
      <c r="A1531">
        <v>227346</v>
      </c>
      <c r="B1531">
        <v>116</v>
      </c>
      <c r="C1531" t="s">
        <v>568</v>
      </c>
      <c r="D1531" t="s">
        <v>2265</v>
      </c>
      <c r="E1531" t="s">
        <v>2689</v>
      </c>
      <c r="F1531" s="452">
        <v>46134</v>
      </c>
      <c r="G1531">
        <v>17554</v>
      </c>
      <c r="H1531" t="s">
        <v>4315</v>
      </c>
      <c r="I1531" t="s">
        <v>4199</v>
      </c>
      <c r="J1531">
        <v>1</v>
      </c>
      <c r="K1531" t="s">
        <v>3881</v>
      </c>
      <c r="L1531">
        <v>215</v>
      </c>
      <c r="M1531">
        <v>215</v>
      </c>
      <c r="N1531" t="s">
        <v>2176</v>
      </c>
      <c r="O1531" t="s">
        <v>464</v>
      </c>
    </row>
    <row r="1532" spans="1:15" x14ac:dyDescent="0.3">
      <c r="A1532">
        <v>227346</v>
      </c>
      <c r="B1532">
        <v>116</v>
      </c>
      <c r="C1532" t="s">
        <v>568</v>
      </c>
      <c r="D1532" t="s">
        <v>2265</v>
      </c>
      <c r="E1532" t="s">
        <v>2689</v>
      </c>
      <c r="F1532" s="452">
        <v>46134</v>
      </c>
      <c r="G1532">
        <v>17017</v>
      </c>
      <c r="H1532" t="s">
        <v>4230</v>
      </c>
      <c r="I1532" t="s">
        <v>4199</v>
      </c>
      <c r="J1532">
        <v>2</v>
      </c>
      <c r="K1532" t="s">
        <v>3888</v>
      </c>
      <c r="L1532">
        <v>6</v>
      </c>
      <c r="M1532">
        <v>3</v>
      </c>
      <c r="N1532" t="s">
        <v>2176</v>
      </c>
      <c r="O1532" t="s">
        <v>464</v>
      </c>
    </row>
    <row r="1533" spans="1:15" x14ac:dyDescent="0.3">
      <c r="A1533">
        <v>227346</v>
      </c>
      <c r="B1533">
        <v>116</v>
      </c>
      <c r="C1533" t="s">
        <v>568</v>
      </c>
      <c r="D1533" t="s">
        <v>2265</v>
      </c>
      <c r="E1533" t="s">
        <v>2689</v>
      </c>
      <c r="F1533" s="452">
        <v>46134</v>
      </c>
      <c r="G1533">
        <v>17046</v>
      </c>
      <c r="H1533" t="s">
        <v>4246</v>
      </c>
      <c r="I1533" t="s">
        <v>4199</v>
      </c>
      <c r="J1533">
        <v>1</v>
      </c>
      <c r="K1533" t="s">
        <v>3872</v>
      </c>
      <c r="L1533">
        <v>45</v>
      </c>
      <c r="M1533">
        <v>45</v>
      </c>
      <c r="N1533" t="s">
        <v>2176</v>
      </c>
      <c r="O1533" t="s">
        <v>464</v>
      </c>
    </row>
    <row r="1534" spans="1:15" x14ac:dyDescent="0.3">
      <c r="A1534">
        <v>227346</v>
      </c>
      <c r="B1534">
        <v>116</v>
      </c>
      <c r="C1534" t="s">
        <v>568</v>
      </c>
      <c r="D1534" t="s">
        <v>2265</v>
      </c>
      <c r="E1534" t="s">
        <v>2689</v>
      </c>
      <c r="F1534" s="452">
        <v>46134</v>
      </c>
      <c r="G1534">
        <v>17185</v>
      </c>
      <c r="H1534" t="s">
        <v>4210</v>
      </c>
      <c r="I1534" t="s">
        <v>4199</v>
      </c>
      <c r="J1534">
        <v>1</v>
      </c>
      <c r="K1534" t="s">
        <v>3978</v>
      </c>
      <c r="L1534">
        <v>15.95</v>
      </c>
      <c r="M1534">
        <v>15.95</v>
      </c>
      <c r="N1534" t="s">
        <v>2176</v>
      </c>
      <c r="O1534" t="s">
        <v>464</v>
      </c>
    </row>
    <row r="1535" spans="1:15" x14ac:dyDescent="0.3">
      <c r="A1535">
        <v>227346</v>
      </c>
      <c r="B1535">
        <v>116</v>
      </c>
      <c r="C1535" t="s">
        <v>568</v>
      </c>
      <c r="D1535" t="s">
        <v>2265</v>
      </c>
      <c r="E1535" t="s">
        <v>2689</v>
      </c>
      <c r="F1535" s="452">
        <v>46134</v>
      </c>
      <c r="G1535">
        <v>21783</v>
      </c>
      <c r="H1535" t="s">
        <v>4228</v>
      </c>
      <c r="I1535" t="s">
        <v>4202</v>
      </c>
      <c r="J1535">
        <v>2</v>
      </c>
      <c r="K1535" t="s">
        <v>3872</v>
      </c>
      <c r="L1535">
        <v>32</v>
      </c>
      <c r="M1535">
        <v>16</v>
      </c>
      <c r="N1535" t="s">
        <v>2176</v>
      </c>
      <c r="O1535" t="s">
        <v>464</v>
      </c>
    </row>
    <row r="1536" spans="1:15" x14ac:dyDescent="0.3">
      <c r="A1536">
        <v>227346</v>
      </c>
      <c r="B1536">
        <v>116</v>
      </c>
      <c r="C1536" t="s">
        <v>568</v>
      </c>
      <c r="D1536" t="s">
        <v>2265</v>
      </c>
      <c r="E1536" t="s">
        <v>2689</v>
      </c>
      <c r="F1536" s="452">
        <v>46134</v>
      </c>
      <c r="G1536">
        <v>17416</v>
      </c>
      <c r="H1536" t="s">
        <v>4205</v>
      </c>
      <c r="I1536" t="s">
        <v>4199</v>
      </c>
      <c r="J1536">
        <v>2</v>
      </c>
      <c r="K1536" t="s">
        <v>3881</v>
      </c>
      <c r="L1536">
        <v>97.16</v>
      </c>
      <c r="M1536">
        <v>48.58</v>
      </c>
      <c r="N1536" t="s">
        <v>2176</v>
      </c>
      <c r="O1536" t="s">
        <v>464</v>
      </c>
    </row>
    <row r="1537" spans="1:15" x14ac:dyDescent="0.3">
      <c r="A1537">
        <v>227346</v>
      </c>
      <c r="B1537">
        <v>116</v>
      </c>
      <c r="C1537" t="s">
        <v>568</v>
      </c>
      <c r="D1537" t="s">
        <v>2265</v>
      </c>
      <c r="E1537" t="s">
        <v>2689</v>
      </c>
      <c r="F1537" s="452">
        <v>46134</v>
      </c>
      <c r="G1537">
        <v>17322</v>
      </c>
      <c r="H1537" t="s">
        <v>4316</v>
      </c>
      <c r="I1537" t="s">
        <v>4199</v>
      </c>
      <c r="J1537">
        <v>1</v>
      </c>
      <c r="K1537" t="s">
        <v>3978</v>
      </c>
      <c r="L1537">
        <v>15.05</v>
      </c>
      <c r="M1537">
        <v>15.05</v>
      </c>
      <c r="N1537" t="s">
        <v>2176</v>
      </c>
      <c r="O1537" t="s">
        <v>464</v>
      </c>
    </row>
    <row r="1538" spans="1:15" x14ac:dyDescent="0.3">
      <c r="A1538">
        <v>227346</v>
      </c>
      <c r="B1538">
        <v>116</v>
      </c>
      <c r="C1538" t="s">
        <v>568</v>
      </c>
      <c r="D1538" t="s">
        <v>2265</v>
      </c>
      <c r="E1538" t="s">
        <v>2689</v>
      </c>
      <c r="F1538" s="452">
        <v>46134</v>
      </c>
      <c r="G1538">
        <v>17182</v>
      </c>
      <c r="H1538" t="s">
        <v>4207</v>
      </c>
      <c r="I1538" t="s">
        <v>4199</v>
      </c>
      <c r="J1538">
        <v>1</v>
      </c>
      <c r="K1538" t="s">
        <v>3978</v>
      </c>
      <c r="L1538">
        <v>38.89</v>
      </c>
      <c r="M1538">
        <v>38.89</v>
      </c>
      <c r="N1538" t="s">
        <v>2176</v>
      </c>
      <c r="O1538" t="s">
        <v>464</v>
      </c>
    </row>
    <row r="1539" spans="1:15" x14ac:dyDescent="0.3">
      <c r="A1539">
        <v>227343</v>
      </c>
      <c r="B1539">
        <v>116</v>
      </c>
      <c r="C1539" t="s">
        <v>568</v>
      </c>
      <c r="D1539" t="s">
        <v>2269</v>
      </c>
      <c r="E1539" t="s">
        <v>2690</v>
      </c>
      <c r="F1539" s="452">
        <v>46114</v>
      </c>
      <c r="G1539">
        <v>29129</v>
      </c>
      <c r="H1539" t="s">
        <v>4176</v>
      </c>
      <c r="I1539" t="s">
        <v>3469</v>
      </c>
      <c r="J1539">
        <v>8</v>
      </c>
      <c r="K1539" t="s">
        <v>3872</v>
      </c>
      <c r="L1539">
        <v>91.76</v>
      </c>
      <c r="M1539">
        <v>11.47</v>
      </c>
      <c r="N1539" t="s">
        <v>4240</v>
      </c>
      <c r="O1539" t="s">
        <v>464</v>
      </c>
    </row>
    <row r="1540" spans="1:15" x14ac:dyDescent="0.3">
      <c r="A1540">
        <v>227338</v>
      </c>
      <c r="B1540">
        <v>116</v>
      </c>
      <c r="C1540" t="s">
        <v>568</v>
      </c>
      <c r="D1540" t="s">
        <v>2269</v>
      </c>
      <c r="E1540" t="s">
        <v>2691</v>
      </c>
      <c r="F1540" s="452">
        <v>46121</v>
      </c>
      <c r="G1540">
        <v>29129</v>
      </c>
      <c r="H1540" t="s">
        <v>4176</v>
      </c>
      <c r="I1540" t="s">
        <v>3469</v>
      </c>
      <c r="J1540">
        <v>10</v>
      </c>
      <c r="K1540" t="s">
        <v>3872</v>
      </c>
      <c r="L1540">
        <v>114.7</v>
      </c>
      <c r="M1540">
        <v>11.47</v>
      </c>
      <c r="N1540" t="s">
        <v>4240</v>
      </c>
      <c r="O1540" t="s">
        <v>464</v>
      </c>
    </row>
    <row r="1541" spans="1:15" x14ac:dyDescent="0.3">
      <c r="A1541">
        <v>226581</v>
      </c>
      <c r="B1541">
        <v>116</v>
      </c>
      <c r="C1541" t="s">
        <v>568</v>
      </c>
      <c r="D1541" t="s">
        <v>2314</v>
      </c>
      <c r="E1541" t="s">
        <v>2692</v>
      </c>
      <c r="F1541" s="452">
        <v>46126</v>
      </c>
      <c r="G1541">
        <v>18006</v>
      </c>
      <c r="H1541" t="s">
        <v>4138</v>
      </c>
      <c r="I1541" t="s">
        <v>3497</v>
      </c>
      <c r="J1541">
        <v>4</v>
      </c>
      <c r="K1541" t="s">
        <v>3888</v>
      </c>
      <c r="L1541">
        <v>118.56</v>
      </c>
      <c r="M1541">
        <v>29.64</v>
      </c>
      <c r="N1541" t="s">
        <v>3497</v>
      </c>
      <c r="O1541" t="s">
        <v>464</v>
      </c>
    </row>
    <row r="1542" spans="1:15" x14ac:dyDescent="0.3">
      <c r="A1542">
        <v>226581</v>
      </c>
      <c r="B1542">
        <v>116</v>
      </c>
      <c r="C1542" t="s">
        <v>568</v>
      </c>
      <c r="D1542" t="s">
        <v>2314</v>
      </c>
      <c r="E1542" t="s">
        <v>2692</v>
      </c>
      <c r="F1542" s="452">
        <v>46126</v>
      </c>
      <c r="G1542">
        <v>18636</v>
      </c>
      <c r="H1542" t="s">
        <v>3921</v>
      </c>
      <c r="I1542" t="s">
        <v>3497</v>
      </c>
      <c r="J1542">
        <v>6</v>
      </c>
      <c r="K1542" t="s">
        <v>3922</v>
      </c>
      <c r="L1542">
        <v>2896.8</v>
      </c>
      <c r="M1542">
        <v>482.8</v>
      </c>
      <c r="N1542" t="s">
        <v>3497</v>
      </c>
      <c r="O1542" t="s">
        <v>464</v>
      </c>
    </row>
    <row r="1543" spans="1:15" x14ac:dyDescent="0.3">
      <c r="A1543">
        <v>226581</v>
      </c>
      <c r="B1543">
        <v>116</v>
      </c>
      <c r="C1543" t="s">
        <v>568</v>
      </c>
      <c r="D1543" t="s">
        <v>2314</v>
      </c>
      <c r="E1543" t="s">
        <v>2692</v>
      </c>
      <c r="F1543" s="452">
        <v>46126</v>
      </c>
      <c r="G1543">
        <v>17881</v>
      </c>
      <c r="H1543" t="s">
        <v>4095</v>
      </c>
      <c r="I1543" t="s">
        <v>3497</v>
      </c>
      <c r="J1543">
        <v>5</v>
      </c>
      <c r="K1543" t="s">
        <v>3888</v>
      </c>
      <c r="L1543">
        <v>127.65</v>
      </c>
      <c r="M1543">
        <v>25.53</v>
      </c>
      <c r="N1543" t="s">
        <v>3497</v>
      </c>
      <c r="O1543" t="s">
        <v>464</v>
      </c>
    </row>
    <row r="1544" spans="1:15" x14ac:dyDescent="0.3">
      <c r="A1544">
        <v>226581</v>
      </c>
      <c r="B1544">
        <v>116</v>
      </c>
      <c r="C1544" t="s">
        <v>568</v>
      </c>
      <c r="D1544" t="s">
        <v>2314</v>
      </c>
      <c r="E1544" t="s">
        <v>2692</v>
      </c>
      <c r="F1544" s="452">
        <v>46126</v>
      </c>
      <c r="G1544">
        <v>18004</v>
      </c>
      <c r="H1544" t="s">
        <v>4140</v>
      </c>
      <c r="I1544" t="s">
        <v>3497</v>
      </c>
      <c r="J1544">
        <v>4</v>
      </c>
      <c r="K1544" t="s">
        <v>3888</v>
      </c>
      <c r="L1544">
        <v>118.56</v>
      </c>
      <c r="M1544">
        <v>29.64</v>
      </c>
      <c r="N1544" t="s">
        <v>3497</v>
      </c>
      <c r="O1544" t="s">
        <v>464</v>
      </c>
    </row>
    <row r="1545" spans="1:15" x14ac:dyDescent="0.3">
      <c r="A1545">
        <v>226579</v>
      </c>
      <c r="B1545">
        <v>116</v>
      </c>
      <c r="C1545" t="s">
        <v>568</v>
      </c>
      <c r="D1545" t="s">
        <v>2314</v>
      </c>
      <c r="E1545" t="s">
        <v>2693</v>
      </c>
      <c r="F1545" s="452">
        <v>46128</v>
      </c>
      <c r="G1545">
        <v>17886</v>
      </c>
      <c r="H1545" t="s">
        <v>3935</v>
      </c>
      <c r="I1545" t="s">
        <v>3497</v>
      </c>
      <c r="J1545">
        <v>10</v>
      </c>
      <c r="K1545" t="s">
        <v>3888</v>
      </c>
      <c r="L1545">
        <v>352.8</v>
      </c>
      <c r="M1545">
        <v>35.28</v>
      </c>
      <c r="N1545" t="s">
        <v>3497</v>
      </c>
      <c r="O1545" t="s">
        <v>464</v>
      </c>
    </row>
    <row r="1546" spans="1:15" x14ac:dyDescent="0.3">
      <c r="A1546">
        <v>226577</v>
      </c>
      <c r="B1546">
        <v>116</v>
      </c>
      <c r="C1546" t="s">
        <v>568</v>
      </c>
      <c r="D1546" t="s">
        <v>2314</v>
      </c>
      <c r="E1546" t="s">
        <v>2694</v>
      </c>
      <c r="F1546" s="452">
        <v>46128</v>
      </c>
      <c r="G1546">
        <v>18640</v>
      </c>
      <c r="H1546" t="s">
        <v>3994</v>
      </c>
      <c r="I1546" t="s">
        <v>3497</v>
      </c>
      <c r="J1546">
        <v>1</v>
      </c>
      <c r="K1546" t="s">
        <v>3922</v>
      </c>
      <c r="L1546">
        <v>306</v>
      </c>
      <c r="M1546">
        <v>306</v>
      </c>
      <c r="N1546" t="s">
        <v>3497</v>
      </c>
      <c r="O1546" t="s">
        <v>464</v>
      </c>
    </row>
    <row r="1547" spans="1:15" x14ac:dyDescent="0.3">
      <c r="A1547">
        <v>226577</v>
      </c>
      <c r="B1547">
        <v>116</v>
      </c>
      <c r="C1547" t="s">
        <v>568</v>
      </c>
      <c r="D1547" t="s">
        <v>2314</v>
      </c>
      <c r="E1547" t="s">
        <v>2694</v>
      </c>
      <c r="F1547" s="452">
        <v>46128</v>
      </c>
      <c r="G1547">
        <v>18636</v>
      </c>
      <c r="H1547" t="s">
        <v>3921</v>
      </c>
      <c r="I1547" t="s">
        <v>3497</v>
      </c>
      <c r="J1547">
        <v>8</v>
      </c>
      <c r="K1547" t="s">
        <v>3922</v>
      </c>
      <c r="L1547">
        <v>3862.4</v>
      </c>
      <c r="M1547">
        <v>482.8</v>
      </c>
      <c r="N1547" t="s">
        <v>3497</v>
      </c>
      <c r="O1547" t="s">
        <v>464</v>
      </c>
    </row>
    <row r="1548" spans="1:15" x14ac:dyDescent="0.3">
      <c r="A1548">
        <v>226575</v>
      </c>
      <c r="B1548">
        <v>116</v>
      </c>
      <c r="C1548" t="s">
        <v>568</v>
      </c>
      <c r="D1548" t="s">
        <v>2314</v>
      </c>
      <c r="E1548" t="s">
        <v>2695</v>
      </c>
      <c r="F1548" s="452">
        <v>46123</v>
      </c>
      <c r="G1548">
        <v>17897</v>
      </c>
      <c r="H1548" t="s">
        <v>4094</v>
      </c>
      <c r="I1548" t="s">
        <v>3497</v>
      </c>
      <c r="J1548">
        <v>1</v>
      </c>
      <c r="K1548" t="s">
        <v>3888</v>
      </c>
      <c r="L1548">
        <v>40.29</v>
      </c>
      <c r="M1548">
        <v>40.29</v>
      </c>
      <c r="N1548" t="s">
        <v>3497</v>
      </c>
      <c r="O1548" t="s">
        <v>464</v>
      </c>
    </row>
    <row r="1549" spans="1:15" x14ac:dyDescent="0.3">
      <c r="A1549">
        <v>226575</v>
      </c>
      <c r="B1549">
        <v>116</v>
      </c>
      <c r="C1549" t="s">
        <v>568</v>
      </c>
      <c r="D1549" t="s">
        <v>2314</v>
      </c>
      <c r="E1549" t="s">
        <v>2695</v>
      </c>
      <c r="F1549" s="452">
        <v>46123</v>
      </c>
      <c r="G1549">
        <v>18636</v>
      </c>
      <c r="H1549" t="s">
        <v>3921</v>
      </c>
      <c r="I1549" t="s">
        <v>3497</v>
      </c>
      <c r="J1549">
        <v>6</v>
      </c>
      <c r="K1549" t="s">
        <v>3922</v>
      </c>
      <c r="L1549">
        <v>2896.8</v>
      </c>
      <c r="M1549">
        <v>482.8</v>
      </c>
      <c r="N1549" t="s">
        <v>3497</v>
      </c>
      <c r="O1549" t="s">
        <v>464</v>
      </c>
    </row>
    <row r="1550" spans="1:15" x14ac:dyDescent="0.3">
      <c r="A1550">
        <v>226575</v>
      </c>
      <c r="B1550">
        <v>116</v>
      </c>
      <c r="C1550" t="s">
        <v>568</v>
      </c>
      <c r="D1550" t="s">
        <v>2314</v>
      </c>
      <c r="E1550" t="s">
        <v>2695</v>
      </c>
      <c r="F1550" s="452">
        <v>46123</v>
      </c>
      <c r="G1550">
        <v>17896</v>
      </c>
      <c r="H1550" t="s">
        <v>3972</v>
      </c>
      <c r="I1550" t="s">
        <v>3497</v>
      </c>
      <c r="J1550">
        <v>1</v>
      </c>
      <c r="K1550" t="s">
        <v>3888</v>
      </c>
      <c r="L1550">
        <v>40.29</v>
      </c>
      <c r="M1550">
        <v>40.29</v>
      </c>
      <c r="N1550" t="s">
        <v>3497</v>
      </c>
      <c r="O1550" t="s">
        <v>464</v>
      </c>
    </row>
    <row r="1551" spans="1:15" x14ac:dyDescent="0.3">
      <c r="A1551">
        <v>226574</v>
      </c>
      <c r="B1551">
        <v>116</v>
      </c>
      <c r="C1551" t="s">
        <v>568</v>
      </c>
      <c r="D1551" t="s">
        <v>2293</v>
      </c>
      <c r="E1551" t="s">
        <v>2696</v>
      </c>
      <c r="F1551" s="452">
        <v>46143</v>
      </c>
      <c r="G1551">
        <v>16974</v>
      </c>
      <c r="H1551" t="s">
        <v>3996</v>
      </c>
      <c r="I1551" t="s">
        <v>3497</v>
      </c>
      <c r="J1551">
        <v>4</v>
      </c>
      <c r="K1551" t="s">
        <v>3881</v>
      </c>
      <c r="L1551">
        <v>540</v>
      </c>
      <c r="M1551">
        <v>135</v>
      </c>
      <c r="N1551" t="s">
        <v>3497</v>
      </c>
      <c r="O1551" t="s">
        <v>465</v>
      </c>
    </row>
    <row r="1552" spans="1:15" x14ac:dyDescent="0.3">
      <c r="A1552">
        <v>226572</v>
      </c>
      <c r="B1552">
        <v>116</v>
      </c>
      <c r="C1552" t="s">
        <v>568</v>
      </c>
      <c r="D1552" t="s">
        <v>2330</v>
      </c>
      <c r="E1552" t="s">
        <v>2697</v>
      </c>
      <c r="F1552" s="452">
        <v>46125</v>
      </c>
      <c r="G1552">
        <v>18295</v>
      </c>
      <c r="H1552" t="s">
        <v>4030</v>
      </c>
      <c r="I1552" t="s">
        <v>3497</v>
      </c>
      <c r="J1552">
        <v>2</v>
      </c>
      <c r="K1552" t="s">
        <v>3878</v>
      </c>
      <c r="L1552">
        <v>246</v>
      </c>
      <c r="M1552">
        <v>123</v>
      </c>
      <c r="N1552" t="s">
        <v>3497</v>
      </c>
      <c r="O1552" t="s">
        <v>464</v>
      </c>
    </row>
    <row r="1553" spans="1:15" x14ac:dyDescent="0.3">
      <c r="A1553">
        <v>226568</v>
      </c>
      <c r="B1553">
        <v>116</v>
      </c>
      <c r="C1553" t="s">
        <v>568</v>
      </c>
      <c r="D1553" t="s">
        <v>2271</v>
      </c>
      <c r="E1553" t="s">
        <v>2698</v>
      </c>
      <c r="F1553" s="452">
        <v>46126</v>
      </c>
      <c r="G1553">
        <v>18172</v>
      </c>
      <c r="H1553" t="s">
        <v>3923</v>
      </c>
      <c r="I1553" t="s">
        <v>3497</v>
      </c>
      <c r="J1553">
        <v>7</v>
      </c>
      <c r="K1553" t="s">
        <v>3878</v>
      </c>
      <c r="L1553">
        <v>219.8</v>
      </c>
      <c r="M1553">
        <v>31.4</v>
      </c>
      <c r="N1553" t="s">
        <v>3497</v>
      </c>
      <c r="O1553" t="s">
        <v>464</v>
      </c>
    </row>
    <row r="1554" spans="1:15" x14ac:dyDescent="0.3">
      <c r="A1554">
        <v>226565</v>
      </c>
      <c r="B1554">
        <v>116</v>
      </c>
      <c r="C1554" t="s">
        <v>568</v>
      </c>
      <c r="D1554" t="s">
        <v>2273</v>
      </c>
      <c r="E1554" t="s">
        <v>2699</v>
      </c>
      <c r="F1554" s="452">
        <v>46125</v>
      </c>
      <c r="G1554">
        <v>24083</v>
      </c>
      <c r="H1554" t="s">
        <v>3898</v>
      </c>
      <c r="I1554" t="s">
        <v>3469</v>
      </c>
      <c r="J1554">
        <v>15</v>
      </c>
      <c r="K1554" t="s">
        <v>3892</v>
      </c>
      <c r="L1554">
        <v>81.599999999999994</v>
      </c>
      <c r="M1554">
        <v>5.44</v>
      </c>
      <c r="N1554" t="s">
        <v>4240</v>
      </c>
      <c r="O1554" t="s">
        <v>464</v>
      </c>
    </row>
    <row r="1555" spans="1:15" x14ac:dyDescent="0.3">
      <c r="A1555">
        <v>226565</v>
      </c>
      <c r="B1555">
        <v>116</v>
      </c>
      <c r="C1555" t="s">
        <v>568</v>
      </c>
      <c r="D1555" t="s">
        <v>2273</v>
      </c>
      <c r="E1555" t="s">
        <v>2699</v>
      </c>
      <c r="F1555" s="452">
        <v>46125</v>
      </c>
      <c r="G1555">
        <v>23171</v>
      </c>
      <c r="H1555" t="s">
        <v>4132</v>
      </c>
      <c r="I1555" t="s">
        <v>3469</v>
      </c>
      <c r="J1555">
        <v>3.15</v>
      </c>
      <c r="K1555" t="s">
        <v>3892</v>
      </c>
      <c r="L1555">
        <v>30.37</v>
      </c>
      <c r="M1555">
        <v>9.6412700000000005</v>
      </c>
      <c r="N1555" t="s">
        <v>4240</v>
      </c>
      <c r="O1555" t="s">
        <v>464</v>
      </c>
    </row>
    <row r="1556" spans="1:15" x14ac:dyDescent="0.3">
      <c r="A1556">
        <v>226565</v>
      </c>
      <c r="B1556">
        <v>116</v>
      </c>
      <c r="C1556" t="s">
        <v>568</v>
      </c>
      <c r="D1556" t="s">
        <v>2273</v>
      </c>
      <c r="E1556" t="s">
        <v>2699</v>
      </c>
      <c r="F1556" s="452">
        <v>46125</v>
      </c>
      <c r="G1556">
        <v>19672</v>
      </c>
      <c r="H1556" t="s">
        <v>4024</v>
      </c>
      <c r="I1556" t="s">
        <v>3469</v>
      </c>
      <c r="J1556">
        <v>2.8</v>
      </c>
      <c r="K1556" t="s">
        <v>3892</v>
      </c>
      <c r="L1556">
        <v>36.54</v>
      </c>
      <c r="M1556">
        <v>13.05</v>
      </c>
      <c r="N1556" t="s">
        <v>4240</v>
      </c>
      <c r="O1556" t="s">
        <v>464</v>
      </c>
    </row>
    <row r="1557" spans="1:15" x14ac:dyDescent="0.3">
      <c r="A1557">
        <v>226565</v>
      </c>
      <c r="B1557">
        <v>116</v>
      </c>
      <c r="C1557" t="s">
        <v>568</v>
      </c>
      <c r="D1557" t="s">
        <v>2273</v>
      </c>
      <c r="E1557" t="s">
        <v>2699</v>
      </c>
      <c r="F1557" s="452">
        <v>46125</v>
      </c>
      <c r="G1557">
        <v>19465</v>
      </c>
      <c r="H1557" t="s">
        <v>4080</v>
      </c>
      <c r="I1557" t="s">
        <v>3469</v>
      </c>
      <c r="J1557">
        <v>1.6</v>
      </c>
      <c r="K1557" t="s">
        <v>3892</v>
      </c>
      <c r="L1557">
        <v>9.2799999999999994</v>
      </c>
      <c r="M1557">
        <v>5.8</v>
      </c>
      <c r="N1557" t="s">
        <v>4240</v>
      </c>
      <c r="O1557" t="s">
        <v>464</v>
      </c>
    </row>
    <row r="1558" spans="1:15" x14ac:dyDescent="0.3">
      <c r="A1558">
        <v>226561</v>
      </c>
      <c r="B1558">
        <v>116</v>
      </c>
      <c r="C1558" t="s">
        <v>568</v>
      </c>
      <c r="D1558" t="s">
        <v>2280</v>
      </c>
      <c r="E1558" t="s">
        <v>2656</v>
      </c>
      <c r="F1558" s="452">
        <v>46126</v>
      </c>
      <c r="G1558">
        <v>23389</v>
      </c>
      <c r="H1558" t="s">
        <v>4016</v>
      </c>
      <c r="I1558" t="s">
        <v>3469</v>
      </c>
      <c r="J1558">
        <v>5</v>
      </c>
      <c r="K1558" t="s">
        <v>3892</v>
      </c>
      <c r="L1558">
        <v>26.65</v>
      </c>
      <c r="M1558">
        <v>5.33</v>
      </c>
      <c r="N1558" t="s">
        <v>4240</v>
      </c>
      <c r="O1558" t="s">
        <v>464</v>
      </c>
    </row>
    <row r="1559" spans="1:15" x14ac:dyDescent="0.3">
      <c r="A1559">
        <v>226561</v>
      </c>
      <c r="B1559">
        <v>116</v>
      </c>
      <c r="C1559" t="s">
        <v>568</v>
      </c>
      <c r="D1559" t="s">
        <v>2280</v>
      </c>
      <c r="E1559" t="s">
        <v>2656</v>
      </c>
      <c r="F1559" s="452">
        <v>46126</v>
      </c>
      <c r="G1559">
        <v>23096</v>
      </c>
      <c r="H1559" t="s">
        <v>3876</v>
      </c>
      <c r="I1559" t="s">
        <v>3469</v>
      </c>
      <c r="J1559">
        <v>30</v>
      </c>
      <c r="K1559" t="s">
        <v>3872</v>
      </c>
      <c r="L1559">
        <v>23.1</v>
      </c>
      <c r="M1559">
        <v>0.77</v>
      </c>
      <c r="N1559" t="s">
        <v>4240</v>
      </c>
      <c r="O1559" t="s">
        <v>464</v>
      </c>
    </row>
    <row r="1560" spans="1:15" x14ac:dyDescent="0.3">
      <c r="A1560">
        <v>226561</v>
      </c>
      <c r="B1560">
        <v>116</v>
      </c>
      <c r="C1560" t="s">
        <v>568</v>
      </c>
      <c r="D1560" t="s">
        <v>2280</v>
      </c>
      <c r="E1560" t="s">
        <v>2656</v>
      </c>
      <c r="F1560" s="452">
        <v>46126</v>
      </c>
      <c r="G1560">
        <v>19752</v>
      </c>
      <c r="H1560" t="s">
        <v>4042</v>
      </c>
      <c r="I1560" t="s">
        <v>3469</v>
      </c>
      <c r="J1560">
        <v>1</v>
      </c>
      <c r="K1560" t="s">
        <v>3892</v>
      </c>
      <c r="L1560">
        <v>13</v>
      </c>
      <c r="M1560">
        <v>13</v>
      </c>
      <c r="N1560" t="s">
        <v>4240</v>
      </c>
      <c r="O1560" t="s">
        <v>464</v>
      </c>
    </row>
    <row r="1561" spans="1:15" x14ac:dyDescent="0.3">
      <c r="A1561">
        <v>226561</v>
      </c>
      <c r="B1561">
        <v>116</v>
      </c>
      <c r="C1561" t="s">
        <v>568</v>
      </c>
      <c r="D1561" t="s">
        <v>2280</v>
      </c>
      <c r="E1561" t="s">
        <v>2656</v>
      </c>
      <c r="F1561" s="452">
        <v>46126</v>
      </c>
      <c r="G1561">
        <v>23142</v>
      </c>
      <c r="H1561" t="s">
        <v>4151</v>
      </c>
      <c r="I1561" t="s">
        <v>3469</v>
      </c>
      <c r="J1561">
        <v>1</v>
      </c>
      <c r="K1561" t="s">
        <v>3892</v>
      </c>
      <c r="L1561">
        <v>21.66</v>
      </c>
      <c r="M1561">
        <v>21.66</v>
      </c>
      <c r="N1561" t="s">
        <v>4240</v>
      </c>
      <c r="O1561" t="s">
        <v>464</v>
      </c>
    </row>
    <row r="1562" spans="1:15" x14ac:dyDescent="0.3">
      <c r="A1562">
        <v>226559</v>
      </c>
      <c r="B1562">
        <v>116</v>
      </c>
      <c r="C1562" t="s">
        <v>568</v>
      </c>
      <c r="D1562" t="s">
        <v>2284</v>
      </c>
      <c r="E1562" t="s">
        <v>2700</v>
      </c>
      <c r="F1562" s="452">
        <v>46126</v>
      </c>
      <c r="G1562">
        <v>20327</v>
      </c>
      <c r="H1562" t="s">
        <v>4179</v>
      </c>
      <c r="I1562" t="s">
        <v>3469</v>
      </c>
      <c r="J1562">
        <v>4</v>
      </c>
      <c r="K1562" t="s">
        <v>3888</v>
      </c>
      <c r="L1562">
        <v>28.8</v>
      </c>
      <c r="M1562">
        <v>7.2</v>
      </c>
      <c r="N1562" t="s">
        <v>4240</v>
      </c>
      <c r="O1562" t="s">
        <v>464</v>
      </c>
    </row>
    <row r="1563" spans="1:15" x14ac:dyDescent="0.3">
      <c r="A1563">
        <v>226559</v>
      </c>
      <c r="B1563">
        <v>116</v>
      </c>
      <c r="C1563" t="s">
        <v>568</v>
      </c>
      <c r="D1563" t="s">
        <v>2284</v>
      </c>
      <c r="E1563" t="s">
        <v>2700</v>
      </c>
      <c r="F1563" s="452">
        <v>46126</v>
      </c>
      <c r="G1563">
        <v>19324</v>
      </c>
      <c r="H1563" t="s">
        <v>3937</v>
      </c>
      <c r="I1563" t="s">
        <v>3469</v>
      </c>
      <c r="J1563">
        <v>4.0999999999999996</v>
      </c>
      <c r="K1563" t="s">
        <v>3892</v>
      </c>
      <c r="L1563">
        <v>176.09</v>
      </c>
      <c r="M1563">
        <v>42.948779999999999</v>
      </c>
      <c r="N1563" t="s">
        <v>4240</v>
      </c>
      <c r="O1563" t="s">
        <v>464</v>
      </c>
    </row>
    <row r="1564" spans="1:15" x14ac:dyDescent="0.3">
      <c r="A1564">
        <v>226559</v>
      </c>
      <c r="B1564">
        <v>116</v>
      </c>
      <c r="C1564" t="s">
        <v>568</v>
      </c>
      <c r="D1564" t="s">
        <v>2284</v>
      </c>
      <c r="E1564" t="s">
        <v>2700</v>
      </c>
      <c r="F1564" s="452">
        <v>46126</v>
      </c>
      <c r="G1564">
        <v>23622</v>
      </c>
      <c r="H1564" t="s">
        <v>4150</v>
      </c>
      <c r="I1564" t="s">
        <v>3469</v>
      </c>
      <c r="J1564">
        <v>1</v>
      </c>
      <c r="K1564" t="s">
        <v>3892</v>
      </c>
      <c r="L1564">
        <v>21.5</v>
      </c>
      <c r="M1564">
        <v>21.5</v>
      </c>
      <c r="N1564" t="s">
        <v>4240</v>
      </c>
      <c r="O1564" t="s">
        <v>464</v>
      </c>
    </row>
    <row r="1565" spans="1:15" x14ac:dyDescent="0.3">
      <c r="A1565">
        <v>226559</v>
      </c>
      <c r="B1565">
        <v>116</v>
      </c>
      <c r="C1565" t="s">
        <v>568</v>
      </c>
      <c r="D1565" t="s">
        <v>2284</v>
      </c>
      <c r="E1565" t="s">
        <v>2700</v>
      </c>
      <c r="F1565" s="452">
        <v>46126</v>
      </c>
      <c r="G1565">
        <v>20685</v>
      </c>
      <c r="H1565" t="s">
        <v>4122</v>
      </c>
      <c r="I1565" t="s">
        <v>3469</v>
      </c>
      <c r="J1565">
        <v>6</v>
      </c>
      <c r="K1565" t="s">
        <v>3872</v>
      </c>
      <c r="L1565">
        <v>21.24</v>
      </c>
      <c r="M1565">
        <v>3.54</v>
      </c>
      <c r="N1565" t="s">
        <v>4240</v>
      </c>
      <c r="O1565" t="s">
        <v>464</v>
      </c>
    </row>
    <row r="1566" spans="1:15" x14ac:dyDescent="0.3">
      <c r="A1566">
        <v>226559</v>
      </c>
      <c r="B1566">
        <v>116</v>
      </c>
      <c r="C1566" t="s">
        <v>568</v>
      </c>
      <c r="D1566" t="s">
        <v>2284</v>
      </c>
      <c r="E1566" t="s">
        <v>2700</v>
      </c>
      <c r="F1566" s="452">
        <v>46126</v>
      </c>
      <c r="G1566">
        <v>25769</v>
      </c>
      <c r="H1566" t="s">
        <v>4013</v>
      </c>
      <c r="I1566" t="s">
        <v>3469</v>
      </c>
      <c r="J1566">
        <v>1</v>
      </c>
      <c r="K1566" t="s">
        <v>3892</v>
      </c>
      <c r="L1566">
        <v>13</v>
      </c>
      <c r="M1566">
        <v>13</v>
      </c>
      <c r="N1566" t="s">
        <v>4240</v>
      </c>
      <c r="O1566" t="s">
        <v>464</v>
      </c>
    </row>
    <row r="1567" spans="1:15" x14ac:dyDescent="0.3">
      <c r="A1567">
        <v>226559</v>
      </c>
      <c r="B1567">
        <v>116</v>
      </c>
      <c r="C1567" t="s">
        <v>568</v>
      </c>
      <c r="D1567" t="s">
        <v>2284</v>
      </c>
      <c r="E1567" t="s">
        <v>2700</v>
      </c>
      <c r="F1567" s="452">
        <v>46126</v>
      </c>
      <c r="G1567">
        <v>21030</v>
      </c>
      <c r="H1567" t="s">
        <v>3890</v>
      </c>
      <c r="I1567" t="s">
        <v>3469</v>
      </c>
      <c r="J1567">
        <v>6</v>
      </c>
      <c r="K1567" t="s">
        <v>4241</v>
      </c>
      <c r="L1567">
        <v>119.4</v>
      </c>
      <c r="M1567">
        <v>19.899999999999999</v>
      </c>
      <c r="N1567" t="s">
        <v>4240</v>
      </c>
      <c r="O1567" t="s">
        <v>464</v>
      </c>
    </row>
    <row r="1568" spans="1:15" x14ac:dyDescent="0.3">
      <c r="A1568">
        <v>226559</v>
      </c>
      <c r="B1568">
        <v>116</v>
      </c>
      <c r="C1568" t="s">
        <v>568</v>
      </c>
      <c r="D1568" t="s">
        <v>2284</v>
      </c>
      <c r="E1568" t="s">
        <v>2700</v>
      </c>
      <c r="F1568" s="452">
        <v>46126</v>
      </c>
      <c r="G1568">
        <v>19973</v>
      </c>
      <c r="H1568" t="s">
        <v>3981</v>
      </c>
      <c r="I1568" t="s">
        <v>3469</v>
      </c>
      <c r="J1568">
        <v>2</v>
      </c>
      <c r="K1568" t="s">
        <v>3872</v>
      </c>
      <c r="L1568">
        <v>30.6</v>
      </c>
      <c r="M1568">
        <v>15.3</v>
      </c>
      <c r="N1568" t="s">
        <v>4240</v>
      </c>
      <c r="O1568" t="s">
        <v>464</v>
      </c>
    </row>
    <row r="1569" spans="1:15" x14ac:dyDescent="0.3">
      <c r="A1569">
        <v>226559</v>
      </c>
      <c r="B1569">
        <v>116</v>
      </c>
      <c r="C1569" t="s">
        <v>568</v>
      </c>
      <c r="D1569" t="s">
        <v>2284</v>
      </c>
      <c r="E1569" t="s">
        <v>2700</v>
      </c>
      <c r="F1569" s="452">
        <v>46126</v>
      </c>
      <c r="G1569">
        <v>19291</v>
      </c>
      <c r="H1569" t="s">
        <v>4254</v>
      </c>
      <c r="I1569" t="s">
        <v>3469</v>
      </c>
      <c r="J1569">
        <v>7.44</v>
      </c>
      <c r="K1569" t="s">
        <v>4241</v>
      </c>
      <c r="L1569">
        <v>527.5</v>
      </c>
      <c r="M1569">
        <v>70.900537999999997</v>
      </c>
      <c r="N1569" t="s">
        <v>4240</v>
      </c>
      <c r="O1569" t="s">
        <v>464</v>
      </c>
    </row>
    <row r="1570" spans="1:15" x14ac:dyDescent="0.3">
      <c r="A1570">
        <v>226559</v>
      </c>
      <c r="B1570">
        <v>116</v>
      </c>
      <c r="C1570" t="s">
        <v>568</v>
      </c>
      <c r="D1570" t="s">
        <v>2284</v>
      </c>
      <c r="E1570" t="s">
        <v>2700</v>
      </c>
      <c r="F1570" s="452">
        <v>46126</v>
      </c>
      <c r="G1570">
        <v>19264</v>
      </c>
      <c r="H1570" t="s">
        <v>4082</v>
      </c>
      <c r="I1570" t="s">
        <v>3469</v>
      </c>
      <c r="J1570">
        <v>1</v>
      </c>
      <c r="K1570" t="s">
        <v>4241</v>
      </c>
      <c r="L1570">
        <v>0</v>
      </c>
      <c r="M1570">
        <v>0</v>
      </c>
      <c r="N1570" t="s">
        <v>4240</v>
      </c>
      <c r="O1570" t="s">
        <v>464</v>
      </c>
    </row>
    <row r="1571" spans="1:15" x14ac:dyDescent="0.3">
      <c r="A1571">
        <v>226559</v>
      </c>
      <c r="B1571">
        <v>116</v>
      </c>
      <c r="C1571" t="s">
        <v>568</v>
      </c>
      <c r="D1571" t="s">
        <v>2284</v>
      </c>
      <c r="E1571" t="s">
        <v>2700</v>
      </c>
      <c r="F1571" s="452">
        <v>46126</v>
      </c>
      <c r="G1571">
        <v>20077</v>
      </c>
      <c r="H1571" t="s">
        <v>4054</v>
      </c>
      <c r="I1571" t="s">
        <v>3469</v>
      </c>
      <c r="J1571">
        <v>1</v>
      </c>
      <c r="K1571" t="s">
        <v>4268</v>
      </c>
      <c r="L1571">
        <v>16.350000000000001</v>
      </c>
      <c r="M1571">
        <v>16.350000000000001</v>
      </c>
      <c r="N1571" t="s">
        <v>4240</v>
      </c>
      <c r="O1571" t="s">
        <v>464</v>
      </c>
    </row>
    <row r="1572" spans="1:15" x14ac:dyDescent="0.3">
      <c r="A1572">
        <v>226559</v>
      </c>
      <c r="B1572">
        <v>116</v>
      </c>
      <c r="C1572" t="s">
        <v>568</v>
      </c>
      <c r="D1572" t="s">
        <v>2284</v>
      </c>
      <c r="E1572" t="s">
        <v>2700</v>
      </c>
      <c r="F1572" s="452">
        <v>46126</v>
      </c>
      <c r="G1572">
        <v>20007</v>
      </c>
      <c r="H1572" t="s">
        <v>4009</v>
      </c>
      <c r="I1572" t="s">
        <v>3469</v>
      </c>
      <c r="J1572">
        <v>2</v>
      </c>
      <c r="K1572" t="s">
        <v>3966</v>
      </c>
      <c r="L1572">
        <v>105.2</v>
      </c>
      <c r="M1572">
        <v>52.6</v>
      </c>
      <c r="N1572" t="s">
        <v>4240</v>
      </c>
      <c r="O1572" t="s">
        <v>464</v>
      </c>
    </row>
    <row r="1573" spans="1:15" x14ac:dyDescent="0.3">
      <c r="A1573">
        <v>226559</v>
      </c>
      <c r="B1573">
        <v>116</v>
      </c>
      <c r="C1573" t="s">
        <v>568</v>
      </c>
      <c r="D1573" t="s">
        <v>2284</v>
      </c>
      <c r="E1573" t="s">
        <v>2700</v>
      </c>
      <c r="F1573" s="452">
        <v>46126</v>
      </c>
      <c r="G1573">
        <v>24212</v>
      </c>
      <c r="H1573" t="s">
        <v>4056</v>
      </c>
      <c r="I1573" t="s">
        <v>3469</v>
      </c>
      <c r="J1573">
        <v>2</v>
      </c>
      <c r="K1573" t="s">
        <v>3892</v>
      </c>
      <c r="L1573">
        <v>26</v>
      </c>
      <c r="M1573">
        <v>13</v>
      </c>
      <c r="N1573" t="s">
        <v>4240</v>
      </c>
      <c r="O1573" t="s">
        <v>464</v>
      </c>
    </row>
    <row r="1574" spans="1:15" x14ac:dyDescent="0.3">
      <c r="A1574">
        <v>226558</v>
      </c>
      <c r="B1574">
        <v>116</v>
      </c>
      <c r="C1574" t="s">
        <v>568</v>
      </c>
      <c r="D1574" t="s">
        <v>2277</v>
      </c>
      <c r="E1574" t="s">
        <v>2701</v>
      </c>
      <c r="F1574" s="452">
        <v>46127</v>
      </c>
      <c r="G1574">
        <v>20809</v>
      </c>
      <c r="H1574" t="s">
        <v>4005</v>
      </c>
      <c r="I1574" t="s">
        <v>3469</v>
      </c>
      <c r="J1574">
        <v>3</v>
      </c>
      <c r="K1574" t="s">
        <v>3872</v>
      </c>
      <c r="L1574">
        <v>89.7</v>
      </c>
      <c r="M1574">
        <v>29.9</v>
      </c>
      <c r="N1574" t="s">
        <v>3469</v>
      </c>
      <c r="O1574" t="s">
        <v>464</v>
      </c>
    </row>
    <row r="1575" spans="1:15" x14ac:dyDescent="0.3">
      <c r="A1575">
        <v>226558</v>
      </c>
      <c r="B1575">
        <v>116</v>
      </c>
      <c r="C1575" t="s">
        <v>568</v>
      </c>
      <c r="D1575" t="s">
        <v>2277</v>
      </c>
      <c r="E1575" t="s">
        <v>2701</v>
      </c>
      <c r="F1575" s="452">
        <v>46127</v>
      </c>
      <c r="G1575">
        <v>21093</v>
      </c>
      <c r="H1575" t="s">
        <v>3903</v>
      </c>
      <c r="I1575" t="s">
        <v>3469</v>
      </c>
      <c r="J1575">
        <v>10</v>
      </c>
      <c r="K1575" t="s">
        <v>3872</v>
      </c>
      <c r="L1575">
        <v>43.9</v>
      </c>
      <c r="M1575">
        <v>4.3899999999999997</v>
      </c>
      <c r="N1575" t="s">
        <v>3469</v>
      </c>
      <c r="O1575" t="s">
        <v>464</v>
      </c>
    </row>
    <row r="1576" spans="1:15" x14ac:dyDescent="0.3">
      <c r="A1576">
        <v>226558</v>
      </c>
      <c r="B1576">
        <v>116</v>
      </c>
      <c r="C1576" t="s">
        <v>568</v>
      </c>
      <c r="D1576" t="s">
        <v>2277</v>
      </c>
      <c r="E1576" t="s">
        <v>2701</v>
      </c>
      <c r="F1576" s="452">
        <v>46127</v>
      </c>
      <c r="G1576">
        <v>20358</v>
      </c>
      <c r="H1576" t="s">
        <v>3952</v>
      </c>
      <c r="I1576" t="s">
        <v>3469</v>
      </c>
      <c r="J1576">
        <v>2</v>
      </c>
      <c r="K1576" t="s">
        <v>3888</v>
      </c>
      <c r="L1576">
        <v>28.5</v>
      </c>
      <c r="M1576">
        <v>14.25</v>
      </c>
      <c r="N1576" t="s">
        <v>3469</v>
      </c>
      <c r="O1576" t="s">
        <v>464</v>
      </c>
    </row>
    <row r="1577" spans="1:15" x14ac:dyDescent="0.3">
      <c r="A1577">
        <v>226558</v>
      </c>
      <c r="B1577">
        <v>116</v>
      </c>
      <c r="C1577" t="s">
        <v>568</v>
      </c>
      <c r="D1577" t="s">
        <v>2277</v>
      </c>
      <c r="E1577" t="s">
        <v>2701</v>
      </c>
      <c r="F1577" s="452">
        <v>46127</v>
      </c>
      <c r="G1577">
        <v>21024</v>
      </c>
      <c r="H1577" t="s">
        <v>4180</v>
      </c>
      <c r="I1577" t="s">
        <v>3469</v>
      </c>
      <c r="J1577">
        <v>2</v>
      </c>
      <c r="K1577" t="s">
        <v>3872</v>
      </c>
      <c r="L1577">
        <v>353.74</v>
      </c>
      <c r="M1577">
        <v>176.87</v>
      </c>
      <c r="N1577" t="s">
        <v>3469</v>
      </c>
      <c r="O1577" t="s">
        <v>464</v>
      </c>
    </row>
    <row r="1578" spans="1:15" x14ac:dyDescent="0.3">
      <c r="A1578">
        <v>226558</v>
      </c>
      <c r="B1578">
        <v>116</v>
      </c>
      <c r="C1578" t="s">
        <v>568</v>
      </c>
      <c r="D1578" t="s">
        <v>2277</v>
      </c>
      <c r="E1578" t="s">
        <v>2701</v>
      </c>
      <c r="F1578" s="452">
        <v>46127</v>
      </c>
      <c r="G1578">
        <v>20752</v>
      </c>
      <c r="H1578" t="s">
        <v>3964</v>
      </c>
      <c r="I1578" t="s">
        <v>3469</v>
      </c>
      <c r="J1578">
        <v>2</v>
      </c>
      <c r="K1578" t="s">
        <v>3872</v>
      </c>
      <c r="L1578">
        <v>205.6</v>
      </c>
      <c r="M1578">
        <v>102.8</v>
      </c>
      <c r="N1578" t="s">
        <v>3469</v>
      </c>
      <c r="O1578" t="s">
        <v>464</v>
      </c>
    </row>
    <row r="1579" spans="1:15" x14ac:dyDescent="0.3">
      <c r="A1579">
        <v>226556</v>
      </c>
      <c r="B1579">
        <v>116</v>
      </c>
      <c r="C1579" t="s">
        <v>568</v>
      </c>
      <c r="D1579" t="s">
        <v>2277</v>
      </c>
      <c r="E1579" t="s">
        <v>2702</v>
      </c>
      <c r="F1579" s="452">
        <v>46126</v>
      </c>
      <c r="G1579">
        <v>24331</v>
      </c>
      <c r="H1579" t="s">
        <v>3960</v>
      </c>
      <c r="I1579" t="s">
        <v>3469</v>
      </c>
      <c r="J1579">
        <v>5</v>
      </c>
      <c r="K1579" t="s">
        <v>3892</v>
      </c>
      <c r="L1579">
        <v>104.25</v>
      </c>
      <c r="M1579">
        <v>20.85</v>
      </c>
      <c r="N1579" t="s">
        <v>4240</v>
      </c>
      <c r="O1579" t="s">
        <v>464</v>
      </c>
    </row>
    <row r="1580" spans="1:15" x14ac:dyDescent="0.3">
      <c r="A1580">
        <v>226555</v>
      </c>
      <c r="B1580">
        <v>116</v>
      </c>
      <c r="C1580" t="s">
        <v>568</v>
      </c>
      <c r="D1580" t="s">
        <v>2312</v>
      </c>
      <c r="E1580" t="s">
        <v>2703</v>
      </c>
      <c r="F1580" s="452">
        <v>46127</v>
      </c>
      <c r="G1580">
        <v>20624</v>
      </c>
      <c r="H1580" t="s">
        <v>3982</v>
      </c>
      <c r="I1580" t="s">
        <v>3469</v>
      </c>
      <c r="J1580">
        <v>2</v>
      </c>
      <c r="K1580" t="s">
        <v>3872</v>
      </c>
      <c r="L1580">
        <v>141.80000000000001</v>
      </c>
      <c r="M1580">
        <v>70.900000000000006</v>
      </c>
      <c r="N1580" t="s">
        <v>3469</v>
      </c>
      <c r="O1580" t="s">
        <v>464</v>
      </c>
    </row>
    <row r="1581" spans="1:15" x14ac:dyDescent="0.3">
      <c r="A1581">
        <v>226555</v>
      </c>
      <c r="B1581">
        <v>116</v>
      </c>
      <c r="C1581" t="s">
        <v>568</v>
      </c>
      <c r="D1581" t="s">
        <v>2312</v>
      </c>
      <c r="E1581" t="s">
        <v>2703</v>
      </c>
      <c r="F1581" s="452">
        <v>46127</v>
      </c>
      <c r="G1581">
        <v>20702</v>
      </c>
      <c r="H1581" t="s">
        <v>4006</v>
      </c>
      <c r="I1581" t="s">
        <v>3469</v>
      </c>
      <c r="J1581">
        <v>2</v>
      </c>
      <c r="K1581" t="s">
        <v>4241</v>
      </c>
      <c r="L1581">
        <v>85.8</v>
      </c>
      <c r="M1581">
        <v>42.9</v>
      </c>
      <c r="N1581" t="s">
        <v>3469</v>
      </c>
      <c r="O1581" t="s">
        <v>464</v>
      </c>
    </row>
    <row r="1582" spans="1:15" x14ac:dyDescent="0.3">
      <c r="A1582">
        <v>226553</v>
      </c>
      <c r="B1582">
        <v>116</v>
      </c>
      <c r="C1582" t="s">
        <v>568</v>
      </c>
      <c r="D1582" t="s">
        <v>2260</v>
      </c>
      <c r="E1582" t="s">
        <v>2704</v>
      </c>
      <c r="F1582" s="452">
        <v>46126</v>
      </c>
      <c r="G1582">
        <v>18684</v>
      </c>
      <c r="H1582" t="s">
        <v>3925</v>
      </c>
      <c r="I1582" t="s">
        <v>3469</v>
      </c>
      <c r="J1582">
        <v>10.4</v>
      </c>
      <c r="K1582" t="s">
        <v>3892</v>
      </c>
      <c r="L1582">
        <v>374.4</v>
      </c>
      <c r="M1582">
        <v>36</v>
      </c>
      <c r="N1582" t="s">
        <v>4240</v>
      </c>
      <c r="O1582" t="s">
        <v>464</v>
      </c>
    </row>
    <row r="1583" spans="1:15" x14ac:dyDescent="0.3">
      <c r="A1583">
        <v>226553</v>
      </c>
      <c r="B1583">
        <v>116</v>
      </c>
      <c r="C1583" t="s">
        <v>568</v>
      </c>
      <c r="D1583" t="s">
        <v>2260</v>
      </c>
      <c r="E1583" t="s">
        <v>2704</v>
      </c>
      <c r="F1583" s="452">
        <v>46126</v>
      </c>
      <c r="G1583">
        <v>20555</v>
      </c>
      <c r="H1583" t="s">
        <v>3959</v>
      </c>
      <c r="I1583" t="s">
        <v>3469</v>
      </c>
      <c r="J1583">
        <v>2.4</v>
      </c>
      <c r="K1583" t="s">
        <v>3892</v>
      </c>
      <c r="L1583">
        <v>189.6</v>
      </c>
      <c r="M1583">
        <v>79</v>
      </c>
      <c r="N1583" t="s">
        <v>4240</v>
      </c>
      <c r="O1583" t="s">
        <v>464</v>
      </c>
    </row>
    <row r="1584" spans="1:15" x14ac:dyDescent="0.3">
      <c r="A1584">
        <v>226553</v>
      </c>
      <c r="B1584">
        <v>116</v>
      </c>
      <c r="C1584" t="s">
        <v>568</v>
      </c>
      <c r="D1584" t="s">
        <v>2260</v>
      </c>
      <c r="E1584" t="s">
        <v>2704</v>
      </c>
      <c r="F1584" s="452">
        <v>46126</v>
      </c>
      <c r="G1584">
        <v>24200</v>
      </c>
      <c r="H1584" t="s">
        <v>3975</v>
      </c>
      <c r="I1584" t="s">
        <v>3469</v>
      </c>
      <c r="J1584">
        <v>0.01</v>
      </c>
      <c r="K1584" t="s">
        <v>3892</v>
      </c>
      <c r="L1584">
        <v>0.33</v>
      </c>
      <c r="M1584">
        <v>33</v>
      </c>
      <c r="N1584" t="s">
        <v>4240</v>
      </c>
      <c r="O1584" t="s">
        <v>464</v>
      </c>
    </row>
    <row r="1585" spans="1:15" x14ac:dyDescent="0.3">
      <c r="A1585">
        <v>226553</v>
      </c>
      <c r="B1585">
        <v>116</v>
      </c>
      <c r="C1585" t="s">
        <v>568</v>
      </c>
      <c r="D1585" t="s">
        <v>2260</v>
      </c>
      <c r="E1585" t="s">
        <v>2704</v>
      </c>
      <c r="F1585" s="452">
        <v>46126</v>
      </c>
      <c r="G1585">
        <v>24194</v>
      </c>
      <c r="H1585" t="s">
        <v>4181</v>
      </c>
      <c r="I1585" t="s">
        <v>3469</v>
      </c>
      <c r="J1585">
        <v>3.8</v>
      </c>
      <c r="K1585" t="s">
        <v>3892</v>
      </c>
      <c r="L1585">
        <v>159.6</v>
      </c>
      <c r="M1585">
        <v>42</v>
      </c>
      <c r="N1585" t="s">
        <v>4240</v>
      </c>
      <c r="O1585" t="s">
        <v>464</v>
      </c>
    </row>
    <row r="1586" spans="1:15" x14ac:dyDescent="0.3">
      <c r="A1586">
        <v>226553</v>
      </c>
      <c r="B1586">
        <v>116</v>
      </c>
      <c r="C1586" t="s">
        <v>568</v>
      </c>
      <c r="D1586" t="s">
        <v>2260</v>
      </c>
      <c r="E1586" t="s">
        <v>2704</v>
      </c>
      <c r="F1586" s="452">
        <v>46126</v>
      </c>
      <c r="G1586">
        <v>22734</v>
      </c>
      <c r="H1586" t="s">
        <v>3955</v>
      </c>
      <c r="I1586" t="s">
        <v>3469</v>
      </c>
      <c r="J1586">
        <v>10.1</v>
      </c>
      <c r="K1586" t="s">
        <v>3892</v>
      </c>
      <c r="L1586">
        <v>999.9</v>
      </c>
      <c r="M1586">
        <v>99</v>
      </c>
      <c r="N1586" t="s">
        <v>4240</v>
      </c>
      <c r="O1586" t="s">
        <v>464</v>
      </c>
    </row>
    <row r="1587" spans="1:15" x14ac:dyDescent="0.3">
      <c r="A1587">
        <v>226553</v>
      </c>
      <c r="B1587">
        <v>116</v>
      </c>
      <c r="C1587" t="s">
        <v>568</v>
      </c>
      <c r="D1587" t="s">
        <v>2260</v>
      </c>
      <c r="E1587" t="s">
        <v>2704</v>
      </c>
      <c r="F1587" s="452">
        <v>46126</v>
      </c>
      <c r="G1587">
        <v>20458</v>
      </c>
      <c r="H1587" t="s">
        <v>4121</v>
      </c>
      <c r="I1587" t="s">
        <v>3469</v>
      </c>
      <c r="J1587">
        <v>2.5</v>
      </c>
      <c r="K1587" t="s">
        <v>3892</v>
      </c>
      <c r="L1587">
        <v>82.25</v>
      </c>
      <c r="M1587">
        <v>32.9</v>
      </c>
      <c r="N1587" t="s">
        <v>4240</v>
      </c>
      <c r="O1587" t="s">
        <v>464</v>
      </c>
    </row>
    <row r="1588" spans="1:15" x14ac:dyDescent="0.3">
      <c r="A1588">
        <v>226552</v>
      </c>
      <c r="B1588">
        <v>116</v>
      </c>
      <c r="C1588" t="s">
        <v>568</v>
      </c>
      <c r="D1588" t="s">
        <v>2267</v>
      </c>
      <c r="E1588" t="s">
        <v>2705</v>
      </c>
      <c r="F1588" s="452">
        <v>46126</v>
      </c>
      <c r="G1588">
        <v>20549</v>
      </c>
      <c r="H1588" t="s">
        <v>4007</v>
      </c>
      <c r="I1588" t="s">
        <v>3469</v>
      </c>
      <c r="J1588">
        <v>7.5</v>
      </c>
      <c r="K1588" t="s">
        <v>3892</v>
      </c>
      <c r="L1588">
        <v>149.91999999999999</v>
      </c>
      <c r="M1588">
        <v>19.989332999999998</v>
      </c>
      <c r="N1588" t="s">
        <v>4240</v>
      </c>
      <c r="O1588" t="s">
        <v>464</v>
      </c>
    </row>
    <row r="1589" spans="1:15" x14ac:dyDescent="0.3">
      <c r="A1589">
        <v>226552</v>
      </c>
      <c r="B1589">
        <v>116</v>
      </c>
      <c r="C1589" t="s">
        <v>568</v>
      </c>
      <c r="D1589" t="s">
        <v>2267</v>
      </c>
      <c r="E1589" t="s">
        <v>2705</v>
      </c>
      <c r="F1589" s="452">
        <v>46126</v>
      </c>
      <c r="G1589">
        <v>24343</v>
      </c>
      <c r="H1589" t="s">
        <v>3990</v>
      </c>
      <c r="I1589" t="s">
        <v>3469</v>
      </c>
      <c r="J1589">
        <v>7</v>
      </c>
      <c r="K1589" t="s">
        <v>3892</v>
      </c>
      <c r="L1589">
        <v>139.93</v>
      </c>
      <c r="M1589">
        <v>19.989999999999998</v>
      </c>
      <c r="N1589" t="s">
        <v>4240</v>
      </c>
      <c r="O1589" t="s">
        <v>464</v>
      </c>
    </row>
    <row r="1590" spans="1:15" x14ac:dyDescent="0.3">
      <c r="A1590">
        <v>226552</v>
      </c>
      <c r="B1590">
        <v>116</v>
      </c>
      <c r="C1590" t="s">
        <v>568</v>
      </c>
      <c r="D1590" t="s">
        <v>2267</v>
      </c>
      <c r="E1590" t="s">
        <v>2705</v>
      </c>
      <c r="F1590" s="452">
        <v>46126</v>
      </c>
      <c r="G1590">
        <v>24517</v>
      </c>
      <c r="H1590" t="s">
        <v>3991</v>
      </c>
      <c r="I1590" t="s">
        <v>3469</v>
      </c>
      <c r="J1590">
        <v>11</v>
      </c>
      <c r="K1590" t="s">
        <v>3892</v>
      </c>
      <c r="L1590">
        <v>307.89</v>
      </c>
      <c r="M1590">
        <v>27.99</v>
      </c>
      <c r="N1590" t="s">
        <v>4240</v>
      </c>
      <c r="O1590" t="s">
        <v>464</v>
      </c>
    </row>
    <row r="1591" spans="1:15" x14ac:dyDescent="0.3">
      <c r="A1591">
        <v>226550</v>
      </c>
      <c r="B1591">
        <v>116</v>
      </c>
      <c r="C1591" t="s">
        <v>568</v>
      </c>
      <c r="D1591" t="s">
        <v>2308</v>
      </c>
      <c r="E1591" t="s">
        <v>2706</v>
      </c>
      <c r="F1591" s="452">
        <v>46126</v>
      </c>
      <c r="G1591">
        <v>28760</v>
      </c>
      <c r="H1591" t="s">
        <v>4188</v>
      </c>
      <c r="I1591" t="s">
        <v>3469</v>
      </c>
      <c r="J1591">
        <v>10.48</v>
      </c>
      <c r="K1591" t="s">
        <v>3892</v>
      </c>
      <c r="L1591">
        <v>639.28</v>
      </c>
      <c r="M1591">
        <v>61</v>
      </c>
      <c r="N1591" t="s">
        <v>4317</v>
      </c>
      <c r="O1591" t="s">
        <v>464</v>
      </c>
    </row>
    <row r="1592" spans="1:15" x14ac:dyDescent="0.3">
      <c r="A1592">
        <v>226549</v>
      </c>
      <c r="B1592">
        <v>116</v>
      </c>
      <c r="C1592" t="s">
        <v>568</v>
      </c>
      <c r="D1592" t="s">
        <v>2262</v>
      </c>
      <c r="E1592" t="s">
        <v>2707</v>
      </c>
      <c r="F1592" s="452">
        <v>46126</v>
      </c>
      <c r="G1592">
        <v>24402</v>
      </c>
      <c r="H1592" t="s">
        <v>3896</v>
      </c>
      <c r="I1592" t="s">
        <v>3469</v>
      </c>
      <c r="J1592">
        <v>12.4</v>
      </c>
      <c r="K1592" t="s">
        <v>3892</v>
      </c>
      <c r="L1592">
        <v>461.28</v>
      </c>
      <c r="M1592">
        <v>37.200000000000003</v>
      </c>
      <c r="N1592" t="s">
        <v>4240</v>
      </c>
      <c r="O1592" t="s">
        <v>464</v>
      </c>
    </row>
    <row r="1593" spans="1:15" x14ac:dyDescent="0.3">
      <c r="A1593">
        <v>226549</v>
      </c>
      <c r="B1593">
        <v>116</v>
      </c>
      <c r="C1593" t="s">
        <v>568</v>
      </c>
      <c r="D1593" t="s">
        <v>2262</v>
      </c>
      <c r="E1593" t="s">
        <v>2707</v>
      </c>
      <c r="F1593" s="452">
        <v>46126</v>
      </c>
      <c r="G1593">
        <v>24116</v>
      </c>
      <c r="H1593" t="s">
        <v>3963</v>
      </c>
      <c r="I1593" t="s">
        <v>3469</v>
      </c>
      <c r="J1593">
        <v>5</v>
      </c>
      <c r="K1593" t="s">
        <v>3892</v>
      </c>
      <c r="L1593">
        <v>209.5</v>
      </c>
      <c r="M1593">
        <v>41.9</v>
      </c>
      <c r="N1593" t="s">
        <v>4240</v>
      </c>
      <c r="O1593" t="s">
        <v>464</v>
      </c>
    </row>
    <row r="1594" spans="1:15" x14ac:dyDescent="0.3">
      <c r="A1594">
        <v>226549</v>
      </c>
      <c r="B1594">
        <v>116</v>
      </c>
      <c r="C1594" t="s">
        <v>568</v>
      </c>
      <c r="D1594" t="s">
        <v>2262</v>
      </c>
      <c r="E1594" t="s">
        <v>2707</v>
      </c>
      <c r="F1594" s="452">
        <v>46126</v>
      </c>
      <c r="G1594">
        <v>19034</v>
      </c>
      <c r="H1594" t="s">
        <v>3989</v>
      </c>
      <c r="I1594" t="s">
        <v>3469</v>
      </c>
      <c r="J1594">
        <v>5.6</v>
      </c>
      <c r="K1594" t="s">
        <v>3892</v>
      </c>
      <c r="L1594">
        <v>50.34</v>
      </c>
      <c r="M1594">
        <v>8.9892859999999999</v>
      </c>
      <c r="N1594" t="s">
        <v>4240</v>
      </c>
      <c r="O1594" t="s">
        <v>464</v>
      </c>
    </row>
    <row r="1595" spans="1:15" x14ac:dyDescent="0.3">
      <c r="A1595">
        <v>226549</v>
      </c>
      <c r="B1595">
        <v>116</v>
      </c>
      <c r="C1595" t="s">
        <v>568</v>
      </c>
      <c r="D1595" t="s">
        <v>2262</v>
      </c>
      <c r="E1595" t="s">
        <v>2707</v>
      </c>
      <c r="F1595" s="452">
        <v>46126</v>
      </c>
      <c r="G1595">
        <v>24388</v>
      </c>
      <c r="H1595" t="s">
        <v>3915</v>
      </c>
      <c r="I1595" t="s">
        <v>3469</v>
      </c>
      <c r="J1595">
        <v>6.7</v>
      </c>
      <c r="K1595" t="s">
        <v>3892</v>
      </c>
      <c r="L1595">
        <v>200.33</v>
      </c>
      <c r="M1595">
        <v>29.9</v>
      </c>
      <c r="N1595" t="s">
        <v>4240</v>
      </c>
      <c r="O1595" t="s">
        <v>464</v>
      </c>
    </row>
    <row r="1596" spans="1:15" x14ac:dyDescent="0.3">
      <c r="A1596">
        <v>226549</v>
      </c>
      <c r="B1596">
        <v>116</v>
      </c>
      <c r="C1596" t="s">
        <v>568</v>
      </c>
      <c r="D1596" t="s">
        <v>2262</v>
      </c>
      <c r="E1596" t="s">
        <v>2707</v>
      </c>
      <c r="F1596" s="452">
        <v>46126</v>
      </c>
      <c r="G1596">
        <v>18832</v>
      </c>
      <c r="H1596" t="s">
        <v>3900</v>
      </c>
      <c r="I1596" t="s">
        <v>3469</v>
      </c>
      <c r="J1596">
        <v>15.6</v>
      </c>
      <c r="K1596" t="s">
        <v>3892</v>
      </c>
      <c r="L1596">
        <v>622.44000000000005</v>
      </c>
      <c r="M1596">
        <v>39.9</v>
      </c>
      <c r="N1596" t="s">
        <v>4240</v>
      </c>
      <c r="O1596" t="s">
        <v>464</v>
      </c>
    </row>
    <row r="1597" spans="1:15" x14ac:dyDescent="0.3">
      <c r="A1597">
        <v>226547</v>
      </c>
      <c r="B1597">
        <v>116</v>
      </c>
      <c r="C1597" t="s">
        <v>568</v>
      </c>
      <c r="D1597" t="s">
        <v>2468</v>
      </c>
      <c r="E1597" t="s">
        <v>2708</v>
      </c>
      <c r="F1597" s="452">
        <v>46125</v>
      </c>
      <c r="G1597">
        <v>24259</v>
      </c>
      <c r="H1597" t="s">
        <v>3895</v>
      </c>
      <c r="I1597" t="s">
        <v>3469</v>
      </c>
      <c r="J1597">
        <v>15.48</v>
      </c>
      <c r="K1597" t="s">
        <v>3892</v>
      </c>
      <c r="L1597">
        <v>1224.47</v>
      </c>
      <c r="M1597">
        <v>79.100128999999995</v>
      </c>
      <c r="N1597" t="s">
        <v>4240</v>
      </c>
      <c r="O1597" t="s">
        <v>464</v>
      </c>
    </row>
    <row r="1598" spans="1:15" x14ac:dyDescent="0.3">
      <c r="A1598">
        <v>226547</v>
      </c>
      <c r="B1598">
        <v>116</v>
      </c>
      <c r="C1598" t="s">
        <v>568</v>
      </c>
      <c r="D1598" t="s">
        <v>2468</v>
      </c>
      <c r="E1598" t="s">
        <v>2708</v>
      </c>
      <c r="F1598" s="452">
        <v>46125</v>
      </c>
      <c r="G1598">
        <v>27312</v>
      </c>
      <c r="H1598" t="s">
        <v>3927</v>
      </c>
      <c r="I1598" t="s">
        <v>3469</v>
      </c>
      <c r="J1598">
        <v>12.06</v>
      </c>
      <c r="K1598" t="s">
        <v>3892</v>
      </c>
      <c r="L1598">
        <v>560.79</v>
      </c>
      <c r="M1598">
        <v>46.5</v>
      </c>
      <c r="N1598" t="s">
        <v>4240</v>
      </c>
      <c r="O1598" t="s">
        <v>464</v>
      </c>
    </row>
    <row r="1599" spans="1:15" x14ac:dyDescent="0.3">
      <c r="A1599">
        <v>226546</v>
      </c>
      <c r="B1599">
        <v>116</v>
      </c>
      <c r="C1599" t="s">
        <v>568</v>
      </c>
      <c r="D1599" t="s">
        <v>2709</v>
      </c>
      <c r="E1599" t="s">
        <v>2710</v>
      </c>
      <c r="F1599" s="452">
        <v>46126</v>
      </c>
      <c r="G1599">
        <v>21423</v>
      </c>
      <c r="H1599" t="s">
        <v>4225</v>
      </c>
      <c r="I1599" t="s">
        <v>4199</v>
      </c>
      <c r="J1599">
        <v>4</v>
      </c>
      <c r="K1599" t="s">
        <v>4224</v>
      </c>
      <c r="L1599">
        <v>127.28</v>
      </c>
      <c r="M1599">
        <v>31.82</v>
      </c>
      <c r="N1599" t="s">
        <v>2176</v>
      </c>
      <c r="O1599" t="s">
        <v>464</v>
      </c>
    </row>
    <row r="1600" spans="1:15" x14ac:dyDescent="0.3">
      <c r="A1600">
        <v>226546</v>
      </c>
      <c r="B1600">
        <v>116</v>
      </c>
      <c r="C1600" t="s">
        <v>568</v>
      </c>
      <c r="D1600" t="s">
        <v>2709</v>
      </c>
      <c r="E1600" t="s">
        <v>2710</v>
      </c>
      <c r="F1600" s="452">
        <v>46126</v>
      </c>
      <c r="G1600">
        <v>17397</v>
      </c>
      <c r="H1600" t="s">
        <v>4223</v>
      </c>
      <c r="I1600" t="s">
        <v>4199</v>
      </c>
      <c r="J1600">
        <v>3</v>
      </c>
      <c r="K1600" t="s">
        <v>4224</v>
      </c>
      <c r="L1600">
        <v>95.46</v>
      </c>
      <c r="M1600">
        <v>31.82</v>
      </c>
      <c r="N1600" t="s">
        <v>2176</v>
      </c>
      <c r="O1600" t="s">
        <v>464</v>
      </c>
    </row>
    <row r="1601" spans="1:15" x14ac:dyDescent="0.3">
      <c r="A1601">
        <v>226545</v>
      </c>
      <c r="B1601">
        <v>116</v>
      </c>
      <c r="C1601" t="s">
        <v>568</v>
      </c>
      <c r="D1601" t="s">
        <v>2284</v>
      </c>
      <c r="E1601" t="s">
        <v>2711</v>
      </c>
      <c r="F1601" s="452">
        <v>46128</v>
      </c>
      <c r="G1601">
        <v>25312</v>
      </c>
      <c r="H1601" t="s">
        <v>4318</v>
      </c>
      <c r="I1601" t="s">
        <v>3469</v>
      </c>
      <c r="J1601">
        <v>1</v>
      </c>
      <c r="K1601" t="s">
        <v>3888</v>
      </c>
      <c r="L1601">
        <v>68.900000000000006</v>
      </c>
      <c r="M1601">
        <v>68.900000000000006</v>
      </c>
      <c r="N1601" t="s">
        <v>4240</v>
      </c>
      <c r="O1601" t="s">
        <v>464</v>
      </c>
    </row>
    <row r="1602" spans="1:15" x14ac:dyDescent="0.3">
      <c r="A1602">
        <v>226545</v>
      </c>
      <c r="B1602">
        <v>116</v>
      </c>
      <c r="C1602" t="s">
        <v>568</v>
      </c>
      <c r="D1602" t="s">
        <v>2284</v>
      </c>
      <c r="E1602" t="s">
        <v>2711</v>
      </c>
      <c r="F1602" s="452">
        <v>46128</v>
      </c>
      <c r="G1602">
        <v>19324</v>
      </c>
      <c r="H1602" t="s">
        <v>3937</v>
      </c>
      <c r="I1602" t="s">
        <v>3469</v>
      </c>
      <c r="J1602">
        <v>4.13</v>
      </c>
      <c r="K1602" t="s">
        <v>3892</v>
      </c>
      <c r="L1602">
        <v>177.38</v>
      </c>
      <c r="M1602">
        <v>42.949153000000003</v>
      </c>
      <c r="N1602" t="s">
        <v>4240</v>
      </c>
      <c r="O1602" t="s">
        <v>464</v>
      </c>
    </row>
    <row r="1603" spans="1:15" x14ac:dyDescent="0.3">
      <c r="A1603">
        <v>226544</v>
      </c>
      <c r="B1603">
        <v>116</v>
      </c>
      <c r="C1603" t="s">
        <v>568</v>
      </c>
      <c r="D1603" t="s">
        <v>2280</v>
      </c>
      <c r="E1603" t="s">
        <v>2712</v>
      </c>
      <c r="F1603" s="452">
        <v>46128</v>
      </c>
      <c r="G1603">
        <v>24484</v>
      </c>
      <c r="H1603" t="s">
        <v>4154</v>
      </c>
      <c r="I1603" t="s">
        <v>3469</v>
      </c>
      <c r="J1603">
        <v>0.5</v>
      </c>
      <c r="K1603" t="s">
        <v>3892</v>
      </c>
      <c r="L1603">
        <v>6.5</v>
      </c>
      <c r="M1603">
        <v>13</v>
      </c>
      <c r="N1603" t="s">
        <v>3469</v>
      </c>
      <c r="O1603" t="s">
        <v>464</v>
      </c>
    </row>
    <row r="1604" spans="1:15" x14ac:dyDescent="0.3">
      <c r="A1604">
        <v>226544</v>
      </c>
      <c r="B1604">
        <v>116</v>
      </c>
      <c r="C1604" t="s">
        <v>568</v>
      </c>
      <c r="D1604" t="s">
        <v>2280</v>
      </c>
      <c r="E1604" t="s">
        <v>2712</v>
      </c>
      <c r="F1604" s="452">
        <v>46128</v>
      </c>
      <c r="G1604">
        <v>23361</v>
      </c>
      <c r="H1604" t="s">
        <v>4220</v>
      </c>
      <c r="I1604" t="s">
        <v>3469</v>
      </c>
      <c r="J1604">
        <v>40</v>
      </c>
      <c r="K1604" t="s">
        <v>3892</v>
      </c>
      <c r="L1604">
        <v>119.6</v>
      </c>
      <c r="M1604">
        <v>2.99</v>
      </c>
      <c r="N1604" t="s">
        <v>3469</v>
      </c>
      <c r="O1604" t="s">
        <v>464</v>
      </c>
    </row>
    <row r="1605" spans="1:15" x14ac:dyDescent="0.3">
      <c r="A1605">
        <v>226544</v>
      </c>
      <c r="B1605">
        <v>116</v>
      </c>
      <c r="C1605" t="s">
        <v>568</v>
      </c>
      <c r="D1605" t="s">
        <v>2280</v>
      </c>
      <c r="E1605" t="s">
        <v>2712</v>
      </c>
      <c r="F1605" s="452">
        <v>46128</v>
      </c>
      <c r="G1605">
        <v>23198</v>
      </c>
      <c r="H1605" t="s">
        <v>4167</v>
      </c>
      <c r="I1605" t="s">
        <v>3469</v>
      </c>
      <c r="J1605">
        <v>2</v>
      </c>
      <c r="K1605" t="s">
        <v>3892</v>
      </c>
      <c r="L1605">
        <v>26</v>
      </c>
      <c r="M1605">
        <v>13</v>
      </c>
      <c r="N1605" t="s">
        <v>3469</v>
      </c>
      <c r="O1605" t="s">
        <v>464</v>
      </c>
    </row>
    <row r="1606" spans="1:15" x14ac:dyDescent="0.3">
      <c r="A1606">
        <v>226544</v>
      </c>
      <c r="B1606">
        <v>116</v>
      </c>
      <c r="C1606" t="s">
        <v>568</v>
      </c>
      <c r="D1606" t="s">
        <v>2280</v>
      </c>
      <c r="E1606" t="s">
        <v>2712</v>
      </c>
      <c r="F1606" s="452">
        <v>46128</v>
      </c>
      <c r="G1606">
        <v>23142</v>
      </c>
      <c r="H1606" t="s">
        <v>4151</v>
      </c>
      <c r="I1606" t="s">
        <v>3469</v>
      </c>
      <c r="J1606">
        <v>1</v>
      </c>
      <c r="K1606" t="s">
        <v>3892</v>
      </c>
      <c r="L1606">
        <v>22.49</v>
      </c>
      <c r="M1606">
        <v>22.49</v>
      </c>
      <c r="N1606" t="s">
        <v>3469</v>
      </c>
      <c r="O1606" t="s">
        <v>464</v>
      </c>
    </row>
    <row r="1607" spans="1:15" x14ac:dyDescent="0.3">
      <c r="A1607">
        <v>226542</v>
      </c>
      <c r="B1607">
        <v>116</v>
      </c>
      <c r="C1607" t="s">
        <v>568</v>
      </c>
      <c r="D1607" t="s">
        <v>2273</v>
      </c>
      <c r="E1607" t="s">
        <v>2713</v>
      </c>
      <c r="F1607" s="452">
        <v>46128</v>
      </c>
      <c r="G1607">
        <v>19642</v>
      </c>
      <c r="H1607" t="s">
        <v>4067</v>
      </c>
      <c r="I1607" t="s">
        <v>3469</v>
      </c>
      <c r="J1607">
        <v>1</v>
      </c>
      <c r="K1607" t="s">
        <v>3892</v>
      </c>
      <c r="L1607">
        <v>5.58</v>
      </c>
      <c r="M1607">
        <v>5.58</v>
      </c>
      <c r="N1607" t="s">
        <v>4240</v>
      </c>
      <c r="O1607" t="s">
        <v>464</v>
      </c>
    </row>
    <row r="1608" spans="1:15" x14ac:dyDescent="0.3">
      <c r="A1608">
        <v>226542</v>
      </c>
      <c r="B1608">
        <v>116</v>
      </c>
      <c r="C1608" t="s">
        <v>568</v>
      </c>
      <c r="D1608" t="s">
        <v>2273</v>
      </c>
      <c r="E1608" t="s">
        <v>2713</v>
      </c>
      <c r="F1608" s="452">
        <v>46128</v>
      </c>
      <c r="G1608">
        <v>19621</v>
      </c>
      <c r="H1608" t="s">
        <v>4125</v>
      </c>
      <c r="I1608" t="s">
        <v>3469</v>
      </c>
      <c r="J1608">
        <v>2.1</v>
      </c>
      <c r="K1608" t="s">
        <v>3892</v>
      </c>
      <c r="L1608">
        <v>16.739999999999998</v>
      </c>
      <c r="M1608">
        <v>7.9714289999999997</v>
      </c>
      <c r="N1608" t="s">
        <v>4240</v>
      </c>
      <c r="O1608" t="s">
        <v>464</v>
      </c>
    </row>
    <row r="1609" spans="1:15" x14ac:dyDescent="0.3">
      <c r="A1609">
        <v>226542</v>
      </c>
      <c r="B1609">
        <v>116</v>
      </c>
      <c r="C1609" t="s">
        <v>568</v>
      </c>
      <c r="D1609" t="s">
        <v>2273</v>
      </c>
      <c r="E1609" t="s">
        <v>2713</v>
      </c>
      <c r="F1609" s="452">
        <v>46128</v>
      </c>
      <c r="G1609">
        <v>19465</v>
      </c>
      <c r="H1609" t="s">
        <v>4080</v>
      </c>
      <c r="I1609" t="s">
        <v>3469</v>
      </c>
      <c r="J1609">
        <v>1.5</v>
      </c>
      <c r="K1609" t="s">
        <v>3892</v>
      </c>
      <c r="L1609">
        <v>8.6999999999999993</v>
      </c>
      <c r="M1609">
        <v>5.8</v>
      </c>
      <c r="N1609" t="s">
        <v>4240</v>
      </c>
      <c r="O1609" t="s">
        <v>464</v>
      </c>
    </row>
    <row r="1610" spans="1:15" x14ac:dyDescent="0.3">
      <c r="A1610">
        <v>226542</v>
      </c>
      <c r="B1610">
        <v>116</v>
      </c>
      <c r="C1610" t="s">
        <v>568</v>
      </c>
      <c r="D1610" t="s">
        <v>2273</v>
      </c>
      <c r="E1610" t="s">
        <v>2713</v>
      </c>
      <c r="F1610" s="452">
        <v>46128</v>
      </c>
      <c r="G1610">
        <v>19572</v>
      </c>
      <c r="H1610" t="s">
        <v>4023</v>
      </c>
      <c r="I1610" t="s">
        <v>3469</v>
      </c>
      <c r="J1610">
        <v>1.1499999999999999</v>
      </c>
      <c r="K1610" t="s">
        <v>3892</v>
      </c>
      <c r="L1610">
        <v>12.59</v>
      </c>
      <c r="M1610">
        <v>10.947825999999999</v>
      </c>
      <c r="N1610" t="s">
        <v>4240</v>
      </c>
      <c r="O1610" t="s">
        <v>464</v>
      </c>
    </row>
    <row r="1611" spans="1:15" x14ac:dyDescent="0.3">
      <c r="A1611">
        <v>226542</v>
      </c>
      <c r="B1611">
        <v>116</v>
      </c>
      <c r="C1611" t="s">
        <v>568</v>
      </c>
      <c r="D1611" t="s">
        <v>2273</v>
      </c>
      <c r="E1611" t="s">
        <v>2713</v>
      </c>
      <c r="F1611" s="452">
        <v>46128</v>
      </c>
      <c r="G1611">
        <v>24385</v>
      </c>
      <c r="H1611" t="s">
        <v>4182</v>
      </c>
      <c r="I1611" t="s">
        <v>3469</v>
      </c>
      <c r="J1611">
        <v>1</v>
      </c>
      <c r="K1611" t="s">
        <v>3892</v>
      </c>
      <c r="L1611">
        <v>15.22</v>
      </c>
      <c r="M1611">
        <v>15.22</v>
      </c>
      <c r="N1611" t="s">
        <v>4240</v>
      </c>
      <c r="O1611" t="s">
        <v>464</v>
      </c>
    </row>
    <row r="1612" spans="1:15" x14ac:dyDescent="0.3">
      <c r="A1612">
        <v>226542</v>
      </c>
      <c r="B1612">
        <v>116</v>
      </c>
      <c r="C1612" t="s">
        <v>568</v>
      </c>
      <c r="D1612" t="s">
        <v>2273</v>
      </c>
      <c r="E1612" t="s">
        <v>2713</v>
      </c>
      <c r="F1612" s="452">
        <v>46128</v>
      </c>
      <c r="G1612">
        <v>19672</v>
      </c>
      <c r="H1612" t="s">
        <v>4024</v>
      </c>
      <c r="I1612" t="s">
        <v>3469</v>
      </c>
      <c r="J1612">
        <v>2</v>
      </c>
      <c r="K1612" t="s">
        <v>3892</v>
      </c>
      <c r="L1612">
        <v>26.1</v>
      </c>
      <c r="M1612">
        <v>13.05</v>
      </c>
      <c r="N1612" t="s">
        <v>4240</v>
      </c>
      <c r="O1612" t="s">
        <v>464</v>
      </c>
    </row>
    <row r="1613" spans="1:15" x14ac:dyDescent="0.3">
      <c r="A1613">
        <v>226542</v>
      </c>
      <c r="B1613">
        <v>116</v>
      </c>
      <c r="C1613" t="s">
        <v>568</v>
      </c>
      <c r="D1613" t="s">
        <v>2273</v>
      </c>
      <c r="E1613" t="s">
        <v>2713</v>
      </c>
      <c r="F1613" s="452">
        <v>46128</v>
      </c>
      <c r="G1613">
        <v>23113</v>
      </c>
      <c r="H1613" t="s">
        <v>4079</v>
      </c>
      <c r="I1613" t="s">
        <v>3469</v>
      </c>
      <c r="J1613">
        <v>2.1</v>
      </c>
      <c r="K1613" t="s">
        <v>3892</v>
      </c>
      <c r="L1613">
        <v>30.45</v>
      </c>
      <c r="M1613">
        <v>14.5</v>
      </c>
      <c r="N1613" t="s">
        <v>4240</v>
      </c>
      <c r="O1613" t="s">
        <v>464</v>
      </c>
    </row>
    <row r="1614" spans="1:15" x14ac:dyDescent="0.3">
      <c r="A1614">
        <v>226542</v>
      </c>
      <c r="B1614">
        <v>116</v>
      </c>
      <c r="C1614" t="s">
        <v>568</v>
      </c>
      <c r="D1614" t="s">
        <v>2273</v>
      </c>
      <c r="E1614" t="s">
        <v>2713</v>
      </c>
      <c r="F1614" s="452">
        <v>46128</v>
      </c>
      <c r="G1614">
        <v>23171</v>
      </c>
      <c r="H1614" t="s">
        <v>4132</v>
      </c>
      <c r="I1614" t="s">
        <v>3469</v>
      </c>
      <c r="J1614">
        <v>3.2</v>
      </c>
      <c r="K1614" t="s">
        <v>3892</v>
      </c>
      <c r="L1614">
        <v>30.85</v>
      </c>
      <c r="M1614">
        <v>9.640625</v>
      </c>
      <c r="N1614" t="s">
        <v>4240</v>
      </c>
      <c r="O1614" t="s">
        <v>464</v>
      </c>
    </row>
    <row r="1615" spans="1:15" x14ac:dyDescent="0.3">
      <c r="A1615">
        <v>226542</v>
      </c>
      <c r="B1615">
        <v>116</v>
      </c>
      <c r="C1615" t="s">
        <v>568</v>
      </c>
      <c r="D1615" t="s">
        <v>2273</v>
      </c>
      <c r="E1615" t="s">
        <v>2713</v>
      </c>
      <c r="F1615" s="452">
        <v>46128</v>
      </c>
      <c r="G1615">
        <v>19634</v>
      </c>
      <c r="H1615" t="s">
        <v>4068</v>
      </c>
      <c r="I1615" t="s">
        <v>3469</v>
      </c>
      <c r="J1615">
        <v>2.2000000000000002</v>
      </c>
      <c r="K1615" t="s">
        <v>3892</v>
      </c>
      <c r="L1615">
        <v>16.260000000000002</v>
      </c>
      <c r="M1615">
        <v>7.3909089999999997</v>
      </c>
      <c r="N1615" t="s">
        <v>4240</v>
      </c>
      <c r="O1615" t="s">
        <v>464</v>
      </c>
    </row>
    <row r="1616" spans="1:15" x14ac:dyDescent="0.3">
      <c r="A1616">
        <v>226542</v>
      </c>
      <c r="B1616">
        <v>116</v>
      </c>
      <c r="C1616" t="s">
        <v>568</v>
      </c>
      <c r="D1616" t="s">
        <v>2273</v>
      </c>
      <c r="E1616" t="s">
        <v>2713</v>
      </c>
      <c r="F1616" s="452">
        <v>46128</v>
      </c>
      <c r="G1616">
        <v>24083</v>
      </c>
      <c r="H1616" t="s">
        <v>3898</v>
      </c>
      <c r="I1616" t="s">
        <v>3469</v>
      </c>
      <c r="J1616">
        <v>25</v>
      </c>
      <c r="K1616" t="s">
        <v>3892</v>
      </c>
      <c r="L1616">
        <v>130.5</v>
      </c>
      <c r="M1616">
        <v>5.22</v>
      </c>
      <c r="N1616" t="s">
        <v>4240</v>
      </c>
      <c r="O1616" t="s">
        <v>464</v>
      </c>
    </row>
    <row r="1617" spans="1:15" x14ac:dyDescent="0.3">
      <c r="A1617">
        <v>226542</v>
      </c>
      <c r="B1617">
        <v>116</v>
      </c>
      <c r="C1617" t="s">
        <v>568</v>
      </c>
      <c r="D1617" t="s">
        <v>2273</v>
      </c>
      <c r="E1617" t="s">
        <v>2713</v>
      </c>
      <c r="F1617" s="452">
        <v>46128</v>
      </c>
      <c r="G1617">
        <v>23095</v>
      </c>
      <c r="H1617" t="s">
        <v>3882</v>
      </c>
      <c r="I1617" t="s">
        <v>3469</v>
      </c>
      <c r="J1617">
        <v>60</v>
      </c>
      <c r="K1617" t="s">
        <v>3872</v>
      </c>
      <c r="L1617">
        <v>66</v>
      </c>
      <c r="M1617">
        <v>1.1000000000000001</v>
      </c>
      <c r="N1617" t="s">
        <v>4240</v>
      </c>
      <c r="O1617" t="s">
        <v>464</v>
      </c>
    </row>
    <row r="1618" spans="1:15" x14ac:dyDescent="0.3">
      <c r="A1618">
        <v>226286</v>
      </c>
      <c r="B1618">
        <v>116</v>
      </c>
      <c r="C1618" t="s">
        <v>568</v>
      </c>
      <c r="D1618" t="s">
        <v>2499</v>
      </c>
      <c r="E1618" t="s">
        <v>2714</v>
      </c>
      <c r="F1618" s="452">
        <v>46126</v>
      </c>
      <c r="G1618">
        <v>20519</v>
      </c>
      <c r="H1618" t="s">
        <v>3902</v>
      </c>
      <c r="I1618" t="s">
        <v>3469</v>
      </c>
      <c r="J1618">
        <v>19.760000000000002</v>
      </c>
      <c r="K1618" t="s">
        <v>3892</v>
      </c>
      <c r="L1618">
        <v>992.94</v>
      </c>
      <c r="M1618">
        <v>50.25</v>
      </c>
      <c r="N1618" t="s">
        <v>4240</v>
      </c>
      <c r="O1618" t="s">
        <v>464</v>
      </c>
    </row>
    <row r="1619" spans="1:15" x14ac:dyDescent="0.3">
      <c r="A1619">
        <v>226128</v>
      </c>
      <c r="B1619">
        <v>116</v>
      </c>
      <c r="C1619" t="s">
        <v>568</v>
      </c>
      <c r="D1619" t="s">
        <v>2258</v>
      </c>
      <c r="E1619" t="s">
        <v>2715</v>
      </c>
      <c r="F1619" s="452">
        <v>46132</v>
      </c>
      <c r="G1619">
        <v>17006</v>
      </c>
      <c r="H1619" t="s">
        <v>4128</v>
      </c>
      <c r="I1619" t="s">
        <v>3469</v>
      </c>
      <c r="J1619">
        <v>13.98</v>
      </c>
      <c r="K1619" t="s">
        <v>3892</v>
      </c>
      <c r="L1619">
        <v>181.74</v>
      </c>
      <c r="M1619">
        <v>13</v>
      </c>
      <c r="N1619" t="s">
        <v>4240</v>
      </c>
      <c r="O1619" t="s">
        <v>464</v>
      </c>
    </row>
    <row r="1620" spans="1:15" x14ac:dyDescent="0.3">
      <c r="A1620">
        <v>226127</v>
      </c>
      <c r="B1620">
        <v>116</v>
      </c>
      <c r="C1620" t="s">
        <v>568</v>
      </c>
      <c r="D1620" t="s">
        <v>2265</v>
      </c>
      <c r="E1620" t="s">
        <v>2716</v>
      </c>
      <c r="F1620" s="452">
        <v>46127</v>
      </c>
      <c r="G1620">
        <v>17437</v>
      </c>
      <c r="H1620" t="s">
        <v>4198</v>
      </c>
      <c r="I1620" t="s">
        <v>4199</v>
      </c>
      <c r="J1620">
        <v>10</v>
      </c>
      <c r="K1620" t="s">
        <v>3872</v>
      </c>
      <c r="L1620">
        <v>23</v>
      </c>
      <c r="M1620">
        <v>2.2999999999999998</v>
      </c>
      <c r="N1620" t="s">
        <v>2176</v>
      </c>
      <c r="O1620" t="s">
        <v>464</v>
      </c>
    </row>
    <row r="1621" spans="1:15" x14ac:dyDescent="0.3">
      <c r="A1621">
        <v>226127</v>
      </c>
      <c r="B1621">
        <v>116</v>
      </c>
      <c r="C1621" t="s">
        <v>568</v>
      </c>
      <c r="D1621" t="s">
        <v>2265</v>
      </c>
      <c r="E1621" t="s">
        <v>2716</v>
      </c>
      <c r="F1621" s="452">
        <v>46127</v>
      </c>
      <c r="G1621">
        <v>17017</v>
      </c>
      <c r="H1621" t="s">
        <v>4230</v>
      </c>
      <c r="I1621" t="s">
        <v>4199</v>
      </c>
      <c r="J1621">
        <v>2</v>
      </c>
      <c r="K1621" t="s">
        <v>3888</v>
      </c>
      <c r="L1621">
        <v>6</v>
      </c>
      <c r="M1621">
        <v>3</v>
      </c>
      <c r="N1621" t="s">
        <v>2176</v>
      </c>
      <c r="O1621" t="s">
        <v>464</v>
      </c>
    </row>
    <row r="1622" spans="1:15" x14ac:dyDescent="0.3">
      <c r="A1622">
        <v>226127</v>
      </c>
      <c r="B1622">
        <v>116</v>
      </c>
      <c r="C1622" t="s">
        <v>568</v>
      </c>
      <c r="D1622" t="s">
        <v>2265</v>
      </c>
      <c r="E1622" t="s">
        <v>2716</v>
      </c>
      <c r="F1622" s="452">
        <v>46127</v>
      </c>
      <c r="G1622">
        <v>17138</v>
      </c>
      <c r="H1622" t="s">
        <v>4319</v>
      </c>
      <c r="I1622" t="s">
        <v>4199</v>
      </c>
      <c r="J1622">
        <v>2</v>
      </c>
      <c r="K1622" t="s">
        <v>3872</v>
      </c>
      <c r="L1622">
        <v>17.2</v>
      </c>
      <c r="M1622">
        <v>8.6</v>
      </c>
      <c r="N1622" t="s">
        <v>2176</v>
      </c>
      <c r="O1622" t="s">
        <v>464</v>
      </c>
    </row>
    <row r="1623" spans="1:15" x14ac:dyDescent="0.3">
      <c r="A1623">
        <v>226127</v>
      </c>
      <c r="B1623">
        <v>116</v>
      </c>
      <c r="C1623" t="s">
        <v>568</v>
      </c>
      <c r="D1623" t="s">
        <v>2265</v>
      </c>
      <c r="E1623" t="s">
        <v>2716</v>
      </c>
      <c r="F1623" s="452">
        <v>46127</v>
      </c>
      <c r="G1623">
        <v>17314</v>
      </c>
      <c r="H1623" t="s">
        <v>4204</v>
      </c>
      <c r="I1623" t="s">
        <v>4199</v>
      </c>
      <c r="J1623">
        <v>2</v>
      </c>
      <c r="K1623" t="s">
        <v>3978</v>
      </c>
      <c r="L1623">
        <v>19.8</v>
      </c>
      <c r="M1623">
        <v>9.9</v>
      </c>
      <c r="N1623" t="s">
        <v>2176</v>
      </c>
      <c r="O1623" t="s">
        <v>464</v>
      </c>
    </row>
    <row r="1624" spans="1:15" x14ac:dyDescent="0.3">
      <c r="A1624">
        <v>226127</v>
      </c>
      <c r="B1624">
        <v>116</v>
      </c>
      <c r="C1624" t="s">
        <v>568</v>
      </c>
      <c r="D1624" t="s">
        <v>2265</v>
      </c>
      <c r="E1624" t="s">
        <v>2716</v>
      </c>
      <c r="F1624" s="452">
        <v>46127</v>
      </c>
      <c r="G1624">
        <v>24503</v>
      </c>
      <c r="H1624" t="s">
        <v>4320</v>
      </c>
      <c r="I1624" t="s">
        <v>4202</v>
      </c>
      <c r="J1624">
        <v>1</v>
      </c>
      <c r="K1624" t="s">
        <v>3881</v>
      </c>
      <c r="L1624">
        <v>27</v>
      </c>
      <c r="M1624">
        <v>27</v>
      </c>
      <c r="N1624" t="s">
        <v>2176</v>
      </c>
      <c r="O1624" t="s">
        <v>464</v>
      </c>
    </row>
    <row r="1625" spans="1:15" x14ac:dyDescent="0.3">
      <c r="A1625">
        <v>226127</v>
      </c>
      <c r="B1625">
        <v>116</v>
      </c>
      <c r="C1625" t="s">
        <v>568</v>
      </c>
      <c r="D1625" t="s">
        <v>2265</v>
      </c>
      <c r="E1625" t="s">
        <v>2716</v>
      </c>
      <c r="F1625" s="452">
        <v>46127</v>
      </c>
      <c r="G1625">
        <v>17185</v>
      </c>
      <c r="H1625" t="s">
        <v>4210</v>
      </c>
      <c r="I1625" t="s">
        <v>4199</v>
      </c>
      <c r="J1625">
        <v>1</v>
      </c>
      <c r="K1625" t="s">
        <v>3978</v>
      </c>
      <c r="L1625">
        <v>15.95</v>
      </c>
      <c r="M1625">
        <v>15.95</v>
      </c>
      <c r="N1625" t="s">
        <v>2176</v>
      </c>
      <c r="O1625" t="s">
        <v>464</v>
      </c>
    </row>
    <row r="1626" spans="1:15" x14ac:dyDescent="0.3">
      <c r="A1626">
        <v>226127</v>
      </c>
      <c r="B1626">
        <v>116</v>
      </c>
      <c r="C1626" t="s">
        <v>568</v>
      </c>
      <c r="D1626" t="s">
        <v>2265</v>
      </c>
      <c r="E1626" t="s">
        <v>2716</v>
      </c>
      <c r="F1626" s="452">
        <v>46127</v>
      </c>
      <c r="G1626">
        <v>17129</v>
      </c>
      <c r="H1626" t="s">
        <v>4200</v>
      </c>
      <c r="I1626" t="s">
        <v>4199</v>
      </c>
      <c r="J1626">
        <v>1</v>
      </c>
      <c r="K1626" t="s">
        <v>3888</v>
      </c>
      <c r="L1626">
        <v>26.61</v>
      </c>
      <c r="M1626">
        <v>26.61</v>
      </c>
      <c r="N1626" t="s">
        <v>2176</v>
      </c>
      <c r="O1626" t="s">
        <v>464</v>
      </c>
    </row>
    <row r="1627" spans="1:15" x14ac:dyDescent="0.3">
      <c r="A1627">
        <v>226127</v>
      </c>
      <c r="B1627">
        <v>116</v>
      </c>
      <c r="C1627" t="s">
        <v>568</v>
      </c>
      <c r="D1627" t="s">
        <v>2265</v>
      </c>
      <c r="E1627" t="s">
        <v>2716</v>
      </c>
      <c r="F1627" s="452">
        <v>46127</v>
      </c>
      <c r="G1627">
        <v>17383</v>
      </c>
      <c r="H1627" t="s">
        <v>4252</v>
      </c>
      <c r="I1627" t="s">
        <v>4199</v>
      </c>
      <c r="J1627">
        <v>1</v>
      </c>
      <c r="K1627" t="s">
        <v>3872</v>
      </c>
      <c r="L1627">
        <v>45</v>
      </c>
      <c r="M1627">
        <v>45</v>
      </c>
      <c r="N1627" t="s">
        <v>2176</v>
      </c>
      <c r="O1627" t="s">
        <v>464</v>
      </c>
    </row>
    <row r="1628" spans="1:15" x14ac:dyDescent="0.3">
      <c r="A1628">
        <v>226127</v>
      </c>
      <c r="B1628">
        <v>116</v>
      </c>
      <c r="C1628" t="s">
        <v>568</v>
      </c>
      <c r="D1628" t="s">
        <v>2265</v>
      </c>
      <c r="E1628" t="s">
        <v>2716</v>
      </c>
      <c r="F1628" s="452">
        <v>46127</v>
      </c>
      <c r="G1628">
        <v>17215</v>
      </c>
      <c r="H1628" t="s">
        <v>4283</v>
      </c>
      <c r="I1628" t="s">
        <v>4199</v>
      </c>
      <c r="J1628">
        <v>5</v>
      </c>
      <c r="K1628" t="s">
        <v>3978</v>
      </c>
      <c r="L1628">
        <v>99.95</v>
      </c>
      <c r="M1628">
        <v>19.989999999999998</v>
      </c>
      <c r="N1628" t="s">
        <v>2176</v>
      </c>
      <c r="O1628" t="s">
        <v>464</v>
      </c>
    </row>
    <row r="1629" spans="1:15" x14ac:dyDescent="0.3">
      <c r="A1629">
        <v>226127</v>
      </c>
      <c r="B1629">
        <v>116</v>
      </c>
      <c r="C1629" t="s">
        <v>568</v>
      </c>
      <c r="D1629" t="s">
        <v>2265</v>
      </c>
      <c r="E1629" t="s">
        <v>2716</v>
      </c>
      <c r="F1629" s="452">
        <v>46127</v>
      </c>
      <c r="G1629">
        <v>17304</v>
      </c>
      <c r="H1629" t="s">
        <v>4206</v>
      </c>
      <c r="I1629" t="s">
        <v>4199</v>
      </c>
      <c r="J1629">
        <v>1</v>
      </c>
      <c r="K1629" t="s">
        <v>3978</v>
      </c>
      <c r="L1629">
        <v>6.59</v>
      </c>
      <c r="M1629">
        <v>6.59</v>
      </c>
      <c r="N1629" t="s">
        <v>2176</v>
      </c>
      <c r="O1629" t="s">
        <v>464</v>
      </c>
    </row>
    <row r="1630" spans="1:15" x14ac:dyDescent="0.3">
      <c r="A1630">
        <v>226127</v>
      </c>
      <c r="B1630">
        <v>116</v>
      </c>
      <c r="C1630" t="s">
        <v>568</v>
      </c>
      <c r="D1630" t="s">
        <v>2265</v>
      </c>
      <c r="E1630" t="s">
        <v>2716</v>
      </c>
      <c r="F1630" s="452">
        <v>46127</v>
      </c>
      <c r="G1630">
        <v>17416</v>
      </c>
      <c r="H1630" t="s">
        <v>4205</v>
      </c>
      <c r="I1630" t="s">
        <v>4199</v>
      </c>
      <c r="J1630">
        <v>2</v>
      </c>
      <c r="K1630" t="s">
        <v>3881</v>
      </c>
      <c r="L1630">
        <v>97.16</v>
      </c>
      <c r="M1630">
        <v>48.58</v>
      </c>
      <c r="N1630" t="s">
        <v>2176</v>
      </c>
      <c r="O1630" t="s">
        <v>464</v>
      </c>
    </row>
    <row r="1631" spans="1:15" x14ac:dyDescent="0.3">
      <c r="A1631">
        <v>226127</v>
      </c>
      <c r="B1631">
        <v>116</v>
      </c>
      <c r="C1631" t="s">
        <v>568</v>
      </c>
      <c r="D1631" t="s">
        <v>2265</v>
      </c>
      <c r="E1631" t="s">
        <v>2716</v>
      </c>
      <c r="F1631" s="452">
        <v>46127</v>
      </c>
      <c r="G1631">
        <v>17404</v>
      </c>
      <c r="H1631" t="s">
        <v>4282</v>
      </c>
      <c r="I1631" t="s">
        <v>4199</v>
      </c>
      <c r="J1631">
        <v>1</v>
      </c>
      <c r="K1631" t="s">
        <v>3872</v>
      </c>
      <c r="L1631">
        <v>27</v>
      </c>
      <c r="M1631">
        <v>27</v>
      </c>
      <c r="N1631" t="s">
        <v>2176</v>
      </c>
      <c r="O1631" t="s">
        <v>464</v>
      </c>
    </row>
    <row r="1632" spans="1:15" x14ac:dyDescent="0.3">
      <c r="A1632">
        <v>226126</v>
      </c>
      <c r="B1632">
        <v>116</v>
      </c>
      <c r="C1632" t="s">
        <v>568</v>
      </c>
      <c r="D1632" t="s">
        <v>2286</v>
      </c>
      <c r="E1632" t="s">
        <v>2717</v>
      </c>
      <c r="F1632" s="452">
        <v>46128</v>
      </c>
      <c r="G1632">
        <v>19623</v>
      </c>
      <c r="H1632" t="s">
        <v>3984</v>
      </c>
      <c r="I1632" t="s">
        <v>3469</v>
      </c>
      <c r="J1632">
        <v>3</v>
      </c>
      <c r="K1632" t="s">
        <v>3892</v>
      </c>
      <c r="L1632">
        <v>15</v>
      </c>
      <c r="M1632">
        <v>5</v>
      </c>
      <c r="N1632" t="s">
        <v>3469</v>
      </c>
      <c r="O1632" t="s">
        <v>464</v>
      </c>
    </row>
    <row r="1633" spans="1:15" x14ac:dyDescent="0.3">
      <c r="A1633">
        <v>226126</v>
      </c>
      <c r="B1633">
        <v>116</v>
      </c>
      <c r="C1633" t="s">
        <v>568</v>
      </c>
      <c r="D1633" t="s">
        <v>2286</v>
      </c>
      <c r="E1633" t="s">
        <v>2717</v>
      </c>
      <c r="F1633" s="452">
        <v>46128</v>
      </c>
      <c r="G1633">
        <v>19752</v>
      </c>
      <c r="H1633" t="s">
        <v>4042</v>
      </c>
      <c r="I1633" t="s">
        <v>3469</v>
      </c>
      <c r="J1633">
        <v>1</v>
      </c>
      <c r="K1633" t="s">
        <v>3892</v>
      </c>
      <c r="L1633">
        <v>8.5</v>
      </c>
      <c r="M1633">
        <v>8.5</v>
      </c>
      <c r="N1633" t="s">
        <v>3469</v>
      </c>
      <c r="O1633" t="s">
        <v>464</v>
      </c>
    </row>
    <row r="1634" spans="1:15" x14ac:dyDescent="0.3">
      <c r="A1634">
        <v>226126</v>
      </c>
      <c r="B1634">
        <v>116</v>
      </c>
      <c r="C1634" t="s">
        <v>568</v>
      </c>
      <c r="D1634" t="s">
        <v>2286</v>
      </c>
      <c r="E1634" t="s">
        <v>2717</v>
      </c>
      <c r="F1634" s="452">
        <v>46128</v>
      </c>
      <c r="G1634">
        <v>19505</v>
      </c>
      <c r="H1634" t="s">
        <v>4101</v>
      </c>
      <c r="I1634" t="s">
        <v>3469</v>
      </c>
      <c r="J1634">
        <v>1.5</v>
      </c>
      <c r="K1634" t="s">
        <v>3892</v>
      </c>
      <c r="L1634">
        <v>14.25</v>
      </c>
      <c r="M1634">
        <v>9.5</v>
      </c>
      <c r="N1634" t="s">
        <v>3469</v>
      </c>
      <c r="O1634" t="s">
        <v>464</v>
      </c>
    </row>
    <row r="1635" spans="1:15" x14ac:dyDescent="0.3">
      <c r="A1635">
        <v>226126</v>
      </c>
      <c r="B1635">
        <v>116</v>
      </c>
      <c r="C1635" t="s">
        <v>568</v>
      </c>
      <c r="D1635" t="s">
        <v>2286</v>
      </c>
      <c r="E1635" t="s">
        <v>2717</v>
      </c>
      <c r="F1635" s="452">
        <v>46128</v>
      </c>
      <c r="G1635">
        <v>19647</v>
      </c>
      <c r="H1635" t="s">
        <v>4066</v>
      </c>
      <c r="I1635" t="s">
        <v>3469</v>
      </c>
      <c r="J1635">
        <v>1</v>
      </c>
      <c r="K1635" t="s">
        <v>3892</v>
      </c>
      <c r="L1635">
        <v>12.8</v>
      </c>
      <c r="M1635">
        <v>12.8</v>
      </c>
      <c r="N1635" t="s">
        <v>3469</v>
      </c>
      <c r="O1635" t="s">
        <v>464</v>
      </c>
    </row>
    <row r="1636" spans="1:15" x14ac:dyDescent="0.3">
      <c r="A1636">
        <v>226126</v>
      </c>
      <c r="B1636">
        <v>116</v>
      </c>
      <c r="C1636" t="s">
        <v>568</v>
      </c>
      <c r="D1636" t="s">
        <v>2286</v>
      </c>
      <c r="E1636" t="s">
        <v>2717</v>
      </c>
      <c r="F1636" s="452">
        <v>46128</v>
      </c>
      <c r="G1636">
        <v>24509</v>
      </c>
      <c r="H1636" t="s">
        <v>3906</v>
      </c>
      <c r="I1636" t="s">
        <v>3469</v>
      </c>
      <c r="J1636">
        <v>20</v>
      </c>
      <c r="K1636" t="s">
        <v>3892</v>
      </c>
      <c r="L1636">
        <v>84</v>
      </c>
      <c r="M1636">
        <v>4.2</v>
      </c>
      <c r="N1636" t="s">
        <v>3469</v>
      </c>
      <c r="O1636" t="s">
        <v>464</v>
      </c>
    </row>
    <row r="1637" spans="1:15" x14ac:dyDescent="0.3">
      <c r="A1637">
        <v>226126</v>
      </c>
      <c r="B1637">
        <v>116</v>
      </c>
      <c r="C1637" t="s">
        <v>568</v>
      </c>
      <c r="D1637" t="s">
        <v>2286</v>
      </c>
      <c r="E1637" t="s">
        <v>2717</v>
      </c>
      <c r="F1637" s="452">
        <v>46128</v>
      </c>
      <c r="G1637">
        <v>24037</v>
      </c>
      <c r="H1637" t="s">
        <v>4104</v>
      </c>
      <c r="I1637" t="s">
        <v>3469</v>
      </c>
      <c r="J1637">
        <v>2</v>
      </c>
      <c r="K1637" t="s">
        <v>3892</v>
      </c>
      <c r="L1637">
        <v>36</v>
      </c>
      <c r="M1637">
        <v>18</v>
      </c>
      <c r="N1637" t="s">
        <v>3469</v>
      </c>
      <c r="O1637" t="s">
        <v>464</v>
      </c>
    </row>
    <row r="1638" spans="1:15" x14ac:dyDescent="0.3">
      <c r="A1638">
        <v>226126</v>
      </c>
      <c r="B1638">
        <v>116</v>
      </c>
      <c r="C1638" t="s">
        <v>568</v>
      </c>
      <c r="D1638" t="s">
        <v>2286</v>
      </c>
      <c r="E1638" t="s">
        <v>2717</v>
      </c>
      <c r="F1638" s="452">
        <v>46128</v>
      </c>
      <c r="G1638">
        <v>23236</v>
      </c>
      <c r="H1638" t="s">
        <v>4017</v>
      </c>
      <c r="I1638" t="s">
        <v>3469</v>
      </c>
      <c r="J1638">
        <v>3</v>
      </c>
      <c r="K1638" t="s">
        <v>3892</v>
      </c>
      <c r="L1638">
        <v>25.5</v>
      </c>
      <c r="M1638">
        <v>8.5</v>
      </c>
      <c r="N1638" t="s">
        <v>3469</v>
      </c>
      <c r="O1638" t="s">
        <v>464</v>
      </c>
    </row>
    <row r="1639" spans="1:15" x14ac:dyDescent="0.3">
      <c r="A1639">
        <v>226126</v>
      </c>
      <c r="B1639">
        <v>116</v>
      </c>
      <c r="C1639" t="s">
        <v>568</v>
      </c>
      <c r="D1639" t="s">
        <v>2286</v>
      </c>
      <c r="E1639" t="s">
        <v>2717</v>
      </c>
      <c r="F1639" s="452">
        <v>46128</v>
      </c>
      <c r="G1639">
        <v>19555</v>
      </c>
      <c r="H1639" t="s">
        <v>4109</v>
      </c>
      <c r="I1639" t="s">
        <v>3469</v>
      </c>
      <c r="J1639">
        <v>0.6</v>
      </c>
      <c r="K1639" t="s">
        <v>3892</v>
      </c>
      <c r="L1639">
        <v>10.8</v>
      </c>
      <c r="M1639">
        <v>18</v>
      </c>
      <c r="N1639" t="s">
        <v>3469</v>
      </c>
      <c r="O1639" t="s">
        <v>464</v>
      </c>
    </row>
    <row r="1640" spans="1:15" x14ac:dyDescent="0.3">
      <c r="A1640">
        <v>226126</v>
      </c>
      <c r="B1640">
        <v>116</v>
      </c>
      <c r="C1640" t="s">
        <v>568</v>
      </c>
      <c r="D1640" t="s">
        <v>2286</v>
      </c>
      <c r="E1640" t="s">
        <v>2717</v>
      </c>
      <c r="F1640" s="452">
        <v>46128</v>
      </c>
      <c r="G1640">
        <v>23359</v>
      </c>
      <c r="H1640" t="s">
        <v>3932</v>
      </c>
      <c r="I1640" t="s">
        <v>3469</v>
      </c>
      <c r="J1640">
        <v>10</v>
      </c>
      <c r="K1640" t="s">
        <v>3892</v>
      </c>
      <c r="L1640">
        <v>21</v>
      </c>
      <c r="M1640">
        <v>2.1</v>
      </c>
      <c r="N1640" t="s">
        <v>3469</v>
      </c>
      <c r="O1640" t="s">
        <v>464</v>
      </c>
    </row>
    <row r="1641" spans="1:15" x14ac:dyDescent="0.3">
      <c r="A1641">
        <v>226126</v>
      </c>
      <c r="B1641">
        <v>116</v>
      </c>
      <c r="C1641" t="s">
        <v>568</v>
      </c>
      <c r="D1641" t="s">
        <v>2286</v>
      </c>
      <c r="E1641" t="s">
        <v>2717</v>
      </c>
      <c r="F1641" s="452">
        <v>46128</v>
      </c>
      <c r="G1641">
        <v>19751</v>
      </c>
      <c r="H1641" t="s">
        <v>4019</v>
      </c>
      <c r="I1641" t="s">
        <v>3469</v>
      </c>
      <c r="J1641">
        <v>2</v>
      </c>
      <c r="K1641" t="s">
        <v>3892</v>
      </c>
      <c r="L1641">
        <v>19</v>
      </c>
      <c r="M1641">
        <v>9.5</v>
      </c>
      <c r="N1641" t="s">
        <v>3469</v>
      </c>
      <c r="O1641" t="s">
        <v>464</v>
      </c>
    </row>
    <row r="1642" spans="1:15" x14ac:dyDescent="0.3">
      <c r="A1642">
        <v>226126</v>
      </c>
      <c r="B1642">
        <v>116</v>
      </c>
      <c r="C1642" t="s">
        <v>568</v>
      </c>
      <c r="D1642" t="s">
        <v>2286</v>
      </c>
      <c r="E1642" t="s">
        <v>2717</v>
      </c>
      <c r="F1642" s="452">
        <v>46128</v>
      </c>
      <c r="G1642">
        <v>24099</v>
      </c>
      <c r="H1642" t="s">
        <v>4321</v>
      </c>
      <c r="I1642" t="s">
        <v>3469</v>
      </c>
      <c r="J1642">
        <v>2</v>
      </c>
      <c r="K1642" t="s">
        <v>3892</v>
      </c>
      <c r="L1642">
        <v>27.6</v>
      </c>
      <c r="M1642">
        <v>13.8</v>
      </c>
      <c r="N1642" t="s">
        <v>3469</v>
      </c>
      <c r="O1642" t="s">
        <v>464</v>
      </c>
    </row>
    <row r="1643" spans="1:15" x14ac:dyDescent="0.3">
      <c r="A1643">
        <v>226126</v>
      </c>
      <c r="B1643">
        <v>116</v>
      </c>
      <c r="C1643" t="s">
        <v>568</v>
      </c>
      <c r="D1643" t="s">
        <v>2286</v>
      </c>
      <c r="E1643" t="s">
        <v>2717</v>
      </c>
      <c r="F1643" s="452">
        <v>46128</v>
      </c>
      <c r="G1643">
        <v>19553</v>
      </c>
      <c r="H1643" t="s">
        <v>4078</v>
      </c>
      <c r="I1643" t="s">
        <v>3469</v>
      </c>
      <c r="J1643">
        <v>2</v>
      </c>
      <c r="K1643" t="s">
        <v>3892</v>
      </c>
      <c r="L1643">
        <v>11.6</v>
      </c>
      <c r="M1643">
        <v>5.8</v>
      </c>
      <c r="N1643" t="s">
        <v>3469</v>
      </c>
      <c r="O1643" t="s">
        <v>464</v>
      </c>
    </row>
    <row r="1644" spans="1:15" x14ac:dyDescent="0.3">
      <c r="A1644">
        <v>226126</v>
      </c>
      <c r="B1644">
        <v>116</v>
      </c>
      <c r="C1644" t="s">
        <v>568</v>
      </c>
      <c r="D1644" t="s">
        <v>2286</v>
      </c>
      <c r="E1644" t="s">
        <v>2717</v>
      </c>
      <c r="F1644" s="452">
        <v>46128</v>
      </c>
      <c r="G1644">
        <v>23120</v>
      </c>
      <c r="H1644" t="s">
        <v>4111</v>
      </c>
      <c r="I1644" t="s">
        <v>3469</v>
      </c>
      <c r="J1644">
        <v>0.2</v>
      </c>
      <c r="K1644" t="s">
        <v>3892</v>
      </c>
      <c r="L1644">
        <v>12.4</v>
      </c>
      <c r="M1644">
        <v>62</v>
      </c>
      <c r="N1644" t="s">
        <v>3469</v>
      </c>
      <c r="O1644" t="s">
        <v>464</v>
      </c>
    </row>
    <row r="1645" spans="1:15" x14ac:dyDescent="0.3">
      <c r="A1645">
        <v>226126</v>
      </c>
      <c r="B1645">
        <v>116</v>
      </c>
      <c r="C1645" t="s">
        <v>568</v>
      </c>
      <c r="D1645" t="s">
        <v>2286</v>
      </c>
      <c r="E1645" t="s">
        <v>2717</v>
      </c>
      <c r="F1645" s="452">
        <v>46128</v>
      </c>
      <c r="G1645">
        <v>19478</v>
      </c>
      <c r="H1645" t="s">
        <v>4072</v>
      </c>
      <c r="I1645" t="s">
        <v>3469</v>
      </c>
      <c r="J1645">
        <v>1</v>
      </c>
      <c r="K1645" t="s">
        <v>3892</v>
      </c>
      <c r="L1645">
        <v>75</v>
      </c>
      <c r="M1645">
        <v>75</v>
      </c>
      <c r="N1645" t="s">
        <v>3469</v>
      </c>
      <c r="O1645" t="s">
        <v>464</v>
      </c>
    </row>
    <row r="1646" spans="1:15" x14ac:dyDescent="0.3">
      <c r="A1646">
        <v>226126</v>
      </c>
      <c r="B1646">
        <v>116</v>
      </c>
      <c r="C1646" t="s">
        <v>568</v>
      </c>
      <c r="D1646" t="s">
        <v>2286</v>
      </c>
      <c r="E1646" t="s">
        <v>2717</v>
      </c>
      <c r="F1646" s="452">
        <v>46128</v>
      </c>
      <c r="G1646">
        <v>19787</v>
      </c>
      <c r="H1646" t="s">
        <v>3940</v>
      </c>
      <c r="I1646" t="s">
        <v>3469</v>
      </c>
      <c r="J1646">
        <v>3</v>
      </c>
      <c r="K1646" t="s">
        <v>3892</v>
      </c>
      <c r="L1646">
        <v>19.2</v>
      </c>
      <c r="M1646">
        <v>6.4</v>
      </c>
      <c r="N1646" t="s">
        <v>3469</v>
      </c>
      <c r="O1646" t="s">
        <v>464</v>
      </c>
    </row>
    <row r="1647" spans="1:15" x14ac:dyDescent="0.3">
      <c r="A1647">
        <v>226126</v>
      </c>
      <c r="B1647">
        <v>116</v>
      </c>
      <c r="C1647" t="s">
        <v>568</v>
      </c>
      <c r="D1647" t="s">
        <v>2286</v>
      </c>
      <c r="E1647" t="s">
        <v>2717</v>
      </c>
      <c r="F1647" s="452">
        <v>46128</v>
      </c>
      <c r="G1647">
        <v>24598</v>
      </c>
      <c r="H1647" t="s">
        <v>4166</v>
      </c>
      <c r="I1647" t="s">
        <v>3469</v>
      </c>
      <c r="J1647">
        <v>1</v>
      </c>
      <c r="K1647" t="s">
        <v>3892</v>
      </c>
      <c r="L1647">
        <v>15</v>
      </c>
      <c r="M1647">
        <v>15</v>
      </c>
      <c r="N1647" t="s">
        <v>3469</v>
      </c>
      <c r="O1647" t="s">
        <v>464</v>
      </c>
    </row>
    <row r="1648" spans="1:15" x14ac:dyDescent="0.3">
      <c r="A1648">
        <v>226126</v>
      </c>
      <c r="B1648">
        <v>116</v>
      </c>
      <c r="C1648" t="s">
        <v>568</v>
      </c>
      <c r="D1648" t="s">
        <v>2286</v>
      </c>
      <c r="E1648" t="s">
        <v>2717</v>
      </c>
      <c r="F1648" s="452">
        <v>46128</v>
      </c>
      <c r="G1648">
        <v>19506</v>
      </c>
      <c r="H1648" t="s">
        <v>4112</v>
      </c>
      <c r="I1648" t="s">
        <v>3469</v>
      </c>
      <c r="J1648">
        <v>0.2</v>
      </c>
      <c r="K1648" t="s">
        <v>3892</v>
      </c>
      <c r="L1648">
        <v>11</v>
      </c>
      <c r="M1648">
        <v>55</v>
      </c>
      <c r="N1648" t="s">
        <v>3469</v>
      </c>
      <c r="O1648" t="s">
        <v>464</v>
      </c>
    </row>
    <row r="1649" spans="1:15" x14ac:dyDescent="0.3">
      <c r="A1649">
        <v>226126</v>
      </c>
      <c r="B1649">
        <v>116</v>
      </c>
      <c r="C1649" t="s">
        <v>568</v>
      </c>
      <c r="D1649" t="s">
        <v>2286</v>
      </c>
      <c r="E1649" t="s">
        <v>2717</v>
      </c>
      <c r="F1649" s="452">
        <v>46128</v>
      </c>
      <c r="G1649">
        <v>23096</v>
      </c>
      <c r="H1649" t="s">
        <v>3876</v>
      </c>
      <c r="I1649" t="s">
        <v>3469</v>
      </c>
      <c r="J1649">
        <v>60</v>
      </c>
      <c r="K1649" t="s">
        <v>3872</v>
      </c>
      <c r="L1649">
        <v>42</v>
      </c>
      <c r="M1649">
        <v>0.7</v>
      </c>
      <c r="N1649" t="s">
        <v>3469</v>
      </c>
      <c r="O1649" t="s">
        <v>464</v>
      </c>
    </row>
    <row r="1650" spans="1:15" x14ac:dyDescent="0.3">
      <c r="A1650">
        <v>226126</v>
      </c>
      <c r="B1650">
        <v>116</v>
      </c>
      <c r="C1650" t="s">
        <v>568</v>
      </c>
      <c r="D1650" t="s">
        <v>2286</v>
      </c>
      <c r="E1650" t="s">
        <v>2717</v>
      </c>
      <c r="F1650" s="452">
        <v>46128</v>
      </c>
      <c r="G1650">
        <v>19498</v>
      </c>
      <c r="H1650" t="s">
        <v>4065</v>
      </c>
      <c r="I1650" t="s">
        <v>3469</v>
      </c>
      <c r="J1650">
        <v>1</v>
      </c>
      <c r="K1650" t="s">
        <v>3892</v>
      </c>
      <c r="L1650">
        <v>13.5</v>
      </c>
      <c r="M1650">
        <v>13.5</v>
      </c>
      <c r="N1650" t="s">
        <v>3469</v>
      </c>
      <c r="O1650" t="s">
        <v>464</v>
      </c>
    </row>
    <row r="1651" spans="1:15" x14ac:dyDescent="0.3">
      <c r="A1651">
        <v>226126</v>
      </c>
      <c r="B1651">
        <v>116</v>
      </c>
      <c r="C1651" t="s">
        <v>568</v>
      </c>
      <c r="D1651" t="s">
        <v>2286</v>
      </c>
      <c r="E1651" t="s">
        <v>2717</v>
      </c>
      <c r="F1651" s="452">
        <v>46128</v>
      </c>
      <c r="G1651">
        <v>19740</v>
      </c>
      <c r="H1651" t="s">
        <v>3933</v>
      </c>
      <c r="I1651" t="s">
        <v>3469</v>
      </c>
      <c r="J1651">
        <v>8</v>
      </c>
      <c r="K1651" t="s">
        <v>3892</v>
      </c>
      <c r="L1651">
        <v>72</v>
      </c>
      <c r="M1651">
        <v>9</v>
      </c>
      <c r="N1651" t="s">
        <v>3469</v>
      </c>
      <c r="O1651" t="s">
        <v>464</v>
      </c>
    </row>
    <row r="1652" spans="1:15" x14ac:dyDescent="0.3">
      <c r="A1652">
        <v>226126</v>
      </c>
      <c r="B1652">
        <v>116</v>
      </c>
      <c r="C1652" t="s">
        <v>568</v>
      </c>
      <c r="D1652" t="s">
        <v>2286</v>
      </c>
      <c r="E1652" t="s">
        <v>2717</v>
      </c>
      <c r="F1652" s="452">
        <v>46128</v>
      </c>
      <c r="G1652">
        <v>19607</v>
      </c>
      <c r="H1652" t="s">
        <v>4105</v>
      </c>
      <c r="I1652" t="s">
        <v>3469</v>
      </c>
      <c r="J1652">
        <v>1</v>
      </c>
      <c r="K1652" t="s">
        <v>3892</v>
      </c>
      <c r="L1652">
        <v>10.5</v>
      </c>
      <c r="M1652">
        <v>10.5</v>
      </c>
      <c r="N1652" t="s">
        <v>3469</v>
      </c>
      <c r="O1652" t="s">
        <v>464</v>
      </c>
    </row>
    <row r="1653" spans="1:15" x14ac:dyDescent="0.3">
      <c r="A1653">
        <v>226126</v>
      </c>
      <c r="B1653">
        <v>116</v>
      </c>
      <c r="C1653" t="s">
        <v>568</v>
      </c>
      <c r="D1653" t="s">
        <v>2286</v>
      </c>
      <c r="E1653" t="s">
        <v>2717</v>
      </c>
      <c r="F1653" s="452">
        <v>46128</v>
      </c>
      <c r="G1653">
        <v>23389</v>
      </c>
      <c r="H1653" t="s">
        <v>4016</v>
      </c>
      <c r="I1653" t="s">
        <v>3469</v>
      </c>
      <c r="J1653">
        <v>6</v>
      </c>
      <c r="K1653" t="s">
        <v>3892</v>
      </c>
      <c r="L1653">
        <v>30</v>
      </c>
      <c r="M1653">
        <v>5</v>
      </c>
      <c r="N1653" t="s">
        <v>3469</v>
      </c>
      <c r="O1653" t="s">
        <v>464</v>
      </c>
    </row>
    <row r="1654" spans="1:15" x14ac:dyDescent="0.3">
      <c r="A1654">
        <v>226125</v>
      </c>
      <c r="B1654">
        <v>116</v>
      </c>
      <c r="C1654" t="s">
        <v>568</v>
      </c>
      <c r="D1654" t="s">
        <v>2367</v>
      </c>
      <c r="E1654" t="s">
        <v>2718</v>
      </c>
      <c r="F1654" s="452">
        <v>46126</v>
      </c>
      <c r="G1654">
        <v>19346</v>
      </c>
      <c r="H1654" t="s">
        <v>3948</v>
      </c>
      <c r="I1654" t="s">
        <v>3469</v>
      </c>
      <c r="J1654">
        <v>6.14</v>
      </c>
      <c r="K1654" t="s">
        <v>3892</v>
      </c>
      <c r="L1654">
        <v>357.96</v>
      </c>
      <c r="M1654">
        <v>58.299674000000003</v>
      </c>
      <c r="N1654" t="s">
        <v>3469</v>
      </c>
      <c r="O1654" t="s">
        <v>464</v>
      </c>
    </row>
    <row r="1655" spans="1:15" x14ac:dyDescent="0.3">
      <c r="A1655">
        <v>226125</v>
      </c>
      <c r="B1655">
        <v>116</v>
      </c>
      <c r="C1655" t="s">
        <v>568</v>
      </c>
      <c r="D1655" t="s">
        <v>2367</v>
      </c>
      <c r="E1655" t="s">
        <v>2718</v>
      </c>
      <c r="F1655" s="452">
        <v>46126</v>
      </c>
      <c r="G1655">
        <v>19428</v>
      </c>
      <c r="H1655" t="s">
        <v>4169</v>
      </c>
      <c r="I1655" t="s">
        <v>3469</v>
      </c>
      <c r="J1655">
        <v>12</v>
      </c>
      <c r="K1655" t="s">
        <v>3872</v>
      </c>
      <c r="L1655">
        <v>66</v>
      </c>
      <c r="M1655">
        <v>5.5</v>
      </c>
      <c r="N1655" t="s">
        <v>3469</v>
      </c>
      <c r="O1655" t="s">
        <v>464</v>
      </c>
    </row>
    <row r="1656" spans="1:15" x14ac:dyDescent="0.3">
      <c r="A1656">
        <v>226124</v>
      </c>
      <c r="B1656">
        <v>116</v>
      </c>
      <c r="C1656" t="s">
        <v>568</v>
      </c>
      <c r="D1656" t="s">
        <v>2361</v>
      </c>
      <c r="E1656" t="s">
        <v>2719</v>
      </c>
      <c r="F1656" s="452">
        <v>46126</v>
      </c>
      <c r="G1656">
        <v>26627</v>
      </c>
      <c r="H1656" t="s">
        <v>4237</v>
      </c>
      <c r="I1656" t="s">
        <v>3469</v>
      </c>
      <c r="J1656">
        <v>20</v>
      </c>
      <c r="K1656" t="s">
        <v>3892</v>
      </c>
      <c r="L1656">
        <v>158</v>
      </c>
      <c r="M1656">
        <v>7.9</v>
      </c>
      <c r="N1656" t="s">
        <v>4240</v>
      </c>
      <c r="O1656" t="s">
        <v>464</v>
      </c>
    </row>
    <row r="1657" spans="1:15" x14ac:dyDescent="0.3">
      <c r="A1657">
        <v>226123</v>
      </c>
      <c r="B1657">
        <v>116</v>
      </c>
      <c r="C1657" t="s">
        <v>568</v>
      </c>
      <c r="D1657" t="s">
        <v>2286</v>
      </c>
      <c r="E1657" t="s">
        <v>2720</v>
      </c>
      <c r="F1657" s="452">
        <v>46125</v>
      </c>
      <c r="G1657">
        <v>19617</v>
      </c>
      <c r="H1657" t="s">
        <v>4110</v>
      </c>
      <c r="I1657" t="s">
        <v>3469</v>
      </c>
      <c r="J1657">
        <v>0.5</v>
      </c>
      <c r="K1657" t="s">
        <v>3892</v>
      </c>
      <c r="L1657">
        <v>7.5</v>
      </c>
      <c r="M1657">
        <v>15</v>
      </c>
      <c r="N1657" t="s">
        <v>3469</v>
      </c>
      <c r="O1657" t="s">
        <v>464</v>
      </c>
    </row>
    <row r="1658" spans="1:15" x14ac:dyDescent="0.3">
      <c r="A1658">
        <v>226123</v>
      </c>
      <c r="B1658">
        <v>116</v>
      </c>
      <c r="C1658" t="s">
        <v>568</v>
      </c>
      <c r="D1658" t="s">
        <v>2286</v>
      </c>
      <c r="E1658" t="s">
        <v>2720</v>
      </c>
      <c r="F1658" s="452">
        <v>46125</v>
      </c>
      <c r="G1658">
        <v>19505</v>
      </c>
      <c r="H1658" t="s">
        <v>4101</v>
      </c>
      <c r="I1658" t="s">
        <v>3469</v>
      </c>
      <c r="J1658">
        <v>1.5</v>
      </c>
      <c r="K1658" t="s">
        <v>3892</v>
      </c>
      <c r="L1658">
        <v>16.2</v>
      </c>
      <c r="M1658">
        <v>10.8</v>
      </c>
      <c r="N1658" t="s">
        <v>3469</v>
      </c>
      <c r="O1658" t="s">
        <v>464</v>
      </c>
    </row>
    <row r="1659" spans="1:15" x14ac:dyDescent="0.3">
      <c r="A1659">
        <v>226123</v>
      </c>
      <c r="B1659">
        <v>116</v>
      </c>
      <c r="C1659" t="s">
        <v>568</v>
      </c>
      <c r="D1659" t="s">
        <v>2286</v>
      </c>
      <c r="E1659" t="s">
        <v>2720</v>
      </c>
      <c r="F1659" s="452">
        <v>46125</v>
      </c>
      <c r="G1659">
        <v>24037</v>
      </c>
      <c r="H1659" t="s">
        <v>4104</v>
      </c>
      <c r="I1659" t="s">
        <v>3469</v>
      </c>
      <c r="J1659">
        <v>3</v>
      </c>
      <c r="K1659" t="s">
        <v>3892</v>
      </c>
      <c r="L1659">
        <v>54</v>
      </c>
      <c r="M1659">
        <v>18</v>
      </c>
      <c r="N1659" t="s">
        <v>3469</v>
      </c>
      <c r="O1659" t="s">
        <v>464</v>
      </c>
    </row>
    <row r="1660" spans="1:15" x14ac:dyDescent="0.3">
      <c r="A1660">
        <v>226123</v>
      </c>
      <c r="B1660">
        <v>116</v>
      </c>
      <c r="C1660" t="s">
        <v>568</v>
      </c>
      <c r="D1660" t="s">
        <v>2286</v>
      </c>
      <c r="E1660" t="s">
        <v>2720</v>
      </c>
      <c r="F1660" s="452">
        <v>46125</v>
      </c>
      <c r="G1660">
        <v>19506</v>
      </c>
      <c r="H1660" t="s">
        <v>4112</v>
      </c>
      <c r="I1660" t="s">
        <v>3469</v>
      </c>
      <c r="J1660">
        <v>0.2</v>
      </c>
      <c r="K1660" t="s">
        <v>3892</v>
      </c>
      <c r="L1660">
        <v>13</v>
      </c>
      <c r="M1660">
        <v>65</v>
      </c>
      <c r="N1660" t="s">
        <v>3469</v>
      </c>
      <c r="O1660" t="s">
        <v>464</v>
      </c>
    </row>
    <row r="1661" spans="1:15" x14ac:dyDescent="0.3">
      <c r="A1661">
        <v>226123</v>
      </c>
      <c r="B1661">
        <v>116</v>
      </c>
      <c r="C1661" t="s">
        <v>568</v>
      </c>
      <c r="D1661" t="s">
        <v>2286</v>
      </c>
      <c r="E1661" t="s">
        <v>2720</v>
      </c>
      <c r="F1661" s="452">
        <v>46125</v>
      </c>
      <c r="G1661">
        <v>23095</v>
      </c>
      <c r="H1661" t="s">
        <v>3882</v>
      </c>
      <c r="I1661" t="s">
        <v>3469</v>
      </c>
      <c r="J1661">
        <v>40</v>
      </c>
      <c r="K1661" t="s">
        <v>3872</v>
      </c>
      <c r="L1661">
        <v>50</v>
      </c>
      <c r="M1661">
        <v>1.25</v>
      </c>
      <c r="N1661" t="s">
        <v>3469</v>
      </c>
      <c r="O1661" t="s">
        <v>464</v>
      </c>
    </row>
    <row r="1662" spans="1:15" x14ac:dyDescent="0.3">
      <c r="A1662">
        <v>226123</v>
      </c>
      <c r="B1662">
        <v>116</v>
      </c>
      <c r="C1662" t="s">
        <v>568</v>
      </c>
      <c r="D1662" t="s">
        <v>2286</v>
      </c>
      <c r="E1662" t="s">
        <v>2720</v>
      </c>
      <c r="F1662" s="452">
        <v>46125</v>
      </c>
      <c r="G1662">
        <v>23120</v>
      </c>
      <c r="H1662" t="s">
        <v>4111</v>
      </c>
      <c r="I1662" t="s">
        <v>3469</v>
      </c>
      <c r="J1662">
        <v>0.2</v>
      </c>
      <c r="K1662" t="s">
        <v>3892</v>
      </c>
      <c r="L1662">
        <v>13</v>
      </c>
      <c r="M1662">
        <v>65</v>
      </c>
      <c r="N1662" t="s">
        <v>3469</v>
      </c>
      <c r="O1662" t="s">
        <v>464</v>
      </c>
    </row>
    <row r="1663" spans="1:15" x14ac:dyDescent="0.3">
      <c r="A1663">
        <v>226123</v>
      </c>
      <c r="B1663">
        <v>116</v>
      </c>
      <c r="C1663" t="s">
        <v>568</v>
      </c>
      <c r="D1663" t="s">
        <v>2286</v>
      </c>
      <c r="E1663" t="s">
        <v>2720</v>
      </c>
      <c r="F1663" s="452">
        <v>46125</v>
      </c>
      <c r="G1663">
        <v>23359</v>
      </c>
      <c r="H1663" t="s">
        <v>3932</v>
      </c>
      <c r="I1663" t="s">
        <v>3469</v>
      </c>
      <c r="J1663">
        <v>10</v>
      </c>
      <c r="K1663" t="s">
        <v>3892</v>
      </c>
      <c r="L1663">
        <v>22.5</v>
      </c>
      <c r="M1663">
        <v>2.25</v>
      </c>
      <c r="N1663" t="s">
        <v>3469</v>
      </c>
      <c r="O1663" t="s">
        <v>464</v>
      </c>
    </row>
    <row r="1664" spans="1:15" x14ac:dyDescent="0.3">
      <c r="A1664">
        <v>226123</v>
      </c>
      <c r="B1664">
        <v>116</v>
      </c>
      <c r="C1664" t="s">
        <v>568</v>
      </c>
      <c r="D1664" t="s">
        <v>2286</v>
      </c>
      <c r="E1664" t="s">
        <v>2720</v>
      </c>
      <c r="F1664" s="452">
        <v>46125</v>
      </c>
      <c r="G1664">
        <v>19458</v>
      </c>
      <c r="H1664" t="s">
        <v>4212</v>
      </c>
      <c r="I1664" t="s">
        <v>3469</v>
      </c>
      <c r="J1664">
        <v>1.5</v>
      </c>
      <c r="K1664" t="s">
        <v>3892</v>
      </c>
      <c r="L1664">
        <v>21</v>
      </c>
      <c r="M1664">
        <v>14</v>
      </c>
      <c r="N1664" t="s">
        <v>3469</v>
      </c>
      <c r="O1664" t="s">
        <v>464</v>
      </c>
    </row>
    <row r="1665" spans="1:15" x14ac:dyDescent="0.3">
      <c r="A1665">
        <v>226123</v>
      </c>
      <c r="B1665">
        <v>116</v>
      </c>
      <c r="C1665" t="s">
        <v>568</v>
      </c>
      <c r="D1665" t="s">
        <v>2286</v>
      </c>
      <c r="E1665" t="s">
        <v>2720</v>
      </c>
      <c r="F1665" s="452">
        <v>46125</v>
      </c>
      <c r="G1665">
        <v>19555</v>
      </c>
      <c r="H1665" t="s">
        <v>4109</v>
      </c>
      <c r="I1665" t="s">
        <v>3469</v>
      </c>
      <c r="J1665">
        <v>0.6</v>
      </c>
      <c r="K1665" t="s">
        <v>3892</v>
      </c>
      <c r="L1665">
        <v>13.2</v>
      </c>
      <c r="M1665">
        <v>22</v>
      </c>
      <c r="N1665" t="s">
        <v>3469</v>
      </c>
      <c r="O1665" t="s">
        <v>464</v>
      </c>
    </row>
    <row r="1666" spans="1:15" x14ac:dyDescent="0.3">
      <c r="A1666">
        <v>226123</v>
      </c>
      <c r="B1666">
        <v>116</v>
      </c>
      <c r="C1666" t="s">
        <v>568</v>
      </c>
      <c r="D1666" t="s">
        <v>2286</v>
      </c>
      <c r="E1666" t="s">
        <v>2720</v>
      </c>
      <c r="F1666" s="452">
        <v>46125</v>
      </c>
      <c r="G1666">
        <v>19494</v>
      </c>
      <c r="H1666" t="s">
        <v>4126</v>
      </c>
      <c r="I1666" t="s">
        <v>3469</v>
      </c>
      <c r="J1666">
        <v>1</v>
      </c>
      <c r="K1666" t="s">
        <v>3892</v>
      </c>
      <c r="L1666">
        <v>13.8</v>
      </c>
      <c r="M1666">
        <v>13.8</v>
      </c>
      <c r="N1666" t="s">
        <v>3469</v>
      </c>
      <c r="O1666" t="s">
        <v>464</v>
      </c>
    </row>
    <row r="1667" spans="1:15" x14ac:dyDescent="0.3">
      <c r="A1667">
        <v>226123</v>
      </c>
      <c r="B1667">
        <v>116</v>
      </c>
      <c r="C1667" t="s">
        <v>568</v>
      </c>
      <c r="D1667" t="s">
        <v>2286</v>
      </c>
      <c r="E1667" t="s">
        <v>2720</v>
      </c>
      <c r="F1667" s="452">
        <v>46125</v>
      </c>
      <c r="G1667">
        <v>19498</v>
      </c>
      <c r="H1667" t="s">
        <v>4065</v>
      </c>
      <c r="I1667" t="s">
        <v>3469</v>
      </c>
      <c r="J1667">
        <v>1</v>
      </c>
      <c r="K1667" t="s">
        <v>3892</v>
      </c>
      <c r="L1667">
        <v>15</v>
      </c>
      <c r="M1667">
        <v>15</v>
      </c>
      <c r="N1667" t="s">
        <v>3469</v>
      </c>
      <c r="O1667" t="s">
        <v>464</v>
      </c>
    </row>
    <row r="1668" spans="1:15" x14ac:dyDescent="0.3">
      <c r="A1668">
        <v>226123</v>
      </c>
      <c r="B1668">
        <v>116</v>
      </c>
      <c r="C1668" t="s">
        <v>568</v>
      </c>
      <c r="D1668" t="s">
        <v>2286</v>
      </c>
      <c r="E1668" t="s">
        <v>2720</v>
      </c>
      <c r="F1668" s="452">
        <v>46125</v>
      </c>
      <c r="G1668">
        <v>23236</v>
      </c>
      <c r="H1668" t="s">
        <v>4017</v>
      </c>
      <c r="I1668" t="s">
        <v>3469</v>
      </c>
      <c r="J1668">
        <v>3</v>
      </c>
      <c r="K1668" t="s">
        <v>3892</v>
      </c>
      <c r="L1668">
        <v>33</v>
      </c>
      <c r="M1668">
        <v>11</v>
      </c>
      <c r="N1668" t="s">
        <v>3469</v>
      </c>
      <c r="O1668" t="s">
        <v>464</v>
      </c>
    </row>
    <row r="1669" spans="1:15" x14ac:dyDescent="0.3">
      <c r="A1669">
        <v>226123</v>
      </c>
      <c r="B1669">
        <v>116</v>
      </c>
      <c r="C1669" t="s">
        <v>568</v>
      </c>
      <c r="D1669" t="s">
        <v>2286</v>
      </c>
      <c r="E1669" t="s">
        <v>2720</v>
      </c>
      <c r="F1669" s="452">
        <v>46125</v>
      </c>
      <c r="G1669">
        <v>19488</v>
      </c>
      <c r="H1669" t="s">
        <v>4070</v>
      </c>
      <c r="I1669" t="s">
        <v>3469</v>
      </c>
      <c r="J1669">
        <v>0.3</v>
      </c>
      <c r="K1669" t="s">
        <v>3892</v>
      </c>
      <c r="L1669">
        <v>3.9</v>
      </c>
      <c r="M1669">
        <v>13</v>
      </c>
      <c r="N1669" t="s">
        <v>3469</v>
      </c>
      <c r="O1669" t="s">
        <v>464</v>
      </c>
    </row>
    <row r="1670" spans="1:15" x14ac:dyDescent="0.3">
      <c r="A1670">
        <v>226122</v>
      </c>
      <c r="B1670">
        <v>116</v>
      </c>
      <c r="C1670" t="s">
        <v>568</v>
      </c>
      <c r="D1670" t="s">
        <v>2359</v>
      </c>
      <c r="E1670" t="s">
        <v>2721</v>
      </c>
      <c r="F1670" s="452">
        <v>46126</v>
      </c>
      <c r="G1670">
        <v>18119</v>
      </c>
      <c r="H1670" t="s">
        <v>4093</v>
      </c>
      <c r="I1670" t="s">
        <v>3497</v>
      </c>
      <c r="J1670">
        <v>1</v>
      </c>
      <c r="K1670" t="s">
        <v>3878</v>
      </c>
      <c r="L1670">
        <v>162.16</v>
      </c>
      <c r="M1670">
        <v>162.16</v>
      </c>
      <c r="N1670" t="s">
        <v>4276</v>
      </c>
      <c r="O1670" t="s">
        <v>464</v>
      </c>
    </row>
    <row r="1671" spans="1:15" x14ac:dyDescent="0.3">
      <c r="A1671">
        <v>226121</v>
      </c>
      <c r="B1671">
        <v>116</v>
      </c>
      <c r="C1671" t="s">
        <v>568</v>
      </c>
      <c r="D1671" t="s">
        <v>2269</v>
      </c>
      <c r="E1671" t="s">
        <v>2722</v>
      </c>
      <c r="F1671" s="452">
        <v>46125</v>
      </c>
      <c r="G1671">
        <v>29129</v>
      </c>
      <c r="H1671" t="s">
        <v>4176</v>
      </c>
      <c r="I1671" t="s">
        <v>3469</v>
      </c>
      <c r="J1671">
        <v>8</v>
      </c>
      <c r="K1671" t="s">
        <v>3872</v>
      </c>
      <c r="L1671">
        <v>91.76</v>
      </c>
      <c r="M1671">
        <v>11.47</v>
      </c>
      <c r="N1671" t="s">
        <v>4322</v>
      </c>
      <c r="O1671" t="s">
        <v>464</v>
      </c>
    </row>
    <row r="1672" spans="1:15" x14ac:dyDescent="0.3">
      <c r="A1672">
        <v>225861</v>
      </c>
      <c r="B1672">
        <v>116</v>
      </c>
      <c r="C1672" t="s">
        <v>568</v>
      </c>
      <c r="D1672" t="s">
        <v>2277</v>
      </c>
      <c r="E1672" t="s">
        <v>2723</v>
      </c>
      <c r="F1672" s="452">
        <v>46121</v>
      </c>
      <c r="G1672">
        <v>20358</v>
      </c>
      <c r="H1672" t="s">
        <v>3952</v>
      </c>
      <c r="I1672" t="s">
        <v>3469</v>
      </c>
      <c r="J1672">
        <v>2</v>
      </c>
      <c r="K1672" t="s">
        <v>4241</v>
      </c>
      <c r="L1672">
        <v>28.5</v>
      </c>
      <c r="M1672">
        <v>14.25</v>
      </c>
      <c r="N1672" t="s">
        <v>4240</v>
      </c>
      <c r="O1672" t="s">
        <v>464</v>
      </c>
    </row>
    <row r="1673" spans="1:15" x14ac:dyDescent="0.3">
      <c r="A1673">
        <v>225861</v>
      </c>
      <c r="B1673">
        <v>116</v>
      </c>
      <c r="C1673" t="s">
        <v>568</v>
      </c>
      <c r="D1673" t="s">
        <v>2277</v>
      </c>
      <c r="E1673" t="s">
        <v>2723</v>
      </c>
      <c r="F1673" s="452">
        <v>46121</v>
      </c>
      <c r="G1673">
        <v>20752</v>
      </c>
      <c r="H1673" t="s">
        <v>3964</v>
      </c>
      <c r="I1673" t="s">
        <v>3469</v>
      </c>
      <c r="J1673">
        <v>3</v>
      </c>
      <c r="K1673" t="s">
        <v>4241</v>
      </c>
      <c r="L1673">
        <v>301.62</v>
      </c>
      <c r="M1673">
        <v>100.54</v>
      </c>
      <c r="N1673" t="s">
        <v>4240</v>
      </c>
      <c r="O1673" t="s">
        <v>464</v>
      </c>
    </row>
    <row r="1674" spans="1:15" x14ac:dyDescent="0.3">
      <c r="A1674">
        <v>225861</v>
      </c>
      <c r="B1674">
        <v>116</v>
      </c>
      <c r="C1674" t="s">
        <v>568</v>
      </c>
      <c r="D1674" t="s">
        <v>2277</v>
      </c>
      <c r="E1674" t="s">
        <v>2723</v>
      </c>
      <c r="F1674" s="452">
        <v>46121</v>
      </c>
      <c r="G1674">
        <v>20729</v>
      </c>
      <c r="H1674" t="s">
        <v>3965</v>
      </c>
      <c r="I1674" t="s">
        <v>3469</v>
      </c>
      <c r="J1674">
        <v>2</v>
      </c>
      <c r="K1674" t="s">
        <v>3966</v>
      </c>
      <c r="L1674">
        <v>131.76</v>
      </c>
      <c r="M1674">
        <v>65.88</v>
      </c>
      <c r="N1674" t="s">
        <v>4240</v>
      </c>
      <c r="O1674" t="s">
        <v>464</v>
      </c>
    </row>
    <row r="1675" spans="1:15" x14ac:dyDescent="0.3">
      <c r="A1675">
        <v>225861</v>
      </c>
      <c r="B1675">
        <v>116</v>
      </c>
      <c r="C1675" t="s">
        <v>568</v>
      </c>
      <c r="D1675" t="s">
        <v>2277</v>
      </c>
      <c r="E1675" t="s">
        <v>2723</v>
      </c>
      <c r="F1675" s="452">
        <v>46121</v>
      </c>
      <c r="G1675">
        <v>20395</v>
      </c>
      <c r="H1675" t="s">
        <v>4057</v>
      </c>
      <c r="I1675" t="s">
        <v>3469</v>
      </c>
      <c r="J1675">
        <v>1</v>
      </c>
      <c r="K1675" t="s">
        <v>3872</v>
      </c>
      <c r="L1675">
        <v>29.43</v>
      </c>
      <c r="M1675">
        <v>29.43</v>
      </c>
      <c r="N1675" t="s">
        <v>4240</v>
      </c>
      <c r="O1675" t="s">
        <v>464</v>
      </c>
    </row>
    <row r="1676" spans="1:15" x14ac:dyDescent="0.3">
      <c r="A1676">
        <v>225861</v>
      </c>
      <c r="B1676">
        <v>116</v>
      </c>
      <c r="C1676" t="s">
        <v>568</v>
      </c>
      <c r="D1676" t="s">
        <v>2277</v>
      </c>
      <c r="E1676" t="s">
        <v>2723</v>
      </c>
      <c r="F1676" s="452">
        <v>46121</v>
      </c>
      <c r="G1676">
        <v>19916</v>
      </c>
      <c r="H1676" t="s">
        <v>4118</v>
      </c>
      <c r="I1676" t="s">
        <v>3469</v>
      </c>
      <c r="J1676">
        <v>1</v>
      </c>
      <c r="K1676" t="s">
        <v>3881</v>
      </c>
      <c r="L1676">
        <v>35.299999999999997</v>
      </c>
      <c r="M1676">
        <v>35.299999999999997</v>
      </c>
      <c r="N1676" t="s">
        <v>4240</v>
      </c>
      <c r="O1676" t="s">
        <v>464</v>
      </c>
    </row>
    <row r="1677" spans="1:15" x14ac:dyDescent="0.3">
      <c r="A1677">
        <v>225861</v>
      </c>
      <c r="B1677">
        <v>116</v>
      </c>
      <c r="C1677" t="s">
        <v>568</v>
      </c>
      <c r="D1677" t="s">
        <v>2277</v>
      </c>
      <c r="E1677" t="s">
        <v>2723</v>
      </c>
      <c r="F1677" s="452">
        <v>46121</v>
      </c>
      <c r="G1677">
        <v>20231</v>
      </c>
      <c r="H1677" t="s">
        <v>4123</v>
      </c>
      <c r="I1677" t="s">
        <v>3469</v>
      </c>
      <c r="J1677">
        <v>2</v>
      </c>
      <c r="K1677" t="s">
        <v>3888</v>
      </c>
      <c r="L1677">
        <v>32.4</v>
      </c>
      <c r="M1677">
        <v>16.2</v>
      </c>
      <c r="N1677" t="s">
        <v>4240</v>
      </c>
      <c r="O1677" t="s">
        <v>464</v>
      </c>
    </row>
    <row r="1678" spans="1:15" x14ac:dyDescent="0.3">
      <c r="A1678">
        <v>225861</v>
      </c>
      <c r="B1678">
        <v>116</v>
      </c>
      <c r="C1678" t="s">
        <v>568</v>
      </c>
      <c r="D1678" t="s">
        <v>2277</v>
      </c>
      <c r="E1678" t="s">
        <v>2723</v>
      </c>
      <c r="F1678" s="452">
        <v>46121</v>
      </c>
      <c r="G1678">
        <v>20682</v>
      </c>
      <c r="H1678" t="s">
        <v>3929</v>
      </c>
      <c r="I1678" t="s">
        <v>3469</v>
      </c>
      <c r="J1678">
        <v>12</v>
      </c>
      <c r="K1678" t="s">
        <v>3872</v>
      </c>
      <c r="L1678">
        <v>153.36000000000001</v>
      </c>
      <c r="M1678">
        <v>12.78</v>
      </c>
      <c r="N1678" t="s">
        <v>4240</v>
      </c>
      <c r="O1678" t="s">
        <v>464</v>
      </c>
    </row>
    <row r="1679" spans="1:15" x14ac:dyDescent="0.3">
      <c r="A1679">
        <v>225861</v>
      </c>
      <c r="B1679">
        <v>116</v>
      </c>
      <c r="C1679" t="s">
        <v>568</v>
      </c>
      <c r="D1679" t="s">
        <v>2277</v>
      </c>
      <c r="E1679" t="s">
        <v>2723</v>
      </c>
      <c r="F1679" s="452">
        <v>46121</v>
      </c>
      <c r="G1679">
        <v>20832</v>
      </c>
      <c r="H1679" t="s">
        <v>4060</v>
      </c>
      <c r="I1679" t="s">
        <v>3469</v>
      </c>
      <c r="J1679">
        <v>1</v>
      </c>
      <c r="K1679" t="s">
        <v>3886</v>
      </c>
      <c r="L1679">
        <v>39.880000000000003</v>
      </c>
      <c r="M1679">
        <v>39.880000000000003</v>
      </c>
      <c r="N1679" t="s">
        <v>4240</v>
      </c>
      <c r="O1679" t="s">
        <v>464</v>
      </c>
    </row>
    <row r="1680" spans="1:15" x14ac:dyDescent="0.3">
      <c r="A1680">
        <v>225861</v>
      </c>
      <c r="B1680">
        <v>116</v>
      </c>
      <c r="C1680" t="s">
        <v>568</v>
      </c>
      <c r="D1680" t="s">
        <v>2277</v>
      </c>
      <c r="E1680" t="s">
        <v>2723</v>
      </c>
      <c r="F1680" s="452">
        <v>46121</v>
      </c>
      <c r="G1680">
        <v>20809</v>
      </c>
      <c r="H1680" t="s">
        <v>4005</v>
      </c>
      <c r="I1680" t="s">
        <v>3469</v>
      </c>
      <c r="J1680">
        <v>3</v>
      </c>
      <c r="K1680" t="s">
        <v>4241</v>
      </c>
      <c r="L1680">
        <v>89.7</v>
      </c>
      <c r="M1680">
        <v>29.9</v>
      </c>
      <c r="N1680" t="s">
        <v>4240</v>
      </c>
      <c r="O1680" t="s">
        <v>464</v>
      </c>
    </row>
    <row r="1681" spans="1:15" x14ac:dyDescent="0.3">
      <c r="A1681">
        <v>225861</v>
      </c>
      <c r="B1681">
        <v>116</v>
      </c>
      <c r="C1681" t="s">
        <v>568</v>
      </c>
      <c r="D1681" t="s">
        <v>2277</v>
      </c>
      <c r="E1681" t="s">
        <v>2723</v>
      </c>
      <c r="F1681" s="452">
        <v>46121</v>
      </c>
      <c r="G1681">
        <v>21024</v>
      </c>
      <c r="H1681" t="s">
        <v>4180</v>
      </c>
      <c r="I1681" t="s">
        <v>3469</v>
      </c>
      <c r="J1681">
        <v>2</v>
      </c>
      <c r="K1681" t="s">
        <v>4241</v>
      </c>
      <c r="L1681">
        <v>375.52</v>
      </c>
      <c r="M1681">
        <v>187.76</v>
      </c>
      <c r="N1681" t="s">
        <v>4240</v>
      </c>
      <c r="O1681" t="s">
        <v>464</v>
      </c>
    </row>
    <row r="1682" spans="1:15" x14ac:dyDescent="0.3">
      <c r="A1682">
        <v>225860</v>
      </c>
      <c r="B1682">
        <v>116</v>
      </c>
      <c r="C1682" t="s">
        <v>568</v>
      </c>
      <c r="D1682" t="s">
        <v>2280</v>
      </c>
      <c r="E1682" t="s">
        <v>2724</v>
      </c>
      <c r="F1682" s="452">
        <v>46121</v>
      </c>
      <c r="G1682">
        <v>19751</v>
      </c>
      <c r="H1682" t="s">
        <v>4019</v>
      </c>
      <c r="I1682" t="s">
        <v>3469</v>
      </c>
      <c r="J1682">
        <v>2</v>
      </c>
      <c r="K1682" t="s">
        <v>3892</v>
      </c>
      <c r="L1682">
        <v>22.96</v>
      </c>
      <c r="M1682">
        <v>11.48</v>
      </c>
      <c r="N1682" t="s">
        <v>4240</v>
      </c>
      <c r="O1682" t="s">
        <v>464</v>
      </c>
    </row>
    <row r="1683" spans="1:15" x14ac:dyDescent="0.3">
      <c r="A1683">
        <v>225860</v>
      </c>
      <c r="B1683">
        <v>116</v>
      </c>
      <c r="C1683" t="s">
        <v>568</v>
      </c>
      <c r="D1683" t="s">
        <v>2280</v>
      </c>
      <c r="E1683" t="s">
        <v>2724</v>
      </c>
      <c r="F1683" s="452">
        <v>46121</v>
      </c>
      <c r="G1683">
        <v>23096</v>
      </c>
      <c r="H1683" t="s">
        <v>3876</v>
      </c>
      <c r="I1683" t="s">
        <v>3469</v>
      </c>
      <c r="J1683">
        <v>30</v>
      </c>
      <c r="K1683" t="s">
        <v>3872</v>
      </c>
      <c r="L1683">
        <v>23.1</v>
      </c>
      <c r="M1683">
        <v>0.77</v>
      </c>
      <c r="N1683" t="s">
        <v>4240</v>
      </c>
      <c r="O1683" t="s">
        <v>464</v>
      </c>
    </row>
    <row r="1684" spans="1:15" x14ac:dyDescent="0.3">
      <c r="A1684">
        <v>225860</v>
      </c>
      <c r="B1684">
        <v>116</v>
      </c>
      <c r="C1684" t="s">
        <v>568</v>
      </c>
      <c r="D1684" t="s">
        <v>2280</v>
      </c>
      <c r="E1684" t="s">
        <v>2724</v>
      </c>
      <c r="F1684" s="452">
        <v>46121</v>
      </c>
      <c r="G1684">
        <v>23361</v>
      </c>
      <c r="H1684" t="s">
        <v>4220</v>
      </c>
      <c r="I1684" t="s">
        <v>3469</v>
      </c>
      <c r="J1684">
        <v>20</v>
      </c>
      <c r="K1684" t="s">
        <v>3892</v>
      </c>
      <c r="L1684">
        <v>59.4</v>
      </c>
      <c r="M1684">
        <v>2.97</v>
      </c>
      <c r="N1684" t="s">
        <v>4240</v>
      </c>
      <c r="O1684" t="s">
        <v>464</v>
      </c>
    </row>
    <row r="1685" spans="1:15" x14ac:dyDescent="0.3">
      <c r="A1685">
        <v>225858</v>
      </c>
      <c r="B1685">
        <v>116</v>
      </c>
      <c r="C1685" t="s">
        <v>568</v>
      </c>
      <c r="D1685" t="s">
        <v>2410</v>
      </c>
      <c r="E1685" t="s">
        <v>2725</v>
      </c>
      <c r="F1685" s="452">
        <v>46119</v>
      </c>
      <c r="G1685">
        <v>18491</v>
      </c>
      <c r="H1685" t="s">
        <v>3934</v>
      </c>
      <c r="I1685" t="s">
        <v>3497</v>
      </c>
      <c r="J1685">
        <v>2</v>
      </c>
      <c r="K1685" t="s">
        <v>3878</v>
      </c>
      <c r="L1685">
        <v>67.8</v>
      </c>
      <c r="M1685">
        <v>33.9</v>
      </c>
      <c r="N1685" t="s">
        <v>3497</v>
      </c>
      <c r="O1685" t="s">
        <v>464</v>
      </c>
    </row>
    <row r="1686" spans="1:15" x14ac:dyDescent="0.3">
      <c r="A1686">
        <v>225858</v>
      </c>
      <c r="B1686">
        <v>116</v>
      </c>
      <c r="C1686" t="s">
        <v>568</v>
      </c>
      <c r="D1686" t="s">
        <v>2410</v>
      </c>
      <c r="E1686" t="s">
        <v>2725</v>
      </c>
      <c r="F1686" s="452">
        <v>46119</v>
      </c>
      <c r="G1686">
        <v>18475</v>
      </c>
      <c r="H1686" t="s">
        <v>3918</v>
      </c>
      <c r="I1686" t="s">
        <v>3497</v>
      </c>
      <c r="J1686">
        <v>12</v>
      </c>
      <c r="K1686" t="s">
        <v>3878</v>
      </c>
      <c r="L1686">
        <v>394.8</v>
      </c>
      <c r="M1686">
        <v>32.9</v>
      </c>
      <c r="N1686" t="s">
        <v>3497</v>
      </c>
      <c r="O1686" t="s">
        <v>464</v>
      </c>
    </row>
    <row r="1687" spans="1:15" x14ac:dyDescent="0.3">
      <c r="A1687">
        <v>225855</v>
      </c>
      <c r="B1687">
        <v>116</v>
      </c>
      <c r="C1687" t="s">
        <v>568</v>
      </c>
      <c r="D1687" t="s">
        <v>2308</v>
      </c>
      <c r="E1687" t="s">
        <v>2726</v>
      </c>
      <c r="F1687" s="452">
        <v>46120</v>
      </c>
      <c r="G1687">
        <v>27312</v>
      </c>
      <c r="H1687" t="s">
        <v>3927</v>
      </c>
      <c r="I1687" t="s">
        <v>3469</v>
      </c>
      <c r="J1687">
        <v>15.4</v>
      </c>
      <c r="K1687" t="s">
        <v>3892</v>
      </c>
      <c r="L1687">
        <v>768.46</v>
      </c>
      <c r="M1687">
        <v>49.9</v>
      </c>
      <c r="N1687" t="s">
        <v>4240</v>
      </c>
      <c r="O1687" t="s">
        <v>464</v>
      </c>
    </row>
    <row r="1688" spans="1:15" x14ac:dyDescent="0.3">
      <c r="A1688">
        <v>225853</v>
      </c>
      <c r="B1688">
        <v>116</v>
      </c>
      <c r="C1688" t="s">
        <v>568</v>
      </c>
      <c r="D1688" t="s">
        <v>2308</v>
      </c>
      <c r="E1688" t="s">
        <v>2727</v>
      </c>
      <c r="F1688" s="452">
        <v>46119</v>
      </c>
      <c r="G1688">
        <v>28760</v>
      </c>
      <c r="H1688" t="s">
        <v>4188</v>
      </c>
      <c r="I1688" t="s">
        <v>3469</v>
      </c>
      <c r="J1688">
        <v>10.199999999999999</v>
      </c>
      <c r="K1688" t="s">
        <v>3892</v>
      </c>
      <c r="L1688">
        <v>622.20000000000005</v>
      </c>
      <c r="M1688">
        <v>61</v>
      </c>
      <c r="N1688" t="s">
        <v>4240</v>
      </c>
      <c r="O1688" t="s">
        <v>464</v>
      </c>
    </row>
    <row r="1689" spans="1:15" x14ac:dyDescent="0.3">
      <c r="A1689">
        <v>225850</v>
      </c>
      <c r="B1689">
        <v>116</v>
      </c>
      <c r="C1689" t="s">
        <v>568</v>
      </c>
      <c r="D1689" t="s">
        <v>2338</v>
      </c>
      <c r="E1689" t="s">
        <v>2728</v>
      </c>
      <c r="F1689" s="452">
        <v>46120</v>
      </c>
      <c r="G1689">
        <v>20301</v>
      </c>
      <c r="H1689" t="s">
        <v>4161</v>
      </c>
      <c r="I1689" t="s">
        <v>3469</v>
      </c>
      <c r="J1689">
        <v>6</v>
      </c>
      <c r="K1689" t="s">
        <v>3888</v>
      </c>
      <c r="L1689">
        <v>126</v>
      </c>
      <c r="M1689">
        <v>21</v>
      </c>
      <c r="N1689" t="s">
        <v>4240</v>
      </c>
      <c r="O1689" t="s">
        <v>464</v>
      </c>
    </row>
    <row r="1690" spans="1:15" x14ac:dyDescent="0.3">
      <c r="A1690">
        <v>225850</v>
      </c>
      <c r="B1690">
        <v>116</v>
      </c>
      <c r="C1690" t="s">
        <v>568</v>
      </c>
      <c r="D1690" t="s">
        <v>2338</v>
      </c>
      <c r="E1690" t="s">
        <v>2728</v>
      </c>
      <c r="F1690" s="452">
        <v>46120</v>
      </c>
      <c r="G1690">
        <v>20984</v>
      </c>
      <c r="H1690" t="s">
        <v>4235</v>
      </c>
      <c r="I1690" t="s">
        <v>3469</v>
      </c>
      <c r="J1690">
        <v>48</v>
      </c>
      <c r="K1690" t="s">
        <v>3931</v>
      </c>
      <c r="L1690">
        <v>391.2</v>
      </c>
      <c r="M1690">
        <v>8.15</v>
      </c>
      <c r="N1690" t="s">
        <v>4240</v>
      </c>
      <c r="O1690" t="s">
        <v>464</v>
      </c>
    </row>
    <row r="1691" spans="1:15" x14ac:dyDescent="0.3">
      <c r="A1691">
        <v>225848</v>
      </c>
      <c r="B1691">
        <v>116</v>
      </c>
      <c r="C1691" t="s">
        <v>568</v>
      </c>
      <c r="D1691" t="s">
        <v>2314</v>
      </c>
      <c r="E1691" t="s">
        <v>2729</v>
      </c>
      <c r="F1691" s="452">
        <v>46118</v>
      </c>
      <c r="G1691">
        <v>18586</v>
      </c>
      <c r="H1691" t="s">
        <v>4107</v>
      </c>
      <c r="I1691" t="s">
        <v>3497</v>
      </c>
      <c r="J1691">
        <v>1</v>
      </c>
      <c r="K1691" t="s">
        <v>3888</v>
      </c>
      <c r="L1691">
        <v>132.07</v>
      </c>
      <c r="M1691">
        <v>132.07</v>
      </c>
      <c r="N1691" t="s">
        <v>3497</v>
      </c>
      <c r="O1691" t="s">
        <v>464</v>
      </c>
    </row>
    <row r="1692" spans="1:15" x14ac:dyDescent="0.3">
      <c r="A1692">
        <v>225846</v>
      </c>
      <c r="B1692">
        <v>116</v>
      </c>
      <c r="C1692" t="s">
        <v>568</v>
      </c>
      <c r="D1692" t="s">
        <v>2314</v>
      </c>
      <c r="E1692" t="s">
        <v>2730</v>
      </c>
      <c r="F1692" s="452">
        <v>46119</v>
      </c>
      <c r="G1692">
        <v>18636</v>
      </c>
      <c r="H1692" t="s">
        <v>3921</v>
      </c>
      <c r="I1692" t="s">
        <v>3497</v>
      </c>
      <c r="J1692">
        <v>6</v>
      </c>
      <c r="K1692" t="s">
        <v>3922</v>
      </c>
      <c r="L1692">
        <v>2896.8</v>
      </c>
      <c r="M1692">
        <v>482.8</v>
      </c>
      <c r="N1692" t="s">
        <v>3497</v>
      </c>
      <c r="O1692" t="s">
        <v>464</v>
      </c>
    </row>
    <row r="1693" spans="1:15" x14ac:dyDescent="0.3">
      <c r="A1693">
        <v>225846</v>
      </c>
      <c r="B1693">
        <v>116</v>
      </c>
      <c r="C1693" t="s">
        <v>568</v>
      </c>
      <c r="D1693" t="s">
        <v>2314</v>
      </c>
      <c r="E1693" t="s">
        <v>2730</v>
      </c>
      <c r="F1693" s="452">
        <v>46119</v>
      </c>
      <c r="G1693">
        <v>17895</v>
      </c>
      <c r="H1693" t="s">
        <v>4137</v>
      </c>
      <c r="I1693" t="s">
        <v>3497</v>
      </c>
      <c r="J1693">
        <v>10</v>
      </c>
      <c r="K1693" t="s">
        <v>3888</v>
      </c>
      <c r="L1693">
        <v>283.2</v>
      </c>
      <c r="M1693">
        <v>28.32</v>
      </c>
      <c r="N1693" t="s">
        <v>3497</v>
      </c>
      <c r="O1693" t="s">
        <v>464</v>
      </c>
    </row>
    <row r="1694" spans="1:15" x14ac:dyDescent="0.3">
      <c r="A1694">
        <v>225846</v>
      </c>
      <c r="B1694">
        <v>116</v>
      </c>
      <c r="C1694" t="s">
        <v>568</v>
      </c>
      <c r="D1694" t="s">
        <v>2314</v>
      </c>
      <c r="E1694" t="s">
        <v>2730</v>
      </c>
      <c r="F1694" s="452">
        <v>46119</v>
      </c>
      <c r="G1694">
        <v>18640</v>
      </c>
      <c r="H1694" t="s">
        <v>3994</v>
      </c>
      <c r="I1694" t="s">
        <v>3497</v>
      </c>
      <c r="J1694">
        <v>1</v>
      </c>
      <c r="K1694" t="s">
        <v>3922</v>
      </c>
      <c r="L1694">
        <v>306</v>
      </c>
      <c r="M1694">
        <v>306</v>
      </c>
      <c r="N1694" t="s">
        <v>3497</v>
      </c>
      <c r="O1694" t="s">
        <v>464</v>
      </c>
    </row>
    <row r="1695" spans="1:15" x14ac:dyDescent="0.3">
      <c r="A1695">
        <v>225846</v>
      </c>
      <c r="B1695">
        <v>116</v>
      </c>
      <c r="C1695" t="s">
        <v>568</v>
      </c>
      <c r="D1695" t="s">
        <v>2314</v>
      </c>
      <c r="E1695" t="s">
        <v>2730</v>
      </c>
      <c r="F1695" s="452">
        <v>46119</v>
      </c>
      <c r="G1695">
        <v>17903</v>
      </c>
      <c r="H1695" t="s">
        <v>3971</v>
      </c>
      <c r="I1695" t="s">
        <v>3497</v>
      </c>
      <c r="J1695">
        <v>10</v>
      </c>
      <c r="K1695" t="s">
        <v>3888</v>
      </c>
      <c r="L1695">
        <v>255.3</v>
      </c>
      <c r="M1695">
        <v>25.53</v>
      </c>
      <c r="N1695" t="s">
        <v>3497</v>
      </c>
      <c r="O1695" t="s">
        <v>464</v>
      </c>
    </row>
    <row r="1696" spans="1:15" x14ac:dyDescent="0.3">
      <c r="A1696">
        <v>225841</v>
      </c>
      <c r="B1696">
        <v>116</v>
      </c>
      <c r="C1696" t="s">
        <v>568</v>
      </c>
      <c r="D1696" t="s">
        <v>2314</v>
      </c>
      <c r="E1696" t="s">
        <v>2731</v>
      </c>
      <c r="F1696" s="452">
        <v>46118</v>
      </c>
      <c r="G1696">
        <v>17895</v>
      </c>
      <c r="H1696" t="s">
        <v>4137</v>
      </c>
      <c r="I1696" t="s">
        <v>3497</v>
      </c>
      <c r="J1696">
        <v>10</v>
      </c>
      <c r="K1696" t="s">
        <v>3888</v>
      </c>
      <c r="L1696">
        <v>283.2</v>
      </c>
      <c r="M1696">
        <v>28.32</v>
      </c>
      <c r="N1696" t="s">
        <v>3497</v>
      </c>
      <c r="O1696" t="s">
        <v>464</v>
      </c>
    </row>
    <row r="1697" spans="1:15" x14ac:dyDescent="0.3">
      <c r="A1697">
        <v>225841</v>
      </c>
      <c r="B1697">
        <v>116</v>
      </c>
      <c r="C1697" t="s">
        <v>568</v>
      </c>
      <c r="D1697" t="s">
        <v>2314</v>
      </c>
      <c r="E1697" t="s">
        <v>2731</v>
      </c>
      <c r="F1697" s="452">
        <v>46118</v>
      </c>
      <c r="G1697">
        <v>17903</v>
      </c>
      <c r="H1697" t="s">
        <v>3971</v>
      </c>
      <c r="I1697" t="s">
        <v>3497</v>
      </c>
      <c r="J1697">
        <v>6</v>
      </c>
      <c r="K1697" t="s">
        <v>3888</v>
      </c>
      <c r="L1697">
        <v>153.18</v>
      </c>
      <c r="M1697">
        <v>25.53</v>
      </c>
      <c r="N1697" t="s">
        <v>3497</v>
      </c>
      <c r="O1697" t="s">
        <v>464</v>
      </c>
    </row>
    <row r="1698" spans="1:15" x14ac:dyDescent="0.3">
      <c r="A1698">
        <v>225838</v>
      </c>
      <c r="B1698">
        <v>116</v>
      </c>
      <c r="C1698" t="s">
        <v>568</v>
      </c>
      <c r="D1698" t="s">
        <v>2314</v>
      </c>
      <c r="E1698" t="s">
        <v>2732</v>
      </c>
      <c r="F1698" s="452">
        <v>46118</v>
      </c>
      <c r="G1698">
        <v>18636</v>
      </c>
      <c r="H1698" t="s">
        <v>3921</v>
      </c>
      <c r="I1698" t="s">
        <v>3497</v>
      </c>
      <c r="J1698">
        <v>6</v>
      </c>
      <c r="K1698" t="s">
        <v>3922</v>
      </c>
      <c r="L1698">
        <v>2896.8</v>
      </c>
      <c r="M1698">
        <v>482.8</v>
      </c>
      <c r="N1698" t="s">
        <v>3497</v>
      </c>
      <c r="O1698" t="s">
        <v>464</v>
      </c>
    </row>
    <row r="1699" spans="1:15" x14ac:dyDescent="0.3">
      <c r="A1699">
        <v>225838</v>
      </c>
      <c r="B1699">
        <v>116</v>
      </c>
      <c r="C1699" t="s">
        <v>568</v>
      </c>
      <c r="D1699" t="s">
        <v>2314</v>
      </c>
      <c r="E1699" t="s">
        <v>2732</v>
      </c>
      <c r="F1699" s="452">
        <v>46118</v>
      </c>
      <c r="G1699">
        <v>17895</v>
      </c>
      <c r="H1699" t="s">
        <v>4137</v>
      </c>
      <c r="I1699" t="s">
        <v>3497</v>
      </c>
      <c r="J1699">
        <v>10</v>
      </c>
      <c r="K1699" t="s">
        <v>3888</v>
      </c>
      <c r="L1699">
        <v>283.2</v>
      </c>
      <c r="M1699">
        <v>28.32</v>
      </c>
      <c r="N1699" t="s">
        <v>3497</v>
      </c>
      <c r="O1699" t="s">
        <v>464</v>
      </c>
    </row>
    <row r="1700" spans="1:15" x14ac:dyDescent="0.3">
      <c r="A1700">
        <v>225838</v>
      </c>
      <c r="B1700">
        <v>116</v>
      </c>
      <c r="C1700" t="s">
        <v>568</v>
      </c>
      <c r="D1700" t="s">
        <v>2314</v>
      </c>
      <c r="E1700" t="s">
        <v>2732</v>
      </c>
      <c r="F1700" s="452">
        <v>46118</v>
      </c>
      <c r="G1700">
        <v>17903</v>
      </c>
      <c r="H1700" t="s">
        <v>3971</v>
      </c>
      <c r="I1700" t="s">
        <v>3497</v>
      </c>
      <c r="J1700">
        <v>10</v>
      </c>
      <c r="K1700" t="s">
        <v>3888</v>
      </c>
      <c r="L1700">
        <v>255.3</v>
      </c>
      <c r="M1700">
        <v>25.53</v>
      </c>
      <c r="N1700" t="s">
        <v>3497</v>
      </c>
      <c r="O1700" t="s">
        <v>464</v>
      </c>
    </row>
    <row r="1701" spans="1:15" x14ac:dyDescent="0.3">
      <c r="A1701">
        <v>225838</v>
      </c>
      <c r="B1701">
        <v>116</v>
      </c>
      <c r="C1701" t="s">
        <v>568</v>
      </c>
      <c r="D1701" t="s">
        <v>2314</v>
      </c>
      <c r="E1701" t="s">
        <v>2732</v>
      </c>
      <c r="F1701" s="452">
        <v>46118</v>
      </c>
      <c r="G1701">
        <v>18594</v>
      </c>
      <c r="H1701" t="s">
        <v>4147</v>
      </c>
      <c r="I1701" t="s">
        <v>3497</v>
      </c>
      <c r="J1701">
        <v>1</v>
      </c>
      <c r="K1701" t="s">
        <v>3888</v>
      </c>
      <c r="L1701">
        <v>82.76</v>
      </c>
      <c r="M1701">
        <v>82.76</v>
      </c>
      <c r="N1701" t="s">
        <v>3497</v>
      </c>
      <c r="O1701" t="s">
        <v>464</v>
      </c>
    </row>
    <row r="1702" spans="1:15" x14ac:dyDescent="0.3">
      <c r="A1702">
        <v>225834</v>
      </c>
      <c r="B1702">
        <v>116</v>
      </c>
      <c r="C1702" t="s">
        <v>568</v>
      </c>
      <c r="D1702" t="s">
        <v>2275</v>
      </c>
      <c r="E1702" t="s">
        <v>2733</v>
      </c>
      <c r="F1702" s="452">
        <v>46118</v>
      </c>
      <c r="G1702">
        <v>17969</v>
      </c>
      <c r="H1702" t="s">
        <v>4175</v>
      </c>
      <c r="I1702" t="s">
        <v>3497</v>
      </c>
      <c r="J1702">
        <v>10</v>
      </c>
      <c r="K1702" t="s">
        <v>3888</v>
      </c>
      <c r="L1702">
        <v>227</v>
      </c>
      <c r="M1702">
        <v>22.7</v>
      </c>
      <c r="N1702" t="s">
        <v>4276</v>
      </c>
      <c r="O1702" t="s">
        <v>464</v>
      </c>
    </row>
    <row r="1703" spans="1:15" x14ac:dyDescent="0.3">
      <c r="A1703">
        <v>225834</v>
      </c>
      <c r="B1703">
        <v>116</v>
      </c>
      <c r="C1703" t="s">
        <v>568</v>
      </c>
      <c r="D1703" t="s">
        <v>2275</v>
      </c>
      <c r="E1703" t="s">
        <v>2733</v>
      </c>
      <c r="F1703" s="452">
        <v>46118</v>
      </c>
      <c r="G1703">
        <v>24006</v>
      </c>
      <c r="H1703" t="s">
        <v>4177</v>
      </c>
      <c r="I1703" t="s">
        <v>3497</v>
      </c>
      <c r="J1703">
        <v>10</v>
      </c>
      <c r="K1703" t="s">
        <v>3888</v>
      </c>
      <c r="L1703">
        <v>239</v>
      </c>
      <c r="M1703">
        <v>23.9</v>
      </c>
      <c r="N1703" t="s">
        <v>4276</v>
      </c>
      <c r="O1703" t="s">
        <v>464</v>
      </c>
    </row>
    <row r="1704" spans="1:15" x14ac:dyDescent="0.3">
      <c r="A1704">
        <v>225831</v>
      </c>
      <c r="B1704">
        <v>116</v>
      </c>
      <c r="C1704" t="s">
        <v>568</v>
      </c>
      <c r="D1704" t="s">
        <v>2273</v>
      </c>
      <c r="E1704" t="s">
        <v>2734</v>
      </c>
      <c r="F1704" s="452">
        <v>46119</v>
      </c>
      <c r="G1704">
        <v>19642</v>
      </c>
      <c r="H1704" t="s">
        <v>4067</v>
      </c>
      <c r="I1704" t="s">
        <v>3469</v>
      </c>
      <c r="J1704">
        <v>1.25</v>
      </c>
      <c r="K1704" t="s">
        <v>3892</v>
      </c>
      <c r="L1704">
        <v>7.7</v>
      </c>
      <c r="M1704">
        <v>6.16</v>
      </c>
      <c r="N1704" t="s">
        <v>4240</v>
      </c>
      <c r="O1704" t="s">
        <v>464</v>
      </c>
    </row>
    <row r="1705" spans="1:15" x14ac:dyDescent="0.3">
      <c r="A1705">
        <v>225831</v>
      </c>
      <c r="B1705">
        <v>116</v>
      </c>
      <c r="C1705" t="s">
        <v>568</v>
      </c>
      <c r="D1705" t="s">
        <v>2273</v>
      </c>
      <c r="E1705" t="s">
        <v>2734</v>
      </c>
      <c r="F1705" s="452">
        <v>46119</v>
      </c>
      <c r="G1705">
        <v>23171</v>
      </c>
      <c r="H1705" t="s">
        <v>4132</v>
      </c>
      <c r="I1705" t="s">
        <v>3469</v>
      </c>
      <c r="J1705">
        <v>3.15</v>
      </c>
      <c r="K1705" t="s">
        <v>3892</v>
      </c>
      <c r="L1705">
        <v>33.479999999999997</v>
      </c>
      <c r="M1705">
        <v>10.628571000000001</v>
      </c>
      <c r="N1705" t="s">
        <v>4240</v>
      </c>
      <c r="O1705" t="s">
        <v>464</v>
      </c>
    </row>
    <row r="1706" spans="1:15" x14ac:dyDescent="0.3">
      <c r="A1706">
        <v>225831</v>
      </c>
      <c r="B1706">
        <v>116</v>
      </c>
      <c r="C1706" t="s">
        <v>568</v>
      </c>
      <c r="D1706" t="s">
        <v>2273</v>
      </c>
      <c r="E1706" t="s">
        <v>2734</v>
      </c>
      <c r="F1706" s="452">
        <v>46119</v>
      </c>
      <c r="G1706">
        <v>19742</v>
      </c>
      <c r="H1706" t="s">
        <v>4074</v>
      </c>
      <c r="I1706" t="s">
        <v>3469</v>
      </c>
      <c r="J1706">
        <v>2.4</v>
      </c>
      <c r="K1706" t="s">
        <v>3892</v>
      </c>
      <c r="L1706">
        <v>22.44</v>
      </c>
      <c r="M1706">
        <v>9.35</v>
      </c>
      <c r="N1706" t="s">
        <v>4240</v>
      </c>
      <c r="O1706" t="s">
        <v>464</v>
      </c>
    </row>
    <row r="1707" spans="1:15" x14ac:dyDescent="0.3">
      <c r="A1707">
        <v>225831</v>
      </c>
      <c r="B1707">
        <v>116</v>
      </c>
      <c r="C1707" t="s">
        <v>568</v>
      </c>
      <c r="D1707" t="s">
        <v>2273</v>
      </c>
      <c r="E1707" t="s">
        <v>2734</v>
      </c>
      <c r="F1707" s="452">
        <v>46119</v>
      </c>
      <c r="G1707">
        <v>19740</v>
      </c>
      <c r="H1707" t="s">
        <v>3933</v>
      </c>
      <c r="I1707" t="s">
        <v>3469</v>
      </c>
      <c r="J1707">
        <v>4.3</v>
      </c>
      <c r="K1707" t="s">
        <v>3892</v>
      </c>
      <c r="L1707">
        <v>34.270000000000003</v>
      </c>
      <c r="M1707">
        <v>7.969767</v>
      </c>
      <c r="N1707" t="s">
        <v>4240</v>
      </c>
      <c r="O1707" t="s">
        <v>464</v>
      </c>
    </row>
    <row r="1708" spans="1:15" x14ac:dyDescent="0.3">
      <c r="A1708">
        <v>225831</v>
      </c>
      <c r="B1708">
        <v>116</v>
      </c>
      <c r="C1708" t="s">
        <v>568</v>
      </c>
      <c r="D1708" t="s">
        <v>2273</v>
      </c>
      <c r="E1708" t="s">
        <v>2734</v>
      </c>
      <c r="F1708" s="452">
        <v>46119</v>
      </c>
      <c r="G1708">
        <v>17066</v>
      </c>
      <c r="H1708" t="s">
        <v>4155</v>
      </c>
      <c r="I1708" t="s">
        <v>3469</v>
      </c>
      <c r="J1708">
        <v>1</v>
      </c>
      <c r="K1708" t="s">
        <v>3892</v>
      </c>
      <c r="L1708">
        <v>22.33</v>
      </c>
      <c r="M1708">
        <v>22.33</v>
      </c>
      <c r="N1708" t="s">
        <v>4240</v>
      </c>
      <c r="O1708" t="s">
        <v>464</v>
      </c>
    </row>
    <row r="1709" spans="1:15" x14ac:dyDescent="0.3">
      <c r="A1709">
        <v>225831</v>
      </c>
      <c r="B1709">
        <v>116</v>
      </c>
      <c r="C1709" t="s">
        <v>568</v>
      </c>
      <c r="D1709" t="s">
        <v>2273</v>
      </c>
      <c r="E1709" t="s">
        <v>2734</v>
      </c>
      <c r="F1709" s="452">
        <v>46119</v>
      </c>
      <c r="G1709">
        <v>23113</v>
      </c>
      <c r="H1709" t="s">
        <v>4079</v>
      </c>
      <c r="I1709" t="s">
        <v>3469</v>
      </c>
      <c r="J1709">
        <v>1.7</v>
      </c>
      <c r="K1709" t="s">
        <v>3892</v>
      </c>
      <c r="L1709">
        <v>21.95</v>
      </c>
      <c r="M1709">
        <v>12.911765000000001</v>
      </c>
      <c r="N1709" t="s">
        <v>4240</v>
      </c>
      <c r="O1709" t="s">
        <v>464</v>
      </c>
    </row>
    <row r="1710" spans="1:15" x14ac:dyDescent="0.3">
      <c r="A1710">
        <v>225831</v>
      </c>
      <c r="B1710">
        <v>116</v>
      </c>
      <c r="C1710" t="s">
        <v>568</v>
      </c>
      <c r="D1710" t="s">
        <v>2273</v>
      </c>
      <c r="E1710" t="s">
        <v>2734</v>
      </c>
      <c r="F1710" s="452">
        <v>46119</v>
      </c>
      <c r="G1710">
        <v>24083</v>
      </c>
      <c r="H1710" t="s">
        <v>3898</v>
      </c>
      <c r="I1710" t="s">
        <v>3469</v>
      </c>
      <c r="J1710">
        <v>15</v>
      </c>
      <c r="K1710" t="s">
        <v>3892</v>
      </c>
      <c r="L1710">
        <v>81.599999999999994</v>
      </c>
      <c r="M1710">
        <v>5.44</v>
      </c>
      <c r="N1710" t="s">
        <v>4240</v>
      </c>
      <c r="O1710" t="s">
        <v>464</v>
      </c>
    </row>
    <row r="1711" spans="1:15" x14ac:dyDescent="0.3">
      <c r="A1711">
        <v>225831</v>
      </c>
      <c r="B1711">
        <v>116</v>
      </c>
      <c r="C1711" t="s">
        <v>568</v>
      </c>
      <c r="D1711" t="s">
        <v>2273</v>
      </c>
      <c r="E1711" t="s">
        <v>2734</v>
      </c>
      <c r="F1711" s="452">
        <v>46119</v>
      </c>
      <c r="G1711">
        <v>19539</v>
      </c>
      <c r="H1711" t="s">
        <v>4133</v>
      </c>
      <c r="I1711" t="s">
        <v>3469</v>
      </c>
      <c r="J1711">
        <v>18</v>
      </c>
      <c r="K1711" t="s">
        <v>3892</v>
      </c>
      <c r="L1711">
        <v>174.42</v>
      </c>
      <c r="M1711">
        <v>9.69</v>
      </c>
      <c r="N1711" t="s">
        <v>4240</v>
      </c>
      <c r="O1711" t="s">
        <v>464</v>
      </c>
    </row>
    <row r="1712" spans="1:15" x14ac:dyDescent="0.3">
      <c r="A1712">
        <v>225831</v>
      </c>
      <c r="B1712">
        <v>116</v>
      </c>
      <c r="C1712" t="s">
        <v>568</v>
      </c>
      <c r="D1712" t="s">
        <v>2273</v>
      </c>
      <c r="E1712" t="s">
        <v>2734</v>
      </c>
      <c r="F1712" s="452">
        <v>46119</v>
      </c>
      <c r="G1712">
        <v>19689</v>
      </c>
      <c r="H1712" t="s">
        <v>4073</v>
      </c>
      <c r="I1712" t="s">
        <v>3469</v>
      </c>
      <c r="J1712">
        <v>2.2999999999999998</v>
      </c>
      <c r="K1712" t="s">
        <v>3892</v>
      </c>
      <c r="L1712">
        <v>16.170000000000002</v>
      </c>
      <c r="M1712">
        <v>7.0304349999999998</v>
      </c>
      <c r="N1712" t="s">
        <v>4240</v>
      </c>
      <c r="O1712" t="s">
        <v>464</v>
      </c>
    </row>
    <row r="1713" spans="1:15" x14ac:dyDescent="0.3">
      <c r="A1713">
        <v>225831</v>
      </c>
      <c r="B1713">
        <v>116</v>
      </c>
      <c r="C1713" t="s">
        <v>568</v>
      </c>
      <c r="D1713" t="s">
        <v>2273</v>
      </c>
      <c r="E1713" t="s">
        <v>2734</v>
      </c>
      <c r="F1713" s="452">
        <v>46119</v>
      </c>
      <c r="G1713">
        <v>19787</v>
      </c>
      <c r="H1713" t="s">
        <v>3940</v>
      </c>
      <c r="I1713" t="s">
        <v>3469</v>
      </c>
      <c r="J1713">
        <v>3.9</v>
      </c>
      <c r="K1713" t="s">
        <v>3892</v>
      </c>
      <c r="L1713">
        <v>23.48</v>
      </c>
      <c r="M1713">
        <v>6.0205130000000002</v>
      </c>
      <c r="N1713" t="s">
        <v>4240</v>
      </c>
      <c r="O1713" t="s">
        <v>464</v>
      </c>
    </row>
    <row r="1714" spans="1:15" x14ac:dyDescent="0.3">
      <c r="A1714">
        <v>225831</v>
      </c>
      <c r="B1714">
        <v>116</v>
      </c>
      <c r="C1714" t="s">
        <v>568</v>
      </c>
      <c r="D1714" t="s">
        <v>2273</v>
      </c>
      <c r="E1714" t="s">
        <v>2734</v>
      </c>
      <c r="F1714" s="452">
        <v>46119</v>
      </c>
      <c r="G1714">
        <v>19672</v>
      </c>
      <c r="H1714" t="s">
        <v>4024</v>
      </c>
      <c r="I1714" t="s">
        <v>3469</v>
      </c>
      <c r="J1714">
        <v>2.2999999999999998</v>
      </c>
      <c r="K1714" t="s">
        <v>3892</v>
      </c>
      <c r="L1714">
        <v>30.02</v>
      </c>
      <c r="M1714">
        <v>13.052174000000001</v>
      </c>
      <c r="N1714" t="s">
        <v>4240</v>
      </c>
      <c r="O1714" t="s">
        <v>464</v>
      </c>
    </row>
    <row r="1715" spans="1:15" x14ac:dyDescent="0.3">
      <c r="A1715">
        <v>225830</v>
      </c>
      <c r="B1715">
        <v>116</v>
      </c>
      <c r="C1715" t="s">
        <v>568</v>
      </c>
      <c r="D1715" t="s">
        <v>2273</v>
      </c>
      <c r="E1715" t="s">
        <v>2735</v>
      </c>
      <c r="F1715" s="452">
        <v>46121</v>
      </c>
      <c r="G1715">
        <v>24484</v>
      </c>
      <c r="H1715" t="s">
        <v>4154</v>
      </c>
      <c r="I1715" t="s">
        <v>3469</v>
      </c>
      <c r="J1715">
        <v>0.5</v>
      </c>
      <c r="K1715" t="s">
        <v>3892</v>
      </c>
      <c r="L1715">
        <v>6.53</v>
      </c>
      <c r="M1715">
        <v>13.06</v>
      </c>
      <c r="N1715" t="s">
        <v>3469</v>
      </c>
      <c r="O1715" t="s">
        <v>464</v>
      </c>
    </row>
    <row r="1716" spans="1:15" x14ac:dyDescent="0.3">
      <c r="A1716">
        <v>225830</v>
      </c>
      <c r="B1716">
        <v>116</v>
      </c>
      <c r="C1716" t="s">
        <v>568</v>
      </c>
      <c r="D1716" t="s">
        <v>2273</v>
      </c>
      <c r="E1716" t="s">
        <v>2735</v>
      </c>
      <c r="F1716" s="452">
        <v>46121</v>
      </c>
      <c r="G1716">
        <v>19642</v>
      </c>
      <c r="H1716" t="s">
        <v>4067</v>
      </c>
      <c r="I1716" t="s">
        <v>3469</v>
      </c>
      <c r="J1716">
        <v>1</v>
      </c>
      <c r="K1716" t="s">
        <v>3892</v>
      </c>
      <c r="L1716">
        <v>6.16</v>
      </c>
      <c r="M1716">
        <v>6.16</v>
      </c>
      <c r="N1716" t="s">
        <v>3469</v>
      </c>
      <c r="O1716" t="s">
        <v>464</v>
      </c>
    </row>
    <row r="1717" spans="1:15" x14ac:dyDescent="0.3">
      <c r="A1717">
        <v>225830</v>
      </c>
      <c r="B1717">
        <v>116</v>
      </c>
      <c r="C1717" t="s">
        <v>568</v>
      </c>
      <c r="D1717" t="s">
        <v>2273</v>
      </c>
      <c r="E1717" t="s">
        <v>2735</v>
      </c>
      <c r="F1717" s="452">
        <v>46121</v>
      </c>
      <c r="G1717">
        <v>19572</v>
      </c>
      <c r="H1717" t="s">
        <v>4023</v>
      </c>
      <c r="I1717" t="s">
        <v>3469</v>
      </c>
      <c r="J1717">
        <v>1</v>
      </c>
      <c r="K1717" t="s">
        <v>3892</v>
      </c>
      <c r="L1717">
        <v>12.32</v>
      </c>
      <c r="M1717">
        <v>12.32</v>
      </c>
      <c r="N1717" t="s">
        <v>3469</v>
      </c>
      <c r="O1717" t="s">
        <v>464</v>
      </c>
    </row>
    <row r="1718" spans="1:15" x14ac:dyDescent="0.3">
      <c r="A1718">
        <v>225830</v>
      </c>
      <c r="B1718">
        <v>116</v>
      </c>
      <c r="C1718" t="s">
        <v>568</v>
      </c>
      <c r="D1718" t="s">
        <v>2273</v>
      </c>
      <c r="E1718" t="s">
        <v>2735</v>
      </c>
      <c r="F1718" s="452">
        <v>46121</v>
      </c>
      <c r="G1718">
        <v>23120</v>
      </c>
      <c r="H1718" t="s">
        <v>4111</v>
      </c>
      <c r="I1718" t="s">
        <v>3469</v>
      </c>
      <c r="J1718">
        <v>0.34</v>
      </c>
      <c r="K1718" t="s">
        <v>3892</v>
      </c>
      <c r="L1718">
        <v>23.17</v>
      </c>
      <c r="M1718">
        <v>68.147058999999999</v>
      </c>
      <c r="N1718" t="s">
        <v>3469</v>
      </c>
      <c r="O1718" t="s">
        <v>464</v>
      </c>
    </row>
    <row r="1719" spans="1:15" x14ac:dyDescent="0.3">
      <c r="A1719">
        <v>225830</v>
      </c>
      <c r="B1719">
        <v>116</v>
      </c>
      <c r="C1719" t="s">
        <v>568</v>
      </c>
      <c r="D1719" t="s">
        <v>2273</v>
      </c>
      <c r="E1719" t="s">
        <v>2735</v>
      </c>
      <c r="F1719" s="452">
        <v>46121</v>
      </c>
      <c r="G1719">
        <v>23171</v>
      </c>
      <c r="H1719" t="s">
        <v>4132</v>
      </c>
      <c r="I1719" t="s">
        <v>3469</v>
      </c>
      <c r="J1719">
        <v>3</v>
      </c>
      <c r="K1719" t="s">
        <v>3892</v>
      </c>
      <c r="L1719">
        <v>31.89</v>
      </c>
      <c r="M1719">
        <v>10.63</v>
      </c>
      <c r="N1719" t="s">
        <v>3469</v>
      </c>
      <c r="O1719" t="s">
        <v>464</v>
      </c>
    </row>
    <row r="1720" spans="1:15" x14ac:dyDescent="0.3">
      <c r="A1720">
        <v>225830</v>
      </c>
      <c r="B1720">
        <v>116</v>
      </c>
      <c r="C1720" t="s">
        <v>568</v>
      </c>
      <c r="D1720" t="s">
        <v>2273</v>
      </c>
      <c r="E1720" t="s">
        <v>2735</v>
      </c>
      <c r="F1720" s="452">
        <v>46121</v>
      </c>
      <c r="G1720">
        <v>24509</v>
      </c>
      <c r="H1720" t="s">
        <v>3906</v>
      </c>
      <c r="I1720" t="s">
        <v>3469</v>
      </c>
      <c r="J1720">
        <v>20.2</v>
      </c>
      <c r="K1720" t="s">
        <v>3892</v>
      </c>
      <c r="L1720">
        <v>67.27</v>
      </c>
      <c r="M1720">
        <v>3.3301980000000002</v>
      </c>
      <c r="N1720" t="s">
        <v>3469</v>
      </c>
      <c r="O1720" t="s">
        <v>464</v>
      </c>
    </row>
    <row r="1721" spans="1:15" x14ac:dyDescent="0.3">
      <c r="A1721">
        <v>225830</v>
      </c>
      <c r="B1721">
        <v>116</v>
      </c>
      <c r="C1721" t="s">
        <v>568</v>
      </c>
      <c r="D1721" t="s">
        <v>2273</v>
      </c>
      <c r="E1721" t="s">
        <v>2735</v>
      </c>
      <c r="F1721" s="452">
        <v>46121</v>
      </c>
      <c r="G1721">
        <v>19740</v>
      </c>
      <c r="H1721" t="s">
        <v>3933</v>
      </c>
      <c r="I1721" t="s">
        <v>3469</v>
      </c>
      <c r="J1721">
        <v>4</v>
      </c>
      <c r="K1721" t="s">
        <v>3892</v>
      </c>
      <c r="L1721">
        <v>31.88</v>
      </c>
      <c r="M1721">
        <v>7.97</v>
      </c>
      <c r="N1721" t="s">
        <v>3469</v>
      </c>
      <c r="O1721" t="s">
        <v>464</v>
      </c>
    </row>
    <row r="1722" spans="1:15" x14ac:dyDescent="0.3">
      <c r="A1722">
        <v>225830</v>
      </c>
      <c r="B1722">
        <v>116</v>
      </c>
      <c r="C1722" t="s">
        <v>568</v>
      </c>
      <c r="D1722" t="s">
        <v>2273</v>
      </c>
      <c r="E1722" t="s">
        <v>2735</v>
      </c>
      <c r="F1722" s="452">
        <v>46121</v>
      </c>
      <c r="G1722">
        <v>23198</v>
      </c>
      <c r="H1722" t="s">
        <v>4167</v>
      </c>
      <c r="I1722" t="s">
        <v>3469</v>
      </c>
      <c r="J1722">
        <v>1</v>
      </c>
      <c r="K1722" t="s">
        <v>3892</v>
      </c>
      <c r="L1722">
        <v>23.93</v>
      </c>
      <c r="M1722">
        <v>23.93</v>
      </c>
      <c r="N1722" t="s">
        <v>3469</v>
      </c>
      <c r="O1722" t="s">
        <v>464</v>
      </c>
    </row>
    <row r="1723" spans="1:15" x14ac:dyDescent="0.3">
      <c r="A1723">
        <v>225830</v>
      </c>
      <c r="B1723">
        <v>116</v>
      </c>
      <c r="C1723" t="s">
        <v>568</v>
      </c>
      <c r="D1723" t="s">
        <v>2273</v>
      </c>
      <c r="E1723" t="s">
        <v>2735</v>
      </c>
      <c r="F1723" s="452">
        <v>46121</v>
      </c>
      <c r="G1723">
        <v>19623</v>
      </c>
      <c r="H1723" t="s">
        <v>3984</v>
      </c>
      <c r="I1723" t="s">
        <v>3469</v>
      </c>
      <c r="J1723">
        <v>3</v>
      </c>
      <c r="K1723" t="s">
        <v>3892</v>
      </c>
      <c r="L1723">
        <v>13.5</v>
      </c>
      <c r="M1723">
        <v>4.5</v>
      </c>
      <c r="N1723" t="s">
        <v>3469</v>
      </c>
      <c r="O1723" t="s">
        <v>464</v>
      </c>
    </row>
    <row r="1724" spans="1:15" x14ac:dyDescent="0.3">
      <c r="A1724">
        <v>225830</v>
      </c>
      <c r="B1724">
        <v>116</v>
      </c>
      <c r="C1724" t="s">
        <v>568</v>
      </c>
      <c r="D1724" t="s">
        <v>2273</v>
      </c>
      <c r="E1724" t="s">
        <v>2735</v>
      </c>
      <c r="F1724" s="452">
        <v>46121</v>
      </c>
      <c r="G1724">
        <v>23349</v>
      </c>
      <c r="H1724" t="s">
        <v>4173</v>
      </c>
      <c r="I1724" t="s">
        <v>3469</v>
      </c>
      <c r="J1724">
        <v>2.2000000000000002</v>
      </c>
      <c r="K1724" t="s">
        <v>3892</v>
      </c>
      <c r="L1724">
        <v>20.39</v>
      </c>
      <c r="M1724">
        <v>9.2681819999999995</v>
      </c>
      <c r="N1724" t="s">
        <v>3469</v>
      </c>
      <c r="O1724" t="s">
        <v>464</v>
      </c>
    </row>
    <row r="1725" spans="1:15" x14ac:dyDescent="0.3">
      <c r="A1725">
        <v>225830</v>
      </c>
      <c r="B1725">
        <v>116</v>
      </c>
      <c r="C1725" t="s">
        <v>568</v>
      </c>
      <c r="D1725" t="s">
        <v>2273</v>
      </c>
      <c r="E1725" t="s">
        <v>2735</v>
      </c>
      <c r="F1725" s="452">
        <v>46121</v>
      </c>
      <c r="G1725">
        <v>23113</v>
      </c>
      <c r="H1725" t="s">
        <v>4079</v>
      </c>
      <c r="I1725" t="s">
        <v>3469</v>
      </c>
      <c r="J1725">
        <v>1.6</v>
      </c>
      <c r="K1725" t="s">
        <v>3892</v>
      </c>
      <c r="L1725">
        <v>20.66</v>
      </c>
      <c r="M1725">
        <v>12.9125</v>
      </c>
      <c r="N1725" t="s">
        <v>3469</v>
      </c>
      <c r="O1725" t="s">
        <v>464</v>
      </c>
    </row>
    <row r="1726" spans="1:15" x14ac:dyDescent="0.3">
      <c r="A1726">
        <v>225830</v>
      </c>
      <c r="B1726">
        <v>116</v>
      </c>
      <c r="C1726" t="s">
        <v>568</v>
      </c>
      <c r="D1726" t="s">
        <v>2273</v>
      </c>
      <c r="E1726" t="s">
        <v>2735</v>
      </c>
      <c r="F1726" s="452">
        <v>46121</v>
      </c>
      <c r="G1726">
        <v>19763</v>
      </c>
      <c r="H1726" t="s">
        <v>4187</v>
      </c>
      <c r="I1726" t="s">
        <v>3469</v>
      </c>
      <c r="J1726">
        <v>2</v>
      </c>
      <c r="K1726" t="s">
        <v>3892</v>
      </c>
      <c r="L1726">
        <v>23.2</v>
      </c>
      <c r="M1726">
        <v>11.6</v>
      </c>
      <c r="N1726" t="s">
        <v>3469</v>
      </c>
      <c r="O1726" t="s">
        <v>464</v>
      </c>
    </row>
    <row r="1727" spans="1:15" x14ac:dyDescent="0.3">
      <c r="A1727">
        <v>225830</v>
      </c>
      <c r="B1727">
        <v>116</v>
      </c>
      <c r="C1727" t="s">
        <v>568</v>
      </c>
      <c r="D1727" t="s">
        <v>2273</v>
      </c>
      <c r="E1727" t="s">
        <v>2735</v>
      </c>
      <c r="F1727" s="452">
        <v>46121</v>
      </c>
      <c r="G1727">
        <v>24083</v>
      </c>
      <c r="H1727" t="s">
        <v>3898</v>
      </c>
      <c r="I1727" t="s">
        <v>3469</v>
      </c>
      <c r="J1727">
        <v>25.18</v>
      </c>
      <c r="K1727" t="s">
        <v>3892</v>
      </c>
      <c r="L1727">
        <v>136.97999999999999</v>
      </c>
      <c r="M1727">
        <v>5.4400320000000004</v>
      </c>
      <c r="N1727" t="s">
        <v>3469</v>
      </c>
      <c r="O1727" t="s">
        <v>464</v>
      </c>
    </row>
    <row r="1728" spans="1:15" x14ac:dyDescent="0.3">
      <c r="A1728">
        <v>225830</v>
      </c>
      <c r="B1728">
        <v>116</v>
      </c>
      <c r="C1728" t="s">
        <v>568</v>
      </c>
      <c r="D1728" t="s">
        <v>2273</v>
      </c>
      <c r="E1728" t="s">
        <v>2735</v>
      </c>
      <c r="F1728" s="452">
        <v>46121</v>
      </c>
      <c r="G1728">
        <v>19672</v>
      </c>
      <c r="H1728" t="s">
        <v>4024</v>
      </c>
      <c r="I1728" t="s">
        <v>3469</v>
      </c>
      <c r="J1728">
        <v>2</v>
      </c>
      <c r="K1728" t="s">
        <v>3892</v>
      </c>
      <c r="L1728">
        <v>26.1</v>
      </c>
      <c r="M1728">
        <v>13.05</v>
      </c>
      <c r="N1728" t="s">
        <v>3469</v>
      </c>
      <c r="O1728" t="s">
        <v>464</v>
      </c>
    </row>
    <row r="1729" spans="1:15" x14ac:dyDescent="0.3">
      <c r="A1729">
        <v>225829</v>
      </c>
      <c r="B1729">
        <v>116</v>
      </c>
      <c r="C1729" t="s">
        <v>568</v>
      </c>
      <c r="D1729" t="s">
        <v>2284</v>
      </c>
      <c r="E1729" t="s">
        <v>2736</v>
      </c>
      <c r="F1729" s="452">
        <v>46118</v>
      </c>
      <c r="G1729">
        <v>21400</v>
      </c>
      <c r="H1729" t="s">
        <v>4165</v>
      </c>
      <c r="I1729" t="s">
        <v>3469</v>
      </c>
      <c r="J1729">
        <v>3.52</v>
      </c>
      <c r="K1729" t="s">
        <v>3892</v>
      </c>
      <c r="L1729">
        <v>101.9</v>
      </c>
      <c r="M1729">
        <v>28.948864</v>
      </c>
      <c r="N1729" t="s">
        <v>4240</v>
      </c>
      <c r="O1729" t="s">
        <v>464</v>
      </c>
    </row>
    <row r="1730" spans="1:15" x14ac:dyDescent="0.3">
      <c r="A1730">
        <v>225826</v>
      </c>
      <c r="B1730">
        <v>116</v>
      </c>
      <c r="C1730" t="s">
        <v>568</v>
      </c>
      <c r="D1730" t="s">
        <v>2284</v>
      </c>
      <c r="E1730" t="s">
        <v>2737</v>
      </c>
      <c r="F1730" s="452">
        <v>46119</v>
      </c>
      <c r="G1730">
        <v>18538</v>
      </c>
      <c r="H1730" t="s">
        <v>4026</v>
      </c>
      <c r="I1730" t="s">
        <v>3497</v>
      </c>
      <c r="J1730">
        <v>2</v>
      </c>
      <c r="K1730" t="s">
        <v>3878</v>
      </c>
      <c r="L1730">
        <v>211.8</v>
      </c>
      <c r="M1730">
        <v>105.9</v>
      </c>
      <c r="N1730" t="s">
        <v>3497</v>
      </c>
      <c r="O1730" t="s">
        <v>464</v>
      </c>
    </row>
    <row r="1731" spans="1:15" x14ac:dyDescent="0.3">
      <c r="A1731">
        <v>225825</v>
      </c>
      <c r="B1731">
        <v>116</v>
      </c>
      <c r="C1731" t="s">
        <v>568</v>
      </c>
      <c r="D1731" t="s">
        <v>2284</v>
      </c>
      <c r="E1731" t="s">
        <v>2738</v>
      </c>
      <c r="F1731" s="452">
        <v>46120</v>
      </c>
      <c r="G1731">
        <v>19287</v>
      </c>
      <c r="H1731" t="s">
        <v>3974</v>
      </c>
      <c r="I1731" t="s">
        <v>3469</v>
      </c>
      <c r="J1731">
        <v>3.16</v>
      </c>
      <c r="K1731" t="s">
        <v>3892</v>
      </c>
      <c r="L1731">
        <v>130.97999999999999</v>
      </c>
      <c r="M1731">
        <v>41.449367000000002</v>
      </c>
      <c r="N1731" t="s">
        <v>4240</v>
      </c>
      <c r="O1731" t="s">
        <v>464</v>
      </c>
    </row>
    <row r="1732" spans="1:15" x14ac:dyDescent="0.3">
      <c r="A1732">
        <v>225825</v>
      </c>
      <c r="B1732">
        <v>116</v>
      </c>
      <c r="C1732" t="s">
        <v>568</v>
      </c>
      <c r="D1732" t="s">
        <v>2284</v>
      </c>
      <c r="E1732" t="s">
        <v>2738</v>
      </c>
      <c r="F1732" s="452">
        <v>46120</v>
      </c>
      <c r="G1732">
        <v>20007</v>
      </c>
      <c r="H1732" t="s">
        <v>4009</v>
      </c>
      <c r="I1732" t="s">
        <v>3469</v>
      </c>
      <c r="J1732">
        <v>2</v>
      </c>
      <c r="K1732" t="s">
        <v>3966</v>
      </c>
      <c r="L1732">
        <v>105.2</v>
      </c>
      <c r="M1732">
        <v>52.6</v>
      </c>
      <c r="N1732" t="s">
        <v>4240</v>
      </c>
      <c r="O1732" t="s">
        <v>464</v>
      </c>
    </row>
    <row r="1733" spans="1:15" x14ac:dyDescent="0.3">
      <c r="A1733">
        <v>225825</v>
      </c>
      <c r="B1733">
        <v>116</v>
      </c>
      <c r="C1733" t="s">
        <v>568</v>
      </c>
      <c r="D1733" t="s">
        <v>2284</v>
      </c>
      <c r="E1733" t="s">
        <v>2738</v>
      </c>
      <c r="F1733" s="452">
        <v>46120</v>
      </c>
      <c r="G1733">
        <v>19973</v>
      </c>
      <c r="H1733" t="s">
        <v>3981</v>
      </c>
      <c r="I1733" t="s">
        <v>3469</v>
      </c>
      <c r="J1733">
        <v>2</v>
      </c>
      <c r="K1733" t="s">
        <v>3872</v>
      </c>
      <c r="L1733">
        <v>30.4</v>
      </c>
      <c r="M1733">
        <v>15.2</v>
      </c>
      <c r="N1733" t="s">
        <v>4240</v>
      </c>
      <c r="O1733" t="s">
        <v>464</v>
      </c>
    </row>
    <row r="1734" spans="1:15" x14ac:dyDescent="0.3">
      <c r="A1734">
        <v>225825</v>
      </c>
      <c r="B1734">
        <v>116</v>
      </c>
      <c r="C1734" t="s">
        <v>568</v>
      </c>
      <c r="D1734" t="s">
        <v>2284</v>
      </c>
      <c r="E1734" t="s">
        <v>2738</v>
      </c>
      <c r="F1734" s="452">
        <v>46120</v>
      </c>
      <c r="G1734">
        <v>19415</v>
      </c>
      <c r="H1734" t="s">
        <v>3941</v>
      </c>
      <c r="I1734" t="s">
        <v>3469</v>
      </c>
      <c r="J1734">
        <v>6</v>
      </c>
      <c r="K1734" t="s">
        <v>3872</v>
      </c>
      <c r="L1734">
        <v>52.8</v>
      </c>
      <c r="M1734">
        <v>8.8000000000000007</v>
      </c>
      <c r="N1734" t="s">
        <v>4240</v>
      </c>
      <c r="O1734" t="s">
        <v>464</v>
      </c>
    </row>
    <row r="1735" spans="1:15" x14ac:dyDescent="0.3">
      <c r="A1735">
        <v>225825</v>
      </c>
      <c r="B1735">
        <v>116</v>
      </c>
      <c r="C1735" t="s">
        <v>568</v>
      </c>
      <c r="D1735" t="s">
        <v>2284</v>
      </c>
      <c r="E1735" t="s">
        <v>2738</v>
      </c>
      <c r="F1735" s="452">
        <v>46120</v>
      </c>
      <c r="G1735">
        <v>20250</v>
      </c>
      <c r="H1735" t="s">
        <v>4008</v>
      </c>
      <c r="I1735" t="s">
        <v>3469</v>
      </c>
      <c r="J1735">
        <v>2</v>
      </c>
      <c r="K1735" t="s">
        <v>3888</v>
      </c>
      <c r="L1735">
        <v>81.08</v>
      </c>
      <c r="M1735">
        <v>40.54</v>
      </c>
      <c r="N1735" t="s">
        <v>4240</v>
      </c>
      <c r="O1735" t="s">
        <v>464</v>
      </c>
    </row>
    <row r="1736" spans="1:15" x14ac:dyDescent="0.3">
      <c r="A1736">
        <v>225825</v>
      </c>
      <c r="B1736">
        <v>116</v>
      </c>
      <c r="C1736" t="s">
        <v>568</v>
      </c>
      <c r="D1736" t="s">
        <v>2284</v>
      </c>
      <c r="E1736" t="s">
        <v>2738</v>
      </c>
      <c r="F1736" s="452">
        <v>46120</v>
      </c>
      <c r="G1736">
        <v>20624</v>
      </c>
      <c r="H1736" t="s">
        <v>3982</v>
      </c>
      <c r="I1736" t="s">
        <v>3469</v>
      </c>
      <c r="J1736">
        <v>1</v>
      </c>
      <c r="K1736" t="s">
        <v>3872</v>
      </c>
      <c r="L1736">
        <v>75.900000000000006</v>
      </c>
      <c r="M1736">
        <v>75.900000000000006</v>
      </c>
      <c r="N1736" t="s">
        <v>4240</v>
      </c>
      <c r="O1736" t="s">
        <v>464</v>
      </c>
    </row>
    <row r="1737" spans="1:15" x14ac:dyDescent="0.3">
      <c r="A1737">
        <v>225825</v>
      </c>
      <c r="B1737">
        <v>116</v>
      </c>
      <c r="C1737" t="s">
        <v>568</v>
      </c>
      <c r="D1737" t="s">
        <v>2284</v>
      </c>
      <c r="E1737" t="s">
        <v>2738</v>
      </c>
      <c r="F1737" s="452">
        <v>46120</v>
      </c>
      <c r="G1737">
        <v>19291</v>
      </c>
      <c r="H1737" t="s">
        <v>4254</v>
      </c>
      <c r="I1737" t="s">
        <v>3469</v>
      </c>
      <c r="J1737">
        <v>6.58</v>
      </c>
      <c r="K1737" t="s">
        <v>4241</v>
      </c>
      <c r="L1737">
        <v>492.78</v>
      </c>
      <c r="M1737">
        <v>74.890578000000005</v>
      </c>
      <c r="N1737" t="s">
        <v>4240</v>
      </c>
      <c r="O1737" t="s">
        <v>464</v>
      </c>
    </row>
    <row r="1738" spans="1:15" x14ac:dyDescent="0.3">
      <c r="A1738">
        <v>225825</v>
      </c>
      <c r="B1738">
        <v>116</v>
      </c>
      <c r="C1738" t="s">
        <v>568</v>
      </c>
      <c r="D1738" t="s">
        <v>2284</v>
      </c>
      <c r="E1738" t="s">
        <v>2738</v>
      </c>
      <c r="F1738" s="452">
        <v>46120</v>
      </c>
      <c r="G1738">
        <v>19346</v>
      </c>
      <c r="H1738" t="s">
        <v>3948</v>
      </c>
      <c r="I1738" t="s">
        <v>3469</v>
      </c>
      <c r="J1738">
        <v>3</v>
      </c>
      <c r="K1738" t="s">
        <v>4241</v>
      </c>
      <c r="L1738">
        <v>182.7</v>
      </c>
      <c r="M1738">
        <v>60.9</v>
      </c>
      <c r="N1738" t="s">
        <v>4240</v>
      </c>
      <c r="O1738" t="s">
        <v>464</v>
      </c>
    </row>
    <row r="1739" spans="1:15" x14ac:dyDescent="0.3">
      <c r="A1739">
        <v>225824</v>
      </c>
      <c r="B1739">
        <v>116</v>
      </c>
      <c r="C1739" t="s">
        <v>568</v>
      </c>
      <c r="D1739" t="s">
        <v>2340</v>
      </c>
      <c r="E1739" t="s">
        <v>2739</v>
      </c>
      <c r="F1739" s="452">
        <v>46120</v>
      </c>
      <c r="G1739">
        <v>19324</v>
      </c>
      <c r="H1739" t="s">
        <v>3937</v>
      </c>
      <c r="I1739" t="s">
        <v>3469</v>
      </c>
      <c r="J1739">
        <v>8.18</v>
      </c>
      <c r="K1739" t="s">
        <v>3892</v>
      </c>
      <c r="L1739">
        <v>328.59</v>
      </c>
      <c r="M1739">
        <v>40.169927000000001</v>
      </c>
      <c r="N1739" t="s">
        <v>4240</v>
      </c>
      <c r="O1739" t="s">
        <v>464</v>
      </c>
    </row>
    <row r="1740" spans="1:15" x14ac:dyDescent="0.3">
      <c r="A1740">
        <v>225824</v>
      </c>
      <c r="B1740">
        <v>116</v>
      </c>
      <c r="C1740" t="s">
        <v>568</v>
      </c>
      <c r="D1740" t="s">
        <v>2340</v>
      </c>
      <c r="E1740" t="s">
        <v>2739</v>
      </c>
      <c r="F1740" s="452">
        <v>46120</v>
      </c>
      <c r="G1740">
        <v>20661</v>
      </c>
      <c r="H1740" t="s">
        <v>3919</v>
      </c>
      <c r="I1740" t="s">
        <v>3469</v>
      </c>
      <c r="J1740">
        <v>6</v>
      </c>
      <c r="K1740" t="s">
        <v>3872</v>
      </c>
      <c r="L1740">
        <v>53.1</v>
      </c>
      <c r="M1740">
        <v>8.85</v>
      </c>
      <c r="N1740" t="s">
        <v>4240</v>
      </c>
      <c r="O1740" t="s">
        <v>464</v>
      </c>
    </row>
    <row r="1741" spans="1:15" x14ac:dyDescent="0.3">
      <c r="A1741">
        <v>225824</v>
      </c>
      <c r="B1741">
        <v>116</v>
      </c>
      <c r="C1741" t="s">
        <v>568</v>
      </c>
      <c r="D1741" t="s">
        <v>2340</v>
      </c>
      <c r="E1741" t="s">
        <v>2739</v>
      </c>
      <c r="F1741" s="452">
        <v>46120</v>
      </c>
      <c r="G1741">
        <v>20246</v>
      </c>
      <c r="H1741" t="s">
        <v>3911</v>
      </c>
      <c r="I1741" t="s">
        <v>3469</v>
      </c>
      <c r="J1741">
        <v>10</v>
      </c>
      <c r="K1741" t="s">
        <v>3872</v>
      </c>
      <c r="L1741">
        <v>89.1</v>
      </c>
      <c r="M1741">
        <v>8.91</v>
      </c>
      <c r="N1741" t="s">
        <v>4240</v>
      </c>
      <c r="O1741" t="s">
        <v>464</v>
      </c>
    </row>
    <row r="1742" spans="1:15" x14ac:dyDescent="0.3">
      <c r="A1742">
        <v>225822</v>
      </c>
      <c r="B1742">
        <v>116</v>
      </c>
      <c r="C1742" t="s">
        <v>568</v>
      </c>
      <c r="D1742" t="s">
        <v>2288</v>
      </c>
      <c r="E1742" t="s">
        <v>2740</v>
      </c>
      <c r="F1742" s="452">
        <v>46118</v>
      </c>
      <c r="G1742">
        <v>28717</v>
      </c>
      <c r="H1742" t="s">
        <v>4323</v>
      </c>
      <c r="I1742" t="s">
        <v>4217</v>
      </c>
      <c r="J1742">
        <v>1</v>
      </c>
      <c r="K1742" t="s">
        <v>3881</v>
      </c>
      <c r="L1742">
        <v>229.62</v>
      </c>
      <c r="M1742">
        <v>229.62</v>
      </c>
      <c r="N1742" t="s">
        <v>4324</v>
      </c>
      <c r="O1742" t="s">
        <v>464</v>
      </c>
    </row>
    <row r="1743" spans="1:15" x14ac:dyDescent="0.3">
      <c r="A1743">
        <v>225822</v>
      </c>
      <c r="B1743">
        <v>116</v>
      </c>
      <c r="C1743" t="s">
        <v>568</v>
      </c>
      <c r="D1743" t="s">
        <v>2288</v>
      </c>
      <c r="E1743" t="s">
        <v>2740</v>
      </c>
      <c r="F1743" s="452">
        <v>46118</v>
      </c>
      <c r="G1743">
        <v>28718</v>
      </c>
      <c r="H1743" t="s">
        <v>4325</v>
      </c>
      <c r="I1743" t="s">
        <v>4217</v>
      </c>
      <c r="J1743">
        <v>1</v>
      </c>
      <c r="K1743" t="s">
        <v>3881</v>
      </c>
      <c r="L1743">
        <v>151.43</v>
      </c>
      <c r="M1743">
        <v>151.43</v>
      </c>
      <c r="N1743" t="s">
        <v>4324</v>
      </c>
      <c r="O1743" t="s">
        <v>464</v>
      </c>
    </row>
    <row r="1744" spans="1:15" x14ac:dyDescent="0.3">
      <c r="A1744">
        <v>225821</v>
      </c>
      <c r="B1744">
        <v>116</v>
      </c>
      <c r="C1744" t="s">
        <v>568</v>
      </c>
      <c r="D1744" t="s">
        <v>2267</v>
      </c>
      <c r="E1744" t="s">
        <v>2741</v>
      </c>
      <c r="F1744" s="452">
        <v>46121</v>
      </c>
      <c r="G1744">
        <v>24517</v>
      </c>
      <c r="H1744" t="s">
        <v>3991</v>
      </c>
      <c r="I1744" t="s">
        <v>3469</v>
      </c>
      <c r="J1744">
        <v>6.4</v>
      </c>
      <c r="K1744" t="s">
        <v>3892</v>
      </c>
      <c r="L1744">
        <v>179.14</v>
      </c>
      <c r="M1744">
        <v>27.990625000000001</v>
      </c>
      <c r="N1744" t="s">
        <v>4240</v>
      </c>
      <c r="O1744" t="s">
        <v>464</v>
      </c>
    </row>
    <row r="1745" spans="1:15" x14ac:dyDescent="0.3">
      <c r="A1745">
        <v>225821</v>
      </c>
      <c r="B1745">
        <v>116</v>
      </c>
      <c r="C1745" t="s">
        <v>568</v>
      </c>
      <c r="D1745" t="s">
        <v>2267</v>
      </c>
      <c r="E1745" t="s">
        <v>2741</v>
      </c>
      <c r="F1745" s="452">
        <v>46121</v>
      </c>
      <c r="G1745">
        <v>24393</v>
      </c>
      <c r="H1745" t="s">
        <v>4039</v>
      </c>
      <c r="I1745" t="s">
        <v>3469</v>
      </c>
      <c r="J1745">
        <v>3</v>
      </c>
      <c r="K1745" t="s">
        <v>3892</v>
      </c>
      <c r="L1745">
        <v>41.97</v>
      </c>
      <c r="M1745">
        <v>13.99</v>
      </c>
      <c r="N1745" t="s">
        <v>4240</v>
      </c>
      <c r="O1745" t="s">
        <v>464</v>
      </c>
    </row>
    <row r="1746" spans="1:15" x14ac:dyDescent="0.3">
      <c r="A1746">
        <v>225821</v>
      </c>
      <c r="B1746">
        <v>116</v>
      </c>
      <c r="C1746" t="s">
        <v>568</v>
      </c>
      <c r="D1746" t="s">
        <v>2267</v>
      </c>
      <c r="E1746" t="s">
        <v>2741</v>
      </c>
      <c r="F1746" s="452">
        <v>46121</v>
      </c>
      <c r="G1746">
        <v>18666</v>
      </c>
      <c r="H1746" t="s">
        <v>4003</v>
      </c>
      <c r="I1746" t="s">
        <v>3469</v>
      </c>
      <c r="J1746">
        <v>3.4</v>
      </c>
      <c r="K1746" t="s">
        <v>3892</v>
      </c>
      <c r="L1746">
        <v>81.569999999999993</v>
      </c>
      <c r="M1746">
        <v>23.991175999999999</v>
      </c>
      <c r="N1746" t="s">
        <v>4240</v>
      </c>
      <c r="O1746" t="s">
        <v>464</v>
      </c>
    </row>
    <row r="1747" spans="1:15" x14ac:dyDescent="0.3">
      <c r="A1747">
        <v>225821</v>
      </c>
      <c r="B1747">
        <v>116</v>
      </c>
      <c r="C1747" t="s">
        <v>568</v>
      </c>
      <c r="D1747" t="s">
        <v>2267</v>
      </c>
      <c r="E1747" t="s">
        <v>2741</v>
      </c>
      <c r="F1747" s="452">
        <v>46121</v>
      </c>
      <c r="G1747">
        <v>18682</v>
      </c>
      <c r="H1747" t="s">
        <v>4025</v>
      </c>
      <c r="I1747" t="s">
        <v>3469</v>
      </c>
      <c r="J1747">
        <v>9.1999999999999993</v>
      </c>
      <c r="K1747" t="s">
        <v>3892</v>
      </c>
      <c r="L1747">
        <v>257.51</v>
      </c>
      <c r="M1747">
        <v>27.990217000000001</v>
      </c>
      <c r="N1747" t="s">
        <v>4240</v>
      </c>
      <c r="O1747" t="s">
        <v>464</v>
      </c>
    </row>
    <row r="1748" spans="1:15" x14ac:dyDescent="0.3">
      <c r="A1748">
        <v>225821</v>
      </c>
      <c r="B1748">
        <v>116</v>
      </c>
      <c r="C1748" t="s">
        <v>568</v>
      </c>
      <c r="D1748" t="s">
        <v>2267</v>
      </c>
      <c r="E1748" t="s">
        <v>2741</v>
      </c>
      <c r="F1748" s="452">
        <v>46121</v>
      </c>
      <c r="G1748">
        <v>18696</v>
      </c>
      <c r="H1748" t="s">
        <v>3956</v>
      </c>
      <c r="I1748" t="s">
        <v>3469</v>
      </c>
      <c r="J1748">
        <v>6.47</v>
      </c>
      <c r="K1748" t="s">
        <v>3892</v>
      </c>
      <c r="L1748">
        <v>116.4</v>
      </c>
      <c r="M1748">
        <v>17.990725999999999</v>
      </c>
      <c r="N1748" t="s">
        <v>4240</v>
      </c>
      <c r="O1748" t="s">
        <v>464</v>
      </c>
    </row>
    <row r="1749" spans="1:15" x14ac:dyDescent="0.3">
      <c r="A1749">
        <v>225821</v>
      </c>
      <c r="B1749">
        <v>116</v>
      </c>
      <c r="C1749" t="s">
        <v>568</v>
      </c>
      <c r="D1749" t="s">
        <v>2267</v>
      </c>
      <c r="E1749" t="s">
        <v>2741</v>
      </c>
      <c r="F1749" s="452">
        <v>46121</v>
      </c>
      <c r="G1749">
        <v>24343</v>
      </c>
      <c r="H1749" t="s">
        <v>3990</v>
      </c>
      <c r="I1749" t="s">
        <v>3469</v>
      </c>
      <c r="J1749">
        <v>5</v>
      </c>
      <c r="K1749" t="s">
        <v>3892</v>
      </c>
      <c r="L1749">
        <v>99.95</v>
      </c>
      <c r="M1749">
        <v>19.989999999999998</v>
      </c>
      <c r="N1749" t="s">
        <v>4240</v>
      </c>
      <c r="O1749" t="s">
        <v>464</v>
      </c>
    </row>
    <row r="1750" spans="1:15" x14ac:dyDescent="0.3">
      <c r="A1750">
        <v>225819</v>
      </c>
      <c r="B1750">
        <v>116</v>
      </c>
      <c r="C1750" t="s">
        <v>568</v>
      </c>
      <c r="D1750" t="s">
        <v>2293</v>
      </c>
      <c r="E1750" t="s">
        <v>2742</v>
      </c>
      <c r="F1750" s="452">
        <v>46143</v>
      </c>
      <c r="G1750">
        <v>16974</v>
      </c>
      <c r="H1750" t="s">
        <v>3996</v>
      </c>
      <c r="I1750" t="s">
        <v>3497</v>
      </c>
      <c r="J1750">
        <v>6</v>
      </c>
      <c r="K1750" t="s">
        <v>3881</v>
      </c>
      <c r="L1750">
        <v>810</v>
      </c>
      <c r="M1750">
        <v>135</v>
      </c>
      <c r="N1750" t="s">
        <v>4276</v>
      </c>
      <c r="O1750" t="s">
        <v>465</v>
      </c>
    </row>
    <row r="1751" spans="1:15" x14ac:dyDescent="0.3">
      <c r="A1751">
        <v>225818</v>
      </c>
      <c r="B1751">
        <v>116</v>
      </c>
      <c r="C1751" t="s">
        <v>568</v>
      </c>
      <c r="D1751" t="s">
        <v>2262</v>
      </c>
      <c r="E1751" t="s">
        <v>2743</v>
      </c>
      <c r="F1751" s="452">
        <v>46119</v>
      </c>
      <c r="G1751">
        <v>18832</v>
      </c>
      <c r="H1751" t="s">
        <v>3900</v>
      </c>
      <c r="I1751" t="s">
        <v>3469</v>
      </c>
      <c r="J1751">
        <v>10.4</v>
      </c>
      <c r="K1751" t="s">
        <v>3892</v>
      </c>
      <c r="L1751">
        <v>414.96</v>
      </c>
      <c r="M1751">
        <v>39.9</v>
      </c>
      <c r="N1751" t="s">
        <v>4240</v>
      </c>
      <c r="O1751" t="s">
        <v>464</v>
      </c>
    </row>
    <row r="1752" spans="1:15" x14ac:dyDescent="0.3">
      <c r="A1752">
        <v>225818</v>
      </c>
      <c r="B1752">
        <v>116</v>
      </c>
      <c r="C1752" t="s">
        <v>568</v>
      </c>
      <c r="D1752" t="s">
        <v>2262</v>
      </c>
      <c r="E1752" t="s">
        <v>2743</v>
      </c>
      <c r="F1752" s="452">
        <v>46119</v>
      </c>
      <c r="G1752">
        <v>24259</v>
      </c>
      <c r="H1752" t="s">
        <v>3895</v>
      </c>
      <c r="I1752" t="s">
        <v>3469</v>
      </c>
      <c r="J1752">
        <v>16.600000000000001</v>
      </c>
      <c r="K1752" t="s">
        <v>3892</v>
      </c>
      <c r="L1752">
        <v>1289.82</v>
      </c>
      <c r="M1752">
        <v>77.7</v>
      </c>
      <c r="N1752" t="s">
        <v>4240</v>
      </c>
      <c r="O1752" t="s">
        <v>464</v>
      </c>
    </row>
    <row r="1753" spans="1:15" x14ac:dyDescent="0.3">
      <c r="A1753">
        <v>225818</v>
      </c>
      <c r="B1753">
        <v>116</v>
      </c>
      <c r="C1753" t="s">
        <v>568</v>
      </c>
      <c r="D1753" t="s">
        <v>2262</v>
      </c>
      <c r="E1753" t="s">
        <v>2743</v>
      </c>
      <c r="F1753" s="452">
        <v>46119</v>
      </c>
      <c r="G1753">
        <v>24402</v>
      </c>
      <c r="H1753" t="s">
        <v>3896</v>
      </c>
      <c r="I1753" t="s">
        <v>3469</v>
      </c>
      <c r="J1753">
        <v>9.4</v>
      </c>
      <c r="K1753" t="s">
        <v>3892</v>
      </c>
      <c r="L1753">
        <v>349.68</v>
      </c>
      <c r="M1753">
        <v>37.200000000000003</v>
      </c>
      <c r="N1753" t="s">
        <v>4240</v>
      </c>
      <c r="O1753" t="s">
        <v>464</v>
      </c>
    </row>
    <row r="1754" spans="1:15" x14ac:dyDescent="0.3">
      <c r="A1754">
        <v>225818</v>
      </c>
      <c r="B1754">
        <v>116</v>
      </c>
      <c r="C1754" t="s">
        <v>568</v>
      </c>
      <c r="D1754" t="s">
        <v>2262</v>
      </c>
      <c r="E1754" t="s">
        <v>2743</v>
      </c>
      <c r="F1754" s="452">
        <v>46119</v>
      </c>
      <c r="G1754">
        <v>24388</v>
      </c>
      <c r="H1754" t="s">
        <v>3915</v>
      </c>
      <c r="I1754" t="s">
        <v>3469</v>
      </c>
      <c r="J1754">
        <v>6.3</v>
      </c>
      <c r="K1754" t="s">
        <v>3892</v>
      </c>
      <c r="L1754">
        <v>188.37</v>
      </c>
      <c r="M1754">
        <v>29.9</v>
      </c>
      <c r="N1754" t="s">
        <v>4240</v>
      </c>
      <c r="O1754" t="s">
        <v>464</v>
      </c>
    </row>
    <row r="1755" spans="1:15" x14ac:dyDescent="0.3">
      <c r="A1755">
        <v>225818</v>
      </c>
      <c r="B1755">
        <v>116</v>
      </c>
      <c r="C1755" t="s">
        <v>568</v>
      </c>
      <c r="D1755" t="s">
        <v>2262</v>
      </c>
      <c r="E1755" t="s">
        <v>2743</v>
      </c>
      <c r="F1755" s="452">
        <v>46119</v>
      </c>
      <c r="G1755">
        <v>24116</v>
      </c>
      <c r="H1755" t="s">
        <v>3963</v>
      </c>
      <c r="I1755" t="s">
        <v>3469</v>
      </c>
      <c r="J1755">
        <v>5</v>
      </c>
      <c r="K1755" t="s">
        <v>3892</v>
      </c>
      <c r="L1755">
        <v>209.5</v>
      </c>
      <c r="M1755">
        <v>41.9</v>
      </c>
      <c r="N1755" t="s">
        <v>4240</v>
      </c>
      <c r="O1755" t="s">
        <v>464</v>
      </c>
    </row>
    <row r="1756" spans="1:15" x14ac:dyDescent="0.3">
      <c r="A1756">
        <v>224699</v>
      </c>
      <c r="B1756">
        <v>116</v>
      </c>
      <c r="C1756" t="s">
        <v>568</v>
      </c>
      <c r="D1756" t="s">
        <v>2258</v>
      </c>
      <c r="E1756" t="s">
        <v>2744</v>
      </c>
      <c r="F1756" s="452">
        <v>46118</v>
      </c>
      <c r="G1756">
        <v>17006</v>
      </c>
      <c r="H1756" t="s">
        <v>4128</v>
      </c>
      <c r="I1756" t="s">
        <v>3469</v>
      </c>
      <c r="J1756">
        <v>13</v>
      </c>
      <c r="K1756" t="s">
        <v>3892</v>
      </c>
      <c r="L1756">
        <v>169</v>
      </c>
      <c r="M1756">
        <v>13</v>
      </c>
      <c r="N1756" t="s">
        <v>3469</v>
      </c>
      <c r="O1756" t="s">
        <v>464</v>
      </c>
    </row>
    <row r="1757" spans="1:15" x14ac:dyDescent="0.3">
      <c r="A1757">
        <v>224674</v>
      </c>
      <c r="B1757">
        <v>116</v>
      </c>
      <c r="C1757" t="s">
        <v>568</v>
      </c>
      <c r="D1757" t="s">
        <v>2286</v>
      </c>
      <c r="E1757" t="s">
        <v>2745</v>
      </c>
      <c r="F1757" s="452">
        <v>46119</v>
      </c>
      <c r="G1757">
        <v>19505</v>
      </c>
      <c r="H1757" t="s">
        <v>4101</v>
      </c>
      <c r="I1757" t="s">
        <v>3469</v>
      </c>
      <c r="J1757">
        <v>1.5</v>
      </c>
      <c r="K1757" t="s">
        <v>3892</v>
      </c>
      <c r="L1757">
        <v>20.25</v>
      </c>
      <c r="M1757">
        <v>13.5</v>
      </c>
      <c r="N1757" t="s">
        <v>4240</v>
      </c>
      <c r="O1757" t="s">
        <v>464</v>
      </c>
    </row>
    <row r="1758" spans="1:15" x14ac:dyDescent="0.3">
      <c r="A1758">
        <v>224674</v>
      </c>
      <c r="B1758">
        <v>116</v>
      </c>
      <c r="C1758" t="s">
        <v>568</v>
      </c>
      <c r="D1758" t="s">
        <v>2286</v>
      </c>
      <c r="E1758" t="s">
        <v>2745</v>
      </c>
      <c r="F1758" s="452">
        <v>46119</v>
      </c>
      <c r="G1758">
        <v>19617</v>
      </c>
      <c r="H1758" t="s">
        <v>4110</v>
      </c>
      <c r="I1758" t="s">
        <v>3469</v>
      </c>
      <c r="J1758">
        <v>0.5</v>
      </c>
      <c r="K1758" t="s">
        <v>3892</v>
      </c>
      <c r="L1758">
        <v>9</v>
      </c>
      <c r="M1758">
        <v>18</v>
      </c>
      <c r="N1758" t="s">
        <v>4240</v>
      </c>
      <c r="O1758" t="s">
        <v>464</v>
      </c>
    </row>
    <row r="1759" spans="1:15" x14ac:dyDescent="0.3">
      <c r="A1759">
        <v>224674</v>
      </c>
      <c r="B1759">
        <v>116</v>
      </c>
      <c r="C1759" t="s">
        <v>568</v>
      </c>
      <c r="D1759" t="s">
        <v>2286</v>
      </c>
      <c r="E1759" t="s">
        <v>2745</v>
      </c>
      <c r="F1759" s="452">
        <v>46119</v>
      </c>
      <c r="G1759">
        <v>23113</v>
      </c>
      <c r="H1759" t="s">
        <v>4079</v>
      </c>
      <c r="I1759" t="s">
        <v>3469</v>
      </c>
      <c r="J1759">
        <v>1</v>
      </c>
      <c r="K1759" t="s">
        <v>3892</v>
      </c>
      <c r="L1759">
        <v>12.5</v>
      </c>
      <c r="M1759">
        <v>12.5</v>
      </c>
      <c r="N1759" t="s">
        <v>4240</v>
      </c>
      <c r="O1759" t="s">
        <v>464</v>
      </c>
    </row>
    <row r="1760" spans="1:15" x14ac:dyDescent="0.3">
      <c r="A1760">
        <v>224674</v>
      </c>
      <c r="B1760">
        <v>116</v>
      </c>
      <c r="C1760" t="s">
        <v>568</v>
      </c>
      <c r="D1760" t="s">
        <v>2286</v>
      </c>
      <c r="E1760" t="s">
        <v>2745</v>
      </c>
      <c r="F1760" s="452">
        <v>46119</v>
      </c>
      <c r="G1760">
        <v>19498</v>
      </c>
      <c r="H1760" t="s">
        <v>4065</v>
      </c>
      <c r="I1760" t="s">
        <v>3469</v>
      </c>
      <c r="J1760">
        <v>1</v>
      </c>
      <c r="K1760" t="s">
        <v>3892</v>
      </c>
      <c r="L1760">
        <v>15</v>
      </c>
      <c r="M1760">
        <v>15</v>
      </c>
      <c r="N1760" t="s">
        <v>4240</v>
      </c>
      <c r="O1760" t="s">
        <v>464</v>
      </c>
    </row>
    <row r="1761" spans="1:15" x14ac:dyDescent="0.3">
      <c r="A1761">
        <v>224674</v>
      </c>
      <c r="B1761">
        <v>116</v>
      </c>
      <c r="C1761" t="s">
        <v>568</v>
      </c>
      <c r="D1761" t="s">
        <v>2286</v>
      </c>
      <c r="E1761" t="s">
        <v>2745</v>
      </c>
      <c r="F1761" s="452">
        <v>46119</v>
      </c>
      <c r="G1761">
        <v>23361</v>
      </c>
      <c r="H1761" t="s">
        <v>4220</v>
      </c>
      <c r="I1761" t="s">
        <v>3469</v>
      </c>
      <c r="J1761">
        <v>18</v>
      </c>
      <c r="K1761" t="s">
        <v>3892</v>
      </c>
      <c r="L1761">
        <v>61.2</v>
      </c>
      <c r="M1761">
        <v>3.4</v>
      </c>
      <c r="N1761" t="s">
        <v>4240</v>
      </c>
      <c r="O1761" t="s">
        <v>464</v>
      </c>
    </row>
    <row r="1762" spans="1:15" x14ac:dyDescent="0.3">
      <c r="A1762">
        <v>224674</v>
      </c>
      <c r="B1762">
        <v>116</v>
      </c>
      <c r="C1762" t="s">
        <v>568</v>
      </c>
      <c r="D1762" t="s">
        <v>2286</v>
      </c>
      <c r="E1762" t="s">
        <v>2745</v>
      </c>
      <c r="F1762" s="452">
        <v>46119</v>
      </c>
      <c r="G1762">
        <v>24037</v>
      </c>
      <c r="H1762" t="s">
        <v>4104</v>
      </c>
      <c r="I1762" t="s">
        <v>3469</v>
      </c>
      <c r="J1762">
        <v>2</v>
      </c>
      <c r="K1762" t="s">
        <v>3892</v>
      </c>
      <c r="L1762">
        <v>36</v>
      </c>
      <c r="M1762">
        <v>18</v>
      </c>
      <c r="N1762" t="s">
        <v>4240</v>
      </c>
      <c r="O1762" t="s">
        <v>464</v>
      </c>
    </row>
    <row r="1763" spans="1:15" x14ac:dyDescent="0.3">
      <c r="A1763">
        <v>224674</v>
      </c>
      <c r="B1763">
        <v>116</v>
      </c>
      <c r="C1763" t="s">
        <v>568</v>
      </c>
      <c r="D1763" t="s">
        <v>2286</v>
      </c>
      <c r="E1763" t="s">
        <v>2745</v>
      </c>
      <c r="F1763" s="452">
        <v>46119</v>
      </c>
      <c r="G1763">
        <v>23236</v>
      </c>
      <c r="H1763" t="s">
        <v>4017</v>
      </c>
      <c r="I1763" t="s">
        <v>3469</v>
      </c>
      <c r="J1763">
        <v>3</v>
      </c>
      <c r="K1763" t="s">
        <v>3892</v>
      </c>
      <c r="L1763">
        <v>36</v>
      </c>
      <c r="M1763">
        <v>12</v>
      </c>
      <c r="N1763" t="s">
        <v>4240</v>
      </c>
      <c r="O1763" t="s">
        <v>464</v>
      </c>
    </row>
    <row r="1764" spans="1:15" x14ac:dyDescent="0.3">
      <c r="A1764">
        <v>224674</v>
      </c>
      <c r="B1764">
        <v>116</v>
      </c>
      <c r="C1764" t="s">
        <v>568</v>
      </c>
      <c r="D1764" t="s">
        <v>2286</v>
      </c>
      <c r="E1764" t="s">
        <v>2745</v>
      </c>
      <c r="F1764" s="452">
        <v>46119</v>
      </c>
      <c r="G1764">
        <v>19558</v>
      </c>
      <c r="H1764" t="s">
        <v>4183</v>
      </c>
      <c r="I1764" t="s">
        <v>3469</v>
      </c>
      <c r="J1764">
        <v>1</v>
      </c>
      <c r="K1764" t="s">
        <v>3892</v>
      </c>
      <c r="L1764">
        <v>17.5</v>
      </c>
      <c r="M1764">
        <v>17.5</v>
      </c>
      <c r="N1764" t="s">
        <v>4240</v>
      </c>
      <c r="O1764" t="s">
        <v>464</v>
      </c>
    </row>
    <row r="1765" spans="1:15" x14ac:dyDescent="0.3">
      <c r="A1765">
        <v>224674</v>
      </c>
      <c r="B1765">
        <v>116</v>
      </c>
      <c r="C1765" t="s">
        <v>568</v>
      </c>
      <c r="D1765" t="s">
        <v>2286</v>
      </c>
      <c r="E1765" t="s">
        <v>2745</v>
      </c>
      <c r="F1765" s="452">
        <v>46119</v>
      </c>
      <c r="G1765">
        <v>23389</v>
      </c>
      <c r="H1765" t="s">
        <v>4016</v>
      </c>
      <c r="I1765" t="s">
        <v>3469</v>
      </c>
      <c r="J1765">
        <v>5</v>
      </c>
      <c r="K1765" t="s">
        <v>3892</v>
      </c>
      <c r="L1765">
        <v>27.5</v>
      </c>
      <c r="M1765">
        <v>5.5</v>
      </c>
      <c r="N1765" t="s">
        <v>4240</v>
      </c>
      <c r="O1765" t="s">
        <v>464</v>
      </c>
    </row>
    <row r="1766" spans="1:15" x14ac:dyDescent="0.3">
      <c r="A1766">
        <v>224674</v>
      </c>
      <c r="B1766">
        <v>116</v>
      </c>
      <c r="C1766" t="s">
        <v>568</v>
      </c>
      <c r="D1766" t="s">
        <v>2286</v>
      </c>
      <c r="E1766" t="s">
        <v>2745</v>
      </c>
      <c r="F1766" s="452">
        <v>46119</v>
      </c>
      <c r="G1766">
        <v>23142</v>
      </c>
      <c r="H1766" t="s">
        <v>4151</v>
      </c>
      <c r="I1766" t="s">
        <v>3469</v>
      </c>
      <c r="J1766">
        <v>1</v>
      </c>
      <c r="K1766" t="s">
        <v>3892</v>
      </c>
      <c r="L1766">
        <v>25</v>
      </c>
      <c r="M1766">
        <v>25</v>
      </c>
      <c r="N1766" t="s">
        <v>4240</v>
      </c>
      <c r="O1766" t="s">
        <v>464</v>
      </c>
    </row>
    <row r="1767" spans="1:15" x14ac:dyDescent="0.3">
      <c r="A1767">
        <v>224674</v>
      </c>
      <c r="B1767">
        <v>116</v>
      </c>
      <c r="C1767" t="s">
        <v>568</v>
      </c>
      <c r="D1767" t="s">
        <v>2286</v>
      </c>
      <c r="E1767" t="s">
        <v>2745</v>
      </c>
      <c r="F1767" s="452">
        <v>46119</v>
      </c>
      <c r="G1767">
        <v>19506</v>
      </c>
      <c r="H1767" t="s">
        <v>4112</v>
      </c>
      <c r="I1767" t="s">
        <v>3469</v>
      </c>
      <c r="J1767">
        <v>0.2</v>
      </c>
      <c r="K1767" t="s">
        <v>3892</v>
      </c>
      <c r="L1767">
        <v>12</v>
      </c>
      <c r="M1767">
        <v>60</v>
      </c>
      <c r="N1767" t="s">
        <v>4240</v>
      </c>
      <c r="O1767" t="s">
        <v>464</v>
      </c>
    </row>
    <row r="1768" spans="1:15" x14ac:dyDescent="0.3">
      <c r="A1768">
        <v>224674</v>
      </c>
      <c r="B1768">
        <v>116</v>
      </c>
      <c r="C1768" t="s">
        <v>568</v>
      </c>
      <c r="D1768" t="s">
        <v>2286</v>
      </c>
      <c r="E1768" t="s">
        <v>2745</v>
      </c>
      <c r="F1768" s="452">
        <v>46119</v>
      </c>
      <c r="G1768">
        <v>23359</v>
      </c>
      <c r="H1768" t="s">
        <v>3932</v>
      </c>
      <c r="I1768" t="s">
        <v>3469</v>
      </c>
      <c r="J1768">
        <v>10</v>
      </c>
      <c r="K1768" t="s">
        <v>3892</v>
      </c>
      <c r="L1768">
        <v>23.5</v>
      </c>
      <c r="M1768">
        <v>2.35</v>
      </c>
      <c r="N1768" t="s">
        <v>4240</v>
      </c>
      <c r="O1768" t="s">
        <v>464</v>
      </c>
    </row>
    <row r="1769" spans="1:15" x14ac:dyDescent="0.3">
      <c r="A1769">
        <v>224674</v>
      </c>
      <c r="B1769">
        <v>116</v>
      </c>
      <c r="C1769" t="s">
        <v>568</v>
      </c>
      <c r="D1769" t="s">
        <v>2286</v>
      </c>
      <c r="E1769" t="s">
        <v>2745</v>
      </c>
      <c r="F1769" s="452">
        <v>46119</v>
      </c>
      <c r="G1769">
        <v>19787</v>
      </c>
      <c r="H1769" t="s">
        <v>3940</v>
      </c>
      <c r="I1769" t="s">
        <v>3469</v>
      </c>
      <c r="J1769">
        <v>6</v>
      </c>
      <c r="K1769" t="s">
        <v>3892</v>
      </c>
      <c r="L1769">
        <v>32.4</v>
      </c>
      <c r="M1769">
        <v>5.4</v>
      </c>
      <c r="N1769" t="s">
        <v>4240</v>
      </c>
      <c r="O1769" t="s">
        <v>464</v>
      </c>
    </row>
    <row r="1770" spans="1:15" x14ac:dyDescent="0.3">
      <c r="A1770">
        <v>224673</v>
      </c>
      <c r="B1770">
        <v>116</v>
      </c>
      <c r="C1770" t="s">
        <v>568</v>
      </c>
      <c r="D1770" t="s">
        <v>2286</v>
      </c>
      <c r="E1770" t="s">
        <v>2746</v>
      </c>
      <c r="F1770" s="452">
        <v>46122</v>
      </c>
      <c r="G1770">
        <v>19505</v>
      </c>
      <c r="H1770" t="s">
        <v>4101</v>
      </c>
      <c r="I1770" t="s">
        <v>3469</v>
      </c>
      <c r="J1770">
        <v>1.5</v>
      </c>
      <c r="K1770" t="s">
        <v>3892</v>
      </c>
      <c r="L1770">
        <v>15.75</v>
      </c>
      <c r="M1770">
        <v>10.5</v>
      </c>
      <c r="N1770" t="s">
        <v>4240</v>
      </c>
      <c r="O1770" t="s">
        <v>464</v>
      </c>
    </row>
    <row r="1771" spans="1:15" x14ac:dyDescent="0.3">
      <c r="A1771">
        <v>224673</v>
      </c>
      <c r="B1771">
        <v>116</v>
      </c>
      <c r="C1771" t="s">
        <v>568</v>
      </c>
      <c r="D1771" t="s">
        <v>2286</v>
      </c>
      <c r="E1771" t="s">
        <v>2746</v>
      </c>
      <c r="F1771" s="452">
        <v>46122</v>
      </c>
      <c r="G1771">
        <v>19647</v>
      </c>
      <c r="H1771" t="s">
        <v>4066</v>
      </c>
      <c r="I1771" t="s">
        <v>3469</v>
      </c>
      <c r="J1771">
        <v>1</v>
      </c>
      <c r="K1771" t="s">
        <v>3892</v>
      </c>
      <c r="L1771">
        <v>12</v>
      </c>
      <c r="M1771">
        <v>12</v>
      </c>
      <c r="N1771" t="s">
        <v>4240</v>
      </c>
      <c r="O1771" t="s">
        <v>464</v>
      </c>
    </row>
    <row r="1772" spans="1:15" x14ac:dyDescent="0.3">
      <c r="A1772">
        <v>224673</v>
      </c>
      <c r="B1772">
        <v>116</v>
      </c>
      <c r="C1772" t="s">
        <v>568</v>
      </c>
      <c r="D1772" t="s">
        <v>2286</v>
      </c>
      <c r="E1772" t="s">
        <v>2746</v>
      </c>
      <c r="F1772" s="452">
        <v>46122</v>
      </c>
      <c r="G1772">
        <v>19498</v>
      </c>
      <c r="H1772" t="s">
        <v>4065</v>
      </c>
      <c r="I1772" t="s">
        <v>3469</v>
      </c>
      <c r="J1772">
        <v>1</v>
      </c>
      <c r="K1772" t="s">
        <v>3892</v>
      </c>
      <c r="L1772">
        <v>16</v>
      </c>
      <c r="M1772">
        <v>16</v>
      </c>
      <c r="N1772" t="s">
        <v>4240</v>
      </c>
      <c r="O1772" t="s">
        <v>464</v>
      </c>
    </row>
    <row r="1773" spans="1:15" x14ac:dyDescent="0.3">
      <c r="A1773">
        <v>224673</v>
      </c>
      <c r="B1773">
        <v>116</v>
      </c>
      <c r="C1773" t="s">
        <v>568</v>
      </c>
      <c r="D1773" t="s">
        <v>2286</v>
      </c>
      <c r="E1773" t="s">
        <v>2746</v>
      </c>
      <c r="F1773" s="452">
        <v>46122</v>
      </c>
      <c r="G1773">
        <v>24037</v>
      </c>
      <c r="H1773" t="s">
        <v>4104</v>
      </c>
      <c r="I1773" t="s">
        <v>3469</v>
      </c>
      <c r="J1773">
        <v>2</v>
      </c>
      <c r="K1773" t="s">
        <v>3892</v>
      </c>
      <c r="L1773">
        <v>36</v>
      </c>
      <c r="M1773">
        <v>18</v>
      </c>
      <c r="N1773" t="s">
        <v>4240</v>
      </c>
      <c r="O1773" t="s">
        <v>464</v>
      </c>
    </row>
    <row r="1774" spans="1:15" x14ac:dyDescent="0.3">
      <c r="A1774">
        <v>224673</v>
      </c>
      <c r="B1774">
        <v>116</v>
      </c>
      <c r="C1774" t="s">
        <v>568</v>
      </c>
      <c r="D1774" t="s">
        <v>2286</v>
      </c>
      <c r="E1774" t="s">
        <v>2746</v>
      </c>
      <c r="F1774" s="452">
        <v>46122</v>
      </c>
      <c r="G1774">
        <v>23236</v>
      </c>
      <c r="H1774" t="s">
        <v>4017</v>
      </c>
      <c r="I1774" t="s">
        <v>3469</v>
      </c>
      <c r="J1774">
        <v>3</v>
      </c>
      <c r="K1774" t="s">
        <v>3892</v>
      </c>
      <c r="L1774">
        <v>31.5</v>
      </c>
      <c r="M1774">
        <v>10.5</v>
      </c>
      <c r="N1774" t="s">
        <v>4240</v>
      </c>
      <c r="O1774" t="s">
        <v>464</v>
      </c>
    </row>
    <row r="1775" spans="1:15" x14ac:dyDescent="0.3">
      <c r="A1775">
        <v>224673</v>
      </c>
      <c r="B1775">
        <v>116</v>
      </c>
      <c r="C1775" t="s">
        <v>568</v>
      </c>
      <c r="D1775" t="s">
        <v>2286</v>
      </c>
      <c r="E1775" t="s">
        <v>2746</v>
      </c>
      <c r="F1775" s="452">
        <v>46122</v>
      </c>
      <c r="G1775">
        <v>19480</v>
      </c>
      <c r="H1775" t="s">
        <v>4113</v>
      </c>
      <c r="I1775" t="s">
        <v>3469</v>
      </c>
      <c r="J1775">
        <v>0.2</v>
      </c>
      <c r="K1775" t="s">
        <v>3892</v>
      </c>
      <c r="L1775">
        <v>3.4</v>
      </c>
      <c r="M1775">
        <v>17</v>
      </c>
      <c r="N1775" t="s">
        <v>4240</v>
      </c>
      <c r="O1775" t="s">
        <v>464</v>
      </c>
    </row>
    <row r="1776" spans="1:15" x14ac:dyDescent="0.3">
      <c r="A1776">
        <v>224673</v>
      </c>
      <c r="B1776">
        <v>116</v>
      </c>
      <c r="C1776" t="s">
        <v>568</v>
      </c>
      <c r="D1776" t="s">
        <v>2286</v>
      </c>
      <c r="E1776" t="s">
        <v>2746</v>
      </c>
      <c r="F1776" s="452">
        <v>46122</v>
      </c>
      <c r="G1776">
        <v>19555</v>
      </c>
      <c r="H1776" t="s">
        <v>4109</v>
      </c>
      <c r="I1776" t="s">
        <v>3469</v>
      </c>
      <c r="J1776">
        <v>0.5</v>
      </c>
      <c r="K1776" t="s">
        <v>3892</v>
      </c>
      <c r="L1776">
        <v>11.5</v>
      </c>
      <c r="M1776">
        <v>23</v>
      </c>
      <c r="N1776" t="s">
        <v>4240</v>
      </c>
      <c r="O1776" t="s">
        <v>464</v>
      </c>
    </row>
    <row r="1777" spans="1:15" x14ac:dyDescent="0.3">
      <c r="A1777">
        <v>224673</v>
      </c>
      <c r="B1777">
        <v>116</v>
      </c>
      <c r="C1777" t="s">
        <v>568</v>
      </c>
      <c r="D1777" t="s">
        <v>2286</v>
      </c>
      <c r="E1777" t="s">
        <v>2746</v>
      </c>
      <c r="F1777" s="452">
        <v>46122</v>
      </c>
      <c r="G1777">
        <v>23389</v>
      </c>
      <c r="H1777" t="s">
        <v>4016</v>
      </c>
      <c r="I1777" t="s">
        <v>3469</v>
      </c>
      <c r="J1777">
        <v>6</v>
      </c>
      <c r="K1777" t="s">
        <v>3892</v>
      </c>
      <c r="L1777">
        <v>33</v>
      </c>
      <c r="M1777">
        <v>5.5</v>
      </c>
      <c r="N1777" t="s">
        <v>4240</v>
      </c>
      <c r="O1777" t="s">
        <v>464</v>
      </c>
    </row>
    <row r="1778" spans="1:15" x14ac:dyDescent="0.3">
      <c r="A1778">
        <v>224673</v>
      </c>
      <c r="B1778">
        <v>116</v>
      </c>
      <c r="C1778" t="s">
        <v>568</v>
      </c>
      <c r="D1778" t="s">
        <v>2286</v>
      </c>
      <c r="E1778" t="s">
        <v>2746</v>
      </c>
      <c r="F1778" s="452">
        <v>46122</v>
      </c>
      <c r="G1778">
        <v>19506</v>
      </c>
      <c r="H1778" t="s">
        <v>4112</v>
      </c>
      <c r="I1778" t="s">
        <v>3469</v>
      </c>
      <c r="J1778">
        <v>0.2</v>
      </c>
      <c r="K1778" t="s">
        <v>3892</v>
      </c>
      <c r="L1778">
        <v>15</v>
      </c>
      <c r="M1778">
        <v>75</v>
      </c>
      <c r="N1778" t="s">
        <v>4240</v>
      </c>
      <c r="O1778" t="s">
        <v>464</v>
      </c>
    </row>
    <row r="1779" spans="1:15" x14ac:dyDescent="0.3">
      <c r="A1779">
        <v>224673</v>
      </c>
      <c r="B1779">
        <v>116</v>
      </c>
      <c r="C1779" t="s">
        <v>568</v>
      </c>
      <c r="D1779" t="s">
        <v>2286</v>
      </c>
      <c r="E1779" t="s">
        <v>2746</v>
      </c>
      <c r="F1779" s="452">
        <v>46122</v>
      </c>
      <c r="G1779">
        <v>19494</v>
      </c>
      <c r="H1779" t="s">
        <v>4126</v>
      </c>
      <c r="I1779" t="s">
        <v>3469</v>
      </c>
      <c r="J1779">
        <v>1</v>
      </c>
      <c r="K1779" t="s">
        <v>3892</v>
      </c>
      <c r="L1779">
        <v>12.8</v>
      </c>
      <c r="M1779">
        <v>12.8</v>
      </c>
      <c r="N1779" t="s">
        <v>4240</v>
      </c>
      <c r="O1779" t="s">
        <v>464</v>
      </c>
    </row>
    <row r="1780" spans="1:15" x14ac:dyDescent="0.3">
      <c r="A1780">
        <v>224673</v>
      </c>
      <c r="B1780">
        <v>116</v>
      </c>
      <c r="C1780" t="s">
        <v>568</v>
      </c>
      <c r="D1780" t="s">
        <v>2286</v>
      </c>
      <c r="E1780" t="s">
        <v>2746</v>
      </c>
      <c r="F1780" s="452">
        <v>46122</v>
      </c>
      <c r="G1780">
        <v>24598</v>
      </c>
      <c r="H1780" t="s">
        <v>4166</v>
      </c>
      <c r="I1780" t="s">
        <v>3469</v>
      </c>
      <c r="J1780">
        <v>1</v>
      </c>
      <c r="K1780" t="s">
        <v>3892</v>
      </c>
      <c r="L1780">
        <v>17</v>
      </c>
      <c r="M1780">
        <v>17</v>
      </c>
      <c r="N1780" t="s">
        <v>4240</v>
      </c>
      <c r="O1780" t="s">
        <v>464</v>
      </c>
    </row>
    <row r="1781" spans="1:15" x14ac:dyDescent="0.3">
      <c r="A1781">
        <v>224673</v>
      </c>
      <c r="B1781">
        <v>116</v>
      </c>
      <c r="C1781" t="s">
        <v>568</v>
      </c>
      <c r="D1781" t="s">
        <v>2286</v>
      </c>
      <c r="E1781" t="s">
        <v>2746</v>
      </c>
      <c r="F1781" s="452">
        <v>46122</v>
      </c>
      <c r="G1781">
        <v>23359</v>
      </c>
      <c r="H1781" t="s">
        <v>3932</v>
      </c>
      <c r="I1781" t="s">
        <v>3469</v>
      </c>
      <c r="J1781">
        <v>10</v>
      </c>
      <c r="K1781" t="s">
        <v>3892</v>
      </c>
      <c r="L1781">
        <v>24</v>
      </c>
      <c r="M1781">
        <v>2.4</v>
      </c>
      <c r="N1781" t="s">
        <v>4240</v>
      </c>
      <c r="O1781" t="s">
        <v>464</v>
      </c>
    </row>
    <row r="1782" spans="1:15" x14ac:dyDescent="0.3">
      <c r="A1782">
        <v>224673</v>
      </c>
      <c r="B1782">
        <v>116</v>
      </c>
      <c r="C1782" t="s">
        <v>568</v>
      </c>
      <c r="D1782" t="s">
        <v>2286</v>
      </c>
      <c r="E1782" t="s">
        <v>2746</v>
      </c>
      <c r="F1782" s="452">
        <v>46122</v>
      </c>
      <c r="G1782">
        <v>19773</v>
      </c>
      <c r="H1782" t="s">
        <v>4168</v>
      </c>
      <c r="I1782" t="s">
        <v>3469</v>
      </c>
      <c r="J1782">
        <v>1</v>
      </c>
      <c r="K1782" t="s">
        <v>3892</v>
      </c>
      <c r="L1782">
        <v>20</v>
      </c>
      <c r="M1782">
        <v>20</v>
      </c>
      <c r="N1782" t="s">
        <v>4240</v>
      </c>
      <c r="O1782" t="s">
        <v>464</v>
      </c>
    </row>
    <row r="1783" spans="1:15" x14ac:dyDescent="0.3">
      <c r="A1783">
        <v>224673</v>
      </c>
      <c r="B1783">
        <v>116</v>
      </c>
      <c r="C1783" t="s">
        <v>568</v>
      </c>
      <c r="D1783" t="s">
        <v>2286</v>
      </c>
      <c r="E1783" t="s">
        <v>2746</v>
      </c>
      <c r="F1783" s="452">
        <v>46122</v>
      </c>
      <c r="G1783">
        <v>19787</v>
      </c>
      <c r="H1783" t="s">
        <v>3940</v>
      </c>
      <c r="I1783" t="s">
        <v>3469</v>
      </c>
      <c r="J1783">
        <v>4.5</v>
      </c>
      <c r="K1783" t="s">
        <v>3892</v>
      </c>
      <c r="L1783">
        <v>23.63</v>
      </c>
      <c r="M1783">
        <v>5.2511109999999999</v>
      </c>
      <c r="N1783" t="s">
        <v>4240</v>
      </c>
      <c r="O1783" t="s">
        <v>464</v>
      </c>
    </row>
    <row r="1784" spans="1:15" x14ac:dyDescent="0.3">
      <c r="A1784">
        <v>224672</v>
      </c>
      <c r="B1784">
        <v>116</v>
      </c>
      <c r="C1784" t="s">
        <v>568</v>
      </c>
      <c r="D1784" t="s">
        <v>2359</v>
      </c>
      <c r="E1784" t="s">
        <v>2747</v>
      </c>
      <c r="F1784" s="452">
        <v>46119</v>
      </c>
      <c r="G1784">
        <v>18528</v>
      </c>
      <c r="H1784" t="s">
        <v>4108</v>
      </c>
      <c r="I1784" t="s">
        <v>3497</v>
      </c>
      <c r="J1784">
        <v>2</v>
      </c>
      <c r="K1784" t="s">
        <v>3878</v>
      </c>
      <c r="L1784">
        <v>99.38</v>
      </c>
      <c r="M1784">
        <v>49.69</v>
      </c>
      <c r="N1784" t="s">
        <v>4276</v>
      </c>
      <c r="O1784" t="s">
        <v>464</v>
      </c>
    </row>
    <row r="1785" spans="1:15" x14ac:dyDescent="0.3">
      <c r="A1785">
        <v>224672</v>
      </c>
      <c r="B1785">
        <v>116</v>
      </c>
      <c r="C1785" t="s">
        <v>568</v>
      </c>
      <c r="D1785" t="s">
        <v>2359</v>
      </c>
      <c r="E1785" t="s">
        <v>2747</v>
      </c>
      <c r="F1785" s="452">
        <v>46119</v>
      </c>
      <c r="G1785">
        <v>18359</v>
      </c>
      <c r="H1785" t="s">
        <v>4029</v>
      </c>
      <c r="I1785" t="s">
        <v>3497</v>
      </c>
      <c r="J1785">
        <v>2</v>
      </c>
      <c r="K1785" t="s">
        <v>3878</v>
      </c>
      <c r="L1785">
        <v>189.6</v>
      </c>
      <c r="M1785">
        <v>94.8</v>
      </c>
      <c r="N1785" t="s">
        <v>4276</v>
      </c>
      <c r="O1785" t="s">
        <v>464</v>
      </c>
    </row>
    <row r="1786" spans="1:15" x14ac:dyDescent="0.3">
      <c r="A1786">
        <v>224671</v>
      </c>
      <c r="B1786">
        <v>116</v>
      </c>
      <c r="C1786" t="s">
        <v>568</v>
      </c>
      <c r="D1786" t="s">
        <v>2260</v>
      </c>
      <c r="E1786" t="s">
        <v>2748</v>
      </c>
      <c r="F1786" s="452">
        <v>46119</v>
      </c>
      <c r="G1786">
        <v>18685</v>
      </c>
      <c r="H1786" t="s">
        <v>3945</v>
      </c>
      <c r="I1786" t="s">
        <v>3469</v>
      </c>
      <c r="J1786">
        <v>6.1</v>
      </c>
      <c r="K1786" t="s">
        <v>4197</v>
      </c>
      <c r="L1786">
        <v>237.9</v>
      </c>
      <c r="M1786">
        <v>39</v>
      </c>
      <c r="N1786" t="s">
        <v>4240</v>
      </c>
      <c r="O1786" t="s">
        <v>464</v>
      </c>
    </row>
    <row r="1787" spans="1:15" x14ac:dyDescent="0.3">
      <c r="A1787">
        <v>224671</v>
      </c>
      <c r="B1787">
        <v>116</v>
      </c>
      <c r="C1787" t="s">
        <v>568</v>
      </c>
      <c r="D1787" t="s">
        <v>2260</v>
      </c>
      <c r="E1787" t="s">
        <v>2748</v>
      </c>
      <c r="F1787" s="452">
        <v>46119</v>
      </c>
      <c r="G1787">
        <v>20555</v>
      </c>
      <c r="H1787" t="s">
        <v>3959</v>
      </c>
      <c r="I1787" t="s">
        <v>3469</v>
      </c>
      <c r="J1787">
        <v>2.5</v>
      </c>
      <c r="K1787" t="s">
        <v>3892</v>
      </c>
      <c r="L1787">
        <v>197.5</v>
      </c>
      <c r="M1787">
        <v>79</v>
      </c>
      <c r="N1787" t="s">
        <v>4240</v>
      </c>
      <c r="O1787" t="s">
        <v>464</v>
      </c>
    </row>
    <row r="1788" spans="1:15" x14ac:dyDescent="0.3">
      <c r="A1788">
        <v>224671</v>
      </c>
      <c r="B1788">
        <v>116</v>
      </c>
      <c r="C1788" t="s">
        <v>568</v>
      </c>
      <c r="D1788" t="s">
        <v>2260</v>
      </c>
      <c r="E1788" t="s">
        <v>2748</v>
      </c>
      <c r="F1788" s="452">
        <v>46119</v>
      </c>
      <c r="G1788">
        <v>24200</v>
      </c>
      <c r="H1788" t="s">
        <v>3975</v>
      </c>
      <c r="I1788" t="s">
        <v>3469</v>
      </c>
      <c r="J1788">
        <v>5</v>
      </c>
      <c r="K1788" t="s">
        <v>3892</v>
      </c>
      <c r="L1788">
        <v>164.5</v>
      </c>
      <c r="M1788">
        <v>32.9</v>
      </c>
      <c r="N1788" t="s">
        <v>4240</v>
      </c>
      <c r="O1788" t="s">
        <v>464</v>
      </c>
    </row>
    <row r="1789" spans="1:15" x14ac:dyDescent="0.3">
      <c r="A1789">
        <v>224671</v>
      </c>
      <c r="B1789">
        <v>116</v>
      </c>
      <c r="C1789" t="s">
        <v>568</v>
      </c>
      <c r="D1789" t="s">
        <v>2260</v>
      </c>
      <c r="E1789" t="s">
        <v>2748</v>
      </c>
      <c r="F1789" s="452">
        <v>46119</v>
      </c>
      <c r="G1789">
        <v>24072</v>
      </c>
      <c r="H1789" t="s">
        <v>4002</v>
      </c>
      <c r="I1789" t="s">
        <v>3469</v>
      </c>
      <c r="J1789">
        <v>3.2</v>
      </c>
      <c r="K1789" t="s">
        <v>3892</v>
      </c>
      <c r="L1789">
        <v>704</v>
      </c>
      <c r="M1789">
        <v>220</v>
      </c>
      <c r="N1789" t="s">
        <v>4240</v>
      </c>
      <c r="O1789" t="s">
        <v>464</v>
      </c>
    </row>
    <row r="1790" spans="1:15" x14ac:dyDescent="0.3">
      <c r="A1790">
        <v>224671</v>
      </c>
      <c r="B1790">
        <v>116</v>
      </c>
      <c r="C1790" t="s">
        <v>568</v>
      </c>
      <c r="D1790" t="s">
        <v>2260</v>
      </c>
      <c r="E1790" t="s">
        <v>2748</v>
      </c>
      <c r="F1790" s="452">
        <v>46119</v>
      </c>
      <c r="G1790">
        <v>22734</v>
      </c>
      <c r="H1790" t="s">
        <v>3955</v>
      </c>
      <c r="I1790" t="s">
        <v>3469</v>
      </c>
      <c r="J1790">
        <v>10</v>
      </c>
      <c r="K1790" t="s">
        <v>3892</v>
      </c>
      <c r="L1790">
        <v>990</v>
      </c>
      <c r="M1790">
        <v>99</v>
      </c>
      <c r="N1790" t="s">
        <v>4240</v>
      </c>
      <c r="O1790" t="s">
        <v>464</v>
      </c>
    </row>
    <row r="1791" spans="1:15" x14ac:dyDescent="0.3">
      <c r="A1791">
        <v>224671</v>
      </c>
      <c r="B1791">
        <v>116</v>
      </c>
      <c r="C1791" t="s">
        <v>568</v>
      </c>
      <c r="D1791" t="s">
        <v>2260</v>
      </c>
      <c r="E1791" t="s">
        <v>2748</v>
      </c>
      <c r="F1791" s="452">
        <v>46119</v>
      </c>
      <c r="G1791">
        <v>27884</v>
      </c>
      <c r="H1791" t="s">
        <v>3910</v>
      </c>
      <c r="I1791" t="s">
        <v>3469</v>
      </c>
      <c r="J1791">
        <v>10</v>
      </c>
      <c r="K1791" t="s">
        <v>3892</v>
      </c>
      <c r="L1791">
        <v>686.6</v>
      </c>
      <c r="M1791">
        <v>68.66</v>
      </c>
      <c r="N1791" t="s">
        <v>4240</v>
      </c>
      <c r="O1791" t="s">
        <v>464</v>
      </c>
    </row>
    <row r="1792" spans="1:15" x14ac:dyDescent="0.3">
      <c r="A1792">
        <v>224670</v>
      </c>
      <c r="B1792">
        <v>116</v>
      </c>
      <c r="C1792" t="s">
        <v>568</v>
      </c>
      <c r="D1792" t="s">
        <v>2342</v>
      </c>
      <c r="E1792" t="s">
        <v>2749</v>
      </c>
      <c r="F1792" s="452">
        <v>46121</v>
      </c>
      <c r="G1792">
        <v>24351</v>
      </c>
      <c r="H1792" t="s">
        <v>3912</v>
      </c>
      <c r="I1792" t="s">
        <v>3469</v>
      </c>
      <c r="J1792">
        <v>20</v>
      </c>
      <c r="K1792" t="s">
        <v>3892</v>
      </c>
      <c r="L1792">
        <v>240</v>
      </c>
      <c r="M1792">
        <v>12</v>
      </c>
      <c r="N1792" t="s">
        <v>4240</v>
      </c>
      <c r="O1792" t="s">
        <v>464</v>
      </c>
    </row>
    <row r="1793" spans="1:15" x14ac:dyDescent="0.3">
      <c r="A1793">
        <v>224669</v>
      </c>
      <c r="B1793">
        <v>116</v>
      </c>
      <c r="C1793" t="s">
        <v>568</v>
      </c>
      <c r="D1793" t="s">
        <v>2456</v>
      </c>
      <c r="E1793" t="s">
        <v>2750</v>
      </c>
      <c r="F1793" s="452">
        <v>46119</v>
      </c>
      <c r="G1793">
        <v>18933</v>
      </c>
      <c r="H1793" t="s">
        <v>3957</v>
      </c>
      <c r="I1793" t="s">
        <v>3469</v>
      </c>
      <c r="J1793">
        <v>5.03</v>
      </c>
      <c r="K1793" t="s">
        <v>3892</v>
      </c>
      <c r="L1793">
        <v>140.34</v>
      </c>
      <c r="M1793">
        <v>27.900596</v>
      </c>
      <c r="N1793" t="s">
        <v>4240</v>
      </c>
      <c r="O1793" t="s">
        <v>464</v>
      </c>
    </row>
    <row r="1794" spans="1:15" x14ac:dyDescent="0.3">
      <c r="A1794">
        <v>224668</v>
      </c>
      <c r="B1794">
        <v>116</v>
      </c>
      <c r="C1794" t="s">
        <v>568</v>
      </c>
      <c r="D1794" t="s">
        <v>2318</v>
      </c>
      <c r="E1794" t="s">
        <v>2751</v>
      </c>
      <c r="F1794" s="452">
        <v>46120</v>
      </c>
      <c r="G1794">
        <v>18764</v>
      </c>
      <c r="H1794" t="s">
        <v>3907</v>
      </c>
      <c r="I1794" t="s">
        <v>3469</v>
      </c>
      <c r="J1794">
        <v>15.3</v>
      </c>
      <c r="K1794" t="s">
        <v>3892</v>
      </c>
      <c r="L1794">
        <v>1254.45</v>
      </c>
      <c r="M1794">
        <v>81.990195999999997</v>
      </c>
      <c r="N1794" t="s">
        <v>4240</v>
      </c>
      <c r="O1794" t="s">
        <v>464</v>
      </c>
    </row>
    <row r="1795" spans="1:15" x14ac:dyDescent="0.3">
      <c r="A1795">
        <v>224666</v>
      </c>
      <c r="B1795">
        <v>116</v>
      </c>
      <c r="C1795" t="s">
        <v>568</v>
      </c>
      <c r="D1795" t="s">
        <v>2323</v>
      </c>
      <c r="E1795" t="s">
        <v>2752</v>
      </c>
      <c r="F1795" s="452">
        <v>46119</v>
      </c>
      <c r="G1795">
        <v>18818</v>
      </c>
      <c r="H1795" t="s">
        <v>3916</v>
      </c>
      <c r="I1795" t="s">
        <v>3469</v>
      </c>
      <c r="J1795">
        <v>10.199999999999999</v>
      </c>
      <c r="K1795" t="s">
        <v>3892</v>
      </c>
      <c r="L1795">
        <v>274.38</v>
      </c>
      <c r="M1795">
        <v>26.9</v>
      </c>
      <c r="N1795" t="s">
        <v>4240</v>
      </c>
      <c r="O1795" t="s">
        <v>464</v>
      </c>
    </row>
    <row r="1796" spans="1:15" x14ac:dyDescent="0.3">
      <c r="A1796">
        <v>224664</v>
      </c>
      <c r="B1796">
        <v>116</v>
      </c>
      <c r="C1796" t="s">
        <v>568</v>
      </c>
      <c r="D1796" t="s">
        <v>2265</v>
      </c>
      <c r="E1796" t="s">
        <v>2753</v>
      </c>
      <c r="F1796" s="452">
        <v>46119</v>
      </c>
      <c r="G1796">
        <v>28947</v>
      </c>
      <c r="H1796" t="s">
        <v>4326</v>
      </c>
      <c r="J1796">
        <v>8</v>
      </c>
      <c r="K1796" t="s">
        <v>3888</v>
      </c>
      <c r="L1796">
        <v>1400</v>
      </c>
      <c r="M1796">
        <v>175</v>
      </c>
      <c r="N1796" t="s">
        <v>4327</v>
      </c>
      <c r="O1796" t="s">
        <v>464</v>
      </c>
    </row>
    <row r="1797" spans="1:15" x14ac:dyDescent="0.3">
      <c r="A1797">
        <v>223574</v>
      </c>
      <c r="B1797">
        <v>116</v>
      </c>
      <c r="C1797" t="s">
        <v>568</v>
      </c>
      <c r="D1797" t="s">
        <v>2273</v>
      </c>
      <c r="E1797" t="s">
        <v>2754</v>
      </c>
      <c r="F1797" s="452">
        <v>46113</v>
      </c>
      <c r="G1797">
        <v>19672</v>
      </c>
      <c r="H1797" t="s">
        <v>4024</v>
      </c>
      <c r="I1797" t="s">
        <v>3469</v>
      </c>
      <c r="J1797">
        <v>2</v>
      </c>
      <c r="K1797" t="s">
        <v>3892</v>
      </c>
      <c r="L1797">
        <v>26.1</v>
      </c>
      <c r="M1797">
        <v>13.05</v>
      </c>
      <c r="N1797" t="s">
        <v>4240</v>
      </c>
      <c r="O1797" t="s">
        <v>464</v>
      </c>
    </row>
    <row r="1798" spans="1:15" x14ac:dyDescent="0.3">
      <c r="A1798">
        <v>223573</v>
      </c>
      <c r="B1798">
        <v>116</v>
      </c>
      <c r="C1798" t="s">
        <v>568</v>
      </c>
      <c r="D1798" t="s">
        <v>2463</v>
      </c>
      <c r="E1798" t="s">
        <v>2755</v>
      </c>
      <c r="F1798" s="452">
        <v>46114</v>
      </c>
      <c r="G1798">
        <v>19130</v>
      </c>
      <c r="H1798" t="s">
        <v>4284</v>
      </c>
      <c r="I1798" t="s">
        <v>3469</v>
      </c>
      <c r="J1798">
        <v>946</v>
      </c>
      <c r="K1798" t="s">
        <v>3892</v>
      </c>
      <c r="L1798">
        <v>1087.9000000000001</v>
      </c>
      <c r="M1798">
        <v>1.1499999999999999</v>
      </c>
      <c r="N1798" t="s">
        <v>4240</v>
      </c>
      <c r="O1798" t="s">
        <v>464</v>
      </c>
    </row>
    <row r="1799" spans="1:15" x14ac:dyDescent="0.3">
      <c r="A1799">
        <v>223573</v>
      </c>
      <c r="B1799">
        <v>116</v>
      </c>
      <c r="C1799" t="s">
        <v>568</v>
      </c>
      <c r="D1799" t="s">
        <v>2463</v>
      </c>
      <c r="E1799" t="s">
        <v>2755</v>
      </c>
      <c r="F1799" s="452">
        <v>46114</v>
      </c>
      <c r="G1799">
        <v>23687</v>
      </c>
      <c r="H1799" t="s">
        <v>4285</v>
      </c>
      <c r="I1799" t="s">
        <v>3469</v>
      </c>
      <c r="J1799">
        <v>8.4</v>
      </c>
      <c r="K1799" t="s">
        <v>3892</v>
      </c>
      <c r="L1799">
        <v>108.36</v>
      </c>
      <c r="M1799">
        <v>12.9</v>
      </c>
      <c r="N1799" t="s">
        <v>4240</v>
      </c>
      <c r="O1799" t="s">
        <v>464</v>
      </c>
    </row>
    <row r="1800" spans="1:15" x14ac:dyDescent="0.3">
      <c r="A1800">
        <v>223075</v>
      </c>
      <c r="B1800">
        <v>116</v>
      </c>
      <c r="C1800" t="s">
        <v>568</v>
      </c>
      <c r="D1800" t="s">
        <v>2262</v>
      </c>
      <c r="E1800" t="s">
        <v>2756</v>
      </c>
      <c r="F1800" s="452">
        <v>46113</v>
      </c>
      <c r="G1800">
        <v>18832</v>
      </c>
      <c r="H1800" t="s">
        <v>3900</v>
      </c>
      <c r="I1800" t="s">
        <v>3469</v>
      </c>
      <c r="J1800">
        <v>10.7</v>
      </c>
      <c r="K1800" t="s">
        <v>3892</v>
      </c>
      <c r="L1800">
        <v>426.93</v>
      </c>
      <c r="M1800">
        <v>39.9</v>
      </c>
      <c r="N1800" t="s">
        <v>4240</v>
      </c>
      <c r="O1800" t="s">
        <v>464</v>
      </c>
    </row>
    <row r="1801" spans="1:15" x14ac:dyDescent="0.3">
      <c r="A1801">
        <v>223075</v>
      </c>
      <c r="B1801">
        <v>116</v>
      </c>
      <c r="C1801" t="s">
        <v>568</v>
      </c>
      <c r="D1801" t="s">
        <v>2262</v>
      </c>
      <c r="E1801" t="s">
        <v>2756</v>
      </c>
      <c r="F1801" s="452">
        <v>46113</v>
      </c>
      <c r="G1801">
        <v>19034</v>
      </c>
      <c r="H1801" t="s">
        <v>3989</v>
      </c>
      <c r="I1801" t="s">
        <v>3469</v>
      </c>
      <c r="J1801">
        <v>5.2</v>
      </c>
      <c r="K1801" t="s">
        <v>3892</v>
      </c>
      <c r="L1801">
        <v>46.75</v>
      </c>
      <c r="M1801">
        <v>8.9903849999999998</v>
      </c>
      <c r="N1801" t="s">
        <v>4240</v>
      </c>
      <c r="O1801" t="s">
        <v>464</v>
      </c>
    </row>
    <row r="1802" spans="1:15" x14ac:dyDescent="0.3">
      <c r="A1802">
        <v>223075</v>
      </c>
      <c r="B1802">
        <v>116</v>
      </c>
      <c r="C1802" t="s">
        <v>568</v>
      </c>
      <c r="D1802" t="s">
        <v>2262</v>
      </c>
      <c r="E1802" t="s">
        <v>2756</v>
      </c>
      <c r="F1802" s="452">
        <v>46113</v>
      </c>
      <c r="G1802">
        <v>24402</v>
      </c>
      <c r="H1802" t="s">
        <v>3896</v>
      </c>
      <c r="I1802" t="s">
        <v>3469</v>
      </c>
      <c r="J1802">
        <v>13.1</v>
      </c>
      <c r="K1802" t="s">
        <v>3892</v>
      </c>
      <c r="L1802">
        <v>487.32</v>
      </c>
      <c r="M1802">
        <v>37.200000000000003</v>
      </c>
      <c r="N1802" t="s">
        <v>4240</v>
      </c>
      <c r="O1802" t="s">
        <v>464</v>
      </c>
    </row>
    <row r="1803" spans="1:15" x14ac:dyDescent="0.3">
      <c r="A1803">
        <v>223075</v>
      </c>
      <c r="B1803">
        <v>116</v>
      </c>
      <c r="C1803" t="s">
        <v>568</v>
      </c>
      <c r="D1803" t="s">
        <v>2262</v>
      </c>
      <c r="E1803" t="s">
        <v>2756</v>
      </c>
      <c r="F1803" s="452">
        <v>46113</v>
      </c>
      <c r="G1803">
        <v>20501</v>
      </c>
      <c r="H1803" t="s">
        <v>4219</v>
      </c>
      <c r="I1803" t="s">
        <v>3469</v>
      </c>
      <c r="J1803">
        <v>5</v>
      </c>
      <c r="K1803" t="s">
        <v>3892</v>
      </c>
      <c r="L1803">
        <v>109.5</v>
      </c>
      <c r="M1803">
        <v>21.9</v>
      </c>
      <c r="N1803" t="s">
        <v>4240</v>
      </c>
      <c r="O1803" t="s">
        <v>464</v>
      </c>
    </row>
    <row r="1804" spans="1:15" x14ac:dyDescent="0.3">
      <c r="A1804">
        <v>223075</v>
      </c>
      <c r="B1804">
        <v>116</v>
      </c>
      <c r="C1804" t="s">
        <v>568</v>
      </c>
      <c r="D1804" t="s">
        <v>2262</v>
      </c>
      <c r="E1804" t="s">
        <v>2756</v>
      </c>
      <c r="F1804" s="452">
        <v>46113</v>
      </c>
      <c r="G1804">
        <v>19017</v>
      </c>
      <c r="H1804" t="s">
        <v>4172</v>
      </c>
      <c r="I1804" t="s">
        <v>3469</v>
      </c>
      <c r="J1804">
        <v>5.7</v>
      </c>
      <c r="K1804" t="s">
        <v>3892</v>
      </c>
      <c r="L1804">
        <v>79.8</v>
      </c>
      <c r="M1804">
        <v>14</v>
      </c>
      <c r="N1804" t="s">
        <v>4240</v>
      </c>
      <c r="O1804" t="s">
        <v>464</v>
      </c>
    </row>
    <row r="1805" spans="1:15" x14ac:dyDescent="0.3">
      <c r="A1805">
        <v>223072</v>
      </c>
      <c r="B1805">
        <v>116</v>
      </c>
      <c r="C1805" t="s">
        <v>568</v>
      </c>
      <c r="D1805" t="s">
        <v>2273</v>
      </c>
      <c r="E1805" t="s">
        <v>2757</v>
      </c>
      <c r="F1805" s="452">
        <v>46115</v>
      </c>
      <c r="G1805">
        <v>19621</v>
      </c>
      <c r="H1805" t="s">
        <v>4125</v>
      </c>
      <c r="I1805" t="s">
        <v>3469</v>
      </c>
      <c r="J1805">
        <v>2.15</v>
      </c>
      <c r="K1805" t="s">
        <v>3892</v>
      </c>
      <c r="L1805">
        <v>12.47</v>
      </c>
      <c r="M1805">
        <v>5.8</v>
      </c>
      <c r="N1805" t="s">
        <v>3469</v>
      </c>
      <c r="O1805" t="s">
        <v>464</v>
      </c>
    </row>
    <row r="1806" spans="1:15" x14ac:dyDescent="0.3">
      <c r="A1806">
        <v>223072</v>
      </c>
      <c r="B1806">
        <v>116</v>
      </c>
      <c r="C1806" t="s">
        <v>568</v>
      </c>
      <c r="D1806" t="s">
        <v>2273</v>
      </c>
      <c r="E1806" t="s">
        <v>2757</v>
      </c>
      <c r="F1806" s="452">
        <v>46115</v>
      </c>
      <c r="G1806">
        <v>19465</v>
      </c>
      <c r="H1806" t="s">
        <v>4080</v>
      </c>
      <c r="I1806" t="s">
        <v>3469</v>
      </c>
      <c r="J1806">
        <v>1.2</v>
      </c>
      <c r="K1806" t="s">
        <v>3892</v>
      </c>
      <c r="L1806">
        <v>6.96</v>
      </c>
      <c r="M1806">
        <v>5.8</v>
      </c>
      <c r="N1806" t="s">
        <v>3469</v>
      </c>
      <c r="O1806" t="s">
        <v>464</v>
      </c>
    </row>
    <row r="1807" spans="1:15" x14ac:dyDescent="0.3">
      <c r="A1807">
        <v>223072</v>
      </c>
      <c r="B1807">
        <v>116</v>
      </c>
      <c r="C1807" t="s">
        <v>568</v>
      </c>
      <c r="D1807" t="s">
        <v>2273</v>
      </c>
      <c r="E1807" t="s">
        <v>2757</v>
      </c>
      <c r="F1807" s="452">
        <v>46115</v>
      </c>
      <c r="G1807">
        <v>24509</v>
      </c>
      <c r="H1807" t="s">
        <v>3906</v>
      </c>
      <c r="I1807" t="s">
        <v>3469</v>
      </c>
      <c r="J1807">
        <v>20</v>
      </c>
      <c r="K1807" t="s">
        <v>3892</v>
      </c>
      <c r="L1807">
        <v>67.599999999999994</v>
      </c>
      <c r="M1807">
        <v>3.38</v>
      </c>
      <c r="N1807" t="s">
        <v>3469</v>
      </c>
      <c r="O1807" t="s">
        <v>464</v>
      </c>
    </row>
    <row r="1808" spans="1:15" x14ac:dyDescent="0.3">
      <c r="A1808">
        <v>223072</v>
      </c>
      <c r="B1808">
        <v>116</v>
      </c>
      <c r="C1808" t="s">
        <v>568</v>
      </c>
      <c r="D1808" t="s">
        <v>2273</v>
      </c>
      <c r="E1808" t="s">
        <v>2757</v>
      </c>
      <c r="F1808" s="452">
        <v>46115</v>
      </c>
      <c r="G1808">
        <v>19555</v>
      </c>
      <c r="H1808" t="s">
        <v>4109</v>
      </c>
      <c r="I1808" t="s">
        <v>3469</v>
      </c>
      <c r="J1808">
        <v>0.7</v>
      </c>
      <c r="K1808" t="s">
        <v>3892</v>
      </c>
      <c r="L1808">
        <v>17.25</v>
      </c>
      <c r="M1808">
        <v>24.642856999999999</v>
      </c>
      <c r="N1808" t="s">
        <v>3469</v>
      </c>
      <c r="O1808" t="s">
        <v>464</v>
      </c>
    </row>
    <row r="1809" spans="1:15" x14ac:dyDescent="0.3">
      <c r="A1809">
        <v>223072</v>
      </c>
      <c r="B1809">
        <v>116</v>
      </c>
      <c r="C1809" t="s">
        <v>568</v>
      </c>
      <c r="D1809" t="s">
        <v>2273</v>
      </c>
      <c r="E1809" t="s">
        <v>2757</v>
      </c>
      <c r="F1809" s="452">
        <v>46115</v>
      </c>
      <c r="G1809">
        <v>19742</v>
      </c>
      <c r="H1809" t="s">
        <v>4074</v>
      </c>
      <c r="I1809" t="s">
        <v>3469</v>
      </c>
      <c r="J1809">
        <v>1.1000000000000001</v>
      </c>
      <c r="K1809" t="s">
        <v>3892</v>
      </c>
      <c r="L1809">
        <v>10.29</v>
      </c>
      <c r="M1809">
        <v>9.3545449999999999</v>
      </c>
      <c r="N1809" t="s">
        <v>3469</v>
      </c>
      <c r="O1809" t="s">
        <v>464</v>
      </c>
    </row>
    <row r="1810" spans="1:15" x14ac:dyDescent="0.3">
      <c r="A1810">
        <v>223072</v>
      </c>
      <c r="B1810">
        <v>116</v>
      </c>
      <c r="C1810" t="s">
        <v>568</v>
      </c>
      <c r="D1810" t="s">
        <v>2273</v>
      </c>
      <c r="E1810" t="s">
        <v>2757</v>
      </c>
      <c r="F1810" s="452">
        <v>46115</v>
      </c>
      <c r="G1810">
        <v>23096</v>
      </c>
      <c r="H1810" t="s">
        <v>3876</v>
      </c>
      <c r="I1810" t="s">
        <v>3469</v>
      </c>
      <c r="J1810">
        <v>60</v>
      </c>
      <c r="K1810" t="s">
        <v>3872</v>
      </c>
      <c r="L1810">
        <v>51.6</v>
      </c>
      <c r="M1810">
        <v>0.86</v>
      </c>
      <c r="N1810" t="s">
        <v>3469</v>
      </c>
      <c r="O1810" t="s">
        <v>464</v>
      </c>
    </row>
    <row r="1811" spans="1:15" x14ac:dyDescent="0.3">
      <c r="A1811">
        <v>223072</v>
      </c>
      <c r="B1811">
        <v>116</v>
      </c>
      <c r="C1811" t="s">
        <v>568</v>
      </c>
      <c r="D1811" t="s">
        <v>2273</v>
      </c>
      <c r="E1811" t="s">
        <v>2757</v>
      </c>
      <c r="F1811" s="452">
        <v>46115</v>
      </c>
      <c r="G1811">
        <v>19740</v>
      </c>
      <c r="H1811" t="s">
        <v>3933</v>
      </c>
      <c r="I1811" t="s">
        <v>3469</v>
      </c>
      <c r="J1811">
        <v>5</v>
      </c>
      <c r="K1811" t="s">
        <v>3892</v>
      </c>
      <c r="L1811">
        <v>39.85</v>
      </c>
      <c r="M1811">
        <v>7.97</v>
      </c>
      <c r="N1811" t="s">
        <v>3469</v>
      </c>
      <c r="O1811" t="s">
        <v>464</v>
      </c>
    </row>
    <row r="1812" spans="1:15" x14ac:dyDescent="0.3">
      <c r="A1812">
        <v>223072</v>
      </c>
      <c r="B1812">
        <v>116</v>
      </c>
      <c r="C1812" t="s">
        <v>568</v>
      </c>
      <c r="D1812" t="s">
        <v>2273</v>
      </c>
      <c r="E1812" t="s">
        <v>2757</v>
      </c>
      <c r="F1812" s="452">
        <v>46115</v>
      </c>
      <c r="G1812">
        <v>19623</v>
      </c>
      <c r="H1812" t="s">
        <v>3984</v>
      </c>
      <c r="I1812" t="s">
        <v>3469</v>
      </c>
      <c r="J1812">
        <v>3.15</v>
      </c>
      <c r="K1812" t="s">
        <v>3892</v>
      </c>
      <c r="L1812">
        <v>14.17</v>
      </c>
      <c r="M1812">
        <v>4.4984130000000002</v>
      </c>
      <c r="N1812" t="s">
        <v>3469</v>
      </c>
      <c r="O1812" t="s">
        <v>464</v>
      </c>
    </row>
    <row r="1813" spans="1:15" x14ac:dyDescent="0.3">
      <c r="A1813">
        <v>223072</v>
      </c>
      <c r="B1813">
        <v>116</v>
      </c>
      <c r="C1813" t="s">
        <v>568</v>
      </c>
      <c r="D1813" t="s">
        <v>2273</v>
      </c>
      <c r="E1813" t="s">
        <v>2757</v>
      </c>
      <c r="F1813" s="452">
        <v>46115</v>
      </c>
      <c r="G1813">
        <v>24598</v>
      </c>
      <c r="H1813" t="s">
        <v>4166</v>
      </c>
      <c r="I1813" t="s">
        <v>3469</v>
      </c>
      <c r="J1813">
        <v>1.1000000000000001</v>
      </c>
      <c r="K1813" t="s">
        <v>3892</v>
      </c>
      <c r="L1813">
        <v>20.25</v>
      </c>
      <c r="M1813">
        <v>18.409091</v>
      </c>
      <c r="N1813" t="s">
        <v>3469</v>
      </c>
      <c r="O1813" t="s">
        <v>464</v>
      </c>
    </row>
    <row r="1814" spans="1:15" x14ac:dyDescent="0.3">
      <c r="A1814">
        <v>223072</v>
      </c>
      <c r="B1814">
        <v>116</v>
      </c>
      <c r="C1814" t="s">
        <v>568</v>
      </c>
      <c r="D1814" t="s">
        <v>2273</v>
      </c>
      <c r="E1814" t="s">
        <v>2757</v>
      </c>
      <c r="F1814" s="452">
        <v>46115</v>
      </c>
      <c r="G1814">
        <v>24083</v>
      </c>
      <c r="H1814" t="s">
        <v>3898</v>
      </c>
      <c r="I1814" t="s">
        <v>3469</v>
      </c>
      <c r="J1814">
        <v>25</v>
      </c>
      <c r="K1814" t="s">
        <v>3892</v>
      </c>
      <c r="L1814">
        <v>128.75</v>
      </c>
      <c r="M1814">
        <v>5.15</v>
      </c>
      <c r="N1814" t="s">
        <v>3469</v>
      </c>
      <c r="O1814" t="s">
        <v>464</v>
      </c>
    </row>
    <row r="1815" spans="1:15" x14ac:dyDescent="0.3">
      <c r="A1815">
        <v>223072</v>
      </c>
      <c r="B1815">
        <v>116</v>
      </c>
      <c r="C1815" t="s">
        <v>568</v>
      </c>
      <c r="D1815" t="s">
        <v>2273</v>
      </c>
      <c r="E1815" t="s">
        <v>2757</v>
      </c>
      <c r="F1815" s="452">
        <v>46115</v>
      </c>
      <c r="G1815">
        <v>19539</v>
      </c>
      <c r="H1815" t="s">
        <v>4133</v>
      </c>
      <c r="I1815" t="s">
        <v>3469</v>
      </c>
      <c r="J1815">
        <v>18.8</v>
      </c>
      <c r="K1815" t="s">
        <v>3892</v>
      </c>
      <c r="L1815">
        <v>182.17</v>
      </c>
      <c r="M1815">
        <v>9.6898940000000007</v>
      </c>
      <c r="N1815" t="s">
        <v>3469</v>
      </c>
      <c r="O1815" t="s">
        <v>464</v>
      </c>
    </row>
    <row r="1816" spans="1:15" x14ac:dyDescent="0.3">
      <c r="A1816">
        <v>223072</v>
      </c>
      <c r="B1816">
        <v>116</v>
      </c>
      <c r="C1816" t="s">
        <v>568</v>
      </c>
      <c r="D1816" t="s">
        <v>2273</v>
      </c>
      <c r="E1816" t="s">
        <v>2757</v>
      </c>
      <c r="F1816" s="452">
        <v>46115</v>
      </c>
      <c r="G1816">
        <v>19672</v>
      </c>
      <c r="H1816" t="s">
        <v>4024</v>
      </c>
      <c r="I1816" t="s">
        <v>3469</v>
      </c>
      <c r="J1816">
        <v>2.19</v>
      </c>
      <c r="K1816" t="s">
        <v>3892</v>
      </c>
      <c r="L1816">
        <v>28.58</v>
      </c>
      <c r="M1816">
        <v>13.050228000000001</v>
      </c>
      <c r="N1816" t="s">
        <v>3469</v>
      </c>
      <c r="O1816" t="s">
        <v>464</v>
      </c>
    </row>
    <row r="1817" spans="1:15" x14ac:dyDescent="0.3">
      <c r="A1817">
        <v>223072</v>
      </c>
      <c r="B1817">
        <v>116</v>
      </c>
      <c r="C1817" t="s">
        <v>568</v>
      </c>
      <c r="D1817" t="s">
        <v>2273</v>
      </c>
      <c r="E1817" t="s">
        <v>2757</v>
      </c>
      <c r="F1817" s="452">
        <v>46115</v>
      </c>
      <c r="G1817">
        <v>23234</v>
      </c>
      <c r="H1817" t="s">
        <v>4018</v>
      </c>
      <c r="I1817" t="s">
        <v>3469</v>
      </c>
      <c r="J1817">
        <v>1</v>
      </c>
      <c r="K1817" t="s">
        <v>3892</v>
      </c>
      <c r="L1817">
        <v>26.82</v>
      </c>
      <c r="M1817">
        <v>26.82</v>
      </c>
      <c r="N1817" t="s">
        <v>3469</v>
      </c>
      <c r="O1817" t="s">
        <v>464</v>
      </c>
    </row>
    <row r="1818" spans="1:15" x14ac:dyDescent="0.3">
      <c r="A1818">
        <v>223068</v>
      </c>
      <c r="B1818">
        <v>116</v>
      </c>
      <c r="C1818" t="s">
        <v>568</v>
      </c>
      <c r="D1818" t="s">
        <v>2286</v>
      </c>
      <c r="E1818" t="s">
        <v>2758</v>
      </c>
      <c r="F1818" s="452">
        <v>46115</v>
      </c>
      <c r="G1818">
        <v>19634</v>
      </c>
      <c r="H1818" t="s">
        <v>4068</v>
      </c>
      <c r="I1818" t="s">
        <v>3469</v>
      </c>
      <c r="J1818">
        <v>2</v>
      </c>
      <c r="K1818" t="s">
        <v>3892</v>
      </c>
      <c r="L1818">
        <v>17</v>
      </c>
      <c r="M1818">
        <v>8.5</v>
      </c>
      <c r="N1818" t="s">
        <v>3469</v>
      </c>
      <c r="O1818" t="s">
        <v>464</v>
      </c>
    </row>
    <row r="1819" spans="1:15" x14ac:dyDescent="0.3">
      <c r="A1819">
        <v>223068</v>
      </c>
      <c r="B1819">
        <v>116</v>
      </c>
      <c r="C1819" t="s">
        <v>568</v>
      </c>
      <c r="D1819" t="s">
        <v>2286</v>
      </c>
      <c r="E1819" t="s">
        <v>2758</v>
      </c>
      <c r="F1819" s="452">
        <v>46115</v>
      </c>
      <c r="G1819">
        <v>19553</v>
      </c>
      <c r="H1819" t="s">
        <v>4078</v>
      </c>
      <c r="I1819" t="s">
        <v>3469</v>
      </c>
      <c r="J1819">
        <v>1.5</v>
      </c>
      <c r="K1819" t="s">
        <v>3892</v>
      </c>
      <c r="L1819">
        <v>10.35</v>
      </c>
      <c r="M1819">
        <v>6.9</v>
      </c>
      <c r="N1819" t="s">
        <v>3469</v>
      </c>
      <c r="O1819" t="s">
        <v>464</v>
      </c>
    </row>
    <row r="1820" spans="1:15" x14ac:dyDescent="0.3">
      <c r="A1820">
        <v>223068</v>
      </c>
      <c r="B1820">
        <v>116</v>
      </c>
      <c r="C1820" t="s">
        <v>568</v>
      </c>
      <c r="D1820" t="s">
        <v>2286</v>
      </c>
      <c r="E1820" t="s">
        <v>2758</v>
      </c>
      <c r="F1820" s="452">
        <v>46115</v>
      </c>
      <c r="G1820">
        <v>19743</v>
      </c>
      <c r="H1820" t="s">
        <v>4152</v>
      </c>
      <c r="I1820" t="s">
        <v>3469</v>
      </c>
      <c r="J1820">
        <v>3</v>
      </c>
      <c r="K1820" t="s">
        <v>3892</v>
      </c>
      <c r="L1820">
        <v>49.5</v>
      </c>
      <c r="M1820">
        <v>16.5</v>
      </c>
      <c r="N1820" t="s">
        <v>3469</v>
      </c>
      <c r="O1820" t="s">
        <v>464</v>
      </c>
    </row>
    <row r="1821" spans="1:15" x14ac:dyDescent="0.3">
      <c r="A1821">
        <v>223068</v>
      </c>
      <c r="B1821">
        <v>116</v>
      </c>
      <c r="C1821" t="s">
        <v>568</v>
      </c>
      <c r="D1821" t="s">
        <v>2286</v>
      </c>
      <c r="E1821" t="s">
        <v>2758</v>
      </c>
      <c r="F1821" s="452">
        <v>46115</v>
      </c>
      <c r="G1821">
        <v>23171</v>
      </c>
      <c r="H1821" t="s">
        <v>4132</v>
      </c>
      <c r="I1821" t="s">
        <v>3469</v>
      </c>
      <c r="J1821">
        <v>3</v>
      </c>
      <c r="K1821" t="s">
        <v>3892</v>
      </c>
      <c r="L1821">
        <v>33</v>
      </c>
      <c r="M1821">
        <v>11</v>
      </c>
      <c r="N1821" t="s">
        <v>3469</v>
      </c>
      <c r="O1821" t="s">
        <v>464</v>
      </c>
    </row>
    <row r="1822" spans="1:15" x14ac:dyDescent="0.3">
      <c r="A1822">
        <v>223068</v>
      </c>
      <c r="B1822">
        <v>116</v>
      </c>
      <c r="C1822" t="s">
        <v>568</v>
      </c>
      <c r="D1822" t="s">
        <v>2286</v>
      </c>
      <c r="E1822" t="s">
        <v>2758</v>
      </c>
      <c r="F1822" s="452">
        <v>46115</v>
      </c>
      <c r="G1822">
        <v>23361</v>
      </c>
      <c r="H1822" t="s">
        <v>4220</v>
      </c>
      <c r="I1822" t="s">
        <v>3469</v>
      </c>
      <c r="J1822">
        <v>18</v>
      </c>
      <c r="K1822" t="s">
        <v>3892</v>
      </c>
      <c r="L1822">
        <v>63</v>
      </c>
      <c r="M1822">
        <v>3.5</v>
      </c>
      <c r="N1822" t="s">
        <v>3469</v>
      </c>
      <c r="O1822" t="s">
        <v>464</v>
      </c>
    </row>
    <row r="1823" spans="1:15" x14ac:dyDescent="0.3">
      <c r="A1823">
        <v>223068</v>
      </c>
      <c r="B1823">
        <v>116</v>
      </c>
      <c r="C1823" t="s">
        <v>568</v>
      </c>
      <c r="D1823" t="s">
        <v>2286</v>
      </c>
      <c r="E1823" t="s">
        <v>2758</v>
      </c>
      <c r="F1823" s="452">
        <v>46115</v>
      </c>
      <c r="G1823">
        <v>23142</v>
      </c>
      <c r="H1823" t="s">
        <v>4151</v>
      </c>
      <c r="I1823" t="s">
        <v>3469</v>
      </c>
      <c r="J1823">
        <v>1</v>
      </c>
      <c r="K1823" t="s">
        <v>3892</v>
      </c>
      <c r="L1823">
        <v>25</v>
      </c>
      <c r="M1823">
        <v>25</v>
      </c>
      <c r="N1823" t="s">
        <v>3469</v>
      </c>
      <c r="O1823" t="s">
        <v>464</v>
      </c>
    </row>
    <row r="1824" spans="1:15" x14ac:dyDescent="0.3">
      <c r="A1824">
        <v>223052</v>
      </c>
      <c r="B1824">
        <v>116</v>
      </c>
      <c r="C1824" t="s">
        <v>568</v>
      </c>
      <c r="D1824" t="s">
        <v>2286</v>
      </c>
      <c r="E1824" t="s">
        <v>2759</v>
      </c>
      <c r="F1824" s="452">
        <v>46115</v>
      </c>
      <c r="G1824">
        <v>19505</v>
      </c>
      <c r="H1824" t="s">
        <v>4101</v>
      </c>
      <c r="I1824" t="s">
        <v>3469</v>
      </c>
      <c r="J1824">
        <v>1</v>
      </c>
      <c r="K1824" t="s">
        <v>3892</v>
      </c>
      <c r="L1824">
        <v>11.3</v>
      </c>
      <c r="M1824">
        <v>11.3</v>
      </c>
      <c r="N1824" t="s">
        <v>4240</v>
      </c>
      <c r="O1824" t="s">
        <v>464</v>
      </c>
    </row>
    <row r="1825" spans="1:15" x14ac:dyDescent="0.3">
      <c r="A1825">
        <v>223052</v>
      </c>
      <c r="B1825">
        <v>116</v>
      </c>
      <c r="C1825" t="s">
        <v>568</v>
      </c>
      <c r="D1825" t="s">
        <v>2286</v>
      </c>
      <c r="E1825" t="s">
        <v>2759</v>
      </c>
      <c r="F1825" s="452">
        <v>46115</v>
      </c>
      <c r="G1825">
        <v>19647</v>
      </c>
      <c r="H1825" t="s">
        <v>4066</v>
      </c>
      <c r="I1825" t="s">
        <v>3469</v>
      </c>
      <c r="J1825">
        <v>1</v>
      </c>
      <c r="K1825" t="s">
        <v>3892</v>
      </c>
      <c r="L1825">
        <v>15</v>
      </c>
      <c r="M1825">
        <v>15</v>
      </c>
      <c r="N1825" t="s">
        <v>4240</v>
      </c>
      <c r="O1825" t="s">
        <v>464</v>
      </c>
    </row>
    <row r="1826" spans="1:15" x14ac:dyDescent="0.3">
      <c r="A1826">
        <v>223052</v>
      </c>
      <c r="B1826">
        <v>116</v>
      </c>
      <c r="C1826" t="s">
        <v>568</v>
      </c>
      <c r="D1826" t="s">
        <v>2286</v>
      </c>
      <c r="E1826" t="s">
        <v>2759</v>
      </c>
      <c r="F1826" s="452">
        <v>46115</v>
      </c>
      <c r="G1826">
        <v>19617</v>
      </c>
      <c r="H1826" t="s">
        <v>4110</v>
      </c>
      <c r="I1826" t="s">
        <v>3469</v>
      </c>
      <c r="J1826">
        <v>0.3</v>
      </c>
      <c r="K1826" t="s">
        <v>3892</v>
      </c>
      <c r="L1826">
        <v>4.5</v>
      </c>
      <c r="M1826">
        <v>15</v>
      </c>
      <c r="N1826" t="s">
        <v>4240</v>
      </c>
      <c r="O1826" t="s">
        <v>464</v>
      </c>
    </row>
    <row r="1827" spans="1:15" x14ac:dyDescent="0.3">
      <c r="A1827">
        <v>223052</v>
      </c>
      <c r="B1827">
        <v>116</v>
      </c>
      <c r="C1827" t="s">
        <v>568</v>
      </c>
      <c r="D1827" t="s">
        <v>2286</v>
      </c>
      <c r="E1827" t="s">
        <v>2759</v>
      </c>
      <c r="F1827" s="452">
        <v>46115</v>
      </c>
      <c r="G1827">
        <v>23113</v>
      </c>
      <c r="H1827" t="s">
        <v>4079</v>
      </c>
      <c r="I1827" t="s">
        <v>3469</v>
      </c>
      <c r="J1827">
        <v>1.5</v>
      </c>
      <c r="K1827" t="s">
        <v>3892</v>
      </c>
      <c r="L1827">
        <v>18</v>
      </c>
      <c r="M1827">
        <v>12</v>
      </c>
      <c r="N1827" t="s">
        <v>4240</v>
      </c>
      <c r="O1827" t="s">
        <v>464</v>
      </c>
    </row>
    <row r="1828" spans="1:15" x14ac:dyDescent="0.3">
      <c r="A1828">
        <v>223052</v>
      </c>
      <c r="B1828">
        <v>116</v>
      </c>
      <c r="C1828" t="s">
        <v>568</v>
      </c>
      <c r="D1828" t="s">
        <v>2286</v>
      </c>
      <c r="E1828" t="s">
        <v>2759</v>
      </c>
      <c r="F1828" s="452">
        <v>46115</v>
      </c>
      <c r="G1828">
        <v>19498</v>
      </c>
      <c r="H1828" t="s">
        <v>4065</v>
      </c>
      <c r="I1828" t="s">
        <v>3469</v>
      </c>
      <c r="J1828">
        <v>1</v>
      </c>
      <c r="K1828" t="s">
        <v>3892</v>
      </c>
      <c r="L1828">
        <v>12</v>
      </c>
      <c r="M1828">
        <v>12</v>
      </c>
      <c r="N1828" t="s">
        <v>4240</v>
      </c>
      <c r="O1828" t="s">
        <v>464</v>
      </c>
    </row>
    <row r="1829" spans="1:15" x14ac:dyDescent="0.3">
      <c r="A1829">
        <v>223052</v>
      </c>
      <c r="B1829">
        <v>116</v>
      </c>
      <c r="C1829" t="s">
        <v>568</v>
      </c>
      <c r="D1829" t="s">
        <v>2286</v>
      </c>
      <c r="E1829" t="s">
        <v>2759</v>
      </c>
      <c r="F1829" s="452">
        <v>46115</v>
      </c>
      <c r="G1829">
        <v>23095</v>
      </c>
      <c r="H1829" t="s">
        <v>3882</v>
      </c>
      <c r="I1829" t="s">
        <v>3469</v>
      </c>
      <c r="J1829">
        <v>60</v>
      </c>
      <c r="K1829" t="s">
        <v>3872</v>
      </c>
      <c r="L1829">
        <v>81</v>
      </c>
      <c r="M1829">
        <v>1.35</v>
      </c>
      <c r="N1829" t="s">
        <v>4240</v>
      </c>
      <c r="O1829" t="s">
        <v>464</v>
      </c>
    </row>
    <row r="1830" spans="1:15" x14ac:dyDescent="0.3">
      <c r="A1830">
        <v>223052</v>
      </c>
      <c r="B1830">
        <v>116</v>
      </c>
      <c r="C1830" t="s">
        <v>568</v>
      </c>
      <c r="D1830" t="s">
        <v>2286</v>
      </c>
      <c r="E1830" t="s">
        <v>2759</v>
      </c>
      <c r="F1830" s="452">
        <v>46115</v>
      </c>
      <c r="G1830">
        <v>24037</v>
      </c>
      <c r="H1830" t="s">
        <v>4104</v>
      </c>
      <c r="I1830" t="s">
        <v>3469</v>
      </c>
      <c r="J1830">
        <v>2</v>
      </c>
      <c r="K1830" t="s">
        <v>3892</v>
      </c>
      <c r="L1830">
        <v>37</v>
      </c>
      <c r="M1830">
        <v>18.5</v>
      </c>
      <c r="N1830" t="s">
        <v>4240</v>
      </c>
      <c r="O1830" t="s">
        <v>464</v>
      </c>
    </row>
    <row r="1831" spans="1:15" x14ac:dyDescent="0.3">
      <c r="A1831">
        <v>223052</v>
      </c>
      <c r="B1831">
        <v>116</v>
      </c>
      <c r="C1831" t="s">
        <v>568</v>
      </c>
      <c r="D1831" t="s">
        <v>2286</v>
      </c>
      <c r="E1831" t="s">
        <v>2759</v>
      </c>
      <c r="F1831" s="452">
        <v>46115</v>
      </c>
      <c r="G1831">
        <v>23236</v>
      </c>
      <c r="H1831" t="s">
        <v>4017</v>
      </c>
      <c r="I1831" t="s">
        <v>3469</v>
      </c>
      <c r="J1831">
        <v>3</v>
      </c>
      <c r="K1831" t="s">
        <v>3892</v>
      </c>
      <c r="L1831">
        <v>36</v>
      </c>
      <c r="M1831">
        <v>12</v>
      </c>
      <c r="N1831" t="s">
        <v>4240</v>
      </c>
      <c r="O1831" t="s">
        <v>464</v>
      </c>
    </row>
    <row r="1832" spans="1:15" x14ac:dyDescent="0.3">
      <c r="A1832">
        <v>223052</v>
      </c>
      <c r="B1832">
        <v>116</v>
      </c>
      <c r="C1832" t="s">
        <v>568</v>
      </c>
      <c r="D1832" t="s">
        <v>2286</v>
      </c>
      <c r="E1832" t="s">
        <v>2759</v>
      </c>
      <c r="F1832" s="452">
        <v>46115</v>
      </c>
      <c r="G1832">
        <v>19752</v>
      </c>
      <c r="H1832" t="s">
        <v>4042</v>
      </c>
      <c r="I1832" t="s">
        <v>3469</v>
      </c>
      <c r="J1832">
        <v>1</v>
      </c>
      <c r="K1832" t="s">
        <v>3892</v>
      </c>
      <c r="L1832">
        <v>8</v>
      </c>
      <c r="M1832">
        <v>8</v>
      </c>
      <c r="N1832" t="s">
        <v>4240</v>
      </c>
      <c r="O1832" t="s">
        <v>464</v>
      </c>
    </row>
    <row r="1833" spans="1:15" x14ac:dyDescent="0.3">
      <c r="A1833">
        <v>223052</v>
      </c>
      <c r="B1833">
        <v>116</v>
      </c>
      <c r="C1833" t="s">
        <v>568</v>
      </c>
      <c r="D1833" t="s">
        <v>2286</v>
      </c>
      <c r="E1833" t="s">
        <v>2759</v>
      </c>
      <c r="F1833" s="452">
        <v>46115</v>
      </c>
      <c r="G1833">
        <v>19589</v>
      </c>
      <c r="H1833" t="s">
        <v>4153</v>
      </c>
      <c r="I1833" t="s">
        <v>3469</v>
      </c>
      <c r="J1833">
        <v>2</v>
      </c>
      <c r="K1833" t="s">
        <v>3892</v>
      </c>
      <c r="L1833">
        <v>12</v>
      </c>
      <c r="M1833">
        <v>6</v>
      </c>
      <c r="N1833" t="s">
        <v>4240</v>
      </c>
      <c r="O1833" t="s">
        <v>464</v>
      </c>
    </row>
    <row r="1834" spans="1:15" x14ac:dyDescent="0.3">
      <c r="A1834">
        <v>223052</v>
      </c>
      <c r="B1834">
        <v>116</v>
      </c>
      <c r="C1834" t="s">
        <v>568</v>
      </c>
      <c r="D1834" t="s">
        <v>2286</v>
      </c>
      <c r="E1834" t="s">
        <v>2759</v>
      </c>
      <c r="F1834" s="452">
        <v>46115</v>
      </c>
      <c r="G1834">
        <v>23195</v>
      </c>
      <c r="H1834" t="s">
        <v>4184</v>
      </c>
      <c r="I1834" t="s">
        <v>3469</v>
      </c>
      <c r="J1834">
        <v>2</v>
      </c>
      <c r="K1834" t="s">
        <v>3892</v>
      </c>
      <c r="L1834">
        <v>34</v>
      </c>
      <c r="M1834">
        <v>17</v>
      </c>
      <c r="N1834" t="s">
        <v>4240</v>
      </c>
      <c r="O1834" t="s">
        <v>464</v>
      </c>
    </row>
    <row r="1835" spans="1:15" x14ac:dyDescent="0.3">
      <c r="A1835">
        <v>223052</v>
      </c>
      <c r="B1835">
        <v>116</v>
      </c>
      <c r="C1835" t="s">
        <v>568</v>
      </c>
      <c r="D1835" t="s">
        <v>2286</v>
      </c>
      <c r="E1835" t="s">
        <v>2759</v>
      </c>
      <c r="F1835" s="452">
        <v>46115</v>
      </c>
      <c r="G1835">
        <v>23389</v>
      </c>
      <c r="H1835" t="s">
        <v>4016</v>
      </c>
      <c r="I1835" t="s">
        <v>3469</v>
      </c>
      <c r="J1835">
        <v>5</v>
      </c>
      <c r="K1835" t="s">
        <v>3892</v>
      </c>
      <c r="L1835">
        <v>25</v>
      </c>
      <c r="M1835">
        <v>5</v>
      </c>
      <c r="N1835" t="s">
        <v>4240</v>
      </c>
      <c r="O1835" t="s">
        <v>464</v>
      </c>
    </row>
    <row r="1836" spans="1:15" x14ac:dyDescent="0.3">
      <c r="A1836">
        <v>223052</v>
      </c>
      <c r="B1836">
        <v>116</v>
      </c>
      <c r="C1836" t="s">
        <v>568</v>
      </c>
      <c r="D1836" t="s">
        <v>2286</v>
      </c>
      <c r="E1836" t="s">
        <v>2759</v>
      </c>
      <c r="F1836" s="452">
        <v>46115</v>
      </c>
      <c r="G1836">
        <v>23120</v>
      </c>
      <c r="H1836" t="s">
        <v>4111</v>
      </c>
      <c r="I1836" t="s">
        <v>3469</v>
      </c>
      <c r="J1836">
        <v>0.2</v>
      </c>
      <c r="K1836" t="s">
        <v>3892</v>
      </c>
      <c r="L1836">
        <v>13</v>
      </c>
      <c r="M1836">
        <v>65</v>
      </c>
      <c r="N1836" t="s">
        <v>4240</v>
      </c>
      <c r="O1836" t="s">
        <v>464</v>
      </c>
    </row>
    <row r="1837" spans="1:15" x14ac:dyDescent="0.3">
      <c r="A1837">
        <v>223052</v>
      </c>
      <c r="B1837">
        <v>116</v>
      </c>
      <c r="C1837" t="s">
        <v>568</v>
      </c>
      <c r="D1837" t="s">
        <v>2286</v>
      </c>
      <c r="E1837" t="s">
        <v>2759</v>
      </c>
      <c r="F1837" s="452">
        <v>46115</v>
      </c>
      <c r="G1837">
        <v>19494</v>
      </c>
      <c r="H1837" t="s">
        <v>4126</v>
      </c>
      <c r="I1837" t="s">
        <v>3469</v>
      </c>
      <c r="J1837">
        <v>2</v>
      </c>
      <c r="K1837" t="s">
        <v>3892</v>
      </c>
      <c r="L1837">
        <v>24</v>
      </c>
      <c r="M1837">
        <v>12</v>
      </c>
      <c r="N1837" t="s">
        <v>4240</v>
      </c>
      <c r="O1837" t="s">
        <v>464</v>
      </c>
    </row>
    <row r="1838" spans="1:15" x14ac:dyDescent="0.3">
      <c r="A1838">
        <v>223052</v>
      </c>
      <c r="B1838">
        <v>116</v>
      </c>
      <c r="C1838" t="s">
        <v>568</v>
      </c>
      <c r="D1838" t="s">
        <v>2286</v>
      </c>
      <c r="E1838" t="s">
        <v>2759</v>
      </c>
      <c r="F1838" s="452">
        <v>46115</v>
      </c>
      <c r="G1838">
        <v>23359</v>
      </c>
      <c r="H1838" t="s">
        <v>3932</v>
      </c>
      <c r="I1838" t="s">
        <v>3469</v>
      </c>
      <c r="J1838">
        <v>10</v>
      </c>
      <c r="K1838" t="s">
        <v>3892</v>
      </c>
      <c r="L1838">
        <v>22.5</v>
      </c>
      <c r="M1838">
        <v>2.25</v>
      </c>
      <c r="N1838" t="s">
        <v>4240</v>
      </c>
      <c r="O1838" t="s">
        <v>464</v>
      </c>
    </row>
    <row r="1839" spans="1:15" x14ac:dyDescent="0.3">
      <c r="A1839">
        <v>223052</v>
      </c>
      <c r="B1839">
        <v>116</v>
      </c>
      <c r="C1839" t="s">
        <v>568</v>
      </c>
      <c r="D1839" t="s">
        <v>2286</v>
      </c>
      <c r="E1839" t="s">
        <v>2759</v>
      </c>
      <c r="F1839" s="452">
        <v>46115</v>
      </c>
      <c r="G1839">
        <v>19572</v>
      </c>
      <c r="H1839" t="s">
        <v>4023</v>
      </c>
      <c r="I1839" t="s">
        <v>3469</v>
      </c>
      <c r="J1839">
        <v>1</v>
      </c>
      <c r="K1839" t="s">
        <v>3892</v>
      </c>
      <c r="L1839">
        <v>15</v>
      </c>
      <c r="M1839">
        <v>15</v>
      </c>
      <c r="N1839" t="s">
        <v>4240</v>
      </c>
      <c r="O1839" t="s">
        <v>464</v>
      </c>
    </row>
    <row r="1840" spans="1:15" x14ac:dyDescent="0.3">
      <c r="A1840">
        <v>223052</v>
      </c>
      <c r="B1840">
        <v>116</v>
      </c>
      <c r="C1840" t="s">
        <v>568</v>
      </c>
      <c r="D1840" t="s">
        <v>2286</v>
      </c>
      <c r="E1840" t="s">
        <v>2759</v>
      </c>
      <c r="F1840" s="452">
        <v>46115</v>
      </c>
      <c r="G1840">
        <v>19488</v>
      </c>
      <c r="H1840" t="s">
        <v>4070</v>
      </c>
      <c r="I1840" t="s">
        <v>3469</v>
      </c>
      <c r="J1840">
        <v>0.5</v>
      </c>
      <c r="K1840" t="s">
        <v>3892</v>
      </c>
      <c r="L1840">
        <v>7</v>
      </c>
      <c r="M1840">
        <v>14</v>
      </c>
      <c r="N1840" t="s">
        <v>4240</v>
      </c>
      <c r="O1840" t="s">
        <v>464</v>
      </c>
    </row>
    <row r="1841" spans="1:15" x14ac:dyDescent="0.3">
      <c r="A1841">
        <v>223052</v>
      </c>
      <c r="B1841">
        <v>116</v>
      </c>
      <c r="C1841" t="s">
        <v>568</v>
      </c>
      <c r="D1841" t="s">
        <v>2286</v>
      </c>
      <c r="E1841" t="s">
        <v>2759</v>
      </c>
      <c r="F1841" s="452">
        <v>46115</v>
      </c>
      <c r="G1841">
        <v>19787</v>
      </c>
      <c r="H1841" t="s">
        <v>3940</v>
      </c>
      <c r="I1841" t="s">
        <v>3469</v>
      </c>
      <c r="J1841">
        <v>4.5</v>
      </c>
      <c r="K1841" t="s">
        <v>3892</v>
      </c>
      <c r="L1841">
        <v>24.53</v>
      </c>
      <c r="M1841">
        <v>5.451111</v>
      </c>
      <c r="N1841" t="s">
        <v>4240</v>
      </c>
      <c r="O1841" t="s">
        <v>464</v>
      </c>
    </row>
    <row r="1842" spans="1:15" x14ac:dyDescent="0.3">
      <c r="A1842">
        <v>223047</v>
      </c>
      <c r="B1842">
        <v>116</v>
      </c>
      <c r="C1842" t="s">
        <v>568</v>
      </c>
      <c r="D1842" t="s">
        <v>2273</v>
      </c>
      <c r="E1842" t="s">
        <v>2760</v>
      </c>
      <c r="F1842" s="452">
        <v>46112</v>
      </c>
      <c r="G1842">
        <v>19507</v>
      </c>
      <c r="H1842" t="s">
        <v>4328</v>
      </c>
      <c r="I1842" t="s">
        <v>3469</v>
      </c>
      <c r="J1842">
        <v>1</v>
      </c>
      <c r="K1842" t="s">
        <v>3892</v>
      </c>
      <c r="L1842">
        <v>15.3</v>
      </c>
      <c r="M1842">
        <v>15.3</v>
      </c>
      <c r="N1842" t="s">
        <v>4240</v>
      </c>
      <c r="O1842" t="s">
        <v>463</v>
      </c>
    </row>
    <row r="1843" spans="1:15" x14ac:dyDescent="0.3">
      <c r="A1843">
        <v>223047</v>
      </c>
      <c r="B1843">
        <v>116</v>
      </c>
      <c r="C1843" t="s">
        <v>568</v>
      </c>
      <c r="D1843" t="s">
        <v>2273</v>
      </c>
      <c r="E1843" t="s">
        <v>2760</v>
      </c>
      <c r="F1843" s="452">
        <v>46112</v>
      </c>
      <c r="G1843">
        <v>23171</v>
      </c>
      <c r="H1843" t="s">
        <v>4132</v>
      </c>
      <c r="I1843" t="s">
        <v>3469</v>
      </c>
      <c r="J1843">
        <v>3.2</v>
      </c>
      <c r="K1843" t="s">
        <v>3892</v>
      </c>
      <c r="L1843">
        <v>27.36</v>
      </c>
      <c r="M1843">
        <v>8.5500000000000007</v>
      </c>
      <c r="N1843" t="s">
        <v>4240</v>
      </c>
      <c r="O1843" t="s">
        <v>463</v>
      </c>
    </row>
    <row r="1844" spans="1:15" x14ac:dyDescent="0.3">
      <c r="A1844">
        <v>223047</v>
      </c>
      <c r="B1844">
        <v>116</v>
      </c>
      <c r="C1844" t="s">
        <v>568</v>
      </c>
      <c r="D1844" t="s">
        <v>2273</v>
      </c>
      <c r="E1844" t="s">
        <v>2760</v>
      </c>
      <c r="F1844" s="452">
        <v>46112</v>
      </c>
      <c r="G1844">
        <v>19555</v>
      </c>
      <c r="H1844" t="s">
        <v>4109</v>
      </c>
      <c r="I1844" t="s">
        <v>3469</v>
      </c>
      <c r="J1844">
        <v>0.5</v>
      </c>
      <c r="K1844" t="s">
        <v>3892</v>
      </c>
      <c r="L1844">
        <v>12.32</v>
      </c>
      <c r="M1844">
        <v>24.64</v>
      </c>
      <c r="N1844" t="s">
        <v>4240</v>
      </c>
      <c r="O1844" t="s">
        <v>463</v>
      </c>
    </row>
    <row r="1845" spans="1:15" x14ac:dyDescent="0.3">
      <c r="A1845">
        <v>223047</v>
      </c>
      <c r="B1845">
        <v>116</v>
      </c>
      <c r="C1845" t="s">
        <v>568</v>
      </c>
      <c r="D1845" t="s">
        <v>2273</v>
      </c>
      <c r="E1845" t="s">
        <v>2760</v>
      </c>
      <c r="F1845" s="452">
        <v>46112</v>
      </c>
      <c r="G1845">
        <v>23361</v>
      </c>
      <c r="H1845" t="s">
        <v>4220</v>
      </c>
      <c r="I1845" t="s">
        <v>3469</v>
      </c>
      <c r="J1845">
        <v>18</v>
      </c>
      <c r="K1845" t="s">
        <v>3892</v>
      </c>
      <c r="L1845">
        <v>62.1</v>
      </c>
      <c r="M1845">
        <v>3.45</v>
      </c>
      <c r="N1845" t="s">
        <v>4240</v>
      </c>
      <c r="O1845" t="s">
        <v>463</v>
      </c>
    </row>
    <row r="1846" spans="1:15" x14ac:dyDescent="0.3">
      <c r="A1846">
        <v>223047</v>
      </c>
      <c r="B1846">
        <v>116</v>
      </c>
      <c r="C1846" t="s">
        <v>568</v>
      </c>
      <c r="D1846" t="s">
        <v>2273</v>
      </c>
      <c r="E1846" t="s">
        <v>2760</v>
      </c>
      <c r="F1846" s="452">
        <v>46112</v>
      </c>
      <c r="G1846">
        <v>17066</v>
      </c>
      <c r="H1846" t="s">
        <v>4155</v>
      </c>
      <c r="I1846" t="s">
        <v>3469</v>
      </c>
      <c r="J1846">
        <v>1</v>
      </c>
      <c r="K1846" t="s">
        <v>3892</v>
      </c>
      <c r="L1846">
        <v>20.88</v>
      </c>
      <c r="M1846">
        <v>20.88</v>
      </c>
      <c r="N1846" t="s">
        <v>4240</v>
      </c>
      <c r="O1846" t="s">
        <v>463</v>
      </c>
    </row>
    <row r="1847" spans="1:15" x14ac:dyDescent="0.3">
      <c r="A1847">
        <v>223047</v>
      </c>
      <c r="B1847">
        <v>116</v>
      </c>
      <c r="C1847" t="s">
        <v>568</v>
      </c>
      <c r="D1847" t="s">
        <v>2273</v>
      </c>
      <c r="E1847" t="s">
        <v>2760</v>
      </c>
      <c r="F1847" s="452">
        <v>46112</v>
      </c>
      <c r="G1847">
        <v>23113</v>
      </c>
      <c r="H1847" t="s">
        <v>4079</v>
      </c>
      <c r="I1847" t="s">
        <v>3469</v>
      </c>
      <c r="J1847">
        <v>1.5</v>
      </c>
      <c r="K1847" t="s">
        <v>3892</v>
      </c>
      <c r="L1847">
        <v>19.37</v>
      </c>
      <c r="M1847">
        <v>12.913333</v>
      </c>
      <c r="N1847" t="s">
        <v>4240</v>
      </c>
      <c r="O1847" t="s">
        <v>463</v>
      </c>
    </row>
    <row r="1848" spans="1:15" x14ac:dyDescent="0.3">
      <c r="A1848">
        <v>223047</v>
      </c>
      <c r="B1848">
        <v>116</v>
      </c>
      <c r="C1848" t="s">
        <v>568</v>
      </c>
      <c r="D1848" t="s">
        <v>2273</v>
      </c>
      <c r="E1848" t="s">
        <v>2760</v>
      </c>
      <c r="F1848" s="452">
        <v>46112</v>
      </c>
      <c r="G1848">
        <v>24083</v>
      </c>
      <c r="H1848" t="s">
        <v>3898</v>
      </c>
      <c r="I1848" t="s">
        <v>3469</v>
      </c>
      <c r="J1848">
        <v>10</v>
      </c>
      <c r="K1848" t="s">
        <v>3892</v>
      </c>
      <c r="L1848">
        <v>51.5</v>
      </c>
      <c r="M1848">
        <v>5.15</v>
      </c>
      <c r="N1848" t="s">
        <v>4240</v>
      </c>
      <c r="O1848" t="s">
        <v>463</v>
      </c>
    </row>
    <row r="1849" spans="1:15" x14ac:dyDescent="0.3">
      <c r="A1849">
        <v>223047</v>
      </c>
      <c r="B1849">
        <v>116</v>
      </c>
      <c r="C1849" t="s">
        <v>568</v>
      </c>
      <c r="D1849" t="s">
        <v>2273</v>
      </c>
      <c r="E1849" t="s">
        <v>2760</v>
      </c>
      <c r="F1849" s="452">
        <v>46112</v>
      </c>
      <c r="G1849">
        <v>19672</v>
      </c>
      <c r="H1849" t="s">
        <v>4024</v>
      </c>
      <c r="I1849" t="s">
        <v>3469</v>
      </c>
      <c r="J1849">
        <v>2.0499999999999998</v>
      </c>
      <c r="K1849" t="s">
        <v>3892</v>
      </c>
      <c r="L1849">
        <v>16.34</v>
      </c>
      <c r="M1849">
        <v>7.9707319999999999</v>
      </c>
      <c r="N1849" t="s">
        <v>4240</v>
      </c>
      <c r="O1849" t="s">
        <v>463</v>
      </c>
    </row>
    <row r="1850" spans="1:15" x14ac:dyDescent="0.3">
      <c r="A1850">
        <v>223030</v>
      </c>
      <c r="B1850">
        <v>116</v>
      </c>
      <c r="C1850" t="s">
        <v>568</v>
      </c>
      <c r="D1850" t="s">
        <v>2265</v>
      </c>
      <c r="E1850" t="s">
        <v>2761</v>
      </c>
      <c r="F1850" s="452">
        <v>46112</v>
      </c>
      <c r="G1850">
        <v>17437</v>
      </c>
      <c r="H1850" t="s">
        <v>4198</v>
      </c>
      <c r="I1850" t="s">
        <v>4199</v>
      </c>
      <c r="J1850">
        <v>10</v>
      </c>
      <c r="K1850" t="s">
        <v>3872</v>
      </c>
      <c r="L1850">
        <v>23</v>
      </c>
      <c r="M1850">
        <v>2.2999999999999998</v>
      </c>
      <c r="N1850" t="s">
        <v>2176</v>
      </c>
      <c r="O1850" t="s">
        <v>463</v>
      </c>
    </row>
    <row r="1851" spans="1:15" x14ac:dyDescent="0.3">
      <c r="A1851">
        <v>223030</v>
      </c>
      <c r="B1851">
        <v>116</v>
      </c>
      <c r="C1851" t="s">
        <v>568</v>
      </c>
      <c r="D1851" t="s">
        <v>2265</v>
      </c>
      <c r="E1851" t="s">
        <v>2761</v>
      </c>
      <c r="F1851" s="452">
        <v>46112</v>
      </c>
      <c r="G1851">
        <v>17314</v>
      </c>
      <c r="H1851" t="s">
        <v>4204</v>
      </c>
      <c r="I1851" t="s">
        <v>4199</v>
      </c>
      <c r="J1851">
        <v>2</v>
      </c>
      <c r="K1851" t="s">
        <v>3978</v>
      </c>
      <c r="L1851">
        <v>11.78</v>
      </c>
      <c r="M1851">
        <v>5.89</v>
      </c>
      <c r="N1851" t="s">
        <v>2176</v>
      </c>
      <c r="O1851" t="s">
        <v>463</v>
      </c>
    </row>
    <row r="1852" spans="1:15" x14ac:dyDescent="0.3">
      <c r="A1852">
        <v>223030</v>
      </c>
      <c r="B1852">
        <v>116</v>
      </c>
      <c r="C1852" t="s">
        <v>568</v>
      </c>
      <c r="D1852" t="s">
        <v>2265</v>
      </c>
      <c r="E1852" t="s">
        <v>2761</v>
      </c>
      <c r="F1852" s="452">
        <v>46112</v>
      </c>
      <c r="G1852">
        <v>17185</v>
      </c>
      <c r="H1852" t="s">
        <v>4210</v>
      </c>
      <c r="I1852" t="s">
        <v>4199</v>
      </c>
      <c r="J1852">
        <v>1</v>
      </c>
      <c r="K1852" t="s">
        <v>3978</v>
      </c>
      <c r="L1852">
        <v>15.95</v>
      </c>
      <c r="M1852">
        <v>15.95</v>
      </c>
      <c r="N1852" t="s">
        <v>2176</v>
      </c>
      <c r="O1852" t="s">
        <v>463</v>
      </c>
    </row>
    <row r="1853" spans="1:15" x14ac:dyDescent="0.3">
      <c r="A1853">
        <v>223030</v>
      </c>
      <c r="B1853">
        <v>116</v>
      </c>
      <c r="C1853" t="s">
        <v>568</v>
      </c>
      <c r="D1853" t="s">
        <v>2265</v>
      </c>
      <c r="E1853" t="s">
        <v>2761</v>
      </c>
      <c r="F1853" s="452">
        <v>46112</v>
      </c>
      <c r="G1853">
        <v>17215</v>
      </c>
      <c r="H1853" t="s">
        <v>4283</v>
      </c>
      <c r="I1853" t="s">
        <v>4199</v>
      </c>
      <c r="J1853">
        <v>5</v>
      </c>
      <c r="K1853" t="s">
        <v>3978</v>
      </c>
      <c r="L1853">
        <v>99.95</v>
      </c>
      <c r="M1853">
        <v>19.989999999999998</v>
      </c>
      <c r="N1853" t="s">
        <v>2176</v>
      </c>
      <c r="O1853" t="s">
        <v>463</v>
      </c>
    </row>
    <row r="1854" spans="1:15" x14ac:dyDescent="0.3">
      <c r="A1854">
        <v>223030</v>
      </c>
      <c r="B1854">
        <v>116</v>
      </c>
      <c r="C1854" t="s">
        <v>568</v>
      </c>
      <c r="D1854" t="s">
        <v>2265</v>
      </c>
      <c r="E1854" t="s">
        <v>2761</v>
      </c>
      <c r="F1854" s="452">
        <v>46112</v>
      </c>
      <c r="G1854">
        <v>17474</v>
      </c>
      <c r="H1854" t="s">
        <v>4273</v>
      </c>
      <c r="I1854" t="s">
        <v>4199</v>
      </c>
      <c r="J1854">
        <v>1</v>
      </c>
      <c r="K1854" t="s">
        <v>3881</v>
      </c>
      <c r="L1854">
        <v>75</v>
      </c>
      <c r="M1854">
        <v>75</v>
      </c>
      <c r="N1854" t="s">
        <v>2176</v>
      </c>
      <c r="O1854" t="s">
        <v>463</v>
      </c>
    </row>
    <row r="1855" spans="1:15" x14ac:dyDescent="0.3">
      <c r="A1855">
        <v>223030</v>
      </c>
      <c r="B1855">
        <v>116</v>
      </c>
      <c r="C1855" t="s">
        <v>568</v>
      </c>
      <c r="D1855" t="s">
        <v>2265</v>
      </c>
      <c r="E1855" t="s">
        <v>2761</v>
      </c>
      <c r="F1855" s="452">
        <v>46112</v>
      </c>
      <c r="G1855">
        <v>17129</v>
      </c>
      <c r="H1855" t="s">
        <v>4200</v>
      </c>
      <c r="I1855" t="s">
        <v>4199</v>
      </c>
      <c r="J1855">
        <v>1</v>
      </c>
      <c r="K1855" t="s">
        <v>3888</v>
      </c>
      <c r="L1855">
        <v>26.61</v>
      </c>
      <c r="M1855">
        <v>26.61</v>
      </c>
      <c r="N1855" t="s">
        <v>2176</v>
      </c>
      <c r="O1855" t="s">
        <v>463</v>
      </c>
    </row>
    <row r="1856" spans="1:15" x14ac:dyDescent="0.3">
      <c r="A1856">
        <v>223030</v>
      </c>
      <c r="B1856">
        <v>116</v>
      </c>
      <c r="C1856" t="s">
        <v>568</v>
      </c>
      <c r="D1856" t="s">
        <v>2265</v>
      </c>
      <c r="E1856" t="s">
        <v>2761</v>
      </c>
      <c r="F1856" s="452">
        <v>46112</v>
      </c>
      <c r="G1856">
        <v>17498</v>
      </c>
      <c r="H1856" t="s">
        <v>4243</v>
      </c>
      <c r="I1856" t="s">
        <v>4199</v>
      </c>
      <c r="J1856">
        <v>2</v>
      </c>
      <c r="K1856" t="s">
        <v>3881</v>
      </c>
      <c r="L1856">
        <v>42</v>
      </c>
      <c r="M1856">
        <v>21</v>
      </c>
      <c r="N1856" t="s">
        <v>2176</v>
      </c>
      <c r="O1856" t="s">
        <v>463</v>
      </c>
    </row>
    <row r="1857" spans="1:15" x14ac:dyDescent="0.3">
      <c r="A1857">
        <v>223030</v>
      </c>
      <c r="B1857">
        <v>116</v>
      </c>
      <c r="C1857" t="s">
        <v>568</v>
      </c>
      <c r="D1857" t="s">
        <v>2265</v>
      </c>
      <c r="E1857" t="s">
        <v>2761</v>
      </c>
      <c r="F1857" s="452">
        <v>46112</v>
      </c>
      <c r="G1857">
        <v>17322</v>
      </c>
      <c r="H1857" t="s">
        <v>4316</v>
      </c>
      <c r="I1857" t="s">
        <v>4199</v>
      </c>
      <c r="J1857">
        <v>1</v>
      </c>
      <c r="K1857" t="s">
        <v>3978</v>
      </c>
      <c r="L1857">
        <v>15.05</v>
      </c>
      <c r="M1857">
        <v>15.05</v>
      </c>
      <c r="N1857" t="s">
        <v>2176</v>
      </c>
      <c r="O1857" t="s">
        <v>463</v>
      </c>
    </row>
    <row r="1858" spans="1:15" x14ac:dyDescent="0.3">
      <c r="A1858">
        <v>223030</v>
      </c>
      <c r="B1858">
        <v>116</v>
      </c>
      <c r="C1858" t="s">
        <v>568</v>
      </c>
      <c r="D1858" t="s">
        <v>2265</v>
      </c>
      <c r="E1858" t="s">
        <v>2761</v>
      </c>
      <c r="F1858" s="452">
        <v>46112</v>
      </c>
      <c r="G1858">
        <v>17416</v>
      </c>
      <c r="H1858" t="s">
        <v>4205</v>
      </c>
      <c r="I1858" t="s">
        <v>4199</v>
      </c>
      <c r="J1858">
        <v>3</v>
      </c>
      <c r="K1858" t="s">
        <v>3881</v>
      </c>
      <c r="L1858">
        <v>145.74</v>
      </c>
      <c r="M1858">
        <v>48.58</v>
      </c>
      <c r="N1858" t="s">
        <v>2176</v>
      </c>
      <c r="O1858" t="s">
        <v>463</v>
      </c>
    </row>
    <row r="1859" spans="1:15" x14ac:dyDescent="0.3">
      <c r="A1859">
        <v>223029</v>
      </c>
      <c r="B1859">
        <v>116</v>
      </c>
      <c r="C1859" t="s">
        <v>568</v>
      </c>
      <c r="D1859" t="s">
        <v>2286</v>
      </c>
      <c r="E1859" t="s">
        <v>2762</v>
      </c>
      <c r="F1859" s="452">
        <v>46112</v>
      </c>
      <c r="G1859">
        <v>19505</v>
      </c>
      <c r="H1859" t="s">
        <v>4101</v>
      </c>
      <c r="I1859" t="s">
        <v>3469</v>
      </c>
      <c r="J1859">
        <v>1</v>
      </c>
      <c r="K1859" t="s">
        <v>3892</v>
      </c>
      <c r="L1859">
        <v>13</v>
      </c>
      <c r="M1859">
        <v>13</v>
      </c>
      <c r="N1859" t="s">
        <v>3469</v>
      </c>
      <c r="O1859" t="s">
        <v>463</v>
      </c>
    </row>
    <row r="1860" spans="1:15" x14ac:dyDescent="0.3">
      <c r="A1860">
        <v>223029</v>
      </c>
      <c r="B1860">
        <v>116</v>
      </c>
      <c r="C1860" t="s">
        <v>568</v>
      </c>
      <c r="D1860" t="s">
        <v>2286</v>
      </c>
      <c r="E1860" t="s">
        <v>2762</v>
      </c>
      <c r="F1860" s="452">
        <v>46112</v>
      </c>
      <c r="G1860">
        <v>19617</v>
      </c>
      <c r="H1860" t="s">
        <v>4110</v>
      </c>
      <c r="I1860" t="s">
        <v>3469</v>
      </c>
      <c r="J1860">
        <v>0.5</v>
      </c>
      <c r="K1860" t="s">
        <v>3892</v>
      </c>
      <c r="L1860">
        <v>9</v>
      </c>
      <c r="M1860">
        <v>18</v>
      </c>
      <c r="N1860" t="s">
        <v>3469</v>
      </c>
      <c r="O1860" t="s">
        <v>463</v>
      </c>
    </row>
    <row r="1861" spans="1:15" x14ac:dyDescent="0.3">
      <c r="A1861">
        <v>223029</v>
      </c>
      <c r="B1861">
        <v>116</v>
      </c>
      <c r="C1861" t="s">
        <v>568</v>
      </c>
      <c r="D1861" t="s">
        <v>2286</v>
      </c>
      <c r="E1861" t="s">
        <v>2762</v>
      </c>
      <c r="F1861" s="452">
        <v>46112</v>
      </c>
      <c r="G1861">
        <v>19498</v>
      </c>
      <c r="H1861" t="s">
        <v>4065</v>
      </c>
      <c r="I1861" t="s">
        <v>3469</v>
      </c>
      <c r="J1861">
        <v>1</v>
      </c>
      <c r="K1861" t="s">
        <v>3892</v>
      </c>
      <c r="L1861">
        <v>13.8</v>
      </c>
      <c r="M1861">
        <v>13.8</v>
      </c>
      <c r="N1861" t="s">
        <v>3469</v>
      </c>
      <c r="O1861" t="s">
        <v>463</v>
      </c>
    </row>
    <row r="1862" spans="1:15" x14ac:dyDescent="0.3">
      <c r="A1862">
        <v>223029</v>
      </c>
      <c r="B1862">
        <v>116</v>
      </c>
      <c r="C1862" t="s">
        <v>568</v>
      </c>
      <c r="D1862" t="s">
        <v>2286</v>
      </c>
      <c r="E1862" t="s">
        <v>2762</v>
      </c>
      <c r="F1862" s="452">
        <v>46112</v>
      </c>
      <c r="G1862">
        <v>23095</v>
      </c>
      <c r="H1862" t="s">
        <v>3882</v>
      </c>
      <c r="I1862" t="s">
        <v>3469</v>
      </c>
      <c r="J1862">
        <v>60</v>
      </c>
      <c r="K1862" t="s">
        <v>3872</v>
      </c>
      <c r="L1862">
        <v>81</v>
      </c>
      <c r="M1862">
        <v>1.35</v>
      </c>
      <c r="N1862" t="s">
        <v>3469</v>
      </c>
      <c r="O1862" t="s">
        <v>463</v>
      </c>
    </row>
    <row r="1863" spans="1:15" x14ac:dyDescent="0.3">
      <c r="A1863">
        <v>223029</v>
      </c>
      <c r="B1863">
        <v>116</v>
      </c>
      <c r="C1863" t="s">
        <v>568</v>
      </c>
      <c r="D1863" t="s">
        <v>2286</v>
      </c>
      <c r="E1863" t="s">
        <v>2762</v>
      </c>
      <c r="F1863" s="452">
        <v>46112</v>
      </c>
      <c r="G1863">
        <v>24037</v>
      </c>
      <c r="H1863" t="s">
        <v>4104</v>
      </c>
      <c r="I1863" t="s">
        <v>3469</v>
      </c>
      <c r="J1863">
        <v>2</v>
      </c>
      <c r="K1863" t="s">
        <v>3892</v>
      </c>
      <c r="L1863">
        <v>36</v>
      </c>
      <c r="M1863">
        <v>18</v>
      </c>
      <c r="N1863" t="s">
        <v>3469</v>
      </c>
      <c r="O1863" t="s">
        <v>463</v>
      </c>
    </row>
    <row r="1864" spans="1:15" x14ac:dyDescent="0.3">
      <c r="A1864">
        <v>223029</v>
      </c>
      <c r="B1864">
        <v>116</v>
      </c>
      <c r="C1864" t="s">
        <v>568</v>
      </c>
      <c r="D1864" t="s">
        <v>2286</v>
      </c>
      <c r="E1864" t="s">
        <v>2762</v>
      </c>
      <c r="F1864" s="452">
        <v>46112</v>
      </c>
      <c r="G1864">
        <v>23236</v>
      </c>
      <c r="H1864" t="s">
        <v>4017</v>
      </c>
      <c r="I1864" t="s">
        <v>3469</v>
      </c>
      <c r="J1864">
        <v>3</v>
      </c>
      <c r="K1864" t="s">
        <v>3892</v>
      </c>
      <c r="L1864">
        <v>37.5</v>
      </c>
      <c r="M1864">
        <v>12.5</v>
      </c>
      <c r="N1864" t="s">
        <v>3469</v>
      </c>
      <c r="O1864" t="s">
        <v>463</v>
      </c>
    </row>
    <row r="1865" spans="1:15" x14ac:dyDescent="0.3">
      <c r="A1865">
        <v>223029</v>
      </c>
      <c r="B1865">
        <v>116</v>
      </c>
      <c r="C1865" t="s">
        <v>568</v>
      </c>
      <c r="D1865" t="s">
        <v>2286</v>
      </c>
      <c r="E1865" t="s">
        <v>2762</v>
      </c>
      <c r="F1865" s="452">
        <v>46112</v>
      </c>
      <c r="G1865">
        <v>19480</v>
      </c>
      <c r="H1865" t="s">
        <v>4113</v>
      </c>
      <c r="I1865" t="s">
        <v>3469</v>
      </c>
      <c r="J1865">
        <v>0.2</v>
      </c>
      <c r="K1865" t="s">
        <v>3892</v>
      </c>
      <c r="L1865">
        <v>3.4</v>
      </c>
      <c r="M1865">
        <v>17</v>
      </c>
      <c r="N1865" t="s">
        <v>3469</v>
      </c>
      <c r="O1865" t="s">
        <v>463</v>
      </c>
    </row>
    <row r="1866" spans="1:15" x14ac:dyDescent="0.3">
      <c r="A1866">
        <v>223029</v>
      </c>
      <c r="B1866">
        <v>116</v>
      </c>
      <c r="C1866" t="s">
        <v>568</v>
      </c>
      <c r="D1866" t="s">
        <v>2286</v>
      </c>
      <c r="E1866" t="s">
        <v>2762</v>
      </c>
      <c r="F1866" s="452">
        <v>46112</v>
      </c>
      <c r="G1866">
        <v>19558</v>
      </c>
      <c r="H1866" t="s">
        <v>4183</v>
      </c>
      <c r="I1866" t="s">
        <v>3469</v>
      </c>
      <c r="J1866">
        <v>1</v>
      </c>
      <c r="K1866" t="s">
        <v>3892</v>
      </c>
      <c r="L1866">
        <v>15</v>
      </c>
      <c r="M1866">
        <v>15</v>
      </c>
      <c r="N1866" t="s">
        <v>3469</v>
      </c>
      <c r="O1866" t="s">
        <v>463</v>
      </c>
    </row>
    <row r="1867" spans="1:15" x14ac:dyDescent="0.3">
      <c r="A1867">
        <v>223029</v>
      </c>
      <c r="B1867">
        <v>116</v>
      </c>
      <c r="C1867" t="s">
        <v>568</v>
      </c>
      <c r="D1867" t="s">
        <v>2286</v>
      </c>
      <c r="E1867" t="s">
        <v>2762</v>
      </c>
      <c r="F1867" s="452">
        <v>46112</v>
      </c>
      <c r="G1867">
        <v>23389</v>
      </c>
      <c r="H1867" t="s">
        <v>4016</v>
      </c>
      <c r="I1867" t="s">
        <v>3469</v>
      </c>
      <c r="J1867">
        <v>4</v>
      </c>
      <c r="K1867" t="s">
        <v>3892</v>
      </c>
      <c r="L1867">
        <v>20</v>
      </c>
      <c r="M1867">
        <v>5</v>
      </c>
      <c r="N1867" t="s">
        <v>3469</v>
      </c>
      <c r="O1867" t="s">
        <v>463</v>
      </c>
    </row>
    <row r="1868" spans="1:15" x14ac:dyDescent="0.3">
      <c r="A1868">
        <v>223029</v>
      </c>
      <c r="B1868">
        <v>116</v>
      </c>
      <c r="C1868" t="s">
        <v>568</v>
      </c>
      <c r="D1868" t="s">
        <v>2286</v>
      </c>
      <c r="E1868" t="s">
        <v>2762</v>
      </c>
      <c r="F1868" s="452">
        <v>46112</v>
      </c>
      <c r="G1868">
        <v>23120</v>
      </c>
      <c r="H1868" t="s">
        <v>4111</v>
      </c>
      <c r="I1868" t="s">
        <v>3469</v>
      </c>
      <c r="J1868">
        <v>0.2</v>
      </c>
      <c r="K1868" t="s">
        <v>3892</v>
      </c>
      <c r="L1868">
        <v>13</v>
      </c>
      <c r="M1868">
        <v>65</v>
      </c>
      <c r="N1868" t="s">
        <v>3469</v>
      </c>
      <c r="O1868" t="s">
        <v>463</v>
      </c>
    </row>
    <row r="1869" spans="1:15" x14ac:dyDescent="0.3">
      <c r="A1869">
        <v>223029</v>
      </c>
      <c r="B1869">
        <v>116</v>
      </c>
      <c r="C1869" t="s">
        <v>568</v>
      </c>
      <c r="D1869" t="s">
        <v>2286</v>
      </c>
      <c r="E1869" t="s">
        <v>2762</v>
      </c>
      <c r="F1869" s="452">
        <v>46112</v>
      </c>
      <c r="G1869">
        <v>19553</v>
      </c>
      <c r="H1869" t="s">
        <v>4078</v>
      </c>
      <c r="I1869" t="s">
        <v>3469</v>
      </c>
      <c r="J1869">
        <v>1.5</v>
      </c>
      <c r="K1869" t="s">
        <v>3892</v>
      </c>
      <c r="L1869">
        <v>8.25</v>
      </c>
      <c r="M1869">
        <v>5.5</v>
      </c>
      <c r="N1869" t="s">
        <v>3469</v>
      </c>
      <c r="O1869" t="s">
        <v>463</v>
      </c>
    </row>
    <row r="1870" spans="1:15" x14ac:dyDescent="0.3">
      <c r="A1870">
        <v>223029</v>
      </c>
      <c r="B1870">
        <v>116</v>
      </c>
      <c r="C1870" t="s">
        <v>568</v>
      </c>
      <c r="D1870" t="s">
        <v>2286</v>
      </c>
      <c r="E1870" t="s">
        <v>2762</v>
      </c>
      <c r="F1870" s="452">
        <v>46112</v>
      </c>
      <c r="G1870">
        <v>19494</v>
      </c>
      <c r="H1870" t="s">
        <v>4126</v>
      </c>
      <c r="I1870" t="s">
        <v>3469</v>
      </c>
      <c r="J1870">
        <v>1</v>
      </c>
      <c r="K1870" t="s">
        <v>3892</v>
      </c>
      <c r="L1870">
        <v>13.5</v>
      </c>
      <c r="M1870">
        <v>13.5</v>
      </c>
      <c r="N1870" t="s">
        <v>3469</v>
      </c>
      <c r="O1870" t="s">
        <v>463</v>
      </c>
    </row>
    <row r="1871" spans="1:15" x14ac:dyDescent="0.3">
      <c r="A1871">
        <v>223029</v>
      </c>
      <c r="B1871">
        <v>116</v>
      </c>
      <c r="C1871" t="s">
        <v>568</v>
      </c>
      <c r="D1871" t="s">
        <v>2286</v>
      </c>
      <c r="E1871" t="s">
        <v>2762</v>
      </c>
      <c r="F1871" s="452">
        <v>46112</v>
      </c>
      <c r="G1871">
        <v>23359</v>
      </c>
      <c r="H1871" t="s">
        <v>3932</v>
      </c>
      <c r="I1871" t="s">
        <v>3469</v>
      </c>
      <c r="J1871">
        <v>10</v>
      </c>
      <c r="K1871" t="s">
        <v>3892</v>
      </c>
      <c r="L1871">
        <v>23</v>
      </c>
      <c r="M1871">
        <v>2.2999999999999998</v>
      </c>
      <c r="N1871" t="s">
        <v>3469</v>
      </c>
      <c r="O1871" t="s">
        <v>463</v>
      </c>
    </row>
    <row r="1872" spans="1:15" x14ac:dyDescent="0.3">
      <c r="A1872">
        <v>223029</v>
      </c>
      <c r="B1872">
        <v>116</v>
      </c>
      <c r="C1872" t="s">
        <v>568</v>
      </c>
      <c r="D1872" t="s">
        <v>2286</v>
      </c>
      <c r="E1872" t="s">
        <v>2762</v>
      </c>
      <c r="F1872" s="452">
        <v>46112</v>
      </c>
      <c r="G1872">
        <v>19787</v>
      </c>
      <c r="H1872" t="s">
        <v>3940</v>
      </c>
      <c r="I1872" t="s">
        <v>3469</v>
      </c>
      <c r="J1872">
        <v>4.5</v>
      </c>
      <c r="K1872" t="s">
        <v>3892</v>
      </c>
      <c r="L1872">
        <v>26.1</v>
      </c>
      <c r="M1872">
        <v>5.8</v>
      </c>
      <c r="N1872" t="s">
        <v>3469</v>
      </c>
      <c r="O1872" t="s">
        <v>463</v>
      </c>
    </row>
    <row r="1873" spans="1:15" x14ac:dyDescent="0.3">
      <c r="A1873">
        <v>222985</v>
      </c>
      <c r="B1873">
        <v>116</v>
      </c>
      <c r="C1873" t="s">
        <v>568</v>
      </c>
      <c r="D1873" t="s">
        <v>2277</v>
      </c>
      <c r="E1873" t="s">
        <v>2763</v>
      </c>
      <c r="F1873" s="452">
        <v>46112</v>
      </c>
      <c r="G1873">
        <v>20661</v>
      </c>
      <c r="H1873" t="s">
        <v>3919</v>
      </c>
      <c r="I1873" t="s">
        <v>3469</v>
      </c>
      <c r="J1873">
        <v>12</v>
      </c>
      <c r="K1873" t="s">
        <v>3872</v>
      </c>
      <c r="L1873">
        <v>99.48</v>
      </c>
      <c r="M1873">
        <v>8.2899999999999991</v>
      </c>
      <c r="N1873" t="s">
        <v>4240</v>
      </c>
      <c r="O1873" t="s">
        <v>463</v>
      </c>
    </row>
    <row r="1874" spans="1:15" x14ac:dyDescent="0.3">
      <c r="A1874">
        <v>222985</v>
      </c>
      <c r="B1874">
        <v>116</v>
      </c>
      <c r="C1874" t="s">
        <v>568</v>
      </c>
      <c r="D1874" t="s">
        <v>2277</v>
      </c>
      <c r="E1874" t="s">
        <v>2763</v>
      </c>
      <c r="F1874" s="452">
        <v>46112</v>
      </c>
      <c r="G1874">
        <v>20729</v>
      </c>
      <c r="H1874" t="s">
        <v>3965</v>
      </c>
      <c r="I1874" t="s">
        <v>3469</v>
      </c>
      <c r="J1874">
        <v>2</v>
      </c>
      <c r="K1874" t="s">
        <v>3966</v>
      </c>
      <c r="L1874">
        <v>131.76</v>
      </c>
      <c r="M1874">
        <v>65.88</v>
      </c>
      <c r="N1874" t="s">
        <v>4240</v>
      </c>
      <c r="O1874" t="s">
        <v>463</v>
      </c>
    </row>
    <row r="1875" spans="1:15" x14ac:dyDescent="0.3">
      <c r="A1875">
        <v>222985</v>
      </c>
      <c r="B1875">
        <v>116</v>
      </c>
      <c r="C1875" t="s">
        <v>568</v>
      </c>
      <c r="D1875" t="s">
        <v>2277</v>
      </c>
      <c r="E1875" t="s">
        <v>2763</v>
      </c>
      <c r="F1875" s="452">
        <v>46112</v>
      </c>
      <c r="G1875">
        <v>25237</v>
      </c>
      <c r="H1875" t="s">
        <v>4164</v>
      </c>
      <c r="I1875" t="s">
        <v>3469</v>
      </c>
      <c r="J1875">
        <v>10</v>
      </c>
      <c r="K1875" t="s">
        <v>3888</v>
      </c>
      <c r="L1875">
        <v>52.9</v>
      </c>
      <c r="M1875">
        <v>5.29</v>
      </c>
      <c r="N1875" t="s">
        <v>4240</v>
      </c>
      <c r="O1875" t="s">
        <v>463</v>
      </c>
    </row>
    <row r="1876" spans="1:15" x14ac:dyDescent="0.3">
      <c r="A1876">
        <v>222985</v>
      </c>
      <c r="B1876">
        <v>116</v>
      </c>
      <c r="C1876" t="s">
        <v>568</v>
      </c>
      <c r="D1876" t="s">
        <v>2277</v>
      </c>
      <c r="E1876" t="s">
        <v>2763</v>
      </c>
      <c r="F1876" s="452">
        <v>46112</v>
      </c>
      <c r="G1876">
        <v>20358</v>
      </c>
      <c r="H1876" t="s">
        <v>3952</v>
      </c>
      <c r="I1876" t="s">
        <v>3469</v>
      </c>
      <c r="J1876">
        <v>2</v>
      </c>
      <c r="K1876" t="s">
        <v>4241</v>
      </c>
      <c r="L1876">
        <v>28.5</v>
      </c>
      <c r="M1876">
        <v>14.25</v>
      </c>
      <c r="N1876" t="s">
        <v>4240</v>
      </c>
      <c r="O1876" t="s">
        <v>463</v>
      </c>
    </row>
    <row r="1877" spans="1:15" x14ac:dyDescent="0.3">
      <c r="A1877">
        <v>222985</v>
      </c>
      <c r="B1877">
        <v>116</v>
      </c>
      <c r="C1877" t="s">
        <v>568</v>
      </c>
      <c r="D1877" t="s">
        <v>2277</v>
      </c>
      <c r="E1877" t="s">
        <v>2763</v>
      </c>
      <c r="F1877" s="452">
        <v>46112</v>
      </c>
      <c r="G1877">
        <v>19421</v>
      </c>
      <c r="H1877" t="s">
        <v>4275</v>
      </c>
      <c r="I1877" t="s">
        <v>3469</v>
      </c>
      <c r="J1877">
        <v>1</v>
      </c>
      <c r="K1877" t="s">
        <v>4241</v>
      </c>
      <c r="L1877">
        <v>73.44</v>
      </c>
      <c r="M1877">
        <v>73.44</v>
      </c>
      <c r="N1877" t="s">
        <v>4240</v>
      </c>
      <c r="O1877" t="s">
        <v>463</v>
      </c>
    </row>
    <row r="1878" spans="1:15" x14ac:dyDescent="0.3">
      <c r="A1878">
        <v>222984</v>
      </c>
      <c r="B1878">
        <v>116</v>
      </c>
      <c r="C1878" t="s">
        <v>568</v>
      </c>
      <c r="D1878" t="s">
        <v>2361</v>
      </c>
      <c r="E1878" t="s">
        <v>2764</v>
      </c>
      <c r="F1878" s="452">
        <v>46113</v>
      </c>
      <c r="G1878">
        <v>20233</v>
      </c>
      <c r="H1878" t="s">
        <v>4329</v>
      </c>
      <c r="I1878" t="s">
        <v>3469</v>
      </c>
      <c r="J1878">
        <v>5</v>
      </c>
      <c r="K1878" t="s">
        <v>3892</v>
      </c>
      <c r="L1878">
        <v>34.950000000000003</v>
      </c>
      <c r="M1878">
        <v>6.99</v>
      </c>
      <c r="N1878" t="s">
        <v>4240</v>
      </c>
      <c r="O1878" t="s">
        <v>464</v>
      </c>
    </row>
    <row r="1879" spans="1:15" x14ac:dyDescent="0.3">
      <c r="A1879">
        <v>222979</v>
      </c>
      <c r="B1879">
        <v>116</v>
      </c>
      <c r="C1879" t="s">
        <v>568</v>
      </c>
      <c r="D1879" t="s">
        <v>2260</v>
      </c>
      <c r="E1879" t="s">
        <v>2765</v>
      </c>
      <c r="F1879" s="452">
        <v>46112</v>
      </c>
      <c r="G1879">
        <v>18685</v>
      </c>
      <c r="H1879" t="s">
        <v>3945</v>
      </c>
      <c r="I1879" t="s">
        <v>3469</v>
      </c>
      <c r="J1879">
        <v>6.8</v>
      </c>
      <c r="K1879" t="s">
        <v>4197</v>
      </c>
      <c r="L1879">
        <v>265.2</v>
      </c>
      <c r="M1879">
        <v>39</v>
      </c>
      <c r="N1879" t="s">
        <v>3469</v>
      </c>
      <c r="O1879" t="s">
        <v>463</v>
      </c>
    </row>
    <row r="1880" spans="1:15" x14ac:dyDescent="0.3">
      <c r="A1880">
        <v>222979</v>
      </c>
      <c r="B1880">
        <v>116</v>
      </c>
      <c r="C1880" t="s">
        <v>568</v>
      </c>
      <c r="D1880" t="s">
        <v>2260</v>
      </c>
      <c r="E1880" t="s">
        <v>2765</v>
      </c>
      <c r="F1880" s="452">
        <v>46112</v>
      </c>
      <c r="G1880">
        <v>18684</v>
      </c>
      <c r="H1880" t="s">
        <v>3925</v>
      </c>
      <c r="I1880" t="s">
        <v>3469</v>
      </c>
      <c r="J1880">
        <v>10.8</v>
      </c>
      <c r="K1880" t="s">
        <v>3892</v>
      </c>
      <c r="L1880">
        <v>388.8</v>
      </c>
      <c r="M1880">
        <v>36</v>
      </c>
      <c r="N1880" t="s">
        <v>3469</v>
      </c>
      <c r="O1880" t="s">
        <v>463</v>
      </c>
    </row>
    <row r="1881" spans="1:15" x14ac:dyDescent="0.3">
      <c r="A1881">
        <v>222979</v>
      </c>
      <c r="B1881">
        <v>116</v>
      </c>
      <c r="C1881" t="s">
        <v>568</v>
      </c>
      <c r="D1881" t="s">
        <v>2260</v>
      </c>
      <c r="E1881" t="s">
        <v>2765</v>
      </c>
      <c r="F1881" s="452">
        <v>46112</v>
      </c>
      <c r="G1881">
        <v>20555</v>
      </c>
      <c r="H1881" t="s">
        <v>3959</v>
      </c>
      <c r="I1881" t="s">
        <v>3469</v>
      </c>
      <c r="J1881">
        <v>2.5</v>
      </c>
      <c r="K1881" t="s">
        <v>3892</v>
      </c>
      <c r="L1881">
        <v>197.5</v>
      </c>
      <c r="M1881">
        <v>79</v>
      </c>
      <c r="N1881" t="s">
        <v>3469</v>
      </c>
      <c r="O1881" t="s">
        <v>463</v>
      </c>
    </row>
    <row r="1882" spans="1:15" x14ac:dyDescent="0.3">
      <c r="A1882">
        <v>222979</v>
      </c>
      <c r="B1882">
        <v>116</v>
      </c>
      <c r="C1882" t="s">
        <v>568</v>
      </c>
      <c r="D1882" t="s">
        <v>2260</v>
      </c>
      <c r="E1882" t="s">
        <v>2765</v>
      </c>
      <c r="F1882" s="452">
        <v>46112</v>
      </c>
      <c r="G1882">
        <v>22734</v>
      </c>
      <c r="H1882" t="s">
        <v>3955</v>
      </c>
      <c r="I1882" t="s">
        <v>3469</v>
      </c>
      <c r="J1882">
        <v>10</v>
      </c>
      <c r="K1882" t="s">
        <v>3892</v>
      </c>
      <c r="L1882">
        <v>990</v>
      </c>
      <c r="M1882">
        <v>99</v>
      </c>
      <c r="N1882" t="s">
        <v>3469</v>
      </c>
      <c r="O1882" t="s">
        <v>463</v>
      </c>
    </row>
    <row r="1883" spans="1:15" x14ac:dyDescent="0.3">
      <c r="A1883">
        <v>222979</v>
      </c>
      <c r="B1883">
        <v>116</v>
      </c>
      <c r="C1883" t="s">
        <v>568</v>
      </c>
      <c r="D1883" t="s">
        <v>2260</v>
      </c>
      <c r="E1883" t="s">
        <v>2765</v>
      </c>
      <c r="F1883" s="452">
        <v>46112</v>
      </c>
      <c r="G1883">
        <v>27884</v>
      </c>
      <c r="H1883" t="s">
        <v>3910</v>
      </c>
      <c r="I1883" t="s">
        <v>3469</v>
      </c>
      <c r="J1883">
        <v>11.5</v>
      </c>
      <c r="K1883" t="s">
        <v>3892</v>
      </c>
      <c r="L1883">
        <v>782</v>
      </c>
      <c r="M1883">
        <v>68</v>
      </c>
      <c r="N1883" t="s">
        <v>3469</v>
      </c>
      <c r="O1883" t="s">
        <v>463</v>
      </c>
    </row>
    <row r="1884" spans="1:15" x14ac:dyDescent="0.3">
      <c r="A1884">
        <v>221746</v>
      </c>
      <c r="B1884">
        <v>116</v>
      </c>
      <c r="C1884" t="s">
        <v>568</v>
      </c>
      <c r="D1884" t="s">
        <v>2323</v>
      </c>
      <c r="E1884" t="s">
        <v>2766</v>
      </c>
      <c r="F1884" s="452">
        <v>46112</v>
      </c>
      <c r="G1884">
        <v>25541</v>
      </c>
      <c r="H1884" t="s">
        <v>4330</v>
      </c>
      <c r="I1884" t="s">
        <v>3469</v>
      </c>
      <c r="J1884">
        <v>10.3</v>
      </c>
      <c r="K1884" t="s">
        <v>3892</v>
      </c>
      <c r="L1884">
        <v>272.95</v>
      </c>
      <c r="M1884">
        <v>26.5</v>
      </c>
      <c r="N1884" t="s">
        <v>4240</v>
      </c>
      <c r="O1884" t="s">
        <v>463</v>
      </c>
    </row>
    <row r="1885" spans="1:15" x14ac:dyDescent="0.3">
      <c r="A1885">
        <v>221745</v>
      </c>
      <c r="B1885">
        <v>116</v>
      </c>
      <c r="C1885" t="s">
        <v>568</v>
      </c>
      <c r="D1885" t="s">
        <v>2267</v>
      </c>
      <c r="E1885" t="s">
        <v>2767</v>
      </c>
      <c r="F1885" s="452">
        <v>46112</v>
      </c>
      <c r="G1885">
        <v>24517</v>
      </c>
      <c r="H1885" t="s">
        <v>3991</v>
      </c>
      <c r="I1885" t="s">
        <v>3469</v>
      </c>
      <c r="J1885">
        <v>11.4</v>
      </c>
      <c r="K1885" t="s">
        <v>3892</v>
      </c>
      <c r="L1885">
        <v>319.08999999999997</v>
      </c>
      <c r="M1885">
        <v>27.990351</v>
      </c>
      <c r="N1885" t="s">
        <v>4240</v>
      </c>
      <c r="O1885" t="s">
        <v>463</v>
      </c>
    </row>
    <row r="1886" spans="1:15" x14ac:dyDescent="0.3">
      <c r="A1886">
        <v>221745</v>
      </c>
      <c r="B1886">
        <v>116</v>
      </c>
      <c r="C1886" t="s">
        <v>568</v>
      </c>
      <c r="D1886" t="s">
        <v>2267</v>
      </c>
      <c r="E1886" t="s">
        <v>2767</v>
      </c>
      <c r="F1886" s="452">
        <v>46112</v>
      </c>
      <c r="G1886">
        <v>18682</v>
      </c>
      <c r="H1886" t="s">
        <v>4025</v>
      </c>
      <c r="I1886" t="s">
        <v>3469</v>
      </c>
      <c r="J1886">
        <v>7.3</v>
      </c>
      <c r="K1886" t="s">
        <v>3892</v>
      </c>
      <c r="L1886">
        <v>204.33</v>
      </c>
      <c r="M1886">
        <v>27.990411000000002</v>
      </c>
      <c r="N1886" t="s">
        <v>4240</v>
      </c>
      <c r="O1886" t="s">
        <v>463</v>
      </c>
    </row>
    <row r="1887" spans="1:15" x14ac:dyDescent="0.3">
      <c r="A1887">
        <v>221745</v>
      </c>
      <c r="B1887">
        <v>116</v>
      </c>
      <c r="C1887" t="s">
        <v>568</v>
      </c>
      <c r="D1887" t="s">
        <v>2267</v>
      </c>
      <c r="E1887" t="s">
        <v>2767</v>
      </c>
      <c r="F1887" s="452">
        <v>46112</v>
      </c>
      <c r="G1887">
        <v>20549</v>
      </c>
      <c r="H1887" t="s">
        <v>4007</v>
      </c>
      <c r="I1887" t="s">
        <v>3469</v>
      </c>
      <c r="J1887">
        <v>7.7</v>
      </c>
      <c r="K1887" t="s">
        <v>3892</v>
      </c>
      <c r="L1887">
        <v>153.91999999999999</v>
      </c>
      <c r="M1887">
        <v>19.989609999999999</v>
      </c>
      <c r="N1887" t="s">
        <v>4240</v>
      </c>
      <c r="O1887" t="s">
        <v>463</v>
      </c>
    </row>
    <row r="1888" spans="1:15" x14ac:dyDescent="0.3">
      <c r="A1888">
        <v>221744</v>
      </c>
      <c r="B1888">
        <v>116</v>
      </c>
      <c r="C1888" t="s">
        <v>568</v>
      </c>
      <c r="D1888" t="s">
        <v>2768</v>
      </c>
      <c r="E1888" t="s">
        <v>2769</v>
      </c>
      <c r="F1888" s="452">
        <v>46111</v>
      </c>
      <c r="G1888">
        <v>26709</v>
      </c>
      <c r="H1888" t="s">
        <v>4178</v>
      </c>
      <c r="I1888" t="s">
        <v>3469</v>
      </c>
      <c r="J1888">
        <v>20.75</v>
      </c>
      <c r="K1888" t="s">
        <v>3892</v>
      </c>
      <c r="L1888">
        <v>1037.5</v>
      </c>
      <c r="M1888">
        <v>50</v>
      </c>
      <c r="N1888" t="s">
        <v>4240</v>
      </c>
      <c r="O1888" t="s">
        <v>463</v>
      </c>
    </row>
    <row r="1889" spans="1:15" x14ac:dyDescent="0.3">
      <c r="A1889">
        <v>221743</v>
      </c>
      <c r="B1889">
        <v>116</v>
      </c>
      <c r="C1889" t="s">
        <v>568</v>
      </c>
      <c r="D1889" t="s">
        <v>2284</v>
      </c>
      <c r="E1889" t="s">
        <v>2770</v>
      </c>
      <c r="F1889" s="452">
        <v>46111</v>
      </c>
      <c r="G1889">
        <v>20227</v>
      </c>
      <c r="H1889" t="s">
        <v>3968</v>
      </c>
      <c r="I1889" t="s">
        <v>3469</v>
      </c>
      <c r="J1889">
        <v>5</v>
      </c>
      <c r="K1889" t="s">
        <v>3888</v>
      </c>
      <c r="L1889">
        <v>63.6</v>
      </c>
      <c r="M1889">
        <v>12.72</v>
      </c>
      <c r="N1889" t="s">
        <v>4240</v>
      </c>
      <c r="O1889" t="s">
        <v>463</v>
      </c>
    </row>
    <row r="1890" spans="1:15" x14ac:dyDescent="0.3">
      <c r="A1890">
        <v>221743</v>
      </c>
      <c r="B1890">
        <v>116</v>
      </c>
      <c r="C1890" t="s">
        <v>568</v>
      </c>
      <c r="D1890" t="s">
        <v>2284</v>
      </c>
      <c r="E1890" t="s">
        <v>2770</v>
      </c>
      <c r="F1890" s="452">
        <v>46111</v>
      </c>
      <c r="G1890">
        <v>20757</v>
      </c>
      <c r="H1890" t="s">
        <v>4050</v>
      </c>
      <c r="I1890" t="s">
        <v>3469</v>
      </c>
      <c r="J1890">
        <v>1</v>
      </c>
      <c r="K1890" t="s">
        <v>3966</v>
      </c>
      <c r="L1890">
        <v>76.900000000000006</v>
      </c>
      <c r="M1890">
        <v>76.900000000000006</v>
      </c>
      <c r="N1890" t="s">
        <v>4240</v>
      </c>
      <c r="O1890" t="s">
        <v>463</v>
      </c>
    </row>
    <row r="1891" spans="1:15" x14ac:dyDescent="0.3">
      <c r="A1891">
        <v>221743</v>
      </c>
      <c r="B1891">
        <v>116</v>
      </c>
      <c r="C1891" t="s">
        <v>568</v>
      </c>
      <c r="D1891" t="s">
        <v>2284</v>
      </c>
      <c r="E1891" t="s">
        <v>2770</v>
      </c>
      <c r="F1891" s="452">
        <v>46111</v>
      </c>
      <c r="G1891">
        <v>19324</v>
      </c>
      <c r="H1891" t="s">
        <v>3937</v>
      </c>
      <c r="I1891" t="s">
        <v>3469</v>
      </c>
      <c r="J1891">
        <v>4.2</v>
      </c>
      <c r="K1891" t="s">
        <v>3892</v>
      </c>
      <c r="L1891">
        <v>173.12</v>
      </c>
      <c r="M1891">
        <v>41.219048000000001</v>
      </c>
      <c r="N1891" t="s">
        <v>4240</v>
      </c>
      <c r="O1891" t="s">
        <v>463</v>
      </c>
    </row>
    <row r="1892" spans="1:15" x14ac:dyDescent="0.3">
      <c r="A1892">
        <v>221743</v>
      </c>
      <c r="B1892">
        <v>116</v>
      </c>
      <c r="C1892" t="s">
        <v>568</v>
      </c>
      <c r="D1892" t="s">
        <v>2284</v>
      </c>
      <c r="E1892" t="s">
        <v>2770</v>
      </c>
      <c r="F1892" s="452">
        <v>46111</v>
      </c>
      <c r="G1892">
        <v>20077</v>
      </c>
      <c r="H1892" t="s">
        <v>4054</v>
      </c>
      <c r="I1892" t="s">
        <v>3469</v>
      </c>
      <c r="J1892">
        <v>1</v>
      </c>
      <c r="K1892" t="s">
        <v>4268</v>
      </c>
      <c r="L1892">
        <v>16.350000000000001</v>
      </c>
      <c r="M1892">
        <v>16.350000000000001</v>
      </c>
      <c r="N1892" t="s">
        <v>4240</v>
      </c>
      <c r="O1892" t="s">
        <v>463</v>
      </c>
    </row>
    <row r="1893" spans="1:15" x14ac:dyDescent="0.3">
      <c r="A1893">
        <v>221743</v>
      </c>
      <c r="B1893">
        <v>116</v>
      </c>
      <c r="C1893" t="s">
        <v>568</v>
      </c>
      <c r="D1893" t="s">
        <v>2284</v>
      </c>
      <c r="E1893" t="s">
        <v>2770</v>
      </c>
      <c r="F1893" s="452">
        <v>46111</v>
      </c>
      <c r="G1893">
        <v>20007</v>
      </c>
      <c r="H1893" t="s">
        <v>4009</v>
      </c>
      <c r="I1893" t="s">
        <v>3469</v>
      </c>
      <c r="J1893">
        <v>2</v>
      </c>
      <c r="K1893" t="s">
        <v>3966</v>
      </c>
      <c r="L1893">
        <v>105.2</v>
      </c>
      <c r="M1893">
        <v>52.6</v>
      </c>
      <c r="N1893" t="s">
        <v>4240</v>
      </c>
      <c r="O1893" t="s">
        <v>463</v>
      </c>
    </row>
    <row r="1894" spans="1:15" x14ac:dyDescent="0.3">
      <c r="A1894">
        <v>221743</v>
      </c>
      <c r="B1894">
        <v>116</v>
      </c>
      <c r="C1894" t="s">
        <v>568</v>
      </c>
      <c r="D1894" t="s">
        <v>2284</v>
      </c>
      <c r="E1894" t="s">
        <v>2770</v>
      </c>
      <c r="F1894" s="452">
        <v>46111</v>
      </c>
      <c r="G1894">
        <v>19415</v>
      </c>
      <c r="H1894" t="s">
        <v>3941</v>
      </c>
      <c r="I1894" t="s">
        <v>3469</v>
      </c>
      <c r="J1894">
        <v>6</v>
      </c>
      <c r="K1894" t="s">
        <v>3872</v>
      </c>
      <c r="L1894">
        <v>52.8</v>
      </c>
      <c r="M1894">
        <v>8.8000000000000007</v>
      </c>
      <c r="N1894" t="s">
        <v>4240</v>
      </c>
      <c r="O1894" t="s">
        <v>463</v>
      </c>
    </row>
    <row r="1895" spans="1:15" x14ac:dyDescent="0.3">
      <c r="A1895">
        <v>221743</v>
      </c>
      <c r="B1895">
        <v>116</v>
      </c>
      <c r="C1895" t="s">
        <v>568</v>
      </c>
      <c r="D1895" t="s">
        <v>2284</v>
      </c>
      <c r="E1895" t="s">
        <v>2770</v>
      </c>
      <c r="F1895" s="452">
        <v>46111</v>
      </c>
      <c r="G1895">
        <v>20751</v>
      </c>
      <c r="H1895" t="s">
        <v>4331</v>
      </c>
      <c r="I1895" t="s">
        <v>3469</v>
      </c>
      <c r="J1895">
        <v>1</v>
      </c>
      <c r="K1895" t="s">
        <v>3966</v>
      </c>
      <c r="L1895">
        <v>103.9</v>
      </c>
      <c r="M1895">
        <v>103.9</v>
      </c>
      <c r="N1895" t="s">
        <v>4240</v>
      </c>
      <c r="O1895" t="s">
        <v>463</v>
      </c>
    </row>
    <row r="1896" spans="1:15" x14ac:dyDescent="0.3">
      <c r="A1896">
        <v>221743</v>
      </c>
      <c r="B1896">
        <v>116</v>
      </c>
      <c r="C1896" t="s">
        <v>568</v>
      </c>
      <c r="D1896" t="s">
        <v>2284</v>
      </c>
      <c r="E1896" t="s">
        <v>2770</v>
      </c>
      <c r="F1896" s="452">
        <v>46111</v>
      </c>
      <c r="G1896">
        <v>20624</v>
      </c>
      <c r="H1896" t="s">
        <v>3982</v>
      </c>
      <c r="I1896" t="s">
        <v>3469</v>
      </c>
      <c r="J1896">
        <v>1</v>
      </c>
      <c r="K1896" t="s">
        <v>3872</v>
      </c>
      <c r="L1896">
        <v>72.900000000000006</v>
      </c>
      <c r="M1896">
        <v>72.900000000000006</v>
      </c>
      <c r="N1896" t="s">
        <v>4240</v>
      </c>
      <c r="O1896" t="s">
        <v>463</v>
      </c>
    </row>
    <row r="1897" spans="1:15" x14ac:dyDescent="0.3">
      <c r="A1897">
        <v>221743</v>
      </c>
      <c r="B1897">
        <v>116</v>
      </c>
      <c r="C1897" t="s">
        <v>568</v>
      </c>
      <c r="D1897" t="s">
        <v>2284</v>
      </c>
      <c r="E1897" t="s">
        <v>2770</v>
      </c>
      <c r="F1897" s="452">
        <v>46111</v>
      </c>
      <c r="G1897">
        <v>20685</v>
      </c>
      <c r="H1897" t="s">
        <v>4122</v>
      </c>
      <c r="I1897" t="s">
        <v>3469</v>
      </c>
      <c r="J1897">
        <v>6</v>
      </c>
      <c r="K1897" t="s">
        <v>3872</v>
      </c>
      <c r="L1897">
        <v>21.24</v>
      </c>
      <c r="M1897">
        <v>3.54</v>
      </c>
      <c r="N1897" t="s">
        <v>4240</v>
      </c>
      <c r="O1897" t="s">
        <v>463</v>
      </c>
    </row>
    <row r="1898" spans="1:15" x14ac:dyDescent="0.3">
      <c r="A1898">
        <v>221743</v>
      </c>
      <c r="B1898">
        <v>116</v>
      </c>
      <c r="C1898" t="s">
        <v>568</v>
      </c>
      <c r="D1898" t="s">
        <v>2284</v>
      </c>
      <c r="E1898" t="s">
        <v>2770</v>
      </c>
      <c r="F1898" s="452">
        <v>46111</v>
      </c>
      <c r="G1898">
        <v>25769</v>
      </c>
      <c r="H1898" t="s">
        <v>4013</v>
      </c>
      <c r="I1898" t="s">
        <v>3469</v>
      </c>
      <c r="J1898">
        <v>1</v>
      </c>
      <c r="K1898" t="s">
        <v>3892</v>
      </c>
      <c r="L1898">
        <v>13</v>
      </c>
      <c r="M1898">
        <v>13</v>
      </c>
      <c r="N1898" t="s">
        <v>4240</v>
      </c>
      <c r="O1898" t="s">
        <v>463</v>
      </c>
    </row>
    <row r="1899" spans="1:15" x14ac:dyDescent="0.3">
      <c r="A1899">
        <v>221743</v>
      </c>
      <c r="B1899">
        <v>116</v>
      </c>
      <c r="C1899" t="s">
        <v>568</v>
      </c>
      <c r="D1899" t="s">
        <v>2284</v>
      </c>
      <c r="E1899" t="s">
        <v>2770</v>
      </c>
      <c r="F1899" s="452">
        <v>46111</v>
      </c>
      <c r="G1899">
        <v>19291</v>
      </c>
      <c r="H1899" t="s">
        <v>4254</v>
      </c>
      <c r="I1899" t="s">
        <v>3469</v>
      </c>
      <c r="J1899">
        <v>7.72</v>
      </c>
      <c r="K1899" t="s">
        <v>4241</v>
      </c>
      <c r="L1899">
        <v>609.88</v>
      </c>
      <c r="M1899">
        <v>79</v>
      </c>
      <c r="N1899" t="s">
        <v>4240</v>
      </c>
      <c r="O1899" t="s">
        <v>463</v>
      </c>
    </row>
    <row r="1900" spans="1:15" x14ac:dyDescent="0.3">
      <c r="A1900">
        <v>221743</v>
      </c>
      <c r="B1900">
        <v>116</v>
      </c>
      <c r="C1900" t="s">
        <v>568</v>
      </c>
      <c r="D1900" t="s">
        <v>2284</v>
      </c>
      <c r="E1900" t="s">
        <v>2770</v>
      </c>
      <c r="F1900" s="452">
        <v>46111</v>
      </c>
      <c r="G1900">
        <v>19264</v>
      </c>
      <c r="H1900" t="s">
        <v>4082</v>
      </c>
      <c r="I1900" t="s">
        <v>3469</v>
      </c>
      <c r="J1900">
        <v>1</v>
      </c>
      <c r="K1900" t="s">
        <v>4241</v>
      </c>
      <c r="L1900">
        <v>65.95</v>
      </c>
      <c r="M1900">
        <v>65.95</v>
      </c>
      <c r="N1900" t="s">
        <v>4240</v>
      </c>
      <c r="O1900" t="s">
        <v>463</v>
      </c>
    </row>
    <row r="1901" spans="1:15" x14ac:dyDescent="0.3">
      <c r="A1901">
        <v>221742</v>
      </c>
      <c r="B1901">
        <v>116</v>
      </c>
      <c r="C1901" t="s">
        <v>568</v>
      </c>
      <c r="D1901" t="s">
        <v>2280</v>
      </c>
      <c r="E1901" t="s">
        <v>2771</v>
      </c>
      <c r="F1901" s="452">
        <v>46111</v>
      </c>
      <c r="G1901">
        <v>19506</v>
      </c>
      <c r="H1901" t="s">
        <v>4112</v>
      </c>
      <c r="I1901" t="s">
        <v>3469</v>
      </c>
      <c r="J1901">
        <v>0.2</v>
      </c>
      <c r="K1901" t="s">
        <v>3892</v>
      </c>
      <c r="L1901">
        <v>13</v>
      </c>
      <c r="M1901">
        <v>65</v>
      </c>
      <c r="N1901" t="s">
        <v>4240</v>
      </c>
      <c r="O1901" t="s">
        <v>463</v>
      </c>
    </row>
    <row r="1902" spans="1:15" x14ac:dyDescent="0.3">
      <c r="A1902">
        <v>221742</v>
      </c>
      <c r="B1902">
        <v>116</v>
      </c>
      <c r="C1902" t="s">
        <v>568</v>
      </c>
      <c r="D1902" t="s">
        <v>2280</v>
      </c>
      <c r="E1902" t="s">
        <v>2771</v>
      </c>
      <c r="F1902" s="452">
        <v>46111</v>
      </c>
      <c r="G1902">
        <v>19642</v>
      </c>
      <c r="H1902" t="s">
        <v>4067</v>
      </c>
      <c r="I1902" t="s">
        <v>3469</v>
      </c>
      <c r="J1902">
        <v>1</v>
      </c>
      <c r="K1902" t="s">
        <v>3892</v>
      </c>
      <c r="L1902">
        <v>5.85</v>
      </c>
      <c r="M1902">
        <v>5.85</v>
      </c>
      <c r="N1902" t="s">
        <v>4240</v>
      </c>
      <c r="O1902" t="s">
        <v>463</v>
      </c>
    </row>
    <row r="1903" spans="1:15" x14ac:dyDescent="0.3">
      <c r="A1903">
        <v>221742</v>
      </c>
      <c r="B1903">
        <v>116</v>
      </c>
      <c r="C1903" t="s">
        <v>568</v>
      </c>
      <c r="D1903" t="s">
        <v>2280</v>
      </c>
      <c r="E1903" t="s">
        <v>2771</v>
      </c>
      <c r="F1903" s="452">
        <v>46111</v>
      </c>
      <c r="G1903">
        <v>23385</v>
      </c>
      <c r="H1903" t="s">
        <v>4069</v>
      </c>
      <c r="I1903" t="s">
        <v>3469</v>
      </c>
      <c r="J1903">
        <v>1.2</v>
      </c>
      <c r="K1903" t="s">
        <v>3892</v>
      </c>
      <c r="L1903">
        <v>93.6</v>
      </c>
      <c r="M1903">
        <v>78</v>
      </c>
      <c r="N1903" t="s">
        <v>4240</v>
      </c>
      <c r="O1903" t="s">
        <v>463</v>
      </c>
    </row>
    <row r="1904" spans="1:15" x14ac:dyDescent="0.3">
      <c r="A1904">
        <v>221742</v>
      </c>
      <c r="B1904">
        <v>116</v>
      </c>
      <c r="C1904" t="s">
        <v>568</v>
      </c>
      <c r="D1904" t="s">
        <v>2280</v>
      </c>
      <c r="E1904" t="s">
        <v>2771</v>
      </c>
      <c r="F1904" s="452">
        <v>46111</v>
      </c>
      <c r="G1904">
        <v>23142</v>
      </c>
      <c r="H1904" t="s">
        <v>4151</v>
      </c>
      <c r="I1904" t="s">
        <v>3469</v>
      </c>
      <c r="J1904">
        <v>1</v>
      </c>
      <c r="K1904" t="s">
        <v>3892</v>
      </c>
      <c r="L1904">
        <v>21.66</v>
      </c>
      <c r="M1904">
        <v>21.66</v>
      </c>
      <c r="N1904" t="s">
        <v>4240</v>
      </c>
      <c r="O1904" t="s">
        <v>463</v>
      </c>
    </row>
    <row r="1905" spans="1:15" x14ac:dyDescent="0.3">
      <c r="A1905">
        <v>221741</v>
      </c>
      <c r="B1905">
        <v>116</v>
      </c>
      <c r="C1905" t="s">
        <v>568</v>
      </c>
      <c r="D1905" t="s">
        <v>2282</v>
      </c>
      <c r="E1905" t="s">
        <v>2772</v>
      </c>
      <c r="F1905" s="452">
        <v>46111</v>
      </c>
      <c r="G1905">
        <v>24497</v>
      </c>
      <c r="H1905" t="s">
        <v>4214</v>
      </c>
      <c r="I1905" t="s">
        <v>4215</v>
      </c>
      <c r="J1905">
        <v>2</v>
      </c>
      <c r="K1905" t="s">
        <v>3872</v>
      </c>
      <c r="L1905">
        <v>269.10000000000002</v>
      </c>
      <c r="M1905">
        <v>134.55000000000001</v>
      </c>
      <c r="N1905" t="s">
        <v>4332</v>
      </c>
      <c r="O1905" t="s">
        <v>463</v>
      </c>
    </row>
    <row r="1906" spans="1:15" x14ac:dyDescent="0.3">
      <c r="A1906">
        <v>221741</v>
      </c>
      <c r="B1906">
        <v>116</v>
      </c>
      <c r="C1906" t="s">
        <v>568</v>
      </c>
      <c r="D1906" t="s">
        <v>2282</v>
      </c>
      <c r="E1906" t="s">
        <v>2772</v>
      </c>
      <c r="F1906" s="452">
        <v>46111</v>
      </c>
      <c r="G1906">
        <v>25518</v>
      </c>
      <c r="H1906" t="s">
        <v>4238</v>
      </c>
      <c r="I1906" t="s">
        <v>4215</v>
      </c>
      <c r="J1906">
        <v>1</v>
      </c>
      <c r="K1906" t="s">
        <v>3872</v>
      </c>
      <c r="L1906">
        <v>110.4</v>
      </c>
      <c r="M1906">
        <v>110.4</v>
      </c>
      <c r="N1906" t="s">
        <v>4332</v>
      </c>
      <c r="O1906" t="s">
        <v>463</v>
      </c>
    </row>
    <row r="1907" spans="1:15" x14ac:dyDescent="0.3">
      <c r="A1907">
        <v>221740</v>
      </c>
      <c r="B1907">
        <v>116</v>
      </c>
      <c r="C1907" t="s">
        <v>568</v>
      </c>
      <c r="D1907" t="s">
        <v>2308</v>
      </c>
      <c r="E1907" t="s">
        <v>2773</v>
      </c>
      <c r="F1907" s="452">
        <v>46113</v>
      </c>
      <c r="G1907">
        <v>24259</v>
      </c>
      <c r="H1907" t="s">
        <v>3895</v>
      </c>
      <c r="I1907" t="s">
        <v>3469</v>
      </c>
      <c r="J1907">
        <v>22.65</v>
      </c>
      <c r="K1907" t="s">
        <v>3892</v>
      </c>
      <c r="L1907">
        <v>1757.72</v>
      </c>
      <c r="M1907">
        <v>77.603532000000001</v>
      </c>
      <c r="N1907" t="s">
        <v>4289</v>
      </c>
      <c r="O1907" t="s">
        <v>464</v>
      </c>
    </row>
    <row r="1908" spans="1:15" x14ac:dyDescent="0.3">
      <c r="A1908">
        <v>221740</v>
      </c>
      <c r="B1908">
        <v>116</v>
      </c>
      <c r="C1908" t="s">
        <v>568</v>
      </c>
      <c r="D1908" t="s">
        <v>2308</v>
      </c>
      <c r="E1908" t="s">
        <v>2773</v>
      </c>
      <c r="F1908" s="452">
        <v>46113</v>
      </c>
      <c r="G1908">
        <v>27312</v>
      </c>
      <c r="H1908" t="s">
        <v>3927</v>
      </c>
      <c r="I1908" t="s">
        <v>3469</v>
      </c>
      <c r="J1908">
        <v>15.12</v>
      </c>
      <c r="K1908" t="s">
        <v>3892</v>
      </c>
      <c r="L1908">
        <v>754.49</v>
      </c>
      <c r="M1908">
        <v>49.900131999999999</v>
      </c>
      <c r="N1908" t="s">
        <v>4289</v>
      </c>
      <c r="O1908" t="s">
        <v>464</v>
      </c>
    </row>
    <row r="1909" spans="1:15" x14ac:dyDescent="0.3">
      <c r="A1909">
        <v>221739</v>
      </c>
      <c r="B1909">
        <v>116</v>
      </c>
      <c r="C1909" t="s">
        <v>568</v>
      </c>
      <c r="D1909" t="s">
        <v>2314</v>
      </c>
      <c r="E1909" t="s">
        <v>2774</v>
      </c>
      <c r="F1909" s="452">
        <v>46113</v>
      </c>
      <c r="G1909">
        <v>18640</v>
      </c>
      <c r="H1909" t="s">
        <v>3994</v>
      </c>
      <c r="I1909" t="s">
        <v>3497</v>
      </c>
      <c r="J1909">
        <v>3</v>
      </c>
      <c r="K1909" t="s">
        <v>3922</v>
      </c>
      <c r="L1909">
        <v>918</v>
      </c>
      <c r="M1909">
        <v>306</v>
      </c>
      <c r="N1909" t="s">
        <v>4309</v>
      </c>
      <c r="O1909" t="s">
        <v>464</v>
      </c>
    </row>
    <row r="1910" spans="1:15" x14ac:dyDescent="0.3">
      <c r="A1910">
        <v>221739</v>
      </c>
      <c r="B1910">
        <v>116</v>
      </c>
      <c r="C1910" t="s">
        <v>568</v>
      </c>
      <c r="D1910" t="s">
        <v>2314</v>
      </c>
      <c r="E1910" t="s">
        <v>2774</v>
      </c>
      <c r="F1910" s="452">
        <v>46113</v>
      </c>
      <c r="G1910">
        <v>24599</v>
      </c>
      <c r="H1910" t="s">
        <v>3897</v>
      </c>
      <c r="I1910" t="s">
        <v>3497</v>
      </c>
      <c r="J1910">
        <v>1</v>
      </c>
      <c r="K1910" t="s">
        <v>3881</v>
      </c>
      <c r="L1910">
        <v>118.33</v>
      </c>
      <c r="M1910">
        <v>118.33</v>
      </c>
      <c r="N1910" t="s">
        <v>4309</v>
      </c>
      <c r="O1910" t="s">
        <v>464</v>
      </c>
    </row>
    <row r="1911" spans="1:15" x14ac:dyDescent="0.3">
      <c r="A1911">
        <v>221738</v>
      </c>
      <c r="B1911">
        <v>116</v>
      </c>
      <c r="C1911" t="s">
        <v>568</v>
      </c>
      <c r="D1911" t="s">
        <v>2314</v>
      </c>
      <c r="E1911" t="s">
        <v>2775</v>
      </c>
      <c r="F1911" s="452">
        <v>46113</v>
      </c>
      <c r="G1911">
        <v>18636</v>
      </c>
      <c r="H1911" t="s">
        <v>3921</v>
      </c>
      <c r="I1911" t="s">
        <v>3497</v>
      </c>
      <c r="J1911">
        <v>15</v>
      </c>
      <c r="K1911" t="s">
        <v>3922</v>
      </c>
      <c r="L1911">
        <v>7242</v>
      </c>
      <c r="M1911">
        <v>482.8</v>
      </c>
      <c r="N1911" t="s">
        <v>4307</v>
      </c>
      <c r="O1911" t="s">
        <v>464</v>
      </c>
    </row>
    <row r="1912" spans="1:15" x14ac:dyDescent="0.3">
      <c r="A1912">
        <v>221737</v>
      </c>
      <c r="B1912">
        <v>116</v>
      </c>
      <c r="C1912" t="s">
        <v>568</v>
      </c>
      <c r="D1912" t="s">
        <v>2776</v>
      </c>
      <c r="E1912" t="s">
        <v>2777</v>
      </c>
      <c r="F1912" s="452">
        <v>46111</v>
      </c>
      <c r="G1912">
        <v>18538</v>
      </c>
      <c r="H1912" t="s">
        <v>4026</v>
      </c>
      <c r="I1912" t="s">
        <v>3497</v>
      </c>
      <c r="J1912">
        <v>3</v>
      </c>
      <c r="K1912" t="s">
        <v>3878</v>
      </c>
      <c r="L1912">
        <v>315</v>
      </c>
      <c r="M1912">
        <v>105</v>
      </c>
      <c r="N1912" t="s">
        <v>4276</v>
      </c>
      <c r="O1912" t="s">
        <v>463</v>
      </c>
    </row>
    <row r="1913" spans="1:15" x14ac:dyDescent="0.3">
      <c r="A1913">
        <v>221737</v>
      </c>
      <c r="B1913">
        <v>116</v>
      </c>
      <c r="C1913" t="s">
        <v>568</v>
      </c>
      <c r="D1913" t="s">
        <v>2776</v>
      </c>
      <c r="E1913" t="s">
        <v>2777</v>
      </c>
      <c r="F1913" s="452">
        <v>46111</v>
      </c>
      <c r="G1913">
        <v>18295</v>
      </c>
      <c r="H1913" t="s">
        <v>4030</v>
      </c>
      <c r="I1913" t="s">
        <v>3497</v>
      </c>
      <c r="J1913">
        <v>2</v>
      </c>
      <c r="L1913">
        <v>248</v>
      </c>
      <c r="M1913">
        <v>124</v>
      </c>
      <c r="N1913" t="s">
        <v>4276</v>
      </c>
      <c r="O1913" t="s">
        <v>463</v>
      </c>
    </row>
    <row r="1914" spans="1:15" x14ac:dyDescent="0.3">
      <c r="A1914">
        <v>221736</v>
      </c>
      <c r="B1914">
        <v>116</v>
      </c>
      <c r="C1914" t="s">
        <v>568</v>
      </c>
      <c r="D1914" t="s">
        <v>2271</v>
      </c>
      <c r="E1914" t="s">
        <v>2778</v>
      </c>
      <c r="F1914" s="452">
        <v>46111</v>
      </c>
      <c r="G1914">
        <v>18172</v>
      </c>
      <c r="H1914" t="s">
        <v>3923</v>
      </c>
      <c r="I1914" t="s">
        <v>3497</v>
      </c>
      <c r="J1914">
        <v>6</v>
      </c>
      <c r="K1914" t="s">
        <v>3878</v>
      </c>
      <c r="L1914">
        <v>188.4</v>
      </c>
      <c r="M1914">
        <v>31.4</v>
      </c>
      <c r="N1914" t="s">
        <v>4276</v>
      </c>
      <c r="O1914" t="s">
        <v>463</v>
      </c>
    </row>
    <row r="1915" spans="1:15" x14ac:dyDescent="0.3">
      <c r="A1915">
        <v>221735</v>
      </c>
      <c r="B1915">
        <v>116</v>
      </c>
      <c r="C1915" t="s">
        <v>568</v>
      </c>
      <c r="D1915" t="s">
        <v>2357</v>
      </c>
      <c r="E1915" t="s">
        <v>2779</v>
      </c>
      <c r="F1915" s="452">
        <v>46111</v>
      </c>
      <c r="G1915">
        <v>20278</v>
      </c>
      <c r="H1915" t="s">
        <v>3939</v>
      </c>
      <c r="I1915" t="s">
        <v>3469</v>
      </c>
      <c r="J1915">
        <v>10</v>
      </c>
      <c r="K1915" t="s">
        <v>3872</v>
      </c>
      <c r="L1915">
        <v>332.7</v>
      </c>
      <c r="M1915">
        <v>33.270000000000003</v>
      </c>
      <c r="N1915" t="s">
        <v>4240</v>
      </c>
      <c r="O1915" t="s">
        <v>463</v>
      </c>
    </row>
    <row r="1916" spans="1:15" x14ac:dyDescent="0.3">
      <c r="A1916">
        <v>221081</v>
      </c>
      <c r="B1916">
        <v>116</v>
      </c>
      <c r="C1916" t="s">
        <v>568</v>
      </c>
      <c r="D1916" t="s">
        <v>2314</v>
      </c>
      <c r="E1916" t="s">
        <v>2780</v>
      </c>
      <c r="F1916" s="452">
        <v>46098</v>
      </c>
      <c r="G1916">
        <v>18636</v>
      </c>
      <c r="H1916" t="s">
        <v>3921</v>
      </c>
      <c r="I1916" t="s">
        <v>3497</v>
      </c>
      <c r="J1916">
        <v>6</v>
      </c>
      <c r="K1916" t="s">
        <v>3922</v>
      </c>
      <c r="L1916">
        <v>2896.8</v>
      </c>
      <c r="M1916">
        <v>482.8</v>
      </c>
      <c r="N1916" t="s">
        <v>4276</v>
      </c>
      <c r="O1916" t="s">
        <v>463</v>
      </c>
    </row>
    <row r="1917" spans="1:15" x14ac:dyDescent="0.3">
      <c r="A1917">
        <v>221081</v>
      </c>
      <c r="B1917">
        <v>116</v>
      </c>
      <c r="C1917" t="s">
        <v>568</v>
      </c>
      <c r="D1917" t="s">
        <v>2314</v>
      </c>
      <c r="E1917" t="s">
        <v>2780</v>
      </c>
      <c r="F1917" s="452">
        <v>46098</v>
      </c>
      <c r="G1917">
        <v>18640</v>
      </c>
      <c r="H1917" t="s">
        <v>3994</v>
      </c>
      <c r="I1917" t="s">
        <v>3497</v>
      </c>
      <c r="J1917">
        <v>1</v>
      </c>
      <c r="K1917" t="s">
        <v>3922</v>
      </c>
      <c r="L1917">
        <v>306</v>
      </c>
      <c r="M1917">
        <v>306</v>
      </c>
      <c r="N1917" t="s">
        <v>4276</v>
      </c>
      <c r="O1917" t="s">
        <v>463</v>
      </c>
    </row>
    <row r="1918" spans="1:15" x14ac:dyDescent="0.3">
      <c r="A1918">
        <v>221081</v>
      </c>
      <c r="B1918">
        <v>116</v>
      </c>
      <c r="C1918" t="s">
        <v>568</v>
      </c>
      <c r="D1918" t="s">
        <v>2314</v>
      </c>
      <c r="E1918" t="s">
        <v>2780</v>
      </c>
      <c r="F1918" s="452">
        <v>46098</v>
      </c>
      <c r="G1918">
        <v>24599</v>
      </c>
      <c r="H1918" t="s">
        <v>3897</v>
      </c>
      <c r="I1918" t="s">
        <v>3497</v>
      </c>
      <c r="J1918">
        <v>1</v>
      </c>
      <c r="K1918" t="s">
        <v>3881</v>
      </c>
      <c r="L1918">
        <v>114.16</v>
      </c>
      <c r="M1918">
        <v>114.16</v>
      </c>
      <c r="N1918" t="s">
        <v>4276</v>
      </c>
      <c r="O1918" t="s">
        <v>463</v>
      </c>
    </row>
    <row r="1919" spans="1:15" x14ac:dyDescent="0.3">
      <c r="A1919">
        <v>221081</v>
      </c>
      <c r="B1919">
        <v>116</v>
      </c>
      <c r="C1919" t="s">
        <v>568</v>
      </c>
      <c r="D1919" t="s">
        <v>2314</v>
      </c>
      <c r="E1919" t="s">
        <v>2780</v>
      </c>
      <c r="F1919" s="452">
        <v>46098</v>
      </c>
      <c r="G1919">
        <v>17896</v>
      </c>
      <c r="H1919" t="s">
        <v>3972</v>
      </c>
      <c r="I1919" t="s">
        <v>3497</v>
      </c>
      <c r="J1919">
        <v>2</v>
      </c>
      <c r="K1919" t="s">
        <v>3888</v>
      </c>
      <c r="L1919">
        <v>80.58</v>
      </c>
      <c r="M1919">
        <v>40.29</v>
      </c>
      <c r="N1919" t="s">
        <v>4276</v>
      </c>
      <c r="O1919" t="s">
        <v>463</v>
      </c>
    </row>
    <row r="1920" spans="1:15" x14ac:dyDescent="0.3">
      <c r="A1920">
        <v>221081</v>
      </c>
      <c r="B1920">
        <v>116</v>
      </c>
      <c r="C1920" t="s">
        <v>568</v>
      </c>
      <c r="D1920" t="s">
        <v>2314</v>
      </c>
      <c r="E1920" t="s">
        <v>2780</v>
      </c>
      <c r="F1920" s="452">
        <v>46098</v>
      </c>
      <c r="G1920">
        <v>17897</v>
      </c>
      <c r="H1920" t="s">
        <v>4094</v>
      </c>
      <c r="I1920" t="s">
        <v>3497</v>
      </c>
      <c r="J1920">
        <v>2</v>
      </c>
      <c r="K1920" t="s">
        <v>3888</v>
      </c>
      <c r="L1920">
        <v>80.58</v>
      </c>
      <c r="M1920">
        <v>40.29</v>
      </c>
      <c r="N1920" t="s">
        <v>4276</v>
      </c>
      <c r="O1920" t="s">
        <v>463</v>
      </c>
    </row>
    <row r="1921" spans="1:15" x14ac:dyDescent="0.3">
      <c r="A1921">
        <v>221079</v>
      </c>
      <c r="B1921">
        <v>116</v>
      </c>
      <c r="C1921" t="s">
        <v>568</v>
      </c>
      <c r="D1921" t="s">
        <v>2314</v>
      </c>
      <c r="E1921" t="s">
        <v>2781</v>
      </c>
      <c r="F1921" s="452">
        <v>46101</v>
      </c>
      <c r="G1921">
        <v>18636</v>
      </c>
      <c r="H1921" t="s">
        <v>3921</v>
      </c>
      <c r="I1921" t="s">
        <v>3497</v>
      </c>
      <c r="J1921">
        <v>6</v>
      </c>
      <c r="K1921" t="s">
        <v>3922</v>
      </c>
      <c r="L1921">
        <v>2896.8</v>
      </c>
      <c r="M1921">
        <v>482.8</v>
      </c>
      <c r="N1921" t="s">
        <v>4276</v>
      </c>
      <c r="O1921" t="s">
        <v>463</v>
      </c>
    </row>
    <row r="1922" spans="1:15" x14ac:dyDescent="0.3">
      <c r="A1922">
        <v>221079</v>
      </c>
      <c r="B1922">
        <v>116</v>
      </c>
      <c r="C1922" t="s">
        <v>568</v>
      </c>
      <c r="D1922" t="s">
        <v>2314</v>
      </c>
      <c r="E1922" t="s">
        <v>2781</v>
      </c>
      <c r="F1922" s="452">
        <v>46101</v>
      </c>
      <c r="G1922">
        <v>18640</v>
      </c>
      <c r="H1922" t="s">
        <v>3994</v>
      </c>
      <c r="I1922" t="s">
        <v>3497</v>
      </c>
      <c r="J1922">
        <v>1</v>
      </c>
      <c r="K1922" t="s">
        <v>3922</v>
      </c>
      <c r="L1922">
        <v>306</v>
      </c>
      <c r="M1922">
        <v>306</v>
      </c>
      <c r="N1922" t="s">
        <v>4276</v>
      </c>
      <c r="O1922" t="s">
        <v>463</v>
      </c>
    </row>
    <row r="1923" spans="1:15" x14ac:dyDescent="0.3">
      <c r="A1923">
        <v>221079</v>
      </c>
      <c r="B1923">
        <v>116</v>
      </c>
      <c r="C1923" t="s">
        <v>568</v>
      </c>
      <c r="D1923" t="s">
        <v>2314</v>
      </c>
      <c r="E1923" t="s">
        <v>2781</v>
      </c>
      <c r="F1923" s="452">
        <v>46101</v>
      </c>
      <c r="G1923">
        <v>17918</v>
      </c>
      <c r="H1923" t="s">
        <v>4034</v>
      </c>
      <c r="I1923" t="s">
        <v>3497</v>
      </c>
      <c r="J1923">
        <v>2</v>
      </c>
      <c r="K1923" t="s">
        <v>3888</v>
      </c>
      <c r="L1923">
        <v>86.4</v>
      </c>
      <c r="M1923">
        <v>43.2</v>
      </c>
      <c r="N1923" t="s">
        <v>4276</v>
      </c>
      <c r="O1923" t="s">
        <v>463</v>
      </c>
    </row>
    <row r="1924" spans="1:15" x14ac:dyDescent="0.3">
      <c r="A1924">
        <v>221079</v>
      </c>
      <c r="B1924">
        <v>116</v>
      </c>
      <c r="C1924" t="s">
        <v>568</v>
      </c>
      <c r="D1924" t="s">
        <v>2314</v>
      </c>
      <c r="E1924" t="s">
        <v>2781</v>
      </c>
      <c r="F1924" s="452">
        <v>46101</v>
      </c>
      <c r="G1924">
        <v>17916</v>
      </c>
      <c r="H1924" t="s">
        <v>4191</v>
      </c>
      <c r="I1924" t="s">
        <v>3497</v>
      </c>
      <c r="J1924">
        <v>2</v>
      </c>
      <c r="K1924" t="s">
        <v>3888</v>
      </c>
      <c r="L1924">
        <v>57.6</v>
      </c>
      <c r="M1924">
        <v>28.8</v>
      </c>
      <c r="N1924" t="s">
        <v>4276</v>
      </c>
      <c r="O1924" t="s">
        <v>463</v>
      </c>
    </row>
    <row r="1925" spans="1:15" x14ac:dyDescent="0.3">
      <c r="A1925">
        <v>221077</v>
      </c>
      <c r="B1925">
        <v>116</v>
      </c>
      <c r="C1925" t="s">
        <v>568</v>
      </c>
      <c r="D1925" t="s">
        <v>2314</v>
      </c>
      <c r="E1925" t="s">
        <v>2782</v>
      </c>
      <c r="F1925" s="452">
        <v>46105</v>
      </c>
      <c r="G1925">
        <v>18636</v>
      </c>
      <c r="H1925" t="s">
        <v>3921</v>
      </c>
      <c r="I1925" t="s">
        <v>3497</v>
      </c>
      <c r="J1925">
        <v>8</v>
      </c>
      <c r="K1925" t="s">
        <v>3922</v>
      </c>
      <c r="L1925">
        <v>3862.4</v>
      </c>
      <c r="M1925">
        <v>482.8</v>
      </c>
      <c r="N1925" t="s">
        <v>4276</v>
      </c>
      <c r="O1925" t="s">
        <v>463</v>
      </c>
    </row>
    <row r="1926" spans="1:15" x14ac:dyDescent="0.3">
      <c r="A1926">
        <v>221077</v>
      </c>
      <c r="B1926">
        <v>116</v>
      </c>
      <c r="C1926" t="s">
        <v>568</v>
      </c>
      <c r="D1926" t="s">
        <v>2314</v>
      </c>
      <c r="E1926" t="s">
        <v>2782</v>
      </c>
      <c r="F1926" s="452">
        <v>46105</v>
      </c>
      <c r="G1926">
        <v>18640</v>
      </c>
      <c r="H1926" t="s">
        <v>3994</v>
      </c>
      <c r="I1926" t="s">
        <v>3497</v>
      </c>
      <c r="J1926">
        <v>1</v>
      </c>
      <c r="K1926" t="s">
        <v>3922</v>
      </c>
      <c r="L1926">
        <v>306</v>
      </c>
      <c r="M1926">
        <v>306</v>
      </c>
      <c r="N1926" t="s">
        <v>4276</v>
      </c>
      <c r="O1926" t="s">
        <v>463</v>
      </c>
    </row>
    <row r="1927" spans="1:15" x14ac:dyDescent="0.3">
      <c r="A1927">
        <v>221075</v>
      </c>
      <c r="B1927">
        <v>116</v>
      </c>
      <c r="C1927" t="s">
        <v>568</v>
      </c>
      <c r="D1927" t="s">
        <v>2330</v>
      </c>
      <c r="E1927" t="s">
        <v>2783</v>
      </c>
      <c r="F1927" s="452">
        <v>46097</v>
      </c>
      <c r="G1927">
        <v>18538</v>
      </c>
      <c r="H1927" t="s">
        <v>4026</v>
      </c>
      <c r="I1927" t="s">
        <v>3497</v>
      </c>
      <c r="J1927">
        <v>3</v>
      </c>
      <c r="K1927" t="s">
        <v>3878</v>
      </c>
      <c r="L1927">
        <v>315</v>
      </c>
      <c r="M1927">
        <v>105</v>
      </c>
      <c r="N1927" t="s">
        <v>4276</v>
      </c>
      <c r="O1927" t="s">
        <v>463</v>
      </c>
    </row>
    <row r="1928" spans="1:15" x14ac:dyDescent="0.3">
      <c r="A1928">
        <v>221075</v>
      </c>
      <c r="B1928">
        <v>116</v>
      </c>
      <c r="C1928" t="s">
        <v>568</v>
      </c>
      <c r="D1928" t="s">
        <v>2330</v>
      </c>
      <c r="E1928" t="s">
        <v>2783</v>
      </c>
      <c r="F1928" s="452">
        <v>46097</v>
      </c>
      <c r="G1928">
        <v>18295</v>
      </c>
      <c r="H1928" t="s">
        <v>4030</v>
      </c>
      <c r="I1928" t="s">
        <v>3497</v>
      </c>
      <c r="J1928">
        <v>2</v>
      </c>
      <c r="K1928" t="s">
        <v>3878</v>
      </c>
      <c r="L1928">
        <v>248</v>
      </c>
      <c r="M1928">
        <v>124</v>
      </c>
      <c r="N1928" t="s">
        <v>4276</v>
      </c>
      <c r="O1928" t="s">
        <v>463</v>
      </c>
    </row>
    <row r="1929" spans="1:15" x14ac:dyDescent="0.3">
      <c r="A1929">
        <v>221074</v>
      </c>
      <c r="B1929">
        <v>116</v>
      </c>
      <c r="C1929" t="s">
        <v>568</v>
      </c>
      <c r="D1929" t="s">
        <v>2338</v>
      </c>
      <c r="E1929" t="s">
        <v>2784</v>
      </c>
      <c r="F1929" s="452">
        <v>46099</v>
      </c>
      <c r="G1929">
        <v>20301</v>
      </c>
      <c r="H1929" t="s">
        <v>4161</v>
      </c>
      <c r="I1929" t="s">
        <v>3469</v>
      </c>
      <c r="J1929">
        <v>12</v>
      </c>
      <c r="K1929" t="s">
        <v>3888</v>
      </c>
      <c r="L1929">
        <v>226.8</v>
      </c>
      <c r="M1929">
        <v>18.899999999999999</v>
      </c>
      <c r="N1929" t="s">
        <v>4240</v>
      </c>
      <c r="O1929" t="s">
        <v>463</v>
      </c>
    </row>
    <row r="1930" spans="1:15" x14ac:dyDescent="0.3">
      <c r="A1930">
        <v>221074</v>
      </c>
      <c r="B1930">
        <v>116</v>
      </c>
      <c r="C1930" t="s">
        <v>568</v>
      </c>
      <c r="D1930" t="s">
        <v>2338</v>
      </c>
      <c r="E1930" t="s">
        <v>2784</v>
      </c>
      <c r="F1930" s="452">
        <v>46099</v>
      </c>
      <c r="G1930">
        <v>20984</v>
      </c>
      <c r="H1930" t="s">
        <v>4235</v>
      </c>
      <c r="I1930" t="s">
        <v>3469</v>
      </c>
      <c r="J1930">
        <v>24</v>
      </c>
      <c r="K1930" t="s">
        <v>3931</v>
      </c>
      <c r="L1930">
        <v>182.64</v>
      </c>
      <c r="M1930">
        <v>7.61</v>
      </c>
      <c r="N1930" t="s">
        <v>4240</v>
      </c>
      <c r="O1930" t="s">
        <v>463</v>
      </c>
    </row>
    <row r="1931" spans="1:15" x14ac:dyDescent="0.3">
      <c r="A1931">
        <v>221073</v>
      </c>
      <c r="B1931">
        <v>116</v>
      </c>
      <c r="C1931" t="s">
        <v>568</v>
      </c>
      <c r="D1931" t="s">
        <v>2338</v>
      </c>
      <c r="E1931" t="s">
        <v>2785</v>
      </c>
      <c r="F1931" s="452">
        <v>46105</v>
      </c>
      <c r="G1931">
        <v>20984</v>
      </c>
      <c r="H1931" t="s">
        <v>4235</v>
      </c>
      <c r="I1931" t="s">
        <v>3469</v>
      </c>
      <c r="J1931">
        <v>54</v>
      </c>
      <c r="K1931" t="s">
        <v>3931</v>
      </c>
      <c r="L1931">
        <v>410.94</v>
      </c>
      <c r="M1931">
        <v>7.61</v>
      </c>
      <c r="N1931" t="s">
        <v>3469</v>
      </c>
      <c r="O1931" t="s">
        <v>463</v>
      </c>
    </row>
    <row r="1932" spans="1:15" x14ac:dyDescent="0.3">
      <c r="A1932">
        <v>221072</v>
      </c>
      <c r="B1932">
        <v>116</v>
      </c>
      <c r="C1932" t="s">
        <v>568</v>
      </c>
      <c r="D1932" t="s">
        <v>2308</v>
      </c>
      <c r="E1932" t="s">
        <v>2786</v>
      </c>
      <c r="F1932" s="452">
        <v>46099</v>
      </c>
      <c r="G1932">
        <v>18832</v>
      </c>
      <c r="H1932" t="s">
        <v>3900</v>
      </c>
      <c r="I1932" t="s">
        <v>3469</v>
      </c>
      <c r="J1932">
        <v>15</v>
      </c>
      <c r="K1932" t="s">
        <v>3892</v>
      </c>
      <c r="L1932">
        <v>598.5</v>
      </c>
      <c r="M1932">
        <v>39.9</v>
      </c>
      <c r="N1932" t="s">
        <v>4240</v>
      </c>
      <c r="O1932" t="s">
        <v>463</v>
      </c>
    </row>
    <row r="1933" spans="1:15" x14ac:dyDescent="0.3">
      <c r="A1933">
        <v>221070</v>
      </c>
      <c r="B1933">
        <v>116</v>
      </c>
      <c r="C1933" t="s">
        <v>568</v>
      </c>
      <c r="D1933" t="s">
        <v>2308</v>
      </c>
      <c r="E1933" t="s">
        <v>2787</v>
      </c>
      <c r="F1933" s="452">
        <v>46105</v>
      </c>
      <c r="G1933">
        <v>28760</v>
      </c>
      <c r="H1933" t="s">
        <v>4188</v>
      </c>
      <c r="I1933" t="s">
        <v>3469</v>
      </c>
      <c r="J1933">
        <v>10.8</v>
      </c>
      <c r="K1933" t="s">
        <v>3892</v>
      </c>
      <c r="L1933">
        <v>658.8</v>
      </c>
      <c r="M1933">
        <v>61</v>
      </c>
      <c r="N1933" t="s">
        <v>4240</v>
      </c>
      <c r="O1933" t="s">
        <v>463</v>
      </c>
    </row>
    <row r="1934" spans="1:15" x14ac:dyDescent="0.3">
      <c r="A1934">
        <v>221069</v>
      </c>
      <c r="B1934">
        <v>116</v>
      </c>
      <c r="C1934" t="s">
        <v>568</v>
      </c>
      <c r="D1934" t="s">
        <v>2308</v>
      </c>
      <c r="E1934" t="s">
        <v>2788</v>
      </c>
      <c r="F1934" s="452">
        <v>46106</v>
      </c>
      <c r="G1934">
        <v>24259</v>
      </c>
      <c r="H1934" t="s">
        <v>3895</v>
      </c>
      <c r="I1934" t="s">
        <v>3469</v>
      </c>
      <c r="J1934">
        <v>15.5</v>
      </c>
      <c r="K1934" t="s">
        <v>3892</v>
      </c>
      <c r="L1934">
        <v>1202.8</v>
      </c>
      <c r="M1934">
        <v>77.599999999999994</v>
      </c>
      <c r="N1934" t="s">
        <v>4240</v>
      </c>
      <c r="O1934" t="s">
        <v>463</v>
      </c>
    </row>
    <row r="1935" spans="1:15" x14ac:dyDescent="0.3">
      <c r="A1935">
        <v>221069</v>
      </c>
      <c r="B1935">
        <v>116</v>
      </c>
      <c r="C1935" t="s">
        <v>568</v>
      </c>
      <c r="D1935" t="s">
        <v>2308</v>
      </c>
      <c r="E1935" t="s">
        <v>2788</v>
      </c>
      <c r="F1935" s="452">
        <v>46106</v>
      </c>
      <c r="G1935">
        <v>18832</v>
      </c>
      <c r="H1935" t="s">
        <v>3900</v>
      </c>
      <c r="I1935" t="s">
        <v>3469</v>
      </c>
      <c r="J1935">
        <v>20</v>
      </c>
      <c r="K1935" t="s">
        <v>3892</v>
      </c>
      <c r="L1935">
        <v>798</v>
      </c>
      <c r="M1935">
        <v>39.9</v>
      </c>
      <c r="N1935" t="s">
        <v>4240</v>
      </c>
      <c r="O1935" t="s">
        <v>463</v>
      </c>
    </row>
    <row r="1936" spans="1:15" x14ac:dyDescent="0.3">
      <c r="A1936">
        <v>221068</v>
      </c>
      <c r="B1936">
        <v>116</v>
      </c>
      <c r="C1936" t="s">
        <v>568</v>
      </c>
      <c r="D1936" t="s">
        <v>2537</v>
      </c>
      <c r="E1936" t="s">
        <v>2789</v>
      </c>
      <c r="F1936" s="452">
        <v>46100</v>
      </c>
      <c r="G1936">
        <v>28659</v>
      </c>
      <c r="H1936" t="s">
        <v>4266</v>
      </c>
      <c r="I1936" t="s">
        <v>4199</v>
      </c>
      <c r="J1936">
        <v>4</v>
      </c>
      <c r="K1936" t="s">
        <v>3881</v>
      </c>
      <c r="L1936">
        <v>988</v>
      </c>
      <c r="M1936">
        <v>247</v>
      </c>
      <c r="N1936" t="s">
        <v>4294</v>
      </c>
      <c r="O1936" t="s">
        <v>463</v>
      </c>
    </row>
    <row r="1937" spans="1:15" x14ac:dyDescent="0.3">
      <c r="A1937">
        <v>221067</v>
      </c>
      <c r="B1937">
        <v>116</v>
      </c>
      <c r="C1937" t="s">
        <v>568</v>
      </c>
      <c r="D1937" t="s">
        <v>2280</v>
      </c>
      <c r="E1937" t="s">
        <v>2790</v>
      </c>
      <c r="F1937" s="452">
        <v>46097</v>
      </c>
      <c r="G1937">
        <v>19506</v>
      </c>
      <c r="H1937" t="s">
        <v>4112</v>
      </c>
      <c r="I1937" t="s">
        <v>3469</v>
      </c>
      <c r="J1937">
        <v>0.2</v>
      </c>
      <c r="K1937" t="s">
        <v>3892</v>
      </c>
      <c r="L1937">
        <v>9.3800000000000008</v>
      </c>
      <c r="M1937">
        <v>46.9</v>
      </c>
      <c r="N1937" t="s">
        <v>4240</v>
      </c>
      <c r="O1937" t="s">
        <v>463</v>
      </c>
    </row>
    <row r="1938" spans="1:15" x14ac:dyDescent="0.3">
      <c r="A1938">
        <v>221067</v>
      </c>
      <c r="B1938">
        <v>116</v>
      </c>
      <c r="C1938" t="s">
        <v>568</v>
      </c>
      <c r="D1938" t="s">
        <v>2280</v>
      </c>
      <c r="E1938" t="s">
        <v>2790</v>
      </c>
      <c r="F1938" s="452">
        <v>46097</v>
      </c>
      <c r="G1938">
        <v>19751</v>
      </c>
      <c r="H1938" t="s">
        <v>4019</v>
      </c>
      <c r="I1938" t="s">
        <v>3469</v>
      </c>
      <c r="J1938">
        <v>2</v>
      </c>
      <c r="K1938" t="s">
        <v>3892</v>
      </c>
      <c r="L1938">
        <v>22.5</v>
      </c>
      <c r="M1938">
        <v>11.25</v>
      </c>
      <c r="N1938" t="s">
        <v>4240</v>
      </c>
      <c r="O1938" t="s">
        <v>463</v>
      </c>
    </row>
    <row r="1939" spans="1:15" x14ac:dyDescent="0.3">
      <c r="A1939">
        <v>221067</v>
      </c>
      <c r="B1939">
        <v>116</v>
      </c>
      <c r="C1939" t="s">
        <v>568</v>
      </c>
      <c r="D1939" t="s">
        <v>2280</v>
      </c>
      <c r="E1939" t="s">
        <v>2790</v>
      </c>
      <c r="F1939" s="452">
        <v>46097</v>
      </c>
      <c r="G1939">
        <v>23096</v>
      </c>
      <c r="H1939" t="s">
        <v>3876</v>
      </c>
      <c r="I1939" t="s">
        <v>3469</v>
      </c>
      <c r="J1939">
        <v>30</v>
      </c>
      <c r="K1939" t="s">
        <v>3872</v>
      </c>
      <c r="L1939">
        <v>22.5</v>
      </c>
      <c r="M1939">
        <v>0.75</v>
      </c>
      <c r="N1939" t="s">
        <v>4240</v>
      </c>
      <c r="O1939" t="s">
        <v>463</v>
      </c>
    </row>
    <row r="1940" spans="1:15" x14ac:dyDescent="0.3">
      <c r="A1940">
        <v>221067</v>
      </c>
      <c r="B1940">
        <v>116</v>
      </c>
      <c r="C1940" t="s">
        <v>568</v>
      </c>
      <c r="D1940" t="s">
        <v>2280</v>
      </c>
      <c r="E1940" t="s">
        <v>2790</v>
      </c>
      <c r="F1940" s="452">
        <v>46097</v>
      </c>
      <c r="G1940">
        <v>23335</v>
      </c>
      <c r="H1940" t="s">
        <v>4075</v>
      </c>
      <c r="I1940" t="s">
        <v>3469</v>
      </c>
      <c r="J1940">
        <v>1.2</v>
      </c>
      <c r="K1940" t="s">
        <v>3892</v>
      </c>
      <c r="L1940">
        <v>39</v>
      </c>
      <c r="M1940">
        <v>32.5</v>
      </c>
      <c r="N1940" t="s">
        <v>4240</v>
      </c>
      <c r="O1940" t="s">
        <v>463</v>
      </c>
    </row>
    <row r="1941" spans="1:15" x14ac:dyDescent="0.3">
      <c r="A1941">
        <v>221066</v>
      </c>
      <c r="B1941">
        <v>116</v>
      </c>
      <c r="C1941" t="s">
        <v>568</v>
      </c>
      <c r="D1941" t="s">
        <v>2280</v>
      </c>
      <c r="E1941" t="s">
        <v>2791</v>
      </c>
      <c r="F1941" s="452">
        <v>46100</v>
      </c>
      <c r="G1941">
        <v>19589</v>
      </c>
      <c r="H1941" t="s">
        <v>4153</v>
      </c>
      <c r="I1941" t="s">
        <v>3469</v>
      </c>
      <c r="J1941">
        <v>1</v>
      </c>
      <c r="K1941" t="s">
        <v>3892</v>
      </c>
      <c r="L1941">
        <v>4.38</v>
      </c>
      <c r="M1941">
        <v>4.38</v>
      </c>
      <c r="N1941" t="s">
        <v>4240</v>
      </c>
      <c r="O1941" t="s">
        <v>463</v>
      </c>
    </row>
    <row r="1942" spans="1:15" x14ac:dyDescent="0.3">
      <c r="A1942">
        <v>221066</v>
      </c>
      <c r="B1942">
        <v>116</v>
      </c>
      <c r="C1942" t="s">
        <v>568</v>
      </c>
      <c r="D1942" t="s">
        <v>2280</v>
      </c>
      <c r="E1942" t="s">
        <v>2791</v>
      </c>
      <c r="F1942" s="452">
        <v>46100</v>
      </c>
      <c r="G1942">
        <v>19506</v>
      </c>
      <c r="H1942" t="s">
        <v>4112</v>
      </c>
      <c r="I1942" t="s">
        <v>3469</v>
      </c>
      <c r="J1942">
        <v>0.2</v>
      </c>
      <c r="K1942" t="s">
        <v>3892</v>
      </c>
      <c r="L1942">
        <v>9.3800000000000008</v>
      </c>
      <c r="M1942">
        <v>46.9</v>
      </c>
      <c r="N1942" t="s">
        <v>4240</v>
      </c>
      <c r="O1942" t="s">
        <v>463</v>
      </c>
    </row>
    <row r="1943" spans="1:15" x14ac:dyDescent="0.3">
      <c r="A1943">
        <v>221066</v>
      </c>
      <c r="B1943">
        <v>116</v>
      </c>
      <c r="C1943" t="s">
        <v>568</v>
      </c>
      <c r="D1943" t="s">
        <v>2280</v>
      </c>
      <c r="E1943" t="s">
        <v>2791</v>
      </c>
      <c r="F1943" s="452">
        <v>46100</v>
      </c>
      <c r="G1943">
        <v>23096</v>
      </c>
      <c r="H1943" t="s">
        <v>3876</v>
      </c>
      <c r="I1943" t="s">
        <v>3469</v>
      </c>
      <c r="J1943">
        <v>30</v>
      </c>
      <c r="K1943" t="s">
        <v>3872</v>
      </c>
      <c r="L1943">
        <v>22.5</v>
      </c>
      <c r="M1943">
        <v>0.75</v>
      </c>
      <c r="N1943" t="s">
        <v>4240</v>
      </c>
      <c r="O1943" t="s">
        <v>463</v>
      </c>
    </row>
    <row r="1944" spans="1:15" x14ac:dyDescent="0.3">
      <c r="A1944">
        <v>221066</v>
      </c>
      <c r="B1944">
        <v>116</v>
      </c>
      <c r="C1944" t="s">
        <v>568</v>
      </c>
      <c r="D1944" t="s">
        <v>2280</v>
      </c>
      <c r="E1944" t="s">
        <v>2791</v>
      </c>
      <c r="F1944" s="452">
        <v>46100</v>
      </c>
      <c r="G1944">
        <v>23195</v>
      </c>
      <c r="H1944" t="s">
        <v>4184</v>
      </c>
      <c r="I1944" t="s">
        <v>3469</v>
      </c>
      <c r="J1944">
        <v>1</v>
      </c>
      <c r="K1944" t="s">
        <v>3892</v>
      </c>
      <c r="L1944">
        <v>14.58</v>
      </c>
      <c r="M1944">
        <v>14.58</v>
      </c>
      <c r="N1944" t="s">
        <v>4240</v>
      </c>
      <c r="O1944" t="s">
        <v>463</v>
      </c>
    </row>
    <row r="1945" spans="1:15" x14ac:dyDescent="0.3">
      <c r="A1945">
        <v>221066</v>
      </c>
      <c r="B1945">
        <v>116</v>
      </c>
      <c r="C1945" t="s">
        <v>568</v>
      </c>
      <c r="D1945" t="s">
        <v>2280</v>
      </c>
      <c r="E1945" t="s">
        <v>2791</v>
      </c>
      <c r="F1945" s="452">
        <v>46100</v>
      </c>
      <c r="G1945">
        <v>23234</v>
      </c>
      <c r="H1945" t="s">
        <v>4018</v>
      </c>
      <c r="I1945" t="s">
        <v>3469</v>
      </c>
      <c r="J1945">
        <v>1</v>
      </c>
      <c r="K1945" t="s">
        <v>3892</v>
      </c>
      <c r="L1945">
        <v>25</v>
      </c>
      <c r="M1945">
        <v>25</v>
      </c>
      <c r="N1945" t="s">
        <v>4240</v>
      </c>
      <c r="O1945" t="s">
        <v>463</v>
      </c>
    </row>
    <row r="1946" spans="1:15" x14ac:dyDescent="0.3">
      <c r="A1946">
        <v>221066</v>
      </c>
      <c r="B1946">
        <v>116</v>
      </c>
      <c r="C1946" t="s">
        <v>568</v>
      </c>
      <c r="D1946" t="s">
        <v>2280</v>
      </c>
      <c r="E1946" t="s">
        <v>2791</v>
      </c>
      <c r="F1946" s="452">
        <v>46100</v>
      </c>
      <c r="G1946">
        <v>23385</v>
      </c>
      <c r="H1946" t="s">
        <v>4069</v>
      </c>
      <c r="I1946" t="s">
        <v>3469</v>
      </c>
      <c r="J1946">
        <v>1.2</v>
      </c>
      <c r="K1946" t="s">
        <v>3892</v>
      </c>
      <c r="L1946">
        <v>72</v>
      </c>
      <c r="M1946">
        <v>60</v>
      </c>
      <c r="N1946" t="s">
        <v>4240</v>
      </c>
      <c r="O1946" t="s">
        <v>463</v>
      </c>
    </row>
    <row r="1947" spans="1:15" x14ac:dyDescent="0.3">
      <c r="A1947">
        <v>221065</v>
      </c>
      <c r="B1947">
        <v>116</v>
      </c>
      <c r="C1947" t="s">
        <v>568</v>
      </c>
      <c r="D1947" t="s">
        <v>2280</v>
      </c>
      <c r="E1947" t="s">
        <v>2792</v>
      </c>
      <c r="F1947" s="452">
        <v>46104</v>
      </c>
      <c r="G1947">
        <v>24083</v>
      </c>
      <c r="H1947" t="s">
        <v>3898</v>
      </c>
      <c r="I1947" t="s">
        <v>3469</v>
      </c>
      <c r="J1947">
        <v>10</v>
      </c>
      <c r="K1947" t="s">
        <v>3892</v>
      </c>
      <c r="L1947">
        <v>50</v>
      </c>
      <c r="M1947">
        <v>5</v>
      </c>
      <c r="N1947" t="s">
        <v>4240</v>
      </c>
      <c r="O1947" t="s">
        <v>463</v>
      </c>
    </row>
    <row r="1948" spans="1:15" x14ac:dyDescent="0.3">
      <c r="A1948">
        <v>221065</v>
      </c>
      <c r="B1948">
        <v>116</v>
      </c>
      <c r="C1948" t="s">
        <v>568</v>
      </c>
      <c r="D1948" t="s">
        <v>2280</v>
      </c>
      <c r="E1948" t="s">
        <v>2792</v>
      </c>
      <c r="F1948" s="452">
        <v>46104</v>
      </c>
      <c r="G1948">
        <v>19458</v>
      </c>
      <c r="H1948" t="s">
        <v>4212</v>
      </c>
      <c r="I1948" t="s">
        <v>3469</v>
      </c>
      <c r="J1948">
        <v>1</v>
      </c>
      <c r="K1948" t="s">
        <v>3892</v>
      </c>
      <c r="L1948">
        <v>15.63</v>
      </c>
      <c r="M1948">
        <v>15.63</v>
      </c>
      <c r="N1948" t="s">
        <v>4240</v>
      </c>
      <c r="O1948" t="s">
        <v>463</v>
      </c>
    </row>
    <row r="1949" spans="1:15" x14ac:dyDescent="0.3">
      <c r="A1949">
        <v>221065</v>
      </c>
      <c r="B1949">
        <v>116</v>
      </c>
      <c r="C1949" t="s">
        <v>568</v>
      </c>
      <c r="D1949" t="s">
        <v>2280</v>
      </c>
      <c r="E1949" t="s">
        <v>2792</v>
      </c>
      <c r="F1949" s="452">
        <v>46104</v>
      </c>
      <c r="G1949">
        <v>23359</v>
      </c>
      <c r="H1949" t="s">
        <v>3932</v>
      </c>
      <c r="I1949" t="s">
        <v>3469</v>
      </c>
      <c r="J1949">
        <v>6</v>
      </c>
      <c r="K1949" t="s">
        <v>3892</v>
      </c>
      <c r="L1949">
        <v>18.78</v>
      </c>
      <c r="M1949">
        <v>3.13</v>
      </c>
      <c r="N1949" t="s">
        <v>4240</v>
      </c>
      <c r="O1949" t="s">
        <v>463</v>
      </c>
    </row>
    <row r="1950" spans="1:15" x14ac:dyDescent="0.3">
      <c r="A1950">
        <v>221065</v>
      </c>
      <c r="B1950">
        <v>116</v>
      </c>
      <c r="C1950" t="s">
        <v>568</v>
      </c>
      <c r="D1950" t="s">
        <v>2280</v>
      </c>
      <c r="E1950" t="s">
        <v>2792</v>
      </c>
      <c r="F1950" s="452">
        <v>46104</v>
      </c>
      <c r="G1950">
        <v>23389</v>
      </c>
      <c r="H1950" t="s">
        <v>4016</v>
      </c>
      <c r="I1950" t="s">
        <v>3469</v>
      </c>
      <c r="J1950">
        <v>4</v>
      </c>
      <c r="K1950" t="s">
        <v>3892</v>
      </c>
      <c r="L1950">
        <v>20</v>
      </c>
      <c r="M1950">
        <v>5</v>
      </c>
      <c r="N1950" t="s">
        <v>4240</v>
      </c>
      <c r="O1950" t="s">
        <v>463</v>
      </c>
    </row>
    <row r="1951" spans="1:15" x14ac:dyDescent="0.3">
      <c r="A1951">
        <v>221065</v>
      </c>
      <c r="B1951">
        <v>116</v>
      </c>
      <c r="C1951" t="s">
        <v>568</v>
      </c>
      <c r="D1951" t="s">
        <v>2280</v>
      </c>
      <c r="E1951" t="s">
        <v>2792</v>
      </c>
      <c r="F1951" s="452">
        <v>46104</v>
      </c>
      <c r="G1951">
        <v>23142</v>
      </c>
      <c r="H1951" t="s">
        <v>4151</v>
      </c>
      <c r="I1951" t="s">
        <v>3469</v>
      </c>
      <c r="J1951">
        <v>1</v>
      </c>
      <c r="K1951" t="s">
        <v>3892</v>
      </c>
      <c r="L1951">
        <v>20.83</v>
      </c>
      <c r="M1951">
        <v>20.83</v>
      </c>
      <c r="N1951" t="s">
        <v>4240</v>
      </c>
      <c r="O1951" t="s">
        <v>463</v>
      </c>
    </row>
    <row r="1952" spans="1:15" x14ac:dyDescent="0.3">
      <c r="A1952">
        <v>221064</v>
      </c>
      <c r="B1952">
        <v>116</v>
      </c>
      <c r="C1952" t="s">
        <v>568</v>
      </c>
      <c r="D1952" t="s">
        <v>2277</v>
      </c>
      <c r="E1952" t="s">
        <v>2793</v>
      </c>
      <c r="F1952" s="452">
        <v>46106</v>
      </c>
      <c r="G1952">
        <v>20661</v>
      </c>
      <c r="H1952" t="s">
        <v>3919</v>
      </c>
      <c r="I1952" t="s">
        <v>3469</v>
      </c>
      <c r="J1952">
        <v>6</v>
      </c>
      <c r="K1952" t="s">
        <v>3872</v>
      </c>
      <c r="L1952">
        <v>49.74</v>
      </c>
      <c r="M1952">
        <v>8.2899999999999991</v>
      </c>
      <c r="N1952" t="s">
        <v>4240</v>
      </c>
      <c r="O1952" t="s">
        <v>463</v>
      </c>
    </row>
    <row r="1953" spans="1:15" x14ac:dyDescent="0.3">
      <c r="A1953">
        <v>221064</v>
      </c>
      <c r="B1953">
        <v>116</v>
      </c>
      <c r="C1953" t="s">
        <v>568</v>
      </c>
      <c r="D1953" t="s">
        <v>2277</v>
      </c>
      <c r="E1953" t="s">
        <v>2793</v>
      </c>
      <c r="F1953" s="452">
        <v>46106</v>
      </c>
      <c r="G1953">
        <v>20213</v>
      </c>
      <c r="H1953" t="s">
        <v>4059</v>
      </c>
      <c r="I1953" t="s">
        <v>3469</v>
      </c>
      <c r="J1953">
        <v>2</v>
      </c>
      <c r="K1953" t="s">
        <v>4268</v>
      </c>
      <c r="L1953">
        <v>63.2</v>
      </c>
      <c r="M1953">
        <v>31.6</v>
      </c>
      <c r="N1953" t="s">
        <v>4240</v>
      </c>
      <c r="O1953" t="s">
        <v>463</v>
      </c>
    </row>
    <row r="1954" spans="1:15" x14ac:dyDescent="0.3">
      <c r="A1954">
        <v>221064</v>
      </c>
      <c r="B1954">
        <v>116</v>
      </c>
      <c r="C1954" t="s">
        <v>568</v>
      </c>
      <c r="D1954" t="s">
        <v>2277</v>
      </c>
      <c r="E1954" t="s">
        <v>2793</v>
      </c>
      <c r="F1954" s="452">
        <v>46106</v>
      </c>
      <c r="G1954">
        <v>20729</v>
      </c>
      <c r="H1954" t="s">
        <v>3965</v>
      </c>
      <c r="I1954" t="s">
        <v>3469</v>
      </c>
      <c r="J1954">
        <v>1</v>
      </c>
      <c r="K1954" t="s">
        <v>3966</v>
      </c>
      <c r="L1954">
        <v>65.88</v>
      </c>
      <c r="M1954">
        <v>65.88</v>
      </c>
      <c r="N1954" t="s">
        <v>4240</v>
      </c>
      <c r="O1954" t="s">
        <v>463</v>
      </c>
    </row>
    <row r="1955" spans="1:15" x14ac:dyDescent="0.3">
      <c r="A1955">
        <v>221064</v>
      </c>
      <c r="B1955">
        <v>116</v>
      </c>
      <c r="C1955" t="s">
        <v>568</v>
      </c>
      <c r="D1955" t="s">
        <v>2277</v>
      </c>
      <c r="E1955" t="s">
        <v>2793</v>
      </c>
      <c r="F1955" s="452">
        <v>46106</v>
      </c>
      <c r="G1955">
        <v>20287</v>
      </c>
      <c r="H1955" t="s">
        <v>4053</v>
      </c>
      <c r="I1955" t="s">
        <v>3469</v>
      </c>
      <c r="J1955">
        <v>1</v>
      </c>
      <c r="K1955" t="s">
        <v>4197</v>
      </c>
      <c r="L1955">
        <v>24.85</v>
      </c>
      <c r="M1955">
        <v>24.85</v>
      </c>
      <c r="N1955" t="s">
        <v>4240</v>
      </c>
      <c r="O1955" t="s">
        <v>463</v>
      </c>
    </row>
    <row r="1956" spans="1:15" x14ac:dyDescent="0.3">
      <c r="A1956">
        <v>221064</v>
      </c>
      <c r="B1956">
        <v>116</v>
      </c>
      <c r="C1956" t="s">
        <v>568</v>
      </c>
      <c r="D1956" t="s">
        <v>2277</v>
      </c>
      <c r="E1956" t="s">
        <v>2793</v>
      </c>
      <c r="F1956" s="452">
        <v>46106</v>
      </c>
      <c r="G1956">
        <v>20246</v>
      </c>
      <c r="H1956" t="s">
        <v>3911</v>
      </c>
      <c r="I1956" t="s">
        <v>3469</v>
      </c>
      <c r="J1956">
        <v>10</v>
      </c>
      <c r="K1956" t="s">
        <v>3872</v>
      </c>
      <c r="L1956">
        <v>95.9</v>
      </c>
      <c r="M1956">
        <v>9.59</v>
      </c>
      <c r="N1956" t="s">
        <v>4240</v>
      </c>
      <c r="O1956" t="s">
        <v>463</v>
      </c>
    </row>
    <row r="1957" spans="1:15" x14ac:dyDescent="0.3">
      <c r="A1957">
        <v>221064</v>
      </c>
      <c r="B1957">
        <v>116</v>
      </c>
      <c r="C1957" t="s">
        <v>568</v>
      </c>
      <c r="D1957" t="s">
        <v>2277</v>
      </c>
      <c r="E1957" t="s">
        <v>2793</v>
      </c>
      <c r="F1957" s="452">
        <v>46106</v>
      </c>
      <c r="G1957">
        <v>20949</v>
      </c>
      <c r="H1957" t="s">
        <v>3983</v>
      </c>
      <c r="I1957" t="s">
        <v>3469</v>
      </c>
      <c r="J1957">
        <v>6</v>
      </c>
      <c r="K1957" t="s">
        <v>3872</v>
      </c>
      <c r="L1957">
        <v>47.76</v>
      </c>
      <c r="M1957">
        <v>7.96</v>
      </c>
      <c r="N1957" t="s">
        <v>4240</v>
      </c>
      <c r="O1957" t="s">
        <v>463</v>
      </c>
    </row>
    <row r="1958" spans="1:15" x14ac:dyDescent="0.3">
      <c r="A1958">
        <v>221064</v>
      </c>
      <c r="B1958">
        <v>116</v>
      </c>
      <c r="C1958" t="s">
        <v>568</v>
      </c>
      <c r="D1958" t="s">
        <v>2277</v>
      </c>
      <c r="E1958" t="s">
        <v>2793</v>
      </c>
      <c r="F1958" s="452">
        <v>46106</v>
      </c>
      <c r="G1958">
        <v>20007</v>
      </c>
      <c r="H1958" t="s">
        <v>4009</v>
      </c>
      <c r="I1958" t="s">
        <v>3469</v>
      </c>
      <c r="J1958">
        <v>2</v>
      </c>
      <c r="K1958" t="s">
        <v>3966</v>
      </c>
      <c r="L1958">
        <v>108.74</v>
      </c>
      <c r="M1958">
        <v>54.37</v>
      </c>
      <c r="N1958" t="s">
        <v>4240</v>
      </c>
      <c r="O1958" t="s">
        <v>463</v>
      </c>
    </row>
    <row r="1959" spans="1:15" x14ac:dyDescent="0.3">
      <c r="A1959">
        <v>221064</v>
      </c>
      <c r="B1959">
        <v>116</v>
      </c>
      <c r="C1959" t="s">
        <v>568</v>
      </c>
      <c r="D1959" t="s">
        <v>2277</v>
      </c>
      <c r="E1959" t="s">
        <v>2793</v>
      </c>
      <c r="F1959" s="452">
        <v>46106</v>
      </c>
      <c r="G1959">
        <v>24185</v>
      </c>
      <c r="H1959" t="s">
        <v>4040</v>
      </c>
      <c r="I1959" t="s">
        <v>3469</v>
      </c>
      <c r="J1959">
        <v>2</v>
      </c>
      <c r="K1959" t="s">
        <v>3892</v>
      </c>
      <c r="L1959">
        <v>47.16</v>
      </c>
      <c r="M1959">
        <v>23.58</v>
      </c>
      <c r="N1959" t="s">
        <v>4240</v>
      </c>
      <c r="O1959" t="s">
        <v>463</v>
      </c>
    </row>
    <row r="1960" spans="1:15" x14ac:dyDescent="0.3">
      <c r="A1960">
        <v>221063</v>
      </c>
      <c r="B1960">
        <v>116</v>
      </c>
      <c r="C1960" t="s">
        <v>568</v>
      </c>
      <c r="D1960" t="s">
        <v>2275</v>
      </c>
      <c r="E1960" t="s">
        <v>2794</v>
      </c>
      <c r="F1960" s="452">
        <v>46104</v>
      </c>
      <c r="G1960">
        <v>17969</v>
      </c>
      <c r="H1960" t="s">
        <v>4175</v>
      </c>
      <c r="I1960" t="s">
        <v>3497</v>
      </c>
      <c r="J1960">
        <v>15</v>
      </c>
      <c r="K1960" t="s">
        <v>3888</v>
      </c>
      <c r="L1960">
        <v>340.5</v>
      </c>
      <c r="M1960">
        <v>22.7</v>
      </c>
      <c r="N1960" t="s">
        <v>4276</v>
      </c>
      <c r="O1960" t="s">
        <v>463</v>
      </c>
    </row>
    <row r="1961" spans="1:15" x14ac:dyDescent="0.3">
      <c r="A1961">
        <v>221063</v>
      </c>
      <c r="B1961">
        <v>116</v>
      </c>
      <c r="C1961" t="s">
        <v>568</v>
      </c>
      <c r="D1961" t="s">
        <v>2275</v>
      </c>
      <c r="E1961" t="s">
        <v>2794</v>
      </c>
      <c r="F1961" s="452">
        <v>46104</v>
      </c>
      <c r="G1961">
        <v>24006</v>
      </c>
      <c r="H1961" t="s">
        <v>4177</v>
      </c>
      <c r="I1961" t="s">
        <v>3497</v>
      </c>
      <c r="J1961">
        <v>15</v>
      </c>
      <c r="K1961" t="s">
        <v>3888</v>
      </c>
      <c r="L1961">
        <v>358.5</v>
      </c>
      <c r="M1961">
        <v>23.9</v>
      </c>
      <c r="N1961" t="s">
        <v>4276</v>
      </c>
      <c r="O1961" t="s">
        <v>463</v>
      </c>
    </row>
    <row r="1962" spans="1:15" x14ac:dyDescent="0.3">
      <c r="A1962">
        <v>221062</v>
      </c>
      <c r="B1962">
        <v>116</v>
      </c>
      <c r="C1962" t="s">
        <v>568</v>
      </c>
      <c r="D1962" t="s">
        <v>2273</v>
      </c>
      <c r="E1962" t="s">
        <v>2795</v>
      </c>
      <c r="F1962" s="452">
        <v>46097</v>
      </c>
      <c r="G1962">
        <v>19642</v>
      </c>
      <c r="H1962" t="s">
        <v>4067</v>
      </c>
      <c r="I1962" t="s">
        <v>3469</v>
      </c>
      <c r="J1962">
        <v>1.3</v>
      </c>
      <c r="K1962" t="s">
        <v>3892</v>
      </c>
      <c r="L1962">
        <v>6.7</v>
      </c>
      <c r="M1962">
        <v>5.1538459999999997</v>
      </c>
      <c r="N1962" t="s">
        <v>4240</v>
      </c>
      <c r="O1962" t="s">
        <v>463</v>
      </c>
    </row>
    <row r="1963" spans="1:15" x14ac:dyDescent="0.3">
      <c r="A1963">
        <v>221062</v>
      </c>
      <c r="B1963">
        <v>116</v>
      </c>
      <c r="C1963" t="s">
        <v>568</v>
      </c>
      <c r="D1963" t="s">
        <v>2273</v>
      </c>
      <c r="E1963" t="s">
        <v>2795</v>
      </c>
      <c r="F1963" s="452">
        <v>46097</v>
      </c>
      <c r="G1963">
        <v>23389</v>
      </c>
      <c r="H1963" t="s">
        <v>4016</v>
      </c>
      <c r="I1963" t="s">
        <v>3469</v>
      </c>
      <c r="J1963">
        <v>4</v>
      </c>
      <c r="K1963" t="s">
        <v>3892</v>
      </c>
      <c r="L1963">
        <v>18.32</v>
      </c>
      <c r="M1963">
        <v>4.58</v>
      </c>
      <c r="N1963" t="s">
        <v>4240</v>
      </c>
      <c r="O1963" t="s">
        <v>463</v>
      </c>
    </row>
    <row r="1964" spans="1:15" x14ac:dyDescent="0.3">
      <c r="A1964">
        <v>221062</v>
      </c>
      <c r="B1964">
        <v>116</v>
      </c>
      <c r="C1964" t="s">
        <v>568</v>
      </c>
      <c r="D1964" t="s">
        <v>2273</v>
      </c>
      <c r="E1964" t="s">
        <v>2795</v>
      </c>
      <c r="F1964" s="452">
        <v>46097</v>
      </c>
      <c r="G1964">
        <v>23361</v>
      </c>
      <c r="H1964" t="s">
        <v>4220</v>
      </c>
      <c r="I1964" t="s">
        <v>3469</v>
      </c>
      <c r="J1964">
        <v>18</v>
      </c>
      <c r="K1964" t="s">
        <v>3892</v>
      </c>
      <c r="L1964">
        <v>59.94</v>
      </c>
      <c r="M1964">
        <v>3.33</v>
      </c>
      <c r="N1964" t="s">
        <v>4240</v>
      </c>
      <c r="O1964" t="s">
        <v>463</v>
      </c>
    </row>
    <row r="1965" spans="1:15" x14ac:dyDescent="0.3">
      <c r="A1965">
        <v>221062</v>
      </c>
      <c r="B1965">
        <v>116</v>
      </c>
      <c r="C1965" t="s">
        <v>568</v>
      </c>
      <c r="D1965" t="s">
        <v>2273</v>
      </c>
      <c r="E1965" t="s">
        <v>2795</v>
      </c>
      <c r="F1965" s="452">
        <v>46097</v>
      </c>
      <c r="G1965">
        <v>17066</v>
      </c>
      <c r="H1965" t="s">
        <v>4155</v>
      </c>
      <c r="I1965" t="s">
        <v>3469</v>
      </c>
      <c r="J1965">
        <v>1</v>
      </c>
      <c r="K1965" t="s">
        <v>3892</v>
      </c>
      <c r="L1965">
        <v>19.43</v>
      </c>
      <c r="M1965">
        <v>19.43</v>
      </c>
      <c r="N1965" t="s">
        <v>4240</v>
      </c>
      <c r="O1965" t="s">
        <v>463</v>
      </c>
    </row>
    <row r="1966" spans="1:15" x14ac:dyDescent="0.3">
      <c r="A1966">
        <v>221062</v>
      </c>
      <c r="B1966">
        <v>116</v>
      </c>
      <c r="C1966" t="s">
        <v>568</v>
      </c>
      <c r="D1966" t="s">
        <v>2273</v>
      </c>
      <c r="E1966" t="s">
        <v>2795</v>
      </c>
      <c r="F1966" s="452">
        <v>46097</v>
      </c>
      <c r="G1966">
        <v>19672</v>
      </c>
      <c r="H1966" t="s">
        <v>4024</v>
      </c>
      <c r="I1966" t="s">
        <v>3469</v>
      </c>
      <c r="J1966">
        <v>2.2999999999999998</v>
      </c>
      <c r="K1966" t="s">
        <v>3892</v>
      </c>
      <c r="L1966">
        <v>30.02</v>
      </c>
      <c r="M1966">
        <v>13.052174000000001</v>
      </c>
      <c r="N1966" t="s">
        <v>4240</v>
      </c>
      <c r="O1966" t="s">
        <v>463</v>
      </c>
    </row>
    <row r="1967" spans="1:15" x14ac:dyDescent="0.3">
      <c r="A1967">
        <v>221062</v>
      </c>
      <c r="B1967">
        <v>116</v>
      </c>
      <c r="C1967" t="s">
        <v>568</v>
      </c>
      <c r="D1967" t="s">
        <v>2273</v>
      </c>
      <c r="E1967" t="s">
        <v>2795</v>
      </c>
      <c r="F1967" s="452">
        <v>46097</v>
      </c>
      <c r="G1967">
        <v>23095</v>
      </c>
      <c r="H1967" t="s">
        <v>3882</v>
      </c>
      <c r="I1967" t="s">
        <v>3469</v>
      </c>
      <c r="J1967">
        <v>60</v>
      </c>
      <c r="K1967" t="s">
        <v>3872</v>
      </c>
      <c r="L1967">
        <v>79.8</v>
      </c>
      <c r="M1967">
        <v>1.33</v>
      </c>
      <c r="N1967" t="s">
        <v>4240</v>
      </c>
      <c r="O1967" t="s">
        <v>463</v>
      </c>
    </row>
    <row r="1968" spans="1:15" x14ac:dyDescent="0.3">
      <c r="A1968">
        <v>221060</v>
      </c>
      <c r="B1968">
        <v>116</v>
      </c>
      <c r="C1968" t="s">
        <v>568</v>
      </c>
      <c r="D1968" t="s">
        <v>2273</v>
      </c>
      <c r="E1968" t="s">
        <v>2796</v>
      </c>
      <c r="F1968" s="452">
        <v>46100</v>
      </c>
      <c r="G1968">
        <v>19634</v>
      </c>
      <c r="H1968" t="s">
        <v>4068</v>
      </c>
      <c r="I1968" t="s">
        <v>3469</v>
      </c>
      <c r="J1968">
        <v>2.4</v>
      </c>
      <c r="K1968" t="s">
        <v>3892</v>
      </c>
      <c r="L1968">
        <v>23.14</v>
      </c>
      <c r="M1968">
        <v>9.641667</v>
      </c>
      <c r="N1968" t="s">
        <v>4240</v>
      </c>
      <c r="O1968" t="s">
        <v>463</v>
      </c>
    </row>
    <row r="1969" spans="1:15" x14ac:dyDescent="0.3">
      <c r="A1969">
        <v>221060</v>
      </c>
      <c r="B1969">
        <v>116</v>
      </c>
      <c r="C1969" t="s">
        <v>568</v>
      </c>
      <c r="D1969" t="s">
        <v>2273</v>
      </c>
      <c r="E1969" t="s">
        <v>2796</v>
      </c>
      <c r="F1969" s="452">
        <v>46100</v>
      </c>
      <c r="G1969">
        <v>19621</v>
      </c>
      <c r="H1969" t="s">
        <v>4125</v>
      </c>
      <c r="I1969" t="s">
        <v>3469</v>
      </c>
      <c r="J1969">
        <v>2.1</v>
      </c>
      <c r="K1969" t="s">
        <v>3892</v>
      </c>
      <c r="L1969">
        <v>12.18</v>
      </c>
      <c r="M1969">
        <v>5.8</v>
      </c>
      <c r="N1969" t="s">
        <v>4240</v>
      </c>
      <c r="O1969" t="s">
        <v>463</v>
      </c>
    </row>
    <row r="1970" spans="1:15" x14ac:dyDescent="0.3">
      <c r="A1970">
        <v>221060</v>
      </c>
      <c r="B1970">
        <v>116</v>
      </c>
      <c r="C1970" t="s">
        <v>568</v>
      </c>
      <c r="D1970" t="s">
        <v>2273</v>
      </c>
      <c r="E1970" t="s">
        <v>2796</v>
      </c>
      <c r="F1970" s="452">
        <v>46100</v>
      </c>
      <c r="G1970">
        <v>24083</v>
      </c>
      <c r="H1970" t="s">
        <v>3898</v>
      </c>
      <c r="I1970" t="s">
        <v>3469</v>
      </c>
      <c r="J1970">
        <v>25</v>
      </c>
      <c r="K1970" t="s">
        <v>3892</v>
      </c>
      <c r="L1970">
        <v>128.75</v>
      </c>
      <c r="M1970">
        <v>5.15</v>
      </c>
      <c r="N1970" t="s">
        <v>4240</v>
      </c>
      <c r="O1970" t="s">
        <v>463</v>
      </c>
    </row>
    <row r="1971" spans="1:15" x14ac:dyDescent="0.3">
      <c r="A1971">
        <v>221060</v>
      </c>
      <c r="B1971">
        <v>116</v>
      </c>
      <c r="C1971" t="s">
        <v>568</v>
      </c>
      <c r="D1971" t="s">
        <v>2273</v>
      </c>
      <c r="E1971" t="s">
        <v>2796</v>
      </c>
      <c r="F1971" s="452">
        <v>46100</v>
      </c>
      <c r="G1971">
        <v>19623</v>
      </c>
      <c r="H1971" t="s">
        <v>3984</v>
      </c>
      <c r="I1971" t="s">
        <v>3469</v>
      </c>
      <c r="J1971">
        <v>3</v>
      </c>
      <c r="K1971" t="s">
        <v>3892</v>
      </c>
      <c r="L1971">
        <v>12.39</v>
      </c>
      <c r="M1971">
        <v>4.13</v>
      </c>
      <c r="N1971" t="s">
        <v>4240</v>
      </c>
      <c r="O1971" t="s">
        <v>463</v>
      </c>
    </row>
    <row r="1972" spans="1:15" x14ac:dyDescent="0.3">
      <c r="A1972">
        <v>221060</v>
      </c>
      <c r="B1972">
        <v>116</v>
      </c>
      <c r="C1972" t="s">
        <v>568</v>
      </c>
      <c r="D1972" t="s">
        <v>2273</v>
      </c>
      <c r="E1972" t="s">
        <v>2796</v>
      </c>
      <c r="F1972" s="452">
        <v>46100</v>
      </c>
      <c r="G1972">
        <v>19465</v>
      </c>
      <c r="H1972" t="s">
        <v>4080</v>
      </c>
      <c r="I1972" t="s">
        <v>3469</v>
      </c>
      <c r="J1972">
        <v>1.1000000000000001</v>
      </c>
      <c r="K1972" t="s">
        <v>3892</v>
      </c>
      <c r="L1972">
        <v>6.38</v>
      </c>
      <c r="M1972">
        <v>5.8</v>
      </c>
      <c r="N1972" t="s">
        <v>4240</v>
      </c>
      <c r="O1972" t="s">
        <v>463</v>
      </c>
    </row>
    <row r="1973" spans="1:15" x14ac:dyDescent="0.3">
      <c r="A1973">
        <v>221060</v>
      </c>
      <c r="B1973">
        <v>116</v>
      </c>
      <c r="C1973" t="s">
        <v>568</v>
      </c>
      <c r="D1973" t="s">
        <v>2273</v>
      </c>
      <c r="E1973" t="s">
        <v>2796</v>
      </c>
      <c r="F1973" s="452">
        <v>46100</v>
      </c>
      <c r="G1973">
        <v>23171</v>
      </c>
      <c r="H1973" t="s">
        <v>4132</v>
      </c>
      <c r="I1973" t="s">
        <v>3469</v>
      </c>
      <c r="J1973">
        <v>3.1</v>
      </c>
      <c r="K1973" t="s">
        <v>3892</v>
      </c>
      <c r="L1973">
        <v>26.51</v>
      </c>
      <c r="M1973">
        <v>8.5516129999999997</v>
      </c>
      <c r="N1973" t="s">
        <v>4240</v>
      </c>
      <c r="O1973" t="s">
        <v>463</v>
      </c>
    </row>
    <row r="1974" spans="1:15" x14ac:dyDescent="0.3">
      <c r="A1974">
        <v>221060</v>
      </c>
      <c r="B1974">
        <v>116</v>
      </c>
      <c r="C1974" t="s">
        <v>568</v>
      </c>
      <c r="D1974" t="s">
        <v>2273</v>
      </c>
      <c r="E1974" t="s">
        <v>2796</v>
      </c>
      <c r="F1974" s="452">
        <v>46100</v>
      </c>
      <c r="G1974">
        <v>23359</v>
      </c>
      <c r="H1974" t="s">
        <v>3932</v>
      </c>
      <c r="I1974" t="s">
        <v>3469</v>
      </c>
      <c r="J1974">
        <v>10</v>
      </c>
      <c r="K1974" t="s">
        <v>3892</v>
      </c>
      <c r="L1974">
        <v>31.9</v>
      </c>
      <c r="M1974">
        <v>3.19</v>
      </c>
      <c r="N1974" t="s">
        <v>4240</v>
      </c>
      <c r="O1974" t="s">
        <v>463</v>
      </c>
    </row>
    <row r="1975" spans="1:15" x14ac:dyDescent="0.3">
      <c r="A1975">
        <v>221060</v>
      </c>
      <c r="B1975">
        <v>116</v>
      </c>
      <c r="C1975" t="s">
        <v>568</v>
      </c>
      <c r="D1975" t="s">
        <v>2273</v>
      </c>
      <c r="E1975" t="s">
        <v>2796</v>
      </c>
      <c r="F1975" s="452">
        <v>46100</v>
      </c>
      <c r="G1975">
        <v>23361</v>
      </c>
      <c r="H1975" t="s">
        <v>4220</v>
      </c>
      <c r="I1975" t="s">
        <v>3469</v>
      </c>
      <c r="J1975">
        <v>36</v>
      </c>
      <c r="K1975" t="s">
        <v>3892</v>
      </c>
      <c r="L1975">
        <v>124.2</v>
      </c>
      <c r="M1975">
        <v>3.45</v>
      </c>
      <c r="N1975" t="s">
        <v>4240</v>
      </c>
      <c r="O1975" t="s">
        <v>463</v>
      </c>
    </row>
    <row r="1976" spans="1:15" x14ac:dyDescent="0.3">
      <c r="A1976">
        <v>221060</v>
      </c>
      <c r="B1976">
        <v>116</v>
      </c>
      <c r="C1976" t="s">
        <v>568</v>
      </c>
      <c r="D1976" t="s">
        <v>2273</v>
      </c>
      <c r="E1976" t="s">
        <v>2796</v>
      </c>
      <c r="F1976" s="452">
        <v>46100</v>
      </c>
      <c r="G1976">
        <v>19672</v>
      </c>
      <c r="H1976" t="s">
        <v>4024</v>
      </c>
      <c r="I1976" t="s">
        <v>3469</v>
      </c>
      <c r="J1976">
        <v>2.1</v>
      </c>
      <c r="K1976" t="s">
        <v>3892</v>
      </c>
      <c r="L1976">
        <v>27.41</v>
      </c>
      <c r="M1976">
        <v>13.052381</v>
      </c>
      <c r="N1976" t="s">
        <v>4240</v>
      </c>
      <c r="O1976" t="s">
        <v>463</v>
      </c>
    </row>
    <row r="1977" spans="1:15" x14ac:dyDescent="0.3">
      <c r="A1977">
        <v>221059</v>
      </c>
      <c r="B1977">
        <v>116</v>
      </c>
      <c r="C1977" t="s">
        <v>568</v>
      </c>
      <c r="D1977" t="s">
        <v>2273</v>
      </c>
      <c r="E1977" t="s">
        <v>2797</v>
      </c>
      <c r="F1977" s="452">
        <v>46104</v>
      </c>
      <c r="G1977">
        <v>23171</v>
      </c>
      <c r="H1977" t="s">
        <v>4132</v>
      </c>
      <c r="I1977" t="s">
        <v>3469</v>
      </c>
      <c r="J1977">
        <v>3</v>
      </c>
      <c r="K1977" t="s">
        <v>3892</v>
      </c>
      <c r="L1977">
        <v>25.65</v>
      </c>
      <c r="M1977">
        <v>8.5500000000000007</v>
      </c>
      <c r="N1977" t="s">
        <v>4240</v>
      </c>
      <c r="O1977" t="s">
        <v>463</v>
      </c>
    </row>
    <row r="1978" spans="1:15" x14ac:dyDescent="0.3">
      <c r="A1978">
        <v>221059</v>
      </c>
      <c r="B1978">
        <v>116</v>
      </c>
      <c r="C1978" t="s">
        <v>568</v>
      </c>
      <c r="D1978" t="s">
        <v>2273</v>
      </c>
      <c r="E1978" t="s">
        <v>2797</v>
      </c>
      <c r="F1978" s="452">
        <v>46104</v>
      </c>
      <c r="G1978">
        <v>23236</v>
      </c>
      <c r="H1978" t="s">
        <v>4017</v>
      </c>
      <c r="I1978" t="s">
        <v>3469</v>
      </c>
      <c r="J1978">
        <v>3.2</v>
      </c>
      <c r="K1978" t="s">
        <v>3892</v>
      </c>
      <c r="L1978">
        <v>39.42</v>
      </c>
      <c r="M1978">
        <v>12.31875</v>
      </c>
      <c r="N1978" t="s">
        <v>4240</v>
      </c>
      <c r="O1978" t="s">
        <v>463</v>
      </c>
    </row>
    <row r="1979" spans="1:15" x14ac:dyDescent="0.3">
      <c r="A1979">
        <v>221058</v>
      </c>
      <c r="B1979">
        <v>116</v>
      </c>
      <c r="C1979" t="s">
        <v>568</v>
      </c>
      <c r="D1979" t="s">
        <v>2284</v>
      </c>
      <c r="E1979" t="s">
        <v>2798</v>
      </c>
      <c r="F1979" s="452">
        <v>46097</v>
      </c>
      <c r="G1979">
        <v>22721</v>
      </c>
      <c r="H1979" t="s">
        <v>4221</v>
      </c>
      <c r="I1979" t="s">
        <v>3469</v>
      </c>
      <c r="J1979">
        <v>5.54</v>
      </c>
      <c r="K1979" t="s">
        <v>3892</v>
      </c>
      <c r="L1979">
        <v>163.43</v>
      </c>
      <c r="M1979">
        <v>29.5</v>
      </c>
      <c r="N1979" t="s">
        <v>4240</v>
      </c>
      <c r="O1979" t="s">
        <v>463</v>
      </c>
    </row>
    <row r="1980" spans="1:15" x14ac:dyDescent="0.3">
      <c r="A1980">
        <v>221057</v>
      </c>
      <c r="B1980">
        <v>116</v>
      </c>
      <c r="C1980" t="s">
        <v>568</v>
      </c>
      <c r="D1980" t="s">
        <v>2284</v>
      </c>
      <c r="E1980" t="s">
        <v>2799</v>
      </c>
      <c r="F1980" s="452">
        <v>46098</v>
      </c>
      <c r="G1980">
        <v>18538</v>
      </c>
      <c r="H1980" t="s">
        <v>4026</v>
      </c>
      <c r="I1980" t="s">
        <v>3497</v>
      </c>
      <c r="J1980">
        <v>3</v>
      </c>
      <c r="K1980" t="s">
        <v>3878</v>
      </c>
      <c r="L1980">
        <v>317.7</v>
      </c>
      <c r="M1980">
        <v>105.9</v>
      </c>
      <c r="N1980" t="s">
        <v>4276</v>
      </c>
      <c r="O1980" t="s">
        <v>463</v>
      </c>
    </row>
    <row r="1981" spans="1:15" x14ac:dyDescent="0.3">
      <c r="A1981">
        <v>221056</v>
      </c>
      <c r="B1981">
        <v>116</v>
      </c>
      <c r="C1981" t="s">
        <v>568</v>
      </c>
      <c r="D1981" t="s">
        <v>2284</v>
      </c>
      <c r="E1981" t="s">
        <v>2800</v>
      </c>
      <c r="F1981" s="452">
        <v>46099</v>
      </c>
      <c r="G1981">
        <v>20358</v>
      </c>
      <c r="H1981" t="s">
        <v>3952</v>
      </c>
      <c r="I1981" t="s">
        <v>3469</v>
      </c>
      <c r="J1981">
        <v>2</v>
      </c>
      <c r="K1981" t="s">
        <v>3888</v>
      </c>
      <c r="L1981">
        <v>28.5</v>
      </c>
      <c r="M1981">
        <v>14.25</v>
      </c>
      <c r="N1981" t="s">
        <v>4240</v>
      </c>
      <c r="O1981" t="s">
        <v>463</v>
      </c>
    </row>
    <row r="1982" spans="1:15" x14ac:dyDescent="0.3">
      <c r="A1982">
        <v>221056</v>
      </c>
      <c r="B1982">
        <v>116</v>
      </c>
      <c r="C1982" t="s">
        <v>568</v>
      </c>
      <c r="D1982" t="s">
        <v>2284</v>
      </c>
      <c r="E1982" t="s">
        <v>2800</v>
      </c>
      <c r="F1982" s="452">
        <v>46099</v>
      </c>
      <c r="G1982">
        <v>20227</v>
      </c>
      <c r="H1982" t="s">
        <v>3968</v>
      </c>
      <c r="I1982" t="s">
        <v>3469</v>
      </c>
      <c r="J1982">
        <v>5</v>
      </c>
      <c r="K1982" t="s">
        <v>3888</v>
      </c>
      <c r="L1982">
        <v>63.6</v>
      </c>
      <c r="M1982">
        <v>12.72</v>
      </c>
      <c r="N1982" t="s">
        <v>4240</v>
      </c>
      <c r="O1982" t="s">
        <v>463</v>
      </c>
    </row>
    <row r="1983" spans="1:15" x14ac:dyDescent="0.3">
      <c r="A1983">
        <v>221056</v>
      </c>
      <c r="B1983">
        <v>116</v>
      </c>
      <c r="C1983" t="s">
        <v>568</v>
      </c>
      <c r="D1983" t="s">
        <v>2284</v>
      </c>
      <c r="E1983" t="s">
        <v>2800</v>
      </c>
      <c r="F1983" s="452">
        <v>46099</v>
      </c>
      <c r="G1983">
        <v>20702</v>
      </c>
      <c r="H1983" t="s">
        <v>4006</v>
      </c>
      <c r="I1983" t="s">
        <v>3469</v>
      </c>
      <c r="J1983">
        <v>1</v>
      </c>
      <c r="K1983" t="s">
        <v>3966</v>
      </c>
      <c r="L1983">
        <v>51.2</v>
      </c>
      <c r="M1983">
        <v>51.2</v>
      </c>
      <c r="N1983" t="s">
        <v>4240</v>
      </c>
      <c r="O1983" t="s">
        <v>463</v>
      </c>
    </row>
    <row r="1984" spans="1:15" x14ac:dyDescent="0.3">
      <c r="A1984">
        <v>221056</v>
      </c>
      <c r="B1984">
        <v>116</v>
      </c>
      <c r="C1984" t="s">
        <v>568</v>
      </c>
      <c r="D1984" t="s">
        <v>2284</v>
      </c>
      <c r="E1984" t="s">
        <v>2800</v>
      </c>
      <c r="F1984" s="452">
        <v>46099</v>
      </c>
      <c r="G1984">
        <v>19324</v>
      </c>
      <c r="H1984" t="s">
        <v>3937</v>
      </c>
      <c r="I1984" t="s">
        <v>3469</v>
      </c>
      <c r="J1984">
        <v>4.16</v>
      </c>
      <c r="K1984" t="s">
        <v>3892</v>
      </c>
      <c r="L1984">
        <v>158.5</v>
      </c>
      <c r="M1984">
        <v>38.100962000000003</v>
      </c>
      <c r="N1984" t="s">
        <v>4240</v>
      </c>
      <c r="O1984" t="s">
        <v>463</v>
      </c>
    </row>
    <row r="1985" spans="1:15" x14ac:dyDescent="0.3">
      <c r="A1985">
        <v>221056</v>
      </c>
      <c r="B1985">
        <v>116</v>
      </c>
      <c r="C1985" t="s">
        <v>568</v>
      </c>
      <c r="D1985" t="s">
        <v>2284</v>
      </c>
      <c r="E1985" t="s">
        <v>2800</v>
      </c>
      <c r="F1985" s="452">
        <v>46099</v>
      </c>
      <c r="G1985">
        <v>19287</v>
      </c>
      <c r="H1985" t="s">
        <v>3974</v>
      </c>
      <c r="I1985" t="s">
        <v>3469</v>
      </c>
      <c r="J1985">
        <v>3.18</v>
      </c>
      <c r="K1985" t="s">
        <v>3892</v>
      </c>
      <c r="L1985">
        <v>122.43</v>
      </c>
      <c r="M1985">
        <v>38.5</v>
      </c>
      <c r="N1985" t="s">
        <v>4240</v>
      </c>
      <c r="O1985" t="s">
        <v>463</v>
      </c>
    </row>
    <row r="1986" spans="1:15" x14ac:dyDescent="0.3">
      <c r="A1986">
        <v>221056</v>
      </c>
      <c r="B1986">
        <v>116</v>
      </c>
      <c r="C1986" t="s">
        <v>568</v>
      </c>
      <c r="D1986" t="s">
        <v>2284</v>
      </c>
      <c r="E1986" t="s">
        <v>2800</v>
      </c>
      <c r="F1986" s="452">
        <v>46099</v>
      </c>
      <c r="G1986">
        <v>20007</v>
      </c>
      <c r="H1986" t="s">
        <v>4009</v>
      </c>
      <c r="I1986" t="s">
        <v>3469</v>
      </c>
      <c r="J1986">
        <v>2</v>
      </c>
      <c r="K1986" t="s">
        <v>3966</v>
      </c>
      <c r="L1986">
        <v>101.8</v>
      </c>
      <c r="M1986">
        <v>50.9</v>
      </c>
      <c r="N1986" t="s">
        <v>4240</v>
      </c>
      <c r="O1986" t="s">
        <v>463</v>
      </c>
    </row>
    <row r="1987" spans="1:15" x14ac:dyDescent="0.3">
      <c r="A1987">
        <v>221056</v>
      </c>
      <c r="B1987">
        <v>116</v>
      </c>
      <c r="C1987" t="s">
        <v>568</v>
      </c>
      <c r="D1987" t="s">
        <v>2284</v>
      </c>
      <c r="E1987" t="s">
        <v>2800</v>
      </c>
      <c r="F1987" s="452">
        <v>46099</v>
      </c>
      <c r="G1987">
        <v>19415</v>
      </c>
      <c r="H1987" t="s">
        <v>3941</v>
      </c>
      <c r="I1987" t="s">
        <v>3469</v>
      </c>
      <c r="J1987">
        <v>6</v>
      </c>
      <c r="K1987" t="s">
        <v>3872</v>
      </c>
      <c r="L1987">
        <v>52.8</v>
      </c>
      <c r="M1987">
        <v>8.8000000000000007</v>
      </c>
      <c r="N1987" t="s">
        <v>4240</v>
      </c>
      <c r="O1987" t="s">
        <v>463</v>
      </c>
    </row>
    <row r="1988" spans="1:15" x14ac:dyDescent="0.3">
      <c r="A1988">
        <v>221056</v>
      </c>
      <c r="B1988">
        <v>116</v>
      </c>
      <c r="C1988" t="s">
        <v>568</v>
      </c>
      <c r="D1988" t="s">
        <v>2284</v>
      </c>
      <c r="E1988" t="s">
        <v>2800</v>
      </c>
      <c r="F1988" s="452">
        <v>46099</v>
      </c>
      <c r="G1988">
        <v>20395</v>
      </c>
      <c r="H1988" t="s">
        <v>4057</v>
      </c>
      <c r="I1988" t="s">
        <v>3469</v>
      </c>
      <c r="J1988">
        <v>1</v>
      </c>
      <c r="K1988" t="s">
        <v>3872</v>
      </c>
      <c r="L1988">
        <v>26.7</v>
      </c>
      <c r="M1988">
        <v>26.7</v>
      </c>
      <c r="N1988" t="s">
        <v>4240</v>
      </c>
      <c r="O1988" t="s">
        <v>463</v>
      </c>
    </row>
    <row r="1989" spans="1:15" x14ac:dyDescent="0.3">
      <c r="A1989">
        <v>221056</v>
      </c>
      <c r="B1989">
        <v>116</v>
      </c>
      <c r="C1989" t="s">
        <v>568</v>
      </c>
      <c r="D1989" t="s">
        <v>2284</v>
      </c>
      <c r="E1989" t="s">
        <v>2800</v>
      </c>
      <c r="F1989" s="452">
        <v>46099</v>
      </c>
      <c r="G1989">
        <v>20717</v>
      </c>
      <c r="H1989" t="s">
        <v>4055</v>
      </c>
      <c r="I1989" t="s">
        <v>3469</v>
      </c>
      <c r="J1989">
        <v>1</v>
      </c>
      <c r="K1989" t="s">
        <v>3872</v>
      </c>
      <c r="L1989">
        <v>43.1</v>
      </c>
      <c r="M1989">
        <v>43.1</v>
      </c>
      <c r="N1989" t="s">
        <v>4240</v>
      </c>
      <c r="O1989" t="s">
        <v>463</v>
      </c>
    </row>
    <row r="1990" spans="1:15" x14ac:dyDescent="0.3">
      <c r="A1990">
        <v>221056</v>
      </c>
      <c r="B1990">
        <v>116</v>
      </c>
      <c r="C1990" t="s">
        <v>568</v>
      </c>
      <c r="D1990" t="s">
        <v>2284</v>
      </c>
      <c r="E1990" t="s">
        <v>2800</v>
      </c>
      <c r="F1990" s="452">
        <v>46099</v>
      </c>
      <c r="G1990">
        <v>24212</v>
      </c>
      <c r="H1990" t="s">
        <v>4056</v>
      </c>
      <c r="I1990" t="s">
        <v>3469</v>
      </c>
      <c r="J1990">
        <v>2</v>
      </c>
      <c r="K1990" t="s">
        <v>3892</v>
      </c>
      <c r="L1990">
        <v>26</v>
      </c>
      <c r="M1990">
        <v>13</v>
      </c>
      <c r="N1990" t="s">
        <v>4240</v>
      </c>
      <c r="O1990" t="s">
        <v>463</v>
      </c>
    </row>
    <row r="1991" spans="1:15" x14ac:dyDescent="0.3">
      <c r="A1991">
        <v>221056</v>
      </c>
      <c r="B1991">
        <v>116</v>
      </c>
      <c r="C1991" t="s">
        <v>568</v>
      </c>
      <c r="D1991" t="s">
        <v>2284</v>
      </c>
      <c r="E1991" t="s">
        <v>2800</v>
      </c>
      <c r="F1991" s="452">
        <v>46099</v>
      </c>
      <c r="G1991">
        <v>20326</v>
      </c>
      <c r="H1991" t="s">
        <v>3953</v>
      </c>
      <c r="I1991" t="s">
        <v>3469</v>
      </c>
      <c r="J1991">
        <v>4</v>
      </c>
      <c r="K1991" t="s">
        <v>3892</v>
      </c>
      <c r="L1991">
        <v>28.6</v>
      </c>
      <c r="M1991">
        <v>7.15</v>
      </c>
      <c r="N1991" t="s">
        <v>4240</v>
      </c>
      <c r="O1991" t="s">
        <v>463</v>
      </c>
    </row>
    <row r="1992" spans="1:15" x14ac:dyDescent="0.3">
      <c r="A1992">
        <v>221056</v>
      </c>
      <c r="B1992">
        <v>116</v>
      </c>
      <c r="C1992" t="s">
        <v>568</v>
      </c>
      <c r="D1992" t="s">
        <v>2284</v>
      </c>
      <c r="E1992" t="s">
        <v>2800</v>
      </c>
      <c r="F1992" s="452">
        <v>46099</v>
      </c>
      <c r="G1992">
        <v>19902</v>
      </c>
      <c r="H1992" t="s">
        <v>3909</v>
      </c>
      <c r="I1992" t="s">
        <v>3469</v>
      </c>
      <c r="J1992">
        <v>1</v>
      </c>
      <c r="K1992" t="s">
        <v>3881</v>
      </c>
      <c r="L1992">
        <v>25.9</v>
      </c>
      <c r="M1992">
        <v>25.9</v>
      </c>
      <c r="N1992" t="s">
        <v>4240</v>
      </c>
      <c r="O1992" t="s">
        <v>463</v>
      </c>
    </row>
    <row r="1993" spans="1:15" x14ac:dyDescent="0.3">
      <c r="A1993">
        <v>221056</v>
      </c>
      <c r="B1993">
        <v>116</v>
      </c>
      <c r="C1993" t="s">
        <v>568</v>
      </c>
      <c r="D1993" t="s">
        <v>2284</v>
      </c>
      <c r="E1993" t="s">
        <v>2800</v>
      </c>
      <c r="F1993" s="452">
        <v>46099</v>
      </c>
      <c r="G1993">
        <v>27475</v>
      </c>
      <c r="H1993" t="s">
        <v>4162</v>
      </c>
      <c r="I1993" t="s">
        <v>3469</v>
      </c>
      <c r="J1993">
        <v>2</v>
      </c>
      <c r="K1993" t="s">
        <v>3872</v>
      </c>
      <c r="L1993">
        <v>33.799999999999997</v>
      </c>
      <c r="M1993">
        <v>16.899999999999999</v>
      </c>
      <c r="N1993" t="s">
        <v>4240</v>
      </c>
      <c r="O1993" t="s">
        <v>463</v>
      </c>
    </row>
    <row r="1994" spans="1:15" x14ac:dyDescent="0.3">
      <c r="A1994">
        <v>221056</v>
      </c>
      <c r="B1994">
        <v>116</v>
      </c>
      <c r="C1994" t="s">
        <v>568</v>
      </c>
      <c r="D1994" t="s">
        <v>2284</v>
      </c>
      <c r="E1994" t="s">
        <v>2800</v>
      </c>
      <c r="F1994" s="452">
        <v>46099</v>
      </c>
      <c r="G1994">
        <v>19291</v>
      </c>
      <c r="H1994" t="s">
        <v>4254</v>
      </c>
      <c r="I1994" t="s">
        <v>3469</v>
      </c>
      <c r="J1994">
        <v>7.94</v>
      </c>
      <c r="K1994" t="s">
        <v>4241</v>
      </c>
      <c r="L1994">
        <v>562.95000000000005</v>
      </c>
      <c r="M1994">
        <v>70.900503999999998</v>
      </c>
      <c r="N1994" t="s">
        <v>4240</v>
      </c>
      <c r="O1994" t="s">
        <v>463</v>
      </c>
    </row>
    <row r="1995" spans="1:15" x14ac:dyDescent="0.3">
      <c r="A1995">
        <v>221056</v>
      </c>
      <c r="B1995">
        <v>116</v>
      </c>
      <c r="C1995" t="s">
        <v>568</v>
      </c>
      <c r="D1995" t="s">
        <v>2284</v>
      </c>
      <c r="E1995" t="s">
        <v>2800</v>
      </c>
      <c r="F1995" s="452">
        <v>46099</v>
      </c>
      <c r="G1995">
        <v>19264</v>
      </c>
      <c r="H1995" t="s">
        <v>4082</v>
      </c>
      <c r="I1995" t="s">
        <v>3469</v>
      </c>
      <c r="J1995">
        <v>1</v>
      </c>
      <c r="K1995" t="s">
        <v>4241</v>
      </c>
      <c r="L1995">
        <v>68.5</v>
      </c>
      <c r="M1995">
        <v>68.5</v>
      </c>
      <c r="N1995" t="s">
        <v>4240</v>
      </c>
      <c r="O1995" t="s">
        <v>463</v>
      </c>
    </row>
    <row r="1996" spans="1:15" x14ac:dyDescent="0.3">
      <c r="A1996">
        <v>221055</v>
      </c>
      <c r="B1996">
        <v>116</v>
      </c>
      <c r="C1996" t="s">
        <v>568</v>
      </c>
      <c r="D1996" t="s">
        <v>2284</v>
      </c>
      <c r="E1996" t="s">
        <v>2801</v>
      </c>
      <c r="F1996" s="452">
        <v>46105</v>
      </c>
      <c r="G1996">
        <v>19324</v>
      </c>
      <c r="H1996" t="s">
        <v>3937</v>
      </c>
      <c r="I1996" t="s">
        <v>3469</v>
      </c>
      <c r="J1996">
        <v>8.48</v>
      </c>
      <c r="K1996" t="s">
        <v>3892</v>
      </c>
      <c r="L1996">
        <v>349.55</v>
      </c>
      <c r="M1996">
        <v>41.220519000000003</v>
      </c>
      <c r="N1996" t="s">
        <v>4240</v>
      </c>
      <c r="O1996" t="s">
        <v>463</v>
      </c>
    </row>
    <row r="1997" spans="1:15" x14ac:dyDescent="0.3">
      <c r="A1997">
        <v>221055</v>
      </c>
      <c r="B1997">
        <v>116</v>
      </c>
      <c r="C1997" t="s">
        <v>568</v>
      </c>
      <c r="D1997" t="s">
        <v>2284</v>
      </c>
      <c r="E1997" t="s">
        <v>2801</v>
      </c>
      <c r="F1997" s="452">
        <v>46105</v>
      </c>
      <c r="G1997">
        <v>20077</v>
      </c>
      <c r="H1997" t="s">
        <v>4054</v>
      </c>
      <c r="I1997" t="s">
        <v>3469</v>
      </c>
      <c r="J1997">
        <v>1</v>
      </c>
      <c r="K1997" t="s">
        <v>4268</v>
      </c>
      <c r="L1997">
        <v>16.350000000000001</v>
      </c>
      <c r="M1997">
        <v>16.350000000000001</v>
      </c>
      <c r="N1997" t="s">
        <v>4240</v>
      </c>
      <c r="O1997" t="s">
        <v>463</v>
      </c>
    </row>
    <row r="1998" spans="1:15" x14ac:dyDescent="0.3">
      <c r="A1998">
        <v>221055</v>
      </c>
      <c r="B1998">
        <v>116</v>
      </c>
      <c r="C1998" t="s">
        <v>568</v>
      </c>
      <c r="D1998" t="s">
        <v>2284</v>
      </c>
      <c r="E1998" t="s">
        <v>2801</v>
      </c>
      <c r="F1998" s="452">
        <v>46105</v>
      </c>
      <c r="G1998">
        <v>19287</v>
      </c>
      <c r="H1998" t="s">
        <v>3974</v>
      </c>
      <c r="I1998" t="s">
        <v>3469</v>
      </c>
      <c r="J1998">
        <v>3.3</v>
      </c>
      <c r="K1998" t="s">
        <v>3892</v>
      </c>
      <c r="L1998">
        <v>136.78</v>
      </c>
      <c r="M1998">
        <v>41.448484999999998</v>
      </c>
      <c r="N1998" t="s">
        <v>4240</v>
      </c>
      <c r="O1998" t="s">
        <v>463</v>
      </c>
    </row>
    <row r="1999" spans="1:15" x14ac:dyDescent="0.3">
      <c r="A1999">
        <v>221055</v>
      </c>
      <c r="B1999">
        <v>116</v>
      </c>
      <c r="C1999" t="s">
        <v>568</v>
      </c>
      <c r="D1999" t="s">
        <v>2284</v>
      </c>
      <c r="E1999" t="s">
        <v>2801</v>
      </c>
      <c r="F1999" s="452">
        <v>46105</v>
      </c>
      <c r="G1999">
        <v>20685</v>
      </c>
      <c r="H1999" t="s">
        <v>4122</v>
      </c>
      <c r="I1999" t="s">
        <v>3469</v>
      </c>
      <c r="J1999">
        <v>6</v>
      </c>
      <c r="K1999" t="s">
        <v>3872</v>
      </c>
      <c r="L1999">
        <v>21.24</v>
      </c>
      <c r="M1999">
        <v>3.54</v>
      </c>
      <c r="N1999" t="s">
        <v>4240</v>
      </c>
      <c r="O1999" t="s">
        <v>463</v>
      </c>
    </row>
    <row r="2000" spans="1:15" x14ac:dyDescent="0.3">
      <c r="A2000">
        <v>221055</v>
      </c>
      <c r="B2000">
        <v>116</v>
      </c>
      <c r="C2000" t="s">
        <v>568</v>
      </c>
      <c r="D2000" t="s">
        <v>2284</v>
      </c>
      <c r="E2000" t="s">
        <v>2801</v>
      </c>
      <c r="F2000" s="452">
        <v>46105</v>
      </c>
      <c r="G2000">
        <v>20117</v>
      </c>
      <c r="H2000" t="s">
        <v>4010</v>
      </c>
      <c r="I2000" t="s">
        <v>3469</v>
      </c>
      <c r="J2000">
        <v>2</v>
      </c>
      <c r="K2000" t="s">
        <v>3872</v>
      </c>
      <c r="L2000">
        <v>75.8</v>
      </c>
      <c r="M2000">
        <v>37.9</v>
      </c>
      <c r="N2000" t="s">
        <v>4240</v>
      </c>
      <c r="O2000" t="s">
        <v>463</v>
      </c>
    </row>
    <row r="2001" spans="1:15" x14ac:dyDescent="0.3">
      <c r="A2001">
        <v>221055</v>
      </c>
      <c r="B2001">
        <v>116</v>
      </c>
      <c r="C2001" t="s">
        <v>568</v>
      </c>
      <c r="D2001" t="s">
        <v>2284</v>
      </c>
      <c r="E2001" t="s">
        <v>2801</v>
      </c>
      <c r="F2001" s="452">
        <v>46105</v>
      </c>
      <c r="G2001">
        <v>24212</v>
      </c>
      <c r="H2001" t="s">
        <v>4056</v>
      </c>
      <c r="I2001" t="s">
        <v>3469</v>
      </c>
      <c r="J2001">
        <v>2</v>
      </c>
      <c r="K2001" t="s">
        <v>3892</v>
      </c>
      <c r="L2001">
        <v>26</v>
      </c>
      <c r="M2001">
        <v>13</v>
      </c>
      <c r="N2001" t="s">
        <v>4240</v>
      </c>
      <c r="O2001" t="s">
        <v>463</v>
      </c>
    </row>
    <row r="2002" spans="1:15" x14ac:dyDescent="0.3">
      <c r="A2002">
        <v>221055</v>
      </c>
      <c r="B2002">
        <v>116</v>
      </c>
      <c r="C2002" t="s">
        <v>568</v>
      </c>
      <c r="D2002" t="s">
        <v>2284</v>
      </c>
      <c r="E2002" t="s">
        <v>2801</v>
      </c>
      <c r="F2002" s="452">
        <v>46105</v>
      </c>
      <c r="G2002">
        <v>19264</v>
      </c>
      <c r="H2002" t="s">
        <v>4082</v>
      </c>
      <c r="I2002" t="s">
        <v>3469</v>
      </c>
      <c r="J2002">
        <v>1</v>
      </c>
      <c r="K2002" t="s">
        <v>4241</v>
      </c>
      <c r="L2002">
        <v>68.5</v>
      </c>
      <c r="M2002">
        <v>68.5</v>
      </c>
      <c r="N2002" t="s">
        <v>4240</v>
      </c>
      <c r="O2002" t="s">
        <v>463</v>
      </c>
    </row>
    <row r="2003" spans="1:15" x14ac:dyDescent="0.3">
      <c r="A2003">
        <v>221055</v>
      </c>
      <c r="B2003">
        <v>116</v>
      </c>
      <c r="C2003" t="s">
        <v>568</v>
      </c>
      <c r="D2003" t="s">
        <v>2284</v>
      </c>
      <c r="E2003" t="s">
        <v>2801</v>
      </c>
      <c r="F2003" s="452">
        <v>46105</v>
      </c>
      <c r="G2003">
        <v>19291</v>
      </c>
      <c r="H2003" t="s">
        <v>4254</v>
      </c>
      <c r="I2003" t="s">
        <v>3469</v>
      </c>
      <c r="J2003">
        <v>7.08</v>
      </c>
      <c r="K2003" t="s">
        <v>4241</v>
      </c>
      <c r="L2003">
        <v>501.97</v>
      </c>
      <c r="M2003">
        <v>70.899717999999993</v>
      </c>
      <c r="N2003" t="s">
        <v>4240</v>
      </c>
      <c r="O2003" t="s">
        <v>463</v>
      </c>
    </row>
    <row r="2004" spans="1:15" x14ac:dyDescent="0.3">
      <c r="A2004">
        <v>221053</v>
      </c>
      <c r="B2004">
        <v>116</v>
      </c>
      <c r="C2004" t="s">
        <v>568</v>
      </c>
      <c r="D2004" t="s">
        <v>2288</v>
      </c>
      <c r="E2004" t="s">
        <v>2802</v>
      </c>
      <c r="F2004" s="452">
        <v>46097</v>
      </c>
      <c r="G2004">
        <v>28638</v>
      </c>
      <c r="H2004" t="s">
        <v>4333</v>
      </c>
      <c r="I2004" t="s">
        <v>4217</v>
      </c>
      <c r="J2004">
        <v>1</v>
      </c>
      <c r="K2004" t="s">
        <v>3881</v>
      </c>
      <c r="L2004">
        <v>294</v>
      </c>
      <c r="M2004">
        <v>294</v>
      </c>
      <c r="N2004" t="s">
        <v>4256</v>
      </c>
      <c r="O2004" t="s">
        <v>463</v>
      </c>
    </row>
    <row r="2005" spans="1:15" x14ac:dyDescent="0.3">
      <c r="A2005">
        <v>221053</v>
      </c>
      <c r="B2005">
        <v>116</v>
      </c>
      <c r="C2005" t="s">
        <v>568</v>
      </c>
      <c r="D2005" t="s">
        <v>2288</v>
      </c>
      <c r="E2005" t="s">
        <v>2802</v>
      </c>
      <c r="F2005" s="452">
        <v>46097</v>
      </c>
      <c r="G2005">
        <v>28639</v>
      </c>
      <c r="H2005" t="s">
        <v>4303</v>
      </c>
      <c r="I2005" t="s">
        <v>4217</v>
      </c>
      <c r="J2005">
        <v>1</v>
      </c>
      <c r="K2005" t="s">
        <v>4241</v>
      </c>
      <c r="L2005">
        <v>246</v>
      </c>
      <c r="M2005">
        <v>246</v>
      </c>
      <c r="N2005" t="s">
        <v>4256</v>
      </c>
      <c r="O2005" t="s">
        <v>463</v>
      </c>
    </row>
    <row r="2006" spans="1:15" x14ac:dyDescent="0.3">
      <c r="A2006">
        <v>221052</v>
      </c>
      <c r="B2006">
        <v>116</v>
      </c>
      <c r="C2006" t="s">
        <v>568</v>
      </c>
      <c r="D2006" t="s">
        <v>2267</v>
      </c>
      <c r="E2006" t="s">
        <v>2803</v>
      </c>
      <c r="F2006" s="452">
        <v>46100</v>
      </c>
      <c r="G2006">
        <v>24517</v>
      </c>
      <c r="H2006" t="s">
        <v>3991</v>
      </c>
      <c r="I2006" t="s">
        <v>3469</v>
      </c>
      <c r="J2006">
        <v>10</v>
      </c>
      <c r="K2006" t="s">
        <v>3892</v>
      </c>
      <c r="L2006">
        <v>279.89999999999998</v>
      </c>
      <c r="M2006">
        <v>27.99</v>
      </c>
      <c r="N2006" t="s">
        <v>4240</v>
      </c>
      <c r="O2006" t="s">
        <v>463</v>
      </c>
    </row>
    <row r="2007" spans="1:15" x14ac:dyDescent="0.3">
      <c r="A2007">
        <v>221052</v>
      </c>
      <c r="B2007">
        <v>116</v>
      </c>
      <c r="C2007" t="s">
        <v>568</v>
      </c>
      <c r="D2007" t="s">
        <v>2267</v>
      </c>
      <c r="E2007" t="s">
        <v>2803</v>
      </c>
      <c r="F2007" s="452">
        <v>46100</v>
      </c>
      <c r="G2007">
        <v>18682</v>
      </c>
      <c r="H2007" t="s">
        <v>4025</v>
      </c>
      <c r="I2007" t="s">
        <v>3469</v>
      </c>
      <c r="J2007">
        <v>6.2</v>
      </c>
      <c r="K2007" t="s">
        <v>3892</v>
      </c>
      <c r="L2007">
        <v>173.54</v>
      </c>
      <c r="M2007">
        <v>27.990323</v>
      </c>
      <c r="N2007" t="s">
        <v>4240</v>
      </c>
      <c r="O2007" t="s">
        <v>463</v>
      </c>
    </row>
    <row r="2008" spans="1:15" x14ac:dyDescent="0.3">
      <c r="A2008">
        <v>221052</v>
      </c>
      <c r="B2008">
        <v>116</v>
      </c>
      <c r="C2008" t="s">
        <v>568</v>
      </c>
      <c r="D2008" t="s">
        <v>2267</v>
      </c>
      <c r="E2008" t="s">
        <v>2803</v>
      </c>
      <c r="F2008" s="452">
        <v>46100</v>
      </c>
      <c r="G2008">
        <v>18696</v>
      </c>
      <c r="H2008" t="s">
        <v>3956</v>
      </c>
      <c r="I2008" t="s">
        <v>3469</v>
      </c>
      <c r="J2008">
        <v>5.5</v>
      </c>
      <c r="K2008" t="s">
        <v>3892</v>
      </c>
      <c r="L2008">
        <v>98.94</v>
      </c>
      <c r="M2008">
        <v>17.989090999999998</v>
      </c>
      <c r="N2008" t="s">
        <v>4240</v>
      </c>
      <c r="O2008" t="s">
        <v>463</v>
      </c>
    </row>
    <row r="2009" spans="1:15" x14ac:dyDescent="0.3">
      <c r="A2009">
        <v>221052</v>
      </c>
      <c r="B2009">
        <v>116</v>
      </c>
      <c r="C2009" t="s">
        <v>568</v>
      </c>
      <c r="D2009" t="s">
        <v>2267</v>
      </c>
      <c r="E2009" t="s">
        <v>2803</v>
      </c>
      <c r="F2009" s="452">
        <v>46100</v>
      </c>
      <c r="G2009">
        <v>20549</v>
      </c>
      <c r="H2009" t="s">
        <v>4007</v>
      </c>
      <c r="I2009" t="s">
        <v>3469</v>
      </c>
      <c r="J2009">
        <v>12</v>
      </c>
      <c r="K2009" t="s">
        <v>3892</v>
      </c>
      <c r="L2009">
        <v>239.88</v>
      </c>
      <c r="M2009">
        <v>19.989999999999998</v>
      </c>
      <c r="N2009" t="s">
        <v>4240</v>
      </c>
      <c r="O2009" t="s">
        <v>463</v>
      </c>
    </row>
    <row r="2010" spans="1:15" x14ac:dyDescent="0.3">
      <c r="A2010">
        <v>221052</v>
      </c>
      <c r="B2010">
        <v>116</v>
      </c>
      <c r="C2010" t="s">
        <v>568</v>
      </c>
      <c r="D2010" t="s">
        <v>2267</v>
      </c>
      <c r="E2010" t="s">
        <v>2803</v>
      </c>
      <c r="F2010" s="452">
        <v>46100</v>
      </c>
      <c r="G2010">
        <v>24343</v>
      </c>
      <c r="H2010" t="s">
        <v>3990</v>
      </c>
      <c r="I2010" t="s">
        <v>3469</v>
      </c>
      <c r="J2010">
        <v>3</v>
      </c>
      <c r="K2010" t="s">
        <v>4241</v>
      </c>
      <c r="L2010">
        <v>59.97</v>
      </c>
      <c r="M2010">
        <v>19.989999999999998</v>
      </c>
      <c r="N2010" t="s">
        <v>4240</v>
      </c>
      <c r="O2010" t="s">
        <v>463</v>
      </c>
    </row>
    <row r="2011" spans="1:15" x14ac:dyDescent="0.3">
      <c r="A2011">
        <v>221050</v>
      </c>
      <c r="B2011">
        <v>116</v>
      </c>
      <c r="C2011" t="s">
        <v>568</v>
      </c>
      <c r="D2011" t="s">
        <v>2709</v>
      </c>
      <c r="E2011" t="s">
        <v>2804</v>
      </c>
      <c r="F2011" s="452">
        <v>46105</v>
      </c>
      <c r="G2011">
        <v>17573</v>
      </c>
      <c r="H2011" t="s">
        <v>4306</v>
      </c>
      <c r="I2011" t="s">
        <v>4199</v>
      </c>
      <c r="J2011">
        <v>1</v>
      </c>
      <c r="K2011" t="s">
        <v>3881</v>
      </c>
      <c r="L2011">
        <v>74.900000000000006</v>
      </c>
      <c r="M2011">
        <v>74.900000000000006</v>
      </c>
      <c r="N2011" t="s">
        <v>2176</v>
      </c>
      <c r="O2011" t="s">
        <v>463</v>
      </c>
    </row>
    <row r="2012" spans="1:15" x14ac:dyDescent="0.3">
      <c r="A2012">
        <v>221049</v>
      </c>
      <c r="B2012">
        <v>116</v>
      </c>
      <c r="C2012" t="s">
        <v>568</v>
      </c>
      <c r="D2012" t="s">
        <v>2709</v>
      </c>
      <c r="E2012" t="s">
        <v>2805</v>
      </c>
      <c r="F2012" s="452">
        <v>46105</v>
      </c>
      <c r="G2012">
        <v>17397</v>
      </c>
      <c r="H2012" t="s">
        <v>4223</v>
      </c>
      <c r="I2012" t="s">
        <v>4199</v>
      </c>
      <c r="J2012">
        <v>1</v>
      </c>
      <c r="K2012" t="s">
        <v>4224</v>
      </c>
      <c r="L2012">
        <v>31.82</v>
      </c>
      <c r="M2012">
        <v>31.82</v>
      </c>
      <c r="N2012" t="s">
        <v>2176</v>
      </c>
      <c r="O2012" t="s">
        <v>463</v>
      </c>
    </row>
    <row r="2013" spans="1:15" x14ac:dyDescent="0.3">
      <c r="A2013">
        <v>221049</v>
      </c>
      <c r="B2013">
        <v>116</v>
      </c>
      <c r="C2013" t="s">
        <v>568</v>
      </c>
      <c r="D2013" t="s">
        <v>2709</v>
      </c>
      <c r="E2013" t="s">
        <v>2805</v>
      </c>
      <c r="F2013" s="452">
        <v>46105</v>
      </c>
      <c r="G2013">
        <v>21423</v>
      </c>
      <c r="H2013" t="s">
        <v>4225</v>
      </c>
      <c r="I2013" t="s">
        <v>4199</v>
      </c>
      <c r="J2013">
        <v>1</v>
      </c>
      <c r="K2013" t="s">
        <v>4224</v>
      </c>
      <c r="L2013">
        <v>31.82</v>
      </c>
      <c r="M2013">
        <v>31.82</v>
      </c>
      <c r="N2013" t="s">
        <v>2176</v>
      </c>
      <c r="O2013" t="s">
        <v>463</v>
      </c>
    </row>
    <row r="2014" spans="1:15" x14ac:dyDescent="0.3">
      <c r="A2014">
        <v>221049</v>
      </c>
      <c r="B2014">
        <v>116</v>
      </c>
      <c r="C2014" t="s">
        <v>568</v>
      </c>
      <c r="D2014" t="s">
        <v>2709</v>
      </c>
      <c r="E2014" t="s">
        <v>2805</v>
      </c>
      <c r="F2014" s="452">
        <v>46105</v>
      </c>
      <c r="G2014">
        <v>17162</v>
      </c>
      <c r="H2014" t="s">
        <v>4209</v>
      </c>
      <c r="I2014" t="s">
        <v>4199</v>
      </c>
      <c r="J2014">
        <v>1</v>
      </c>
      <c r="K2014" t="s">
        <v>3872</v>
      </c>
      <c r="L2014">
        <v>54</v>
      </c>
      <c r="M2014">
        <v>54</v>
      </c>
      <c r="N2014" t="s">
        <v>2176</v>
      </c>
      <c r="O2014" t="s">
        <v>463</v>
      </c>
    </row>
    <row r="2015" spans="1:15" x14ac:dyDescent="0.3">
      <c r="A2015">
        <v>221047</v>
      </c>
      <c r="B2015">
        <v>116</v>
      </c>
      <c r="C2015" t="s">
        <v>568</v>
      </c>
      <c r="D2015" t="s">
        <v>2709</v>
      </c>
      <c r="E2015" t="s">
        <v>2806</v>
      </c>
      <c r="F2015" s="452">
        <v>46105</v>
      </c>
      <c r="G2015">
        <v>20702</v>
      </c>
      <c r="H2015" t="s">
        <v>4006</v>
      </c>
      <c r="I2015" t="s">
        <v>3469</v>
      </c>
      <c r="J2015">
        <v>1</v>
      </c>
      <c r="K2015" t="s">
        <v>3966</v>
      </c>
      <c r="L2015">
        <v>42.9</v>
      </c>
      <c r="M2015">
        <v>42.9</v>
      </c>
      <c r="N2015" t="s">
        <v>4289</v>
      </c>
      <c r="O2015" t="s">
        <v>463</v>
      </c>
    </row>
    <row r="2016" spans="1:15" x14ac:dyDescent="0.3">
      <c r="A2016">
        <v>221047</v>
      </c>
      <c r="B2016">
        <v>116</v>
      </c>
      <c r="C2016" t="s">
        <v>568</v>
      </c>
      <c r="D2016" t="s">
        <v>2709</v>
      </c>
      <c r="E2016" t="s">
        <v>2806</v>
      </c>
      <c r="F2016" s="452">
        <v>46105</v>
      </c>
      <c r="G2016">
        <v>20234</v>
      </c>
      <c r="H2016" t="s">
        <v>3979</v>
      </c>
      <c r="I2016" t="s">
        <v>3469</v>
      </c>
      <c r="J2016">
        <v>4</v>
      </c>
      <c r="K2016" t="s">
        <v>3892</v>
      </c>
      <c r="L2016">
        <v>87.96</v>
      </c>
      <c r="M2016">
        <v>21.99</v>
      </c>
      <c r="N2016" t="s">
        <v>4289</v>
      </c>
      <c r="O2016" t="s">
        <v>463</v>
      </c>
    </row>
    <row r="2017" spans="1:15" x14ac:dyDescent="0.3">
      <c r="A2017">
        <v>221047</v>
      </c>
      <c r="B2017">
        <v>116</v>
      </c>
      <c r="C2017" t="s">
        <v>568</v>
      </c>
      <c r="D2017" t="s">
        <v>2709</v>
      </c>
      <c r="E2017" t="s">
        <v>2806</v>
      </c>
      <c r="F2017" s="452">
        <v>46105</v>
      </c>
      <c r="G2017">
        <v>19984</v>
      </c>
      <c r="H2017" t="s">
        <v>3904</v>
      </c>
      <c r="I2017" t="s">
        <v>3469</v>
      </c>
      <c r="J2017">
        <v>12</v>
      </c>
      <c r="K2017" t="s">
        <v>3872</v>
      </c>
      <c r="L2017">
        <v>237.6</v>
      </c>
      <c r="M2017">
        <v>19.8</v>
      </c>
      <c r="N2017" t="s">
        <v>4289</v>
      </c>
      <c r="O2017" t="s">
        <v>463</v>
      </c>
    </row>
    <row r="2018" spans="1:15" x14ac:dyDescent="0.3">
      <c r="A2018">
        <v>221047</v>
      </c>
      <c r="B2018">
        <v>116</v>
      </c>
      <c r="C2018" t="s">
        <v>568</v>
      </c>
      <c r="D2018" t="s">
        <v>2709</v>
      </c>
      <c r="E2018" t="s">
        <v>2806</v>
      </c>
      <c r="F2018" s="452">
        <v>46105</v>
      </c>
      <c r="G2018">
        <v>20624</v>
      </c>
      <c r="H2018" t="s">
        <v>3982</v>
      </c>
      <c r="I2018" t="s">
        <v>3469</v>
      </c>
      <c r="J2018">
        <v>1</v>
      </c>
      <c r="K2018" t="s">
        <v>3872</v>
      </c>
      <c r="L2018">
        <v>66.819999999999993</v>
      </c>
      <c r="M2018">
        <v>66.819999999999993</v>
      </c>
      <c r="N2018" t="s">
        <v>4289</v>
      </c>
      <c r="O2018" t="s">
        <v>463</v>
      </c>
    </row>
    <row r="2019" spans="1:15" x14ac:dyDescent="0.3">
      <c r="A2019">
        <v>221046</v>
      </c>
      <c r="B2019">
        <v>116</v>
      </c>
      <c r="C2019" t="s">
        <v>568</v>
      </c>
      <c r="D2019" t="s">
        <v>2709</v>
      </c>
      <c r="E2019" t="s">
        <v>2806</v>
      </c>
      <c r="F2019" s="452">
        <v>46105</v>
      </c>
      <c r="G2019">
        <v>20702</v>
      </c>
      <c r="H2019" t="s">
        <v>4006</v>
      </c>
      <c r="I2019" t="s">
        <v>3469</v>
      </c>
      <c r="J2019">
        <v>1</v>
      </c>
      <c r="K2019" t="s">
        <v>3966</v>
      </c>
      <c r="L2019">
        <v>42.9</v>
      </c>
      <c r="M2019">
        <v>42.9</v>
      </c>
      <c r="N2019" t="s">
        <v>4240</v>
      </c>
      <c r="O2019" t="s">
        <v>463</v>
      </c>
    </row>
    <row r="2020" spans="1:15" x14ac:dyDescent="0.3">
      <c r="A2020">
        <v>221046</v>
      </c>
      <c r="B2020">
        <v>116</v>
      </c>
      <c r="C2020" t="s">
        <v>568</v>
      </c>
      <c r="D2020" t="s">
        <v>2709</v>
      </c>
      <c r="E2020" t="s">
        <v>2806</v>
      </c>
      <c r="F2020" s="452">
        <v>46105</v>
      </c>
      <c r="G2020">
        <v>20234</v>
      </c>
      <c r="H2020" t="s">
        <v>3979</v>
      </c>
      <c r="I2020" t="s">
        <v>3469</v>
      </c>
      <c r="J2020">
        <v>4</v>
      </c>
      <c r="K2020" t="s">
        <v>3892</v>
      </c>
      <c r="L2020">
        <v>87.96</v>
      </c>
      <c r="M2020">
        <v>21.99</v>
      </c>
      <c r="N2020" t="s">
        <v>4240</v>
      </c>
      <c r="O2020" t="s">
        <v>463</v>
      </c>
    </row>
    <row r="2021" spans="1:15" x14ac:dyDescent="0.3">
      <c r="A2021">
        <v>221046</v>
      </c>
      <c r="B2021">
        <v>116</v>
      </c>
      <c r="C2021" t="s">
        <v>568</v>
      </c>
      <c r="D2021" t="s">
        <v>2709</v>
      </c>
      <c r="E2021" t="s">
        <v>2806</v>
      </c>
      <c r="F2021" s="452">
        <v>46105</v>
      </c>
      <c r="G2021">
        <v>19984</v>
      </c>
      <c r="H2021" t="s">
        <v>3904</v>
      </c>
      <c r="I2021" t="s">
        <v>3469</v>
      </c>
      <c r="J2021">
        <v>12</v>
      </c>
      <c r="K2021" t="s">
        <v>3872</v>
      </c>
      <c r="L2021">
        <v>237.6</v>
      </c>
      <c r="M2021">
        <v>19.8</v>
      </c>
      <c r="N2021" t="s">
        <v>4240</v>
      </c>
      <c r="O2021" t="s">
        <v>463</v>
      </c>
    </row>
    <row r="2022" spans="1:15" x14ac:dyDescent="0.3">
      <c r="A2022">
        <v>221046</v>
      </c>
      <c r="B2022">
        <v>116</v>
      </c>
      <c r="C2022" t="s">
        <v>568</v>
      </c>
      <c r="D2022" t="s">
        <v>2709</v>
      </c>
      <c r="E2022" t="s">
        <v>2806</v>
      </c>
      <c r="F2022" s="452">
        <v>46105</v>
      </c>
      <c r="G2022">
        <v>20624</v>
      </c>
      <c r="H2022" t="s">
        <v>3982</v>
      </c>
      <c r="I2022" t="s">
        <v>3469</v>
      </c>
      <c r="J2022">
        <v>1</v>
      </c>
      <c r="K2022" t="s">
        <v>3872</v>
      </c>
      <c r="L2022">
        <v>66.819999999999993</v>
      </c>
      <c r="M2022">
        <v>66.819999999999993</v>
      </c>
      <c r="N2022" t="s">
        <v>4240</v>
      </c>
      <c r="O2022" t="s">
        <v>463</v>
      </c>
    </row>
    <row r="2023" spans="1:15" x14ac:dyDescent="0.3">
      <c r="A2023">
        <v>221045</v>
      </c>
      <c r="B2023">
        <v>116</v>
      </c>
      <c r="C2023" t="s">
        <v>568</v>
      </c>
      <c r="D2023" t="s">
        <v>2709</v>
      </c>
      <c r="E2023" t="s">
        <v>2807</v>
      </c>
      <c r="F2023" s="452">
        <v>46098</v>
      </c>
      <c r="G2023">
        <v>21423</v>
      </c>
      <c r="H2023" t="s">
        <v>4225</v>
      </c>
      <c r="I2023" t="s">
        <v>4199</v>
      </c>
      <c r="J2023">
        <v>2</v>
      </c>
      <c r="K2023" t="s">
        <v>4224</v>
      </c>
      <c r="L2023">
        <v>63.64</v>
      </c>
      <c r="M2023">
        <v>31.82</v>
      </c>
      <c r="N2023" t="s">
        <v>2176</v>
      </c>
      <c r="O2023" t="s">
        <v>463</v>
      </c>
    </row>
    <row r="2024" spans="1:15" x14ac:dyDescent="0.3">
      <c r="A2024">
        <v>221044</v>
      </c>
      <c r="B2024">
        <v>116</v>
      </c>
      <c r="C2024" t="s">
        <v>568</v>
      </c>
      <c r="D2024" t="s">
        <v>2262</v>
      </c>
      <c r="E2024" t="s">
        <v>2808</v>
      </c>
      <c r="F2024" s="452">
        <v>46098</v>
      </c>
      <c r="G2024">
        <v>24259</v>
      </c>
      <c r="H2024" t="s">
        <v>3895</v>
      </c>
      <c r="I2024" t="s">
        <v>3469</v>
      </c>
      <c r="J2024">
        <v>14.65</v>
      </c>
      <c r="K2024" t="s">
        <v>3892</v>
      </c>
      <c r="L2024">
        <v>1139.04</v>
      </c>
      <c r="M2024">
        <v>77.750170999999995</v>
      </c>
      <c r="N2024" t="s">
        <v>4240</v>
      </c>
      <c r="O2024" t="s">
        <v>463</v>
      </c>
    </row>
    <row r="2025" spans="1:15" x14ac:dyDescent="0.3">
      <c r="A2025">
        <v>221044</v>
      </c>
      <c r="B2025">
        <v>116</v>
      </c>
      <c r="C2025" t="s">
        <v>568</v>
      </c>
      <c r="D2025" t="s">
        <v>2262</v>
      </c>
      <c r="E2025" t="s">
        <v>2808</v>
      </c>
      <c r="F2025" s="452">
        <v>46098</v>
      </c>
      <c r="G2025">
        <v>24388</v>
      </c>
      <c r="H2025" t="s">
        <v>3915</v>
      </c>
      <c r="I2025" t="s">
        <v>3469</v>
      </c>
      <c r="J2025">
        <v>5</v>
      </c>
      <c r="K2025" t="s">
        <v>3892</v>
      </c>
      <c r="L2025">
        <v>149.5</v>
      </c>
      <c r="M2025">
        <v>29.9</v>
      </c>
      <c r="N2025" t="s">
        <v>4240</v>
      </c>
      <c r="O2025" t="s">
        <v>463</v>
      </c>
    </row>
    <row r="2026" spans="1:15" x14ac:dyDescent="0.3">
      <c r="A2026">
        <v>221044</v>
      </c>
      <c r="B2026">
        <v>116</v>
      </c>
      <c r="C2026" t="s">
        <v>568</v>
      </c>
      <c r="D2026" t="s">
        <v>2262</v>
      </c>
      <c r="E2026" t="s">
        <v>2808</v>
      </c>
      <c r="F2026" s="452">
        <v>46098</v>
      </c>
      <c r="G2026">
        <v>24116</v>
      </c>
      <c r="H2026" t="s">
        <v>3963</v>
      </c>
      <c r="I2026" t="s">
        <v>3469</v>
      </c>
      <c r="J2026">
        <v>5</v>
      </c>
      <c r="K2026" t="s">
        <v>3892</v>
      </c>
      <c r="L2026">
        <v>209.5</v>
      </c>
      <c r="M2026">
        <v>41.9</v>
      </c>
      <c r="N2026" t="s">
        <v>4240</v>
      </c>
      <c r="O2026" t="s">
        <v>463</v>
      </c>
    </row>
    <row r="2027" spans="1:15" x14ac:dyDescent="0.3">
      <c r="A2027">
        <v>221044</v>
      </c>
      <c r="B2027">
        <v>116</v>
      </c>
      <c r="C2027" t="s">
        <v>568</v>
      </c>
      <c r="D2027" t="s">
        <v>2262</v>
      </c>
      <c r="E2027" t="s">
        <v>2808</v>
      </c>
      <c r="F2027" s="452">
        <v>46098</v>
      </c>
      <c r="G2027">
        <v>24331</v>
      </c>
      <c r="H2027" t="s">
        <v>3960</v>
      </c>
      <c r="I2027" t="s">
        <v>3469</v>
      </c>
      <c r="J2027">
        <v>5</v>
      </c>
      <c r="K2027" t="s">
        <v>3892</v>
      </c>
      <c r="L2027">
        <v>132.5</v>
      </c>
      <c r="M2027">
        <v>26.5</v>
      </c>
      <c r="N2027" t="s">
        <v>4240</v>
      </c>
      <c r="O2027" t="s">
        <v>463</v>
      </c>
    </row>
    <row r="2028" spans="1:15" x14ac:dyDescent="0.3">
      <c r="A2028">
        <v>221044</v>
      </c>
      <c r="B2028">
        <v>116</v>
      </c>
      <c r="C2028" t="s">
        <v>568</v>
      </c>
      <c r="D2028" t="s">
        <v>2262</v>
      </c>
      <c r="E2028" t="s">
        <v>2808</v>
      </c>
      <c r="F2028" s="452">
        <v>46098</v>
      </c>
      <c r="G2028">
        <v>20501</v>
      </c>
      <c r="H2028" t="s">
        <v>4219</v>
      </c>
      <c r="I2028" t="s">
        <v>3469</v>
      </c>
      <c r="J2028">
        <v>5</v>
      </c>
      <c r="K2028" t="s">
        <v>3892</v>
      </c>
      <c r="L2028">
        <v>109.5</v>
      </c>
      <c r="M2028">
        <v>21.9</v>
      </c>
      <c r="N2028" t="s">
        <v>4240</v>
      </c>
      <c r="O2028" t="s">
        <v>463</v>
      </c>
    </row>
    <row r="2029" spans="1:15" x14ac:dyDescent="0.3">
      <c r="A2029">
        <v>221044</v>
      </c>
      <c r="B2029">
        <v>116</v>
      </c>
      <c r="C2029" t="s">
        <v>568</v>
      </c>
      <c r="D2029" t="s">
        <v>2262</v>
      </c>
      <c r="E2029" t="s">
        <v>2808</v>
      </c>
      <c r="F2029" s="452">
        <v>46098</v>
      </c>
      <c r="G2029">
        <v>24402</v>
      </c>
      <c r="H2029" t="s">
        <v>3896</v>
      </c>
      <c r="I2029" t="s">
        <v>3469</v>
      </c>
      <c r="J2029">
        <v>14.4</v>
      </c>
      <c r="K2029" t="s">
        <v>3892</v>
      </c>
      <c r="L2029">
        <v>535.67999999999995</v>
      </c>
      <c r="M2029">
        <v>37.200000000000003</v>
      </c>
      <c r="N2029" t="s">
        <v>4240</v>
      </c>
      <c r="O2029" t="s">
        <v>463</v>
      </c>
    </row>
    <row r="2030" spans="1:15" x14ac:dyDescent="0.3">
      <c r="A2030">
        <v>221042</v>
      </c>
      <c r="B2030">
        <v>116</v>
      </c>
      <c r="C2030" t="s">
        <v>568</v>
      </c>
      <c r="D2030" t="s">
        <v>2262</v>
      </c>
      <c r="E2030" t="s">
        <v>2809</v>
      </c>
      <c r="F2030" s="452">
        <v>46099</v>
      </c>
      <c r="G2030">
        <v>24259</v>
      </c>
      <c r="H2030" t="s">
        <v>3895</v>
      </c>
      <c r="I2030" t="s">
        <v>3469</v>
      </c>
      <c r="J2030">
        <v>15</v>
      </c>
      <c r="K2030" t="s">
        <v>3892</v>
      </c>
      <c r="L2030">
        <v>1166.25</v>
      </c>
      <c r="M2030">
        <v>77.75</v>
      </c>
      <c r="N2030" t="s">
        <v>4240</v>
      </c>
      <c r="O2030" t="s">
        <v>463</v>
      </c>
    </row>
    <row r="2031" spans="1:15" x14ac:dyDescent="0.3">
      <c r="A2031">
        <v>221041</v>
      </c>
      <c r="B2031">
        <v>116</v>
      </c>
      <c r="C2031" t="s">
        <v>568</v>
      </c>
      <c r="D2031" t="s">
        <v>2262</v>
      </c>
      <c r="E2031" t="s">
        <v>2810</v>
      </c>
      <c r="F2031" s="452">
        <v>46105</v>
      </c>
      <c r="G2031">
        <v>24402</v>
      </c>
      <c r="H2031" t="s">
        <v>3896</v>
      </c>
      <c r="I2031" t="s">
        <v>3469</v>
      </c>
      <c r="J2031">
        <v>15.1</v>
      </c>
      <c r="K2031" t="s">
        <v>3892</v>
      </c>
      <c r="L2031">
        <v>561.72</v>
      </c>
      <c r="M2031">
        <v>37.200000000000003</v>
      </c>
      <c r="N2031" t="s">
        <v>4240</v>
      </c>
      <c r="O2031" t="s">
        <v>463</v>
      </c>
    </row>
    <row r="2032" spans="1:15" x14ac:dyDescent="0.3">
      <c r="A2032">
        <v>221041</v>
      </c>
      <c r="B2032">
        <v>116</v>
      </c>
      <c r="C2032" t="s">
        <v>568</v>
      </c>
      <c r="D2032" t="s">
        <v>2262</v>
      </c>
      <c r="E2032" t="s">
        <v>2810</v>
      </c>
      <c r="F2032" s="452">
        <v>46105</v>
      </c>
      <c r="G2032">
        <v>24388</v>
      </c>
      <c r="H2032" t="s">
        <v>3915</v>
      </c>
      <c r="I2032" t="s">
        <v>3469</v>
      </c>
      <c r="J2032">
        <v>6.5</v>
      </c>
      <c r="K2032" t="s">
        <v>3892</v>
      </c>
      <c r="L2032">
        <v>194.35</v>
      </c>
      <c r="M2032">
        <v>29.9</v>
      </c>
      <c r="N2032" t="s">
        <v>4240</v>
      </c>
      <c r="O2032" t="s">
        <v>463</v>
      </c>
    </row>
    <row r="2033" spans="1:15" x14ac:dyDescent="0.3">
      <c r="A2033">
        <v>221041</v>
      </c>
      <c r="B2033">
        <v>116</v>
      </c>
      <c r="C2033" t="s">
        <v>568</v>
      </c>
      <c r="D2033" t="s">
        <v>2262</v>
      </c>
      <c r="E2033" t="s">
        <v>2810</v>
      </c>
      <c r="F2033" s="452">
        <v>46105</v>
      </c>
      <c r="G2033">
        <v>24331</v>
      </c>
      <c r="H2033" t="s">
        <v>3960</v>
      </c>
      <c r="I2033" t="s">
        <v>3469</v>
      </c>
      <c r="J2033">
        <v>15</v>
      </c>
      <c r="K2033" t="s">
        <v>3892</v>
      </c>
      <c r="L2033">
        <v>328.5</v>
      </c>
      <c r="M2033">
        <v>21.9</v>
      </c>
      <c r="N2033" t="s">
        <v>4240</v>
      </c>
      <c r="O2033" t="s">
        <v>463</v>
      </c>
    </row>
    <row r="2034" spans="1:15" x14ac:dyDescent="0.3">
      <c r="A2034">
        <v>221041</v>
      </c>
      <c r="B2034">
        <v>116</v>
      </c>
      <c r="C2034" t="s">
        <v>568</v>
      </c>
      <c r="D2034" t="s">
        <v>2262</v>
      </c>
      <c r="E2034" t="s">
        <v>2810</v>
      </c>
      <c r="F2034" s="452">
        <v>46105</v>
      </c>
      <c r="G2034">
        <v>27312</v>
      </c>
      <c r="H2034" t="s">
        <v>3927</v>
      </c>
      <c r="I2034" t="s">
        <v>3469</v>
      </c>
      <c r="J2034">
        <v>15.5</v>
      </c>
      <c r="K2034" t="s">
        <v>3892</v>
      </c>
      <c r="L2034">
        <v>664.95</v>
      </c>
      <c r="M2034">
        <v>42.9</v>
      </c>
      <c r="N2034" t="s">
        <v>4240</v>
      </c>
      <c r="O2034" t="s">
        <v>463</v>
      </c>
    </row>
    <row r="2035" spans="1:15" x14ac:dyDescent="0.3">
      <c r="A2035">
        <v>221041</v>
      </c>
      <c r="B2035">
        <v>116</v>
      </c>
      <c r="C2035" t="s">
        <v>568</v>
      </c>
      <c r="D2035" t="s">
        <v>2262</v>
      </c>
      <c r="E2035" t="s">
        <v>2810</v>
      </c>
      <c r="F2035" s="452">
        <v>46105</v>
      </c>
      <c r="G2035">
        <v>25131</v>
      </c>
      <c r="H2035" t="s">
        <v>4334</v>
      </c>
      <c r="I2035" t="s">
        <v>3469</v>
      </c>
      <c r="J2035">
        <v>10.5</v>
      </c>
      <c r="K2035" t="s">
        <v>3892</v>
      </c>
      <c r="L2035">
        <v>324.45</v>
      </c>
      <c r="M2035">
        <v>30.9</v>
      </c>
      <c r="N2035" t="s">
        <v>4240</v>
      </c>
      <c r="O2035" t="s">
        <v>463</v>
      </c>
    </row>
    <row r="2036" spans="1:15" x14ac:dyDescent="0.3">
      <c r="A2036">
        <v>221041</v>
      </c>
      <c r="B2036">
        <v>116</v>
      </c>
      <c r="C2036" t="s">
        <v>568</v>
      </c>
      <c r="D2036" t="s">
        <v>2262</v>
      </c>
      <c r="E2036" t="s">
        <v>2810</v>
      </c>
      <c r="F2036" s="452">
        <v>46105</v>
      </c>
      <c r="G2036">
        <v>24116</v>
      </c>
      <c r="H2036" t="s">
        <v>3963</v>
      </c>
      <c r="I2036" t="s">
        <v>3469</v>
      </c>
      <c r="J2036">
        <v>5</v>
      </c>
      <c r="K2036" t="s">
        <v>4241</v>
      </c>
      <c r="L2036">
        <v>209.5</v>
      </c>
      <c r="M2036">
        <v>41.9</v>
      </c>
      <c r="N2036" t="s">
        <v>4240</v>
      </c>
      <c r="O2036" t="s">
        <v>463</v>
      </c>
    </row>
    <row r="2037" spans="1:15" x14ac:dyDescent="0.3">
      <c r="A2037">
        <v>221030</v>
      </c>
      <c r="B2037">
        <v>116</v>
      </c>
      <c r="C2037" t="s">
        <v>568</v>
      </c>
      <c r="D2037" t="s">
        <v>2277</v>
      </c>
      <c r="E2037" t="s">
        <v>2811</v>
      </c>
      <c r="F2037" s="452">
        <v>46101</v>
      </c>
      <c r="G2037">
        <v>21021</v>
      </c>
      <c r="H2037" t="s">
        <v>4242</v>
      </c>
      <c r="I2037" t="s">
        <v>3469</v>
      </c>
      <c r="J2037">
        <v>2</v>
      </c>
      <c r="K2037" t="s">
        <v>3872</v>
      </c>
      <c r="L2037">
        <v>375.52</v>
      </c>
      <c r="M2037">
        <v>187.76</v>
      </c>
      <c r="N2037" t="s">
        <v>3469</v>
      </c>
      <c r="O2037" t="s">
        <v>463</v>
      </c>
    </row>
    <row r="2038" spans="1:15" x14ac:dyDescent="0.3">
      <c r="A2038">
        <v>220916</v>
      </c>
      <c r="B2038">
        <v>116</v>
      </c>
      <c r="C2038" t="s">
        <v>568</v>
      </c>
      <c r="D2038" t="s">
        <v>2330</v>
      </c>
      <c r="E2038" t="s">
        <v>2812</v>
      </c>
      <c r="F2038" s="452">
        <v>46104</v>
      </c>
      <c r="G2038">
        <v>18295</v>
      </c>
      <c r="H2038" t="s">
        <v>4030</v>
      </c>
      <c r="I2038" t="s">
        <v>3497</v>
      </c>
      <c r="J2038">
        <v>3</v>
      </c>
      <c r="K2038" t="s">
        <v>3878</v>
      </c>
      <c r="L2038">
        <v>369</v>
      </c>
      <c r="M2038">
        <v>123</v>
      </c>
      <c r="N2038" t="s">
        <v>3497</v>
      </c>
      <c r="O2038" t="s">
        <v>463</v>
      </c>
    </row>
    <row r="2039" spans="1:15" x14ac:dyDescent="0.3">
      <c r="A2039">
        <v>220911</v>
      </c>
      <c r="B2039">
        <v>116</v>
      </c>
      <c r="C2039" t="s">
        <v>568</v>
      </c>
      <c r="D2039" t="s">
        <v>2277</v>
      </c>
      <c r="E2039" t="s">
        <v>2813</v>
      </c>
      <c r="F2039" s="452">
        <v>46108</v>
      </c>
      <c r="G2039">
        <v>20729</v>
      </c>
      <c r="H2039" t="s">
        <v>3965</v>
      </c>
      <c r="I2039" t="s">
        <v>3469</v>
      </c>
      <c r="J2039">
        <v>2</v>
      </c>
      <c r="K2039" t="s">
        <v>3966</v>
      </c>
      <c r="L2039">
        <v>131.76</v>
      </c>
      <c r="M2039">
        <v>65.88</v>
      </c>
      <c r="N2039" t="s">
        <v>4240</v>
      </c>
      <c r="O2039" t="s">
        <v>463</v>
      </c>
    </row>
    <row r="2040" spans="1:15" x14ac:dyDescent="0.3">
      <c r="A2040">
        <v>220911</v>
      </c>
      <c r="B2040">
        <v>116</v>
      </c>
      <c r="C2040" t="s">
        <v>568</v>
      </c>
      <c r="D2040" t="s">
        <v>2277</v>
      </c>
      <c r="E2040" t="s">
        <v>2813</v>
      </c>
      <c r="F2040" s="452">
        <v>46108</v>
      </c>
      <c r="G2040">
        <v>20231</v>
      </c>
      <c r="H2040" t="s">
        <v>4123</v>
      </c>
      <c r="I2040" t="s">
        <v>3469</v>
      </c>
      <c r="J2040">
        <v>2</v>
      </c>
      <c r="K2040" t="s">
        <v>3888</v>
      </c>
      <c r="L2040">
        <v>32.4</v>
      </c>
      <c r="M2040">
        <v>16.2</v>
      </c>
      <c r="N2040" t="s">
        <v>4240</v>
      </c>
      <c r="O2040" t="s">
        <v>463</v>
      </c>
    </row>
    <row r="2041" spans="1:15" x14ac:dyDescent="0.3">
      <c r="A2041">
        <v>220911</v>
      </c>
      <c r="B2041">
        <v>116</v>
      </c>
      <c r="C2041" t="s">
        <v>568</v>
      </c>
      <c r="D2041" t="s">
        <v>2277</v>
      </c>
      <c r="E2041" t="s">
        <v>2813</v>
      </c>
      <c r="F2041" s="452">
        <v>46108</v>
      </c>
      <c r="G2041">
        <v>20250</v>
      </c>
      <c r="H2041" t="s">
        <v>4008</v>
      </c>
      <c r="I2041" t="s">
        <v>3469</v>
      </c>
      <c r="J2041">
        <v>1</v>
      </c>
      <c r="K2041" t="s">
        <v>3888</v>
      </c>
      <c r="L2041">
        <v>40.5</v>
      </c>
      <c r="M2041">
        <v>40.5</v>
      </c>
      <c r="N2041" t="s">
        <v>4240</v>
      </c>
      <c r="O2041" t="s">
        <v>463</v>
      </c>
    </row>
    <row r="2042" spans="1:15" x14ac:dyDescent="0.3">
      <c r="A2042">
        <v>220911</v>
      </c>
      <c r="B2042">
        <v>116</v>
      </c>
      <c r="C2042" t="s">
        <v>568</v>
      </c>
      <c r="D2042" t="s">
        <v>2277</v>
      </c>
      <c r="E2042" t="s">
        <v>2813</v>
      </c>
      <c r="F2042" s="452">
        <v>46108</v>
      </c>
      <c r="G2042">
        <v>25237</v>
      </c>
      <c r="H2042" t="s">
        <v>4164</v>
      </c>
      <c r="I2042" t="s">
        <v>3469</v>
      </c>
      <c r="J2042">
        <v>10</v>
      </c>
      <c r="K2042" t="s">
        <v>3888</v>
      </c>
      <c r="L2042">
        <v>52.9</v>
      </c>
      <c r="M2042">
        <v>5.29</v>
      </c>
      <c r="N2042" t="s">
        <v>4240</v>
      </c>
      <c r="O2042" t="s">
        <v>463</v>
      </c>
    </row>
    <row r="2043" spans="1:15" x14ac:dyDescent="0.3">
      <c r="A2043">
        <v>220911</v>
      </c>
      <c r="B2043">
        <v>116</v>
      </c>
      <c r="C2043" t="s">
        <v>568</v>
      </c>
      <c r="D2043" t="s">
        <v>2277</v>
      </c>
      <c r="E2043" t="s">
        <v>2813</v>
      </c>
      <c r="F2043" s="452">
        <v>46108</v>
      </c>
      <c r="G2043">
        <v>24185</v>
      </c>
      <c r="H2043" t="s">
        <v>4040</v>
      </c>
      <c r="I2043" t="s">
        <v>3469</v>
      </c>
      <c r="J2043">
        <v>2</v>
      </c>
      <c r="K2043" t="s">
        <v>3892</v>
      </c>
      <c r="L2043">
        <v>47.16</v>
      </c>
      <c r="M2043">
        <v>23.58</v>
      </c>
      <c r="N2043" t="s">
        <v>4240</v>
      </c>
      <c r="O2043" t="s">
        <v>463</v>
      </c>
    </row>
    <row r="2044" spans="1:15" x14ac:dyDescent="0.3">
      <c r="A2044">
        <v>220911</v>
      </c>
      <c r="B2044">
        <v>116</v>
      </c>
      <c r="C2044" t="s">
        <v>568</v>
      </c>
      <c r="D2044" t="s">
        <v>2277</v>
      </c>
      <c r="E2044" t="s">
        <v>2813</v>
      </c>
      <c r="F2044" s="452">
        <v>46108</v>
      </c>
      <c r="G2044">
        <v>19906</v>
      </c>
      <c r="H2044" t="s">
        <v>4171</v>
      </c>
      <c r="I2044" t="s">
        <v>3469</v>
      </c>
      <c r="J2044">
        <v>1</v>
      </c>
      <c r="K2044" t="s">
        <v>3888</v>
      </c>
      <c r="L2044">
        <v>36.299999999999997</v>
      </c>
      <c r="M2044">
        <v>36.299999999999997</v>
      </c>
      <c r="N2044" t="s">
        <v>4240</v>
      </c>
      <c r="O2044" t="s">
        <v>463</v>
      </c>
    </row>
    <row r="2045" spans="1:15" x14ac:dyDescent="0.3">
      <c r="A2045">
        <v>220911</v>
      </c>
      <c r="B2045">
        <v>116</v>
      </c>
      <c r="C2045" t="s">
        <v>568</v>
      </c>
      <c r="D2045" t="s">
        <v>2277</v>
      </c>
      <c r="E2045" t="s">
        <v>2813</v>
      </c>
      <c r="F2045" s="452">
        <v>46108</v>
      </c>
      <c r="G2045">
        <v>21093</v>
      </c>
      <c r="H2045" t="s">
        <v>3903</v>
      </c>
      <c r="I2045" t="s">
        <v>3469</v>
      </c>
      <c r="J2045">
        <v>10</v>
      </c>
      <c r="K2045" t="s">
        <v>4241</v>
      </c>
      <c r="L2045">
        <v>43.9</v>
      </c>
      <c r="M2045">
        <v>4.3899999999999997</v>
      </c>
      <c r="N2045" t="s">
        <v>4240</v>
      </c>
      <c r="O2045" t="s">
        <v>463</v>
      </c>
    </row>
    <row r="2046" spans="1:15" x14ac:dyDescent="0.3">
      <c r="A2046">
        <v>220911</v>
      </c>
      <c r="B2046">
        <v>116</v>
      </c>
      <c r="C2046" t="s">
        <v>568</v>
      </c>
      <c r="D2046" t="s">
        <v>2277</v>
      </c>
      <c r="E2046" t="s">
        <v>2813</v>
      </c>
      <c r="F2046" s="452">
        <v>46108</v>
      </c>
      <c r="G2046">
        <v>20752</v>
      </c>
      <c r="H2046" t="s">
        <v>3964</v>
      </c>
      <c r="I2046" t="s">
        <v>3469</v>
      </c>
      <c r="J2046">
        <v>2</v>
      </c>
      <c r="K2046" t="s">
        <v>4241</v>
      </c>
      <c r="L2046">
        <v>205.6</v>
      </c>
      <c r="M2046">
        <v>102.8</v>
      </c>
      <c r="N2046" t="s">
        <v>4240</v>
      </c>
      <c r="O2046" t="s">
        <v>463</v>
      </c>
    </row>
    <row r="2047" spans="1:15" x14ac:dyDescent="0.3">
      <c r="A2047">
        <v>220911</v>
      </c>
      <c r="B2047">
        <v>116</v>
      </c>
      <c r="C2047" t="s">
        <v>568</v>
      </c>
      <c r="D2047" t="s">
        <v>2277</v>
      </c>
      <c r="E2047" t="s">
        <v>2813</v>
      </c>
      <c r="F2047" s="452">
        <v>46108</v>
      </c>
      <c r="G2047">
        <v>20597</v>
      </c>
      <c r="H2047" t="s">
        <v>4157</v>
      </c>
      <c r="I2047" t="s">
        <v>3469</v>
      </c>
      <c r="J2047">
        <v>1</v>
      </c>
      <c r="K2047" t="s">
        <v>4241</v>
      </c>
      <c r="L2047">
        <v>42.35</v>
      </c>
      <c r="M2047">
        <v>42.35</v>
      </c>
      <c r="N2047" t="s">
        <v>4240</v>
      </c>
      <c r="O2047" t="s">
        <v>463</v>
      </c>
    </row>
    <row r="2048" spans="1:15" x14ac:dyDescent="0.3">
      <c r="A2048">
        <v>220911</v>
      </c>
      <c r="B2048">
        <v>116</v>
      </c>
      <c r="C2048" t="s">
        <v>568</v>
      </c>
      <c r="D2048" t="s">
        <v>2277</v>
      </c>
      <c r="E2048" t="s">
        <v>2813</v>
      </c>
      <c r="F2048" s="452">
        <v>46108</v>
      </c>
      <c r="G2048">
        <v>20057</v>
      </c>
      <c r="H2048" t="s">
        <v>3967</v>
      </c>
      <c r="I2048" t="s">
        <v>3469</v>
      </c>
      <c r="J2048">
        <v>3</v>
      </c>
      <c r="K2048" t="s">
        <v>4241</v>
      </c>
      <c r="L2048">
        <v>126.54</v>
      </c>
      <c r="M2048">
        <v>42.18</v>
      </c>
      <c r="N2048" t="s">
        <v>4240</v>
      </c>
      <c r="O2048" t="s">
        <v>463</v>
      </c>
    </row>
    <row r="2049" spans="1:15" x14ac:dyDescent="0.3">
      <c r="A2049">
        <v>220911</v>
      </c>
      <c r="B2049">
        <v>116</v>
      </c>
      <c r="C2049" t="s">
        <v>568</v>
      </c>
      <c r="D2049" t="s">
        <v>2277</v>
      </c>
      <c r="E2049" t="s">
        <v>2813</v>
      </c>
      <c r="F2049" s="452">
        <v>46108</v>
      </c>
      <c r="G2049">
        <v>20809</v>
      </c>
      <c r="H2049" t="s">
        <v>4005</v>
      </c>
      <c r="I2049" t="s">
        <v>3469</v>
      </c>
      <c r="J2049">
        <v>3</v>
      </c>
      <c r="K2049" t="s">
        <v>4241</v>
      </c>
      <c r="L2049">
        <v>89.7</v>
      </c>
      <c r="M2049">
        <v>29.9</v>
      </c>
      <c r="N2049" t="s">
        <v>4240</v>
      </c>
      <c r="O2049" t="s">
        <v>463</v>
      </c>
    </row>
    <row r="2050" spans="1:15" x14ac:dyDescent="0.3">
      <c r="A2050">
        <v>220910</v>
      </c>
      <c r="B2050">
        <v>116</v>
      </c>
      <c r="C2050" t="s">
        <v>568</v>
      </c>
      <c r="D2050" t="s">
        <v>2280</v>
      </c>
      <c r="E2050" t="s">
        <v>2814</v>
      </c>
      <c r="F2050" s="452">
        <v>46107</v>
      </c>
      <c r="G2050">
        <v>19751</v>
      </c>
      <c r="H2050" t="s">
        <v>4019</v>
      </c>
      <c r="I2050" t="s">
        <v>3469</v>
      </c>
      <c r="J2050">
        <v>2</v>
      </c>
      <c r="K2050" t="s">
        <v>3892</v>
      </c>
      <c r="L2050">
        <v>22.5</v>
      </c>
      <c r="M2050">
        <v>11.25</v>
      </c>
      <c r="N2050" t="s">
        <v>4240</v>
      </c>
      <c r="O2050" t="s">
        <v>463</v>
      </c>
    </row>
    <row r="2051" spans="1:15" x14ac:dyDescent="0.3">
      <c r="A2051">
        <v>220910</v>
      </c>
      <c r="B2051">
        <v>116</v>
      </c>
      <c r="C2051" t="s">
        <v>568</v>
      </c>
      <c r="D2051" t="s">
        <v>2280</v>
      </c>
      <c r="E2051" t="s">
        <v>2814</v>
      </c>
      <c r="F2051" s="452">
        <v>46107</v>
      </c>
      <c r="G2051">
        <v>23335</v>
      </c>
      <c r="H2051" t="s">
        <v>4075</v>
      </c>
      <c r="I2051" t="s">
        <v>3469</v>
      </c>
      <c r="J2051">
        <v>1.1000000000000001</v>
      </c>
      <c r="K2051" t="s">
        <v>3892</v>
      </c>
      <c r="L2051">
        <v>41.25</v>
      </c>
      <c r="M2051">
        <v>37.5</v>
      </c>
      <c r="N2051" t="s">
        <v>4240</v>
      </c>
      <c r="O2051" t="s">
        <v>463</v>
      </c>
    </row>
    <row r="2052" spans="1:15" x14ac:dyDescent="0.3">
      <c r="A2052">
        <v>220910</v>
      </c>
      <c r="B2052">
        <v>116</v>
      </c>
      <c r="C2052" t="s">
        <v>568</v>
      </c>
      <c r="D2052" t="s">
        <v>2280</v>
      </c>
      <c r="E2052" t="s">
        <v>2814</v>
      </c>
      <c r="F2052" s="452">
        <v>46107</v>
      </c>
      <c r="G2052">
        <v>23198</v>
      </c>
      <c r="H2052" t="s">
        <v>4167</v>
      </c>
      <c r="I2052" t="s">
        <v>3469</v>
      </c>
      <c r="J2052">
        <v>1</v>
      </c>
      <c r="K2052" t="s">
        <v>3892</v>
      </c>
      <c r="L2052">
        <v>12.5</v>
      </c>
      <c r="M2052">
        <v>12.5</v>
      </c>
      <c r="N2052" t="s">
        <v>4240</v>
      </c>
      <c r="O2052" t="s">
        <v>463</v>
      </c>
    </row>
    <row r="2053" spans="1:15" x14ac:dyDescent="0.3">
      <c r="A2053">
        <v>220910</v>
      </c>
      <c r="B2053">
        <v>116</v>
      </c>
      <c r="C2053" t="s">
        <v>568</v>
      </c>
      <c r="D2053" t="s">
        <v>2280</v>
      </c>
      <c r="E2053" t="s">
        <v>2814</v>
      </c>
      <c r="F2053" s="452">
        <v>46107</v>
      </c>
      <c r="G2053">
        <v>23389</v>
      </c>
      <c r="H2053" t="s">
        <v>4016</v>
      </c>
      <c r="I2053" t="s">
        <v>3469</v>
      </c>
      <c r="J2053">
        <v>6</v>
      </c>
      <c r="K2053" t="s">
        <v>3892</v>
      </c>
      <c r="L2053">
        <v>30</v>
      </c>
      <c r="M2053">
        <v>5</v>
      </c>
      <c r="N2053" t="s">
        <v>4240</v>
      </c>
      <c r="O2053" t="s">
        <v>463</v>
      </c>
    </row>
    <row r="2054" spans="1:15" x14ac:dyDescent="0.3">
      <c r="A2054">
        <v>220909</v>
      </c>
      <c r="B2054">
        <v>116</v>
      </c>
      <c r="C2054" t="s">
        <v>568</v>
      </c>
      <c r="D2054" t="s">
        <v>2273</v>
      </c>
      <c r="E2054" t="s">
        <v>2815</v>
      </c>
      <c r="F2054" s="452">
        <v>46107</v>
      </c>
      <c r="G2054">
        <v>24083</v>
      </c>
      <c r="H2054" t="s">
        <v>3898</v>
      </c>
      <c r="I2054" t="s">
        <v>3469</v>
      </c>
      <c r="J2054">
        <v>25</v>
      </c>
      <c r="K2054" t="s">
        <v>3892</v>
      </c>
      <c r="L2054">
        <v>128.75</v>
      </c>
      <c r="M2054">
        <v>5.15</v>
      </c>
      <c r="N2054" t="s">
        <v>4240</v>
      </c>
      <c r="O2054" t="s">
        <v>463</v>
      </c>
    </row>
    <row r="2055" spans="1:15" x14ac:dyDescent="0.3">
      <c r="A2055">
        <v>220909</v>
      </c>
      <c r="B2055">
        <v>116</v>
      </c>
      <c r="C2055" t="s">
        <v>568</v>
      </c>
      <c r="D2055" t="s">
        <v>2273</v>
      </c>
      <c r="E2055" t="s">
        <v>2815</v>
      </c>
      <c r="F2055" s="452">
        <v>46107</v>
      </c>
      <c r="G2055">
        <v>19652</v>
      </c>
      <c r="H2055" t="s">
        <v>4014</v>
      </c>
      <c r="I2055" t="s">
        <v>3469</v>
      </c>
      <c r="J2055">
        <v>1</v>
      </c>
      <c r="K2055" t="s">
        <v>3892</v>
      </c>
      <c r="L2055">
        <v>19.84</v>
      </c>
      <c r="M2055">
        <v>19.84</v>
      </c>
      <c r="N2055" t="s">
        <v>4240</v>
      </c>
      <c r="O2055" t="s">
        <v>463</v>
      </c>
    </row>
    <row r="2056" spans="1:15" x14ac:dyDescent="0.3">
      <c r="A2056">
        <v>220909</v>
      </c>
      <c r="B2056">
        <v>116</v>
      </c>
      <c r="C2056" t="s">
        <v>568</v>
      </c>
      <c r="D2056" t="s">
        <v>2273</v>
      </c>
      <c r="E2056" t="s">
        <v>2815</v>
      </c>
      <c r="F2056" s="452">
        <v>46107</v>
      </c>
      <c r="G2056">
        <v>19742</v>
      </c>
      <c r="H2056" t="s">
        <v>4074</v>
      </c>
      <c r="I2056" t="s">
        <v>3469</v>
      </c>
      <c r="J2056">
        <v>1</v>
      </c>
      <c r="K2056" t="s">
        <v>3892</v>
      </c>
      <c r="L2056">
        <v>9.35</v>
      </c>
      <c r="M2056">
        <v>9.35</v>
      </c>
      <c r="N2056" t="s">
        <v>4240</v>
      </c>
      <c r="O2056" t="s">
        <v>463</v>
      </c>
    </row>
    <row r="2057" spans="1:15" x14ac:dyDescent="0.3">
      <c r="A2057">
        <v>220909</v>
      </c>
      <c r="B2057">
        <v>116</v>
      </c>
      <c r="C2057" t="s">
        <v>568</v>
      </c>
      <c r="D2057" t="s">
        <v>2273</v>
      </c>
      <c r="E2057" t="s">
        <v>2815</v>
      </c>
      <c r="F2057" s="452">
        <v>46107</v>
      </c>
      <c r="G2057">
        <v>19740</v>
      </c>
      <c r="H2057" t="s">
        <v>3933</v>
      </c>
      <c r="I2057" t="s">
        <v>3469</v>
      </c>
      <c r="J2057">
        <v>4</v>
      </c>
      <c r="K2057" t="s">
        <v>3892</v>
      </c>
      <c r="L2057">
        <v>31.88</v>
      </c>
      <c r="M2057">
        <v>7.97</v>
      </c>
      <c r="N2057" t="s">
        <v>4240</v>
      </c>
      <c r="O2057" t="s">
        <v>463</v>
      </c>
    </row>
    <row r="2058" spans="1:15" x14ac:dyDescent="0.3">
      <c r="A2058">
        <v>220909</v>
      </c>
      <c r="B2058">
        <v>116</v>
      </c>
      <c r="C2058" t="s">
        <v>568</v>
      </c>
      <c r="D2058" t="s">
        <v>2273</v>
      </c>
      <c r="E2058" t="s">
        <v>2815</v>
      </c>
      <c r="F2058" s="452">
        <v>46107</v>
      </c>
      <c r="G2058">
        <v>24484</v>
      </c>
      <c r="H2058" t="s">
        <v>4154</v>
      </c>
      <c r="I2058" t="s">
        <v>3469</v>
      </c>
      <c r="J2058">
        <v>0.6</v>
      </c>
      <c r="K2058" t="s">
        <v>3892</v>
      </c>
      <c r="L2058">
        <v>9.57</v>
      </c>
      <c r="M2058">
        <v>15.95</v>
      </c>
      <c r="N2058" t="s">
        <v>4240</v>
      </c>
      <c r="O2058" t="s">
        <v>463</v>
      </c>
    </row>
    <row r="2059" spans="1:15" x14ac:dyDescent="0.3">
      <c r="A2059">
        <v>220909</v>
      </c>
      <c r="B2059">
        <v>116</v>
      </c>
      <c r="C2059" t="s">
        <v>568</v>
      </c>
      <c r="D2059" t="s">
        <v>2273</v>
      </c>
      <c r="E2059" t="s">
        <v>2815</v>
      </c>
      <c r="F2059" s="452">
        <v>46107</v>
      </c>
      <c r="G2059">
        <v>19583</v>
      </c>
      <c r="H2059" t="s">
        <v>4076</v>
      </c>
      <c r="I2059" t="s">
        <v>3469</v>
      </c>
      <c r="J2059">
        <v>1</v>
      </c>
      <c r="K2059" t="s">
        <v>3892</v>
      </c>
      <c r="L2059">
        <v>53.65</v>
      </c>
      <c r="M2059">
        <v>53.65</v>
      </c>
      <c r="N2059" t="s">
        <v>4240</v>
      </c>
      <c r="O2059" t="s">
        <v>463</v>
      </c>
    </row>
    <row r="2060" spans="1:15" x14ac:dyDescent="0.3">
      <c r="A2060">
        <v>220909</v>
      </c>
      <c r="B2060">
        <v>116</v>
      </c>
      <c r="C2060" t="s">
        <v>568</v>
      </c>
      <c r="D2060" t="s">
        <v>2273</v>
      </c>
      <c r="E2060" t="s">
        <v>2815</v>
      </c>
      <c r="F2060" s="452">
        <v>46107</v>
      </c>
      <c r="G2060">
        <v>17066</v>
      </c>
      <c r="H2060" t="s">
        <v>4155</v>
      </c>
      <c r="I2060" t="s">
        <v>3469</v>
      </c>
      <c r="J2060">
        <v>1</v>
      </c>
      <c r="K2060" t="s">
        <v>3892</v>
      </c>
      <c r="L2060">
        <v>20.88</v>
      </c>
      <c r="M2060">
        <v>20.88</v>
      </c>
      <c r="N2060" t="s">
        <v>4240</v>
      </c>
      <c r="O2060" t="s">
        <v>463</v>
      </c>
    </row>
    <row r="2061" spans="1:15" x14ac:dyDescent="0.3">
      <c r="A2061">
        <v>220909</v>
      </c>
      <c r="B2061">
        <v>116</v>
      </c>
      <c r="C2061" t="s">
        <v>568</v>
      </c>
      <c r="D2061" t="s">
        <v>2273</v>
      </c>
      <c r="E2061" t="s">
        <v>2815</v>
      </c>
      <c r="F2061" s="452">
        <v>46107</v>
      </c>
      <c r="G2061">
        <v>19539</v>
      </c>
      <c r="H2061" t="s">
        <v>4133</v>
      </c>
      <c r="I2061" t="s">
        <v>3469</v>
      </c>
      <c r="J2061">
        <v>18</v>
      </c>
      <c r="K2061" t="s">
        <v>3892</v>
      </c>
      <c r="L2061">
        <v>130.5</v>
      </c>
      <c r="M2061">
        <v>7.25</v>
      </c>
      <c r="N2061" t="s">
        <v>4240</v>
      </c>
      <c r="O2061" t="s">
        <v>463</v>
      </c>
    </row>
    <row r="2062" spans="1:15" x14ac:dyDescent="0.3">
      <c r="A2062">
        <v>220908</v>
      </c>
      <c r="B2062">
        <v>116</v>
      </c>
      <c r="C2062" t="s">
        <v>568</v>
      </c>
      <c r="D2062" t="s">
        <v>2277</v>
      </c>
      <c r="E2062" t="s">
        <v>2816</v>
      </c>
      <c r="F2062" s="452">
        <v>46108</v>
      </c>
      <c r="G2062">
        <v>21093</v>
      </c>
      <c r="H2062" t="s">
        <v>3903</v>
      </c>
      <c r="I2062" t="s">
        <v>3469</v>
      </c>
      <c r="J2062">
        <v>10</v>
      </c>
      <c r="K2062" t="s">
        <v>3872</v>
      </c>
      <c r="L2062">
        <v>43.9</v>
      </c>
      <c r="M2062">
        <v>4.3899999999999997</v>
      </c>
      <c r="N2062" t="s">
        <v>4240</v>
      </c>
      <c r="O2062" t="s">
        <v>463</v>
      </c>
    </row>
    <row r="2063" spans="1:15" x14ac:dyDescent="0.3">
      <c r="A2063">
        <v>220908</v>
      </c>
      <c r="B2063">
        <v>116</v>
      </c>
      <c r="C2063" t="s">
        <v>568</v>
      </c>
      <c r="D2063" t="s">
        <v>2277</v>
      </c>
      <c r="E2063" t="s">
        <v>2816</v>
      </c>
      <c r="F2063" s="452">
        <v>46108</v>
      </c>
      <c r="G2063">
        <v>20752</v>
      </c>
      <c r="H2063" t="s">
        <v>3964</v>
      </c>
      <c r="I2063" t="s">
        <v>3469</v>
      </c>
      <c r="J2063">
        <v>1</v>
      </c>
      <c r="K2063" t="s">
        <v>3872</v>
      </c>
      <c r="L2063">
        <v>102.8</v>
      </c>
      <c r="M2063">
        <v>102.8</v>
      </c>
      <c r="N2063" t="s">
        <v>4240</v>
      </c>
      <c r="O2063" t="s">
        <v>463</v>
      </c>
    </row>
    <row r="2064" spans="1:15" x14ac:dyDescent="0.3">
      <c r="A2064">
        <v>220908</v>
      </c>
      <c r="B2064">
        <v>116</v>
      </c>
      <c r="C2064" t="s">
        <v>568</v>
      </c>
      <c r="D2064" t="s">
        <v>2277</v>
      </c>
      <c r="E2064" t="s">
        <v>2816</v>
      </c>
      <c r="F2064" s="452">
        <v>46108</v>
      </c>
      <c r="G2064">
        <v>23982</v>
      </c>
      <c r="H2064" t="s">
        <v>3977</v>
      </c>
      <c r="I2064" t="s">
        <v>3469</v>
      </c>
      <c r="J2064">
        <v>1</v>
      </c>
      <c r="K2064" t="s">
        <v>3872</v>
      </c>
      <c r="L2064">
        <v>240.56</v>
      </c>
      <c r="M2064">
        <v>240.56</v>
      </c>
      <c r="N2064" t="s">
        <v>4240</v>
      </c>
      <c r="O2064" t="s">
        <v>463</v>
      </c>
    </row>
    <row r="2065" spans="1:15" x14ac:dyDescent="0.3">
      <c r="A2065">
        <v>220908</v>
      </c>
      <c r="B2065">
        <v>116</v>
      </c>
      <c r="C2065" t="s">
        <v>568</v>
      </c>
      <c r="D2065" t="s">
        <v>2277</v>
      </c>
      <c r="E2065" t="s">
        <v>2816</v>
      </c>
      <c r="F2065" s="452">
        <v>46108</v>
      </c>
      <c r="G2065">
        <v>21024</v>
      </c>
      <c r="H2065" t="s">
        <v>4180</v>
      </c>
      <c r="I2065" t="s">
        <v>3469</v>
      </c>
      <c r="J2065">
        <v>2</v>
      </c>
      <c r="K2065" t="s">
        <v>3872</v>
      </c>
      <c r="L2065">
        <v>353.74</v>
      </c>
      <c r="M2065">
        <v>176.87</v>
      </c>
      <c r="N2065" t="s">
        <v>4240</v>
      </c>
      <c r="O2065" t="s">
        <v>463</v>
      </c>
    </row>
    <row r="2066" spans="1:15" x14ac:dyDescent="0.3">
      <c r="A2066">
        <v>220908</v>
      </c>
      <c r="B2066">
        <v>116</v>
      </c>
      <c r="C2066" t="s">
        <v>568</v>
      </c>
      <c r="D2066" t="s">
        <v>2277</v>
      </c>
      <c r="E2066" t="s">
        <v>2816</v>
      </c>
      <c r="F2066" s="452">
        <v>46108</v>
      </c>
      <c r="G2066">
        <v>20809</v>
      </c>
      <c r="H2066" t="s">
        <v>4005</v>
      </c>
      <c r="I2066" t="s">
        <v>3469</v>
      </c>
      <c r="J2066">
        <v>2</v>
      </c>
      <c r="K2066" t="s">
        <v>3872</v>
      </c>
      <c r="L2066">
        <v>59.8</v>
      </c>
      <c r="M2066">
        <v>29.9</v>
      </c>
      <c r="N2066" t="s">
        <v>4240</v>
      </c>
      <c r="O2066" t="s">
        <v>463</v>
      </c>
    </row>
    <row r="2067" spans="1:15" x14ac:dyDescent="0.3">
      <c r="A2067">
        <v>220907</v>
      </c>
      <c r="B2067">
        <v>116</v>
      </c>
      <c r="C2067" t="s">
        <v>568</v>
      </c>
      <c r="D2067" t="s">
        <v>2318</v>
      </c>
      <c r="E2067" t="s">
        <v>2817</v>
      </c>
      <c r="F2067" s="452">
        <v>46108</v>
      </c>
      <c r="G2067">
        <v>24809</v>
      </c>
      <c r="H2067" t="s">
        <v>4335</v>
      </c>
      <c r="I2067" t="s">
        <v>3469</v>
      </c>
      <c r="J2067">
        <v>6</v>
      </c>
      <c r="K2067" t="s">
        <v>3892</v>
      </c>
      <c r="L2067">
        <v>588</v>
      </c>
      <c r="M2067">
        <v>98</v>
      </c>
      <c r="N2067" t="s">
        <v>4240</v>
      </c>
      <c r="O2067" t="s">
        <v>463</v>
      </c>
    </row>
    <row r="2068" spans="1:15" x14ac:dyDescent="0.3">
      <c r="A2068">
        <v>220906</v>
      </c>
      <c r="B2068">
        <v>116</v>
      </c>
      <c r="C2068" t="s">
        <v>568</v>
      </c>
      <c r="D2068" t="s">
        <v>2314</v>
      </c>
      <c r="E2068" t="s">
        <v>2818</v>
      </c>
      <c r="F2068" s="452">
        <v>46107</v>
      </c>
      <c r="G2068">
        <v>18636</v>
      </c>
      <c r="H2068" t="s">
        <v>3921</v>
      </c>
      <c r="I2068" t="s">
        <v>3497</v>
      </c>
      <c r="J2068">
        <v>8</v>
      </c>
      <c r="K2068" t="s">
        <v>3922</v>
      </c>
      <c r="L2068">
        <v>3862.4</v>
      </c>
      <c r="M2068">
        <v>482.8</v>
      </c>
      <c r="N2068" t="s">
        <v>4276</v>
      </c>
      <c r="O2068" t="s">
        <v>463</v>
      </c>
    </row>
    <row r="2069" spans="1:15" x14ac:dyDescent="0.3">
      <c r="A2069">
        <v>220906</v>
      </c>
      <c r="B2069">
        <v>116</v>
      </c>
      <c r="C2069" t="s">
        <v>568</v>
      </c>
      <c r="D2069" t="s">
        <v>2314</v>
      </c>
      <c r="E2069" t="s">
        <v>2818</v>
      </c>
      <c r="F2069" s="452">
        <v>46107</v>
      </c>
      <c r="G2069">
        <v>18640</v>
      </c>
      <c r="H2069" t="s">
        <v>3994</v>
      </c>
      <c r="I2069" t="s">
        <v>3497</v>
      </c>
      <c r="J2069">
        <v>1</v>
      </c>
      <c r="K2069" t="s">
        <v>3922</v>
      </c>
      <c r="L2069">
        <v>306</v>
      </c>
      <c r="M2069">
        <v>306</v>
      </c>
      <c r="N2069" t="s">
        <v>4276</v>
      </c>
      <c r="O2069" t="s">
        <v>463</v>
      </c>
    </row>
    <row r="2070" spans="1:15" x14ac:dyDescent="0.3">
      <c r="A2070">
        <v>220905</v>
      </c>
      <c r="B2070">
        <v>116</v>
      </c>
      <c r="C2070" t="s">
        <v>568</v>
      </c>
      <c r="D2070" t="s">
        <v>2267</v>
      </c>
      <c r="E2070" t="s">
        <v>2819</v>
      </c>
      <c r="F2070" s="452">
        <v>46107</v>
      </c>
      <c r="G2070">
        <v>24403</v>
      </c>
      <c r="H2070" t="s">
        <v>3992</v>
      </c>
      <c r="I2070" t="s">
        <v>3469</v>
      </c>
      <c r="J2070">
        <v>3.6</v>
      </c>
      <c r="K2070" t="s">
        <v>3892</v>
      </c>
      <c r="L2070">
        <v>46.76</v>
      </c>
      <c r="M2070">
        <v>12.988889</v>
      </c>
      <c r="N2070" t="s">
        <v>4240</v>
      </c>
      <c r="O2070" t="s">
        <v>463</v>
      </c>
    </row>
    <row r="2071" spans="1:15" x14ac:dyDescent="0.3">
      <c r="A2071">
        <v>220905</v>
      </c>
      <c r="B2071">
        <v>116</v>
      </c>
      <c r="C2071" t="s">
        <v>568</v>
      </c>
      <c r="D2071" t="s">
        <v>2267</v>
      </c>
      <c r="E2071" t="s">
        <v>2819</v>
      </c>
      <c r="F2071" s="452">
        <v>46107</v>
      </c>
      <c r="G2071">
        <v>24517</v>
      </c>
      <c r="H2071" t="s">
        <v>3991</v>
      </c>
      <c r="I2071" t="s">
        <v>3469</v>
      </c>
      <c r="J2071">
        <v>10.6</v>
      </c>
      <c r="K2071" t="s">
        <v>3892</v>
      </c>
      <c r="L2071">
        <v>296.69</v>
      </c>
      <c r="M2071">
        <v>27.989623000000002</v>
      </c>
      <c r="N2071" t="s">
        <v>4240</v>
      </c>
      <c r="O2071" t="s">
        <v>463</v>
      </c>
    </row>
    <row r="2072" spans="1:15" x14ac:dyDescent="0.3">
      <c r="A2072">
        <v>220905</v>
      </c>
      <c r="B2072">
        <v>116</v>
      </c>
      <c r="C2072" t="s">
        <v>568</v>
      </c>
      <c r="D2072" t="s">
        <v>2267</v>
      </c>
      <c r="E2072" t="s">
        <v>2819</v>
      </c>
      <c r="F2072" s="452">
        <v>46107</v>
      </c>
      <c r="G2072">
        <v>18666</v>
      </c>
      <c r="H2072" t="s">
        <v>4003</v>
      </c>
      <c r="I2072" t="s">
        <v>3469</v>
      </c>
      <c r="J2072">
        <v>3.6</v>
      </c>
      <c r="K2072" t="s">
        <v>3892</v>
      </c>
      <c r="L2072">
        <v>86.36</v>
      </c>
      <c r="M2072">
        <v>23.988889</v>
      </c>
      <c r="N2072" t="s">
        <v>4240</v>
      </c>
      <c r="O2072" t="s">
        <v>463</v>
      </c>
    </row>
    <row r="2073" spans="1:15" x14ac:dyDescent="0.3">
      <c r="A2073">
        <v>220905</v>
      </c>
      <c r="B2073">
        <v>116</v>
      </c>
      <c r="C2073" t="s">
        <v>568</v>
      </c>
      <c r="D2073" t="s">
        <v>2267</v>
      </c>
      <c r="E2073" t="s">
        <v>2819</v>
      </c>
      <c r="F2073" s="452">
        <v>46107</v>
      </c>
      <c r="G2073">
        <v>18682</v>
      </c>
      <c r="H2073" t="s">
        <v>4025</v>
      </c>
      <c r="I2073" t="s">
        <v>3469</v>
      </c>
      <c r="J2073">
        <v>8.9</v>
      </c>
      <c r="K2073" t="s">
        <v>3892</v>
      </c>
      <c r="L2073">
        <v>249.11</v>
      </c>
      <c r="M2073">
        <v>27.989888000000001</v>
      </c>
      <c r="N2073" t="s">
        <v>4240</v>
      </c>
      <c r="O2073" t="s">
        <v>463</v>
      </c>
    </row>
    <row r="2074" spans="1:15" x14ac:dyDescent="0.3">
      <c r="A2074">
        <v>220905</v>
      </c>
      <c r="B2074">
        <v>116</v>
      </c>
      <c r="C2074" t="s">
        <v>568</v>
      </c>
      <c r="D2074" t="s">
        <v>2267</v>
      </c>
      <c r="E2074" t="s">
        <v>2819</v>
      </c>
      <c r="F2074" s="452">
        <v>46107</v>
      </c>
      <c r="G2074">
        <v>18696</v>
      </c>
      <c r="H2074" t="s">
        <v>3956</v>
      </c>
      <c r="I2074" t="s">
        <v>3469</v>
      </c>
      <c r="J2074">
        <v>5.9</v>
      </c>
      <c r="K2074" t="s">
        <v>3892</v>
      </c>
      <c r="L2074">
        <v>106.14</v>
      </c>
      <c r="M2074">
        <v>17.989830999999999</v>
      </c>
      <c r="N2074" t="s">
        <v>4240</v>
      </c>
      <c r="O2074" t="s">
        <v>463</v>
      </c>
    </row>
    <row r="2075" spans="1:15" x14ac:dyDescent="0.3">
      <c r="A2075">
        <v>220905</v>
      </c>
      <c r="B2075">
        <v>116</v>
      </c>
      <c r="C2075" t="s">
        <v>568</v>
      </c>
      <c r="D2075" t="s">
        <v>2267</v>
      </c>
      <c r="E2075" t="s">
        <v>2819</v>
      </c>
      <c r="F2075" s="452">
        <v>46107</v>
      </c>
      <c r="G2075">
        <v>26055</v>
      </c>
      <c r="H2075" t="s">
        <v>4336</v>
      </c>
      <c r="I2075" t="s">
        <v>3469</v>
      </c>
      <c r="J2075">
        <v>4</v>
      </c>
      <c r="K2075" t="s">
        <v>3892</v>
      </c>
      <c r="L2075">
        <v>55.96</v>
      </c>
      <c r="M2075">
        <v>13.99</v>
      </c>
      <c r="N2075" t="s">
        <v>4240</v>
      </c>
      <c r="O2075" t="s">
        <v>463</v>
      </c>
    </row>
    <row r="2076" spans="1:15" x14ac:dyDescent="0.3">
      <c r="A2076">
        <v>220905</v>
      </c>
      <c r="B2076">
        <v>116</v>
      </c>
      <c r="C2076" t="s">
        <v>568</v>
      </c>
      <c r="D2076" t="s">
        <v>2267</v>
      </c>
      <c r="E2076" t="s">
        <v>2819</v>
      </c>
      <c r="F2076" s="452">
        <v>46107</v>
      </c>
      <c r="G2076">
        <v>24343</v>
      </c>
      <c r="H2076" t="s">
        <v>3990</v>
      </c>
      <c r="I2076" t="s">
        <v>3469</v>
      </c>
      <c r="J2076">
        <v>5</v>
      </c>
      <c r="K2076" t="s">
        <v>3892</v>
      </c>
      <c r="L2076">
        <v>124.95</v>
      </c>
      <c r="M2076">
        <v>24.99</v>
      </c>
      <c r="N2076" t="s">
        <v>4240</v>
      </c>
      <c r="O2076" t="s">
        <v>463</v>
      </c>
    </row>
    <row r="2077" spans="1:15" x14ac:dyDescent="0.3">
      <c r="A2077">
        <v>220904</v>
      </c>
      <c r="B2077">
        <v>116</v>
      </c>
      <c r="C2077" t="s">
        <v>568</v>
      </c>
      <c r="D2077" t="s">
        <v>2286</v>
      </c>
      <c r="E2077" t="s">
        <v>2820</v>
      </c>
      <c r="F2077" s="452">
        <v>46082</v>
      </c>
      <c r="G2077">
        <v>19634</v>
      </c>
      <c r="H2077" t="s">
        <v>4068</v>
      </c>
      <c r="I2077" t="s">
        <v>3469</v>
      </c>
      <c r="J2077">
        <v>2</v>
      </c>
      <c r="K2077" t="s">
        <v>3892</v>
      </c>
      <c r="L2077">
        <v>17</v>
      </c>
      <c r="M2077">
        <v>8.5</v>
      </c>
      <c r="N2077" t="s">
        <v>4240</v>
      </c>
      <c r="O2077" t="s">
        <v>463</v>
      </c>
    </row>
    <row r="2078" spans="1:15" x14ac:dyDescent="0.3">
      <c r="A2078">
        <v>220904</v>
      </c>
      <c r="B2078">
        <v>116</v>
      </c>
      <c r="C2078" t="s">
        <v>568</v>
      </c>
      <c r="D2078" t="s">
        <v>2286</v>
      </c>
      <c r="E2078" t="s">
        <v>2820</v>
      </c>
      <c r="F2078" s="452">
        <v>46082</v>
      </c>
      <c r="G2078">
        <v>19787</v>
      </c>
      <c r="H2078" t="s">
        <v>3940</v>
      </c>
      <c r="I2078" t="s">
        <v>3469</v>
      </c>
      <c r="J2078">
        <v>6</v>
      </c>
      <c r="K2078" t="s">
        <v>3892</v>
      </c>
      <c r="L2078">
        <v>32.1</v>
      </c>
      <c r="M2078">
        <v>5.35</v>
      </c>
      <c r="N2078" t="s">
        <v>4240</v>
      </c>
      <c r="O2078" t="s">
        <v>463</v>
      </c>
    </row>
    <row r="2079" spans="1:15" x14ac:dyDescent="0.3">
      <c r="A2079">
        <v>220904</v>
      </c>
      <c r="B2079">
        <v>116</v>
      </c>
      <c r="C2079" t="s">
        <v>568</v>
      </c>
      <c r="D2079" t="s">
        <v>2286</v>
      </c>
      <c r="E2079" t="s">
        <v>2820</v>
      </c>
      <c r="F2079" s="452">
        <v>46082</v>
      </c>
      <c r="G2079">
        <v>19623</v>
      </c>
      <c r="H2079" t="s">
        <v>3984</v>
      </c>
      <c r="I2079" t="s">
        <v>3469</v>
      </c>
      <c r="J2079">
        <v>3</v>
      </c>
      <c r="K2079" t="s">
        <v>3892</v>
      </c>
      <c r="L2079">
        <v>11.55</v>
      </c>
      <c r="M2079">
        <v>3.85</v>
      </c>
      <c r="N2079" t="s">
        <v>4240</v>
      </c>
      <c r="O2079" t="s">
        <v>463</v>
      </c>
    </row>
    <row r="2080" spans="1:15" x14ac:dyDescent="0.3">
      <c r="A2080">
        <v>220904</v>
      </c>
      <c r="B2080">
        <v>116</v>
      </c>
      <c r="C2080" t="s">
        <v>568</v>
      </c>
      <c r="D2080" t="s">
        <v>2286</v>
      </c>
      <c r="E2080" t="s">
        <v>2820</v>
      </c>
      <c r="F2080" s="452">
        <v>46082</v>
      </c>
      <c r="G2080">
        <v>19506</v>
      </c>
      <c r="H2080" t="s">
        <v>4112</v>
      </c>
      <c r="I2080" t="s">
        <v>3469</v>
      </c>
      <c r="J2080">
        <v>0.2</v>
      </c>
      <c r="K2080" t="s">
        <v>3892</v>
      </c>
      <c r="L2080">
        <v>10</v>
      </c>
      <c r="M2080">
        <v>50</v>
      </c>
      <c r="N2080" t="s">
        <v>4240</v>
      </c>
      <c r="O2080" t="s">
        <v>463</v>
      </c>
    </row>
    <row r="2081" spans="1:15" x14ac:dyDescent="0.3">
      <c r="A2081">
        <v>220904</v>
      </c>
      <c r="B2081">
        <v>116</v>
      </c>
      <c r="C2081" t="s">
        <v>568</v>
      </c>
      <c r="D2081" t="s">
        <v>2286</v>
      </c>
      <c r="E2081" t="s">
        <v>2820</v>
      </c>
      <c r="F2081" s="452">
        <v>46082</v>
      </c>
      <c r="G2081">
        <v>19505</v>
      </c>
      <c r="H2081" t="s">
        <v>4101</v>
      </c>
      <c r="I2081" t="s">
        <v>3469</v>
      </c>
      <c r="J2081">
        <v>1.5</v>
      </c>
      <c r="K2081" t="s">
        <v>3892</v>
      </c>
      <c r="L2081">
        <v>16.5</v>
      </c>
      <c r="M2081">
        <v>11</v>
      </c>
      <c r="N2081" t="s">
        <v>4240</v>
      </c>
      <c r="O2081" t="s">
        <v>463</v>
      </c>
    </row>
    <row r="2082" spans="1:15" x14ac:dyDescent="0.3">
      <c r="A2082">
        <v>220904</v>
      </c>
      <c r="B2082">
        <v>116</v>
      </c>
      <c r="C2082" t="s">
        <v>568</v>
      </c>
      <c r="D2082" t="s">
        <v>2286</v>
      </c>
      <c r="E2082" t="s">
        <v>2820</v>
      </c>
      <c r="F2082" s="452">
        <v>46082</v>
      </c>
      <c r="G2082">
        <v>24509</v>
      </c>
      <c r="H2082" t="s">
        <v>3906</v>
      </c>
      <c r="I2082" t="s">
        <v>3469</v>
      </c>
      <c r="J2082">
        <v>20</v>
      </c>
      <c r="K2082" t="s">
        <v>3892</v>
      </c>
      <c r="L2082">
        <v>60</v>
      </c>
      <c r="M2082">
        <v>3</v>
      </c>
      <c r="N2082" t="s">
        <v>4240</v>
      </c>
      <c r="O2082" t="s">
        <v>463</v>
      </c>
    </row>
    <row r="2083" spans="1:15" x14ac:dyDescent="0.3">
      <c r="A2083">
        <v>220904</v>
      </c>
      <c r="B2083">
        <v>116</v>
      </c>
      <c r="C2083" t="s">
        <v>568</v>
      </c>
      <c r="D2083" t="s">
        <v>2286</v>
      </c>
      <c r="E2083" t="s">
        <v>2820</v>
      </c>
      <c r="F2083" s="452">
        <v>46082</v>
      </c>
      <c r="G2083">
        <v>19498</v>
      </c>
      <c r="H2083" t="s">
        <v>4065</v>
      </c>
      <c r="I2083" t="s">
        <v>3469</v>
      </c>
      <c r="J2083">
        <v>1</v>
      </c>
      <c r="K2083" t="s">
        <v>3892</v>
      </c>
      <c r="L2083">
        <v>13.5</v>
      </c>
      <c r="M2083">
        <v>13.5</v>
      </c>
      <c r="N2083" t="s">
        <v>4240</v>
      </c>
      <c r="O2083" t="s">
        <v>463</v>
      </c>
    </row>
    <row r="2084" spans="1:15" x14ac:dyDescent="0.3">
      <c r="A2084">
        <v>220904</v>
      </c>
      <c r="B2084">
        <v>116</v>
      </c>
      <c r="C2084" t="s">
        <v>568</v>
      </c>
      <c r="D2084" t="s">
        <v>2286</v>
      </c>
      <c r="E2084" t="s">
        <v>2820</v>
      </c>
      <c r="F2084" s="452">
        <v>46082</v>
      </c>
      <c r="G2084">
        <v>19553</v>
      </c>
      <c r="H2084" t="s">
        <v>4078</v>
      </c>
      <c r="I2084" t="s">
        <v>3469</v>
      </c>
      <c r="J2084">
        <v>1.5</v>
      </c>
      <c r="K2084" t="s">
        <v>3892</v>
      </c>
      <c r="L2084">
        <v>7.8</v>
      </c>
      <c r="M2084">
        <v>5.2</v>
      </c>
      <c r="N2084" t="s">
        <v>4240</v>
      </c>
      <c r="O2084" t="s">
        <v>463</v>
      </c>
    </row>
    <row r="2085" spans="1:15" x14ac:dyDescent="0.3">
      <c r="A2085">
        <v>220904</v>
      </c>
      <c r="B2085">
        <v>116</v>
      </c>
      <c r="C2085" t="s">
        <v>568</v>
      </c>
      <c r="D2085" t="s">
        <v>2286</v>
      </c>
      <c r="E2085" t="s">
        <v>2820</v>
      </c>
      <c r="F2085" s="452">
        <v>46082</v>
      </c>
      <c r="G2085">
        <v>19555</v>
      </c>
      <c r="H2085" t="s">
        <v>4109</v>
      </c>
      <c r="I2085" t="s">
        <v>3469</v>
      </c>
      <c r="J2085">
        <v>0.6</v>
      </c>
      <c r="K2085" t="s">
        <v>3892</v>
      </c>
      <c r="L2085">
        <v>13.8</v>
      </c>
      <c r="M2085">
        <v>23</v>
      </c>
      <c r="N2085" t="s">
        <v>4240</v>
      </c>
      <c r="O2085" t="s">
        <v>463</v>
      </c>
    </row>
    <row r="2086" spans="1:15" x14ac:dyDescent="0.3">
      <c r="A2086">
        <v>220904</v>
      </c>
      <c r="B2086">
        <v>116</v>
      </c>
      <c r="C2086" t="s">
        <v>568</v>
      </c>
      <c r="D2086" t="s">
        <v>2286</v>
      </c>
      <c r="E2086" t="s">
        <v>2820</v>
      </c>
      <c r="F2086" s="452">
        <v>46082</v>
      </c>
      <c r="G2086">
        <v>19752</v>
      </c>
      <c r="H2086" t="s">
        <v>4042</v>
      </c>
      <c r="I2086" t="s">
        <v>3469</v>
      </c>
      <c r="J2086">
        <v>1</v>
      </c>
      <c r="K2086" t="s">
        <v>3892</v>
      </c>
      <c r="L2086">
        <v>8</v>
      </c>
      <c r="M2086">
        <v>8</v>
      </c>
      <c r="N2086" t="s">
        <v>4240</v>
      </c>
      <c r="O2086" t="s">
        <v>463</v>
      </c>
    </row>
    <row r="2087" spans="1:15" x14ac:dyDescent="0.3">
      <c r="A2087">
        <v>220904</v>
      </c>
      <c r="B2087">
        <v>116</v>
      </c>
      <c r="C2087" t="s">
        <v>568</v>
      </c>
      <c r="D2087" t="s">
        <v>2286</v>
      </c>
      <c r="E2087" t="s">
        <v>2820</v>
      </c>
      <c r="F2087" s="452">
        <v>46082</v>
      </c>
      <c r="G2087">
        <v>24598</v>
      </c>
      <c r="H2087" t="s">
        <v>4166</v>
      </c>
      <c r="I2087" t="s">
        <v>3469</v>
      </c>
      <c r="J2087">
        <v>1</v>
      </c>
      <c r="K2087" t="s">
        <v>3892</v>
      </c>
      <c r="L2087">
        <v>14</v>
      </c>
      <c r="M2087">
        <v>14</v>
      </c>
      <c r="N2087" t="s">
        <v>4240</v>
      </c>
      <c r="O2087" t="s">
        <v>463</v>
      </c>
    </row>
    <row r="2088" spans="1:15" x14ac:dyDescent="0.3">
      <c r="A2088">
        <v>220904</v>
      </c>
      <c r="B2088">
        <v>116</v>
      </c>
      <c r="C2088" t="s">
        <v>568</v>
      </c>
      <c r="D2088" t="s">
        <v>2286</v>
      </c>
      <c r="E2088" t="s">
        <v>2820</v>
      </c>
      <c r="F2088" s="452">
        <v>46082</v>
      </c>
      <c r="G2088">
        <v>19494</v>
      </c>
      <c r="H2088" t="s">
        <v>4126</v>
      </c>
      <c r="I2088" t="s">
        <v>3469</v>
      </c>
      <c r="J2088">
        <v>1</v>
      </c>
      <c r="K2088" t="s">
        <v>3892</v>
      </c>
      <c r="L2088">
        <v>15</v>
      </c>
      <c r="M2088">
        <v>15</v>
      </c>
      <c r="N2088" t="s">
        <v>4240</v>
      </c>
      <c r="O2088" t="s">
        <v>463</v>
      </c>
    </row>
    <row r="2089" spans="1:15" x14ac:dyDescent="0.3">
      <c r="A2089">
        <v>220904</v>
      </c>
      <c r="B2089">
        <v>116</v>
      </c>
      <c r="C2089" t="s">
        <v>568</v>
      </c>
      <c r="D2089" t="s">
        <v>2286</v>
      </c>
      <c r="E2089" t="s">
        <v>2820</v>
      </c>
      <c r="F2089" s="452">
        <v>46082</v>
      </c>
      <c r="G2089">
        <v>23113</v>
      </c>
      <c r="H2089" t="s">
        <v>4079</v>
      </c>
      <c r="I2089" t="s">
        <v>3469</v>
      </c>
      <c r="J2089">
        <v>1.5</v>
      </c>
      <c r="K2089" t="s">
        <v>3892</v>
      </c>
      <c r="L2089">
        <v>15.75</v>
      </c>
      <c r="M2089">
        <v>10.5</v>
      </c>
      <c r="N2089" t="s">
        <v>4240</v>
      </c>
      <c r="O2089" t="s">
        <v>463</v>
      </c>
    </row>
    <row r="2090" spans="1:15" x14ac:dyDescent="0.3">
      <c r="A2090">
        <v>220904</v>
      </c>
      <c r="B2090">
        <v>116</v>
      </c>
      <c r="C2090" t="s">
        <v>568</v>
      </c>
      <c r="D2090" t="s">
        <v>2286</v>
      </c>
      <c r="E2090" t="s">
        <v>2820</v>
      </c>
      <c r="F2090" s="452">
        <v>46082</v>
      </c>
      <c r="G2090">
        <v>23120</v>
      </c>
      <c r="H2090" t="s">
        <v>4111</v>
      </c>
      <c r="I2090" t="s">
        <v>3469</v>
      </c>
      <c r="J2090">
        <v>0.2</v>
      </c>
      <c r="K2090" t="s">
        <v>3892</v>
      </c>
      <c r="L2090">
        <v>13</v>
      </c>
      <c r="M2090">
        <v>65</v>
      </c>
      <c r="N2090" t="s">
        <v>4240</v>
      </c>
      <c r="O2090" t="s">
        <v>463</v>
      </c>
    </row>
    <row r="2091" spans="1:15" x14ac:dyDescent="0.3">
      <c r="A2091">
        <v>220904</v>
      </c>
      <c r="B2091">
        <v>116</v>
      </c>
      <c r="C2091" t="s">
        <v>568</v>
      </c>
      <c r="D2091" t="s">
        <v>2286</v>
      </c>
      <c r="E2091" t="s">
        <v>2820</v>
      </c>
      <c r="F2091" s="452">
        <v>46082</v>
      </c>
      <c r="G2091">
        <v>23171</v>
      </c>
      <c r="H2091" t="s">
        <v>4132</v>
      </c>
      <c r="I2091" t="s">
        <v>3469</v>
      </c>
      <c r="J2091">
        <v>3</v>
      </c>
      <c r="K2091" t="s">
        <v>3892</v>
      </c>
      <c r="L2091">
        <v>28.5</v>
      </c>
      <c r="M2091">
        <v>9.5</v>
      </c>
      <c r="N2091" t="s">
        <v>4240</v>
      </c>
      <c r="O2091" t="s">
        <v>463</v>
      </c>
    </row>
    <row r="2092" spans="1:15" x14ac:dyDescent="0.3">
      <c r="A2092">
        <v>220904</v>
      </c>
      <c r="B2092">
        <v>116</v>
      </c>
      <c r="C2092" t="s">
        <v>568</v>
      </c>
      <c r="D2092" t="s">
        <v>2286</v>
      </c>
      <c r="E2092" t="s">
        <v>2820</v>
      </c>
      <c r="F2092" s="452">
        <v>46082</v>
      </c>
      <c r="G2092">
        <v>23096</v>
      </c>
      <c r="H2092" t="s">
        <v>3876</v>
      </c>
      <c r="I2092" t="s">
        <v>3469</v>
      </c>
      <c r="J2092">
        <v>30</v>
      </c>
      <c r="K2092" t="s">
        <v>3872</v>
      </c>
      <c r="L2092">
        <v>25.5</v>
      </c>
      <c r="M2092">
        <v>0.85</v>
      </c>
      <c r="N2092" t="s">
        <v>4240</v>
      </c>
      <c r="O2092" t="s">
        <v>463</v>
      </c>
    </row>
    <row r="2093" spans="1:15" x14ac:dyDescent="0.3">
      <c r="A2093">
        <v>220904</v>
      </c>
      <c r="B2093">
        <v>116</v>
      </c>
      <c r="C2093" t="s">
        <v>568</v>
      </c>
      <c r="D2093" t="s">
        <v>2286</v>
      </c>
      <c r="E2093" t="s">
        <v>2820</v>
      </c>
      <c r="F2093" s="452">
        <v>46082</v>
      </c>
      <c r="G2093">
        <v>23236</v>
      </c>
      <c r="H2093" t="s">
        <v>4017</v>
      </c>
      <c r="I2093" t="s">
        <v>3469</v>
      </c>
      <c r="J2093">
        <v>3</v>
      </c>
      <c r="K2093" t="s">
        <v>3892</v>
      </c>
      <c r="L2093">
        <v>36</v>
      </c>
      <c r="M2093">
        <v>12</v>
      </c>
      <c r="N2093" t="s">
        <v>4240</v>
      </c>
      <c r="O2093" t="s">
        <v>463</v>
      </c>
    </row>
    <row r="2094" spans="1:15" x14ac:dyDescent="0.3">
      <c r="A2094">
        <v>220904</v>
      </c>
      <c r="B2094">
        <v>116</v>
      </c>
      <c r="C2094" t="s">
        <v>568</v>
      </c>
      <c r="D2094" t="s">
        <v>2286</v>
      </c>
      <c r="E2094" t="s">
        <v>2820</v>
      </c>
      <c r="F2094" s="452">
        <v>46082</v>
      </c>
      <c r="G2094">
        <v>23361</v>
      </c>
      <c r="H2094" t="s">
        <v>4220</v>
      </c>
      <c r="I2094" t="s">
        <v>3469</v>
      </c>
      <c r="J2094">
        <v>18</v>
      </c>
      <c r="K2094" t="s">
        <v>3892</v>
      </c>
      <c r="L2094">
        <v>62.1</v>
      </c>
      <c r="M2094">
        <v>3.45</v>
      </c>
      <c r="N2094" t="s">
        <v>4240</v>
      </c>
      <c r="O2094" t="s">
        <v>463</v>
      </c>
    </row>
    <row r="2095" spans="1:15" x14ac:dyDescent="0.3">
      <c r="A2095">
        <v>220904</v>
      </c>
      <c r="B2095">
        <v>116</v>
      </c>
      <c r="C2095" t="s">
        <v>568</v>
      </c>
      <c r="D2095" t="s">
        <v>2286</v>
      </c>
      <c r="E2095" t="s">
        <v>2820</v>
      </c>
      <c r="F2095" s="452">
        <v>46082</v>
      </c>
      <c r="G2095">
        <v>23359</v>
      </c>
      <c r="H2095" t="s">
        <v>3932</v>
      </c>
      <c r="I2095" t="s">
        <v>3469</v>
      </c>
      <c r="J2095">
        <v>10</v>
      </c>
      <c r="K2095" t="s">
        <v>3892</v>
      </c>
      <c r="L2095">
        <v>22</v>
      </c>
      <c r="M2095">
        <v>2.2000000000000002</v>
      </c>
      <c r="N2095" t="s">
        <v>4240</v>
      </c>
      <c r="O2095" t="s">
        <v>463</v>
      </c>
    </row>
    <row r="2096" spans="1:15" x14ac:dyDescent="0.3">
      <c r="A2096">
        <v>220904</v>
      </c>
      <c r="B2096">
        <v>116</v>
      </c>
      <c r="C2096" t="s">
        <v>568</v>
      </c>
      <c r="D2096" t="s">
        <v>2286</v>
      </c>
      <c r="E2096" t="s">
        <v>2820</v>
      </c>
      <c r="F2096" s="452">
        <v>46082</v>
      </c>
      <c r="G2096">
        <v>23095</v>
      </c>
      <c r="H2096" t="s">
        <v>3882</v>
      </c>
      <c r="I2096" t="s">
        <v>3469</v>
      </c>
      <c r="J2096">
        <v>60</v>
      </c>
      <c r="K2096" t="s">
        <v>3872</v>
      </c>
      <c r="L2096">
        <v>81</v>
      </c>
      <c r="M2096">
        <v>1.35</v>
      </c>
      <c r="N2096" t="s">
        <v>4240</v>
      </c>
      <c r="O2096" t="s">
        <v>463</v>
      </c>
    </row>
    <row r="2097" spans="1:15" x14ac:dyDescent="0.3">
      <c r="A2097">
        <v>220904</v>
      </c>
      <c r="B2097">
        <v>116</v>
      </c>
      <c r="C2097" t="s">
        <v>568</v>
      </c>
      <c r="D2097" t="s">
        <v>2286</v>
      </c>
      <c r="E2097" t="s">
        <v>2820</v>
      </c>
      <c r="F2097" s="452">
        <v>46082</v>
      </c>
      <c r="G2097">
        <v>24037</v>
      </c>
      <c r="H2097" t="s">
        <v>4104</v>
      </c>
      <c r="I2097" t="s">
        <v>3469</v>
      </c>
      <c r="J2097">
        <v>2</v>
      </c>
      <c r="K2097" t="s">
        <v>3892</v>
      </c>
      <c r="L2097">
        <v>36.6</v>
      </c>
      <c r="M2097">
        <v>18.3</v>
      </c>
      <c r="N2097" t="s">
        <v>4240</v>
      </c>
      <c r="O2097" t="s">
        <v>463</v>
      </c>
    </row>
    <row r="2098" spans="1:15" x14ac:dyDescent="0.3">
      <c r="A2098">
        <v>220903</v>
      </c>
      <c r="B2098">
        <v>116</v>
      </c>
      <c r="C2098" t="s">
        <v>568</v>
      </c>
      <c r="D2098" t="s">
        <v>2258</v>
      </c>
      <c r="E2098" t="s">
        <v>2821</v>
      </c>
      <c r="F2098" s="452">
        <v>46111</v>
      </c>
      <c r="G2098">
        <v>17006</v>
      </c>
      <c r="H2098" t="s">
        <v>4128</v>
      </c>
      <c r="I2098" t="s">
        <v>3469</v>
      </c>
      <c r="J2098">
        <v>12.57</v>
      </c>
      <c r="K2098" t="s">
        <v>3892</v>
      </c>
      <c r="L2098">
        <v>163.41</v>
      </c>
      <c r="M2098">
        <v>13</v>
      </c>
      <c r="N2098" t="s">
        <v>4240</v>
      </c>
      <c r="O2098" t="s">
        <v>463</v>
      </c>
    </row>
    <row r="2099" spans="1:15" x14ac:dyDescent="0.3">
      <c r="A2099">
        <v>220902</v>
      </c>
      <c r="B2099">
        <v>116</v>
      </c>
      <c r="C2099" t="s">
        <v>568</v>
      </c>
      <c r="D2099" t="s">
        <v>2367</v>
      </c>
      <c r="E2099" t="s">
        <v>2822</v>
      </c>
      <c r="F2099" s="452">
        <v>46105</v>
      </c>
      <c r="G2099">
        <v>19346</v>
      </c>
      <c r="H2099" t="s">
        <v>3948</v>
      </c>
      <c r="I2099" t="s">
        <v>3469</v>
      </c>
      <c r="J2099">
        <v>5.67</v>
      </c>
      <c r="K2099" t="s">
        <v>3892</v>
      </c>
      <c r="L2099">
        <v>330.56</v>
      </c>
      <c r="M2099">
        <v>58.299824000000001</v>
      </c>
      <c r="N2099" t="s">
        <v>4240</v>
      </c>
      <c r="O2099" t="s">
        <v>463</v>
      </c>
    </row>
    <row r="2100" spans="1:15" x14ac:dyDescent="0.3">
      <c r="A2100">
        <v>220902</v>
      </c>
      <c r="B2100">
        <v>116</v>
      </c>
      <c r="C2100" t="s">
        <v>568</v>
      </c>
      <c r="D2100" t="s">
        <v>2367</v>
      </c>
      <c r="E2100" t="s">
        <v>2822</v>
      </c>
      <c r="F2100" s="452">
        <v>46105</v>
      </c>
      <c r="G2100">
        <v>19428</v>
      </c>
      <c r="H2100" t="s">
        <v>4169</v>
      </c>
      <c r="I2100" t="s">
        <v>3469</v>
      </c>
      <c r="J2100">
        <v>12</v>
      </c>
      <c r="K2100" t="s">
        <v>3872</v>
      </c>
      <c r="L2100">
        <v>66</v>
      </c>
      <c r="M2100">
        <v>5.5</v>
      </c>
      <c r="N2100" t="s">
        <v>4240</v>
      </c>
      <c r="O2100" t="s">
        <v>463</v>
      </c>
    </row>
    <row r="2101" spans="1:15" x14ac:dyDescent="0.3">
      <c r="A2101">
        <v>220901</v>
      </c>
      <c r="B2101">
        <v>116</v>
      </c>
      <c r="C2101" t="s">
        <v>568</v>
      </c>
      <c r="D2101" t="s">
        <v>2823</v>
      </c>
      <c r="E2101" t="s">
        <v>2824</v>
      </c>
      <c r="F2101" s="452">
        <v>46113</v>
      </c>
      <c r="G2101">
        <v>28916</v>
      </c>
      <c r="H2101" t="s">
        <v>4337</v>
      </c>
      <c r="I2101" t="s">
        <v>4202</v>
      </c>
      <c r="J2101">
        <v>2</v>
      </c>
      <c r="K2101" t="s">
        <v>4203</v>
      </c>
      <c r="L2101">
        <v>446.58</v>
      </c>
      <c r="M2101">
        <v>223.29</v>
      </c>
      <c r="N2101" t="s">
        <v>4338</v>
      </c>
      <c r="O2101" t="s">
        <v>464</v>
      </c>
    </row>
    <row r="2102" spans="1:15" x14ac:dyDescent="0.3">
      <c r="A2102">
        <v>220901</v>
      </c>
      <c r="B2102">
        <v>116</v>
      </c>
      <c r="C2102" t="s">
        <v>568</v>
      </c>
      <c r="D2102" t="s">
        <v>2823</v>
      </c>
      <c r="E2102" t="s">
        <v>2824</v>
      </c>
      <c r="F2102" s="452">
        <v>46113</v>
      </c>
      <c r="G2102">
        <v>28917</v>
      </c>
      <c r="H2102" t="s">
        <v>4339</v>
      </c>
      <c r="I2102" t="s">
        <v>4202</v>
      </c>
      <c r="J2102">
        <v>12</v>
      </c>
      <c r="K2102" t="s">
        <v>4203</v>
      </c>
      <c r="L2102">
        <v>576.72</v>
      </c>
      <c r="M2102">
        <v>48.06</v>
      </c>
      <c r="N2102" t="s">
        <v>4338</v>
      </c>
      <c r="O2102" t="s">
        <v>464</v>
      </c>
    </row>
    <row r="2103" spans="1:15" x14ac:dyDescent="0.3">
      <c r="A2103">
        <v>220900</v>
      </c>
      <c r="B2103">
        <v>116</v>
      </c>
      <c r="C2103" t="s">
        <v>568</v>
      </c>
      <c r="D2103" t="s">
        <v>2265</v>
      </c>
      <c r="E2103" t="s">
        <v>2825</v>
      </c>
      <c r="F2103" s="452">
        <v>46105</v>
      </c>
      <c r="G2103">
        <v>17129</v>
      </c>
      <c r="H2103" t="s">
        <v>4200</v>
      </c>
      <c r="I2103" t="s">
        <v>4199</v>
      </c>
      <c r="J2103">
        <v>1</v>
      </c>
      <c r="K2103" t="s">
        <v>3888</v>
      </c>
      <c r="L2103">
        <v>26.61</v>
      </c>
      <c r="M2103">
        <v>26.61</v>
      </c>
      <c r="N2103" t="s">
        <v>2176</v>
      </c>
      <c r="O2103" t="s">
        <v>463</v>
      </c>
    </row>
    <row r="2104" spans="1:15" x14ac:dyDescent="0.3">
      <c r="A2104">
        <v>220900</v>
      </c>
      <c r="B2104">
        <v>116</v>
      </c>
      <c r="C2104" t="s">
        <v>568</v>
      </c>
      <c r="D2104" t="s">
        <v>2265</v>
      </c>
      <c r="E2104" t="s">
        <v>2825</v>
      </c>
      <c r="F2104" s="452">
        <v>46105</v>
      </c>
      <c r="G2104">
        <v>17185</v>
      </c>
      <c r="H2104" t="s">
        <v>4210</v>
      </c>
      <c r="I2104" t="s">
        <v>4199</v>
      </c>
      <c r="J2104">
        <v>1</v>
      </c>
      <c r="K2104" t="s">
        <v>3978</v>
      </c>
      <c r="L2104">
        <v>15.95</v>
      </c>
      <c r="M2104">
        <v>15.95</v>
      </c>
      <c r="N2104" t="s">
        <v>2176</v>
      </c>
      <c r="O2104" t="s">
        <v>463</v>
      </c>
    </row>
    <row r="2105" spans="1:15" x14ac:dyDescent="0.3">
      <c r="A2105">
        <v>220900</v>
      </c>
      <c r="B2105">
        <v>116</v>
      </c>
      <c r="C2105" t="s">
        <v>568</v>
      </c>
      <c r="D2105" t="s">
        <v>2265</v>
      </c>
      <c r="E2105" t="s">
        <v>2825</v>
      </c>
      <c r="F2105" s="452">
        <v>46105</v>
      </c>
      <c r="G2105">
        <v>17455</v>
      </c>
      <c r="H2105" t="s">
        <v>4231</v>
      </c>
      <c r="I2105" t="s">
        <v>4199</v>
      </c>
      <c r="J2105">
        <v>2</v>
      </c>
      <c r="K2105" t="s">
        <v>3872</v>
      </c>
      <c r="L2105">
        <v>70.540000000000006</v>
      </c>
      <c r="M2105">
        <v>35.270000000000003</v>
      </c>
      <c r="N2105" t="s">
        <v>2176</v>
      </c>
      <c r="O2105" t="s">
        <v>463</v>
      </c>
    </row>
    <row r="2106" spans="1:15" x14ac:dyDescent="0.3">
      <c r="A2106">
        <v>220900</v>
      </c>
      <c r="B2106">
        <v>116</v>
      </c>
      <c r="C2106" t="s">
        <v>568</v>
      </c>
      <c r="D2106" t="s">
        <v>2265</v>
      </c>
      <c r="E2106" t="s">
        <v>2825</v>
      </c>
      <c r="F2106" s="452">
        <v>46105</v>
      </c>
      <c r="G2106">
        <v>17190</v>
      </c>
      <c r="H2106" t="s">
        <v>4271</v>
      </c>
      <c r="I2106" t="s">
        <v>4199</v>
      </c>
      <c r="J2106">
        <v>4</v>
      </c>
      <c r="K2106" t="s">
        <v>3888</v>
      </c>
      <c r="L2106">
        <v>32.4</v>
      </c>
      <c r="M2106">
        <v>8.1</v>
      </c>
      <c r="N2106" t="s">
        <v>2176</v>
      </c>
      <c r="O2106" t="s">
        <v>463</v>
      </c>
    </row>
    <row r="2107" spans="1:15" x14ac:dyDescent="0.3">
      <c r="A2107">
        <v>220900</v>
      </c>
      <c r="B2107">
        <v>116</v>
      </c>
      <c r="C2107" t="s">
        <v>568</v>
      </c>
      <c r="D2107" t="s">
        <v>2265</v>
      </c>
      <c r="E2107" t="s">
        <v>2825</v>
      </c>
      <c r="F2107" s="452">
        <v>46105</v>
      </c>
      <c r="G2107">
        <v>17314</v>
      </c>
      <c r="H2107" t="s">
        <v>4204</v>
      </c>
      <c r="I2107" t="s">
        <v>4199</v>
      </c>
      <c r="J2107">
        <v>3</v>
      </c>
      <c r="K2107" t="s">
        <v>3978</v>
      </c>
      <c r="L2107">
        <v>17.670000000000002</v>
      </c>
      <c r="M2107">
        <v>5.89</v>
      </c>
      <c r="N2107" t="s">
        <v>2176</v>
      </c>
      <c r="O2107" t="s">
        <v>463</v>
      </c>
    </row>
    <row r="2108" spans="1:15" x14ac:dyDescent="0.3">
      <c r="A2108">
        <v>220900</v>
      </c>
      <c r="B2108">
        <v>116</v>
      </c>
      <c r="C2108" t="s">
        <v>568</v>
      </c>
      <c r="D2108" t="s">
        <v>2265</v>
      </c>
      <c r="E2108" t="s">
        <v>2825</v>
      </c>
      <c r="F2108" s="452">
        <v>46105</v>
      </c>
      <c r="G2108">
        <v>17342</v>
      </c>
      <c r="H2108" t="s">
        <v>4208</v>
      </c>
      <c r="I2108" t="s">
        <v>4199</v>
      </c>
      <c r="J2108">
        <v>1</v>
      </c>
      <c r="K2108" t="s">
        <v>3931</v>
      </c>
      <c r="L2108">
        <v>34.229999999999997</v>
      </c>
      <c r="M2108">
        <v>34.229999999999997</v>
      </c>
      <c r="N2108" t="s">
        <v>2176</v>
      </c>
      <c r="O2108" t="s">
        <v>463</v>
      </c>
    </row>
    <row r="2109" spans="1:15" x14ac:dyDescent="0.3">
      <c r="A2109">
        <v>220900</v>
      </c>
      <c r="B2109">
        <v>116</v>
      </c>
      <c r="C2109" t="s">
        <v>568</v>
      </c>
      <c r="D2109" t="s">
        <v>2265</v>
      </c>
      <c r="E2109" t="s">
        <v>2825</v>
      </c>
      <c r="F2109" s="452">
        <v>46105</v>
      </c>
      <c r="G2109">
        <v>17322</v>
      </c>
      <c r="H2109" t="s">
        <v>4316</v>
      </c>
      <c r="I2109" t="s">
        <v>4199</v>
      </c>
      <c r="J2109">
        <v>1</v>
      </c>
      <c r="K2109" t="s">
        <v>3978</v>
      </c>
      <c r="L2109">
        <v>15.05</v>
      </c>
      <c r="M2109">
        <v>15.05</v>
      </c>
      <c r="N2109" t="s">
        <v>2176</v>
      </c>
      <c r="O2109" t="s">
        <v>463</v>
      </c>
    </row>
    <row r="2110" spans="1:15" x14ac:dyDescent="0.3">
      <c r="A2110">
        <v>220900</v>
      </c>
      <c r="B2110">
        <v>116</v>
      </c>
      <c r="C2110" t="s">
        <v>568</v>
      </c>
      <c r="D2110" t="s">
        <v>2265</v>
      </c>
      <c r="E2110" t="s">
        <v>2825</v>
      </c>
      <c r="F2110" s="452">
        <v>46105</v>
      </c>
      <c r="G2110">
        <v>17266</v>
      </c>
      <c r="H2110" t="s">
        <v>4229</v>
      </c>
      <c r="I2110" t="s">
        <v>4199</v>
      </c>
      <c r="J2110">
        <v>12</v>
      </c>
      <c r="K2110" t="s">
        <v>3872</v>
      </c>
      <c r="L2110">
        <v>55.8</v>
      </c>
      <c r="M2110">
        <v>4.6500000000000004</v>
      </c>
      <c r="N2110" t="s">
        <v>2176</v>
      </c>
      <c r="O2110" t="s">
        <v>463</v>
      </c>
    </row>
    <row r="2111" spans="1:15" x14ac:dyDescent="0.3">
      <c r="A2111">
        <v>220900</v>
      </c>
      <c r="B2111">
        <v>116</v>
      </c>
      <c r="C2111" t="s">
        <v>568</v>
      </c>
      <c r="D2111" t="s">
        <v>2265</v>
      </c>
      <c r="E2111" t="s">
        <v>2825</v>
      </c>
      <c r="F2111" s="452">
        <v>46105</v>
      </c>
      <c r="G2111">
        <v>17215</v>
      </c>
      <c r="H2111" t="s">
        <v>4283</v>
      </c>
      <c r="I2111" t="s">
        <v>4199</v>
      </c>
      <c r="J2111">
        <v>5</v>
      </c>
      <c r="K2111" t="s">
        <v>3978</v>
      </c>
      <c r="L2111">
        <v>99.95</v>
      </c>
      <c r="M2111">
        <v>19.989999999999998</v>
      </c>
      <c r="N2111" t="s">
        <v>2176</v>
      </c>
      <c r="O2111" t="s">
        <v>463</v>
      </c>
    </row>
    <row r="2112" spans="1:15" x14ac:dyDescent="0.3">
      <c r="A2112">
        <v>220900</v>
      </c>
      <c r="B2112">
        <v>116</v>
      </c>
      <c r="C2112" t="s">
        <v>568</v>
      </c>
      <c r="D2112" t="s">
        <v>2265</v>
      </c>
      <c r="E2112" t="s">
        <v>2825</v>
      </c>
      <c r="F2112" s="452">
        <v>46105</v>
      </c>
      <c r="G2112">
        <v>17498</v>
      </c>
      <c r="H2112" t="s">
        <v>4243</v>
      </c>
      <c r="I2112" t="s">
        <v>4199</v>
      </c>
      <c r="J2112">
        <v>2</v>
      </c>
      <c r="K2112" t="s">
        <v>3881</v>
      </c>
      <c r="L2112">
        <v>42</v>
      </c>
      <c r="M2112">
        <v>21</v>
      </c>
      <c r="N2112" t="s">
        <v>2176</v>
      </c>
      <c r="O2112" t="s">
        <v>463</v>
      </c>
    </row>
    <row r="2113" spans="1:15" x14ac:dyDescent="0.3">
      <c r="A2113">
        <v>220900</v>
      </c>
      <c r="B2113">
        <v>116</v>
      </c>
      <c r="C2113" t="s">
        <v>568</v>
      </c>
      <c r="D2113" t="s">
        <v>2265</v>
      </c>
      <c r="E2113" t="s">
        <v>2825</v>
      </c>
      <c r="F2113" s="452">
        <v>46105</v>
      </c>
      <c r="G2113">
        <v>17230</v>
      </c>
      <c r="H2113" t="s">
        <v>4281</v>
      </c>
      <c r="I2113" t="s">
        <v>4199</v>
      </c>
      <c r="J2113">
        <v>1</v>
      </c>
      <c r="K2113" t="s">
        <v>3872</v>
      </c>
      <c r="L2113">
        <v>38.89</v>
      </c>
      <c r="M2113">
        <v>38.89</v>
      </c>
      <c r="N2113" t="s">
        <v>2176</v>
      </c>
      <c r="O2113" t="s">
        <v>463</v>
      </c>
    </row>
    <row r="2114" spans="1:15" x14ac:dyDescent="0.3">
      <c r="A2114">
        <v>220900</v>
      </c>
      <c r="B2114">
        <v>116</v>
      </c>
      <c r="C2114" t="s">
        <v>568</v>
      </c>
      <c r="D2114" t="s">
        <v>2265</v>
      </c>
      <c r="E2114" t="s">
        <v>2825</v>
      </c>
      <c r="F2114" s="452">
        <v>46105</v>
      </c>
      <c r="G2114">
        <v>17182</v>
      </c>
      <c r="H2114" t="s">
        <v>4207</v>
      </c>
      <c r="I2114" t="s">
        <v>4199</v>
      </c>
      <c r="J2114">
        <v>1</v>
      </c>
      <c r="K2114" t="s">
        <v>3978</v>
      </c>
      <c r="L2114">
        <v>38.89</v>
      </c>
      <c r="M2114">
        <v>38.89</v>
      </c>
      <c r="N2114" t="s">
        <v>2176</v>
      </c>
      <c r="O2114" t="s">
        <v>463</v>
      </c>
    </row>
    <row r="2115" spans="1:15" x14ac:dyDescent="0.3">
      <c r="A2115">
        <v>220900</v>
      </c>
      <c r="B2115">
        <v>116</v>
      </c>
      <c r="C2115" t="s">
        <v>568</v>
      </c>
      <c r="D2115" t="s">
        <v>2265</v>
      </c>
      <c r="E2115" t="s">
        <v>2825</v>
      </c>
      <c r="F2115" s="452">
        <v>46105</v>
      </c>
      <c r="G2115">
        <v>27080</v>
      </c>
      <c r="H2115" t="s">
        <v>4250</v>
      </c>
      <c r="I2115" t="s">
        <v>4199</v>
      </c>
      <c r="J2115">
        <v>2</v>
      </c>
      <c r="K2115" t="s">
        <v>3888</v>
      </c>
      <c r="L2115">
        <v>29.8</v>
      </c>
      <c r="M2115">
        <v>14.9</v>
      </c>
      <c r="N2115" t="s">
        <v>2176</v>
      </c>
      <c r="O2115" t="s">
        <v>463</v>
      </c>
    </row>
    <row r="2116" spans="1:15" x14ac:dyDescent="0.3">
      <c r="A2116">
        <v>220900</v>
      </c>
      <c r="B2116">
        <v>116</v>
      </c>
      <c r="C2116" t="s">
        <v>568</v>
      </c>
      <c r="D2116" t="s">
        <v>2265</v>
      </c>
      <c r="E2116" t="s">
        <v>2825</v>
      </c>
      <c r="F2116" s="452">
        <v>46105</v>
      </c>
      <c r="G2116">
        <v>17416</v>
      </c>
      <c r="H2116" t="s">
        <v>4205</v>
      </c>
      <c r="I2116" t="s">
        <v>4199</v>
      </c>
      <c r="J2116">
        <v>3</v>
      </c>
      <c r="K2116" t="s">
        <v>3881</v>
      </c>
      <c r="L2116">
        <v>145.74</v>
      </c>
      <c r="M2116">
        <v>48.58</v>
      </c>
      <c r="N2116" t="s">
        <v>2176</v>
      </c>
      <c r="O2116" t="s">
        <v>463</v>
      </c>
    </row>
    <row r="2117" spans="1:15" x14ac:dyDescent="0.3">
      <c r="A2117">
        <v>220900</v>
      </c>
      <c r="B2117">
        <v>116</v>
      </c>
      <c r="C2117" t="s">
        <v>568</v>
      </c>
      <c r="D2117" t="s">
        <v>2265</v>
      </c>
      <c r="E2117" t="s">
        <v>2825</v>
      </c>
      <c r="F2117" s="452">
        <v>46105</v>
      </c>
      <c r="G2117">
        <v>28777</v>
      </c>
      <c r="H2117" t="s">
        <v>4279</v>
      </c>
      <c r="I2117" t="s">
        <v>4199</v>
      </c>
      <c r="J2117">
        <v>20</v>
      </c>
      <c r="K2117" t="s">
        <v>4203</v>
      </c>
      <c r="L2117">
        <v>158</v>
      </c>
      <c r="M2117">
        <v>7.9</v>
      </c>
      <c r="N2117" t="s">
        <v>2176</v>
      </c>
      <c r="O2117" t="s">
        <v>463</v>
      </c>
    </row>
    <row r="2118" spans="1:15" x14ac:dyDescent="0.3">
      <c r="A2118">
        <v>220899</v>
      </c>
      <c r="B2118">
        <v>116</v>
      </c>
      <c r="C2118" t="s">
        <v>568</v>
      </c>
      <c r="D2118" t="s">
        <v>2385</v>
      </c>
      <c r="E2118" t="s">
        <v>2826</v>
      </c>
      <c r="F2118" s="452">
        <v>46105</v>
      </c>
      <c r="G2118">
        <v>20539</v>
      </c>
      <c r="H2118" t="s">
        <v>3908</v>
      </c>
      <c r="I2118" t="s">
        <v>3469</v>
      </c>
      <c r="J2118">
        <v>9.48</v>
      </c>
      <c r="K2118" t="s">
        <v>3892</v>
      </c>
      <c r="L2118">
        <v>616.20000000000005</v>
      </c>
      <c r="M2118">
        <v>65</v>
      </c>
      <c r="N2118" t="s">
        <v>4240</v>
      </c>
      <c r="O2118" t="s">
        <v>463</v>
      </c>
    </row>
    <row r="2119" spans="1:15" x14ac:dyDescent="0.3">
      <c r="A2119">
        <v>220898</v>
      </c>
      <c r="B2119">
        <v>116</v>
      </c>
      <c r="C2119" t="s">
        <v>568</v>
      </c>
      <c r="D2119" t="s">
        <v>2323</v>
      </c>
      <c r="E2119" t="s">
        <v>2827</v>
      </c>
      <c r="F2119" s="452">
        <v>46105</v>
      </c>
      <c r="G2119">
        <v>18818</v>
      </c>
      <c r="H2119" t="s">
        <v>3916</v>
      </c>
      <c r="I2119" t="s">
        <v>3469</v>
      </c>
      <c r="J2119">
        <v>10.3</v>
      </c>
      <c r="K2119" t="s">
        <v>3892</v>
      </c>
      <c r="L2119">
        <v>283.25</v>
      </c>
      <c r="M2119">
        <v>27.5</v>
      </c>
      <c r="N2119" t="s">
        <v>4240</v>
      </c>
      <c r="O2119" t="s">
        <v>463</v>
      </c>
    </row>
    <row r="2120" spans="1:15" x14ac:dyDescent="0.3">
      <c r="A2120">
        <v>220897</v>
      </c>
      <c r="B2120">
        <v>116</v>
      </c>
      <c r="C2120" t="s">
        <v>568</v>
      </c>
      <c r="D2120" t="s">
        <v>2318</v>
      </c>
      <c r="E2120" t="s">
        <v>2828</v>
      </c>
      <c r="F2120" s="452">
        <v>46104</v>
      </c>
      <c r="G2120">
        <v>24256</v>
      </c>
      <c r="H2120" t="s">
        <v>4340</v>
      </c>
      <c r="I2120" t="s">
        <v>3469</v>
      </c>
      <c r="J2120">
        <v>10</v>
      </c>
      <c r="K2120" t="s">
        <v>3892</v>
      </c>
      <c r="L2120">
        <v>380</v>
      </c>
      <c r="M2120">
        <v>38</v>
      </c>
      <c r="N2120" t="s">
        <v>4240</v>
      </c>
      <c r="O2120" t="s">
        <v>463</v>
      </c>
    </row>
    <row r="2121" spans="1:15" x14ac:dyDescent="0.3">
      <c r="A2121">
        <v>220896</v>
      </c>
      <c r="B2121">
        <v>116</v>
      </c>
      <c r="C2121" t="s">
        <v>568</v>
      </c>
      <c r="D2121" t="s">
        <v>2361</v>
      </c>
      <c r="E2121" t="s">
        <v>2829</v>
      </c>
      <c r="F2121" s="452">
        <v>46105</v>
      </c>
      <c r="G2121">
        <v>26627</v>
      </c>
      <c r="H2121" t="s">
        <v>4237</v>
      </c>
      <c r="I2121" t="s">
        <v>3469</v>
      </c>
      <c r="J2121">
        <v>20</v>
      </c>
      <c r="K2121" t="s">
        <v>3892</v>
      </c>
      <c r="L2121">
        <v>158</v>
      </c>
      <c r="M2121">
        <v>7.9</v>
      </c>
      <c r="N2121" t="s">
        <v>4240</v>
      </c>
      <c r="O2121" t="s">
        <v>463</v>
      </c>
    </row>
    <row r="2122" spans="1:15" x14ac:dyDescent="0.3">
      <c r="A2122">
        <v>220895</v>
      </c>
      <c r="B2122">
        <v>116</v>
      </c>
      <c r="C2122" t="s">
        <v>568</v>
      </c>
      <c r="D2122" t="s">
        <v>2260</v>
      </c>
      <c r="E2122" t="s">
        <v>2830</v>
      </c>
      <c r="F2122" s="452">
        <v>46105</v>
      </c>
      <c r="G2122">
        <v>18685</v>
      </c>
      <c r="H2122" t="s">
        <v>3945</v>
      </c>
      <c r="I2122" t="s">
        <v>3469</v>
      </c>
      <c r="J2122">
        <v>6.6</v>
      </c>
      <c r="K2122" t="s">
        <v>4197</v>
      </c>
      <c r="L2122">
        <v>257.39999999999998</v>
      </c>
      <c r="M2122">
        <v>39</v>
      </c>
      <c r="N2122" t="s">
        <v>4240</v>
      </c>
      <c r="O2122" t="s">
        <v>463</v>
      </c>
    </row>
    <row r="2123" spans="1:15" x14ac:dyDescent="0.3">
      <c r="A2123">
        <v>220895</v>
      </c>
      <c r="B2123">
        <v>116</v>
      </c>
      <c r="C2123" t="s">
        <v>568</v>
      </c>
      <c r="D2123" t="s">
        <v>2260</v>
      </c>
      <c r="E2123" t="s">
        <v>2830</v>
      </c>
      <c r="F2123" s="452">
        <v>46105</v>
      </c>
      <c r="G2123">
        <v>18684</v>
      </c>
      <c r="H2123" t="s">
        <v>3925</v>
      </c>
      <c r="I2123" t="s">
        <v>3469</v>
      </c>
      <c r="J2123">
        <v>12.6</v>
      </c>
      <c r="K2123" t="s">
        <v>3892</v>
      </c>
      <c r="L2123">
        <v>453.6</v>
      </c>
      <c r="M2123">
        <v>36</v>
      </c>
      <c r="N2123" t="s">
        <v>4240</v>
      </c>
      <c r="O2123" t="s">
        <v>463</v>
      </c>
    </row>
    <row r="2124" spans="1:15" x14ac:dyDescent="0.3">
      <c r="A2124">
        <v>220895</v>
      </c>
      <c r="B2124">
        <v>116</v>
      </c>
      <c r="C2124" t="s">
        <v>568</v>
      </c>
      <c r="D2124" t="s">
        <v>2260</v>
      </c>
      <c r="E2124" t="s">
        <v>2830</v>
      </c>
      <c r="F2124" s="452">
        <v>46105</v>
      </c>
      <c r="G2124">
        <v>20466</v>
      </c>
      <c r="H2124" t="s">
        <v>4098</v>
      </c>
      <c r="I2124" t="s">
        <v>3469</v>
      </c>
      <c r="J2124">
        <v>1.5</v>
      </c>
      <c r="K2124" t="s">
        <v>3892</v>
      </c>
      <c r="L2124">
        <v>102</v>
      </c>
      <c r="M2124">
        <v>68</v>
      </c>
      <c r="N2124" t="s">
        <v>4240</v>
      </c>
      <c r="O2124" t="s">
        <v>463</v>
      </c>
    </row>
    <row r="2125" spans="1:15" x14ac:dyDescent="0.3">
      <c r="A2125">
        <v>220895</v>
      </c>
      <c r="B2125">
        <v>116</v>
      </c>
      <c r="C2125" t="s">
        <v>568</v>
      </c>
      <c r="D2125" t="s">
        <v>2260</v>
      </c>
      <c r="E2125" t="s">
        <v>2830</v>
      </c>
      <c r="F2125" s="452">
        <v>46105</v>
      </c>
      <c r="G2125">
        <v>20555</v>
      </c>
      <c r="H2125" t="s">
        <v>3959</v>
      </c>
      <c r="I2125" t="s">
        <v>3469</v>
      </c>
      <c r="J2125">
        <v>3.3</v>
      </c>
      <c r="K2125" t="s">
        <v>3892</v>
      </c>
      <c r="L2125">
        <v>260.7</v>
      </c>
      <c r="M2125">
        <v>79</v>
      </c>
      <c r="N2125" t="s">
        <v>4240</v>
      </c>
      <c r="O2125" t="s">
        <v>463</v>
      </c>
    </row>
    <row r="2126" spans="1:15" x14ac:dyDescent="0.3">
      <c r="A2126">
        <v>220895</v>
      </c>
      <c r="B2126">
        <v>116</v>
      </c>
      <c r="C2126" t="s">
        <v>568</v>
      </c>
      <c r="D2126" t="s">
        <v>2260</v>
      </c>
      <c r="E2126" t="s">
        <v>2830</v>
      </c>
      <c r="F2126" s="452">
        <v>46105</v>
      </c>
      <c r="G2126">
        <v>24200</v>
      </c>
      <c r="H2126" t="s">
        <v>3975</v>
      </c>
      <c r="I2126" t="s">
        <v>3469</v>
      </c>
      <c r="J2126">
        <v>5.8</v>
      </c>
      <c r="K2126" t="s">
        <v>3892</v>
      </c>
      <c r="L2126">
        <v>190.82</v>
      </c>
      <c r="M2126">
        <v>32.9</v>
      </c>
      <c r="N2126" t="s">
        <v>4240</v>
      </c>
      <c r="O2126" t="s">
        <v>463</v>
      </c>
    </row>
    <row r="2127" spans="1:15" x14ac:dyDescent="0.3">
      <c r="A2127">
        <v>220895</v>
      </c>
      <c r="B2127">
        <v>116</v>
      </c>
      <c r="C2127" t="s">
        <v>568</v>
      </c>
      <c r="D2127" t="s">
        <v>2260</v>
      </c>
      <c r="E2127" t="s">
        <v>2830</v>
      </c>
      <c r="F2127" s="452">
        <v>46105</v>
      </c>
      <c r="G2127">
        <v>24072</v>
      </c>
      <c r="H2127" t="s">
        <v>4002</v>
      </c>
      <c r="I2127" t="s">
        <v>3469</v>
      </c>
      <c r="J2127">
        <v>3.1</v>
      </c>
      <c r="K2127" t="s">
        <v>3892</v>
      </c>
      <c r="L2127">
        <v>682</v>
      </c>
      <c r="M2127">
        <v>220</v>
      </c>
      <c r="N2127" t="s">
        <v>4240</v>
      </c>
      <c r="O2127" t="s">
        <v>463</v>
      </c>
    </row>
    <row r="2128" spans="1:15" x14ac:dyDescent="0.3">
      <c r="A2128">
        <v>220895</v>
      </c>
      <c r="B2128">
        <v>116</v>
      </c>
      <c r="C2128" t="s">
        <v>568</v>
      </c>
      <c r="D2128" t="s">
        <v>2260</v>
      </c>
      <c r="E2128" t="s">
        <v>2830</v>
      </c>
      <c r="F2128" s="452">
        <v>46105</v>
      </c>
      <c r="G2128">
        <v>22734</v>
      </c>
      <c r="H2128" t="s">
        <v>3955</v>
      </c>
      <c r="I2128" t="s">
        <v>3469</v>
      </c>
      <c r="J2128">
        <v>10.4</v>
      </c>
      <c r="K2128" t="s">
        <v>3892</v>
      </c>
      <c r="L2128">
        <v>1029.5999999999999</v>
      </c>
      <c r="M2128">
        <v>99</v>
      </c>
      <c r="N2128" t="s">
        <v>4240</v>
      </c>
      <c r="O2128" t="s">
        <v>463</v>
      </c>
    </row>
    <row r="2129" spans="1:15" x14ac:dyDescent="0.3">
      <c r="A2129">
        <v>220813</v>
      </c>
      <c r="B2129">
        <v>116</v>
      </c>
      <c r="C2129" t="s">
        <v>568</v>
      </c>
      <c r="D2129" t="s">
        <v>2332</v>
      </c>
      <c r="E2129" t="s">
        <v>2831</v>
      </c>
      <c r="F2129" s="452">
        <v>46098</v>
      </c>
      <c r="G2129">
        <v>18467</v>
      </c>
      <c r="H2129" t="s">
        <v>4028</v>
      </c>
      <c r="I2129" t="s">
        <v>3497</v>
      </c>
      <c r="J2129">
        <v>2</v>
      </c>
      <c r="K2129" t="s">
        <v>3878</v>
      </c>
      <c r="L2129">
        <v>155.58000000000001</v>
      </c>
      <c r="M2129">
        <v>77.790000000000006</v>
      </c>
      <c r="N2129" t="s">
        <v>3497</v>
      </c>
      <c r="O2129" t="s">
        <v>463</v>
      </c>
    </row>
    <row r="2130" spans="1:15" x14ac:dyDescent="0.3">
      <c r="A2130">
        <v>220812</v>
      </c>
      <c r="B2130">
        <v>116</v>
      </c>
      <c r="C2130" t="s">
        <v>568</v>
      </c>
      <c r="D2130" t="s">
        <v>2286</v>
      </c>
      <c r="E2130" t="s">
        <v>2832</v>
      </c>
      <c r="F2130" s="452">
        <v>46104</v>
      </c>
      <c r="G2130">
        <v>19787</v>
      </c>
      <c r="H2130" t="s">
        <v>3940</v>
      </c>
      <c r="I2130" t="s">
        <v>3469</v>
      </c>
      <c r="J2130">
        <v>3</v>
      </c>
      <c r="K2130" t="s">
        <v>3892</v>
      </c>
      <c r="L2130">
        <v>16.5</v>
      </c>
      <c r="M2130">
        <v>5.5</v>
      </c>
      <c r="N2130" t="s">
        <v>4240</v>
      </c>
      <c r="O2130" t="s">
        <v>463</v>
      </c>
    </row>
    <row r="2131" spans="1:15" x14ac:dyDescent="0.3">
      <c r="A2131">
        <v>220812</v>
      </c>
      <c r="B2131">
        <v>116</v>
      </c>
      <c r="C2131" t="s">
        <v>568</v>
      </c>
      <c r="D2131" t="s">
        <v>2286</v>
      </c>
      <c r="E2131" t="s">
        <v>2832</v>
      </c>
      <c r="F2131" s="452">
        <v>46104</v>
      </c>
      <c r="G2131">
        <v>19506</v>
      </c>
      <c r="H2131" t="s">
        <v>4112</v>
      </c>
      <c r="I2131" t="s">
        <v>3469</v>
      </c>
      <c r="J2131">
        <v>0.2</v>
      </c>
      <c r="K2131" t="s">
        <v>3892</v>
      </c>
      <c r="L2131">
        <v>11</v>
      </c>
      <c r="M2131">
        <v>55</v>
      </c>
      <c r="N2131" t="s">
        <v>4240</v>
      </c>
      <c r="O2131" t="s">
        <v>463</v>
      </c>
    </row>
    <row r="2132" spans="1:15" x14ac:dyDescent="0.3">
      <c r="A2132">
        <v>220812</v>
      </c>
      <c r="B2132">
        <v>116</v>
      </c>
      <c r="C2132" t="s">
        <v>568</v>
      </c>
      <c r="D2132" t="s">
        <v>2286</v>
      </c>
      <c r="E2132" t="s">
        <v>2832</v>
      </c>
      <c r="F2132" s="452">
        <v>46104</v>
      </c>
      <c r="G2132">
        <v>19505</v>
      </c>
      <c r="H2132" t="s">
        <v>4101</v>
      </c>
      <c r="I2132" t="s">
        <v>3469</v>
      </c>
      <c r="J2132">
        <v>1</v>
      </c>
      <c r="K2132" t="s">
        <v>3892</v>
      </c>
      <c r="L2132">
        <v>14.5</v>
      </c>
      <c r="M2132">
        <v>14.5</v>
      </c>
      <c r="N2132" t="s">
        <v>4240</v>
      </c>
      <c r="O2132" t="s">
        <v>463</v>
      </c>
    </row>
    <row r="2133" spans="1:15" x14ac:dyDescent="0.3">
      <c r="A2133">
        <v>220812</v>
      </c>
      <c r="B2133">
        <v>116</v>
      </c>
      <c r="C2133" t="s">
        <v>568</v>
      </c>
      <c r="D2133" t="s">
        <v>2286</v>
      </c>
      <c r="E2133" t="s">
        <v>2832</v>
      </c>
      <c r="F2133" s="452">
        <v>46104</v>
      </c>
      <c r="G2133">
        <v>19498</v>
      </c>
      <c r="H2133" t="s">
        <v>4065</v>
      </c>
      <c r="I2133" t="s">
        <v>3469</v>
      </c>
      <c r="J2133">
        <v>1</v>
      </c>
      <c r="K2133" t="s">
        <v>3892</v>
      </c>
      <c r="L2133">
        <v>18</v>
      </c>
      <c r="M2133">
        <v>18</v>
      </c>
      <c r="N2133" t="s">
        <v>4240</v>
      </c>
      <c r="O2133" t="s">
        <v>463</v>
      </c>
    </row>
    <row r="2134" spans="1:15" x14ac:dyDescent="0.3">
      <c r="A2134">
        <v>220812</v>
      </c>
      <c r="B2134">
        <v>116</v>
      </c>
      <c r="C2134" t="s">
        <v>568</v>
      </c>
      <c r="D2134" t="s">
        <v>2286</v>
      </c>
      <c r="E2134" t="s">
        <v>2832</v>
      </c>
      <c r="F2134" s="452">
        <v>46104</v>
      </c>
      <c r="G2134">
        <v>19480</v>
      </c>
      <c r="H2134" t="s">
        <v>4113</v>
      </c>
      <c r="I2134" t="s">
        <v>3469</v>
      </c>
      <c r="J2134">
        <v>0.2</v>
      </c>
      <c r="K2134" t="s">
        <v>3892</v>
      </c>
      <c r="L2134">
        <v>3.8</v>
      </c>
      <c r="M2134">
        <v>19</v>
      </c>
      <c r="N2134" t="s">
        <v>4240</v>
      </c>
      <c r="O2134" t="s">
        <v>463</v>
      </c>
    </row>
    <row r="2135" spans="1:15" x14ac:dyDescent="0.3">
      <c r="A2135">
        <v>220812</v>
      </c>
      <c r="B2135">
        <v>116</v>
      </c>
      <c r="C2135" t="s">
        <v>568</v>
      </c>
      <c r="D2135" t="s">
        <v>2286</v>
      </c>
      <c r="E2135" t="s">
        <v>2832</v>
      </c>
      <c r="F2135" s="452">
        <v>46104</v>
      </c>
      <c r="G2135">
        <v>19558</v>
      </c>
      <c r="H2135" t="s">
        <v>4183</v>
      </c>
      <c r="I2135" t="s">
        <v>3469</v>
      </c>
      <c r="J2135">
        <v>1</v>
      </c>
      <c r="K2135" t="s">
        <v>3892</v>
      </c>
      <c r="L2135">
        <v>17</v>
      </c>
      <c r="M2135">
        <v>17</v>
      </c>
      <c r="N2135" t="s">
        <v>4240</v>
      </c>
      <c r="O2135" t="s">
        <v>463</v>
      </c>
    </row>
    <row r="2136" spans="1:15" x14ac:dyDescent="0.3">
      <c r="A2136">
        <v>220812</v>
      </c>
      <c r="B2136">
        <v>116</v>
      </c>
      <c r="C2136" t="s">
        <v>568</v>
      </c>
      <c r="D2136" t="s">
        <v>2286</v>
      </c>
      <c r="E2136" t="s">
        <v>2832</v>
      </c>
      <c r="F2136" s="452">
        <v>46104</v>
      </c>
      <c r="G2136">
        <v>19740</v>
      </c>
      <c r="H2136" t="s">
        <v>3933</v>
      </c>
      <c r="I2136" t="s">
        <v>3469</v>
      </c>
      <c r="J2136">
        <v>5</v>
      </c>
      <c r="K2136" t="s">
        <v>3892</v>
      </c>
      <c r="L2136">
        <v>37.5</v>
      </c>
      <c r="M2136">
        <v>7.5</v>
      </c>
      <c r="N2136" t="s">
        <v>4240</v>
      </c>
      <c r="O2136" t="s">
        <v>463</v>
      </c>
    </row>
    <row r="2137" spans="1:15" x14ac:dyDescent="0.3">
      <c r="A2137">
        <v>220812</v>
      </c>
      <c r="B2137">
        <v>116</v>
      </c>
      <c r="C2137" t="s">
        <v>568</v>
      </c>
      <c r="D2137" t="s">
        <v>2286</v>
      </c>
      <c r="E2137" t="s">
        <v>2832</v>
      </c>
      <c r="F2137" s="452">
        <v>46104</v>
      </c>
      <c r="G2137">
        <v>19617</v>
      </c>
      <c r="H2137" t="s">
        <v>4110</v>
      </c>
      <c r="I2137" t="s">
        <v>3469</v>
      </c>
      <c r="J2137">
        <v>0.3</v>
      </c>
      <c r="K2137" t="s">
        <v>3892</v>
      </c>
      <c r="L2137">
        <v>6</v>
      </c>
      <c r="M2137">
        <v>20</v>
      </c>
      <c r="N2137" t="s">
        <v>4240</v>
      </c>
      <c r="O2137" t="s">
        <v>463</v>
      </c>
    </row>
    <row r="2138" spans="1:15" x14ac:dyDescent="0.3">
      <c r="A2138">
        <v>220812</v>
      </c>
      <c r="B2138">
        <v>116</v>
      </c>
      <c r="C2138" t="s">
        <v>568</v>
      </c>
      <c r="D2138" t="s">
        <v>2286</v>
      </c>
      <c r="E2138" t="s">
        <v>2832</v>
      </c>
      <c r="F2138" s="452">
        <v>46104</v>
      </c>
      <c r="G2138">
        <v>23113</v>
      </c>
      <c r="H2138" t="s">
        <v>4079</v>
      </c>
      <c r="I2138" t="s">
        <v>3469</v>
      </c>
      <c r="J2138">
        <v>1</v>
      </c>
      <c r="K2138" t="s">
        <v>3892</v>
      </c>
      <c r="L2138">
        <v>12.5</v>
      </c>
      <c r="M2138">
        <v>12.5</v>
      </c>
      <c r="N2138" t="s">
        <v>4240</v>
      </c>
      <c r="O2138" t="s">
        <v>463</v>
      </c>
    </row>
    <row r="2139" spans="1:15" x14ac:dyDescent="0.3">
      <c r="A2139">
        <v>220812</v>
      </c>
      <c r="B2139">
        <v>116</v>
      </c>
      <c r="C2139" t="s">
        <v>568</v>
      </c>
      <c r="D2139" t="s">
        <v>2286</v>
      </c>
      <c r="E2139" t="s">
        <v>2832</v>
      </c>
      <c r="F2139" s="452">
        <v>46104</v>
      </c>
      <c r="G2139">
        <v>23120</v>
      </c>
      <c r="H2139" t="s">
        <v>4111</v>
      </c>
      <c r="I2139" t="s">
        <v>3469</v>
      </c>
      <c r="J2139">
        <v>0.2</v>
      </c>
      <c r="K2139" t="s">
        <v>3892</v>
      </c>
      <c r="L2139">
        <v>13</v>
      </c>
      <c r="M2139">
        <v>65</v>
      </c>
      <c r="N2139" t="s">
        <v>4240</v>
      </c>
      <c r="O2139" t="s">
        <v>463</v>
      </c>
    </row>
    <row r="2140" spans="1:15" x14ac:dyDescent="0.3">
      <c r="A2140">
        <v>220812</v>
      </c>
      <c r="B2140">
        <v>116</v>
      </c>
      <c r="C2140" t="s">
        <v>568</v>
      </c>
      <c r="D2140" t="s">
        <v>2286</v>
      </c>
      <c r="E2140" t="s">
        <v>2832</v>
      </c>
      <c r="F2140" s="452">
        <v>46104</v>
      </c>
      <c r="G2140">
        <v>23361</v>
      </c>
      <c r="H2140" t="s">
        <v>4220</v>
      </c>
      <c r="I2140" t="s">
        <v>3469</v>
      </c>
      <c r="J2140">
        <v>18</v>
      </c>
      <c r="K2140" t="s">
        <v>3892</v>
      </c>
      <c r="L2140">
        <v>62.1</v>
      </c>
      <c r="M2140">
        <v>3.45</v>
      </c>
      <c r="N2140" t="s">
        <v>4240</v>
      </c>
      <c r="O2140" t="s">
        <v>463</v>
      </c>
    </row>
    <row r="2141" spans="1:15" x14ac:dyDescent="0.3">
      <c r="A2141">
        <v>220812</v>
      </c>
      <c r="B2141">
        <v>116</v>
      </c>
      <c r="C2141" t="s">
        <v>568</v>
      </c>
      <c r="D2141" t="s">
        <v>2286</v>
      </c>
      <c r="E2141" t="s">
        <v>2832</v>
      </c>
      <c r="F2141" s="452">
        <v>46104</v>
      </c>
      <c r="G2141">
        <v>23095</v>
      </c>
      <c r="H2141" t="s">
        <v>3882</v>
      </c>
      <c r="I2141" t="s">
        <v>3469</v>
      </c>
      <c r="J2141">
        <v>60</v>
      </c>
      <c r="K2141" t="s">
        <v>3872</v>
      </c>
      <c r="L2141">
        <v>81</v>
      </c>
      <c r="M2141">
        <v>1.35</v>
      </c>
      <c r="N2141" t="s">
        <v>4240</v>
      </c>
      <c r="O2141" t="s">
        <v>463</v>
      </c>
    </row>
    <row r="2142" spans="1:15" x14ac:dyDescent="0.3">
      <c r="A2142">
        <v>220812</v>
      </c>
      <c r="B2142">
        <v>116</v>
      </c>
      <c r="C2142" t="s">
        <v>568</v>
      </c>
      <c r="D2142" t="s">
        <v>2286</v>
      </c>
      <c r="E2142" t="s">
        <v>2832</v>
      </c>
      <c r="F2142" s="452">
        <v>46104</v>
      </c>
      <c r="G2142">
        <v>24037</v>
      </c>
      <c r="H2142" t="s">
        <v>4104</v>
      </c>
      <c r="I2142" t="s">
        <v>3469</v>
      </c>
      <c r="J2142">
        <v>2</v>
      </c>
      <c r="K2142" t="s">
        <v>3892</v>
      </c>
      <c r="L2142">
        <v>37</v>
      </c>
      <c r="M2142">
        <v>18.5</v>
      </c>
      <c r="N2142" t="s">
        <v>4240</v>
      </c>
      <c r="O2142" t="s">
        <v>463</v>
      </c>
    </row>
    <row r="2143" spans="1:15" x14ac:dyDescent="0.3">
      <c r="A2143">
        <v>220811</v>
      </c>
      <c r="B2143">
        <v>116</v>
      </c>
      <c r="C2143" t="s">
        <v>568</v>
      </c>
      <c r="D2143" t="s">
        <v>2273</v>
      </c>
      <c r="E2143" t="s">
        <v>2833</v>
      </c>
      <c r="F2143" s="452">
        <v>46094</v>
      </c>
      <c r="G2143">
        <v>19672</v>
      </c>
      <c r="H2143" t="s">
        <v>4024</v>
      </c>
      <c r="I2143" t="s">
        <v>3469</v>
      </c>
      <c r="J2143">
        <v>2</v>
      </c>
      <c r="K2143" t="s">
        <v>3892</v>
      </c>
      <c r="L2143">
        <v>26.1</v>
      </c>
      <c r="M2143">
        <v>13.05</v>
      </c>
      <c r="N2143" t="s">
        <v>4240</v>
      </c>
      <c r="O2143" t="s">
        <v>463</v>
      </c>
    </row>
    <row r="2144" spans="1:15" x14ac:dyDescent="0.3">
      <c r="A2144">
        <v>220809</v>
      </c>
      <c r="B2144">
        <v>116</v>
      </c>
      <c r="C2144" t="s">
        <v>568</v>
      </c>
      <c r="D2144" t="s">
        <v>2277</v>
      </c>
      <c r="E2144" t="s">
        <v>2834</v>
      </c>
      <c r="F2144" s="452">
        <v>46100</v>
      </c>
      <c r="G2144">
        <v>21093</v>
      </c>
      <c r="H2144" t="s">
        <v>3903</v>
      </c>
      <c r="I2144" t="s">
        <v>3469</v>
      </c>
      <c r="J2144">
        <v>10</v>
      </c>
      <c r="K2144" t="s">
        <v>3872</v>
      </c>
      <c r="L2144">
        <v>43.9</v>
      </c>
      <c r="M2144">
        <v>4.3899999999999997</v>
      </c>
      <c r="N2144" t="s">
        <v>4240</v>
      </c>
      <c r="O2144" t="s">
        <v>463</v>
      </c>
    </row>
    <row r="2145" spans="1:15" x14ac:dyDescent="0.3">
      <c r="A2145">
        <v>220809</v>
      </c>
      <c r="B2145">
        <v>116</v>
      </c>
      <c r="C2145" t="s">
        <v>568</v>
      </c>
      <c r="D2145" t="s">
        <v>2277</v>
      </c>
      <c r="E2145" t="s">
        <v>2834</v>
      </c>
      <c r="F2145" s="452">
        <v>46100</v>
      </c>
      <c r="G2145">
        <v>20752</v>
      </c>
      <c r="H2145" t="s">
        <v>3964</v>
      </c>
      <c r="I2145" t="s">
        <v>3469</v>
      </c>
      <c r="J2145">
        <v>1</v>
      </c>
      <c r="K2145" t="s">
        <v>3872</v>
      </c>
      <c r="L2145">
        <v>102.8</v>
      </c>
      <c r="M2145">
        <v>102.8</v>
      </c>
      <c r="N2145" t="s">
        <v>4240</v>
      </c>
      <c r="O2145" t="s">
        <v>463</v>
      </c>
    </row>
    <row r="2146" spans="1:15" x14ac:dyDescent="0.3">
      <c r="A2146">
        <v>220809</v>
      </c>
      <c r="B2146">
        <v>116</v>
      </c>
      <c r="C2146" t="s">
        <v>568</v>
      </c>
      <c r="D2146" t="s">
        <v>2277</v>
      </c>
      <c r="E2146" t="s">
        <v>2834</v>
      </c>
      <c r="F2146" s="452">
        <v>46100</v>
      </c>
      <c r="G2146">
        <v>23982</v>
      </c>
      <c r="H2146" t="s">
        <v>3977</v>
      </c>
      <c r="I2146" t="s">
        <v>3469</v>
      </c>
      <c r="J2146">
        <v>1</v>
      </c>
      <c r="K2146" t="s">
        <v>3872</v>
      </c>
      <c r="L2146">
        <v>240.56</v>
      </c>
      <c r="M2146">
        <v>240.56</v>
      </c>
      <c r="N2146" t="s">
        <v>4240</v>
      </c>
      <c r="O2146" t="s">
        <v>463</v>
      </c>
    </row>
    <row r="2147" spans="1:15" x14ac:dyDescent="0.3">
      <c r="A2147">
        <v>220809</v>
      </c>
      <c r="B2147">
        <v>116</v>
      </c>
      <c r="C2147" t="s">
        <v>568</v>
      </c>
      <c r="D2147" t="s">
        <v>2277</v>
      </c>
      <c r="E2147" t="s">
        <v>2834</v>
      </c>
      <c r="F2147" s="452">
        <v>46100</v>
      </c>
      <c r="G2147">
        <v>20809</v>
      </c>
      <c r="H2147" t="s">
        <v>4005</v>
      </c>
      <c r="I2147" t="s">
        <v>3469</v>
      </c>
      <c r="J2147">
        <v>2</v>
      </c>
      <c r="K2147" t="s">
        <v>3872</v>
      </c>
      <c r="L2147">
        <v>59.8</v>
      </c>
      <c r="M2147">
        <v>29.9</v>
      </c>
      <c r="N2147" t="s">
        <v>4240</v>
      </c>
      <c r="O2147" t="s">
        <v>463</v>
      </c>
    </row>
    <row r="2148" spans="1:15" x14ac:dyDescent="0.3">
      <c r="A2148">
        <v>220809</v>
      </c>
      <c r="B2148">
        <v>116</v>
      </c>
      <c r="C2148" t="s">
        <v>568</v>
      </c>
      <c r="D2148" t="s">
        <v>2277</v>
      </c>
      <c r="E2148" t="s">
        <v>2834</v>
      </c>
      <c r="F2148" s="452">
        <v>46100</v>
      </c>
      <c r="G2148">
        <v>21024</v>
      </c>
      <c r="H2148" t="s">
        <v>4180</v>
      </c>
      <c r="I2148" t="s">
        <v>3469</v>
      </c>
      <c r="J2148">
        <v>2</v>
      </c>
      <c r="K2148" t="s">
        <v>3872</v>
      </c>
      <c r="L2148">
        <v>353.74</v>
      </c>
      <c r="M2148">
        <v>176.87</v>
      </c>
      <c r="N2148" t="s">
        <v>4240</v>
      </c>
      <c r="O2148" t="s">
        <v>463</v>
      </c>
    </row>
    <row r="2149" spans="1:15" x14ac:dyDescent="0.3">
      <c r="A2149">
        <v>220807</v>
      </c>
      <c r="B2149">
        <v>116</v>
      </c>
      <c r="C2149" t="s">
        <v>568</v>
      </c>
      <c r="D2149" t="s">
        <v>2282</v>
      </c>
      <c r="E2149" t="s">
        <v>2835</v>
      </c>
      <c r="F2149" s="452">
        <v>46104</v>
      </c>
      <c r="G2149">
        <v>24497</v>
      </c>
      <c r="H2149" t="s">
        <v>4214</v>
      </c>
      <c r="I2149" t="s">
        <v>4215</v>
      </c>
      <c r="J2149">
        <v>2</v>
      </c>
      <c r="K2149" t="s">
        <v>3872</v>
      </c>
      <c r="L2149">
        <v>269.10000000000002</v>
      </c>
      <c r="M2149">
        <v>134.55000000000001</v>
      </c>
      <c r="N2149" t="s">
        <v>4239</v>
      </c>
      <c r="O2149" t="s">
        <v>463</v>
      </c>
    </row>
    <row r="2150" spans="1:15" x14ac:dyDescent="0.3">
      <c r="A2150">
        <v>219774</v>
      </c>
      <c r="B2150">
        <v>116</v>
      </c>
      <c r="C2150" t="s">
        <v>568</v>
      </c>
      <c r="D2150" t="s">
        <v>2260</v>
      </c>
      <c r="E2150" t="s">
        <v>2836</v>
      </c>
      <c r="F2150" s="452">
        <v>46098</v>
      </c>
      <c r="G2150">
        <v>18685</v>
      </c>
      <c r="H2150" t="s">
        <v>3945</v>
      </c>
      <c r="I2150" t="s">
        <v>3469</v>
      </c>
      <c r="J2150">
        <v>6.2</v>
      </c>
      <c r="K2150" t="s">
        <v>4197</v>
      </c>
      <c r="L2150">
        <v>241.8</v>
      </c>
      <c r="M2150">
        <v>39</v>
      </c>
      <c r="N2150" t="s">
        <v>4240</v>
      </c>
      <c r="O2150" t="s">
        <v>463</v>
      </c>
    </row>
    <row r="2151" spans="1:15" x14ac:dyDescent="0.3">
      <c r="A2151">
        <v>219774</v>
      </c>
      <c r="B2151">
        <v>116</v>
      </c>
      <c r="C2151" t="s">
        <v>568</v>
      </c>
      <c r="D2151" t="s">
        <v>2260</v>
      </c>
      <c r="E2151" t="s">
        <v>2836</v>
      </c>
      <c r="F2151" s="452">
        <v>46098</v>
      </c>
      <c r="G2151">
        <v>20555</v>
      </c>
      <c r="H2151" t="s">
        <v>3959</v>
      </c>
      <c r="I2151" t="s">
        <v>3469</v>
      </c>
      <c r="J2151">
        <v>3.3</v>
      </c>
      <c r="K2151" t="s">
        <v>3892</v>
      </c>
      <c r="L2151">
        <v>260.7</v>
      </c>
      <c r="M2151">
        <v>79</v>
      </c>
      <c r="N2151" t="s">
        <v>4240</v>
      </c>
      <c r="O2151" t="s">
        <v>463</v>
      </c>
    </row>
    <row r="2152" spans="1:15" x14ac:dyDescent="0.3">
      <c r="A2152">
        <v>219774</v>
      </c>
      <c r="B2152">
        <v>116</v>
      </c>
      <c r="C2152" t="s">
        <v>568</v>
      </c>
      <c r="D2152" t="s">
        <v>2260</v>
      </c>
      <c r="E2152" t="s">
        <v>2836</v>
      </c>
      <c r="F2152" s="452">
        <v>46098</v>
      </c>
      <c r="G2152">
        <v>24200</v>
      </c>
      <c r="H2152" t="s">
        <v>3975</v>
      </c>
      <c r="I2152" t="s">
        <v>3469</v>
      </c>
      <c r="J2152">
        <v>5.8</v>
      </c>
      <c r="K2152" t="s">
        <v>3892</v>
      </c>
      <c r="L2152">
        <v>190.82</v>
      </c>
      <c r="M2152">
        <v>32.9</v>
      </c>
      <c r="N2152" t="s">
        <v>4240</v>
      </c>
      <c r="O2152" t="s">
        <v>463</v>
      </c>
    </row>
    <row r="2153" spans="1:15" x14ac:dyDescent="0.3">
      <c r="A2153">
        <v>219774</v>
      </c>
      <c r="B2153">
        <v>116</v>
      </c>
      <c r="C2153" t="s">
        <v>568</v>
      </c>
      <c r="D2153" t="s">
        <v>2260</v>
      </c>
      <c r="E2153" t="s">
        <v>2836</v>
      </c>
      <c r="F2153" s="452">
        <v>46098</v>
      </c>
      <c r="G2153">
        <v>22734</v>
      </c>
      <c r="H2153" t="s">
        <v>3955</v>
      </c>
      <c r="I2153" t="s">
        <v>3469</v>
      </c>
      <c r="J2153">
        <v>10.3</v>
      </c>
      <c r="K2153" t="s">
        <v>3892</v>
      </c>
      <c r="L2153">
        <v>1019.7</v>
      </c>
      <c r="M2153">
        <v>99</v>
      </c>
      <c r="N2153" t="s">
        <v>4240</v>
      </c>
      <c r="O2153" t="s">
        <v>463</v>
      </c>
    </row>
    <row r="2154" spans="1:15" x14ac:dyDescent="0.3">
      <c r="A2154">
        <v>219773</v>
      </c>
      <c r="B2154">
        <v>116</v>
      </c>
      <c r="C2154" t="s">
        <v>568</v>
      </c>
      <c r="D2154" t="s">
        <v>2357</v>
      </c>
      <c r="E2154" t="s">
        <v>2837</v>
      </c>
      <c r="F2154" s="452">
        <v>46099</v>
      </c>
      <c r="G2154">
        <v>20278</v>
      </c>
      <c r="H2154" t="s">
        <v>3939</v>
      </c>
      <c r="I2154" t="s">
        <v>3469</v>
      </c>
      <c r="J2154">
        <v>10</v>
      </c>
      <c r="K2154" t="s">
        <v>3872</v>
      </c>
      <c r="L2154">
        <v>350</v>
      </c>
      <c r="M2154">
        <v>35</v>
      </c>
      <c r="N2154" t="s">
        <v>4240</v>
      </c>
      <c r="O2154" t="s">
        <v>463</v>
      </c>
    </row>
    <row r="2155" spans="1:15" x14ac:dyDescent="0.3">
      <c r="A2155">
        <v>219772</v>
      </c>
      <c r="B2155">
        <v>116</v>
      </c>
      <c r="C2155" t="s">
        <v>568</v>
      </c>
      <c r="D2155" t="s">
        <v>2342</v>
      </c>
      <c r="E2155" t="s">
        <v>2838</v>
      </c>
      <c r="F2155" s="452">
        <v>46099</v>
      </c>
      <c r="G2155">
        <v>24351</v>
      </c>
      <c r="H2155" t="s">
        <v>3912</v>
      </c>
      <c r="I2155" t="s">
        <v>3469</v>
      </c>
      <c r="J2155">
        <v>20</v>
      </c>
      <c r="K2155" t="s">
        <v>3892</v>
      </c>
      <c r="L2155">
        <v>240</v>
      </c>
      <c r="M2155">
        <v>12</v>
      </c>
      <c r="N2155" t="s">
        <v>4240</v>
      </c>
      <c r="O2155" t="s">
        <v>463</v>
      </c>
    </row>
    <row r="2156" spans="1:15" x14ac:dyDescent="0.3">
      <c r="A2156">
        <v>219771</v>
      </c>
      <c r="B2156">
        <v>116</v>
      </c>
      <c r="C2156" t="s">
        <v>568</v>
      </c>
      <c r="D2156" t="s">
        <v>2320</v>
      </c>
      <c r="E2156" t="s">
        <v>2839</v>
      </c>
      <c r="F2156" s="452">
        <v>46099</v>
      </c>
      <c r="G2156">
        <v>22857</v>
      </c>
      <c r="H2156" t="s">
        <v>4130</v>
      </c>
      <c r="I2156" t="s">
        <v>3469</v>
      </c>
      <c r="J2156">
        <v>17.920000000000002</v>
      </c>
      <c r="K2156" t="s">
        <v>3892</v>
      </c>
      <c r="L2156">
        <v>1075.02</v>
      </c>
      <c r="M2156">
        <v>59.989955000000002</v>
      </c>
      <c r="N2156" t="s">
        <v>4240</v>
      </c>
      <c r="O2156" t="s">
        <v>463</v>
      </c>
    </row>
    <row r="2157" spans="1:15" x14ac:dyDescent="0.3">
      <c r="A2157">
        <v>219770</v>
      </c>
      <c r="B2157">
        <v>116</v>
      </c>
      <c r="C2157" t="s">
        <v>568</v>
      </c>
      <c r="D2157" t="s">
        <v>2323</v>
      </c>
      <c r="E2157" t="s">
        <v>2840</v>
      </c>
      <c r="F2157" s="452">
        <v>46098</v>
      </c>
      <c r="G2157">
        <v>18818</v>
      </c>
      <c r="H2157" t="s">
        <v>3916</v>
      </c>
      <c r="I2157" t="s">
        <v>3469</v>
      </c>
      <c r="J2157">
        <v>10.1</v>
      </c>
      <c r="K2157" t="s">
        <v>3892</v>
      </c>
      <c r="L2157">
        <v>271.69</v>
      </c>
      <c r="M2157">
        <v>26.9</v>
      </c>
      <c r="N2157" t="s">
        <v>4240</v>
      </c>
      <c r="O2157" t="s">
        <v>463</v>
      </c>
    </row>
    <row r="2158" spans="1:15" x14ac:dyDescent="0.3">
      <c r="A2158">
        <v>219770</v>
      </c>
      <c r="B2158">
        <v>116</v>
      </c>
      <c r="C2158" t="s">
        <v>568</v>
      </c>
      <c r="D2158" t="s">
        <v>2323</v>
      </c>
      <c r="E2158" t="s">
        <v>2840</v>
      </c>
      <c r="F2158" s="452">
        <v>46098</v>
      </c>
      <c r="G2158">
        <v>24320</v>
      </c>
      <c r="H2158" t="s">
        <v>4160</v>
      </c>
      <c r="I2158" t="s">
        <v>3469</v>
      </c>
      <c r="J2158">
        <v>21.4</v>
      </c>
      <c r="K2158" t="s">
        <v>3892</v>
      </c>
      <c r="L2158">
        <v>716.9</v>
      </c>
      <c r="M2158">
        <v>33.5</v>
      </c>
      <c r="N2158" t="s">
        <v>4240</v>
      </c>
      <c r="O2158" t="s">
        <v>463</v>
      </c>
    </row>
    <row r="2159" spans="1:15" x14ac:dyDescent="0.3">
      <c r="A2159">
        <v>219769</v>
      </c>
      <c r="B2159">
        <v>116</v>
      </c>
      <c r="C2159" t="s">
        <v>568</v>
      </c>
      <c r="D2159" t="s">
        <v>2385</v>
      </c>
      <c r="E2159" t="s">
        <v>2841</v>
      </c>
      <c r="F2159" s="452">
        <v>46097</v>
      </c>
      <c r="G2159">
        <v>20539</v>
      </c>
      <c r="H2159" t="s">
        <v>3908</v>
      </c>
      <c r="I2159" t="s">
        <v>3469</v>
      </c>
      <c r="J2159">
        <v>11.4</v>
      </c>
      <c r="K2159" t="s">
        <v>3892</v>
      </c>
      <c r="L2159">
        <v>741</v>
      </c>
      <c r="M2159">
        <v>65</v>
      </c>
      <c r="N2159" t="s">
        <v>4240</v>
      </c>
      <c r="O2159" t="s">
        <v>463</v>
      </c>
    </row>
    <row r="2160" spans="1:15" x14ac:dyDescent="0.3">
      <c r="A2160">
        <v>219768</v>
      </c>
      <c r="B2160">
        <v>116</v>
      </c>
      <c r="C2160" t="s">
        <v>568</v>
      </c>
      <c r="D2160" t="s">
        <v>2265</v>
      </c>
      <c r="E2160" t="s">
        <v>2842</v>
      </c>
      <c r="F2160" s="452">
        <v>46098</v>
      </c>
      <c r="G2160">
        <v>17405</v>
      </c>
      <c r="H2160" t="s">
        <v>4251</v>
      </c>
      <c r="I2160" t="s">
        <v>4199</v>
      </c>
      <c r="J2160">
        <v>2</v>
      </c>
      <c r="K2160" t="s">
        <v>3872</v>
      </c>
      <c r="L2160">
        <v>18.52</v>
      </c>
      <c r="M2160">
        <v>9.26</v>
      </c>
      <c r="N2160" t="s">
        <v>2176</v>
      </c>
      <c r="O2160" t="s">
        <v>463</v>
      </c>
    </row>
    <row r="2161" spans="1:15" x14ac:dyDescent="0.3">
      <c r="A2161">
        <v>219768</v>
      </c>
      <c r="B2161">
        <v>116</v>
      </c>
      <c r="C2161" t="s">
        <v>568</v>
      </c>
      <c r="D2161" t="s">
        <v>2265</v>
      </c>
      <c r="E2161" t="s">
        <v>2842</v>
      </c>
      <c r="F2161" s="452">
        <v>46098</v>
      </c>
      <c r="G2161">
        <v>17129</v>
      </c>
      <c r="H2161" t="s">
        <v>4200</v>
      </c>
      <c r="I2161" t="s">
        <v>4199</v>
      </c>
      <c r="J2161">
        <v>1</v>
      </c>
      <c r="K2161" t="s">
        <v>3888</v>
      </c>
      <c r="L2161">
        <v>26.61</v>
      </c>
      <c r="M2161">
        <v>26.61</v>
      </c>
      <c r="N2161" t="s">
        <v>2176</v>
      </c>
      <c r="O2161" t="s">
        <v>463</v>
      </c>
    </row>
    <row r="2162" spans="1:15" x14ac:dyDescent="0.3">
      <c r="A2162">
        <v>219768</v>
      </c>
      <c r="B2162">
        <v>116</v>
      </c>
      <c r="C2162" t="s">
        <v>568</v>
      </c>
      <c r="D2162" t="s">
        <v>2265</v>
      </c>
      <c r="E2162" t="s">
        <v>2842</v>
      </c>
      <c r="F2162" s="452">
        <v>46098</v>
      </c>
      <c r="G2162">
        <v>17437</v>
      </c>
      <c r="H2162" t="s">
        <v>4198</v>
      </c>
      <c r="I2162" t="s">
        <v>4199</v>
      </c>
      <c r="J2162">
        <v>10</v>
      </c>
      <c r="K2162" t="s">
        <v>3872</v>
      </c>
      <c r="L2162">
        <v>23</v>
      </c>
      <c r="M2162">
        <v>2.2999999999999998</v>
      </c>
      <c r="N2162" t="s">
        <v>2176</v>
      </c>
      <c r="O2162" t="s">
        <v>463</v>
      </c>
    </row>
    <row r="2163" spans="1:15" x14ac:dyDescent="0.3">
      <c r="A2163">
        <v>219768</v>
      </c>
      <c r="B2163">
        <v>116</v>
      </c>
      <c r="C2163" t="s">
        <v>568</v>
      </c>
      <c r="D2163" t="s">
        <v>2265</v>
      </c>
      <c r="E2163" t="s">
        <v>2842</v>
      </c>
      <c r="F2163" s="452">
        <v>46098</v>
      </c>
      <c r="G2163">
        <v>17046</v>
      </c>
      <c r="H2163" t="s">
        <v>4246</v>
      </c>
      <c r="I2163" t="s">
        <v>4199</v>
      </c>
      <c r="J2163">
        <v>1</v>
      </c>
      <c r="K2163" t="s">
        <v>3872</v>
      </c>
      <c r="L2163">
        <v>34.5</v>
      </c>
      <c r="M2163">
        <v>34.5</v>
      </c>
      <c r="N2163" t="s">
        <v>2176</v>
      </c>
      <c r="O2163" t="s">
        <v>463</v>
      </c>
    </row>
    <row r="2164" spans="1:15" x14ac:dyDescent="0.3">
      <c r="A2164">
        <v>219768</v>
      </c>
      <c r="B2164">
        <v>116</v>
      </c>
      <c r="C2164" t="s">
        <v>568</v>
      </c>
      <c r="D2164" t="s">
        <v>2265</v>
      </c>
      <c r="E2164" t="s">
        <v>2842</v>
      </c>
      <c r="F2164" s="452">
        <v>46098</v>
      </c>
      <c r="G2164">
        <v>17314</v>
      </c>
      <c r="H2164" t="s">
        <v>4204</v>
      </c>
      <c r="I2164" t="s">
        <v>4199</v>
      </c>
      <c r="J2164">
        <v>3</v>
      </c>
      <c r="K2164" t="s">
        <v>3978</v>
      </c>
      <c r="L2164">
        <v>17.670000000000002</v>
      </c>
      <c r="M2164">
        <v>5.89</v>
      </c>
      <c r="N2164" t="s">
        <v>2176</v>
      </c>
      <c r="O2164" t="s">
        <v>463</v>
      </c>
    </row>
    <row r="2165" spans="1:15" x14ac:dyDescent="0.3">
      <c r="A2165">
        <v>219768</v>
      </c>
      <c r="B2165">
        <v>116</v>
      </c>
      <c r="C2165" t="s">
        <v>568</v>
      </c>
      <c r="D2165" t="s">
        <v>2265</v>
      </c>
      <c r="E2165" t="s">
        <v>2842</v>
      </c>
      <c r="F2165" s="452">
        <v>46098</v>
      </c>
      <c r="G2165">
        <v>17342</v>
      </c>
      <c r="H2165" t="s">
        <v>4208</v>
      </c>
      <c r="I2165" t="s">
        <v>4199</v>
      </c>
      <c r="J2165">
        <v>1</v>
      </c>
      <c r="K2165" t="s">
        <v>3931</v>
      </c>
      <c r="L2165">
        <v>34.229999999999997</v>
      </c>
      <c r="M2165">
        <v>34.229999999999997</v>
      </c>
      <c r="N2165" t="s">
        <v>2176</v>
      </c>
      <c r="O2165" t="s">
        <v>463</v>
      </c>
    </row>
    <row r="2166" spans="1:15" x14ac:dyDescent="0.3">
      <c r="A2166">
        <v>219768</v>
      </c>
      <c r="B2166">
        <v>116</v>
      </c>
      <c r="C2166" t="s">
        <v>568</v>
      </c>
      <c r="D2166" t="s">
        <v>2265</v>
      </c>
      <c r="E2166" t="s">
        <v>2842</v>
      </c>
      <c r="F2166" s="452">
        <v>46098</v>
      </c>
      <c r="G2166">
        <v>17266</v>
      </c>
      <c r="H2166" t="s">
        <v>4229</v>
      </c>
      <c r="I2166" t="s">
        <v>4199</v>
      </c>
      <c r="J2166">
        <v>12</v>
      </c>
      <c r="K2166" t="s">
        <v>3872</v>
      </c>
      <c r="L2166">
        <v>55.8</v>
      </c>
      <c r="M2166">
        <v>4.6500000000000004</v>
      </c>
      <c r="N2166" t="s">
        <v>2176</v>
      </c>
      <c r="O2166" t="s">
        <v>463</v>
      </c>
    </row>
    <row r="2167" spans="1:15" x14ac:dyDescent="0.3">
      <c r="A2167">
        <v>219768</v>
      </c>
      <c r="B2167">
        <v>116</v>
      </c>
      <c r="C2167" t="s">
        <v>568</v>
      </c>
      <c r="D2167" t="s">
        <v>2265</v>
      </c>
      <c r="E2167" t="s">
        <v>2842</v>
      </c>
      <c r="F2167" s="452">
        <v>46098</v>
      </c>
      <c r="G2167">
        <v>17215</v>
      </c>
      <c r="H2167" t="s">
        <v>4283</v>
      </c>
      <c r="I2167" t="s">
        <v>4199</v>
      </c>
      <c r="J2167">
        <v>5</v>
      </c>
      <c r="K2167" t="s">
        <v>3978</v>
      </c>
      <c r="L2167">
        <v>99.95</v>
      </c>
      <c r="M2167">
        <v>19.989999999999998</v>
      </c>
      <c r="N2167" t="s">
        <v>2176</v>
      </c>
      <c r="O2167" t="s">
        <v>463</v>
      </c>
    </row>
    <row r="2168" spans="1:15" x14ac:dyDescent="0.3">
      <c r="A2168">
        <v>219768</v>
      </c>
      <c r="B2168">
        <v>116</v>
      </c>
      <c r="C2168" t="s">
        <v>568</v>
      </c>
      <c r="D2168" t="s">
        <v>2265</v>
      </c>
      <c r="E2168" t="s">
        <v>2842</v>
      </c>
      <c r="F2168" s="452">
        <v>46098</v>
      </c>
      <c r="G2168">
        <v>21783</v>
      </c>
      <c r="H2168" t="s">
        <v>4228</v>
      </c>
      <c r="I2168" t="s">
        <v>4202</v>
      </c>
      <c r="J2168">
        <v>2</v>
      </c>
      <c r="K2168" t="s">
        <v>3872</v>
      </c>
      <c r="L2168">
        <v>21.12</v>
      </c>
      <c r="M2168">
        <v>10.56</v>
      </c>
      <c r="N2168" t="s">
        <v>2176</v>
      </c>
      <c r="O2168" t="s">
        <v>463</v>
      </c>
    </row>
    <row r="2169" spans="1:15" x14ac:dyDescent="0.3">
      <c r="A2169">
        <v>219768</v>
      </c>
      <c r="B2169">
        <v>116</v>
      </c>
      <c r="C2169" t="s">
        <v>568</v>
      </c>
      <c r="D2169" t="s">
        <v>2265</v>
      </c>
      <c r="E2169" t="s">
        <v>2842</v>
      </c>
      <c r="F2169" s="452">
        <v>46098</v>
      </c>
      <c r="G2169">
        <v>17444</v>
      </c>
      <c r="H2169" t="s">
        <v>4211</v>
      </c>
      <c r="I2169" t="s">
        <v>4199</v>
      </c>
      <c r="J2169">
        <v>1</v>
      </c>
      <c r="K2169" t="s">
        <v>3888</v>
      </c>
      <c r="L2169">
        <v>12.59</v>
      </c>
      <c r="M2169">
        <v>12.59</v>
      </c>
      <c r="N2169" t="s">
        <v>2176</v>
      </c>
      <c r="O2169" t="s">
        <v>463</v>
      </c>
    </row>
    <row r="2170" spans="1:15" x14ac:dyDescent="0.3">
      <c r="A2170">
        <v>219768</v>
      </c>
      <c r="B2170">
        <v>116</v>
      </c>
      <c r="C2170" t="s">
        <v>568</v>
      </c>
      <c r="D2170" t="s">
        <v>2265</v>
      </c>
      <c r="E2170" t="s">
        <v>2842</v>
      </c>
      <c r="F2170" s="452">
        <v>46098</v>
      </c>
      <c r="G2170">
        <v>17416</v>
      </c>
      <c r="H2170" t="s">
        <v>4205</v>
      </c>
      <c r="I2170" t="s">
        <v>4199</v>
      </c>
      <c r="J2170">
        <v>2</v>
      </c>
      <c r="K2170" t="s">
        <v>3881</v>
      </c>
      <c r="L2170">
        <v>97.16</v>
      </c>
      <c r="M2170">
        <v>48.58</v>
      </c>
      <c r="N2170" t="s">
        <v>2176</v>
      </c>
      <c r="O2170" t="s">
        <v>463</v>
      </c>
    </row>
    <row r="2171" spans="1:15" x14ac:dyDescent="0.3">
      <c r="A2171">
        <v>219768</v>
      </c>
      <c r="B2171">
        <v>116</v>
      </c>
      <c r="C2171" t="s">
        <v>568</v>
      </c>
      <c r="D2171" t="s">
        <v>2265</v>
      </c>
      <c r="E2171" t="s">
        <v>2842</v>
      </c>
      <c r="F2171" s="452">
        <v>46098</v>
      </c>
      <c r="G2171">
        <v>17381</v>
      </c>
      <c r="H2171" t="s">
        <v>4247</v>
      </c>
      <c r="I2171" t="s">
        <v>4199</v>
      </c>
      <c r="J2171">
        <v>1</v>
      </c>
      <c r="K2171" t="s">
        <v>3872</v>
      </c>
      <c r="L2171">
        <v>38.89</v>
      </c>
      <c r="M2171">
        <v>38.89</v>
      </c>
      <c r="N2171" t="s">
        <v>2176</v>
      </c>
      <c r="O2171" t="s">
        <v>463</v>
      </c>
    </row>
    <row r="2172" spans="1:15" x14ac:dyDescent="0.3">
      <c r="A2172">
        <v>219768</v>
      </c>
      <c r="B2172">
        <v>116</v>
      </c>
      <c r="C2172" t="s">
        <v>568</v>
      </c>
      <c r="D2172" t="s">
        <v>2265</v>
      </c>
      <c r="E2172" t="s">
        <v>2842</v>
      </c>
      <c r="F2172" s="452">
        <v>46098</v>
      </c>
      <c r="G2172">
        <v>28914</v>
      </c>
      <c r="H2172" t="s">
        <v>4341</v>
      </c>
      <c r="J2172">
        <v>1</v>
      </c>
      <c r="K2172" t="s">
        <v>3872</v>
      </c>
      <c r="L2172">
        <v>27.9</v>
      </c>
      <c r="M2172">
        <v>27.9</v>
      </c>
      <c r="N2172" t="s">
        <v>2176</v>
      </c>
      <c r="O2172" t="s">
        <v>463</v>
      </c>
    </row>
    <row r="2173" spans="1:15" x14ac:dyDescent="0.3">
      <c r="A2173">
        <v>219767</v>
      </c>
      <c r="B2173">
        <v>116</v>
      </c>
      <c r="C2173" t="s">
        <v>568</v>
      </c>
      <c r="D2173" t="s">
        <v>2265</v>
      </c>
      <c r="E2173" t="s">
        <v>2843</v>
      </c>
      <c r="F2173" s="452">
        <v>46098</v>
      </c>
      <c r="G2173">
        <v>26741</v>
      </c>
      <c r="H2173" t="s">
        <v>4342</v>
      </c>
      <c r="I2173" t="s">
        <v>4202</v>
      </c>
      <c r="J2173">
        <v>2</v>
      </c>
      <c r="K2173" t="s">
        <v>3872</v>
      </c>
      <c r="L2173">
        <v>48.14</v>
      </c>
      <c r="M2173">
        <v>24.07</v>
      </c>
      <c r="N2173" t="s">
        <v>2176</v>
      </c>
      <c r="O2173" t="s">
        <v>463</v>
      </c>
    </row>
    <row r="2174" spans="1:15" x14ac:dyDescent="0.3">
      <c r="A2174">
        <v>219766</v>
      </c>
      <c r="B2174">
        <v>116</v>
      </c>
      <c r="C2174" t="s">
        <v>568</v>
      </c>
      <c r="D2174" t="s">
        <v>2844</v>
      </c>
      <c r="E2174" t="s">
        <v>2845</v>
      </c>
      <c r="F2174" s="452">
        <v>46092</v>
      </c>
      <c r="G2174">
        <v>28658</v>
      </c>
      <c r="H2174" t="s">
        <v>4343</v>
      </c>
      <c r="I2174" t="s">
        <v>4199</v>
      </c>
      <c r="J2174">
        <v>4</v>
      </c>
      <c r="K2174" t="s">
        <v>3881</v>
      </c>
      <c r="L2174">
        <v>640</v>
      </c>
      <c r="M2174">
        <v>160</v>
      </c>
      <c r="N2174" t="s">
        <v>4294</v>
      </c>
      <c r="O2174" t="s">
        <v>463</v>
      </c>
    </row>
    <row r="2175" spans="1:15" x14ac:dyDescent="0.3">
      <c r="A2175">
        <v>219765</v>
      </c>
      <c r="B2175">
        <v>116</v>
      </c>
      <c r="C2175" t="s">
        <v>568</v>
      </c>
      <c r="D2175" t="s">
        <v>2286</v>
      </c>
      <c r="E2175" t="s">
        <v>2846</v>
      </c>
      <c r="F2175" s="452">
        <v>46097</v>
      </c>
      <c r="G2175">
        <v>19787</v>
      </c>
      <c r="H2175" t="s">
        <v>3940</v>
      </c>
      <c r="I2175" t="s">
        <v>3469</v>
      </c>
      <c r="J2175">
        <v>4.5</v>
      </c>
      <c r="K2175" t="s">
        <v>3892</v>
      </c>
      <c r="L2175">
        <v>23.85</v>
      </c>
      <c r="M2175">
        <v>5.3</v>
      </c>
      <c r="N2175" t="s">
        <v>4240</v>
      </c>
      <c r="O2175" t="s">
        <v>463</v>
      </c>
    </row>
    <row r="2176" spans="1:15" x14ac:dyDescent="0.3">
      <c r="A2176">
        <v>219765</v>
      </c>
      <c r="B2176">
        <v>116</v>
      </c>
      <c r="C2176" t="s">
        <v>568</v>
      </c>
      <c r="D2176" t="s">
        <v>2286</v>
      </c>
      <c r="E2176" t="s">
        <v>2846</v>
      </c>
      <c r="F2176" s="452">
        <v>46097</v>
      </c>
      <c r="G2176">
        <v>24509</v>
      </c>
      <c r="H2176" t="s">
        <v>3906</v>
      </c>
      <c r="I2176" t="s">
        <v>3469</v>
      </c>
      <c r="J2176">
        <v>10</v>
      </c>
      <c r="K2176" t="s">
        <v>3892</v>
      </c>
      <c r="L2176">
        <v>35</v>
      </c>
      <c r="M2176">
        <v>3.5</v>
      </c>
      <c r="N2176" t="s">
        <v>4240</v>
      </c>
      <c r="O2176" t="s">
        <v>463</v>
      </c>
    </row>
    <row r="2177" spans="1:15" x14ac:dyDescent="0.3">
      <c r="A2177">
        <v>219765</v>
      </c>
      <c r="B2177">
        <v>116</v>
      </c>
      <c r="C2177" t="s">
        <v>568</v>
      </c>
      <c r="D2177" t="s">
        <v>2286</v>
      </c>
      <c r="E2177" t="s">
        <v>2846</v>
      </c>
      <c r="F2177" s="452">
        <v>46097</v>
      </c>
      <c r="G2177">
        <v>19505</v>
      </c>
      <c r="H2177" t="s">
        <v>4101</v>
      </c>
      <c r="I2177" t="s">
        <v>3469</v>
      </c>
      <c r="J2177">
        <v>1</v>
      </c>
      <c r="K2177" t="s">
        <v>3892</v>
      </c>
      <c r="L2177">
        <v>12.5</v>
      </c>
      <c r="M2177">
        <v>12.5</v>
      </c>
      <c r="N2177" t="s">
        <v>4240</v>
      </c>
      <c r="O2177" t="s">
        <v>463</v>
      </c>
    </row>
    <row r="2178" spans="1:15" x14ac:dyDescent="0.3">
      <c r="A2178">
        <v>219765</v>
      </c>
      <c r="B2178">
        <v>116</v>
      </c>
      <c r="C2178" t="s">
        <v>568</v>
      </c>
      <c r="D2178" t="s">
        <v>2286</v>
      </c>
      <c r="E2178" t="s">
        <v>2846</v>
      </c>
      <c r="F2178" s="452">
        <v>46097</v>
      </c>
      <c r="G2178">
        <v>19498</v>
      </c>
      <c r="H2178" t="s">
        <v>4065</v>
      </c>
      <c r="I2178" t="s">
        <v>3469</v>
      </c>
      <c r="J2178">
        <v>1</v>
      </c>
      <c r="K2178" t="s">
        <v>3892</v>
      </c>
      <c r="L2178">
        <v>15</v>
      </c>
      <c r="M2178">
        <v>15</v>
      </c>
      <c r="N2178" t="s">
        <v>4240</v>
      </c>
      <c r="O2178" t="s">
        <v>463</v>
      </c>
    </row>
    <row r="2179" spans="1:15" x14ac:dyDescent="0.3">
      <c r="A2179">
        <v>219765</v>
      </c>
      <c r="B2179">
        <v>116</v>
      </c>
      <c r="C2179" t="s">
        <v>568</v>
      </c>
      <c r="D2179" t="s">
        <v>2286</v>
      </c>
      <c r="E2179" t="s">
        <v>2846</v>
      </c>
      <c r="F2179" s="452">
        <v>46097</v>
      </c>
      <c r="G2179">
        <v>19555</v>
      </c>
      <c r="H2179" t="s">
        <v>4109</v>
      </c>
      <c r="I2179" t="s">
        <v>3469</v>
      </c>
      <c r="J2179">
        <v>0.5</v>
      </c>
      <c r="K2179" t="s">
        <v>3892</v>
      </c>
      <c r="L2179">
        <v>10</v>
      </c>
      <c r="M2179">
        <v>20</v>
      </c>
      <c r="N2179" t="s">
        <v>4240</v>
      </c>
      <c r="O2179" t="s">
        <v>463</v>
      </c>
    </row>
    <row r="2180" spans="1:15" x14ac:dyDescent="0.3">
      <c r="A2180">
        <v>219765</v>
      </c>
      <c r="B2180">
        <v>116</v>
      </c>
      <c r="C2180" t="s">
        <v>568</v>
      </c>
      <c r="D2180" t="s">
        <v>2286</v>
      </c>
      <c r="E2180" t="s">
        <v>2846</v>
      </c>
      <c r="F2180" s="452">
        <v>46097</v>
      </c>
      <c r="G2180">
        <v>19488</v>
      </c>
      <c r="H2180" t="s">
        <v>4070</v>
      </c>
      <c r="I2180" t="s">
        <v>3469</v>
      </c>
      <c r="J2180">
        <v>0.2</v>
      </c>
      <c r="K2180" t="s">
        <v>3892</v>
      </c>
      <c r="L2180">
        <v>2.2000000000000002</v>
      </c>
      <c r="M2180">
        <v>11</v>
      </c>
      <c r="N2180" t="s">
        <v>4240</v>
      </c>
      <c r="O2180" t="s">
        <v>463</v>
      </c>
    </row>
    <row r="2181" spans="1:15" x14ac:dyDescent="0.3">
      <c r="A2181">
        <v>219765</v>
      </c>
      <c r="B2181">
        <v>116</v>
      </c>
      <c r="C2181" t="s">
        <v>568</v>
      </c>
      <c r="D2181" t="s">
        <v>2286</v>
      </c>
      <c r="E2181" t="s">
        <v>2846</v>
      </c>
      <c r="F2181" s="452">
        <v>46097</v>
      </c>
      <c r="G2181">
        <v>19572</v>
      </c>
      <c r="H2181" t="s">
        <v>4023</v>
      </c>
      <c r="I2181" t="s">
        <v>3469</v>
      </c>
      <c r="J2181">
        <v>1</v>
      </c>
      <c r="K2181" t="s">
        <v>3892</v>
      </c>
      <c r="L2181">
        <v>15</v>
      </c>
      <c r="M2181">
        <v>15</v>
      </c>
      <c r="N2181" t="s">
        <v>4240</v>
      </c>
      <c r="O2181" t="s">
        <v>463</v>
      </c>
    </row>
    <row r="2182" spans="1:15" x14ac:dyDescent="0.3">
      <c r="A2182">
        <v>219765</v>
      </c>
      <c r="B2182">
        <v>116</v>
      </c>
      <c r="C2182" t="s">
        <v>568</v>
      </c>
      <c r="D2182" t="s">
        <v>2286</v>
      </c>
      <c r="E2182" t="s">
        <v>2846</v>
      </c>
      <c r="F2182" s="452">
        <v>46097</v>
      </c>
      <c r="G2182">
        <v>19647</v>
      </c>
      <c r="H2182" t="s">
        <v>4066</v>
      </c>
      <c r="I2182" t="s">
        <v>3469</v>
      </c>
      <c r="J2182">
        <v>1</v>
      </c>
      <c r="K2182" t="s">
        <v>3892</v>
      </c>
      <c r="L2182">
        <v>15</v>
      </c>
      <c r="M2182">
        <v>15</v>
      </c>
      <c r="N2182" t="s">
        <v>4240</v>
      </c>
      <c r="O2182" t="s">
        <v>463</v>
      </c>
    </row>
    <row r="2183" spans="1:15" x14ac:dyDescent="0.3">
      <c r="A2183">
        <v>219765</v>
      </c>
      <c r="B2183">
        <v>116</v>
      </c>
      <c r="C2183" t="s">
        <v>568</v>
      </c>
      <c r="D2183" t="s">
        <v>2286</v>
      </c>
      <c r="E2183" t="s">
        <v>2846</v>
      </c>
      <c r="F2183" s="452">
        <v>46097</v>
      </c>
      <c r="G2183">
        <v>19740</v>
      </c>
      <c r="H2183" t="s">
        <v>3933</v>
      </c>
      <c r="I2183" t="s">
        <v>3469</v>
      </c>
      <c r="J2183">
        <v>8</v>
      </c>
      <c r="K2183" t="s">
        <v>3892</v>
      </c>
      <c r="L2183">
        <v>62.4</v>
      </c>
      <c r="M2183">
        <v>7.8</v>
      </c>
      <c r="N2183" t="s">
        <v>4240</v>
      </c>
      <c r="O2183" t="s">
        <v>463</v>
      </c>
    </row>
    <row r="2184" spans="1:15" x14ac:dyDescent="0.3">
      <c r="A2184">
        <v>219765</v>
      </c>
      <c r="B2184">
        <v>116</v>
      </c>
      <c r="C2184" t="s">
        <v>568</v>
      </c>
      <c r="D2184" t="s">
        <v>2286</v>
      </c>
      <c r="E2184" t="s">
        <v>2846</v>
      </c>
      <c r="F2184" s="452">
        <v>46097</v>
      </c>
      <c r="G2184">
        <v>19742</v>
      </c>
      <c r="H2184" t="s">
        <v>4074</v>
      </c>
      <c r="I2184" t="s">
        <v>3469</v>
      </c>
      <c r="J2184">
        <v>1</v>
      </c>
      <c r="K2184" t="s">
        <v>3892</v>
      </c>
      <c r="L2184">
        <v>10.5</v>
      </c>
      <c r="M2184">
        <v>10.5</v>
      </c>
      <c r="N2184" t="s">
        <v>4240</v>
      </c>
      <c r="O2184" t="s">
        <v>463</v>
      </c>
    </row>
    <row r="2185" spans="1:15" x14ac:dyDescent="0.3">
      <c r="A2185">
        <v>219765</v>
      </c>
      <c r="B2185">
        <v>116</v>
      </c>
      <c r="C2185" t="s">
        <v>568</v>
      </c>
      <c r="D2185" t="s">
        <v>2286</v>
      </c>
      <c r="E2185" t="s">
        <v>2846</v>
      </c>
      <c r="F2185" s="452">
        <v>46097</v>
      </c>
      <c r="G2185">
        <v>19773</v>
      </c>
      <c r="H2185" t="s">
        <v>4168</v>
      </c>
      <c r="I2185" t="s">
        <v>3469</v>
      </c>
      <c r="J2185">
        <v>1</v>
      </c>
      <c r="K2185" t="s">
        <v>3892</v>
      </c>
      <c r="L2185">
        <v>18</v>
      </c>
      <c r="M2185">
        <v>18</v>
      </c>
      <c r="N2185" t="s">
        <v>4240</v>
      </c>
      <c r="O2185" t="s">
        <v>463</v>
      </c>
    </row>
    <row r="2186" spans="1:15" x14ac:dyDescent="0.3">
      <c r="A2186">
        <v>219765</v>
      </c>
      <c r="B2186">
        <v>116</v>
      </c>
      <c r="C2186" t="s">
        <v>568</v>
      </c>
      <c r="D2186" t="s">
        <v>2286</v>
      </c>
      <c r="E2186" t="s">
        <v>2846</v>
      </c>
      <c r="F2186" s="452">
        <v>46097</v>
      </c>
      <c r="G2186">
        <v>19494</v>
      </c>
      <c r="H2186" t="s">
        <v>4126</v>
      </c>
      <c r="I2186" t="s">
        <v>3469</v>
      </c>
      <c r="J2186">
        <v>1</v>
      </c>
      <c r="K2186" t="s">
        <v>3892</v>
      </c>
      <c r="L2186">
        <v>20</v>
      </c>
      <c r="M2186">
        <v>20</v>
      </c>
      <c r="N2186" t="s">
        <v>4240</v>
      </c>
      <c r="O2186" t="s">
        <v>463</v>
      </c>
    </row>
    <row r="2187" spans="1:15" x14ac:dyDescent="0.3">
      <c r="A2187">
        <v>219765</v>
      </c>
      <c r="B2187">
        <v>116</v>
      </c>
      <c r="C2187" t="s">
        <v>568</v>
      </c>
      <c r="D2187" t="s">
        <v>2286</v>
      </c>
      <c r="E2187" t="s">
        <v>2846</v>
      </c>
      <c r="F2187" s="452">
        <v>46097</v>
      </c>
      <c r="G2187">
        <v>23113</v>
      </c>
      <c r="H2187" t="s">
        <v>4079</v>
      </c>
      <c r="I2187" t="s">
        <v>3469</v>
      </c>
      <c r="J2187">
        <v>1.5</v>
      </c>
      <c r="K2187" t="s">
        <v>3892</v>
      </c>
      <c r="L2187">
        <v>19.2</v>
      </c>
      <c r="M2187">
        <v>12.8</v>
      </c>
      <c r="N2187" t="s">
        <v>4240</v>
      </c>
      <c r="O2187" t="s">
        <v>463</v>
      </c>
    </row>
    <row r="2188" spans="1:15" x14ac:dyDescent="0.3">
      <c r="A2188">
        <v>219765</v>
      </c>
      <c r="B2188">
        <v>116</v>
      </c>
      <c r="C2188" t="s">
        <v>568</v>
      </c>
      <c r="D2188" t="s">
        <v>2286</v>
      </c>
      <c r="E2188" t="s">
        <v>2846</v>
      </c>
      <c r="F2188" s="452">
        <v>46097</v>
      </c>
      <c r="G2188">
        <v>23198</v>
      </c>
      <c r="H2188" t="s">
        <v>4167</v>
      </c>
      <c r="I2188" t="s">
        <v>3469</v>
      </c>
      <c r="J2188">
        <v>1</v>
      </c>
      <c r="K2188" t="s">
        <v>3892</v>
      </c>
      <c r="L2188">
        <v>14.5</v>
      </c>
      <c r="M2188">
        <v>14.5</v>
      </c>
      <c r="N2188" t="s">
        <v>4240</v>
      </c>
      <c r="O2188" t="s">
        <v>463</v>
      </c>
    </row>
    <row r="2189" spans="1:15" x14ac:dyDescent="0.3">
      <c r="A2189">
        <v>219765</v>
      </c>
      <c r="B2189">
        <v>116</v>
      </c>
      <c r="C2189" t="s">
        <v>568</v>
      </c>
      <c r="D2189" t="s">
        <v>2286</v>
      </c>
      <c r="E2189" t="s">
        <v>2846</v>
      </c>
      <c r="F2189" s="452">
        <v>46097</v>
      </c>
      <c r="G2189">
        <v>23120</v>
      </c>
      <c r="H2189" t="s">
        <v>4111</v>
      </c>
      <c r="I2189" t="s">
        <v>3469</v>
      </c>
      <c r="J2189">
        <v>0.2</v>
      </c>
      <c r="K2189" t="s">
        <v>3892</v>
      </c>
      <c r="L2189">
        <v>12</v>
      </c>
      <c r="M2189">
        <v>60</v>
      </c>
      <c r="N2189" t="s">
        <v>4240</v>
      </c>
      <c r="O2189" t="s">
        <v>463</v>
      </c>
    </row>
    <row r="2190" spans="1:15" x14ac:dyDescent="0.3">
      <c r="A2190">
        <v>219765</v>
      </c>
      <c r="B2190">
        <v>116</v>
      </c>
      <c r="C2190" t="s">
        <v>568</v>
      </c>
      <c r="D2190" t="s">
        <v>2286</v>
      </c>
      <c r="E2190" t="s">
        <v>2846</v>
      </c>
      <c r="F2190" s="452">
        <v>46097</v>
      </c>
      <c r="G2190">
        <v>23236</v>
      </c>
      <c r="H2190" t="s">
        <v>4017</v>
      </c>
      <c r="I2190" t="s">
        <v>3469</v>
      </c>
      <c r="J2190">
        <v>3</v>
      </c>
      <c r="K2190" t="s">
        <v>3892</v>
      </c>
      <c r="L2190">
        <v>25.5</v>
      </c>
      <c r="M2190">
        <v>8.5</v>
      </c>
      <c r="N2190" t="s">
        <v>4240</v>
      </c>
      <c r="O2190" t="s">
        <v>463</v>
      </c>
    </row>
    <row r="2191" spans="1:15" x14ac:dyDescent="0.3">
      <c r="A2191">
        <v>219765</v>
      </c>
      <c r="B2191">
        <v>116</v>
      </c>
      <c r="C2191" t="s">
        <v>568</v>
      </c>
      <c r="D2191" t="s">
        <v>2286</v>
      </c>
      <c r="E2191" t="s">
        <v>2846</v>
      </c>
      <c r="F2191" s="452">
        <v>46097</v>
      </c>
      <c r="G2191">
        <v>23349</v>
      </c>
      <c r="H2191" t="s">
        <v>4173</v>
      </c>
      <c r="I2191" t="s">
        <v>3469</v>
      </c>
      <c r="J2191">
        <v>2</v>
      </c>
      <c r="K2191" t="s">
        <v>3892</v>
      </c>
      <c r="L2191">
        <v>18</v>
      </c>
      <c r="M2191">
        <v>9</v>
      </c>
      <c r="N2191" t="s">
        <v>4240</v>
      </c>
      <c r="O2191" t="s">
        <v>463</v>
      </c>
    </row>
    <row r="2192" spans="1:15" x14ac:dyDescent="0.3">
      <c r="A2192">
        <v>219765</v>
      </c>
      <c r="B2192">
        <v>116</v>
      </c>
      <c r="C2192" t="s">
        <v>568</v>
      </c>
      <c r="D2192" t="s">
        <v>2286</v>
      </c>
      <c r="E2192" t="s">
        <v>2846</v>
      </c>
      <c r="F2192" s="452">
        <v>46097</v>
      </c>
      <c r="G2192">
        <v>23095</v>
      </c>
      <c r="H2192" t="s">
        <v>3882</v>
      </c>
      <c r="I2192" t="s">
        <v>3469</v>
      </c>
      <c r="J2192">
        <v>60</v>
      </c>
      <c r="K2192" t="s">
        <v>3872</v>
      </c>
      <c r="L2192">
        <v>78</v>
      </c>
      <c r="M2192">
        <v>1.3</v>
      </c>
      <c r="N2192" t="s">
        <v>4240</v>
      </c>
      <c r="O2192" t="s">
        <v>463</v>
      </c>
    </row>
    <row r="2193" spans="1:15" x14ac:dyDescent="0.3">
      <c r="A2193">
        <v>219765</v>
      </c>
      <c r="B2193">
        <v>116</v>
      </c>
      <c r="C2193" t="s">
        <v>568</v>
      </c>
      <c r="D2193" t="s">
        <v>2286</v>
      </c>
      <c r="E2193" t="s">
        <v>2846</v>
      </c>
      <c r="F2193" s="452">
        <v>46097</v>
      </c>
      <c r="G2193">
        <v>23142</v>
      </c>
      <c r="H2193" t="s">
        <v>4151</v>
      </c>
      <c r="I2193" t="s">
        <v>3469</v>
      </c>
      <c r="J2193">
        <v>1</v>
      </c>
      <c r="K2193" t="s">
        <v>3892</v>
      </c>
      <c r="L2193">
        <v>25</v>
      </c>
      <c r="M2193">
        <v>25</v>
      </c>
      <c r="N2193" t="s">
        <v>4240</v>
      </c>
      <c r="O2193" t="s">
        <v>463</v>
      </c>
    </row>
    <row r="2194" spans="1:15" x14ac:dyDescent="0.3">
      <c r="A2194">
        <v>219765</v>
      </c>
      <c r="B2194">
        <v>116</v>
      </c>
      <c r="C2194" t="s">
        <v>568</v>
      </c>
      <c r="D2194" t="s">
        <v>2286</v>
      </c>
      <c r="E2194" t="s">
        <v>2846</v>
      </c>
      <c r="F2194" s="452">
        <v>46097</v>
      </c>
      <c r="G2194">
        <v>23389</v>
      </c>
      <c r="H2194" t="s">
        <v>4016</v>
      </c>
      <c r="I2194" t="s">
        <v>3469</v>
      </c>
      <c r="J2194">
        <v>6</v>
      </c>
      <c r="K2194" t="s">
        <v>3892</v>
      </c>
      <c r="L2194">
        <v>36</v>
      </c>
      <c r="M2194">
        <v>6</v>
      </c>
      <c r="N2194" t="s">
        <v>4240</v>
      </c>
      <c r="O2194" t="s">
        <v>463</v>
      </c>
    </row>
    <row r="2195" spans="1:15" x14ac:dyDescent="0.3">
      <c r="A2195">
        <v>219765</v>
      </c>
      <c r="B2195">
        <v>116</v>
      </c>
      <c r="C2195" t="s">
        <v>568</v>
      </c>
      <c r="D2195" t="s">
        <v>2286</v>
      </c>
      <c r="E2195" t="s">
        <v>2846</v>
      </c>
      <c r="F2195" s="452">
        <v>46097</v>
      </c>
      <c r="G2195">
        <v>24037</v>
      </c>
      <c r="H2195" t="s">
        <v>4104</v>
      </c>
      <c r="I2195" t="s">
        <v>3469</v>
      </c>
      <c r="J2195">
        <v>3</v>
      </c>
      <c r="K2195" t="s">
        <v>3892</v>
      </c>
      <c r="L2195">
        <v>54</v>
      </c>
      <c r="M2195">
        <v>18</v>
      </c>
      <c r="N2195" t="s">
        <v>4240</v>
      </c>
      <c r="O2195" t="s">
        <v>463</v>
      </c>
    </row>
    <row r="2196" spans="1:15" x14ac:dyDescent="0.3">
      <c r="A2196">
        <v>219765</v>
      </c>
      <c r="B2196">
        <v>116</v>
      </c>
      <c r="C2196" t="s">
        <v>568</v>
      </c>
      <c r="D2196" t="s">
        <v>2286</v>
      </c>
      <c r="E2196" t="s">
        <v>2846</v>
      </c>
      <c r="F2196" s="452">
        <v>46097</v>
      </c>
      <c r="G2196">
        <v>19539</v>
      </c>
      <c r="H2196" t="s">
        <v>4133</v>
      </c>
      <c r="I2196" t="s">
        <v>3469</v>
      </c>
      <c r="J2196">
        <v>18</v>
      </c>
      <c r="K2196" t="s">
        <v>3892</v>
      </c>
      <c r="L2196">
        <v>122.4</v>
      </c>
      <c r="M2196">
        <v>6.8</v>
      </c>
      <c r="N2196" t="s">
        <v>4240</v>
      </c>
      <c r="O2196" t="s">
        <v>463</v>
      </c>
    </row>
    <row r="2197" spans="1:15" x14ac:dyDescent="0.3">
      <c r="A2197">
        <v>219764</v>
      </c>
      <c r="B2197">
        <v>116</v>
      </c>
      <c r="C2197" t="s">
        <v>568</v>
      </c>
      <c r="D2197" t="s">
        <v>2258</v>
      </c>
      <c r="E2197" t="s">
        <v>2847</v>
      </c>
      <c r="F2197" s="452">
        <v>46100</v>
      </c>
      <c r="G2197">
        <v>17006</v>
      </c>
      <c r="H2197" t="s">
        <v>4128</v>
      </c>
      <c r="I2197" t="s">
        <v>3469</v>
      </c>
      <c r="J2197">
        <v>13.1</v>
      </c>
      <c r="K2197" t="s">
        <v>3892</v>
      </c>
      <c r="L2197">
        <v>170.3</v>
      </c>
      <c r="M2197">
        <v>13</v>
      </c>
      <c r="N2197" t="s">
        <v>3469</v>
      </c>
      <c r="O2197" t="s">
        <v>463</v>
      </c>
    </row>
    <row r="2198" spans="1:15" x14ac:dyDescent="0.3">
      <c r="A2198">
        <v>219763</v>
      </c>
      <c r="B2198">
        <v>116</v>
      </c>
      <c r="C2198" t="s">
        <v>568</v>
      </c>
      <c r="D2198" t="s">
        <v>2286</v>
      </c>
      <c r="E2198" t="s">
        <v>2848</v>
      </c>
      <c r="F2198" s="452">
        <v>46097</v>
      </c>
      <c r="G2198">
        <v>19787</v>
      </c>
      <c r="H2198" t="s">
        <v>3940</v>
      </c>
      <c r="I2198" t="s">
        <v>3469</v>
      </c>
      <c r="J2198">
        <v>3</v>
      </c>
      <c r="K2198" t="s">
        <v>3892</v>
      </c>
      <c r="L2198">
        <v>15.9</v>
      </c>
      <c r="M2198">
        <v>5.3</v>
      </c>
      <c r="N2198" t="s">
        <v>4240</v>
      </c>
      <c r="O2198" t="s">
        <v>463</v>
      </c>
    </row>
    <row r="2199" spans="1:15" x14ac:dyDescent="0.3">
      <c r="A2199">
        <v>219763</v>
      </c>
      <c r="B2199">
        <v>116</v>
      </c>
      <c r="C2199" t="s">
        <v>568</v>
      </c>
      <c r="D2199" t="s">
        <v>2286</v>
      </c>
      <c r="E2199" t="s">
        <v>2848</v>
      </c>
      <c r="F2199" s="452">
        <v>46097</v>
      </c>
      <c r="G2199">
        <v>24083</v>
      </c>
      <c r="H2199" t="s">
        <v>3898</v>
      </c>
      <c r="I2199" t="s">
        <v>3469</v>
      </c>
      <c r="J2199">
        <v>15</v>
      </c>
      <c r="K2199" t="s">
        <v>3892</v>
      </c>
      <c r="L2199">
        <v>89.25</v>
      </c>
      <c r="M2199">
        <v>5.95</v>
      </c>
      <c r="N2199" t="s">
        <v>4240</v>
      </c>
      <c r="O2199" t="s">
        <v>463</v>
      </c>
    </row>
    <row r="2200" spans="1:15" x14ac:dyDescent="0.3">
      <c r="A2200">
        <v>219763</v>
      </c>
      <c r="B2200">
        <v>116</v>
      </c>
      <c r="C2200" t="s">
        <v>568</v>
      </c>
      <c r="D2200" t="s">
        <v>2286</v>
      </c>
      <c r="E2200" t="s">
        <v>2848</v>
      </c>
      <c r="F2200" s="452">
        <v>46097</v>
      </c>
      <c r="G2200">
        <v>19505</v>
      </c>
      <c r="H2200" t="s">
        <v>4101</v>
      </c>
      <c r="I2200" t="s">
        <v>3469</v>
      </c>
      <c r="J2200">
        <v>1</v>
      </c>
      <c r="K2200" t="s">
        <v>3892</v>
      </c>
      <c r="L2200">
        <v>13</v>
      </c>
      <c r="M2200">
        <v>13</v>
      </c>
      <c r="N2200" t="s">
        <v>4240</v>
      </c>
      <c r="O2200" t="s">
        <v>463</v>
      </c>
    </row>
    <row r="2201" spans="1:15" x14ac:dyDescent="0.3">
      <c r="A2201">
        <v>219763</v>
      </c>
      <c r="B2201">
        <v>116</v>
      </c>
      <c r="C2201" t="s">
        <v>568</v>
      </c>
      <c r="D2201" t="s">
        <v>2286</v>
      </c>
      <c r="E2201" t="s">
        <v>2848</v>
      </c>
      <c r="F2201" s="452">
        <v>46097</v>
      </c>
      <c r="G2201">
        <v>19498</v>
      </c>
      <c r="H2201" t="s">
        <v>4065</v>
      </c>
      <c r="I2201" t="s">
        <v>3469</v>
      </c>
      <c r="J2201">
        <v>1</v>
      </c>
      <c r="K2201" t="s">
        <v>3892</v>
      </c>
      <c r="L2201">
        <v>17</v>
      </c>
      <c r="M2201">
        <v>17</v>
      </c>
      <c r="N2201" t="s">
        <v>4240</v>
      </c>
      <c r="O2201" t="s">
        <v>463</v>
      </c>
    </row>
    <row r="2202" spans="1:15" x14ac:dyDescent="0.3">
      <c r="A2202">
        <v>219763</v>
      </c>
      <c r="B2202">
        <v>116</v>
      </c>
      <c r="C2202" t="s">
        <v>568</v>
      </c>
      <c r="D2202" t="s">
        <v>2286</v>
      </c>
      <c r="E2202" t="s">
        <v>2848</v>
      </c>
      <c r="F2202" s="452">
        <v>46097</v>
      </c>
      <c r="G2202">
        <v>19480</v>
      </c>
      <c r="H2202" t="s">
        <v>4113</v>
      </c>
      <c r="I2202" t="s">
        <v>3469</v>
      </c>
      <c r="J2202">
        <v>0.2</v>
      </c>
      <c r="K2202" t="s">
        <v>3892</v>
      </c>
      <c r="L2202">
        <v>3.6</v>
      </c>
      <c r="M2202">
        <v>18</v>
      </c>
      <c r="N2202" t="s">
        <v>4240</v>
      </c>
      <c r="O2202" t="s">
        <v>463</v>
      </c>
    </row>
    <row r="2203" spans="1:15" x14ac:dyDescent="0.3">
      <c r="A2203">
        <v>219763</v>
      </c>
      <c r="B2203">
        <v>116</v>
      </c>
      <c r="C2203" t="s">
        <v>568</v>
      </c>
      <c r="D2203" t="s">
        <v>2286</v>
      </c>
      <c r="E2203" t="s">
        <v>2848</v>
      </c>
      <c r="F2203" s="452">
        <v>46097</v>
      </c>
      <c r="G2203">
        <v>19553</v>
      </c>
      <c r="H2203" t="s">
        <v>4078</v>
      </c>
      <c r="I2203" t="s">
        <v>3469</v>
      </c>
      <c r="J2203">
        <v>1.5</v>
      </c>
      <c r="K2203" t="s">
        <v>3892</v>
      </c>
      <c r="L2203">
        <v>6.75</v>
      </c>
      <c r="M2203">
        <v>4.5</v>
      </c>
      <c r="N2203" t="s">
        <v>4240</v>
      </c>
      <c r="O2203" t="s">
        <v>463</v>
      </c>
    </row>
    <row r="2204" spans="1:15" x14ac:dyDescent="0.3">
      <c r="A2204">
        <v>219763</v>
      </c>
      <c r="B2204">
        <v>116</v>
      </c>
      <c r="C2204" t="s">
        <v>568</v>
      </c>
      <c r="D2204" t="s">
        <v>2286</v>
      </c>
      <c r="E2204" t="s">
        <v>2848</v>
      </c>
      <c r="F2204" s="452">
        <v>46097</v>
      </c>
      <c r="G2204">
        <v>19558</v>
      </c>
      <c r="H2204" t="s">
        <v>4183</v>
      </c>
      <c r="I2204" t="s">
        <v>3469</v>
      </c>
      <c r="J2204">
        <v>1</v>
      </c>
      <c r="K2204" t="s">
        <v>3892</v>
      </c>
      <c r="L2204">
        <v>15</v>
      </c>
      <c r="M2204">
        <v>15</v>
      </c>
      <c r="N2204" t="s">
        <v>4240</v>
      </c>
      <c r="O2204" t="s">
        <v>463</v>
      </c>
    </row>
    <row r="2205" spans="1:15" x14ac:dyDescent="0.3">
      <c r="A2205">
        <v>219763</v>
      </c>
      <c r="B2205">
        <v>116</v>
      </c>
      <c r="C2205" t="s">
        <v>568</v>
      </c>
      <c r="D2205" t="s">
        <v>2286</v>
      </c>
      <c r="E2205" t="s">
        <v>2848</v>
      </c>
      <c r="F2205" s="452">
        <v>46097</v>
      </c>
      <c r="G2205">
        <v>19740</v>
      </c>
      <c r="H2205" t="s">
        <v>3933</v>
      </c>
      <c r="I2205" t="s">
        <v>3469</v>
      </c>
      <c r="J2205">
        <v>6</v>
      </c>
      <c r="K2205" t="s">
        <v>3892</v>
      </c>
      <c r="L2205">
        <v>51</v>
      </c>
      <c r="M2205">
        <v>8.5</v>
      </c>
      <c r="N2205" t="s">
        <v>4240</v>
      </c>
      <c r="O2205" t="s">
        <v>463</v>
      </c>
    </row>
    <row r="2206" spans="1:15" x14ac:dyDescent="0.3">
      <c r="A2206">
        <v>219763</v>
      </c>
      <c r="B2206">
        <v>116</v>
      </c>
      <c r="C2206" t="s">
        <v>568</v>
      </c>
      <c r="D2206" t="s">
        <v>2286</v>
      </c>
      <c r="E2206" t="s">
        <v>2848</v>
      </c>
      <c r="F2206" s="452">
        <v>46097</v>
      </c>
      <c r="G2206">
        <v>19752</v>
      </c>
      <c r="H2206" t="s">
        <v>4042</v>
      </c>
      <c r="I2206" t="s">
        <v>3469</v>
      </c>
      <c r="J2206">
        <v>1</v>
      </c>
      <c r="K2206" t="s">
        <v>3892</v>
      </c>
      <c r="L2206">
        <v>8</v>
      </c>
      <c r="M2206">
        <v>8</v>
      </c>
      <c r="N2206" t="s">
        <v>4240</v>
      </c>
      <c r="O2206" t="s">
        <v>463</v>
      </c>
    </row>
    <row r="2207" spans="1:15" x14ac:dyDescent="0.3">
      <c r="A2207">
        <v>219763</v>
      </c>
      <c r="B2207">
        <v>116</v>
      </c>
      <c r="C2207" t="s">
        <v>568</v>
      </c>
      <c r="D2207" t="s">
        <v>2286</v>
      </c>
      <c r="E2207" t="s">
        <v>2848</v>
      </c>
      <c r="F2207" s="452">
        <v>46097</v>
      </c>
      <c r="G2207">
        <v>19494</v>
      </c>
      <c r="H2207" t="s">
        <v>4126</v>
      </c>
      <c r="I2207" t="s">
        <v>3469</v>
      </c>
      <c r="J2207">
        <v>2</v>
      </c>
      <c r="K2207" t="s">
        <v>3892</v>
      </c>
      <c r="L2207">
        <v>36</v>
      </c>
      <c r="M2207">
        <v>18</v>
      </c>
      <c r="N2207" t="s">
        <v>4240</v>
      </c>
      <c r="O2207" t="s">
        <v>463</v>
      </c>
    </row>
    <row r="2208" spans="1:15" x14ac:dyDescent="0.3">
      <c r="A2208">
        <v>219763</v>
      </c>
      <c r="B2208">
        <v>116</v>
      </c>
      <c r="C2208" t="s">
        <v>568</v>
      </c>
      <c r="D2208" t="s">
        <v>2286</v>
      </c>
      <c r="E2208" t="s">
        <v>2848</v>
      </c>
      <c r="F2208" s="452">
        <v>46097</v>
      </c>
      <c r="G2208">
        <v>23113</v>
      </c>
      <c r="H2208" t="s">
        <v>4079</v>
      </c>
      <c r="I2208" t="s">
        <v>3469</v>
      </c>
      <c r="J2208">
        <v>1</v>
      </c>
      <c r="K2208" t="s">
        <v>3892</v>
      </c>
      <c r="L2208">
        <v>9.5</v>
      </c>
      <c r="M2208">
        <v>9.5</v>
      </c>
      <c r="N2208" t="s">
        <v>4240</v>
      </c>
      <c r="O2208" t="s">
        <v>463</v>
      </c>
    </row>
    <row r="2209" spans="1:15" x14ac:dyDescent="0.3">
      <c r="A2209">
        <v>219763</v>
      </c>
      <c r="B2209">
        <v>116</v>
      </c>
      <c r="C2209" t="s">
        <v>568</v>
      </c>
      <c r="D2209" t="s">
        <v>2286</v>
      </c>
      <c r="E2209" t="s">
        <v>2848</v>
      </c>
      <c r="F2209" s="452">
        <v>46097</v>
      </c>
      <c r="G2209">
        <v>23120</v>
      </c>
      <c r="H2209" t="s">
        <v>4111</v>
      </c>
      <c r="I2209" t="s">
        <v>3469</v>
      </c>
      <c r="J2209">
        <v>0.2</v>
      </c>
      <c r="K2209" t="s">
        <v>3892</v>
      </c>
      <c r="L2209">
        <v>12</v>
      </c>
      <c r="M2209">
        <v>60</v>
      </c>
      <c r="N2209" t="s">
        <v>4240</v>
      </c>
      <c r="O2209" t="s">
        <v>463</v>
      </c>
    </row>
    <row r="2210" spans="1:15" x14ac:dyDescent="0.3">
      <c r="A2210">
        <v>219763</v>
      </c>
      <c r="B2210">
        <v>116</v>
      </c>
      <c r="C2210" t="s">
        <v>568</v>
      </c>
      <c r="D2210" t="s">
        <v>2286</v>
      </c>
      <c r="E2210" t="s">
        <v>2848</v>
      </c>
      <c r="F2210" s="452">
        <v>46097</v>
      </c>
      <c r="G2210">
        <v>23171</v>
      </c>
      <c r="H2210" t="s">
        <v>4132</v>
      </c>
      <c r="I2210" t="s">
        <v>3469</v>
      </c>
      <c r="J2210">
        <v>3</v>
      </c>
      <c r="K2210" t="s">
        <v>3892</v>
      </c>
      <c r="L2210">
        <v>28.5</v>
      </c>
      <c r="M2210">
        <v>9.5</v>
      </c>
      <c r="N2210" t="s">
        <v>4240</v>
      </c>
      <c r="O2210" t="s">
        <v>463</v>
      </c>
    </row>
    <row r="2211" spans="1:15" x14ac:dyDescent="0.3">
      <c r="A2211">
        <v>219763</v>
      </c>
      <c r="B2211">
        <v>116</v>
      </c>
      <c r="C2211" t="s">
        <v>568</v>
      </c>
      <c r="D2211" t="s">
        <v>2286</v>
      </c>
      <c r="E2211" t="s">
        <v>2848</v>
      </c>
      <c r="F2211" s="452">
        <v>46097</v>
      </c>
      <c r="G2211">
        <v>19617</v>
      </c>
      <c r="H2211" t="s">
        <v>4110</v>
      </c>
      <c r="I2211" t="s">
        <v>3469</v>
      </c>
      <c r="J2211">
        <v>0.3</v>
      </c>
      <c r="K2211" t="s">
        <v>3892</v>
      </c>
      <c r="L2211">
        <v>4.5</v>
      </c>
      <c r="M2211">
        <v>15</v>
      </c>
      <c r="N2211" t="s">
        <v>4240</v>
      </c>
      <c r="O2211" t="s">
        <v>463</v>
      </c>
    </row>
    <row r="2212" spans="1:15" x14ac:dyDescent="0.3">
      <c r="A2212">
        <v>219763</v>
      </c>
      <c r="B2212">
        <v>116</v>
      </c>
      <c r="C2212" t="s">
        <v>568</v>
      </c>
      <c r="D2212" t="s">
        <v>2286</v>
      </c>
      <c r="E2212" t="s">
        <v>2848</v>
      </c>
      <c r="F2212" s="452">
        <v>46097</v>
      </c>
      <c r="G2212">
        <v>23236</v>
      </c>
      <c r="H2212" t="s">
        <v>4017</v>
      </c>
      <c r="I2212" t="s">
        <v>3469</v>
      </c>
      <c r="J2212">
        <v>3</v>
      </c>
      <c r="K2212" t="s">
        <v>3892</v>
      </c>
      <c r="L2212">
        <v>25.5</v>
      </c>
      <c r="M2212">
        <v>8.5</v>
      </c>
      <c r="N2212" t="s">
        <v>4240</v>
      </c>
      <c r="O2212" t="s">
        <v>463</v>
      </c>
    </row>
    <row r="2213" spans="1:15" x14ac:dyDescent="0.3">
      <c r="A2213">
        <v>219763</v>
      </c>
      <c r="B2213">
        <v>116</v>
      </c>
      <c r="C2213" t="s">
        <v>568</v>
      </c>
      <c r="D2213" t="s">
        <v>2286</v>
      </c>
      <c r="E2213" t="s">
        <v>2848</v>
      </c>
      <c r="F2213" s="452">
        <v>46097</v>
      </c>
      <c r="G2213">
        <v>23359</v>
      </c>
      <c r="H2213" t="s">
        <v>3932</v>
      </c>
      <c r="I2213" t="s">
        <v>3469</v>
      </c>
      <c r="J2213">
        <v>10</v>
      </c>
      <c r="K2213" t="s">
        <v>3892</v>
      </c>
      <c r="L2213">
        <v>32.5</v>
      </c>
      <c r="M2213">
        <v>3.25</v>
      </c>
      <c r="N2213" t="s">
        <v>4240</v>
      </c>
      <c r="O2213" t="s">
        <v>463</v>
      </c>
    </row>
    <row r="2214" spans="1:15" x14ac:dyDescent="0.3">
      <c r="A2214">
        <v>219763</v>
      </c>
      <c r="B2214">
        <v>116</v>
      </c>
      <c r="C2214" t="s">
        <v>568</v>
      </c>
      <c r="D2214" t="s">
        <v>2286</v>
      </c>
      <c r="E2214" t="s">
        <v>2848</v>
      </c>
      <c r="F2214" s="452">
        <v>46097</v>
      </c>
      <c r="G2214">
        <v>24037</v>
      </c>
      <c r="H2214" t="s">
        <v>4104</v>
      </c>
      <c r="I2214" t="s">
        <v>3469</v>
      </c>
      <c r="J2214">
        <v>1</v>
      </c>
      <c r="K2214" t="s">
        <v>3892</v>
      </c>
      <c r="L2214">
        <v>18.899999999999999</v>
      </c>
      <c r="M2214">
        <v>18.899999999999999</v>
      </c>
      <c r="N2214" t="s">
        <v>4240</v>
      </c>
      <c r="O2214" t="s">
        <v>463</v>
      </c>
    </row>
    <row r="2215" spans="1:15" x14ac:dyDescent="0.3">
      <c r="A2215">
        <v>219763</v>
      </c>
      <c r="B2215">
        <v>116</v>
      </c>
      <c r="C2215" t="s">
        <v>568</v>
      </c>
      <c r="D2215" t="s">
        <v>2286</v>
      </c>
      <c r="E2215" t="s">
        <v>2848</v>
      </c>
      <c r="F2215" s="452">
        <v>46097</v>
      </c>
      <c r="G2215">
        <v>23142</v>
      </c>
      <c r="H2215" t="s">
        <v>4151</v>
      </c>
      <c r="I2215" t="s">
        <v>3469</v>
      </c>
      <c r="J2215">
        <v>1</v>
      </c>
      <c r="K2215" t="s">
        <v>3892</v>
      </c>
      <c r="L2215">
        <v>20</v>
      </c>
      <c r="M2215">
        <v>20</v>
      </c>
      <c r="N2215" t="s">
        <v>4240</v>
      </c>
      <c r="O2215" t="s">
        <v>463</v>
      </c>
    </row>
    <row r="2216" spans="1:15" x14ac:dyDescent="0.3">
      <c r="A2216">
        <v>219453</v>
      </c>
      <c r="B2216">
        <v>116</v>
      </c>
      <c r="C2216" t="s">
        <v>568</v>
      </c>
      <c r="D2216" t="s">
        <v>2262</v>
      </c>
      <c r="E2216" t="s">
        <v>2849</v>
      </c>
      <c r="F2216" s="452">
        <v>46087</v>
      </c>
      <c r="G2216">
        <v>18832</v>
      </c>
      <c r="H2216" t="s">
        <v>3900</v>
      </c>
      <c r="I2216" t="s">
        <v>3469</v>
      </c>
      <c r="J2216">
        <v>20.9</v>
      </c>
      <c r="K2216" t="s">
        <v>3892</v>
      </c>
      <c r="L2216">
        <v>875.71</v>
      </c>
      <c r="M2216">
        <v>41.9</v>
      </c>
      <c r="N2216" t="s">
        <v>3469</v>
      </c>
      <c r="O2216" t="s">
        <v>463</v>
      </c>
    </row>
    <row r="2217" spans="1:15" x14ac:dyDescent="0.3">
      <c r="A2217">
        <v>217966</v>
      </c>
      <c r="B2217">
        <v>116</v>
      </c>
      <c r="C2217" t="s">
        <v>568</v>
      </c>
      <c r="D2217" t="s">
        <v>2709</v>
      </c>
      <c r="E2217" t="s">
        <v>2850</v>
      </c>
      <c r="F2217" s="452">
        <v>46092</v>
      </c>
      <c r="G2217">
        <v>25768</v>
      </c>
      <c r="H2217" t="s">
        <v>4012</v>
      </c>
      <c r="I2217" t="s">
        <v>3469</v>
      </c>
      <c r="J2217">
        <v>7</v>
      </c>
      <c r="K2217" t="s">
        <v>3892</v>
      </c>
      <c r="L2217">
        <v>68.599999999999994</v>
      </c>
      <c r="M2217">
        <v>9.8000000000000007</v>
      </c>
      <c r="N2217" t="s">
        <v>4240</v>
      </c>
      <c r="O2217" t="s">
        <v>463</v>
      </c>
    </row>
    <row r="2218" spans="1:15" x14ac:dyDescent="0.3">
      <c r="A2218">
        <v>217966</v>
      </c>
      <c r="B2218">
        <v>116</v>
      </c>
      <c r="C2218" t="s">
        <v>568</v>
      </c>
      <c r="D2218" t="s">
        <v>2709</v>
      </c>
      <c r="E2218" t="s">
        <v>2850</v>
      </c>
      <c r="F2218" s="452">
        <v>46092</v>
      </c>
      <c r="G2218">
        <v>20624</v>
      </c>
      <c r="H2218" t="s">
        <v>3982</v>
      </c>
      <c r="I2218" t="s">
        <v>3469</v>
      </c>
      <c r="J2218">
        <v>2</v>
      </c>
      <c r="K2218" t="s">
        <v>3872</v>
      </c>
      <c r="L2218">
        <v>133.63999999999999</v>
      </c>
      <c r="M2218">
        <v>66.819999999999993</v>
      </c>
      <c r="N2218" t="s">
        <v>4240</v>
      </c>
      <c r="O2218" t="s">
        <v>463</v>
      </c>
    </row>
    <row r="2219" spans="1:15" x14ac:dyDescent="0.3">
      <c r="A2219">
        <v>217963</v>
      </c>
      <c r="B2219">
        <v>116</v>
      </c>
      <c r="C2219" t="s">
        <v>568</v>
      </c>
      <c r="D2219" t="s">
        <v>2267</v>
      </c>
      <c r="E2219" t="s">
        <v>2851</v>
      </c>
      <c r="F2219" s="452">
        <v>46093</v>
      </c>
      <c r="G2219">
        <v>24517</v>
      </c>
      <c r="H2219" t="s">
        <v>3991</v>
      </c>
      <c r="I2219" t="s">
        <v>3469</v>
      </c>
      <c r="J2219">
        <v>8.5</v>
      </c>
      <c r="K2219" t="s">
        <v>3892</v>
      </c>
      <c r="L2219">
        <v>237.91</v>
      </c>
      <c r="M2219">
        <v>27.989412000000002</v>
      </c>
      <c r="N2219" t="s">
        <v>4240</v>
      </c>
      <c r="O2219" t="s">
        <v>463</v>
      </c>
    </row>
    <row r="2220" spans="1:15" x14ac:dyDescent="0.3">
      <c r="A2220">
        <v>217963</v>
      </c>
      <c r="B2220">
        <v>116</v>
      </c>
      <c r="C2220" t="s">
        <v>568</v>
      </c>
      <c r="D2220" t="s">
        <v>2267</v>
      </c>
      <c r="E2220" t="s">
        <v>2851</v>
      </c>
      <c r="F2220" s="452">
        <v>46093</v>
      </c>
      <c r="G2220">
        <v>18682</v>
      </c>
      <c r="H2220" t="s">
        <v>4025</v>
      </c>
      <c r="I2220" t="s">
        <v>3469</v>
      </c>
      <c r="J2220">
        <v>7.2</v>
      </c>
      <c r="K2220" t="s">
        <v>3892</v>
      </c>
      <c r="L2220">
        <v>201.53</v>
      </c>
      <c r="M2220">
        <v>27.990278</v>
      </c>
      <c r="N2220" t="s">
        <v>4240</v>
      </c>
      <c r="O2220" t="s">
        <v>463</v>
      </c>
    </row>
    <row r="2221" spans="1:15" x14ac:dyDescent="0.3">
      <c r="A2221">
        <v>217963</v>
      </c>
      <c r="B2221">
        <v>116</v>
      </c>
      <c r="C2221" t="s">
        <v>568</v>
      </c>
      <c r="D2221" t="s">
        <v>2267</v>
      </c>
      <c r="E2221" t="s">
        <v>2851</v>
      </c>
      <c r="F2221" s="452">
        <v>46093</v>
      </c>
      <c r="G2221">
        <v>20549</v>
      </c>
      <c r="H2221" t="s">
        <v>4007</v>
      </c>
      <c r="I2221" t="s">
        <v>3469</v>
      </c>
      <c r="J2221">
        <v>6.3</v>
      </c>
      <c r="K2221" t="s">
        <v>3892</v>
      </c>
      <c r="L2221">
        <v>125.94</v>
      </c>
      <c r="M2221">
        <v>19.990476000000001</v>
      </c>
      <c r="N2221" t="s">
        <v>4240</v>
      </c>
      <c r="O2221" t="s">
        <v>463</v>
      </c>
    </row>
    <row r="2222" spans="1:15" x14ac:dyDescent="0.3">
      <c r="A2222">
        <v>217962</v>
      </c>
      <c r="B2222">
        <v>116</v>
      </c>
      <c r="C2222" t="s">
        <v>568</v>
      </c>
      <c r="D2222" t="s">
        <v>2277</v>
      </c>
      <c r="E2222" t="s">
        <v>2852</v>
      </c>
      <c r="F2222" s="452">
        <v>46078</v>
      </c>
      <c r="G2222">
        <v>21093</v>
      </c>
      <c r="H2222" t="s">
        <v>3903</v>
      </c>
      <c r="I2222" t="s">
        <v>3469</v>
      </c>
      <c r="J2222">
        <v>10</v>
      </c>
      <c r="K2222" t="s">
        <v>3872</v>
      </c>
      <c r="L2222">
        <v>43.9</v>
      </c>
      <c r="M2222">
        <v>4.3899999999999997</v>
      </c>
      <c r="N2222" t="s">
        <v>3469</v>
      </c>
      <c r="O2222" t="s">
        <v>462</v>
      </c>
    </row>
    <row r="2223" spans="1:15" x14ac:dyDescent="0.3">
      <c r="A2223">
        <v>217962</v>
      </c>
      <c r="B2223">
        <v>116</v>
      </c>
      <c r="C2223" t="s">
        <v>568</v>
      </c>
      <c r="D2223" t="s">
        <v>2277</v>
      </c>
      <c r="E2223" t="s">
        <v>2852</v>
      </c>
      <c r="F2223" s="452">
        <v>46078</v>
      </c>
      <c r="G2223">
        <v>21021</v>
      </c>
      <c r="H2223" t="s">
        <v>4242</v>
      </c>
      <c r="I2223" t="s">
        <v>3469</v>
      </c>
      <c r="J2223">
        <v>2</v>
      </c>
      <c r="K2223" t="s">
        <v>3872</v>
      </c>
      <c r="L2223">
        <v>349.06</v>
      </c>
      <c r="M2223">
        <v>174.53</v>
      </c>
      <c r="N2223" t="s">
        <v>3469</v>
      </c>
      <c r="O2223" t="s">
        <v>462</v>
      </c>
    </row>
    <row r="2224" spans="1:15" x14ac:dyDescent="0.3">
      <c r="A2224">
        <v>217962</v>
      </c>
      <c r="B2224">
        <v>116</v>
      </c>
      <c r="C2224" t="s">
        <v>568</v>
      </c>
      <c r="D2224" t="s">
        <v>2277</v>
      </c>
      <c r="E2224" t="s">
        <v>2852</v>
      </c>
      <c r="F2224" s="452">
        <v>46078</v>
      </c>
      <c r="G2224">
        <v>20227</v>
      </c>
      <c r="H2224" t="s">
        <v>3968</v>
      </c>
      <c r="I2224" t="s">
        <v>3469</v>
      </c>
      <c r="J2224">
        <v>5</v>
      </c>
      <c r="K2224" t="s">
        <v>3888</v>
      </c>
      <c r="L2224">
        <v>57.5</v>
      </c>
      <c r="M2224">
        <v>11.5</v>
      </c>
      <c r="N2224" t="s">
        <v>3469</v>
      </c>
      <c r="O2224" t="s">
        <v>462</v>
      </c>
    </row>
    <row r="2225" spans="1:15" x14ac:dyDescent="0.3">
      <c r="A2225">
        <v>217962</v>
      </c>
      <c r="B2225">
        <v>116</v>
      </c>
      <c r="C2225" t="s">
        <v>568</v>
      </c>
      <c r="D2225" t="s">
        <v>2277</v>
      </c>
      <c r="E2225" t="s">
        <v>2852</v>
      </c>
      <c r="F2225" s="452">
        <v>46078</v>
      </c>
      <c r="G2225">
        <v>20729</v>
      </c>
      <c r="H2225" t="s">
        <v>3965</v>
      </c>
      <c r="I2225" t="s">
        <v>3469</v>
      </c>
      <c r="J2225">
        <v>2</v>
      </c>
      <c r="K2225" t="s">
        <v>3966</v>
      </c>
      <c r="L2225">
        <v>131.76</v>
      </c>
      <c r="M2225">
        <v>65.88</v>
      </c>
      <c r="N2225" t="s">
        <v>3469</v>
      </c>
      <c r="O2225" t="s">
        <v>462</v>
      </c>
    </row>
    <row r="2226" spans="1:15" x14ac:dyDescent="0.3">
      <c r="A2226">
        <v>217962</v>
      </c>
      <c r="B2226">
        <v>116</v>
      </c>
      <c r="C2226" t="s">
        <v>568</v>
      </c>
      <c r="D2226" t="s">
        <v>2277</v>
      </c>
      <c r="E2226" t="s">
        <v>2852</v>
      </c>
      <c r="F2226" s="452">
        <v>46078</v>
      </c>
      <c r="G2226">
        <v>20752</v>
      </c>
      <c r="H2226" t="s">
        <v>3964</v>
      </c>
      <c r="I2226" t="s">
        <v>3469</v>
      </c>
      <c r="J2226">
        <v>3</v>
      </c>
      <c r="K2226" t="s">
        <v>3872</v>
      </c>
      <c r="L2226">
        <v>308.39999999999998</v>
      </c>
      <c r="M2226">
        <v>102.8</v>
      </c>
      <c r="N2226" t="s">
        <v>3469</v>
      </c>
      <c r="O2226" t="s">
        <v>462</v>
      </c>
    </row>
    <row r="2227" spans="1:15" x14ac:dyDescent="0.3">
      <c r="A2227">
        <v>217962</v>
      </c>
      <c r="B2227">
        <v>116</v>
      </c>
      <c r="C2227" t="s">
        <v>568</v>
      </c>
      <c r="D2227" t="s">
        <v>2277</v>
      </c>
      <c r="E2227" t="s">
        <v>2852</v>
      </c>
      <c r="F2227" s="452">
        <v>46078</v>
      </c>
      <c r="G2227">
        <v>24449</v>
      </c>
      <c r="H2227" t="s">
        <v>4344</v>
      </c>
      <c r="I2227" t="s">
        <v>3469</v>
      </c>
      <c r="J2227">
        <v>7.5</v>
      </c>
      <c r="K2227" t="s">
        <v>3892</v>
      </c>
      <c r="L2227">
        <v>528.75</v>
      </c>
      <c r="M2227">
        <v>70.5</v>
      </c>
      <c r="N2227" t="s">
        <v>3469</v>
      </c>
      <c r="O2227" t="s">
        <v>462</v>
      </c>
    </row>
    <row r="2228" spans="1:15" x14ac:dyDescent="0.3">
      <c r="A2228">
        <v>217962</v>
      </c>
      <c r="B2228">
        <v>116</v>
      </c>
      <c r="C2228" t="s">
        <v>568</v>
      </c>
      <c r="D2228" t="s">
        <v>2277</v>
      </c>
      <c r="E2228" t="s">
        <v>2852</v>
      </c>
      <c r="F2228" s="452">
        <v>46078</v>
      </c>
      <c r="G2228">
        <v>23982</v>
      </c>
      <c r="H2228" t="s">
        <v>3977</v>
      </c>
      <c r="I2228" t="s">
        <v>3469</v>
      </c>
      <c r="J2228">
        <v>1</v>
      </c>
      <c r="K2228" t="s">
        <v>3872</v>
      </c>
      <c r="L2228">
        <v>240.59</v>
      </c>
      <c r="M2228">
        <v>240.59</v>
      </c>
      <c r="N2228" t="s">
        <v>3469</v>
      </c>
      <c r="O2228" t="s">
        <v>462</v>
      </c>
    </row>
    <row r="2229" spans="1:15" x14ac:dyDescent="0.3">
      <c r="A2229">
        <v>217961</v>
      </c>
      <c r="B2229">
        <v>116</v>
      </c>
      <c r="C2229" t="s">
        <v>568</v>
      </c>
      <c r="D2229" t="s">
        <v>2314</v>
      </c>
      <c r="E2229" t="s">
        <v>2853</v>
      </c>
      <c r="F2229" s="452">
        <v>46086</v>
      </c>
      <c r="G2229">
        <v>18636</v>
      </c>
      <c r="H2229" t="s">
        <v>3921</v>
      </c>
      <c r="I2229" t="s">
        <v>3497</v>
      </c>
      <c r="J2229">
        <v>6</v>
      </c>
      <c r="K2229" t="s">
        <v>3922</v>
      </c>
      <c r="L2229">
        <v>2896.8</v>
      </c>
      <c r="M2229">
        <v>482.8</v>
      </c>
      <c r="N2229" t="s">
        <v>3497</v>
      </c>
      <c r="O2229" t="s">
        <v>463</v>
      </c>
    </row>
    <row r="2230" spans="1:15" x14ac:dyDescent="0.3">
      <c r="A2230">
        <v>217960</v>
      </c>
      <c r="B2230">
        <v>116</v>
      </c>
      <c r="C2230" t="s">
        <v>568</v>
      </c>
      <c r="D2230" t="s">
        <v>2280</v>
      </c>
      <c r="E2230" t="s">
        <v>1783</v>
      </c>
      <c r="F2230" s="452">
        <v>46086</v>
      </c>
      <c r="G2230">
        <v>19634</v>
      </c>
      <c r="H2230" t="s">
        <v>4068</v>
      </c>
      <c r="I2230" t="s">
        <v>3469</v>
      </c>
      <c r="J2230">
        <v>3</v>
      </c>
      <c r="K2230" t="s">
        <v>3892</v>
      </c>
      <c r="L2230">
        <v>29.25</v>
      </c>
      <c r="M2230">
        <v>9.75</v>
      </c>
      <c r="N2230" t="s">
        <v>4240</v>
      </c>
      <c r="O2230" t="s">
        <v>463</v>
      </c>
    </row>
    <row r="2231" spans="1:15" x14ac:dyDescent="0.3">
      <c r="A2231">
        <v>217960</v>
      </c>
      <c r="B2231">
        <v>116</v>
      </c>
      <c r="C2231" t="s">
        <v>568</v>
      </c>
      <c r="D2231" t="s">
        <v>2280</v>
      </c>
      <c r="E2231" t="s">
        <v>1783</v>
      </c>
      <c r="F2231" s="452">
        <v>46086</v>
      </c>
      <c r="G2231">
        <v>19607</v>
      </c>
      <c r="H2231" t="s">
        <v>4105</v>
      </c>
      <c r="I2231" t="s">
        <v>3469</v>
      </c>
      <c r="J2231">
        <v>1</v>
      </c>
      <c r="K2231" t="s">
        <v>3892</v>
      </c>
      <c r="L2231">
        <v>16.25</v>
      </c>
      <c r="M2231">
        <v>16.25</v>
      </c>
      <c r="N2231" t="s">
        <v>4240</v>
      </c>
      <c r="O2231" t="s">
        <v>463</v>
      </c>
    </row>
    <row r="2232" spans="1:15" x14ac:dyDescent="0.3">
      <c r="A2232">
        <v>217960</v>
      </c>
      <c r="B2232">
        <v>116</v>
      </c>
      <c r="C2232" t="s">
        <v>568</v>
      </c>
      <c r="D2232" t="s">
        <v>2280</v>
      </c>
      <c r="E2232" t="s">
        <v>1783</v>
      </c>
      <c r="F2232" s="452">
        <v>46086</v>
      </c>
      <c r="G2232">
        <v>24598</v>
      </c>
      <c r="H2232" t="s">
        <v>4166</v>
      </c>
      <c r="I2232" t="s">
        <v>3469</v>
      </c>
      <c r="J2232">
        <v>1</v>
      </c>
      <c r="K2232" t="s">
        <v>3892</v>
      </c>
      <c r="L2232">
        <v>12.5</v>
      </c>
      <c r="M2232">
        <v>12.5</v>
      </c>
      <c r="N2232" t="s">
        <v>4240</v>
      </c>
      <c r="O2232" t="s">
        <v>463</v>
      </c>
    </row>
    <row r="2233" spans="1:15" x14ac:dyDescent="0.3">
      <c r="A2233">
        <v>217960</v>
      </c>
      <c r="B2233">
        <v>116</v>
      </c>
      <c r="C2233" t="s">
        <v>568</v>
      </c>
      <c r="D2233" t="s">
        <v>2280</v>
      </c>
      <c r="E2233" t="s">
        <v>1783</v>
      </c>
      <c r="F2233" s="452">
        <v>46086</v>
      </c>
      <c r="G2233">
        <v>23096</v>
      </c>
      <c r="H2233" t="s">
        <v>3876</v>
      </c>
      <c r="I2233" t="s">
        <v>3469</v>
      </c>
      <c r="J2233">
        <v>60</v>
      </c>
      <c r="K2233" t="s">
        <v>3872</v>
      </c>
      <c r="L2233">
        <v>41.4</v>
      </c>
      <c r="M2233">
        <v>0.69</v>
      </c>
      <c r="N2233" t="s">
        <v>4240</v>
      </c>
      <c r="O2233" t="s">
        <v>463</v>
      </c>
    </row>
    <row r="2234" spans="1:15" x14ac:dyDescent="0.3">
      <c r="A2234">
        <v>217956</v>
      </c>
      <c r="B2234">
        <v>116</v>
      </c>
      <c r="C2234" t="s">
        <v>568</v>
      </c>
      <c r="D2234" t="s">
        <v>2273</v>
      </c>
      <c r="E2234" t="s">
        <v>2854</v>
      </c>
      <c r="F2234" s="452">
        <v>46086</v>
      </c>
      <c r="G2234">
        <v>24083</v>
      </c>
      <c r="H2234" t="s">
        <v>3898</v>
      </c>
      <c r="I2234" t="s">
        <v>3469</v>
      </c>
      <c r="J2234">
        <v>25</v>
      </c>
      <c r="K2234" t="s">
        <v>3892</v>
      </c>
      <c r="L2234">
        <v>107</v>
      </c>
      <c r="M2234">
        <v>4.28</v>
      </c>
      <c r="N2234" t="s">
        <v>3469</v>
      </c>
      <c r="O2234" t="s">
        <v>463</v>
      </c>
    </row>
    <row r="2235" spans="1:15" x14ac:dyDescent="0.3">
      <c r="A2235">
        <v>217956</v>
      </c>
      <c r="B2235">
        <v>116</v>
      </c>
      <c r="C2235" t="s">
        <v>568</v>
      </c>
      <c r="D2235" t="s">
        <v>2273</v>
      </c>
      <c r="E2235" t="s">
        <v>2854</v>
      </c>
      <c r="F2235" s="452">
        <v>46086</v>
      </c>
      <c r="G2235">
        <v>19642</v>
      </c>
      <c r="H2235" t="s">
        <v>4067</v>
      </c>
      <c r="I2235" t="s">
        <v>3469</v>
      </c>
      <c r="J2235">
        <v>1</v>
      </c>
      <c r="K2235" t="s">
        <v>3892</v>
      </c>
      <c r="L2235">
        <v>4.93</v>
      </c>
      <c r="M2235">
        <v>4.93</v>
      </c>
      <c r="N2235" t="s">
        <v>3469</v>
      </c>
      <c r="O2235" t="s">
        <v>463</v>
      </c>
    </row>
    <row r="2236" spans="1:15" x14ac:dyDescent="0.3">
      <c r="A2236">
        <v>217956</v>
      </c>
      <c r="B2236">
        <v>116</v>
      </c>
      <c r="C2236" t="s">
        <v>568</v>
      </c>
      <c r="D2236" t="s">
        <v>2273</v>
      </c>
      <c r="E2236" t="s">
        <v>2854</v>
      </c>
      <c r="F2236" s="452">
        <v>46086</v>
      </c>
      <c r="G2236">
        <v>23361</v>
      </c>
      <c r="H2236" t="s">
        <v>4220</v>
      </c>
      <c r="I2236" t="s">
        <v>3469</v>
      </c>
      <c r="J2236">
        <v>36</v>
      </c>
      <c r="K2236" t="s">
        <v>3892</v>
      </c>
      <c r="L2236">
        <v>119.88</v>
      </c>
      <c r="M2236">
        <v>3.33</v>
      </c>
      <c r="N2236" t="s">
        <v>3469</v>
      </c>
      <c r="O2236" t="s">
        <v>463</v>
      </c>
    </row>
    <row r="2237" spans="1:15" x14ac:dyDescent="0.3">
      <c r="A2237">
        <v>217956</v>
      </c>
      <c r="B2237">
        <v>116</v>
      </c>
      <c r="C2237" t="s">
        <v>568</v>
      </c>
      <c r="D2237" t="s">
        <v>2273</v>
      </c>
      <c r="E2237" t="s">
        <v>2854</v>
      </c>
      <c r="F2237" s="452">
        <v>46086</v>
      </c>
      <c r="G2237">
        <v>23389</v>
      </c>
      <c r="H2237" t="s">
        <v>4016</v>
      </c>
      <c r="I2237" t="s">
        <v>3469</v>
      </c>
      <c r="J2237">
        <v>6</v>
      </c>
      <c r="K2237" t="s">
        <v>3892</v>
      </c>
      <c r="L2237">
        <v>28.98</v>
      </c>
      <c r="M2237">
        <v>4.83</v>
      </c>
      <c r="N2237" t="s">
        <v>3469</v>
      </c>
      <c r="O2237" t="s">
        <v>463</v>
      </c>
    </row>
    <row r="2238" spans="1:15" x14ac:dyDescent="0.3">
      <c r="A2238">
        <v>217956</v>
      </c>
      <c r="B2238">
        <v>116</v>
      </c>
      <c r="C2238" t="s">
        <v>568</v>
      </c>
      <c r="D2238" t="s">
        <v>2273</v>
      </c>
      <c r="E2238" t="s">
        <v>2854</v>
      </c>
      <c r="F2238" s="452">
        <v>46086</v>
      </c>
      <c r="G2238">
        <v>19539</v>
      </c>
      <c r="H2238" t="s">
        <v>4133</v>
      </c>
      <c r="I2238" t="s">
        <v>3469</v>
      </c>
      <c r="J2238">
        <v>18</v>
      </c>
      <c r="K2238" t="s">
        <v>3892</v>
      </c>
      <c r="L2238">
        <v>117.54</v>
      </c>
      <c r="M2238">
        <v>6.53</v>
      </c>
      <c r="N2238" t="s">
        <v>3469</v>
      </c>
      <c r="O2238" t="s">
        <v>463</v>
      </c>
    </row>
    <row r="2239" spans="1:15" x14ac:dyDescent="0.3">
      <c r="A2239">
        <v>217948</v>
      </c>
      <c r="B2239">
        <v>116</v>
      </c>
      <c r="C2239" t="s">
        <v>568</v>
      </c>
      <c r="D2239" t="s">
        <v>2265</v>
      </c>
      <c r="E2239" t="s">
        <v>2855</v>
      </c>
      <c r="F2239" s="452">
        <v>46091</v>
      </c>
      <c r="G2239">
        <v>17129</v>
      </c>
      <c r="H2239" t="s">
        <v>4200</v>
      </c>
      <c r="I2239" t="s">
        <v>4199</v>
      </c>
      <c r="J2239">
        <v>1</v>
      </c>
      <c r="K2239" t="s">
        <v>3888</v>
      </c>
      <c r="L2239">
        <v>26.61</v>
      </c>
      <c r="M2239">
        <v>26.61</v>
      </c>
      <c r="N2239" t="s">
        <v>2176</v>
      </c>
      <c r="O2239" t="s">
        <v>463</v>
      </c>
    </row>
    <row r="2240" spans="1:15" x14ac:dyDescent="0.3">
      <c r="A2240">
        <v>217948</v>
      </c>
      <c r="B2240">
        <v>116</v>
      </c>
      <c r="C2240" t="s">
        <v>568</v>
      </c>
      <c r="D2240" t="s">
        <v>2265</v>
      </c>
      <c r="E2240" t="s">
        <v>2855</v>
      </c>
      <c r="F2240" s="452">
        <v>46091</v>
      </c>
      <c r="G2240">
        <v>17437</v>
      </c>
      <c r="H2240" t="s">
        <v>4198</v>
      </c>
      <c r="I2240" t="s">
        <v>4199</v>
      </c>
      <c r="J2240">
        <v>10</v>
      </c>
      <c r="K2240" t="s">
        <v>3872</v>
      </c>
      <c r="L2240">
        <v>23</v>
      </c>
      <c r="M2240">
        <v>2.2999999999999998</v>
      </c>
      <c r="N2240" t="s">
        <v>2176</v>
      </c>
      <c r="O2240" t="s">
        <v>463</v>
      </c>
    </row>
    <row r="2241" spans="1:15" x14ac:dyDescent="0.3">
      <c r="A2241">
        <v>217948</v>
      </c>
      <c r="B2241">
        <v>116</v>
      </c>
      <c r="C2241" t="s">
        <v>568</v>
      </c>
      <c r="D2241" t="s">
        <v>2265</v>
      </c>
      <c r="E2241" t="s">
        <v>2855</v>
      </c>
      <c r="F2241" s="452">
        <v>46091</v>
      </c>
      <c r="G2241">
        <v>17531</v>
      </c>
      <c r="H2241" t="s">
        <v>4345</v>
      </c>
      <c r="I2241" t="s">
        <v>4199</v>
      </c>
      <c r="J2241">
        <v>1</v>
      </c>
      <c r="K2241" t="s">
        <v>3881</v>
      </c>
      <c r="L2241">
        <v>125</v>
      </c>
      <c r="M2241">
        <v>125</v>
      </c>
      <c r="N2241" t="s">
        <v>2176</v>
      </c>
      <c r="O2241" t="s">
        <v>463</v>
      </c>
    </row>
    <row r="2242" spans="1:15" x14ac:dyDescent="0.3">
      <c r="A2242">
        <v>217948</v>
      </c>
      <c r="B2242">
        <v>116</v>
      </c>
      <c r="C2242" t="s">
        <v>568</v>
      </c>
      <c r="D2242" t="s">
        <v>2265</v>
      </c>
      <c r="E2242" t="s">
        <v>2855</v>
      </c>
      <c r="F2242" s="452">
        <v>46091</v>
      </c>
      <c r="G2242">
        <v>17314</v>
      </c>
      <c r="H2242" t="s">
        <v>4204</v>
      </c>
      <c r="I2242" t="s">
        <v>4199</v>
      </c>
      <c r="J2242">
        <v>3</v>
      </c>
      <c r="K2242" t="s">
        <v>3978</v>
      </c>
      <c r="L2242">
        <v>17.670000000000002</v>
      </c>
      <c r="M2242">
        <v>5.89</v>
      </c>
      <c r="N2242" t="s">
        <v>2176</v>
      </c>
      <c r="O2242" t="s">
        <v>463</v>
      </c>
    </row>
    <row r="2243" spans="1:15" x14ac:dyDescent="0.3">
      <c r="A2243">
        <v>217948</v>
      </c>
      <c r="B2243">
        <v>116</v>
      </c>
      <c r="C2243" t="s">
        <v>568</v>
      </c>
      <c r="D2243" t="s">
        <v>2265</v>
      </c>
      <c r="E2243" t="s">
        <v>2855</v>
      </c>
      <c r="F2243" s="452">
        <v>46091</v>
      </c>
      <c r="G2243">
        <v>17342</v>
      </c>
      <c r="H2243" t="s">
        <v>4208</v>
      </c>
      <c r="I2243" t="s">
        <v>4199</v>
      </c>
      <c r="J2243">
        <v>1</v>
      </c>
      <c r="K2243" t="s">
        <v>3931</v>
      </c>
      <c r="L2243">
        <v>34.229999999999997</v>
      </c>
      <c r="M2243">
        <v>34.229999999999997</v>
      </c>
      <c r="N2243" t="s">
        <v>2176</v>
      </c>
      <c r="O2243" t="s">
        <v>463</v>
      </c>
    </row>
    <row r="2244" spans="1:15" x14ac:dyDescent="0.3">
      <c r="A2244">
        <v>217948</v>
      </c>
      <c r="B2244">
        <v>116</v>
      </c>
      <c r="C2244" t="s">
        <v>568</v>
      </c>
      <c r="D2244" t="s">
        <v>2265</v>
      </c>
      <c r="E2244" t="s">
        <v>2855</v>
      </c>
      <c r="F2244" s="452">
        <v>46091</v>
      </c>
      <c r="G2244">
        <v>17266</v>
      </c>
      <c r="H2244" t="s">
        <v>4229</v>
      </c>
      <c r="I2244" t="s">
        <v>4199</v>
      </c>
      <c r="J2244">
        <v>12</v>
      </c>
      <c r="K2244" t="s">
        <v>3872</v>
      </c>
      <c r="L2244">
        <v>55.8</v>
      </c>
      <c r="M2244">
        <v>4.6500000000000004</v>
      </c>
      <c r="N2244" t="s">
        <v>2176</v>
      </c>
      <c r="O2244" t="s">
        <v>463</v>
      </c>
    </row>
    <row r="2245" spans="1:15" x14ac:dyDescent="0.3">
      <c r="A2245">
        <v>217948</v>
      </c>
      <c r="B2245">
        <v>116</v>
      </c>
      <c r="C2245" t="s">
        <v>568</v>
      </c>
      <c r="D2245" t="s">
        <v>2265</v>
      </c>
      <c r="E2245" t="s">
        <v>2855</v>
      </c>
      <c r="F2245" s="452">
        <v>46091</v>
      </c>
      <c r="G2245">
        <v>17215</v>
      </c>
      <c r="H2245" t="s">
        <v>4283</v>
      </c>
      <c r="I2245" t="s">
        <v>4199</v>
      </c>
      <c r="J2245">
        <v>5</v>
      </c>
      <c r="K2245" t="s">
        <v>3978</v>
      </c>
      <c r="L2245">
        <v>99.95</v>
      </c>
      <c r="M2245">
        <v>19.989999999999998</v>
      </c>
      <c r="N2245" t="s">
        <v>2176</v>
      </c>
      <c r="O2245" t="s">
        <v>463</v>
      </c>
    </row>
    <row r="2246" spans="1:15" x14ac:dyDescent="0.3">
      <c r="A2246">
        <v>217948</v>
      </c>
      <c r="B2246">
        <v>116</v>
      </c>
      <c r="C2246" t="s">
        <v>568</v>
      </c>
      <c r="D2246" t="s">
        <v>2265</v>
      </c>
      <c r="E2246" t="s">
        <v>2855</v>
      </c>
      <c r="F2246" s="452">
        <v>46091</v>
      </c>
      <c r="G2246">
        <v>17498</v>
      </c>
      <c r="H2246" t="s">
        <v>4243</v>
      </c>
      <c r="I2246" t="s">
        <v>4199</v>
      </c>
      <c r="J2246">
        <v>2</v>
      </c>
      <c r="K2246" t="s">
        <v>3881</v>
      </c>
      <c r="L2246">
        <v>42</v>
      </c>
      <c r="M2246">
        <v>21</v>
      </c>
      <c r="N2246" t="s">
        <v>2176</v>
      </c>
      <c r="O2246" t="s">
        <v>463</v>
      </c>
    </row>
    <row r="2247" spans="1:15" x14ac:dyDescent="0.3">
      <c r="A2247">
        <v>217948</v>
      </c>
      <c r="B2247">
        <v>116</v>
      </c>
      <c r="C2247" t="s">
        <v>568</v>
      </c>
      <c r="D2247" t="s">
        <v>2265</v>
      </c>
      <c r="E2247" t="s">
        <v>2855</v>
      </c>
      <c r="F2247" s="452">
        <v>46091</v>
      </c>
      <c r="G2247">
        <v>17444</v>
      </c>
      <c r="H2247" t="s">
        <v>4211</v>
      </c>
      <c r="I2247" t="s">
        <v>4199</v>
      </c>
      <c r="J2247">
        <v>1</v>
      </c>
      <c r="K2247" t="s">
        <v>3888</v>
      </c>
      <c r="L2247">
        <v>12.59</v>
      </c>
      <c r="M2247">
        <v>12.59</v>
      </c>
      <c r="N2247" t="s">
        <v>2176</v>
      </c>
      <c r="O2247" t="s">
        <v>463</v>
      </c>
    </row>
    <row r="2248" spans="1:15" x14ac:dyDescent="0.3">
      <c r="A2248">
        <v>217948</v>
      </c>
      <c r="B2248">
        <v>116</v>
      </c>
      <c r="C2248" t="s">
        <v>568</v>
      </c>
      <c r="D2248" t="s">
        <v>2265</v>
      </c>
      <c r="E2248" t="s">
        <v>2855</v>
      </c>
      <c r="F2248" s="452">
        <v>46091</v>
      </c>
      <c r="G2248">
        <v>17416</v>
      </c>
      <c r="H2248" t="s">
        <v>4205</v>
      </c>
      <c r="I2248" t="s">
        <v>4199</v>
      </c>
      <c r="J2248">
        <v>4</v>
      </c>
      <c r="K2248" t="s">
        <v>3881</v>
      </c>
      <c r="L2248">
        <v>194.32</v>
      </c>
      <c r="M2248">
        <v>48.58</v>
      </c>
      <c r="N2248" t="s">
        <v>2176</v>
      </c>
      <c r="O2248" t="s">
        <v>463</v>
      </c>
    </row>
    <row r="2249" spans="1:15" x14ac:dyDescent="0.3">
      <c r="A2249">
        <v>217948</v>
      </c>
      <c r="B2249">
        <v>116</v>
      </c>
      <c r="C2249" t="s">
        <v>568</v>
      </c>
      <c r="D2249" t="s">
        <v>2265</v>
      </c>
      <c r="E2249" t="s">
        <v>2855</v>
      </c>
      <c r="F2249" s="452">
        <v>46091</v>
      </c>
      <c r="G2249">
        <v>28386</v>
      </c>
      <c r="H2249" t="s">
        <v>4245</v>
      </c>
      <c r="I2249" t="s">
        <v>4199</v>
      </c>
      <c r="J2249">
        <v>2</v>
      </c>
      <c r="K2249" t="s">
        <v>4203</v>
      </c>
      <c r="L2249">
        <v>83.34</v>
      </c>
      <c r="M2249">
        <v>41.67</v>
      </c>
      <c r="N2249" t="s">
        <v>2176</v>
      </c>
      <c r="O2249" t="s">
        <v>463</v>
      </c>
    </row>
    <row r="2250" spans="1:15" x14ac:dyDescent="0.3">
      <c r="A2250">
        <v>217946</v>
      </c>
      <c r="B2250">
        <v>116</v>
      </c>
      <c r="C2250" t="s">
        <v>568</v>
      </c>
      <c r="D2250" t="s">
        <v>2286</v>
      </c>
      <c r="E2250" t="s">
        <v>2856</v>
      </c>
      <c r="F2250" s="452">
        <v>46090</v>
      </c>
      <c r="G2250">
        <v>24083</v>
      </c>
      <c r="H2250" t="s">
        <v>3898</v>
      </c>
      <c r="I2250" t="s">
        <v>3469</v>
      </c>
      <c r="J2250">
        <v>10</v>
      </c>
      <c r="K2250" t="s">
        <v>3892</v>
      </c>
      <c r="L2250">
        <v>66</v>
      </c>
      <c r="M2250">
        <v>6.6</v>
      </c>
      <c r="N2250" t="s">
        <v>4240</v>
      </c>
      <c r="O2250" t="s">
        <v>463</v>
      </c>
    </row>
    <row r="2251" spans="1:15" x14ac:dyDescent="0.3">
      <c r="A2251">
        <v>217946</v>
      </c>
      <c r="B2251">
        <v>116</v>
      </c>
      <c r="C2251" t="s">
        <v>568</v>
      </c>
      <c r="D2251" t="s">
        <v>2286</v>
      </c>
      <c r="E2251" t="s">
        <v>2856</v>
      </c>
      <c r="F2251" s="452">
        <v>46090</v>
      </c>
      <c r="G2251">
        <v>19506</v>
      </c>
      <c r="H2251" t="s">
        <v>4112</v>
      </c>
      <c r="I2251" t="s">
        <v>3469</v>
      </c>
      <c r="J2251">
        <v>0.2</v>
      </c>
      <c r="K2251" t="s">
        <v>3892</v>
      </c>
      <c r="L2251">
        <v>9</v>
      </c>
      <c r="M2251">
        <v>45</v>
      </c>
      <c r="N2251" t="s">
        <v>4240</v>
      </c>
      <c r="O2251" t="s">
        <v>463</v>
      </c>
    </row>
    <row r="2252" spans="1:15" x14ac:dyDescent="0.3">
      <c r="A2252">
        <v>217946</v>
      </c>
      <c r="B2252">
        <v>116</v>
      </c>
      <c r="C2252" t="s">
        <v>568</v>
      </c>
      <c r="D2252" t="s">
        <v>2286</v>
      </c>
      <c r="E2252" t="s">
        <v>2856</v>
      </c>
      <c r="F2252" s="452">
        <v>46090</v>
      </c>
      <c r="G2252">
        <v>19505</v>
      </c>
      <c r="H2252" t="s">
        <v>4101</v>
      </c>
      <c r="I2252" t="s">
        <v>3469</v>
      </c>
      <c r="J2252">
        <v>1</v>
      </c>
      <c r="K2252" t="s">
        <v>3892</v>
      </c>
      <c r="L2252">
        <v>13.5</v>
      </c>
      <c r="M2252">
        <v>13.5</v>
      </c>
      <c r="N2252" t="s">
        <v>4240</v>
      </c>
      <c r="O2252" t="s">
        <v>463</v>
      </c>
    </row>
    <row r="2253" spans="1:15" x14ac:dyDescent="0.3">
      <c r="A2253">
        <v>217946</v>
      </c>
      <c r="B2253">
        <v>116</v>
      </c>
      <c r="C2253" t="s">
        <v>568</v>
      </c>
      <c r="D2253" t="s">
        <v>2286</v>
      </c>
      <c r="E2253" t="s">
        <v>2856</v>
      </c>
      <c r="F2253" s="452">
        <v>46090</v>
      </c>
      <c r="G2253">
        <v>19558</v>
      </c>
      <c r="H2253" t="s">
        <v>4183</v>
      </c>
      <c r="I2253" t="s">
        <v>3469</v>
      </c>
      <c r="J2253">
        <v>1</v>
      </c>
      <c r="K2253" t="s">
        <v>3892</v>
      </c>
      <c r="L2253">
        <v>15</v>
      </c>
      <c r="M2253">
        <v>15</v>
      </c>
      <c r="N2253" t="s">
        <v>4240</v>
      </c>
      <c r="O2253" t="s">
        <v>463</v>
      </c>
    </row>
    <row r="2254" spans="1:15" x14ac:dyDescent="0.3">
      <c r="A2254">
        <v>217946</v>
      </c>
      <c r="B2254">
        <v>116</v>
      </c>
      <c r="C2254" t="s">
        <v>568</v>
      </c>
      <c r="D2254" t="s">
        <v>2286</v>
      </c>
      <c r="E2254" t="s">
        <v>2856</v>
      </c>
      <c r="F2254" s="452">
        <v>46090</v>
      </c>
      <c r="G2254">
        <v>19498</v>
      </c>
      <c r="H2254" t="s">
        <v>4065</v>
      </c>
      <c r="I2254" t="s">
        <v>3469</v>
      </c>
      <c r="J2254">
        <v>1</v>
      </c>
      <c r="K2254" t="s">
        <v>3892</v>
      </c>
      <c r="L2254">
        <v>22</v>
      </c>
      <c r="M2254">
        <v>22</v>
      </c>
      <c r="N2254" t="s">
        <v>4240</v>
      </c>
      <c r="O2254" t="s">
        <v>463</v>
      </c>
    </row>
    <row r="2255" spans="1:15" x14ac:dyDescent="0.3">
      <c r="A2255">
        <v>217946</v>
      </c>
      <c r="B2255">
        <v>116</v>
      </c>
      <c r="C2255" t="s">
        <v>568</v>
      </c>
      <c r="D2255" t="s">
        <v>2286</v>
      </c>
      <c r="E2255" t="s">
        <v>2856</v>
      </c>
      <c r="F2255" s="452">
        <v>46090</v>
      </c>
      <c r="G2255">
        <v>19742</v>
      </c>
      <c r="H2255" t="s">
        <v>4074</v>
      </c>
      <c r="I2255" t="s">
        <v>3469</v>
      </c>
      <c r="J2255">
        <v>1</v>
      </c>
      <c r="K2255" t="s">
        <v>3892</v>
      </c>
      <c r="L2255">
        <v>10.5</v>
      </c>
      <c r="M2255">
        <v>10.5</v>
      </c>
      <c r="N2255" t="s">
        <v>4240</v>
      </c>
      <c r="O2255" t="s">
        <v>463</v>
      </c>
    </row>
    <row r="2256" spans="1:15" x14ac:dyDescent="0.3">
      <c r="A2256">
        <v>217946</v>
      </c>
      <c r="B2256">
        <v>116</v>
      </c>
      <c r="C2256" t="s">
        <v>568</v>
      </c>
      <c r="D2256" t="s">
        <v>2286</v>
      </c>
      <c r="E2256" t="s">
        <v>2856</v>
      </c>
      <c r="F2256" s="452">
        <v>46090</v>
      </c>
      <c r="G2256">
        <v>19572</v>
      </c>
      <c r="H2256" t="s">
        <v>4023</v>
      </c>
      <c r="I2256" t="s">
        <v>3469</v>
      </c>
      <c r="J2256">
        <v>1</v>
      </c>
      <c r="K2256" t="s">
        <v>3892</v>
      </c>
      <c r="L2256">
        <v>15</v>
      </c>
      <c r="M2256">
        <v>15</v>
      </c>
      <c r="N2256" t="s">
        <v>4240</v>
      </c>
      <c r="O2256" t="s">
        <v>463</v>
      </c>
    </row>
    <row r="2257" spans="1:15" x14ac:dyDescent="0.3">
      <c r="A2257">
        <v>217946</v>
      </c>
      <c r="B2257">
        <v>116</v>
      </c>
      <c r="C2257" t="s">
        <v>568</v>
      </c>
      <c r="D2257" t="s">
        <v>2286</v>
      </c>
      <c r="E2257" t="s">
        <v>2856</v>
      </c>
      <c r="F2257" s="452">
        <v>46090</v>
      </c>
      <c r="G2257">
        <v>23236</v>
      </c>
      <c r="H2257" t="s">
        <v>4017</v>
      </c>
      <c r="I2257" t="s">
        <v>3469</v>
      </c>
      <c r="J2257">
        <v>2</v>
      </c>
      <c r="K2257" t="s">
        <v>3892</v>
      </c>
      <c r="L2257">
        <v>17</v>
      </c>
      <c r="M2257">
        <v>8.5</v>
      </c>
      <c r="N2257" t="s">
        <v>4240</v>
      </c>
      <c r="O2257" t="s">
        <v>463</v>
      </c>
    </row>
    <row r="2258" spans="1:15" x14ac:dyDescent="0.3">
      <c r="A2258">
        <v>217946</v>
      </c>
      <c r="B2258">
        <v>116</v>
      </c>
      <c r="C2258" t="s">
        <v>568</v>
      </c>
      <c r="D2258" t="s">
        <v>2286</v>
      </c>
      <c r="E2258" t="s">
        <v>2856</v>
      </c>
      <c r="F2258" s="452">
        <v>46090</v>
      </c>
      <c r="G2258">
        <v>23359</v>
      </c>
      <c r="H2258" t="s">
        <v>3932</v>
      </c>
      <c r="I2258" t="s">
        <v>3469</v>
      </c>
      <c r="J2258">
        <v>10</v>
      </c>
      <c r="K2258" t="s">
        <v>3892</v>
      </c>
      <c r="L2258">
        <v>23</v>
      </c>
      <c r="M2258">
        <v>2.2999999999999998</v>
      </c>
      <c r="N2258" t="s">
        <v>4240</v>
      </c>
      <c r="O2258" t="s">
        <v>463</v>
      </c>
    </row>
    <row r="2259" spans="1:15" x14ac:dyDescent="0.3">
      <c r="A2259">
        <v>217946</v>
      </c>
      <c r="B2259">
        <v>116</v>
      </c>
      <c r="C2259" t="s">
        <v>568</v>
      </c>
      <c r="D2259" t="s">
        <v>2286</v>
      </c>
      <c r="E2259" t="s">
        <v>2856</v>
      </c>
      <c r="F2259" s="452">
        <v>46090</v>
      </c>
      <c r="G2259">
        <v>23349</v>
      </c>
      <c r="H2259" t="s">
        <v>4173</v>
      </c>
      <c r="I2259" t="s">
        <v>3469</v>
      </c>
      <c r="J2259">
        <v>2</v>
      </c>
      <c r="K2259" t="s">
        <v>3892</v>
      </c>
      <c r="L2259">
        <v>18</v>
      </c>
      <c r="M2259">
        <v>9</v>
      </c>
      <c r="N2259" t="s">
        <v>4240</v>
      </c>
      <c r="O2259" t="s">
        <v>463</v>
      </c>
    </row>
    <row r="2260" spans="1:15" x14ac:dyDescent="0.3">
      <c r="A2260">
        <v>217946</v>
      </c>
      <c r="B2260">
        <v>116</v>
      </c>
      <c r="C2260" t="s">
        <v>568</v>
      </c>
      <c r="D2260" t="s">
        <v>2286</v>
      </c>
      <c r="E2260" t="s">
        <v>2856</v>
      </c>
      <c r="F2260" s="452">
        <v>46090</v>
      </c>
      <c r="G2260">
        <v>19617</v>
      </c>
      <c r="H2260" t="s">
        <v>4110</v>
      </c>
      <c r="I2260" t="s">
        <v>3469</v>
      </c>
      <c r="J2260">
        <v>0.5</v>
      </c>
      <c r="K2260" t="s">
        <v>3892</v>
      </c>
      <c r="L2260">
        <v>10</v>
      </c>
      <c r="M2260">
        <v>20</v>
      </c>
      <c r="N2260" t="s">
        <v>4240</v>
      </c>
      <c r="O2260" t="s">
        <v>463</v>
      </c>
    </row>
    <row r="2261" spans="1:15" x14ac:dyDescent="0.3">
      <c r="A2261">
        <v>217946</v>
      </c>
      <c r="B2261">
        <v>116</v>
      </c>
      <c r="C2261" t="s">
        <v>568</v>
      </c>
      <c r="D2261" t="s">
        <v>2286</v>
      </c>
      <c r="E2261" t="s">
        <v>2856</v>
      </c>
      <c r="F2261" s="452">
        <v>46090</v>
      </c>
      <c r="G2261">
        <v>23095</v>
      </c>
      <c r="H2261" t="s">
        <v>3882</v>
      </c>
      <c r="I2261" t="s">
        <v>3469</v>
      </c>
      <c r="J2261">
        <v>60</v>
      </c>
      <c r="K2261" t="s">
        <v>3872</v>
      </c>
      <c r="L2261">
        <v>81</v>
      </c>
      <c r="M2261">
        <v>1.35</v>
      </c>
      <c r="N2261" t="s">
        <v>4240</v>
      </c>
      <c r="O2261" t="s">
        <v>463</v>
      </c>
    </row>
    <row r="2262" spans="1:15" x14ac:dyDescent="0.3">
      <c r="A2262">
        <v>217946</v>
      </c>
      <c r="B2262">
        <v>116</v>
      </c>
      <c r="C2262" t="s">
        <v>568</v>
      </c>
      <c r="D2262" t="s">
        <v>2286</v>
      </c>
      <c r="E2262" t="s">
        <v>2856</v>
      </c>
      <c r="F2262" s="452">
        <v>46090</v>
      </c>
      <c r="G2262">
        <v>24037</v>
      </c>
      <c r="H2262" t="s">
        <v>4104</v>
      </c>
      <c r="I2262" t="s">
        <v>3469</v>
      </c>
      <c r="J2262">
        <v>2</v>
      </c>
      <c r="K2262" t="s">
        <v>3892</v>
      </c>
      <c r="L2262">
        <v>38</v>
      </c>
      <c r="M2262">
        <v>19</v>
      </c>
      <c r="N2262" t="s">
        <v>4240</v>
      </c>
      <c r="O2262" t="s">
        <v>463</v>
      </c>
    </row>
    <row r="2263" spans="1:15" x14ac:dyDescent="0.3">
      <c r="A2263">
        <v>217946</v>
      </c>
      <c r="B2263">
        <v>116</v>
      </c>
      <c r="C2263" t="s">
        <v>568</v>
      </c>
      <c r="D2263" t="s">
        <v>2286</v>
      </c>
      <c r="E2263" t="s">
        <v>2856</v>
      </c>
      <c r="F2263" s="452">
        <v>46090</v>
      </c>
      <c r="G2263">
        <v>23389</v>
      </c>
      <c r="H2263" t="s">
        <v>4016</v>
      </c>
      <c r="I2263" t="s">
        <v>3469</v>
      </c>
      <c r="J2263">
        <v>5</v>
      </c>
      <c r="K2263" t="s">
        <v>3892</v>
      </c>
      <c r="L2263">
        <v>30</v>
      </c>
      <c r="M2263">
        <v>6</v>
      </c>
      <c r="N2263" t="s">
        <v>4240</v>
      </c>
      <c r="O2263" t="s">
        <v>463</v>
      </c>
    </row>
    <row r="2264" spans="1:15" x14ac:dyDescent="0.3">
      <c r="A2264">
        <v>217945</v>
      </c>
      <c r="B2264">
        <v>116</v>
      </c>
      <c r="C2264" t="s">
        <v>568</v>
      </c>
      <c r="D2264" t="s">
        <v>2286</v>
      </c>
      <c r="E2264" t="s">
        <v>2857</v>
      </c>
      <c r="F2264" s="452">
        <v>46093</v>
      </c>
      <c r="G2264">
        <v>24083</v>
      </c>
      <c r="H2264" t="s">
        <v>3898</v>
      </c>
      <c r="I2264" t="s">
        <v>3469</v>
      </c>
      <c r="J2264">
        <v>25</v>
      </c>
      <c r="K2264" t="s">
        <v>3892</v>
      </c>
      <c r="L2264">
        <v>157.5</v>
      </c>
      <c r="M2264">
        <v>6.3</v>
      </c>
      <c r="N2264" t="s">
        <v>3469</v>
      </c>
      <c r="O2264" t="s">
        <v>463</v>
      </c>
    </row>
    <row r="2265" spans="1:15" x14ac:dyDescent="0.3">
      <c r="A2265">
        <v>217945</v>
      </c>
      <c r="B2265">
        <v>116</v>
      </c>
      <c r="C2265" t="s">
        <v>568</v>
      </c>
      <c r="D2265" t="s">
        <v>2286</v>
      </c>
      <c r="E2265" t="s">
        <v>2857</v>
      </c>
      <c r="F2265" s="452">
        <v>46093</v>
      </c>
      <c r="G2265">
        <v>19506</v>
      </c>
      <c r="H2265" t="s">
        <v>4112</v>
      </c>
      <c r="I2265" t="s">
        <v>3469</v>
      </c>
      <c r="J2265">
        <v>0.2</v>
      </c>
      <c r="K2265" t="s">
        <v>3892</v>
      </c>
      <c r="L2265">
        <v>9</v>
      </c>
      <c r="M2265">
        <v>45</v>
      </c>
      <c r="N2265" t="s">
        <v>3469</v>
      </c>
      <c r="O2265" t="s">
        <v>463</v>
      </c>
    </row>
    <row r="2266" spans="1:15" x14ac:dyDescent="0.3">
      <c r="A2266">
        <v>217945</v>
      </c>
      <c r="B2266">
        <v>116</v>
      </c>
      <c r="C2266" t="s">
        <v>568</v>
      </c>
      <c r="D2266" t="s">
        <v>2286</v>
      </c>
      <c r="E2266" t="s">
        <v>2857</v>
      </c>
      <c r="F2266" s="452">
        <v>46093</v>
      </c>
      <c r="G2266">
        <v>19505</v>
      </c>
      <c r="H2266" t="s">
        <v>4101</v>
      </c>
      <c r="I2266" t="s">
        <v>3469</v>
      </c>
      <c r="J2266">
        <v>1</v>
      </c>
      <c r="K2266" t="s">
        <v>3892</v>
      </c>
      <c r="L2266">
        <v>12.2</v>
      </c>
      <c r="M2266">
        <v>12.2</v>
      </c>
      <c r="N2266" t="s">
        <v>3469</v>
      </c>
      <c r="O2266" t="s">
        <v>463</v>
      </c>
    </row>
    <row r="2267" spans="1:15" x14ac:dyDescent="0.3">
      <c r="A2267">
        <v>217945</v>
      </c>
      <c r="B2267">
        <v>116</v>
      </c>
      <c r="C2267" t="s">
        <v>568</v>
      </c>
      <c r="D2267" t="s">
        <v>2286</v>
      </c>
      <c r="E2267" t="s">
        <v>2857</v>
      </c>
      <c r="F2267" s="452">
        <v>46093</v>
      </c>
      <c r="G2267">
        <v>24509</v>
      </c>
      <c r="H2267" t="s">
        <v>3906</v>
      </c>
      <c r="I2267" t="s">
        <v>3469</v>
      </c>
      <c r="J2267">
        <v>20</v>
      </c>
      <c r="K2267" t="s">
        <v>3892</v>
      </c>
      <c r="L2267">
        <v>70</v>
      </c>
      <c r="M2267">
        <v>3.5</v>
      </c>
      <c r="N2267" t="s">
        <v>3469</v>
      </c>
      <c r="O2267" t="s">
        <v>463</v>
      </c>
    </row>
    <row r="2268" spans="1:15" x14ac:dyDescent="0.3">
      <c r="A2268">
        <v>217945</v>
      </c>
      <c r="B2268">
        <v>116</v>
      </c>
      <c r="C2268" t="s">
        <v>568</v>
      </c>
      <c r="D2268" t="s">
        <v>2286</v>
      </c>
      <c r="E2268" t="s">
        <v>2857</v>
      </c>
      <c r="F2268" s="452">
        <v>46093</v>
      </c>
      <c r="G2268">
        <v>19465</v>
      </c>
      <c r="H2268" t="s">
        <v>4080</v>
      </c>
      <c r="I2268" t="s">
        <v>3469</v>
      </c>
      <c r="J2268">
        <v>1</v>
      </c>
      <c r="K2268" t="s">
        <v>3892</v>
      </c>
      <c r="L2268">
        <v>6.7</v>
      </c>
      <c r="M2268">
        <v>6.7</v>
      </c>
      <c r="N2268" t="s">
        <v>3469</v>
      </c>
      <c r="O2268" t="s">
        <v>463</v>
      </c>
    </row>
    <row r="2269" spans="1:15" x14ac:dyDescent="0.3">
      <c r="A2269">
        <v>217945</v>
      </c>
      <c r="B2269">
        <v>116</v>
      </c>
      <c r="C2269" t="s">
        <v>568</v>
      </c>
      <c r="D2269" t="s">
        <v>2286</v>
      </c>
      <c r="E2269" t="s">
        <v>2857</v>
      </c>
      <c r="F2269" s="452">
        <v>46093</v>
      </c>
      <c r="G2269">
        <v>19480</v>
      </c>
      <c r="H2269" t="s">
        <v>4113</v>
      </c>
      <c r="I2269" t="s">
        <v>3469</v>
      </c>
      <c r="J2269">
        <v>0.2</v>
      </c>
      <c r="K2269" t="s">
        <v>3892</v>
      </c>
      <c r="L2269">
        <v>4</v>
      </c>
      <c r="M2269">
        <v>20</v>
      </c>
      <c r="N2269" t="s">
        <v>3469</v>
      </c>
      <c r="O2269" t="s">
        <v>463</v>
      </c>
    </row>
    <row r="2270" spans="1:15" x14ac:dyDescent="0.3">
      <c r="A2270">
        <v>217945</v>
      </c>
      <c r="B2270">
        <v>116</v>
      </c>
      <c r="C2270" t="s">
        <v>568</v>
      </c>
      <c r="D2270" t="s">
        <v>2286</v>
      </c>
      <c r="E2270" t="s">
        <v>2857</v>
      </c>
      <c r="F2270" s="452">
        <v>46093</v>
      </c>
      <c r="G2270">
        <v>19498</v>
      </c>
      <c r="H2270" t="s">
        <v>4065</v>
      </c>
      <c r="I2270" t="s">
        <v>3469</v>
      </c>
      <c r="J2270">
        <v>1</v>
      </c>
      <c r="K2270" t="s">
        <v>3892</v>
      </c>
      <c r="L2270">
        <v>18</v>
      </c>
      <c r="M2270">
        <v>18</v>
      </c>
      <c r="N2270" t="s">
        <v>3469</v>
      </c>
      <c r="O2270" t="s">
        <v>463</v>
      </c>
    </row>
    <row r="2271" spans="1:15" x14ac:dyDescent="0.3">
      <c r="A2271">
        <v>217945</v>
      </c>
      <c r="B2271">
        <v>116</v>
      </c>
      <c r="C2271" t="s">
        <v>568</v>
      </c>
      <c r="D2271" t="s">
        <v>2286</v>
      </c>
      <c r="E2271" t="s">
        <v>2857</v>
      </c>
      <c r="F2271" s="452">
        <v>46093</v>
      </c>
      <c r="G2271">
        <v>19553</v>
      </c>
      <c r="H2271" t="s">
        <v>4078</v>
      </c>
      <c r="I2271" t="s">
        <v>3469</v>
      </c>
      <c r="J2271">
        <v>1.5</v>
      </c>
      <c r="K2271" t="s">
        <v>3892</v>
      </c>
      <c r="L2271">
        <v>6.75</v>
      </c>
      <c r="M2271">
        <v>4.5</v>
      </c>
      <c r="N2271" t="s">
        <v>3469</v>
      </c>
      <c r="O2271" t="s">
        <v>463</v>
      </c>
    </row>
    <row r="2272" spans="1:15" x14ac:dyDescent="0.3">
      <c r="A2272">
        <v>217945</v>
      </c>
      <c r="B2272">
        <v>116</v>
      </c>
      <c r="C2272" t="s">
        <v>568</v>
      </c>
      <c r="D2272" t="s">
        <v>2286</v>
      </c>
      <c r="E2272" t="s">
        <v>2857</v>
      </c>
      <c r="F2272" s="452">
        <v>46093</v>
      </c>
      <c r="G2272">
        <v>19572</v>
      </c>
      <c r="H2272" t="s">
        <v>4023</v>
      </c>
      <c r="I2272" t="s">
        <v>3469</v>
      </c>
      <c r="J2272">
        <v>1</v>
      </c>
      <c r="K2272" t="s">
        <v>3892</v>
      </c>
      <c r="L2272">
        <v>15</v>
      </c>
      <c r="M2272">
        <v>15</v>
      </c>
      <c r="N2272" t="s">
        <v>3469</v>
      </c>
      <c r="O2272" t="s">
        <v>463</v>
      </c>
    </row>
    <row r="2273" spans="1:15" x14ac:dyDescent="0.3">
      <c r="A2273">
        <v>217945</v>
      </c>
      <c r="B2273">
        <v>116</v>
      </c>
      <c r="C2273" t="s">
        <v>568</v>
      </c>
      <c r="D2273" t="s">
        <v>2286</v>
      </c>
      <c r="E2273" t="s">
        <v>2857</v>
      </c>
      <c r="F2273" s="452">
        <v>46093</v>
      </c>
      <c r="G2273">
        <v>19647</v>
      </c>
      <c r="H2273" t="s">
        <v>4066</v>
      </c>
      <c r="I2273" t="s">
        <v>3469</v>
      </c>
      <c r="J2273">
        <v>1</v>
      </c>
      <c r="K2273" t="s">
        <v>3892</v>
      </c>
      <c r="L2273">
        <v>12.8</v>
      </c>
      <c r="M2273">
        <v>12.8</v>
      </c>
      <c r="N2273" t="s">
        <v>3469</v>
      </c>
      <c r="O2273" t="s">
        <v>463</v>
      </c>
    </row>
    <row r="2274" spans="1:15" x14ac:dyDescent="0.3">
      <c r="A2274">
        <v>217945</v>
      </c>
      <c r="B2274">
        <v>116</v>
      </c>
      <c r="C2274" t="s">
        <v>568</v>
      </c>
      <c r="D2274" t="s">
        <v>2286</v>
      </c>
      <c r="E2274" t="s">
        <v>2857</v>
      </c>
      <c r="F2274" s="452">
        <v>46093</v>
      </c>
      <c r="G2274">
        <v>19740</v>
      </c>
      <c r="H2274" t="s">
        <v>3933</v>
      </c>
      <c r="I2274" t="s">
        <v>3469</v>
      </c>
      <c r="J2274">
        <v>5</v>
      </c>
      <c r="K2274" t="s">
        <v>3892</v>
      </c>
      <c r="L2274">
        <v>49</v>
      </c>
      <c r="M2274">
        <v>9.8000000000000007</v>
      </c>
      <c r="N2274" t="s">
        <v>3469</v>
      </c>
      <c r="O2274" t="s">
        <v>463</v>
      </c>
    </row>
    <row r="2275" spans="1:15" x14ac:dyDescent="0.3">
      <c r="A2275">
        <v>217945</v>
      </c>
      <c r="B2275">
        <v>116</v>
      </c>
      <c r="C2275" t="s">
        <v>568</v>
      </c>
      <c r="D2275" t="s">
        <v>2286</v>
      </c>
      <c r="E2275" t="s">
        <v>2857</v>
      </c>
      <c r="F2275" s="452">
        <v>46093</v>
      </c>
      <c r="G2275">
        <v>19742</v>
      </c>
      <c r="H2275" t="s">
        <v>4074</v>
      </c>
      <c r="I2275" t="s">
        <v>3469</v>
      </c>
      <c r="J2275">
        <v>1</v>
      </c>
      <c r="K2275" t="s">
        <v>3892</v>
      </c>
      <c r="L2275">
        <v>11</v>
      </c>
      <c r="M2275">
        <v>11</v>
      </c>
      <c r="N2275" t="s">
        <v>3469</v>
      </c>
      <c r="O2275" t="s">
        <v>463</v>
      </c>
    </row>
    <row r="2276" spans="1:15" x14ac:dyDescent="0.3">
      <c r="A2276">
        <v>217945</v>
      </c>
      <c r="B2276">
        <v>116</v>
      </c>
      <c r="C2276" t="s">
        <v>568</v>
      </c>
      <c r="D2276" t="s">
        <v>2286</v>
      </c>
      <c r="E2276" t="s">
        <v>2857</v>
      </c>
      <c r="F2276" s="452">
        <v>46093</v>
      </c>
      <c r="G2276">
        <v>19752</v>
      </c>
      <c r="H2276" t="s">
        <v>4042</v>
      </c>
      <c r="I2276" t="s">
        <v>3469</v>
      </c>
      <c r="J2276">
        <v>1</v>
      </c>
      <c r="K2276" t="s">
        <v>3892</v>
      </c>
      <c r="L2276">
        <v>8.5</v>
      </c>
      <c r="M2276">
        <v>8.5</v>
      </c>
      <c r="N2276" t="s">
        <v>3469</v>
      </c>
      <c r="O2276" t="s">
        <v>463</v>
      </c>
    </row>
    <row r="2277" spans="1:15" x14ac:dyDescent="0.3">
      <c r="A2277">
        <v>217945</v>
      </c>
      <c r="B2277">
        <v>116</v>
      </c>
      <c r="C2277" t="s">
        <v>568</v>
      </c>
      <c r="D2277" t="s">
        <v>2286</v>
      </c>
      <c r="E2277" t="s">
        <v>2857</v>
      </c>
      <c r="F2277" s="452">
        <v>46093</v>
      </c>
      <c r="G2277">
        <v>19773</v>
      </c>
      <c r="H2277" t="s">
        <v>4168</v>
      </c>
      <c r="I2277" t="s">
        <v>3469</v>
      </c>
      <c r="J2277">
        <v>1</v>
      </c>
      <c r="K2277" t="s">
        <v>3892</v>
      </c>
      <c r="L2277">
        <v>15</v>
      </c>
      <c r="M2277">
        <v>15</v>
      </c>
      <c r="N2277" t="s">
        <v>3469</v>
      </c>
      <c r="O2277" t="s">
        <v>463</v>
      </c>
    </row>
    <row r="2278" spans="1:15" x14ac:dyDescent="0.3">
      <c r="A2278">
        <v>217945</v>
      </c>
      <c r="B2278">
        <v>116</v>
      </c>
      <c r="C2278" t="s">
        <v>568</v>
      </c>
      <c r="D2278" t="s">
        <v>2286</v>
      </c>
      <c r="E2278" t="s">
        <v>2857</v>
      </c>
      <c r="F2278" s="452">
        <v>46093</v>
      </c>
      <c r="G2278">
        <v>23113</v>
      </c>
      <c r="H2278" t="s">
        <v>4079</v>
      </c>
      <c r="I2278" t="s">
        <v>3469</v>
      </c>
      <c r="J2278">
        <v>1.5</v>
      </c>
      <c r="K2278" t="s">
        <v>3892</v>
      </c>
      <c r="L2278">
        <v>15</v>
      </c>
      <c r="M2278">
        <v>10</v>
      </c>
      <c r="N2278" t="s">
        <v>3469</v>
      </c>
      <c r="O2278" t="s">
        <v>463</v>
      </c>
    </row>
    <row r="2279" spans="1:15" x14ac:dyDescent="0.3">
      <c r="A2279">
        <v>217945</v>
      </c>
      <c r="B2279">
        <v>116</v>
      </c>
      <c r="C2279" t="s">
        <v>568</v>
      </c>
      <c r="D2279" t="s">
        <v>2286</v>
      </c>
      <c r="E2279" t="s">
        <v>2857</v>
      </c>
      <c r="F2279" s="452">
        <v>46093</v>
      </c>
      <c r="G2279">
        <v>23120</v>
      </c>
      <c r="H2279" t="s">
        <v>4111</v>
      </c>
      <c r="I2279" t="s">
        <v>3469</v>
      </c>
      <c r="J2279">
        <v>0.2</v>
      </c>
      <c r="K2279" t="s">
        <v>3892</v>
      </c>
      <c r="L2279">
        <v>13</v>
      </c>
      <c r="M2279">
        <v>65</v>
      </c>
      <c r="N2279" t="s">
        <v>3469</v>
      </c>
      <c r="O2279" t="s">
        <v>463</v>
      </c>
    </row>
    <row r="2280" spans="1:15" x14ac:dyDescent="0.3">
      <c r="A2280">
        <v>217945</v>
      </c>
      <c r="B2280">
        <v>116</v>
      </c>
      <c r="C2280" t="s">
        <v>568</v>
      </c>
      <c r="D2280" t="s">
        <v>2286</v>
      </c>
      <c r="E2280" t="s">
        <v>2857</v>
      </c>
      <c r="F2280" s="452">
        <v>46093</v>
      </c>
      <c r="G2280">
        <v>23171</v>
      </c>
      <c r="H2280" t="s">
        <v>4132</v>
      </c>
      <c r="I2280" t="s">
        <v>3469</v>
      </c>
      <c r="J2280">
        <v>3</v>
      </c>
      <c r="K2280" t="s">
        <v>3892</v>
      </c>
      <c r="L2280">
        <v>30.6</v>
      </c>
      <c r="M2280">
        <v>10.199999999999999</v>
      </c>
      <c r="N2280" t="s">
        <v>3469</v>
      </c>
      <c r="O2280" t="s">
        <v>463</v>
      </c>
    </row>
    <row r="2281" spans="1:15" x14ac:dyDescent="0.3">
      <c r="A2281">
        <v>217945</v>
      </c>
      <c r="B2281">
        <v>116</v>
      </c>
      <c r="C2281" t="s">
        <v>568</v>
      </c>
      <c r="D2281" t="s">
        <v>2286</v>
      </c>
      <c r="E2281" t="s">
        <v>2857</v>
      </c>
      <c r="F2281" s="452">
        <v>46093</v>
      </c>
      <c r="G2281">
        <v>23236</v>
      </c>
      <c r="H2281" t="s">
        <v>4017</v>
      </c>
      <c r="I2281" t="s">
        <v>3469</v>
      </c>
      <c r="J2281">
        <v>3</v>
      </c>
      <c r="K2281" t="s">
        <v>3892</v>
      </c>
      <c r="L2281">
        <v>23.7</v>
      </c>
      <c r="M2281">
        <v>7.9</v>
      </c>
      <c r="N2281" t="s">
        <v>3469</v>
      </c>
      <c r="O2281" t="s">
        <v>463</v>
      </c>
    </row>
    <row r="2282" spans="1:15" x14ac:dyDescent="0.3">
      <c r="A2282">
        <v>217945</v>
      </c>
      <c r="B2282">
        <v>116</v>
      </c>
      <c r="C2282" t="s">
        <v>568</v>
      </c>
      <c r="D2282" t="s">
        <v>2286</v>
      </c>
      <c r="E2282" t="s">
        <v>2857</v>
      </c>
      <c r="F2282" s="452">
        <v>46093</v>
      </c>
      <c r="G2282">
        <v>23359</v>
      </c>
      <c r="H2282" t="s">
        <v>3932</v>
      </c>
      <c r="I2282" t="s">
        <v>3469</v>
      </c>
      <c r="J2282">
        <v>10</v>
      </c>
      <c r="K2282" t="s">
        <v>3892</v>
      </c>
      <c r="L2282">
        <v>23</v>
      </c>
      <c r="M2282">
        <v>2.2999999999999998</v>
      </c>
      <c r="N2282" t="s">
        <v>3469</v>
      </c>
      <c r="O2282" t="s">
        <v>463</v>
      </c>
    </row>
    <row r="2283" spans="1:15" x14ac:dyDescent="0.3">
      <c r="A2283">
        <v>217945</v>
      </c>
      <c r="B2283">
        <v>116</v>
      </c>
      <c r="C2283" t="s">
        <v>568</v>
      </c>
      <c r="D2283" t="s">
        <v>2286</v>
      </c>
      <c r="E2283" t="s">
        <v>2857</v>
      </c>
      <c r="F2283" s="452">
        <v>46093</v>
      </c>
      <c r="G2283">
        <v>24037</v>
      </c>
      <c r="H2283" t="s">
        <v>4104</v>
      </c>
      <c r="I2283" t="s">
        <v>3469</v>
      </c>
      <c r="J2283">
        <v>2</v>
      </c>
      <c r="K2283" t="s">
        <v>3892</v>
      </c>
      <c r="L2283">
        <v>37</v>
      </c>
      <c r="M2283">
        <v>18.5</v>
      </c>
      <c r="N2283" t="s">
        <v>3469</v>
      </c>
      <c r="O2283" t="s">
        <v>463</v>
      </c>
    </row>
    <row r="2284" spans="1:15" x14ac:dyDescent="0.3">
      <c r="A2284">
        <v>217942</v>
      </c>
      <c r="B2284">
        <v>116</v>
      </c>
      <c r="C2284" t="s">
        <v>568</v>
      </c>
      <c r="D2284" t="s">
        <v>2260</v>
      </c>
      <c r="E2284" t="s">
        <v>2858</v>
      </c>
      <c r="F2284" s="452">
        <v>46091</v>
      </c>
      <c r="G2284">
        <v>18685</v>
      </c>
      <c r="H2284" t="s">
        <v>3945</v>
      </c>
      <c r="I2284" t="s">
        <v>3469</v>
      </c>
      <c r="J2284">
        <v>6.6</v>
      </c>
      <c r="K2284" t="s">
        <v>4197</v>
      </c>
      <c r="L2284">
        <v>257.39999999999998</v>
      </c>
      <c r="M2284">
        <v>39</v>
      </c>
      <c r="N2284" t="s">
        <v>3469</v>
      </c>
      <c r="O2284" t="s">
        <v>463</v>
      </c>
    </row>
    <row r="2285" spans="1:15" x14ac:dyDescent="0.3">
      <c r="A2285">
        <v>217942</v>
      </c>
      <c r="B2285">
        <v>116</v>
      </c>
      <c r="C2285" t="s">
        <v>568</v>
      </c>
      <c r="D2285" t="s">
        <v>2260</v>
      </c>
      <c r="E2285" t="s">
        <v>2858</v>
      </c>
      <c r="F2285" s="452">
        <v>46091</v>
      </c>
      <c r="G2285">
        <v>20456</v>
      </c>
      <c r="H2285" t="s">
        <v>4000</v>
      </c>
      <c r="I2285" t="s">
        <v>3469</v>
      </c>
      <c r="J2285">
        <v>2.8</v>
      </c>
      <c r="K2285" t="s">
        <v>3892</v>
      </c>
      <c r="L2285">
        <v>109.2</v>
      </c>
      <c r="M2285">
        <v>39</v>
      </c>
      <c r="N2285" t="s">
        <v>3469</v>
      </c>
      <c r="O2285" t="s">
        <v>463</v>
      </c>
    </row>
    <row r="2286" spans="1:15" x14ac:dyDescent="0.3">
      <c r="A2286">
        <v>217942</v>
      </c>
      <c r="B2286">
        <v>116</v>
      </c>
      <c r="C2286" t="s">
        <v>568</v>
      </c>
      <c r="D2286" t="s">
        <v>2260</v>
      </c>
      <c r="E2286" t="s">
        <v>2858</v>
      </c>
      <c r="F2286" s="452">
        <v>46091</v>
      </c>
      <c r="G2286">
        <v>20457</v>
      </c>
      <c r="H2286" t="s">
        <v>3999</v>
      </c>
      <c r="I2286" t="s">
        <v>3469</v>
      </c>
      <c r="J2286">
        <v>2.2000000000000002</v>
      </c>
      <c r="K2286" t="s">
        <v>3892</v>
      </c>
      <c r="L2286">
        <v>85.8</v>
      </c>
      <c r="M2286">
        <v>39</v>
      </c>
      <c r="N2286" t="s">
        <v>3469</v>
      </c>
      <c r="O2286" t="s">
        <v>463</v>
      </c>
    </row>
    <row r="2287" spans="1:15" x14ac:dyDescent="0.3">
      <c r="A2287">
        <v>217942</v>
      </c>
      <c r="B2287">
        <v>116</v>
      </c>
      <c r="C2287" t="s">
        <v>568</v>
      </c>
      <c r="D2287" t="s">
        <v>2260</v>
      </c>
      <c r="E2287" t="s">
        <v>2858</v>
      </c>
      <c r="F2287" s="452">
        <v>46091</v>
      </c>
      <c r="G2287">
        <v>20555</v>
      </c>
      <c r="H2287" t="s">
        <v>3959</v>
      </c>
      <c r="I2287" t="s">
        <v>3469</v>
      </c>
      <c r="J2287">
        <v>3.2</v>
      </c>
      <c r="K2287" t="s">
        <v>3892</v>
      </c>
      <c r="L2287">
        <v>252.8</v>
      </c>
      <c r="M2287">
        <v>79</v>
      </c>
      <c r="N2287" t="s">
        <v>3469</v>
      </c>
      <c r="O2287" t="s">
        <v>463</v>
      </c>
    </row>
    <row r="2288" spans="1:15" x14ac:dyDescent="0.3">
      <c r="A2288">
        <v>217942</v>
      </c>
      <c r="B2288">
        <v>116</v>
      </c>
      <c r="C2288" t="s">
        <v>568</v>
      </c>
      <c r="D2288" t="s">
        <v>2260</v>
      </c>
      <c r="E2288" t="s">
        <v>2858</v>
      </c>
      <c r="F2288" s="452">
        <v>46091</v>
      </c>
      <c r="G2288">
        <v>22734</v>
      </c>
      <c r="H2288" t="s">
        <v>3955</v>
      </c>
      <c r="I2288" t="s">
        <v>3469</v>
      </c>
      <c r="J2288">
        <v>10.4</v>
      </c>
      <c r="K2288" t="s">
        <v>3892</v>
      </c>
      <c r="L2288">
        <v>1029.5999999999999</v>
      </c>
      <c r="M2288">
        <v>99</v>
      </c>
      <c r="N2288" t="s">
        <v>3469</v>
      </c>
      <c r="O2288" t="s">
        <v>463</v>
      </c>
    </row>
    <row r="2289" spans="1:15" x14ac:dyDescent="0.3">
      <c r="A2289">
        <v>217938</v>
      </c>
      <c r="B2289">
        <v>116</v>
      </c>
      <c r="C2289" t="s">
        <v>568</v>
      </c>
      <c r="D2289" t="s">
        <v>2359</v>
      </c>
      <c r="E2289" t="s">
        <v>2859</v>
      </c>
      <c r="F2289" s="452">
        <v>46091</v>
      </c>
      <c r="G2289">
        <v>18172</v>
      </c>
      <c r="H2289" t="s">
        <v>3923</v>
      </c>
      <c r="I2289" t="s">
        <v>3497</v>
      </c>
      <c r="J2289">
        <v>6</v>
      </c>
      <c r="K2289" t="s">
        <v>3878</v>
      </c>
      <c r="L2289">
        <v>188.52</v>
      </c>
      <c r="M2289">
        <v>31.42</v>
      </c>
      <c r="N2289" t="s">
        <v>3497</v>
      </c>
      <c r="O2289" t="s">
        <v>463</v>
      </c>
    </row>
    <row r="2290" spans="1:15" x14ac:dyDescent="0.3">
      <c r="A2290">
        <v>217938</v>
      </c>
      <c r="B2290">
        <v>116</v>
      </c>
      <c r="C2290" t="s">
        <v>568</v>
      </c>
      <c r="D2290" t="s">
        <v>2359</v>
      </c>
      <c r="E2290" t="s">
        <v>2859</v>
      </c>
      <c r="F2290" s="452">
        <v>46091</v>
      </c>
      <c r="G2290">
        <v>18179</v>
      </c>
      <c r="H2290" t="s">
        <v>3995</v>
      </c>
      <c r="I2290" t="s">
        <v>3497</v>
      </c>
      <c r="J2290">
        <v>2</v>
      </c>
      <c r="K2290" t="s">
        <v>3878</v>
      </c>
      <c r="L2290">
        <v>224.1</v>
      </c>
      <c r="M2290">
        <v>112.05</v>
      </c>
      <c r="N2290" t="s">
        <v>3497</v>
      </c>
      <c r="O2290" t="s">
        <v>463</v>
      </c>
    </row>
    <row r="2291" spans="1:15" x14ac:dyDescent="0.3">
      <c r="A2291">
        <v>217936</v>
      </c>
      <c r="B2291">
        <v>116</v>
      </c>
      <c r="C2291" t="s">
        <v>568</v>
      </c>
      <c r="D2291" t="s">
        <v>2860</v>
      </c>
      <c r="E2291" t="s">
        <v>2861</v>
      </c>
      <c r="F2291" s="452">
        <v>46091</v>
      </c>
      <c r="G2291">
        <v>17958</v>
      </c>
      <c r="H2291" t="s">
        <v>4141</v>
      </c>
      <c r="I2291" t="s">
        <v>3497</v>
      </c>
      <c r="J2291">
        <v>15</v>
      </c>
      <c r="K2291" t="s">
        <v>3888</v>
      </c>
      <c r="L2291">
        <v>244.35</v>
      </c>
      <c r="M2291">
        <v>16.29</v>
      </c>
      <c r="N2291" t="s">
        <v>3497</v>
      </c>
      <c r="O2291" t="s">
        <v>463</v>
      </c>
    </row>
    <row r="2292" spans="1:15" x14ac:dyDescent="0.3">
      <c r="A2292">
        <v>217936</v>
      </c>
      <c r="B2292">
        <v>116</v>
      </c>
      <c r="C2292" t="s">
        <v>568</v>
      </c>
      <c r="D2292" t="s">
        <v>2860</v>
      </c>
      <c r="E2292" t="s">
        <v>2861</v>
      </c>
      <c r="F2292" s="452">
        <v>46091</v>
      </c>
      <c r="G2292">
        <v>17950</v>
      </c>
      <c r="H2292" t="s">
        <v>4170</v>
      </c>
      <c r="I2292" t="s">
        <v>3497</v>
      </c>
      <c r="J2292">
        <v>15</v>
      </c>
      <c r="K2292" t="s">
        <v>3888</v>
      </c>
      <c r="L2292">
        <v>254.85</v>
      </c>
      <c r="M2292">
        <v>16.989999999999998</v>
      </c>
      <c r="N2292" t="s">
        <v>3497</v>
      </c>
      <c r="O2292" t="s">
        <v>463</v>
      </c>
    </row>
    <row r="2293" spans="1:15" x14ac:dyDescent="0.3">
      <c r="A2293">
        <v>217934</v>
      </c>
      <c r="B2293">
        <v>116</v>
      </c>
      <c r="C2293" t="s">
        <v>568</v>
      </c>
      <c r="D2293" t="s">
        <v>2320</v>
      </c>
      <c r="E2293" t="s">
        <v>2862</v>
      </c>
      <c r="F2293" s="452">
        <v>46092</v>
      </c>
      <c r="G2293">
        <v>22857</v>
      </c>
      <c r="H2293" t="s">
        <v>4130</v>
      </c>
      <c r="I2293" t="s">
        <v>3469</v>
      </c>
      <c r="J2293">
        <v>15.3</v>
      </c>
      <c r="K2293" t="s">
        <v>3892</v>
      </c>
      <c r="L2293">
        <v>1024.95</v>
      </c>
      <c r="M2293">
        <v>66.990195999999997</v>
      </c>
      <c r="N2293" t="s">
        <v>4240</v>
      </c>
      <c r="O2293" t="s">
        <v>463</v>
      </c>
    </row>
    <row r="2294" spans="1:15" x14ac:dyDescent="0.3">
      <c r="A2294">
        <v>217932</v>
      </c>
      <c r="B2294">
        <v>116</v>
      </c>
      <c r="C2294" t="s">
        <v>568</v>
      </c>
      <c r="D2294" t="s">
        <v>2314</v>
      </c>
      <c r="E2294" t="s">
        <v>2863</v>
      </c>
      <c r="F2294" s="452">
        <v>46093</v>
      </c>
      <c r="G2294">
        <v>18636</v>
      </c>
      <c r="H2294" t="s">
        <v>3921</v>
      </c>
      <c r="I2294" t="s">
        <v>3497</v>
      </c>
      <c r="J2294">
        <v>6</v>
      </c>
      <c r="K2294" t="s">
        <v>3922</v>
      </c>
      <c r="L2294">
        <v>2896.8</v>
      </c>
      <c r="M2294">
        <v>482.8</v>
      </c>
      <c r="N2294" t="s">
        <v>3497</v>
      </c>
      <c r="O2294" t="s">
        <v>463</v>
      </c>
    </row>
    <row r="2295" spans="1:15" x14ac:dyDescent="0.3">
      <c r="A2295">
        <v>217932</v>
      </c>
      <c r="B2295">
        <v>116</v>
      </c>
      <c r="C2295" t="s">
        <v>568</v>
      </c>
      <c r="D2295" t="s">
        <v>2314</v>
      </c>
      <c r="E2295" t="s">
        <v>2863</v>
      </c>
      <c r="F2295" s="452">
        <v>46093</v>
      </c>
      <c r="G2295">
        <v>17903</v>
      </c>
      <c r="H2295" t="s">
        <v>3971</v>
      </c>
      <c r="I2295" t="s">
        <v>3497</v>
      </c>
      <c r="J2295">
        <v>6</v>
      </c>
      <c r="K2295" t="s">
        <v>3888</v>
      </c>
      <c r="L2295">
        <v>153.18</v>
      </c>
      <c r="M2295">
        <v>25.53</v>
      </c>
      <c r="N2295" t="s">
        <v>3497</v>
      </c>
      <c r="O2295" t="s">
        <v>463</v>
      </c>
    </row>
    <row r="2296" spans="1:15" x14ac:dyDescent="0.3">
      <c r="A2296">
        <v>217928</v>
      </c>
      <c r="B2296">
        <v>116</v>
      </c>
      <c r="C2296" t="s">
        <v>568</v>
      </c>
      <c r="D2296" t="s">
        <v>2314</v>
      </c>
      <c r="E2296" t="s">
        <v>2864</v>
      </c>
      <c r="F2296" s="452">
        <v>46091</v>
      </c>
      <c r="G2296">
        <v>18636</v>
      </c>
      <c r="H2296" t="s">
        <v>3921</v>
      </c>
      <c r="I2296" t="s">
        <v>3497</v>
      </c>
      <c r="J2296">
        <v>6</v>
      </c>
      <c r="K2296" t="s">
        <v>3922</v>
      </c>
      <c r="L2296">
        <v>2896.8</v>
      </c>
      <c r="M2296">
        <v>482.8</v>
      </c>
      <c r="N2296" t="s">
        <v>3497</v>
      </c>
      <c r="O2296" t="s">
        <v>463</v>
      </c>
    </row>
    <row r="2297" spans="1:15" x14ac:dyDescent="0.3">
      <c r="A2297">
        <v>217928</v>
      </c>
      <c r="B2297">
        <v>116</v>
      </c>
      <c r="C2297" t="s">
        <v>568</v>
      </c>
      <c r="D2297" t="s">
        <v>2314</v>
      </c>
      <c r="E2297" t="s">
        <v>2864</v>
      </c>
      <c r="F2297" s="452">
        <v>46091</v>
      </c>
      <c r="G2297">
        <v>17895</v>
      </c>
      <c r="H2297" t="s">
        <v>4137</v>
      </c>
      <c r="I2297" t="s">
        <v>3497</v>
      </c>
      <c r="J2297">
        <v>6</v>
      </c>
      <c r="K2297" t="s">
        <v>3888</v>
      </c>
      <c r="L2297">
        <v>169.92</v>
      </c>
      <c r="M2297">
        <v>28.32</v>
      </c>
      <c r="N2297" t="s">
        <v>3497</v>
      </c>
      <c r="O2297" t="s">
        <v>463</v>
      </c>
    </row>
    <row r="2298" spans="1:15" x14ac:dyDescent="0.3">
      <c r="A2298">
        <v>217928</v>
      </c>
      <c r="B2298">
        <v>116</v>
      </c>
      <c r="C2298" t="s">
        <v>568</v>
      </c>
      <c r="D2298" t="s">
        <v>2314</v>
      </c>
      <c r="E2298" t="s">
        <v>2864</v>
      </c>
      <c r="F2298" s="452">
        <v>46091</v>
      </c>
      <c r="G2298">
        <v>18640</v>
      </c>
      <c r="H2298" t="s">
        <v>3994</v>
      </c>
      <c r="I2298" t="s">
        <v>3497</v>
      </c>
      <c r="J2298">
        <v>3</v>
      </c>
      <c r="K2298" t="s">
        <v>3922</v>
      </c>
      <c r="L2298">
        <v>918</v>
      </c>
      <c r="M2298">
        <v>306</v>
      </c>
      <c r="N2298" t="s">
        <v>3497</v>
      </c>
      <c r="O2298" t="s">
        <v>463</v>
      </c>
    </row>
    <row r="2299" spans="1:15" x14ac:dyDescent="0.3">
      <c r="A2299">
        <v>217864</v>
      </c>
      <c r="B2299">
        <v>116</v>
      </c>
      <c r="C2299" t="s">
        <v>568</v>
      </c>
      <c r="D2299" t="s">
        <v>2277</v>
      </c>
      <c r="E2299" t="s">
        <v>2865</v>
      </c>
      <c r="F2299" s="452">
        <v>46092</v>
      </c>
      <c r="G2299">
        <v>20227</v>
      </c>
      <c r="H2299" t="s">
        <v>3968</v>
      </c>
      <c r="I2299" t="s">
        <v>3469</v>
      </c>
      <c r="J2299">
        <v>5</v>
      </c>
      <c r="K2299" t="s">
        <v>3888</v>
      </c>
      <c r="L2299">
        <v>61.5</v>
      </c>
      <c r="M2299">
        <v>12.3</v>
      </c>
      <c r="N2299" t="s">
        <v>4240</v>
      </c>
      <c r="O2299" t="s">
        <v>463</v>
      </c>
    </row>
    <row r="2300" spans="1:15" x14ac:dyDescent="0.3">
      <c r="A2300">
        <v>217864</v>
      </c>
      <c r="B2300">
        <v>116</v>
      </c>
      <c r="C2300" t="s">
        <v>568</v>
      </c>
      <c r="D2300" t="s">
        <v>2277</v>
      </c>
      <c r="E2300" t="s">
        <v>2865</v>
      </c>
      <c r="F2300" s="452">
        <v>46092</v>
      </c>
      <c r="G2300">
        <v>21024</v>
      </c>
      <c r="H2300" t="s">
        <v>4180</v>
      </c>
      <c r="I2300" t="s">
        <v>3469</v>
      </c>
      <c r="J2300">
        <v>2</v>
      </c>
      <c r="K2300" t="s">
        <v>3872</v>
      </c>
      <c r="L2300">
        <v>346.22</v>
      </c>
      <c r="M2300">
        <v>173.11</v>
      </c>
      <c r="N2300" t="s">
        <v>4240</v>
      </c>
      <c r="O2300" t="s">
        <v>463</v>
      </c>
    </row>
    <row r="2301" spans="1:15" x14ac:dyDescent="0.3">
      <c r="A2301">
        <v>217864</v>
      </c>
      <c r="B2301">
        <v>116</v>
      </c>
      <c r="C2301" t="s">
        <v>568</v>
      </c>
      <c r="D2301" t="s">
        <v>2277</v>
      </c>
      <c r="E2301" t="s">
        <v>2865</v>
      </c>
      <c r="F2301" s="452">
        <v>46092</v>
      </c>
      <c r="G2301">
        <v>20682</v>
      </c>
      <c r="H2301" t="s">
        <v>3929</v>
      </c>
      <c r="I2301" t="s">
        <v>3469</v>
      </c>
      <c r="J2301">
        <v>12</v>
      </c>
      <c r="K2301" t="s">
        <v>3872</v>
      </c>
      <c r="L2301">
        <v>126.6</v>
      </c>
      <c r="M2301">
        <v>10.55</v>
      </c>
      <c r="N2301" t="s">
        <v>4240</v>
      </c>
      <c r="O2301" t="s">
        <v>463</v>
      </c>
    </row>
    <row r="2302" spans="1:15" x14ac:dyDescent="0.3">
      <c r="A2302">
        <v>217864</v>
      </c>
      <c r="B2302">
        <v>116</v>
      </c>
      <c r="C2302" t="s">
        <v>568</v>
      </c>
      <c r="D2302" t="s">
        <v>2277</v>
      </c>
      <c r="E2302" t="s">
        <v>2865</v>
      </c>
      <c r="F2302" s="452">
        <v>46092</v>
      </c>
      <c r="G2302">
        <v>20752</v>
      </c>
      <c r="H2302" t="s">
        <v>3964</v>
      </c>
      <c r="I2302" t="s">
        <v>3469</v>
      </c>
      <c r="J2302">
        <v>2</v>
      </c>
      <c r="K2302" t="s">
        <v>3872</v>
      </c>
      <c r="L2302">
        <v>205.6</v>
      </c>
      <c r="M2302">
        <v>102.8</v>
      </c>
      <c r="N2302" t="s">
        <v>4240</v>
      </c>
      <c r="O2302" t="s">
        <v>463</v>
      </c>
    </row>
    <row r="2303" spans="1:15" x14ac:dyDescent="0.3">
      <c r="A2303">
        <v>217864</v>
      </c>
      <c r="B2303">
        <v>116</v>
      </c>
      <c r="C2303" t="s">
        <v>568</v>
      </c>
      <c r="D2303" t="s">
        <v>2277</v>
      </c>
      <c r="E2303" t="s">
        <v>2865</v>
      </c>
      <c r="F2303" s="452">
        <v>46092</v>
      </c>
      <c r="G2303">
        <v>20057</v>
      </c>
      <c r="H2303" t="s">
        <v>3967</v>
      </c>
      <c r="I2303" t="s">
        <v>3469</v>
      </c>
      <c r="J2303">
        <v>2</v>
      </c>
      <c r="K2303" t="s">
        <v>3872</v>
      </c>
      <c r="L2303">
        <v>84.36</v>
      </c>
      <c r="M2303">
        <v>42.18</v>
      </c>
      <c r="N2303" t="s">
        <v>4240</v>
      </c>
      <c r="O2303" t="s">
        <v>463</v>
      </c>
    </row>
    <row r="2304" spans="1:15" x14ac:dyDescent="0.3">
      <c r="A2304">
        <v>217864</v>
      </c>
      <c r="B2304">
        <v>116</v>
      </c>
      <c r="C2304" t="s">
        <v>568</v>
      </c>
      <c r="D2304" t="s">
        <v>2277</v>
      </c>
      <c r="E2304" t="s">
        <v>2865</v>
      </c>
      <c r="F2304" s="452">
        <v>46092</v>
      </c>
      <c r="G2304">
        <v>23982</v>
      </c>
      <c r="H2304" t="s">
        <v>3977</v>
      </c>
      <c r="I2304" t="s">
        <v>3469</v>
      </c>
      <c r="J2304">
        <v>1</v>
      </c>
      <c r="K2304" t="s">
        <v>3872</v>
      </c>
      <c r="L2304">
        <v>240.59</v>
      </c>
      <c r="M2304">
        <v>240.59</v>
      </c>
      <c r="N2304" t="s">
        <v>4240</v>
      </c>
      <c r="O2304" t="s">
        <v>463</v>
      </c>
    </row>
    <row r="2305" spans="1:15" x14ac:dyDescent="0.3">
      <c r="A2305">
        <v>217862</v>
      </c>
      <c r="B2305">
        <v>116</v>
      </c>
      <c r="C2305" t="s">
        <v>568</v>
      </c>
      <c r="D2305" t="s">
        <v>2340</v>
      </c>
      <c r="E2305" t="s">
        <v>2866</v>
      </c>
      <c r="F2305" s="452">
        <v>46092</v>
      </c>
      <c r="G2305">
        <v>19324</v>
      </c>
      <c r="H2305" t="s">
        <v>3937</v>
      </c>
      <c r="I2305" t="s">
        <v>3469</v>
      </c>
      <c r="J2305">
        <v>8.06</v>
      </c>
      <c r="K2305" t="s">
        <v>3892</v>
      </c>
      <c r="L2305">
        <v>257.44</v>
      </c>
      <c r="M2305">
        <v>31.940446999999999</v>
      </c>
      <c r="N2305" t="s">
        <v>3469</v>
      </c>
      <c r="O2305" t="s">
        <v>463</v>
      </c>
    </row>
    <row r="2306" spans="1:15" x14ac:dyDescent="0.3">
      <c r="A2306">
        <v>217862</v>
      </c>
      <c r="B2306">
        <v>116</v>
      </c>
      <c r="C2306" t="s">
        <v>568</v>
      </c>
      <c r="D2306" t="s">
        <v>2340</v>
      </c>
      <c r="E2306" t="s">
        <v>2866</v>
      </c>
      <c r="F2306" s="452">
        <v>46092</v>
      </c>
      <c r="G2306">
        <v>20661</v>
      </c>
      <c r="H2306" t="s">
        <v>3919</v>
      </c>
      <c r="I2306" t="s">
        <v>3469</v>
      </c>
      <c r="J2306">
        <v>10</v>
      </c>
      <c r="K2306" t="s">
        <v>3872</v>
      </c>
      <c r="L2306">
        <v>84.8</v>
      </c>
      <c r="M2306">
        <v>8.48</v>
      </c>
      <c r="N2306" t="s">
        <v>3469</v>
      </c>
      <c r="O2306" t="s">
        <v>463</v>
      </c>
    </row>
    <row r="2307" spans="1:15" x14ac:dyDescent="0.3">
      <c r="A2307">
        <v>217862</v>
      </c>
      <c r="B2307">
        <v>116</v>
      </c>
      <c r="C2307" t="s">
        <v>568</v>
      </c>
      <c r="D2307" t="s">
        <v>2340</v>
      </c>
      <c r="E2307" t="s">
        <v>2866</v>
      </c>
      <c r="F2307" s="452">
        <v>46092</v>
      </c>
      <c r="G2307">
        <v>20246</v>
      </c>
      <c r="H2307" t="s">
        <v>3911</v>
      </c>
      <c r="I2307" t="s">
        <v>3469</v>
      </c>
      <c r="J2307">
        <v>10</v>
      </c>
      <c r="K2307" t="s">
        <v>3872</v>
      </c>
      <c r="L2307">
        <v>87.3</v>
      </c>
      <c r="M2307">
        <v>8.73</v>
      </c>
      <c r="N2307" t="s">
        <v>3469</v>
      </c>
      <c r="O2307" t="s">
        <v>463</v>
      </c>
    </row>
    <row r="2308" spans="1:15" x14ac:dyDescent="0.3">
      <c r="A2308">
        <v>217861</v>
      </c>
      <c r="B2308">
        <v>116</v>
      </c>
      <c r="C2308" t="s">
        <v>568</v>
      </c>
      <c r="D2308" t="s">
        <v>2284</v>
      </c>
      <c r="E2308" t="s">
        <v>2867</v>
      </c>
      <c r="F2308" s="452">
        <v>46092</v>
      </c>
      <c r="G2308">
        <v>17878</v>
      </c>
      <c r="H2308" t="s">
        <v>4096</v>
      </c>
      <c r="I2308" t="s">
        <v>3497</v>
      </c>
      <c r="J2308">
        <v>1</v>
      </c>
      <c r="K2308" t="s">
        <v>3872</v>
      </c>
      <c r="L2308">
        <v>23.5</v>
      </c>
      <c r="M2308">
        <v>23.5</v>
      </c>
      <c r="N2308" t="s">
        <v>4240</v>
      </c>
      <c r="O2308" t="s">
        <v>463</v>
      </c>
    </row>
    <row r="2309" spans="1:15" x14ac:dyDescent="0.3">
      <c r="A2309">
        <v>217861</v>
      </c>
      <c r="B2309">
        <v>116</v>
      </c>
      <c r="C2309" t="s">
        <v>568</v>
      </c>
      <c r="D2309" t="s">
        <v>2284</v>
      </c>
      <c r="E2309" t="s">
        <v>2867</v>
      </c>
      <c r="F2309" s="452">
        <v>46092</v>
      </c>
      <c r="G2309">
        <v>20077</v>
      </c>
      <c r="H2309" t="s">
        <v>4054</v>
      </c>
      <c r="I2309" t="s">
        <v>3469</v>
      </c>
      <c r="J2309">
        <v>1</v>
      </c>
      <c r="K2309" t="s">
        <v>4268</v>
      </c>
      <c r="L2309">
        <v>16.350000000000001</v>
      </c>
      <c r="M2309">
        <v>16.350000000000001</v>
      </c>
      <c r="N2309" t="s">
        <v>4240</v>
      </c>
      <c r="O2309" t="s">
        <v>463</v>
      </c>
    </row>
    <row r="2310" spans="1:15" x14ac:dyDescent="0.3">
      <c r="A2310">
        <v>217861</v>
      </c>
      <c r="B2310">
        <v>116</v>
      </c>
      <c r="C2310" t="s">
        <v>568</v>
      </c>
      <c r="D2310" t="s">
        <v>2284</v>
      </c>
      <c r="E2310" t="s">
        <v>2867</v>
      </c>
      <c r="F2310" s="452">
        <v>46092</v>
      </c>
      <c r="G2310">
        <v>20729</v>
      </c>
      <c r="H2310" t="s">
        <v>3965</v>
      </c>
      <c r="I2310" t="s">
        <v>3469</v>
      </c>
      <c r="J2310">
        <v>3</v>
      </c>
      <c r="K2310" t="s">
        <v>3966</v>
      </c>
      <c r="L2310">
        <v>197.7</v>
      </c>
      <c r="M2310">
        <v>65.900000000000006</v>
      </c>
      <c r="N2310" t="s">
        <v>4240</v>
      </c>
      <c r="O2310" t="s">
        <v>463</v>
      </c>
    </row>
    <row r="2311" spans="1:15" x14ac:dyDescent="0.3">
      <c r="A2311">
        <v>217861</v>
      </c>
      <c r="B2311">
        <v>116</v>
      </c>
      <c r="C2311" t="s">
        <v>568</v>
      </c>
      <c r="D2311" t="s">
        <v>2284</v>
      </c>
      <c r="E2311" t="s">
        <v>2867</v>
      </c>
      <c r="F2311" s="452">
        <v>46092</v>
      </c>
      <c r="G2311">
        <v>20007</v>
      </c>
      <c r="H2311" t="s">
        <v>4009</v>
      </c>
      <c r="I2311" t="s">
        <v>3469</v>
      </c>
      <c r="J2311">
        <v>2</v>
      </c>
      <c r="K2311" t="s">
        <v>3966</v>
      </c>
      <c r="L2311">
        <v>100.4</v>
      </c>
      <c r="M2311">
        <v>50.2</v>
      </c>
      <c r="N2311" t="s">
        <v>4240</v>
      </c>
      <c r="O2311" t="s">
        <v>463</v>
      </c>
    </row>
    <row r="2312" spans="1:15" x14ac:dyDescent="0.3">
      <c r="A2312">
        <v>217861</v>
      </c>
      <c r="B2312">
        <v>116</v>
      </c>
      <c r="C2312" t="s">
        <v>568</v>
      </c>
      <c r="D2312" t="s">
        <v>2284</v>
      </c>
      <c r="E2312" t="s">
        <v>2867</v>
      </c>
      <c r="F2312" s="452">
        <v>46092</v>
      </c>
      <c r="G2312">
        <v>19428</v>
      </c>
      <c r="H2312" t="s">
        <v>4169</v>
      </c>
      <c r="I2312" t="s">
        <v>3469</v>
      </c>
      <c r="J2312">
        <v>12</v>
      </c>
      <c r="K2312" t="s">
        <v>3872</v>
      </c>
      <c r="L2312">
        <v>67.2</v>
      </c>
      <c r="M2312">
        <v>5.6</v>
      </c>
      <c r="N2312" t="s">
        <v>4240</v>
      </c>
      <c r="O2312" t="s">
        <v>463</v>
      </c>
    </row>
    <row r="2313" spans="1:15" x14ac:dyDescent="0.3">
      <c r="A2313">
        <v>217861</v>
      </c>
      <c r="B2313">
        <v>116</v>
      </c>
      <c r="C2313" t="s">
        <v>568</v>
      </c>
      <c r="D2313" t="s">
        <v>2284</v>
      </c>
      <c r="E2313" t="s">
        <v>2867</v>
      </c>
      <c r="F2313" s="452">
        <v>46092</v>
      </c>
      <c r="G2313">
        <v>19973</v>
      </c>
      <c r="H2313" t="s">
        <v>3981</v>
      </c>
      <c r="I2313" t="s">
        <v>3469</v>
      </c>
      <c r="J2313">
        <v>2</v>
      </c>
      <c r="K2313" t="s">
        <v>3872</v>
      </c>
      <c r="L2313">
        <v>30.4</v>
      </c>
      <c r="M2313">
        <v>15.2</v>
      </c>
      <c r="N2313" t="s">
        <v>4240</v>
      </c>
      <c r="O2313" t="s">
        <v>463</v>
      </c>
    </row>
    <row r="2314" spans="1:15" x14ac:dyDescent="0.3">
      <c r="A2314">
        <v>217861</v>
      </c>
      <c r="B2314">
        <v>116</v>
      </c>
      <c r="C2314" t="s">
        <v>568</v>
      </c>
      <c r="D2314" t="s">
        <v>2284</v>
      </c>
      <c r="E2314" t="s">
        <v>2867</v>
      </c>
      <c r="F2314" s="452">
        <v>46092</v>
      </c>
      <c r="G2314">
        <v>23635</v>
      </c>
      <c r="H2314" t="s">
        <v>4102</v>
      </c>
      <c r="I2314" t="s">
        <v>3469</v>
      </c>
      <c r="J2314">
        <v>2</v>
      </c>
      <c r="K2314" t="s">
        <v>3892</v>
      </c>
      <c r="L2314">
        <v>16.399999999999999</v>
      </c>
      <c r="M2314">
        <v>8.1999999999999993</v>
      </c>
      <c r="N2314" t="s">
        <v>4240</v>
      </c>
      <c r="O2314" t="s">
        <v>463</v>
      </c>
    </row>
    <row r="2315" spans="1:15" x14ac:dyDescent="0.3">
      <c r="A2315">
        <v>217861</v>
      </c>
      <c r="B2315">
        <v>116</v>
      </c>
      <c r="C2315" t="s">
        <v>568</v>
      </c>
      <c r="D2315" t="s">
        <v>2284</v>
      </c>
      <c r="E2315" t="s">
        <v>2867</v>
      </c>
      <c r="F2315" s="452">
        <v>46092</v>
      </c>
      <c r="G2315">
        <v>24401</v>
      </c>
      <c r="H2315" t="s">
        <v>4063</v>
      </c>
      <c r="I2315" t="s">
        <v>3469</v>
      </c>
      <c r="J2315">
        <v>1</v>
      </c>
      <c r="K2315" t="s">
        <v>3892</v>
      </c>
      <c r="L2315">
        <v>14</v>
      </c>
      <c r="M2315">
        <v>14</v>
      </c>
      <c r="N2315" t="s">
        <v>4240</v>
      </c>
      <c r="O2315" t="s">
        <v>463</v>
      </c>
    </row>
    <row r="2316" spans="1:15" x14ac:dyDescent="0.3">
      <c r="A2316">
        <v>217861</v>
      </c>
      <c r="B2316">
        <v>116</v>
      </c>
      <c r="C2316" t="s">
        <v>568</v>
      </c>
      <c r="D2316" t="s">
        <v>2284</v>
      </c>
      <c r="E2316" t="s">
        <v>2867</v>
      </c>
      <c r="F2316" s="452">
        <v>46092</v>
      </c>
      <c r="G2316">
        <v>23270</v>
      </c>
      <c r="H2316" t="s">
        <v>4103</v>
      </c>
      <c r="I2316" t="s">
        <v>3469</v>
      </c>
      <c r="J2316">
        <v>1</v>
      </c>
      <c r="K2316" t="s">
        <v>3892</v>
      </c>
      <c r="L2316">
        <v>19.899999999999999</v>
      </c>
      <c r="M2316">
        <v>19.899999999999999</v>
      </c>
      <c r="N2316" t="s">
        <v>4240</v>
      </c>
      <c r="O2316" t="s">
        <v>463</v>
      </c>
    </row>
    <row r="2317" spans="1:15" x14ac:dyDescent="0.3">
      <c r="A2317">
        <v>217861</v>
      </c>
      <c r="B2317">
        <v>116</v>
      </c>
      <c r="C2317" t="s">
        <v>568</v>
      </c>
      <c r="D2317" t="s">
        <v>2284</v>
      </c>
      <c r="E2317" t="s">
        <v>2867</v>
      </c>
      <c r="F2317" s="452">
        <v>46092</v>
      </c>
      <c r="G2317">
        <v>24449</v>
      </c>
      <c r="H2317" t="s">
        <v>4344</v>
      </c>
      <c r="I2317" t="s">
        <v>3469</v>
      </c>
      <c r="J2317">
        <v>7.56</v>
      </c>
      <c r="K2317" t="s">
        <v>4241</v>
      </c>
      <c r="L2317">
        <v>530.26</v>
      </c>
      <c r="M2317">
        <v>70.140212000000005</v>
      </c>
      <c r="N2317" t="s">
        <v>4240</v>
      </c>
      <c r="O2317" t="s">
        <v>463</v>
      </c>
    </row>
    <row r="2318" spans="1:15" x14ac:dyDescent="0.3">
      <c r="A2318">
        <v>217859</v>
      </c>
      <c r="B2318">
        <v>116</v>
      </c>
      <c r="C2318" t="s">
        <v>568</v>
      </c>
      <c r="D2318" t="s">
        <v>2308</v>
      </c>
      <c r="E2318" t="s">
        <v>2868</v>
      </c>
      <c r="F2318" s="452">
        <v>46092</v>
      </c>
      <c r="G2318">
        <v>18832</v>
      </c>
      <c r="H2318" t="s">
        <v>3900</v>
      </c>
      <c r="I2318" t="s">
        <v>3469</v>
      </c>
      <c r="J2318">
        <v>20</v>
      </c>
      <c r="K2318" t="s">
        <v>3892</v>
      </c>
      <c r="L2318">
        <v>798</v>
      </c>
      <c r="M2318">
        <v>39.9</v>
      </c>
      <c r="N2318" t="s">
        <v>3469</v>
      </c>
      <c r="O2318" t="s">
        <v>463</v>
      </c>
    </row>
    <row r="2319" spans="1:15" x14ac:dyDescent="0.3">
      <c r="A2319">
        <v>217444</v>
      </c>
      <c r="B2319">
        <v>116</v>
      </c>
      <c r="C2319" t="s">
        <v>568</v>
      </c>
      <c r="D2319" t="s">
        <v>2869</v>
      </c>
      <c r="E2319" t="s">
        <v>2870</v>
      </c>
      <c r="F2319" s="452">
        <v>46093</v>
      </c>
      <c r="G2319">
        <v>24718</v>
      </c>
      <c r="H2319" t="s">
        <v>4346</v>
      </c>
      <c r="I2319" t="s">
        <v>4202</v>
      </c>
      <c r="J2319">
        <v>1</v>
      </c>
      <c r="K2319" t="s">
        <v>4347</v>
      </c>
      <c r="L2319">
        <v>35.840000000000003</v>
      </c>
      <c r="M2319">
        <v>35.840000000000003</v>
      </c>
      <c r="N2319" t="s">
        <v>4202</v>
      </c>
      <c r="O2319" t="s">
        <v>463</v>
      </c>
    </row>
    <row r="2320" spans="1:15" x14ac:dyDescent="0.3">
      <c r="A2320">
        <v>217444</v>
      </c>
      <c r="B2320">
        <v>116</v>
      </c>
      <c r="C2320" t="s">
        <v>568</v>
      </c>
      <c r="D2320" t="s">
        <v>2869</v>
      </c>
      <c r="E2320" t="s">
        <v>2870</v>
      </c>
      <c r="F2320" s="452">
        <v>46093</v>
      </c>
      <c r="G2320">
        <v>27457</v>
      </c>
      <c r="H2320" t="s">
        <v>4348</v>
      </c>
      <c r="I2320" t="s">
        <v>4202</v>
      </c>
      <c r="J2320">
        <v>2</v>
      </c>
      <c r="K2320" t="s">
        <v>3872</v>
      </c>
      <c r="L2320">
        <v>111.32</v>
      </c>
      <c r="M2320">
        <v>55.66</v>
      </c>
      <c r="N2320" t="s">
        <v>4202</v>
      </c>
      <c r="O2320" t="s">
        <v>463</v>
      </c>
    </row>
    <row r="2321" spans="1:15" x14ac:dyDescent="0.3">
      <c r="A2321">
        <v>217444</v>
      </c>
      <c r="B2321">
        <v>116</v>
      </c>
      <c r="C2321" t="s">
        <v>568</v>
      </c>
      <c r="D2321" t="s">
        <v>2869</v>
      </c>
      <c r="E2321" t="s">
        <v>2870</v>
      </c>
      <c r="F2321" s="452">
        <v>46093</v>
      </c>
      <c r="G2321">
        <v>27594</v>
      </c>
      <c r="H2321" t="s">
        <v>4349</v>
      </c>
      <c r="I2321" t="s">
        <v>4202</v>
      </c>
      <c r="J2321">
        <v>2</v>
      </c>
      <c r="K2321" t="s">
        <v>3872</v>
      </c>
      <c r="L2321">
        <v>53.18</v>
      </c>
      <c r="M2321">
        <v>26.59</v>
      </c>
      <c r="N2321" t="s">
        <v>4202</v>
      </c>
      <c r="O2321" t="s">
        <v>463</v>
      </c>
    </row>
    <row r="2322" spans="1:15" x14ac:dyDescent="0.3">
      <c r="A2322">
        <v>217443</v>
      </c>
      <c r="B2322">
        <v>116</v>
      </c>
      <c r="C2322" t="s">
        <v>568</v>
      </c>
      <c r="D2322" t="s">
        <v>2334</v>
      </c>
      <c r="E2322" t="s">
        <v>2871</v>
      </c>
      <c r="F2322" s="452">
        <v>46092</v>
      </c>
      <c r="G2322">
        <v>21123</v>
      </c>
      <c r="H2322" t="s">
        <v>4115</v>
      </c>
      <c r="I2322" t="s">
        <v>3469</v>
      </c>
      <c r="J2322">
        <v>9</v>
      </c>
      <c r="K2322" t="s">
        <v>3892</v>
      </c>
      <c r="L2322">
        <v>161.1</v>
      </c>
      <c r="M2322">
        <v>17.899999999999999</v>
      </c>
      <c r="N2322" t="s">
        <v>4240</v>
      </c>
      <c r="O2322" t="s">
        <v>463</v>
      </c>
    </row>
    <row r="2323" spans="1:15" x14ac:dyDescent="0.3">
      <c r="A2323">
        <v>217442</v>
      </c>
      <c r="B2323">
        <v>116</v>
      </c>
      <c r="C2323" t="s">
        <v>568</v>
      </c>
      <c r="D2323" t="s">
        <v>2284</v>
      </c>
      <c r="E2323" t="s">
        <v>2872</v>
      </c>
      <c r="F2323" s="452">
        <v>46091</v>
      </c>
      <c r="G2323">
        <v>18467</v>
      </c>
      <c r="H2323" t="s">
        <v>4028</v>
      </c>
      <c r="I2323" t="s">
        <v>3497</v>
      </c>
      <c r="J2323">
        <v>2</v>
      </c>
      <c r="K2323" t="s">
        <v>3878</v>
      </c>
      <c r="L2323">
        <v>159.80000000000001</v>
      </c>
      <c r="M2323">
        <v>79.900000000000006</v>
      </c>
      <c r="N2323" t="s">
        <v>3497</v>
      </c>
      <c r="O2323" t="s">
        <v>463</v>
      </c>
    </row>
    <row r="2324" spans="1:15" x14ac:dyDescent="0.3">
      <c r="A2324">
        <v>217440</v>
      </c>
      <c r="B2324">
        <v>116</v>
      </c>
      <c r="C2324" t="s">
        <v>568</v>
      </c>
      <c r="D2324" t="s">
        <v>2709</v>
      </c>
      <c r="E2324" t="s">
        <v>2873</v>
      </c>
      <c r="F2324" s="452">
        <v>46090</v>
      </c>
      <c r="G2324">
        <v>17017</v>
      </c>
      <c r="H2324" t="s">
        <v>4230</v>
      </c>
      <c r="I2324" t="s">
        <v>4199</v>
      </c>
      <c r="J2324">
        <v>2</v>
      </c>
      <c r="K2324" t="s">
        <v>3888</v>
      </c>
      <c r="L2324">
        <v>6</v>
      </c>
      <c r="M2324">
        <v>3</v>
      </c>
      <c r="N2324" t="s">
        <v>2176</v>
      </c>
      <c r="O2324" t="s">
        <v>463</v>
      </c>
    </row>
    <row r="2325" spans="1:15" x14ac:dyDescent="0.3">
      <c r="A2325">
        <v>217440</v>
      </c>
      <c r="B2325">
        <v>116</v>
      </c>
      <c r="C2325" t="s">
        <v>568</v>
      </c>
      <c r="D2325" t="s">
        <v>2709</v>
      </c>
      <c r="E2325" t="s">
        <v>2873</v>
      </c>
      <c r="F2325" s="452">
        <v>46090</v>
      </c>
      <c r="G2325">
        <v>21423</v>
      </c>
      <c r="H2325" t="s">
        <v>4225</v>
      </c>
      <c r="I2325" t="s">
        <v>4199</v>
      </c>
      <c r="J2325">
        <v>1</v>
      </c>
      <c r="K2325" t="s">
        <v>4224</v>
      </c>
      <c r="L2325">
        <v>31.82</v>
      </c>
      <c r="M2325">
        <v>31.82</v>
      </c>
      <c r="N2325" t="s">
        <v>2176</v>
      </c>
      <c r="O2325" t="s">
        <v>463</v>
      </c>
    </row>
    <row r="2326" spans="1:15" x14ac:dyDescent="0.3">
      <c r="A2326">
        <v>217439</v>
      </c>
      <c r="B2326">
        <v>116</v>
      </c>
      <c r="C2326" t="s">
        <v>568</v>
      </c>
      <c r="D2326" t="s">
        <v>2277</v>
      </c>
      <c r="E2326" t="s">
        <v>2874</v>
      </c>
      <c r="F2326" s="452">
        <v>46092</v>
      </c>
      <c r="G2326">
        <v>24331</v>
      </c>
      <c r="H2326" t="s">
        <v>3960</v>
      </c>
      <c r="I2326" t="s">
        <v>3469</v>
      </c>
      <c r="J2326">
        <v>5</v>
      </c>
      <c r="K2326" t="s">
        <v>3892</v>
      </c>
      <c r="L2326">
        <v>104.25</v>
      </c>
      <c r="M2326">
        <v>20.85</v>
      </c>
      <c r="N2326" t="s">
        <v>3469</v>
      </c>
      <c r="O2326" t="s">
        <v>463</v>
      </c>
    </row>
    <row r="2327" spans="1:15" x14ac:dyDescent="0.3">
      <c r="A2327">
        <v>217437</v>
      </c>
      <c r="B2327">
        <v>116</v>
      </c>
      <c r="C2327" t="s">
        <v>568</v>
      </c>
      <c r="D2327" t="s">
        <v>2262</v>
      </c>
      <c r="E2327" t="s">
        <v>2875</v>
      </c>
      <c r="F2327" s="452">
        <v>46091</v>
      </c>
      <c r="G2327">
        <v>19034</v>
      </c>
      <c r="H2327" t="s">
        <v>3989</v>
      </c>
      <c r="I2327" t="s">
        <v>3469</v>
      </c>
      <c r="J2327">
        <v>6.9</v>
      </c>
      <c r="K2327" t="s">
        <v>3892</v>
      </c>
      <c r="L2327">
        <v>62.03</v>
      </c>
      <c r="M2327">
        <v>8.9898550000000004</v>
      </c>
      <c r="N2327" t="s">
        <v>4240</v>
      </c>
      <c r="O2327" t="s">
        <v>463</v>
      </c>
    </row>
    <row r="2328" spans="1:15" x14ac:dyDescent="0.3">
      <c r="A2328">
        <v>217437</v>
      </c>
      <c r="B2328">
        <v>116</v>
      </c>
      <c r="C2328" t="s">
        <v>568</v>
      </c>
      <c r="D2328" t="s">
        <v>2262</v>
      </c>
      <c r="E2328" t="s">
        <v>2875</v>
      </c>
      <c r="F2328" s="452">
        <v>46091</v>
      </c>
      <c r="G2328">
        <v>24259</v>
      </c>
      <c r="H2328" t="s">
        <v>3895</v>
      </c>
      <c r="I2328" t="s">
        <v>3469</v>
      </c>
      <c r="J2328">
        <v>19.5</v>
      </c>
      <c r="K2328" t="s">
        <v>3892</v>
      </c>
      <c r="L2328">
        <v>1515.15</v>
      </c>
      <c r="M2328">
        <v>77.7</v>
      </c>
      <c r="N2328" t="s">
        <v>4240</v>
      </c>
      <c r="O2328" t="s">
        <v>463</v>
      </c>
    </row>
    <row r="2329" spans="1:15" x14ac:dyDescent="0.3">
      <c r="A2329">
        <v>217437</v>
      </c>
      <c r="B2329">
        <v>116</v>
      </c>
      <c r="C2329" t="s">
        <v>568</v>
      </c>
      <c r="D2329" t="s">
        <v>2262</v>
      </c>
      <c r="E2329" t="s">
        <v>2875</v>
      </c>
      <c r="F2329" s="452">
        <v>46091</v>
      </c>
      <c r="G2329">
        <v>18818</v>
      </c>
      <c r="H2329" t="s">
        <v>3916</v>
      </c>
      <c r="I2329" t="s">
        <v>3469</v>
      </c>
      <c r="J2329">
        <v>11</v>
      </c>
      <c r="K2329" t="s">
        <v>3892</v>
      </c>
      <c r="L2329">
        <v>360.8</v>
      </c>
      <c r="M2329">
        <v>32.799999999999997</v>
      </c>
      <c r="N2329" t="s">
        <v>4240</v>
      </c>
      <c r="O2329" t="s">
        <v>463</v>
      </c>
    </row>
    <row r="2330" spans="1:15" x14ac:dyDescent="0.3">
      <c r="A2330">
        <v>217437</v>
      </c>
      <c r="B2330">
        <v>116</v>
      </c>
      <c r="C2330" t="s">
        <v>568</v>
      </c>
      <c r="D2330" t="s">
        <v>2262</v>
      </c>
      <c r="E2330" t="s">
        <v>2875</v>
      </c>
      <c r="F2330" s="452">
        <v>46091</v>
      </c>
      <c r="G2330">
        <v>24388</v>
      </c>
      <c r="H2330" t="s">
        <v>3915</v>
      </c>
      <c r="I2330" t="s">
        <v>3469</v>
      </c>
      <c r="J2330">
        <v>5.9</v>
      </c>
      <c r="K2330" t="s">
        <v>3892</v>
      </c>
      <c r="L2330">
        <v>176.41</v>
      </c>
      <c r="M2330">
        <v>29.9</v>
      </c>
      <c r="N2330" t="s">
        <v>4240</v>
      </c>
      <c r="O2330" t="s">
        <v>463</v>
      </c>
    </row>
    <row r="2331" spans="1:15" x14ac:dyDescent="0.3">
      <c r="A2331">
        <v>217437</v>
      </c>
      <c r="B2331">
        <v>116</v>
      </c>
      <c r="C2331" t="s">
        <v>568</v>
      </c>
      <c r="D2331" t="s">
        <v>2262</v>
      </c>
      <c r="E2331" t="s">
        <v>2875</v>
      </c>
      <c r="F2331" s="452">
        <v>46091</v>
      </c>
      <c r="G2331">
        <v>24320</v>
      </c>
      <c r="H2331" t="s">
        <v>4160</v>
      </c>
      <c r="I2331" t="s">
        <v>3469</v>
      </c>
      <c r="J2331">
        <v>15.1</v>
      </c>
      <c r="K2331" t="s">
        <v>3892</v>
      </c>
      <c r="L2331">
        <v>542.09</v>
      </c>
      <c r="M2331">
        <v>35.9</v>
      </c>
      <c r="N2331" t="s">
        <v>4240</v>
      </c>
      <c r="O2331" t="s">
        <v>463</v>
      </c>
    </row>
    <row r="2332" spans="1:15" x14ac:dyDescent="0.3">
      <c r="A2332">
        <v>217437</v>
      </c>
      <c r="B2332">
        <v>116</v>
      </c>
      <c r="C2332" t="s">
        <v>568</v>
      </c>
      <c r="D2332" t="s">
        <v>2262</v>
      </c>
      <c r="E2332" t="s">
        <v>2875</v>
      </c>
      <c r="F2332" s="452">
        <v>46091</v>
      </c>
      <c r="G2332">
        <v>19017</v>
      </c>
      <c r="H2332" t="s">
        <v>4172</v>
      </c>
      <c r="I2332" t="s">
        <v>3469</v>
      </c>
      <c r="J2332">
        <v>6.8</v>
      </c>
      <c r="K2332" t="s">
        <v>3892</v>
      </c>
      <c r="L2332">
        <v>101.93</v>
      </c>
      <c r="M2332">
        <v>14.989706</v>
      </c>
      <c r="N2332" t="s">
        <v>4240</v>
      </c>
      <c r="O2332" t="s">
        <v>463</v>
      </c>
    </row>
    <row r="2333" spans="1:15" x14ac:dyDescent="0.3">
      <c r="A2333">
        <v>217437</v>
      </c>
      <c r="B2333">
        <v>116</v>
      </c>
      <c r="C2333" t="s">
        <v>568</v>
      </c>
      <c r="D2333" t="s">
        <v>2262</v>
      </c>
      <c r="E2333" t="s">
        <v>2875</v>
      </c>
      <c r="F2333" s="452">
        <v>46091</v>
      </c>
      <c r="G2333">
        <v>24116</v>
      </c>
      <c r="H2333" t="s">
        <v>3963</v>
      </c>
      <c r="I2333" t="s">
        <v>3469</v>
      </c>
      <c r="J2333">
        <v>5</v>
      </c>
      <c r="K2333" t="s">
        <v>3892</v>
      </c>
      <c r="L2333">
        <v>209.5</v>
      </c>
      <c r="M2333">
        <v>41.9</v>
      </c>
      <c r="N2333" t="s">
        <v>4240</v>
      </c>
      <c r="O2333" t="s">
        <v>463</v>
      </c>
    </row>
    <row r="2334" spans="1:15" x14ac:dyDescent="0.3">
      <c r="A2334">
        <v>217437</v>
      </c>
      <c r="B2334">
        <v>116</v>
      </c>
      <c r="C2334" t="s">
        <v>568</v>
      </c>
      <c r="D2334" t="s">
        <v>2262</v>
      </c>
      <c r="E2334" t="s">
        <v>2875</v>
      </c>
      <c r="F2334" s="452">
        <v>46091</v>
      </c>
      <c r="G2334">
        <v>24339</v>
      </c>
      <c r="H2334" t="s">
        <v>4119</v>
      </c>
      <c r="I2334" t="s">
        <v>3469</v>
      </c>
      <c r="J2334">
        <v>6.95</v>
      </c>
      <c r="K2334" t="s">
        <v>3892</v>
      </c>
      <c r="L2334">
        <v>227.96</v>
      </c>
      <c r="M2334">
        <v>32.799999999999997</v>
      </c>
      <c r="N2334" t="s">
        <v>4240</v>
      </c>
      <c r="O2334" t="s">
        <v>463</v>
      </c>
    </row>
    <row r="2335" spans="1:15" x14ac:dyDescent="0.3">
      <c r="A2335">
        <v>217437</v>
      </c>
      <c r="B2335">
        <v>116</v>
      </c>
      <c r="C2335" t="s">
        <v>568</v>
      </c>
      <c r="D2335" t="s">
        <v>2262</v>
      </c>
      <c r="E2335" t="s">
        <v>2875</v>
      </c>
      <c r="F2335" s="452">
        <v>46091</v>
      </c>
      <c r="G2335">
        <v>24402</v>
      </c>
      <c r="H2335" t="s">
        <v>3896</v>
      </c>
      <c r="I2335" t="s">
        <v>3469</v>
      </c>
      <c r="J2335">
        <v>16.600000000000001</v>
      </c>
      <c r="K2335" t="s">
        <v>3892</v>
      </c>
      <c r="L2335">
        <v>617.52</v>
      </c>
      <c r="M2335">
        <v>37.200000000000003</v>
      </c>
      <c r="N2335" t="s">
        <v>4240</v>
      </c>
      <c r="O2335" t="s">
        <v>463</v>
      </c>
    </row>
    <row r="2336" spans="1:15" x14ac:dyDescent="0.3">
      <c r="A2336">
        <v>217434</v>
      </c>
      <c r="B2336">
        <v>116</v>
      </c>
      <c r="C2336" t="s">
        <v>568</v>
      </c>
      <c r="D2336" t="s">
        <v>2273</v>
      </c>
      <c r="E2336" t="s">
        <v>2876</v>
      </c>
      <c r="F2336" s="452">
        <v>46090</v>
      </c>
      <c r="G2336">
        <v>23113</v>
      </c>
      <c r="H2336" t="s">
        <v>4079</v>
      </c>
      <c r="I2336" t="s">
        <v>3469</v>
      </c>
      <c r="J2336">
        <v>1.1000000000000001</v>
      </c>
      <c r="K2336" t="s">
        <v>3892</v>
      </c>
      <c r="L2336">
        <v>11.97</v>
      </c>
      <c r="M2336">
        <v>10.881818000000001</v>
      </c>
      <c r="N2336" t="s">
        <v>4289</v>
      </c>
      <c r="O2336" t="s">
        <v>463</v>
      </c>
    </row>
    <row r="2337" spans="1:15" x14ac:dyDescent="0.3">
      <c r="A2337">
        <v>217434</v>
      </c>
      <c r="B2337">
        <v>116</v>
      </c>
      <c r="C2337" t="s">
        <v>568</v>
      </c>
      <c r="D2337" t="s">
        <v>2273</v>
      </c>
      <c r="E2337" t="s">
        <v>2876</v>
      </c>
      <c r="F2337" s="452">
        <v>46090</v>
      </c>
      <c r="G2337">
        <v>23120</v>
      </c>
      <c r="H2337" t="s">
        <v>4111</v>
      </c>
      <c r="I2337" t="s">
        <v>3469</v>
      </c>
      <c r="J2337">
        <v>0.2</v>
      </c>
      <c r="K2337" t="s">
        <v>3892</v>
      </c>
      <c r="L2337">
        <v>13.63</v>
      </c>
      <c r="M2337">
        <v>68.150000000000006</v>
      </c>
      <c r="N2337" t="s">
        <v>4289</v>
      </c>
      <c r="O2337" t="s">
        <v>463</v>
      </c>
    </row>
    <row r="2338" spans="1:15" x14ac:dyDescent="0.3">
      <c r="A2338">
        <v>217434</v>
      </c>
      <c r="B2338">
        <v>116</v>
      </c>
      <c r="C2338" t="s">
        <v>568</v>
      </c>
      <c r="D2338" t="s">
        <v>2273</v>
      </c>
      <c r="E2338" t="s">
        <v>2876</v>
      </c>
      <c r="F2338" s="452">
        <v>46090</v>
      </c>
      <c r="G2338">
        <v>23361</v>
      </c>
      <c r="H2338" t="s">
        <v>4220</v>
      </c>
      <c r="I2338" t="s">
        <v>3469</v>
      </c>
      <c r="J2338">
        <v>18</v>
      </c>
      <c r="K2338" t="s">
        <v>3892</v>
      </c>
      <c r="L2338">
        <v>59.94</v>
      </c>
      <c r="M2338">
        <v>3.33</v>
      </c>
      <c r="N2338" t="s">
        <v>4289</v>
      </c>
      <c r="O2338" t="s">
        <v>463</v>
      </c>
    </row>
    <row r="2339" spans="1:15" x14ac:dyDescent="0.3">
      <c r="A2339">
        <v>217434</v>
      </c>
      <c r="B2339">
        <v>116</v>
      </c>
      <c r="C2339" t="s">
        <v>568</v>
      </c>
      <c r="D2339" t="s">
        <v>2273</v>
      </c>
      <c r="E2339" t="s">
        <v>2876</v>
      </c>
      <c r="F2339" s="452">
        <v>46090</v>
      </c>
      <c r="G2339">
        <v>19672</v>
      </c>
      <c r="H2339" t="s">
        <v>4024</v>
      </c>
      <c r="I2339" t="s">
        <v>3469</v>
      </c>
      <c r="J2339">
        <v>2.2000000000000002</v>
      </c>
      <c r="K2339" t="s">
        <v>3892</v>
      </c>
      <c r="L2339">
        <v>22.33</v>
      </c>
      <c r="M2339">
        <v>10.15</v>
      </c>
      <c r="N2339" t="s">
        <v>4289</v>
      </c>
      <c r="O2339" t="s">
        <v>463</v>
      </c>
    </row>
    <row r="2340" spans="1:15" x14ac:dyDescent="0.3">
      <c r="A2340">
        <v>217434</v>
      </c>
      <c r="B2340">
        <v>116</v>
      </c>
      <c r="C2340" t="s">
        <v>568</v>
      </c>
      <c r="D2340" t="s">
        <v>2273</v>
      </c>
      <c r="E2340" t="s">
        <v>2876</v>
      </c>
      <c r="F2340" s="452">
        <v>46090</v>
      </c>
      <c r="G2340">
        <v>24484</v>
      </c>
      <c r="H2340" t="s">
        <v>4154</v>
      </c>
      <c r="I2340" t="s">
        <v>3469</v>
      </c>
      <c r="J2340">
        <v>0.5</v>
      </c>
      <c r="K2340" t="s">
        <v>4241</v>
      </c>
      <c r="L2340">
        <v>5.47</v>
      </c>
      <c r="M2340">
        <v>10.94</v>
      </c>
      <c r="N2340" t="s">
        <v>4289</v>
      </c>
      <c r="O2340" t="s">
        <v>463</v>
      </c>
    </row>
    <row r="2341" spans="1:15" x14ac:dyDescent="0.3">
      <c r="A2341">
        <v>217433</v>
      </c>
      <c r="B2341">
        <v>116</v>
      </c>
      <c r="C2341" t="s">
        <v>568</v>
      </c>
      <c r="D2341" t="s">
        <v>2280</v>
      </c>
      <c r="E2341" t="s">
        <v>2877</v>
      </c>
      <c r="F2341" s="452">
        <v>46091</v>
      </c>
      <c r="G2341">
        <v>19787</v>
      </c>
      <c r="H2341" t="s">
        <v>3940</v>
      </c>
      <c r="I2341" t="s">
        <v>3469</v>
      </c>
      <c r="J2341">
        <v>3.8</v>
      </c>
      <c r="K2341" t="s">
        <v>3892</v>
      </c>
      <c r="L2341">
        <v>19.95</v>
      </c>
      <c r="M2341">
        <v>5.25</v>
      </c>
      <c r="N2341" t="s">
        <v>4240</v>
      </c>
      <c r="O2341" t="s">
        <v>463</v>
      </c>
    </row>
    <row r="2342" spans="1:15" x14ac:dyDescent="0.3">
      <c r="A2342">
        <v>217433</v>
      </c>
      <c r="B2342">
        <v>116</v>
      </c>
      <c r="C2342" t="s">
        <v>568</v>
      </c>
      <c r="D2342" t="s">
        <v>2280</v>
      </c>
      <c r="E2342" t="s">
        <v>2877</v>
      </c>
      <c r="F2342" s="452">
        <v>46091</v>
      </c>
      <c r="G2342">
        <v>19555</v>
      </c>
      <c r="H2342" t="s">
        <v>4109</v>
      </c>
      <c r="I2342" t="s">
        <v>3469</v>
      </c>
      <c r="J2342">
        <v>0.5</v>
      </c>
      <c r="K2342" t="s">
        <v>3892</v>
      </c>
      <c r="L2342">
        <v>11.88</v>
      </c>
      <c r="M2342">
        <v>23.76</v>
      </c>
      <c r="N2342" t="s">
        <v>4240</v>
      </c>
      <c r="O2342" t="s">
        <v>463</v>
      </c>
    </row>
    <row r="2343" spans="1:15" x14ac:dyDescent="0.3">
      <c r="A2343">
        <v>217433</v>
      </c>
      <c r="B2343">
        <v>116</v>
      </c>
      <c r="C2343" t="s">
        <v>568</v>
      </c>
      <c r="D2343" t="s">
        <v>2280</v>
      </c>
      <c r="E2343" t="s">
        <v>2877</v>
      </c>
      <c r="F2343" s="452">
        <v>46091</v>
      </c>
      <c r="G2343">
        <v>19740</v>
      </c>
      <c r="H2343" t="s">
        <v>3933</v>
      </c>
      <c r="I2343" t="s">
        <v>3469</v>
      </c>
      <c r="J2343">
        <v>6</v>
      </c>
      <c r="K2343" t="s">
        <v>3892</v>
      </c>
      <c r="L2343">
        <v>75</v>
      </c>
      <c r="M2343">
        <v>12.5</v>
      </c>
      <c r="N2343" t="s">
        <v>4240</v>
      </c>
      <c r="O2343" t="s">
        <v>463</v>
      </c>
    </row>
    <row r="2344" spans="1:15" x14ac:dyDescent="0.3">
      <c r="A2344">
        <v>217433</v>
      </c>
      <c r="B2344">
        <v>116</v>
      </c>
      <c r="C2344" t="s">
        <v>568</v>
      </c>
      <c r="D2344" t="s">
        <v>2280</v>
      </c>
      <c r="E2344" t="s">
        <v>2877</v>
      </c>
      <c r="F2344" s="452">
        <v>46091</v>
      </c>
      <c r="G2344">
        <v>19458</v>
      </c>
      <c r="H2344" t="s">
        <v>4212</v>
      </c>
      <c r="I2344" t="s">
        <v>3469</v>
      </c>
      <c r="J2344">
        <v>1</v>
      </c>
      <c r="K2344" t="s">
        <v>3892</v>
      </c>
      <c r="L2344">
        <v>15.63</v>
      </c>
      <c r="M2344">
        <v>15.63</v>
      </c>
      <c r="N2344" t="s">
        <v>4240</v>
      </c>
      <c r="O2344" t="s">
        <v>463</v>
      </c>
    </row>
    <row r="2345" spans="1:15" x14ac:dyDescent="0.3">
      <c r="A2345">
        <v>217433</v>
      </c>
      <c r="B2345">
        <v>116</v>
      </c>
      <c r="C2345" t="s">
        <v>568</v>
      </c>
      <c r="D2345" t="s">
        <v>2280</v>
      </c>
      <c r="E2345" t="s">
        <v>2877</v>
      </c>
      <c r="F2345" s="452">
        <v>46091</v>
      </c>
      <c r="G2345">
        <v>23096</v>
      </c>
      <c r="H2345" t="s">
        <v>3876</v>
      </c>
      <c r="I2345" t="s">
        <v>3469</v>
      </c>
      <c r="J2345">
        <v>60</v>
      </c>
      <c r="K2345" t="s">
        <v>3872</v>
      </c>
      <c r="L2345">
        <v>45</v>
      </c>
      <c r="M2345">
        <v>0.75</v>
      </c>
      <c r="N2345" t="s">
        <v>4240</v>
      </c>
      <c r="O2345" t="s">
        <v>463</v>
      </c>
    </row>
    <row r="2346" spans="1:15" x14ac:dyDescent="0.3">
      <c r="A2346">
        <v>217433</v>
      </c>
      <c r="B2346">
        <v>116</v>
      </c>
      <c r="C2346" t="s">
        <v>568</v>
      </c>
      <c r="D2346" t="s">
        <v>2280</v>
      </c>
      <c r="E2346" t="s">
        <v>2877</v>
      </c>
      <c r="F2346" s="452">
        <v>46091</v>
      </c>
      <c r="G2346">
        <v>23171</v>
      </c>
      <c r="H2346" t="s">
        <v>4132</v>
      </c>
      <c r="I2346" t="s">
        <v>3469</v>
      </c>
      <c r="J2346">
        <v>3</v>
      </c>
      <c r="K2346" t="s">
        <v>3892</v>
      </c>
      <c r="L2346">
        <v>33</v>
      </c>
      <c r="M2346">
        <v>11</v>
      </c>
      <c r="N2346" t="s">
        <v>4240</v>
      </c>
      <c r="O2346" t="s">
        <v>463</v>
      </c>
    </row>
    <row r="2347" spans="1:15" x14ac:dyDescent="0.3">
      <c r="A2347">
        <v>217433</v>
      </c>
      <c r="B2347">
        <v>116</v>
      </c>
      <c r="C2347" t="s">
        <v>568</v>
      </c>
      <c r="D2347" t="s">
        <v>2280</v>
      </c>
      <c r="E2347" t="s">
        <v>2877</v>
      </c>
      <c r="F2347" s="452">
        <v>46091</v>
      </c>
      <c r="G2347">
        <v>23142</v>
      </c>
      <c r="H2347" t="s">
        <v>4151</v>
      </c>
      <c r="I2347" t="s">
        <v>3469</v>
      </c>
      <c r="J2347">
        <v>1</v>
      </c>
      <c r="K2347" t="s">
        <v>3892</v>
      </c>
      <c r="L2347">
        <v>21.88</v>
      </c>
      <c r="M2347">
        <v>21.88</v>
      </c>
      <c r="N2347" t="s">
        <v>4240</v>
      </c>
      <c r="O2347" t="s">
        <v>463</v>
      </c>
    </row>
    <row r="2348" spans="1:15" x14ac:dyDescent="0.3">
      <c r="A2348">
        <v>217431</v>
      </c>
      <c r="B2348">
        <v>116</v>
      </c>
      <c r="C2348" t="s">
        <v>568</v>
      </c>
      <c r="D2348" t="s">
        <v>2280</v>
      </c>
      <c r="E2348" t="s">
        <v>2878</v>
      </c>
      <c r="F2348" s="452">
        <v>46093</v>
      </c>
      <c r="G2348">
        <v>19634</v>
      </c>
      <c r="H2348" t="s">
        <v>4068</v>
      </c>
      <c r="I2348" t="s">
        <v>3469</v>
      </c>
      <c r="J2348">
        <v>2</v>
      </c>
      <c r="K2348" t="s">
        <v>3892</v>
      </c>
      <c r="L2348">
        <v>20.5</v>
      </c>
      <c r="M2348">
        <v>10.25</v>
      </c>
      <c r="N2348" t="s">
        <v>4240</v>
      </c>
      <c r="O2348" t="s">
        <v>463</v>
      </c>
    </row>
    <row r="2349" spans="1:15" x14ac:dyDescent="0.3">
      <c r="A2349">
        <v>217431</v>
      </c>
      <c r="B2349">
        <v>116</v>
      </c>
      <c r="C2349" t="s">
        <v>568</v>
      </c>
      <c r="D2349" t="s">
        <v>2280</v>
      </c>
      <c r="E2349" t="s">
        <v>2878</v>
      </c>
      <c r="F2349" s="452">
        <v>46093</v>
      </c>
      <c r="G2349">
        <v>19787</v>
      </c>
      <c r="H2349" t="s">
        <v>3940</v>
      </c>
      <c r="I2349" t="s">
        <v>3469</v>
      </c>
      <c r="J2349">
        <v>4.5</v>
      </c>
      <c r="K2349" t="s">
        <v>3892</v>
      </c>
      <c r="L2349">
        <v>23.63</v>
      </c>
      <c r="M2349">
        <v>5.2511109999999999</v>
      </c>
      <c r="N2349" t="s">
        <v>4240</v>
      </c>
      <c r="O2349" t="s">
        <v>463</v>
      </c>
    </row>
    <row r="2350" spans="1:15" x14ac:dyDescent="0.3">
      <c r="A2350">
        <v>217431</v>
      </c>
      <c r="B2350">
        <v>116</v>
      </c>
      <c r="C2350" t="s">
        <v>568</v>
      </c>
      <c r="D2350" t="s">
        <v>2280</v>
      </c>
      <c r="E2350" t="s">
        <v>2878</v>
      </c>
      <c r="F2350" s="452">
        <v>46093</v>
      </c>
      <c r="G2350">
        <v>19555</v>
      </c>
      <c r="H2350" t="s">
        <v>4109</v>
      </c>
      <c r="I2350" t="s">
        <v>3469</v>
      </c>
      <c r="J2350">
        <v>0.5</v>
      </c>
      <c r="K2350" t="s">
        <v>3892</v>
      </c>
      <c r="L2350">
        <v>11.88</v>
      </c>
      <c r="M2350">
        <v>23.76</v>
      </c>
      <c r="N2350" t="s">
        <v>4240</v>
      </c>
      <c r="O2350" t="s">
        <v>463</v>
      </c>
    </row>
    <row r="2351" spans="1:15" x14ac:dyDescent="0.3">
      <c r="A2351">
        <v>217431</v>
      </c>
      <c r="B2351">
        <v>116</v>
      </c>
      <c r="C2351" t="s">
        <v>568</v>
      </c>
      <c r="D2351" t="s">
        <v>2280</v>
      </c>
      <c r="E2351" t="s">
        <v>2878</v>
      </c>
      <c r="F2351" s="452">
        <v>46093</v>
      </c>
      <c r="G2351">
        <v>19751</v>
      </c>
      <c r="H2351" t="s">
        <v>4019</v>
      </c>
      <c r="I2351" t="s">
        <v>3469</v>
      </c>
      <c r="J2351">
        <v>2</v>
      </c>
      <c r="K2351" t="s">
        <v>3892</v>
      </c>
      <c r="L2351">
        <v>24.3</v>
      </c>
      <c r="M2351">
        <v>12.15</v>
      </c>
      <c r="N2351" t="s">
        <v>4240</v>
      </c>
      <c r="O2351" t="s">
        <v>463</v>
      </c>
    </row>
    <row r="2352" spans="1:15" x14ac:dyDescent="0.3">
      <c r="A2352">
        <v>217431</v>
      </c>
      <c r="B2352">
        <v>116</v>
      </c>
      <c r="C2352" t="s">
        <v>568</v>
      </c>
      <c r="D2352" t="s">
        <v>2280</v>
      </c>
      <c r="E2352" t="s">
        <v>2878</v>
      </c>
      <c r="F2352" s="452">
        <v>46093</v>
      </c>
      <c r="G2352">
        <v>24598</v>
      </c>
      <c r="H2352" t="s">
        <v>4166</v>
      </c>
      <c r="I2352" t="s">
        <v>3469</v>
      </c>
      <c r="J2352">
        <v>1.3</v>
      </c>
      <c r="K2352" t="s">
        <v>3892</v>
      </c>
      <c r="L2352">
        <v>16.25</v>
      </c>
      <c r="M2352">
        <v>12.5</v>
      </c>
      <c r="N2352" t="s">
        <v>4240</v>
      </c>
      <c r="O2352" t="s">
        <v>463</v>
      </c>
    </row>
    <row r="2353" spans="1:15" x14ac:dyDescent="0.3">
      <c r="A2353">
        <v>217431</v>
      </c>
      <c r="B2353">
        <v>116</v>
      </c>
      <c r="C2353" t="s">
        <v>568</v>
      </c>
      <c r="D2353" t="s">
        <v>2280</v>
      </c>
      <c r="E2353" t="s">
        <v>2878</v>
      </c>
      <c r="F2353" s="452">
        <v>46093</v>
      </c>
      <c r="G2353">
        <v>23096</v>
      </c>
      <c r="H2353" t="s">
        <v>3876</v>
      </c>
      <c r="I2353" t="s">
        <v>3469</v>
      </c>
      <c r="J2353">
        <v>30</v>
      </c>
      <c r="K2353" t="s">
        <v>3872</v>
      </c>
      <c r="L2353">
        <v>22.5</v>
      </c>
      <c r="M2353">
        <v>0.75</v>
      </c>
      <c r="N2353" t="s">
        <v>4240</v>
      </c>
      <c r="O2353" t="s">
        <v>463</v>
      </c>
    </row>
    <row r="2354" spans="1:15" x14ac:dyDescent="0.3">
      <c r="A2354">
        <v>217431</v>
      </c>
      <c r="B2354">
        <v>116</v>
      </c>
      <c r="C2354" t="s">
        <v>568</v>
      </c>
      <c r="D2354" t="s">
        <v>2280</v>
      </c>
      <c r="E2354" t="s">
        <v>2878</v>
      </c>
      <c r="F2354" s="452">
        <v>46093</v>
      </c>
      <c r="G2354">
        <v>23198</v>
      </c>
      <c r="H2354" t="s">
        <v>4167</v>
      </c>
      <c r="I2354" t="s">
        <v>3469</v>
      </c>
      <c r="J2354">
        <v>1</v>
      </c>
      <c r="K2354" t="s">
        <v>3892</v>
      </c>
      <c r="L2354">
        <v>12.5</v>
      </c>
      <c r="M2354">
        <v>12.5</v>
      </c>
      <c r="N2354" t="s">
        <v>4240</v>
      </c>
      <c r="O2354" t="s">
        <v>463</v>
      </c>
    </row>
    <row r="2355" spans="1:15" x14ac:dyDescent="0.3">
      <c r="A2355">
        <v>217431</v>
      </c>
      <c r="B2355">
        <v>116</v>
      </c>
      <c r="C2355" t="s">
        <v>568</v>
      </c>
      <c r="D2355" t="s">
        <v>2280</v>
      </c>
      <c r="E2355" t="s">
        <v>2878</v>
      </c>
      <c r="F2355" s="452">
        <v>46093</v>
      </c>
      <c r="G2355">
        <v>23335</v>
      </c>
      <c r="H2355" t="s">
        <v>4075</v>
      </c>
      <c r="I2355" t="s">
        <v>3469</v>
      </c>
      <c r="J2355">
        <v>1.2</v>
      </c>
      <c r="K2355" t="s">
        <v>3892</v>
      </c>
      <c r="L2355">
        <v>30</v>
      </c>
      <c r="M2355">
        <v>25</v>
      </c>
      <c r="N2355" t="s">
        <v>4240</v>
      </c>
      <c r="O2355" t="s">
        <v>463</v>
      </c>
    </row>
    <row r="2356" spans="1:15" x14ac:dyDescent="0.3">
      <c r="A2356">
        <v>217431</v>
      </c>
      <c r="B2356">
        <v>116</v>
      </c>
      <c r="C2356" t="s">
        <v>568</v>
      </c>
      <c r="D2356" t="s">
        <v>2280</v>
      </c>
      <c r="E2356" t="s">
        <v>2878</v>
      </c>
      <c r="F2356" s="452">
        <v>46093</v>
      </c>
      <c r="G2356">
        <v>23142</v>
      </c>
      <c r="H2356" t="s">
        <v>4151</v>
      </c>
      <c r="I2356" t="s">
        <v>3469</v>
      </c>
      <c r="J2356">
        <v>1</v>
      </c>
      <c r="K2356" t="s">
        <v>3892</v>
      </c>
      <c r="L2356">
        <v>21.88</v>
      </c>
      <c r="M2356">
        <v>21.88</v>
      </c>
      <c r="N2356" t="s">
        <v>4240</v>
      </c>
      <c r="O2356" t="s">
        <v>463</v>
      </c>
    </row>
    <row r="2357" spans="1:15" x14ac:dyDescent="0.3">
      <c r="A2357">
        <v>217430</v>
      </c>
      <c r="B2357">
        <v>116</v>
      </c>
      <c r="C2357" t="s">
        <v>568</v>
      </c>
      <c r="D2357" t="s">
        <v>2273</v>
      </c>
      <c r="E2357" t="s">
        <v>2879</v>
      </c>
      <c r="F2357" s="452">
        <v>46093</v>
      </c>
      <c r="G2357">
        <v>19623</v>
      </c>
      <c r="H2357" t="s">
        <v>3984</v>
      </c>
      <c r="I2357" t="s">
        <v>3469</v>
      </c>
      <c r="J2357">
        <v>3.3</v>
      </c>
      <c r="K2357" t="s">
        <v>3892</v>
      </c>
      <c r="L2357">
        <v>11.98</v>
      </c>
      <c r="M2357">
        <v>3.6303030000000001</v>
      </c>
      <c r="N2357" t="s">
        <v>3469</v>
      </c>
      <c r="O2357" t="s">
        <v>463</v>
      </c>
    </row>
    <row r="2358" spans="1:15" x14ac:dyDescent="0.3">
      <c r="A2358">
        <v>217430</v>
      </c>
      <c r="B2358">
        <v>116</v>
      </c>
      <c r="C2358" t="s">
        <v>568</v>
      </c>
      <c r="D2358" t="s">
        <v>2273</v>
      </c>
      <c r="E2358" t="s">
        <v>2879</v>
      </c>
      <c r="F2358" s="452">
        <v>46093</v>
      </c>
      <c r="G2358">
        <v>19642</v>
      </c>
      <c r="H2358" t="s">
        <v>4067</v>
      </c>
      <c r="I2358" t="s">
        <v>3469</v>
      </c>
      <c r="J2358">
        <v>1</v>
      </c>
      <c r="K2358" t="s">
        <v>3892</v>
      </c>
      <c r="L2358">
        <v>5.15</v>
      </c>
      <c r="M2358">
        <v>5.15</v>
      </c>
      <c r="N2358" t="s">
        <v>3469</v>
      </c>
      <c r="O2358" t="s">
        <v>463</v>
      </c>
    </row>
    <row r="2359" spans="1:15" x14ac:dyDescent="0.3">
      <c r="A2359">
        <v>217430</v>
      </c>
      <c r="B2359">
        <v>116</v>
      </c>
      <c r="C2359" t="s">
        <v>568</v>
      </c>
      <c r="D2359" t="s">
        <v>2273</v>
      </c>
      <c r="E2359" t="s">
        <v>2879</v>
      </c>
      <c r="F2359" s="452">
        <v>46093</v>
      </c>
      <c r="G2359">
        <v>19652</v>
      </c>
      <c r="H2359" t="s">
        <v>4014</v>
      </c>
      <c r="I2359" t="s">
        <v>3469</v>
      </c>
      <c r="J2359">
        <v>1</v>
      </c>
      <c r="K2359" t="s">
        <v>3892</v>
      </c>
      <c r="L2359">
        <v>20.88</v>
      </c>
      <c r="M2359">
        <v>20.88</v>
      </c>
      <c r="N2359" t="s">
        <v>3469</v>
      </c>
      <c r="O2359" t="s">
        <v>463</v>
      </c>
    </row>
    <row r="2360" spans="1:15" x14ac:dyDescent="0.3">
      <c r="A2360">
        <v>217430</v>
      </c>
      <c r="B2360">
        <v>116</v>
      </c>
      <c r="C2360" t="s">
        <v>568</v>
      </c>
      <c r="D2360" t="s">
        <v>2273</v>
      </c>
      <c r="E2360" t="s">
        <v>2879</v>
      </c>
      <c r="F2360" s="452">
        <v>46093</v>
      </c>
      <c r="G2360">
        <v>23389</v>
      </c>
      <c r="H2360" t="s">
        <v>4016</v>
      </c>
      <c r="I2360" t="s">
        <v>3469</v>
      </c>
      <c r="J2360">
        <v>6.2</v>
      </c>
      <c r="K2360" t="s">
        <v>3892</v>
      </c>
      <c r="L2360">
        <v>28.4</v>
      </c>
      <c r="M2360">
        <v>4.5806449999999996</v>
      </c>
      <c r="N2360" t="s">
        <v>3469</v>
      </c>
      <c r="O2360" t="s">
        <v>463</v>
      </c>
    </row>
    <row r="2361" spans="1:15" x14ac:dyDescent="0.3">
      <c r="A2361">
        <v>217430</v>
      </c>
      <c r="B2361">
        <v>116</v>
      </c>
      <c r="C2361" t="s">
        <v>568</v>
      </c>
      <c r="D2361" t="s">
        <v>2273</v>
      </c>
      <c r="E2361" t="s">
        <v>2879</v>
      </c>
      <c r="F2361" s="452">
        <v>46093</v>
      </c>
      <c r="G2361">
        <v>23361</v>
      </c>
      <c r="H2361" t="s">
        <v>4220</v>
      </c>
      <c r="I2361" t="s">
        <v>3469</v>
      </c>
      <c r="J2361">
        <v>36</v>
      </c>
      <c r="K2361" t="s">
        <v>3892</v>
      </c>
      <c r="L2361">
        <v>119.88</v>
      </c>
      <c r="M2361">
        <v>3.33</v>
      </c>
      <c r="N2361" t="s">
        <v>3469</v>
      </c>
      <c r="O2361" t="s">
        <v>463</v>
      </c>
    </row>
    <row r="2362" spans="1:15" x14ac:dyDescent="0.3">
      <c r="A2362">
        <v>217430</v>
      </c>
      <c r="B2362">
        <v>116</v>
      </c>
      <c r="C2362" t="s">
        <v>568</v>
      </c>
      <c r="D2362" t="s">
        <v>2273</v>
      </c>
      <c r="E2362" t="s">
        <v>2879</v>
      </c>
      <c r="F2362" s="452">
        <v>46093</v>
      </c>
      <c r="G2362">
        <v>23095</v>
      </c>
      <c r="H2362" t="s">
        <v>3882</v>
      </c>
      <c r="I2362" t="s">
        <v>3469</v>
      </c>
      <c r="J2362">
        <v>60</v>
      </c>
      <c r="K2362" t="s">
        <v>3872</v>
      </c>
      <c r="L2362">
        <v>79.8</v>
      </c>
      <c r="M2362">
        <v>1.33</v>
      </c>
      <c r="N2362" t="s">
        <v>3469</v>
      </c>
      <c r="O2362" t="s">
        <v>463</v>
      </c>
    </row>
    <row r="2363" spans="1:15" x14ac:dyDescent="0.3">
      <c r="A2363">
        <v>217430</v>
      </c>
      <c r="B2363">
        <v>116</v>
      </c>
      <c r="C2363" t="s">
        <v>568</v>
      </c>
      <c r="D2363" t="s">
        <v>2273</v>
      </c>
      <c r="E2363" t="s">
        <v>2879</v>
      </c>
      <c r="F2363" s="452">
        <v>46093</v>
      </c>
      <c r="G2363">
        <v>17066</v>
      </c>
      <c r="H2363" t="s">
        <v>4155</v>
      </c>
      <c r="I2363" t="s">
        <v>3469</v>
      </c>
      <c r="J2363">
        <v>1</v>
      </c>
      <c r="K2363" t="s">
        <v>3892</v>
      </c>
      <c r="L2363">
        <v>19.43</v>
      </c>
      <c r="M2363">
        <v>19.43</v>
      </c>
      <c r="N2363" t="s">
        <v>3469</v>
      </c>
      <c r="O2363" t="s">
        <v>463</v>
      </c>
    </row>
    <row r="2364" spans="1:15" x14ac:dyDescent="0.3">
      <c r="A2364">
        <v>217430</v>
      </c>
      <c r="B2364">
        <v>116</v>
      </c>
      <c r="C2364" t="s">
        <v>568</v>
      </c>
      <c r="D2364" t="s">
        <v>2273</v>
      </c>
      <c r="E2364" t="s">
        <v>2879</v>
      </c>
      <c r="F2364" s="452">
        <v>46093</v>
      </c>
      <c r="G2364">
        <v>19672</v>
      </c>
      <c r="H2364" t="s">
        <v>4024</v>
      </c>
      <c r="I2364" t="s">
        <v>3469</v>
      </c>
      <c r="J2364">
        <v>2</v>
      </c>
      <c r="K2364" t="s">
        <v>3892</v>
      </c>
      <c r="L2364">
        <v>26.1</v>
      </c>
      <c r="M2364">
        <v>13.05</v>
      </c>
      <c r="N2364" t="s">
        <v>3469</v>
      </c>
      <c r="O2364" t="s">
        <v>463</v>
      </c>
    </row>
    <row r="2365" spans="1:15" x14ac:dyDescent="0.3">
      <c r="A2365">
        <v>217430</v>
      </c>
      <c r="B2365">
        <v>116</v>
      </c>
      <c r="C2365" t="s">
        <v>568</v>
      </c>
      <c r="D2365" t="s">
        <v>2273</v>
      </c>
      <c r="E2365" t="s">
        <v>2879</v>
      </c>
      <c r="F2365" s="452">
        <v>46093</v>
      </c>
      <c r="G2365">
        <v>19539</v>
      </c>
      <c r="H2365" t="s">
        <v>4133</v>
      </c>
      <c r="I2365" t="s">
        <v>3469</v>
      </c>
      <c r="J2365">
        <v>18</v>
      </c>
      <c r="K2365" t="s">
        <v>3892</v>
      </c>
      <c r="L2365">
        <v>130.5</v>
      </c>
      <c r="M2365">
        <v>7.25</v>
      </c>
      <c r="N2365" t="s">
        <v>3469</v>
      </c>
      <c r="O2365" t="s">
        <v>463</v>
      </c>
    </row>
    <row r="2366" spans="1:15" x14ac:dyDescent="0.3">
      <c r="A2366">
        <v>217427</v>
      </c>
      <c r="B2366">
        <v>116</v>
      </c>
      <c r="C2366" t="s">
        <v>568</v>
      </c>
      <c r="D2366" t="s">
        <v>2293</v>
      </c>
      <c r="E2366" t="s">
        <v>2880</v>
      </c>
      <c r="F2366" s="452">
        <v>46090</v>
      </c>
      <c r="G2366">
        <v>16974</v>
      </c>
      <c r="H2366" t="s">
        <v>3996</v>
      </c>
      <c r="I2366" t="s">
        <v>3497</v>
      </c>
      <c r="J2366">
        <v>4</v>
      </c>
      <c r="K2366" t="s">
        <v>3881</v>
      </c>
      <c r="L2366">
        <v>540</v>
      </c>
      <c r="M2366">
        <v>135</v>
      </c>
      <c r="N2366" t="s">
        <v>3497</v>
      </c>
      <c r="O2366" t="s">
        <v>463</v>
      </c>
    </row>
    <row r="2367" spans="1:15" x14ac:dyDescent="0.3">
      <c r="A2367">
        <v>217424</v>
      </c>
      <c r="B2367">
        <v>116</v>
      </c>
      <c r="C2367" t="s">
        <v>568</v>
      </c>
      <c r="D2367" t="s">
        <v>2258</v>
      </c>
      <c r="E2367" t="s">
        <v>2881</v>
      </c>
      <c r="F2367" s="452">
        <v>46094</v>
      </c>
      <c r="G2367">
        <v>17006</v>
      </c>
      <c r="H2367" t="s">
        <v>4128</v>
      </c>
      <c r="I2367" t="s">
        <v>3469</v>
      </c>
      <c r="J2367">
        <v>12.2</v>
      </c>
      <c r="K2367" t="s">
        <v>3892</v>
      </c>
      <c r="L2367">
        <v>158.6</v>
      </c>
      <c r="M2367">
        <v>13</v>
      </c>
      <c r="N2367" t="s">
        <v>4240</v>
      </c>
      <c r="O2367" t="s">
        <v>463</v>
      </c>
    </row>
    <row r="2368" spans="1:15" x14ac:dyDescent="0.3">
      <c r="A2368">
        <v>216049</v>
      </c>
      <c r="B2368">
        <v>116</v>
      </c>
      <c r="C2368" t="s">
        <v>568</v>
      </c>
      <c r="D2368" t="s">
        <v>2683</v>
      </c>
      <c r="E2368" t="s">
        <v>2882</v>
      </c>
      <c r="F2368" s="452">
        <v>46091</v>
      </c>
      <c r="G2368">
        <v>18933</v>
      </c>
      <c r="H2368" t="s">
        <v>3957</v>
      </c>
      <c r="I2368" t="s">
        <v>3469</v>
      </c>
      <c r="J2368">
        <v>6.36</v>
      </c>
      <c r="K2368" t="s">
        <v>3892</v>
      </c>
      <c r="L2368">
        <v>177.44</v>
      </c>
      <c r="M2368">
        <v>27.899370999999999</v>
      </c>
      <c r="N2368" t="s">
        <v>4240</v>
      </c>
      <c r="O2368" t="s">
        <v>463</v>
      </c>
    </row>
    <row r="2369" spans="1:15" x14ac:dyDescent="0.3">
      <c r="A2369">
        <v>216048</v>
      </c>
      <c r="B2369">
        <v>116</v>
      </c>
      <c r="C2369" t="s">
        <v>568</v>
      </c>
      <c r="D2369" t="s">
        <v>2367</v>
      </c>
      <c r="E2369" t="s">
        <v>2883</v>
      </c>
      <c r="F2369" s="452">
        <v>46085</v>
      </c>
      <c r="G2369">
        <v>19346</v>
      </c>
      <c r="H2369" t="s">
        <v>3948</v>
      </c>
      <c r="I2369" t="s">
        <v>3469</v>
      </c>
      <c r="J2369">
        <v>5.85</v>
      </c>
      <c r="K2369" t="s">
        <v>3892</v>
      </c>
      <c r="L2369">
        <v>341.05</v>
      </c>
      <c r="M2369">
        <v>58.299145000000003</v>
      </c>
      <c r="N2369" t="s">
        <v>4240</v>
      </c>
      <c r="O2369" t="s">
        <v>463</v>
      </c>
    </row>
    <row r="2370" spans="1:15" x14ac:dyDescent="0.3">
      <c r="A2370">
        <v>216047</v>
      </c>
      <c r="B2370">
        <v>116</v>
      </c>
      <c r="C2370" t="s">
        <v>568</v>
      </c>
      <c r="D2370" t="s">
        <v>2318</v>
      </c>
      <c r="E2370" t="s">
        <v>2884</v>
      </c>
      <c r="F2370" s="452">
        <v>46090</v>
      </c>
      <c r="G2370">
        <v>18764</v>
      </c>
      <c r="H2370" t="s">
        <v>3907</v>
      </c>
      <c r="I2370" t="s">
        <v>3469</v>
      </c>
      <c r="J2370">
        <v>14</v>
      </c>
      <c r="K2370" t="s">
        <v>3892</v>
      </c>
      <c r="L2370">
        <v>1119.8599999999999</v>
      </c>
      <c r="M2370">
        <v>79.989999999999995</v>
      </c>
      <c r="N2370" t="s">
        <v>4240</v>
      </c>
      <c r="O2370" t="s">
        <v>463</v>
      </c>
    </row>
    <row r="2371" spans="1:15" x14ac:dyDescent="0.3">
      <c r="A2371">
        <v>216046</v>
      </c>
      <c r="B2371">
        <v>116</v>
      </c>
      <c r="C2371" t="s">
        <v>568</v>
      </c>
      <c r="D2371" t="s">
        <v>2258</v>
      </c>
      <c r="E2371" t="s">
        <v>2885</v>
      </c>
      <c r="F2371" s="452">
        <v>46090</v>
      </c>
      <c r="G2371">
        <v>17006</v>
      </c>
      <c r="H2371" t="s">
        <v>4128</v>
      </c>
      <c r="I2371" t="s">
        <v>3469</v>
      </c>
      <c r="J2371">
        <v>12.05</v>
      </c>
      <c r="K2371" t="s">
        <v>3892</v>
      </c>
      <c r="L2371">
        <v>156.65</v>
      </c>
      <c r="M2371">
        <v>13</v>
      </c>
      <c r="N2371" t="s">
        <v>4240</v>
      </c>
      <c r="O2371" t="s">
        <v>463</v>
      </c>
    </row>
    <row r="2372" spans="1:15" x14ac:dyDescent="0.3">
      <c r="A2372">
        <v>216045</v>
      </c>
      <c r="B2372">
        <v>116</v>
      </c>
      <c r="C2372" t="s">
        <v>568</v>
      </c>
      <c r="D2372" t="s">
        <v>2463</v>
      </c>
      <c r="E2372" t="s">
        <v>2886</v>
      </c>
      <c r="F2372" s="452">
        <v>46084</v>
      </c>
      <c r="G2372">
        <v>19130</v>
      </c>
      <c r="H2372" t="s">
        <v>4284</v>
      </c>
      <c r="I2372" t="s">
        <v>3469</v>
      </c>
      <c r="J2372">
        <v>825</v>
      </c>
      <c r="K2372" t="s">
        <v>3892</v>
      </c>
      <c r="L2372">
        <v>948.75</v>
      </c>
      <c r="M2372">
        <v>1.1499999999999999</v>
      </c>
      <c r="N2372" t="s">
        <v>4289</v>
      </c>
      <c r="O2372" t="s">
        <v>463</v>
      </c>
    </row>
    <row r="2373" spans="1:15" x14ac:dyDescent="0.3">
      <c r="A2373">
        <v>216045</v>
      </c>
      <c r="B2373">
        <v>116</v>
      </c>
      <c r="C2373" t="s">
        <v>568</v>
      </c>
      <c r="D2373" t="s">
        <v>2463</v>
      </c>
      <c r="E2373" t="s">
        <v>2886</v>
      </c>
      <c r="F2373" s="452">
        <v>46084</v>
      </c>
      <c r="G2373">
        <v>23687</v>
      </c>
      <c r="H2373" t="s">
        <v>4285</v>
      </c>
      <c r="I2373" t="s">
        <v>3469</v>
      </c>
      <c r="J2373">
        <v>16.57</v>
      </c>
      <c r="K2373" t="s">
        <v>3892</v>
      </c>
      <c r="L2373">
        <v>213.75</v>
      </c>
      <c r="M2373">
        <v>12.899819000000001</v>
      </c>
      <c r="N2373" t="s">
        <v>4289</v>
      </c>
      <c r="O2373" t="s">
        <v>463</v>
      </c>
    </row>
    <row r="2374" spans="1:15" x14ac:dyDescent="0.3">
      <c r="A2374">
        <v>216044</v>
      </c>
      <c r="B2374">
        <v>116</v>
      </c>
      <c r="C2374" t="s">
        <v>568</v>
      </c>
      <c r="D2374" t="s">
        <v>3055</v>
      </c>
      <c r="E2374" t="s">
        <v>2886</v>
      </c>
      <c r="F2374" s="452">
        <v>46084</v>
      </c>
      <c r="G2374">
        <v>19130</v>
      </c>
      <c r="H2374" t="s">
        <v>4284</v>
      </c>
      <c r="I2374" t="s">
        <v>3469</v>
      </c>
      <c r="J2374">
        <v>825</v>
      </c>
      <c r="K2374" t="s">
        <v>3892</v>
      </c>
      <c r="L2374">
        <v>948.75</v>
      </c>
      <c r="M2374">
        <v>1.1499999999999999</v>
      </c>
      <c r="N2374" t="s">
        <v>4240</v>
      </c>
      <c r="O2374" t="s">
        <v>463</v>
      </c>
    </row>
    <row r="2375" spans="1:15" x14ac:dyDescent="0.3">
      <c r="A2375">
        <v>216044</v>
      </c>
      <c r="B2375">
        <v>116</v>
      </c>
      <c r="C2375" t="s">
        <v>568</v>
      </c>
      <c r="D2375" t="s">
        <v>3055</v>
      </c>
      <c r="E2375" t="s">
        <v>2886</v>
      </c>
      <c r="F2375" s="452">
        <v>46084</v>
      </c>
      <c r="G2375">
        <v>23687</v>
      </c>
      <c r="H2375" t="s">
        <v>4285</v>
      </c>
      <c r="I2375" t="s">
        <v>3469</v>
      </c>
      <c r="J2375">
        <v>16.57</v>
      </c>
      <c r="K2375" t="s">
        <v>3892</v>
      </c>
      <c r="L2375">
        <v>213.75</v>
      </c>
      <c r="M2375">
        <v>12.899819000000001</v>
      </c>
      <c r="N2375" t="s">
        <v>4240</v>
      </c>
      <c r="O2375" t="s">
        <v>463</v>
      </c>
    </row>
    <row r="2376" spans="1:15" x14ac:dyDescent="0.3">
      <c r="A2376">
        <v>215784</v>
      </c>
      <c r="B2376">
        <v>116</v>
      </c>
      <c r="C2376" t="s">
        <v>568</v>
      </c>
      <c r="D2376" t="s">
        <v>2286</v>
      </c>
      <c r="E2376" t="s">
        <v>2887</v>
      </c>
      <c r="F2376" s="452">
        <v>46086</v>
      </c>
      <c r="G2376">
        <v>19787</v>
      </c>
      <c r="H2376" t="s">
        <v>3940</v>
      </c>
      <c r="I2376" t="s">
        <v>3469</v>
      </c>
      <c r="J2376">
        <v>4.5</v>
      </c>
      <c r="K2376" t="s">
        <v>3892</v>
      </c>
      <c r="L2376">
        <v>21.38</v>
      </c>
      <c r="M2376">
        <v>4.7511109999999999</v>
      </c>
      <c r="N2376" t="s">
        <v>4240</v>
      </c>
      <c r="O2376" t="s">
        <v>463</v>
      </c>
    </row>
    <row r="2377" spans="1:15" x14ac:dyDescent="0.3">
      <c r="A2377">
        <v>215784</v>
      </c>
      <c r="B2377">
        <v>116</v>
      </c>
      <c r="C2377" t="s">
        <v>568</v>
      </c>
      <c r="D2377" t="s">
        <v>2286</v>
      </c>
      <c r="E2377" t="s">
        <v>2887</v>
      </c>
      <c r="F2377" s="452">
        <v>46086</v>
      </c>
      <c r="G2377">
        <v>19506</v>
      </c>
      <c r="H2377" t="s">
        <v>4112</v>
      </c>
      <c r="I2377" t="s">
        <v>3469</v>
      </c>
      <c r="J2377">
        <v>0.2</v>
      </c>
      <c r="K2377" t="s">
        <v>3892</v>
      </c>
      <c r="L2377">
        <v>7.6</v>
      </c>
      <c r="M2377">
        <v>38</v>
      </c>
      <c r="N2377" t="s">
        <v>4240</v>
      </c>
      <c r="O2377" t="s">
        <v>463</v>
      </c>
    </row>
    <row r="2378" spans="1:15" x14ac:dyDescent="0.3">
      <c r="A2378">
        <v>215784</v>
      </c>
      <c r="B2378">
        <v>116</v>
      </c>
      <c r="C2378" t="s">
        <v>568</v>
      </c>
      <c r="D2378" t="s">
        <v>2286</v>
      </c>
      <c r="E2378" t="s">
        <v>2887</v>
      </c>
      <c r="F2378" s="452">
        <v>46086</v>
      </c>
      <c r="G2378">
        <v>19505</v>
      </c>
      <c r="H2378" t="s">
        <v>4101</v>
      </c>
      <c r="I2378" t="s">
        <v>3469</v>
      </c>
      <c r="J2378">
        <v>1</v>
      </c>
      <c r="K2378" t="s">
        <v>3892</v>
      </c>
      <c r="L2378">
        <v>13.2</v>
      </c>
      <c r="M2378">
        <v>13.2</v>
      </c>
      <c r="N2378" t="s">
        <v>4240</v>
      </c>
      <c r="O2378" t="s">
        <v>463</v>
      </c>
    </row>
    <row r="2379" spans="1:15" x14ac:dyDescent="0.3">
      <c r="A2379">
        <v>215784</v>
      </c>
      <c r="B2379">
        <v>116</v>
      </c>
      <c r="C2379" t="s">
        <v>568</v>
      </c>
      <c r="D2379" t="s">
        <v>2286</v>
      </c>
      <c r="E2379" t="s">
        <v>2887</v>
      </c>
      <c r="F2379" s="452">
        <v>46086</v>
      </c>
      <c r="G2379">
        <v>19623</v>
      </c>
      <c r="H2379" t="s">
        <v>3984</v>
      </c>
      <c r="I2379" t="s">
        <v>3469</v>
      </c>
      <c r="J2379">
        <v>3</v>
      </c>
      <c r="K2379" t="s">
        <v>3892</v>
      </c>
      <c r="L2379">
        <v>12.6</v>
      </c>
      <c r="M2379">
        <v>4.2</v>
      </c>
      <c r="N2379" t="s">
        <v>4240</v>
      </c>
      <c r="O2379" t="s">
        <v>463</v>
      </c>
    </row>
    <row r="2380" spans="1:15" x14ac:dyDescent="0.3">
      <c r="A2380">
        <v>215784</v>
      </c>
      <c r="B2380">
        <v>116</v>
      </c>
      <c r="C2380" t="s">
        <v>568</v>
      </c>
      <c r="D2380" t="s">
        <v>2286</v>
      </c>
      <c r="E2380" t="s">
        <v>2887</v>
      </c>
      <c r="F2380" s="452">
        <v>46086</v>
      </c>
      <c r="G2380">
        <v>19465</v>
      </c>
      <c r="H2380" t="s">
        <v>4080</v>
      </c>
      <c r="I2380" t="s">
        <v>3469</v>
      </c>
      <c r="J2380">
        <v>1</v>
      </c>
      <c r="K2380" t="s">
        <v>3892</v>
      </c>
      <c r="L2380">
        <v>7</v>
      </c>
      <c r="M2380">
        <v>7</v>
      </c>
      <c r="N2380" t="s">
        <v>4240</v>
      </c>
      <c r="O2380" t="s">
        <v>463</v>
      </c>
    </row>
    <row r="2381" spans="1:15" x14ac:dyDescent="0.3">
      <c r="A2381">
        <v>215784</v>
      </c>
      <c r="B2381">
        <v>116</v>
      </c>
      <c r="C2381" t="s">
        <v>568</v>
      </c>
      <c r="D2381" t="s">
        <v>2286</v>
      </c>
      <c r="E2381" t="s">
        <v>2887</v>
      </c>
      <c r="F2381" s="452">
        <v>46086</v>
      </c>
      <c r="G2381">
        <v>19480</v>
      </c>
      <c r="H2381" t="s">
        <v>4113</v>
      </c>
      <c r="I2381" t="s">
        <v>3469</v>
      </c>
      <c r="J2381">
        <v>0.2</v>
      </c>
      <c r="K2381" t="s">
        <v>3892</v>
      </c>
      <c r="L2381">
        <v>3</v>
      </c>
      <c r="M2381">
        <v>15</v>
      </c>
      <c r="N2381" t="s">
        <v>4240</v>
      </c>
      <c r="O2381" t="s">
        <v>463</v>
      </c>
    </row>
    <row r="2382" spans="1:15" x14ac:dyDescent="0.3">
      <c r="A2382">
        <v>215784</v>
      </c>
      <c r="B2382">
        <v>116</v>
      </c>
      <c r="C2382" t="s">
        <v>568</v>
      </c>
      <c r="D2382" t="s">
        <v>2286</v>
      </c>
      <c r="E2382" t="s">
        <v>2887</v>
      </c>
      <c r="F2382" s="452">
        <v>46086</v>
      </c>
      <c r="G2382">
        <v>24509</v>
      </c>
      <c r="H2382" t="s">
        <v>3906</v>
      </c>
      <c r="I2382" t="s">
        <v>3469</v>
      </c>
      <c r="J2382">
        <v>20</v>
      </c>
      <c r="K2382" t="s">
        <v>3892</v>
      </c>
      <c r="L2382">
        <v>70</v>
      </c>
      <c r="M2382">
        <v>3.5</v>
      </c>
      <c r="N2382" t="s">
        <v>4240</v>
      </c>
      <c r="O2382" t="s">
        <v>463</v>
      </c>
    </row>
    <row r="2383" spans="1:15" x14ac:dyDescent="0.3">
      <c r="A2383">
        <v>215784</v>
      </c>
      <c r="B2383">
        <v>116</v>
      </c>
      <c r="C2383" t="s">
        <v>568</v>
      </c>
      <c r="D2383" t="s">
        <v>2286</v>
      </c>
      <c r="E2383" t="s">
        <v>2887</v>
      </c>
      <c r="F2383" s="452">
        <v>46086</v>
      </c>
      <c r="G2383">
        <v>19498</v>
      </c>
      <c r="H2383" t="s">
        <v>4065</v>
      </c>
      <c r="I2383" t="s">
        <v>3469</v>
      </c>
      <c r="J2383">
        <v>1</v>
      </c>
      <c r="K2383" t="s">
        <v>3892</v>
      </c>
      <c r="L2383">
        <v>16</v>
      </c>
      <c r="M2383">
        <v>16</v>
      </c>
      <c r="N2383" t="s">
        <v>4240</v>
      </c>
      <c r="O2383" t="s">
        <v>463</v>
      </c>
    </row>
    <row r="2384" spans="1:15" x14ac:dyDescent="0.3">
      <c r="A2384">
        <v>215784</v>
      </c>
      <c r="B2384">
        <v>116</v>
      </c>
      <c r="C2384" t="s">
        <v>568</v>
      </c>
      <c r="D2384" t="s">
        <v>2286</v>
      </c>
      <c r="E2384" t="s">
        <v>2887</v>
      </c>
      <c r="F2384" s="452">
        <v>46086</v>
      </c>
      <c r="G2384">
        <v>19555</v>
      </c>
      <c r="H2384" t="s">
        <v>4109</v>
      </c>
      <c r="I2384" t="s">
        <v>3469</v>
      </c>
      <c r="J2384">
        <v>0.5</v>
      </c>
      <c r="K2384" t="s">
        <v>3892</v>
      </c>
      <c r="L2384">
        <v>11</v>
      </c>
      <c r="M2384">
        <v>22</v>
      </c>
      <c r="N2384" t="s">
        <v>4240</v>
      </c>
      <c r="O2384" t="s">
        <v>463</v>
      </c>
    </row>
    <row r="2385" spans="1:15" x14ac:dyDescent="0.3">
      <c r="A2385">
        <v>215784</v>
      </c>
      <c r="B2385">
        <v>116</v>
      </c>
      <c r="C2385" t="s">
        <v>568</v>
      </c>
      <c r="D2385" t="s">
        <v>2286</v>
      </c>
      <c r="E2385" t="s">
        <v>2887</v>
      </c>
      <c r="F2385" s="452">
        <v>46086</v>
      </c>
      <c r="G2385">
        <v>19740</v>
      </c>
      <c r="H2385" t="s">
        <v>3933</v>
      </c>
      <c r="I2385" t="s">
        <v>3469</v>
      </c>
      <c r="J2385">
        <v>8</v>
      </c>
      <c r="K2385" t="s">
        <v>3892</v>
      </c>
      <c r="L2385">
        <v>104</v>
      </c>
      <c r="M2385">
        <v>13</v>
      </c>
      <c r="N2385" t="s">
        <v>4240</v>
      </c>
      <c r="O2385" t="s">
        <v>463</v>
      </c>
    </row>
    <row r="2386" spans="1:15" x14ac:dyDescent="0.3">
      <c r="A2386">
        <v>215784</v>
      </c>
      <c r="B2386">
        <v>116</v>
      </c>
      <c r="C2386" t="s">
        <v>568</v>
      </c>
      <c r="D2386" t="s">
        <v>2286</v>
      </c>
      <c r="E2386" t="s">
        <v>2887</v>
      </c>
      <c r="F2386" s="452">
        <v>46086</v>
      </c>
      <c r="G2386">
        <v>19752</v>
      </c>
      <c r="H2386" t="s">
        <v>4042</v>
      </c>
      <c r="I2386" t="s">
        <v>3469</v>
      </c>
      <c r="J2386">
        <v>1</v>
      </c>
      <c r="K2386" t="s">
        <v>3892</v>
      </c>
      <c r="L2386">
        <v>12</v>
      </c>
      <c r="M2386">
        <v>12</v>
      </c>
      <c r="N2386" t="s">
        <v>4240</v>
      </c>
      <c r="O2386" t="s">
        <v>463</v>
      </c>
    </row>
    <row r="2387" spans="1:15" x14ac:dyDescent="0.3">
      <c r="A2387">
        <v>215784</v>
      </c>
      <c r="B2387">
        <v>116</v>
      </c>
      <c r="C2387" t="s">
        <v>568</v>
      </c>
      <c r="D2387" t="s">
        <v>2286</v>
      </c>
      <c r="E2387" t="s">
        <v>2887</v>
      </c>
      <c r="F2387" s="452">
        <v>46086</v>
      </c>
      <c r="G2387">
        <v>19763</v>
      </c>
      <c r="H2387" t="s">
        <v>4187</v>
      </c>
      <c r="I2387" t="s">
        <v>3469</v>
      </c>
      <c r="J2387">
        <v>2</v>
      </c>
      <c r="K2387" t="s">
        <v>3892</v>
      </c>
      <c r="L2387">
        <v>19</v>
      </c>
      <c r="M2387">
        <v>9.5</v>
      </c>
      <c r="N2387" t="s">
        <v>4240</v>
      </c>
      <c r="O2387" t="s">
        <v>463</v>
      </c>
    </row>
    <row r="2388" spans="1:15" x14ac:dyDescent="0.3">
      <c r="A2388">
        <v>215784</v>
      </c>
      <c r="B2388">
        <v>116</v>
      </c>
      <c r="C2388" t="s">
        <v>568</v>
      </c>
      <c r="D2388" t="s">
        <v>2286</v>
      </c>
      <c r="E2388" t="s">
        <v>2887</v>
      </c>
      <c r="F2388" s="452">
        <v>46086</v>
      </c>
      <c r="G2388">
        <v>23113</v>
      </c>
      <c r="H2388" t="s">
        <v>4079</v>
      </c>
      <c r="I2388" t="s">
        <v>3469</v>
      </c>
      <c r="J2388">
        <v>1.5</v>
      </c>
      <c r="K2388" t="s">
        <v>3892</v>
      </c>
      <c r="L2388">
        <v>16.5</v>
      </c>
      <c r="M2388">
        <v>11</v>
      </c>
      <c r="N2388" t="s">
        <v>4240</v>
      </c>
      <c r="O2388" t="s">
        <v>463</v>
      </c>
    </row>
    <row r="2389" spans="1:15" x14ac:dyDescent="0.3">
      <c r="A2389">
        <v>215784</v>
      </c>
      <c r="B2389">
        <v>116</v>
      </c>
      <c r="C2389" t="s">
        <v>568</v>
      </c>
      <c r="D2389" t="s">
        <v>2286</v>
      </c>
      <c r="E2389" t="s">
        <v>2887</v>
      </c>
      <c r="F2389" s="452">
        <v>46086</v>
      </c>
      <c r="G2389">
        <v>23120</v>
      </c>
      <c r="H2389" t="s">
        <v>4111</v>
      </c>
      <c r="I2389" t="s">
        <v>3469</v>
      </c>
      <c r="J2389">
        <v>0.25</v>
      </c>
      <c r="K2389" t="s">
        <v>3892</v>
      </c>
      <c r="L2389">
        <v>15</v>
      </c>
      <c r="M2389">
        <v>60</v>
      </c>
      <c r="N2389" t="s">
        <v>4240</v>
      </c>
      <c r="O2389" t="s">
        <v>463</v>
      </c>
    </row>
    <row r="2390" spans="1:15" x14ac:dyDescent="0.3">
      <c r="A2390">
        <v>215784</v>
      </c>
      <c r="B2390">
        <v>116</v>
      </c>
      <c r="C2390" t="s">
        <v>568</v>
      </c>
      <c r="D2390" t="s">
        <v>2286</v>
      </c>
      <c r="E2390" t="s">
        <v>2887</v>
      </c>
      <c r="F2390" s="452">
        <v>46086</v>
      </c>
      <c r="G2390">
        <v>23171</v>
      </c>
      <c r="H2390" t="s">
        <v>4132</v>
      </c>
      <c r="I2390" t="s">
        <v>3469</v>
      </c>
      <c r="J2390">
        <v>3</v>
      </c>
      <c r="K2390" t="s">
        <v>3892</v>
      </c>
      <c r="L2390">
        <v>29.4</v>
      </c>
      <c r="M2390">
        <v>9.8000000000000007</v>
      </c>
      <c r="N2390" t="s">
        <v>4240</v>
      </c>
      <c r="O2390" t="s">
        <v>463</v>
      </c>
    </row>
    <row r="2391" spans="1:15" x14ac:dyDescent="0.3">
      <c r="A2391">
        <v>215784</v>
      </c>
      <c r="B2391">
        <v>116</v>
      </c>
      <c r="C2391" t="s">
        <v>568</v>
      </c>
      <c r="D2391" t="s">
        <v>2286</v>
      </c>
      <c r="E2391" t="s">
        <v>2887</v>
      </c>
      <c r="F2391" s="452">
        <v>46086</v>
      </c>
      <c r="G2391">
        <v>23198</v>
      </c>
      <c r="H2391" t="s">
        <v>4167</v>
      </c>
      <c r="I2391" t="s">
        <v>3469</v>
      </c>
      <c r="J2391">
        <v>1</v>
      </c>
      <c r="K2391" t="s">
        <v>3892</v>
      </c>
      <c r="L2391">
        <v>12</v>
      </c>
      <c r="M2391">
        <v>12</v>
      </c>
      <c r="N2391" t="s">
        <v>4240</v>
      </c>
      <c r="O2391" t="s">
        <v>463</v>
      </c>
    </row>
    <row r="2392" spans="1:15" x14ac:dyDescent="0.3">
      <c r="A2392">
        <v>215784</v>
      </c>
      <c r="B2392">
        <v>116</v>
      </c>
      <c r="C2392" t="s">
        <v>568</v>
      </c>
      <c r="D2392" t="s">
        <v>2286</v>
      </c>
      <c r="E2392" t="s">
        <v>2887</v>
      </c>
      <c r="F2392" s="452">
        <v>46086</v>
      </c>
      <c r="G2392">
        <v>23236</v>
      </c>
      <c r="H2392" t="s">
        <v>4017</v>
      </c>
      <c r="I2392" t="s">
        <v>3469</v>
      </c>
      <c r="J2392">
        <v>3</v>
      </c>
      <c r="K2392" t="s">
        <v>3892</v>
      </c>
      <c r="L2392">
        <v>21</v>
      </c>
      <c r="M2392">
        <v>7</v>
      </c>
      <c r="N2392" t="s">
        <v>4240</v>
      </c>
      <c r="O2392" t="s">
        <v>463</v>
      </c>
    </row>
    <row r="2393" spans="1:15" x14ac:dyDescent="0.3">
      <c r="A2393">
        <v>215784</v>
      </c>
      <c r="B2393">
        <v>116</v>
      </c>
      <c r="C2393" t="s">
        <v>568</v>
      </c>
      <c r="D2393" t="s">
        <v>2286</v>
      </c>
      <c r="E2393" t="s">
        <v>2887</v>
      </c>
      <c r="F2393" s="452">
        <v>46086</v>
      </c>
      <c r="G2393">
        <v>23359</v>
      </c>
      <c r="H2393" t="s">
        <v>3932</v>
      </c>
      <c r="I2393" t="s">
        <v>3469</v>
      </c>
      <c r="J2393">
        <v>10</v>
      </c>
      <c r="K2393" t="s">
        <v>3892</v>
      </c>
      <c r="L2393">
        <v>24</v>
      </c>
      <c r="M2393">
        <v>2.4</v>
      </c>
      <c r="N2393" t="s">
        <v>4240</v>
      </c>
      <c r="O2393" t="s">
        <v>463</v>
      </c>
    </row>
    <row r="2394" spans="1:15" x14ac:dyDescent="0.3">
      <c r="A2394">
        <v>215784</v>
      </c>
      <c r="B2394">
        <v>116</v>
      </c>
      <c r="C2394" t="s">
        <v>568</v>
      </c>
      <c r="D2394" t="s">
        <v>2286</v>
      </c>
      <c r="E2394" t="s">
        <v>2887</v>
      </c>
      <c r="F2394" s="452">
        <v>46086</v>
      </c>
      <c r="G2394">
        <v>23385</v>
      </c>
      <c r="H2394" t="s">
        <v>4069</v>
      </c>
      <c r="I2394" t="s">
        <v>3469</v>
      </c>
      <c r="J2394">
        <v>1</v>
      </c>
      <c r="K2394" t="s">
        <v>3892</v>
      </c>
      <c r="L2394">
        <v>29.5</v>
      </c>
      <c r="M2394">
        <v>29.5</v>
      </c>
      <c r="N2394" t="s">
        <v>4240</v>
      </c>
      <c r="O2394" t="s">
        <v>463</v>
      </c>
    </row>
    <row r="2395" spans="1:15" x14ac:dyDescent="0.3">
      <c r="A2395">
        <v>215784</v>
      </c>
      <c r="B2395">
        <v>116</v>
      </c>
      <c r="C2395" t="s">
        <v>568</v>
      </c>
      <c r="D2395" t="s">
        <v>2286</v>
      </c>
      <c r="E2395" t="s">
        <v>2887</v>
      </c>
      <c r="F2395" s="452">
        <v>46086</v>
      </c>
      <c r="G2395">
        <v>23095</v>
      </c>
      <c r="H2395" t="s">
        <v>3882</v>
      </c>
      <c r="I2395" t="s">
        <v>3469</v>
      </c>
      <c r="J2395">
        <v>60</v>
      </c>
      <c r="K2395" t="s">
        <v>3872</v>
      </c>
      <c r="L2395">
        <v>75</v>
      </c>
      <c r="M2395">
        <v>1.25</v>
      </c>
      <c r="N2395" t="s">
        <v>4240</v>
      </c>
      <c r="O2395" t="s">
        <v>463</v>
      </c>
    </row>
    <row r="2396" spans="1:15" x14ac:dyDescent="0.3">
      <c r="A2396">
        <v>215784</v>
      </c>
      <c r="B2396">
        <v>116</v>
      </c>
      <c r="C2396" t="s">
        <v>568</v>
      </c>
      <c r="D2396" t="s">
        <v>2286</v>
      </c>
      <c r="E2396" t="s">
        <v>2887</v>
      </c>
      <c r="F2396" s="452">
        <v>46086</v>
      </c>
      <c r="G2396">
        <v>23142</v>
      </c>
      <c r="H2396" t="s">
        <v>4151</v>
      </c>
      <c r="I2396" t="s">
        <v>3469</v>
      </c>
      <c r="J2396">
        <v>1</v>
      </c>
      <c r="K2396" t="s">
        <v>3892</v>
      </c>
      <c r="L2396">
        <v>20</v>
      </c>
      <c r="M2396">
        <v>20</v>
      </c>
      <c r="N2396" t="s">
        <v>4240</v>
      </c>
      <c r="O2396" t="s">
        <v>463</v>
      </c>
    </row>
    <row r="2397" spans="1:15" x14ac:dyDescent="0.3">
      <c r="A2397">
        <v>215784</v>
      </c>
      <c r="B2397">
        <v>116</v>
      </c>
      <c r="C2397" t="s">
        <v>568</v>
      </c>
      <c r="D2397" t="s">
        <v>2286</v>
      </c>
      <c r="E2397" t="s">
        <v>2887</v>
      </c>
      <c r="F2397" s="452">
        <v>46086</v>
      </c>
      <c r="G2397">
        <v>19672</v>
      </c>
      <c r="H2397" t="s">
        <v>4024</v>
      </c>
      <c r="I2397" t="s">
        <v>3469</v>
      </c>
      <c r="J2397">
        <v>2</v>
      </c>
      <c r="K2397" t="s">
        <v>3892</v>
      </c>
      <c r="L2397">
        <v>25</v>
      </c>
      <c r="M2397">
        <v>12.5</v>
      </c>
      <c r="N2397" t="s">
        <v>4240</v>
      </c>
      <c r="O2397" t="s">
        <v>463</v>
      </c>
    </row>
    <row r="2398" spans="1:15" x14ac:dyDescent="0.3">
      <c r="A2398">
        <v>215604</v>
      </c>
      <c r="B2398">
        <v>116</v>
      </c>
      <c r="C2398" t="s">
        <v>568</v>
      </c>
      <c r="D2398" t="s">
        <v>2888</v>
      </c>
      <c r="E2398" t="s">
        <v>2889</v>
      </c>
      <c r="F2398" s="452">
        <v>46083</v>
      </c>
      <c r="G2398">
        <v>27457</v>
      </c>
      <c r="H2398" t="s">
        <v>4348</v>
      </c>
      <c r="I2398" t="s">
        <v>4202</v>
      </c>
      <c r="J2398">
        <v>2</v>
      </c>
      <c r="K2398" t="s">
        <v>3872</v>
      </c>
      <c r="L2398">
        <v>151.88</v>
      </c>
      <c r="M2398">
        <v>75.94</v>
      </c>
      <c r="N2398" t="s">
        <v>4202</v>
      </c>
      <c r="O2398" t="s">
        <v>463</v>
      </c>
    </row>
    <row r="2399" spans="1:15" x14ac:dyDescent="0.3">
      <c r="A2399">
        <v>215604</v>
      </c>
      <c r="B2399">
        <v>116</v>
      </c>
      <c r="C2399" t="s">
        <v>568</v>
      </c>
      <c r="D2399" t="s">
        <v>2888</v>
      </c>
      <c r="E2399" t="s">
        <v>2889</v>
      </c>
      <c r="F2399" s="452">
        <v>46083</v>
      </c>
      <c r="G2399">
        <v>27594</v>
      </c>
      <c r="H2399" t="s">
        <v>4349</v>
      </c>
      <c r="I2399" t="s">
        <v>4202</v>
      </c>
      <c r="J2399">
        <v>2</v>
      </c>
      <c r="K2399" t="s">
        <v>3872</v>
      </c>
      <c r="L2399">
        <v>28.36</v>
      </c>
      <c r="M2399">
        <v>14.18</v>
      </c>
      <c r="N2399" t="s">
        <v>4202</v>
      </c>
      <c r="O2399" t="s">
        <v>463</v>
      </c>
    </row>
    <row r="2400" spans="1:15" x14ac:dyDescent="0.3">
      <c r="A2400">
        <v>215604</v>
      </c>
      <c r="B2400">
        <v>116</v>
      </c>
      <c r="C2400" t="s">
        <v>568</v>
      </c>
      <c r="D2400" t="s">
        <v>2888</v>
      </c>
      <c r="E2400" t="s">
        <v>2889</v>
      </c>
      <c r="F2400" s="452">
        <v>46083</v>
      </c>
      <c r="G2400">
        <v>26832</v>
      </c>
      <c r="H2400" t="s">
        <v>4350</v>
      </c>
      <c r="I2400" t="s">
        <v>4202</v>
      </c>
      <c r="J2400">
        <v>24</v>
      </c>
      <c r="K2400" t="s">
        <v>3872</v>
      </c>
      <c r="L2400">
        <v>55.44</v>
      </c>
      <c r="M2400">
        <v>2.31</v>
      </c>
      <c r="N2400" t="s">
        <v>4202</v>
      </c>
      <c r="O2400" t="s">
        <v>463</v>
      </c>
    </row>
    <row r="2401" spans="1:15" x14ac:dyDescent="0.3">
      <c r="A2401">
        <v>215604</v>
      </c>
      <c r="B2401">
        <v>116</v>
      </c>
      <c r="C2401" t="s">
        <v>568</v>
      </c>
      <c r="D2401" t="s">
        <v>2888</v>
      </c>
      <c r="E2401" t="s">
        <v>2889</v>
      </c>
      <c r="F2401" s="452">
        <v>46083</v>
      </c>
      <c r="G2401">
        <v>27160</v>
      </c>
      <c r="H2401" t="s">
        <v>4351</v>
      </c>
      <c r="I2401" t="s">
        <v>4202</v>
      </c>
      <c r="J2401">
        <v>12</v>
      </c>
      <c r="K2401" t="s">
        <v>3872</v>
      </c>
      <c r="L2401">
        <v>147.24</v>
      </c>
      <c r="M2401">
        <v>12.27</v>
      </c>
      <c r="N2401" t="s">
        <v>4202</v>
      </c>
      <c r="O2401" t="s">
        <v>463</v>
      </c>
    </row>
    <row r="2402" spans="1:15" x14ac:dyDescent="0.3">
      <c r="A2402">
        <v>215604</v>
      </c>
      <c r="B2402">
        <v>116</v>
      </c>
      <c r="C2402" t="s">
        <v>568</v>
      </c>
      <c r="D2402" t="s">
        <v>2888</v>
      </c>
      <c r="E2402" t="s">
        <v>2889</v>
      </c>
      <c r="F2402" s="452">
        <v>46083</v>
      </c>
      <c r="G2402">
        <v>27386</v>
      </c>
      <c r="H2402" t="s">
        <v>4352</v>
      </c>
      <c r="I2402" t="s">
        <v>4202</v>
      </c>
      <c r="J2402">
        <v>24</v>
      </c>
      <c r="K2402" t="s">
        <v>3872</v>
      </c>
      <c r="L2402">
        <v>65.52</v>
      </c>
      <c r="M2402">
        <v>2.73</v>
      </c>
      <c r="N2402" t="s">
        <v>4202</v>
      </c>
      <c r="O2402" t="s">
        <v>463</v>
      </c>
    </row>
    <row r="2403" spans="1:15" x14ac:dyDescent="0.3">
      <c r="A2403">
        <v>215604</v>
      </c>
      <c r="B2403">
        <v>116</v>
      </c>
      <c r="C2403" t="s">
        <v>568</v>
      </c>
      <c r="D2403" t="s">
        <v>2888</v>
      </c>
      <c r="E2403" t="s">
        <v>2889</v>
      </c>
      <c r="F2403" s="452">
        <v>46083</v>
      </c>
      <c r="G2403">
        <v>27453</v>
      </c>
      <c r="H2403" t="s">
        <v>4353</v>
      </c>
      <c r="I2403" t="s">
        <v>4202</v>
      </c>
      <c r="J2403">
        <v>2</v>
      </c>
      <c r="K2403" t="s">
        <v>3872</v>
      </c>
      <c r="L2403">
        <v>76.180000000000007</v>
      </c>
      <c r="M2403">
        <v>38.090000000000003</v>
      </c>
      <c r="N2403" t="s">
        <v>4202</v>
      </c>
      <c r="O2403" t="s">
        <v>463</v>
      </c>
    </row>
    <row r="2404" spans="1:15" x14ac:dyDescent="0.3">
      <c r="A2404">
        <v>215602</v>
      </c>
      <c r="B2404">
        <v>116</v>
      </c>
      <c r="C2404" t="s">
        <v>568</v>
      </c>
      <c r="D2404" t="s">
        <v>2314</v>
      </c>
      <c r="E2404" t="s">
        <v>2890</v>
      </c>
      <c r="F2404" s="452">
        <v>46077</v>
      </c>
      <c r="G2404">
        <v>18636</v>
      </c>
      <c r="H2404" t="s">
        <v>3921</v>
      </c>
      <c r="I2404" t="s">
        <v>3497</v>
      </c>
      <c r="J2404">
        <v>6</v>
      </c>
      <c r="K2404" t="s">
        <v>3922</v>
      </c>
      <c r="L2404">
        <v>2896.8</v>
      </c>
      <c r="M2404">
        <v>482.8</v>
      </c>
      <c r="N2404" t="s">
        <v>3497</v>
      </c>
      <c r="O2404" t="s">
        <v>462</v>
      </c>
    </row>
    <row r="2405" spans="1:15" x14ac:dyDescent="0.3">
      <c r="A2405">
        <v>215602</v>
      </c>
      <c r="B2405">
        <v>116</v>
      </c>
      <c r="C2405" t="s">
        <v>568</v>
      </c>
      <c r="D2405" t="s">
        <v>2314</v>
      </c>
      <c r="E2405" t="s">
        <v>2890</v>
      </c>
      <c r="F2405" s="452">
        <v>46077</v>
      </c>
      <c r="G2405">
        <v>17918</v>
      </c>
      <c r="H2405" t="s">
        <v>4034</v>
      </c>
      <c r="I2405" t="s">
        <v>3497</v>
      </c>
      <c r="J2405">
        <v>2</v>
      </c>
      <c r="K2405" t="s">
        <v>3888</v>
      </c>
      <c r="L2405">
        <v>86.4</v>
      </c>
      <c r="M2405">
        <v>43.2</v>
      </c>
      <c r="N2405" t="s">
        <v>3497</v>
      </c>
      <c r="O2405" t="s">
        <v>462</v>
      </c>
    </row>
    <row r="2406" spans="1:15" x14ac:dyDescent="0.3">
      <c r="A2406">
        <v>215599</v>
      </c>
      <c r="B2406">
        <v>116</v>
      </c>
      <c r="C2406" t="s">
        <v>568</v>
      </c>
      <c r="D2406" t="s">
        <v>2314</v>
      </c>
      <c r="E2406" t="s">
        <v>2891</v>
      </c>
      <c r="F2406" s="452">
        <v>46079</v>
      </c>
      <c r="G2406">
        <v>18636</v>
      </c>
      <c r="H2406" t="s">
        <v>3921</v>
      </c>
      <c r="I2406" t="s">
        <v>3497</v>
      </c>
      <c r="J2406">
        <v>8</v>
      </c>
      <c r="K2406" t="s">
        <v>3922</v>
      </c>
      <c r="L2406">
        <v>3862.4</v>
      </c>
      <c r="M2406">
        <v>482.8</v>
      </c>
      <c r="N2406" t="s">
        <v>3497</v>
      </c>
      <c r="O2406" t="s">
        <v>462</v>
      </c>
    </row>
    <row r="2407" spans="1:15" x14ac:dyDescent="0.3">
      <c r="A2407">
        <v>215591</v>
      </c>
      <c r="B2407">
        <v>116</v>
      </c>
      <c r="C2407" t="s">
        <v>568</v>
      </c>
      <c r="D2407" t="s">
        <v>2314</v>
      </c>
      <c r="E2407" t="s">
        <v>2892</v>
      </c>
      <c r="F2407" s="452">
        <v>46084</v>
      </c>
      <c r="G2407">
        <v>18636</v>
      </c>
      <c r="H2407" t="s">
        <v>3921</v>
      </c>
      <c r="I2407" t="s">
        <v>3497</v>
      </c>
      <c r="J2407">
        <v>6</v>
      </c>
      <c r="K2407" t="s">
        <v>3922</v>
      </c>
      <c r="L2407">
        <v>2896.8</v>
      </c>
      <c r="M2407">
        <v>482.8</v>
      </c>
      <c r="N2407" t="s">
        <v>3497</v>
      </c>
      <c r="O2407" t="s">
        <v>463</v>
      </c>
    </row>
    <row r="2408" spans="1:15" x14ac:dyDescent="0.3">
      <c r="A2408">
        <v>215591</v>
      </c>
      <c r="B2408">
        <v>116</v>
      </c>
      <c r="C2408" t="s">
        <v>568</v>
      </c>
      <c r="D2408" t="s">
        <v>2314</v>
      </c>
      <c r="E2408" t="s">
        <v>2892</v>
      </c>
      <c r="F2408" s="452">
        <v>46084</v>
      </c>
      <c r="G2408">
        <v>18640</v>
      </c>
      <c r="H2408" t="s">
        <v>3994</v>
      </c>
      <c r="I2408" t="s">
        <v>3497</v>
      </c>
      <c r="J2408">
        <v>3</v>
      </c>
      <c r="K2408" t="s">
        <v>3922</v>
      </c>
      <c r="L2408">
        <v>918</v>
      </c>
      <c r="M2408">
        <v>306</v>
      </c>
      <c r="N2408" t="s">
        <v>3497</v>
      </c>
      <c r="O2408" t="s">
        <v>463</v>
      </c>
    </row>
    <row r="2409" spans="1:15" x14ac:dyDescent="0.3">
      <c r="A2409">
        <v>215591</v>
      </c>
      <c r="B2409">
        <v>116</v>
      </c>
      <c r="C2409" t="s">
        <v>568</v>
      </c>
      <c r="D2409" t="s">
        <v>2314</v>
      </c>
      <c r="E2409" t="s">
        <v>2892</v>
      </c>
      <c r="F2409" s="452">
        <v>46084</v>
      </c>
      <c r="G2409">
        <v>17881</v>
      </c>
      <c r="H2409" t="s">
        <v>4095</v>
      </c>
      <c r="I2409" t="s">
        <v>3497</v>
      </c>
      <c r="J2409">
        <v>5</v>
      </c>
      <c r="K2409" t="s">
        <v>3888</v>
      </c>
      <c r="L2409">
        <v>127.65</v>
      </c>
      <c r="M2409">
        <v>25.53</v>
      </c>
      <c r="N2409" t="s">
        <v>3497</v>
      </c>
      <c r="O2409" t="s">
        <v>463</v>
      </c>
    </row>
    <row r="2410" spans="1:15" x14ac:dyDescent="0.3">
      <c r="A2410">
        <v>215587</v>
      </c>
      <c r="B2410">
        <v>116</v>
      </c>
      <c r="C2410" t="s">
        <v>568</v>
      </c>
      <c r="D2410" t="s">
        <v>2776</v>
      </c>
      <c r="E2410" t="s">
        <v>2893</v>
      </c>
      <c r="F2410" s="452">
        <v>46076</v>
      </c>
      <c r="G2410">
        <v>18295</v>
      </c>
      <c r="H2410" t="s">
        <v>4030</v>
      </c>
      <c r="I2410" t="s">
        <v>3497</v>
      </c>
      <c r="J2410">
        <v>2</v>
      </c>
      <c r="K2410" t="s">
        <v>3878</v>
      </c>
      <c r="L2410">
        <v>252</v>
      </c>
      <c r="M2410">
        <v>126</v>
      </c>
      <c r="N2410" t="s">
        <v>4276</v>
      </c>
      <c r="O2410" t="s">
        <v>462</v>
      </c>
    </row>
    <row r="2411" spans="1:15" x14ac:dyDescent="0.3">
      <c r="A2411">
        <v>215584</v>
      </c>
      <c r="B2411">
        <v>116</v>
      </c>
      <c r="C2411" t="s">
        <v>568</v>
      </c>
      <c r="D2411" t="s">
        <v>2338</v>
      </c>
      <c r="E2411" t="s">
        <v>2894</v>
      </c>
      <c r="F2411" s="452">
        <v>46077</v>
      </c>
      <c r="G2411">
        <v>20984</v>
      </c>
      <c r="H2411" t="s">
        <v>4235</v>
      </c>
      <c r="I2411" t="s">
        <v>3469</v>
      </c>
      <c r="J2411">
        <v>48</v>
      </c>
      <c r="K2411" t="s">
        <v>3931</v>
      </c>
      <c r="L2411">
        <v>381.6</v>
      </c>
      <c r="M2411">
        <v>7.95</v>
      </c>
      <c r="N2411" t="s">
        <v>4240</v>
      </c>
      <c r="O2411" t="s">
        <v>462</v>
      </c>
    </row>
    <row r="2412" spans="1:15" x14ac:dyDescent="0.3">
      <c r="A2412">
        <v>215584</v>
      </c>
      <c r="B2412">
        <v>116</v>
      </c>
      <c r="C2412" t="s">
        <v>568</v>
      </c>
      <c r="D2412" t="s">
        <v>2338</v>
      </c>
      <c r="E2412" t="s">
        <v>2894</v>
      </c>
      <c r="F2412" s="452">
        <v>46077</v>
      </c>
      <c r="G2412">
        <v>21030</v>
      </c>
      <c r="H2412" t="s">
        <v>3890</v>
      </c>
      <c r="I2412" t="s">
        <v>3469</v>
      </c>
      <c r="J2412">
        <v>6</v>
      </c>
      <c r="K2412" t="s">
        <v>4354</v>
      </c>
      <c r="L2412">
        <v>114.36</v>
      </c>
      <c r="M2412">
        <v>19.059999999999999</v>
      </c>
      <c r="N2412" t="s">
        <v>4240</v>
      </c>
      <c r="O2412" t="s">
        <v>462</v>
      </c>
    </row>
    <row r="2413" spans="1:15" x14ac:dyDescent="0.3">
      <c r="A2413">
        <v>215583</v>
      </c>
      <c r="B2413">
        <v>116</v>
      </c>
      <c r="C2413" t="s">
        <v>568</v>
      </c>
      <c r="D2413" t="s">
        <v>2338</v>
      </c>
      <c r="E2413" t="s">
        <v>2895</v>
      </c>
      <c r="F2413" s="452">
        <v>46084</v>
      </c>
      <c r="G2413">
        <v>20301</v>
      </c>
      <c r="H2413" t="s">
        <v>4161</v>
      </c>
      <c r="I2413" t="s">
        <v>3469</v>
      </c>
      <c r="J2413">
        <v>12</v>
      </c>
      <c r="K2413" t="s">
        <v>3888</v>
      </c>
      <c r="L2413">
        <v>226.8</v>
      </c>
      <c r="M2413">
        <v>18.899999999999999</v>
      </c>
      <c r="N2413" t="s">
        <v>3469</v>
      </c>
      <c r="O2413" t="s">
        <v>463</v>
      </c>
    </row>
    <row r="2414" spans="1:15" x14ac:dyDescent="0.3">
      <c r="A2414">
        <v>215583</v>
      </c>
      <c r="B2414">
        <v>116</v>
      </c>
      <c r="C2414" t="s">
        <v>568</v>
      </c>
      <c r="D2414" t="s">
        <v>2338</v>
      </c>
      <c r="E2414" t="s">
        <v>2895</v>
      </c>
      <c r="F2414" s="452">
        <v>46084</v>
      </c>
      <c r="G2414">
        <v>21030</v>
      </c>
      <c r="H2414" t="s">
        <v>3890</v>
      </c>
      <c r="I2414" t="s">
        <v>3469</v>
      </c>
      <c r="J2414">
        <v>12</v>
      </c>
      <c r="K2414" t="s">
        <v>4354</v>
      </c>
      <c r="L2414">
        <v>228.72</v>
      </c>
      <c r="M2414">
        <v>19.059999999999999</v>
      </c>
      <c r="N2414" t="s">
        <v>3469</v>
      </c>
      <c r="O2414" t="s">
        <v>463</v>
      </c>
    </row>
    <row r="2415" spans="1:15" x14ac:dyDescent="0.3">
      <c r="A2415">
        <v>215582</v>
      </c>
      <c r="B2415">
        <v>116</v>
      </c>
      <c r="C2415" t="s">
        <v>568</v>
      </c>
      <c r="D2415" t="s">
        <v>2896</v>
      </c>
      <c r="E2415" t="s">
        <v>2897</v>
      </c>
      <c r="F2415" s="452">
        <v>46079</v>
      </c>
      <c r="G2415">
        <v>26991</v>
      </c>
      <c r="H2415" t="s">
        <v>4355</v>
      </c>
      <c r="I2415" t="s">
        <v>4202</v>
      </c>
      <c r="J2415">
        <v>48</v>
      </c>
      <c r="K2415" t="s">
        <v>3872</v>
      </c>
      <c r="L2415">
        <v>137.28</v>
      </c>
      <c r="M2415">
        <v>2.86</v>
      </c>
      <c r="N2415" t="s">
        <v>4202</v>
      </c>
      <c r="O2415" t="s">
        <v>462</v>
      </c>
    </row>
    <row r="2416" spans="1:15" x14ac:dyDescent="0.3">
      <c r="A2416">
        <v>215582</v>
      </c>
      <c r="B2416">
        <v>116</v>
      </c>
      <c r="C2416" t="s">
        <v>568</v>
      </c>
      <c r="D2416" t="s">
        <v>2896</v>
      </c>
      <c r="E2416" t="s">
        <v>2897</v>
      </c>
      <c r="F2416" s="452">
        <v>46079</v>
      </c>
      <c r="G2416">
        <v>26990</v>
      </c>
      <c r="H2416" t="s">
        <v>4356</v>
      </c>
      <c r="I2416" t="s">
        <v>4202</v>
      </c>
      <c r="J2416">
        <v>48</v>
      </c>
      <c r="K2416" t="s">
        <v>3872</v>
      </c>
      <c r="L2416">
        <v>240.48</v>
      </c>
      <c r="M2416">
        <v>5.01</v>
      </c>
      <c r="N2416" t="s">
        <v>4202</v>
      </c>
      <c r="O2416" t="s">
        <v>462</v>
      </c>
    </row>
    <row r="2417" spans="1:15" x14ac:dyDescent="0.3">
      <c r="A2417">
        <v>215579</v>
      </c>
      <c r="B2417">
        <v>116</v>
      </c>
      <c r="C2417" t="s">
        <v>568</v>
      </c>
      <c r="D2417" t="s">
        <v>2410</v>
      </c>
      <c r="E2417" t="s">
        <v>2898</v>
      </c>
      <c r="F2417" s="452">
        <v>46083</v>
      </c>
      <c r="G2417">
        <v>18493</v>
      </c>
      <c r="H2417" t="s">
        <v>3958</v>
      </c>
      <c r="I2417" t="s">
        <v>3497</v>
      </c>
      <c r="J2417">
        <v>4</v>
      </c>
      <c r="K2417" t="s">
        <v>3878</v>
      </c>
      <c r="L2417">
        <v>279.60000000000002</v>
      </c>
      <c r="M2417">
        <v>69.900000000000006</v>
      </c>
      <c r="N2417" t="s">
        <v>3497</v>
      </c>
      <c r="O2417" t="s">
        <v>463</v>
      </c>
    </row>
    <row r="2418" spans="1:15" x14ac:dyDescent="0.3">
      <c r="A2418">
        <v>215579</v>
      </c>
      <c r="B2418">
        <v>116</v>
      </c>
      <c r="C2418" t="s">
        <v>568</v>
      </c>
      <c r="D2418" t="s">
        <v>2410</v>
      </c>
      <c r="E2418" t="s">
        <v>2898</v>
      </c>
      <c r="F2418" s="452">
        <v>46083</v>
      </c>
      <c r="G2418">
        <v>18475</v>
      </c>
      <c r="H2418" t="s">
        <v>3918</v>
      </c>
      <c r="I2418" t="s">
        <v>3497</v>
      </c>
      <c r="J2418">
        <v>12</v>
      </c>
      <c r="K2418" t="s">
        <v>3878</v>
      </c>
      <c r="L2418">
        <v>394.8</v>
      </c>
      <c r="M2418">
        <v>32.9</v>
      </c>
      <c r="N2418" t="s">
        <v>3497</v>
      </c>
      <c r="O2418" t="s">
        <v>463</v>
      </c>
    </row>
    <row r="2419" spans="1:15" x14ac:dyDescent="0.3">
      <c r="A2419">
        <v>215577</v>
      </c>
      <c r="B2419">
        <v>116</v>
      </c>
      <c r="C2419" t="s">
        <v>568</v>
      </c>
      <c r="D2419" t="s">
        <v>2282</v>
      </c>
      <c r="E2419" t="s">
        <v>2899</v>
      </c>
      <c r="F2419" s="452">
        <v>46084</v>
      </c>
      <c r="G2419">
        <v>24497</v>
      </c>
      <c r="H2419" t="s">
        <v>4214</v>
      </c>
      <c r="I2419" t="s">
        <v>4215</v>
      </c>
      <c r="J2419">
        <v>2</v>
      </c>
      <c r="K2419" t="s">
        <v>3872</v>
      </c>
      <c r="L2419">
        <v>269.10000000000002</v>
      </c>
      <c r="M2419">
        <v>134.55000000000001</v>
      </c>
      <c r="N2419" t="s">
        <v>4239</v>
      </c>
      <c r="O2419" t="s">
        <v>463</v>
      </c>
    </row>
    <row r="2420" spans="1:15" x14ac:dyDescent="0.3">
      <c r="A2420">
        <v>215577</v>
      </c>
      <c r="B2420">
        <v>116</v>
      </c>
      <c r="C2420" t="s">
        <v>568</v>
      </c>
      <c r="D2420" t="s">
        <v>2282</v>
      </c>
      <c r="E2420" t="s">
        <v>2899</v>
      </c>
      <c r="F2420" s="452">
        <v>46084</v>
      </c>
      <c r="G2420">
        <v>25518</v>
      </c>
      <c r="H2420" t="s">
        <v>4238</v>
      </c>
      <c r="I2420" t="s">
        <v>4215</v>
      </c>
      <c r="J2420">
        <v>1</v>
      </c>
      <c r="K2420" t="s">
        <v>3872</v>
      </c>
      <c r="L2420">
        <v>110.4</v>
      </c>
      <c r="M2420">
        <v>110.4</v>
      </c>
      <c r="N2420" t="s">
        <v>4239</v>
      </c>
      <c r="O2420" t="s">
        <v>463</v>
      </c>
    </row>
    <row r="2421" spans="1:15" x14ac:dyDescent="0.3">
      <c r="A2421">
        <v>215487</v>
      </c>
      <c r="B2421">
        <v>116</v>
      </c>
      <c r="C2421" t="s">
        <v>568</v>
      </c>
      <c r="D2421" t="s">
        <v>2277</v>
      </c>
      <c r="E2421" t="s">
        <v>2900</v>
      </c>
      <c r="F2421" s="452">
        <v>46078</v>
      </c>
      <c r="G2421">
        <v>24331</v>
      </c>
      <c r="H2421" t="s">
        <v>3960</v>
      </c>
      <c r="I2421" t="s">
        <v>3469</v>
      </c>
      <c r="J2421">
        <v>5</v>
      </c>
      <c r="K2421" t="s">
        <v>3892</v>
      </c>
      <c r="L2421">
        <v>107</v>
      </c>
      <c r="M2421">
        <v>21.4</v>
      </c>
      <c r="N2421" t="s">
        <v>4240</v>
      </c>
      <c r="O2421" t="s">
        <v>462</v>
      </c>
    </row>
    <row r="2422" spans="1:15" x14ac:dyDescent="0.3">
      <c r="A2422">
        <v>215484</v>
      </c>
      <c r="B2422">
        <v>116</v>
      </c>
      <c r="C2422" t="s">
        <v>568</v>
      </c>
      <c r="D2422" t="s">
        <v>2277</v>
      </c>
      <c r="E2422" t="s">
        <v>2901</v>
      </c>
      <c r="F2422" s="452">
        <v>46085</v>
      </c>
      <c r="G2422">
        <v>20213</v>
      </c>
      <c r="H2422" t="s">
        <v>4059</v>
      </c>
      <c r="I2422" t="s">
        <v>3469</v>
      </c>
      <c r="J2422">
        <v>2</v>
      </c>
      <c r="K2422" t="s">
        <v>4268</v>
      </c>
      <c r="L2422">
        <v>63.2</v>
      </c>
      <c r="M2422">
        <v>31.6</v>
      </c>
      <c r="N2422" t="s">
        <v>4240</v>
      </c>
      <c r="O2422" t="s">
        <v>463</v>
      </c>
    </row>
    <row r="2423" spans="1:15" x14ac:dyDescent="0.3">
      <c r="A2423">
        <v>215484</v>
      </c>
      <c r="B2423">
        <v>116</v>
      </c>
      <c r="C2423" t="s">
        <v>568</v>
      </c>
      <c r="D2423" t="s">
        <v>2277</v>
      </c>
      <c r="E2423" t="s">
        <v>2901</v>
      </c>
      <c r="F2423" s="452">
        <v>46085</v>
      </c>
      <c r="G2423">
        <v>20729</v>
      </c>
      <c r="H2423" t="s">
        <v>3965</v>
      </c>
      <c r="I2423" t="s">
        <v>3469</v>
      </c>
      <c r="J2423">
        <v>3</v>
      </c>
      <c r="K2423" t="s">
        <v>3966</v>
      </c>
      <c r="L2423">
        <v>197.64</v>
      </c>
      <c r="M2423">
        <v>65.88</v>
      </c>
      <c r="N2423" t="s">
        <v>4240</v>
      </c>
      <c r="O2423" t="s">
        <v>463</v>
      </c>
    </row>
    <row r="2424" spans="1:15" x14ac:dyDescent="0.3">
      <c r="A2424">
        <v>215484</v>
      </c>
      <c r="B2424">
        <v>116</v>
      </c>
      <c r="C2424" t="s">
        <v>568</v>
      </c>
      <c r="D2424" t="s">
        <v>2277</v>
      </c>
      <c r="E2424" t="s">
        <v>2901</v>
      </c>
      <c r="F2424" s="452">
        <v>46085</v>
      </c>
      <c r="G2424">
        <v>21093</v>
      </c>
      <c r="H2424" t="s">
        <v>3903</v>
      </c>
      <c r="I2424" t="s">
        <v>3469</v>
      </c>
      <c r="J2424">
        <v>10</v>
      </c>
      <c r="K2424" t="s">
        <v>3872</v>
      </c>
      <c r="L2424">
        <v>42.9</v>
      </c>
      <c r="M2424">
        <v>4.29</v>
      </c>
      <c r="N2424" t="s">
        <v>4240</v>
      </c>
      <c r="O2424" t="s">
        <v>463</v>
      </c>
    </row>
    <row r="2425" spans="1:15" x14ac:dyDescent="0.3">
      <c r="A2425">
        <v>215484</v>
      </c>
      <c r="B2425">
        <v>116</v>
      </c>
      <c r="C2425" t="s">
        <v>568</v>
      </c>
      <c r="D2425" t="s">
        <v>2277</v>
      </c>
      <c r="E2425" t="s">
        <v>2901</v>
      </c>
      <c r="F2425" s="452">
        <v>46085</v>
      </c>
      <c r="G2425">
        <v>20287</v>
      </c>
      <c r="H2425" t="s">
        <v>4053</v>
      </c>
      <c r="I2425" t="s">
        <v>3469</v>
      </c>
      <c r="J2425">
        <v>1</v>
      </c>
      <c r="K2425" t="s">
        <v>4197</v>
      </c>
      <c r="L2425">
        <v>24.85</v>
      </c>
      <c r="M2425">
        <v>24.85</v>
      </c>
      <c r="N2425" t="s">
        <v>4240</v>
      </c>
      <c r="O2425" t="s">
        <v>463</v>
      </c>
    </row>
    <row r="2426" spans="1:15" x14ac:dyDescent="0.3">
      <c r="A2426">
        <v>215484</v>
      </c>
      <c r="B2426">
        <v>116</v>
      </c>
      <c r="C2426" t="s">
        <v>568</v>
      </c>
      <c r="D2426" t="s">
        <v>2277</v>
      </c>
      <c r="E2426" t="s">
        <v>2901</v>
      </c>
      <c r="F2426" s="452">
        <v>46085</v>
      </c>
      <c r="G2426">
        <v>20752</v>
      </c>
      <c r="H2426" t="s">
        <v>3964</v>
      </c>
      <c r="I2426" t="s">
        <v>3469</v>
      </c>
      <c r="J2426">
        <v>2</v>
      </c>
      <c r="K2426" t="s">
        <v>3872</v>
      </c>
      <c r="L2426">
        <v>205.6</v>
      </c>
      <c r="M2426">
        <v>102.8</v>
      </c>
      <c r="N2426" t="s">
        <v>4240</v>
      </c>
      <c r="O2426" t="s">
        <v>463</v>
      </c>
    </row>
    <row r="2427" spans="1:15" x14ac:dyDescent="0.3">
      <c r="A2427">
        <v>215484</v>
      </c>
      <c r="B2427">
        <v>116</v>
      </c>
      <c r="C2427" t="s">
        <v>568</v>
      </c>
      <c r="D2427" t="s">
        <v>2277</v>
      </c>
      <c r="E2427" t="s">
        <v>2901</v>
      </c>
      <c r="F2427" s="452">
        <v>46085</v>
      </c>
      <c r="G2427">
        <v>25237</v>
      </c>
      <c r="H2427" t="s">
        <v>4164</v>
      </c>
      <c r="I2427" t="s">
        <v>3469</v>
      </c>
      <c r="J2427">
        <v>10</v>
      </c>
      <c r="K2427" t="s">
        <v>3888</v>
      </c>
      <c r="L2427">
        <v>53.5</v>
      </c>
      <c r="M2427">
        <v>5.35</v>
      </c>
      <c r="N2427" t="s">
        <v>4240</v>
      </c>
      <c r="O2427" t="s">
        <v>463</v>
      </c>
    </row>
    <row r="2428" spans="1:15" x14ac:dyDescent="0.3">
      <c r="A2428">
        <v>215484</v>
      </c>
      <c r="B2428">
        <v>116</v>
      </c>
      <c r="C2428" t="s">
        <v>568</v>
      </c>
      <c r="D2428" t="s">
        <v>2277</v>
      </c>
      <c r="E2428" t="s">
        <v>2901</v>
      </c>
      <c r="F2428" s="452">
        <v>46085</v>
      </c>
      <c r="G2428">
        <v>21024</v>
      </c>
      <c r="H2428" t="s">
        <v>4180</v>
      </c>
      <c r="I2428" t="s">
        <v>3469</v>
      </c>
      <c r="J2428">
        <v>2</v>
      </c>
      <c r="K2428" t="s">
        <v>3872</v>
      </c>
      <c r="L2428">
        <v>346.22</v>
      </c>
      <c r="M2428">
        <v>173.11</v>
      </c>
      <c r="N2428" t="s">
        <v>4240</v>
      </c>
      <c r="O2428" t="s">
        <v>463</v>
      </c>
    </row>
    <row r="2429" spans="1:15" x14ac:dyDescent="0.3">
      <c r="A2429">
        <v>215484</v>
      </c>
      <c r="B2429">
        <v>116</v>
      </c>
      <c r="C2429" t="s">
        <v>568</v>
      </c>
      <c r="D2429" t="s">
        <v>2277</v>
      </c>
      <c r="E2429" t="s">
        <v>2901</v>
      </c>
      <c r="F2429" s="452">
        <v>46085</v>
      </c>
      <c r="G2429">
        <v>19906</v>
      </c>
      <c r="H2429" t="s">
        <v>4171</v>
      </c>
      <c r="I2429" t="s">
        <v>3469</v>
      </c>
      <c r="J2429">
        <v>1</v>
      </c>
      <c r="K2429" t="s">
        <v>3888</v>
      </c>
      <c r="L2429">
        <v>36.299999999999997</v>
      </c>
      <c r="M2429">
        <v>36.299999999999997</v>
      </c>
      <c r="N2429" t="s">
        <v>4240</v>
      </c>
      <c r="O2429" t="s">
        <v>463</v>
      </c>
    </row>
    <row r="2430" spans="1:15" x14ac:dyDescent="0.3">
      <c r="A2430">
        <v>215484</v>
      </c>
      <c r="B2430">
        <v>116</v>
      </c>
      <c r="C2430" t="s">
        <v>568</v>
      </c>
      <c r="D2430" t="s">
        <v>2277</v>
      </c>
      <c r="E2430" t="s">
        <v>2901</v>
      </c>
      <c r="F2430" s="452">
        <v>46085</v>
      </c>
      <c r="G2430">
        <v>23502</v>
      </c>
      <c r="H2430" t="s">
        <v>4174</v>
      </c>
      <c r="I2430" t="s">
        <v>3469</v>
      </c>
      <c r="J2430">
        <v>1</v>
      </c>
      <c r="K2430" t="s">
        <v>3892</v>
      </c>
      <c r="L2430">
        <v>14.9</v>
      </c>
      <c r="M2430">
        <v>14.9</v>
      </c>
      <c r="N2430" t="s">
        <v>4240</v>
      </c>
      <c r="O2430" t="s">
        <v>463</v>
      </c>
    </row>
    <row r="2431" spans="1:15" x14ac:dyDescent="0.3">
      <c r="A2431">
        <v>215484</v>
      </c>
      <c r="B2431">
        <v>116</v>
      </c>
      <c r="C2431" t="s">
        <v>568</v>
      </c>
      <c r="D2431" t="s">
        <v>2277</v>
      </c>
      <c r="E2431" t="s">
        <v>2901</v>
      </c>
      <c r="F2431" s="452">
        <v>46085</v>
      </c>
      <c r="G2431">
        <v>20809</v>
      </c>
      <c r="H2431" t="s">
        <v>4005</v>
      </c>
      <c r="I2431" t="s">
        <v>3469</v>
      </c>
      <c r="J2431">
        <v>3</v>
      </c>
      <c r="K2431" t="s">
        <v>4354</v>
      </c>
      <c r="L2431">
        <v>89.7</v>
      </c>
      <c r="M2431">
        <v>29.9</v>
      </c>
      <c r="N2431" t="s">
        <v>4240</v>
      </c>
      <c r="O2431" t="s">
        <v>463</v>
      </c>
    </row>
    <row r="2432" spans="1:15" x14ac:dyDescent="0.3">
      <c r="A2432">
        <v>215480</v>
      </c>
      <c r="B2432">
        <v>116</v>
      </c>
      <c r="C2432" t="s">
        <v>568</v>
      </c>
      <c r="D2432" t="s">
        <v>2273</v>
      </c>
      <c r="E2432" t="s">
        <v>2902</v>
      </c>
      <c r="F2432" s="452">
        <v>46075</v>
      </c>
      <c r="G2432">
        <v>24083</v>
      </c>
      <c r="H2432" t="s">
        <v>3898</v>
      </c>
      <c r="I2432" t="s">
        <v>3469</v>
      </c>
      <c r="J2432">
        <v>10.3</v>
      </c>
      <c r="K2432" t="s">
        <v>3892</v>
      </c>
      <c r="L2432">
        <v>41.82</v>
      </c>
      <c r="M2432">
        <v>4.0601940000000001</v>
      </c>
      <c r="N2432" t="s">
        <v>4240</v>
      </c>
      <c r="O2432" t="s">
        <v>462</v>
      </c>
    </row>
    <row r="2433" spans="1:15" x14ac:dyDescent="0.3">
      <c r="A2433">
        <v>215480</v>
      </c>
      <c r="B2433">
        <v>116</v>
      </c>
      <c r="C2433" t="s">
        <v>568</v>
      </c>
      <c r="D2433" t="s">
        <v>2273</v>
      </c>
      <c r="E2433" t="s">
        <v>2902</v>
      </c>
      <c r="F2433" s="452">
        <v>46075</v>
      </c>
      <c r="G2433">
        <v>19642</v>
      </c>
      <c r="H2433" t="s">
        <v>4067</v>
      </c>
      <c r="I2433" t="s">
        <v>3469</v>
      </c>
      <c r="J2433">
        <v>1.3</v>
      </c>
      <c r="K2433" t="s">
        <v>3892</v>
      </c>
      <c r="L2433">
        <v>6.7</v>
      </c>
      <c r="M2433">
        <v>5.1538459999999997</v>
      </c>
      <c r="N2433" t="s">
        <v>4240</v>
      </c>
      <c r="O2433" t="s">
        <v>462</v>
      </c>
    </row>
    <row r="2434" spans="1:15" x14ac:dyDescent="0.3">
      <c r="A2434">
        <v>215480</v>
      </c>
      <c r="B2434">
        <v>116</v>
      </c>
      <c r="C2434" t="s">
        <v>568</v>
      </c>
      <c r="D2434" t="s">
        <v>2273</v>
      </c>
      <c r="E2434" t="s">
        <v>2902</v>
      </c>
      <c r="F2434" s="452">
        <v>46075</v>
      </c>
      <c r="G2434">
        <v>19465</v>
      </c>
      <c r="H2434" t="s">
        <v>4080</v>
      </c>
      <c r="I2434" t="s">
        <v>3469</v>
      </c>
      <c r="J2434">
        <v>1.2</v>
      </c>
      <c r="K2434" t="s">
        <v>3892</v>
      </c>
      <c r="L2434">
        <v>7.84</v>
      </c>
      <c r="M2434">
        <v>6.5333329999999998</v>
      </c>
      <c r="N2434" t="s">
        <v>4240</v>
      </c>
      <c r="O2434" t="s">
        <v>462</v>
      </c>
    </row>
    <row r="2435" spans="1:15" x14ac:dyDescent="0.3">
      <c r="A2435">
        <v>215480</v>
      </c>
      <c r="B2435">
        <v>116</v>
      </c>
      <c r="C2435" t="s">
        <v>568</v>
      </c>
      <c r="D2435" t="s">
        <v>2273</v>
      </c>
      <c r="E2435" t="s">
        <v>2902</v>
      </c>
      <c r="F2435" s="452">
        <v>46075</v>
      </c>
      <c r="G2435">
        <v>19498</v>
      </c>
      <c r="H2435" t="s">
        <v>4065</v>
      </c>
      <c r="I2435" t="s">
        <v>3469</v>
      </c>
      <c r="J2435">
        <v>1</v>
      </c>
      <c r="K2435" t="s">
        <v>3892</v>
      </c>
      <c r="L2435">
        <v>21.1</v>
      </c>
      <c r="M2435">
        <v>21.1</v>
      </c>
      <c r="N2435" t="s">
        <v>4240</v>
      </c>
      <c r="O2435" t="s">
        <v>462</v>
      </c>
    </row>
    <row r="2436" spans="1:15" x14ac:dyDescent="0.3">
      <c r="A2436">
        <v>215480</v>
      </c>
      <c r="B2436">
        <v>116</v>
      </c>
      <c r="C2436" t="s">
        <v>568</v>
      </c>
      <c r="D2436" t="s">
        <v>2273</v>
      </c>
      <c r="E2436" t="s">
        <v>2902</v>
      </c>
      <c r="F2436" s="452">
        <v>46075</v>
      </c>
      <c r="G2436">
        <v>19572</v>
      </c>
      <c r="H2436" t="s">
        <v>4023</v>
      </c>
      <c r="I2436" t="s">
        <v>3469</v>
      </c>
      <c r="J2436">
        <v>1</v>
      </c>
      <c r="K2436" t="s">
        <v>3892</v>
      </c>
      <c r="L2436">
        <v>18.850000000000001</v>
      </c>
      <c r="M2436">
        <v>18.850000000000001</v>
      </c>
      <c r="N2436" t="s">
        <v>4240</v>
      </c>
      <c r="O2436" t="s">
        <v>462</v>
      </c>
    </row>
    <row r="2437" spans="1:15" x14ac:dyDescent="0.3">
      <c r="A2437">
        <v>215480</v>
      </c>
      <c r="B2437">
        <v>116</v>
      </c>
      <c r="C2437" t="s">
        <v>568</v>
      </c>
      <c r="D2437" t="s">
        <v>2273</v>
      </c>
      <c r="E2437" t="s">
        <v>2902</v>
      </c>
      <c r="F2437" s="452">
        <v>46075</v>
      </c>
      <c r="G2437">
        <v>19740</v>
      </c>
      <c r="H2437" t="s">
        <v>3933</v>
      </c>
      <c r="I2437" t="s">
        <v>3469</v>
      </c>
      <c r="J2437">
        <v>3</v>
      </c>
      <c r="K2437" t="s">
        <v>3892</v>
      </c>
      <c r="L2437">
        <v>44.7</v>
      </c>
      <c r="M2437">
        <v>14.9</v>
      </c>
      <c r="N2437" t="s">
        <v>4240</v>
      </c>
      <c r="O2437" t="s">
        <v>462</v>
      </c>
    </row>
    <row r="2438" spans="1:15" x14ac:dyDescent="0.3">
      <c r="A2438">
        <v>215480</v>
      </c>
      <c r="B2438">
        <v>116</v>
      </c>
      <c r="C2438" t="s">
        <v>568</v>
      </c>
      <c r="D2438" t="s">
        <v>2273</v>
      </c>
      <c r="E2438" t="s">
        <v>2902</v>
      </c>
      <c r="F2438" s="452">
        <v>46075</v>
      </c>
      <c r="G2438">
        <v>23113</v>
      </c>
      <c r="H2438" t="s">
        <v>4079</v>
      </c>
      <c r="I2438" t="s">
        <v>3469</v>
      </c>
      <c r="J2438">
        <v>1</v>
      </c>
      <c r="K2438" t="s">
        <v>3892</v>
      </c>
      <c r="L2438">
        <v>10.01</v>
      </c>
      <c r="M2438">
        <v>10.01</v>
      </c>
      <c r="N2438" t="s">
        <v>4240</v>
      </c>
      <c r="O2438" t="s">
        <v>462</v>
      </c>
    </row>
    <row r="2439" spans="1:15" x14ac:dyDescent="0.3">
      <c r="A2439">
        <v>215480</v>
      </c>
      <c r="B2439">
        <v>116</v>
      </c>
      <c r="C2439" t="s">
        <v>568</v>
      </c>
      <c r="D2439" t="s">
        <v>2273</v>
      </c>
      <c r="E2439" t="s">
        <v>2902</v>
      </c>
      <c r="F2439" s="452">
        <v>46075</v>
      </c>
      <c r="G2439">
        <v>23120</v>
      </c>
      <c r="H2439" t="s">
        <v>4111</v>
      </c>
      <c r="I2439" t="s">
        <v>3469</v>
      </c>
      <c r="J2439">
        <v>0.3</v>
      </c>
      <c r="K2439" t="s">
        <v>3892</v>
      </c>
      <c r="L2439">
        <v>20.45</v>
      </c>
      <c r="M2439">
        <v>68.166667000000004</v>
      </c>
      <c r="N2439" t="s">
        <v>4240</v>
      </c>
      <c r="O2439" t="s">
        <v>462</v>
      </c>
    </row>
    <row r="2440" spans="1:15" x14ac:dyDescent="0.3">
      <c r="A2440">
        <v>215480</v>
      </c>
      <c r="B2440">
        <v>116</v>
      </c>
      <c r="C2440" t="s">
        <v>568</v>
      </c>
      <c r="D2440" t="s">
        <v>2273</v>
      </c>
      <c r="E2440" t="s">
        <v>2902</v>
      </c>
      <c r="F2440" s="452">
        <v>46075</v>
      </c>
      <c r="G2440">
        <v>23361</v>
      </c>
      <c r="H2440" t="s">
        <v>4220</v>
      </c>
      <c r="I2440" t="s">
        <v>3469</v>
      </c>
      <c r="J2440">
        <v>18</v>
      </c>
      <c r="K2440" t="s">
        <v>3892</v>
      </c>
      <c r="L2440">
        <v>63.9</v>
      </c>
      <c r="M2440">
        <v>3.55</v>
      </c>
      <c r="N2440" t="s">
        <v>4240</v>
      </c>
      <c r="O2440" t="s">
        <v>462</v>
      </c>
    </row>
    <row r="2441" spans="1:15" x14ac:dyDescent="0.3">
      <c r="A2441">
        <v>215480</v>
      </c>
      <c r="B2441">
        <v>116</v>
      </c>
      <c r="C2441" t="s">
        <v>568</v>
      </c>
      <c r="D2441" t="s">
        <v>2273</v>
      </c>
      <c r="E2441" t="s">
        <v>2902</v>
      </c>
      <c r="F2441" s="452">
        <v>46075</v>
      </c>
      <c r="G2441">
        <v>23236</v>
      </c>
      <c r="H2441" t="s">
        <v>4017</v>
      </c>
      <c r="I2441" t="s">
        <v>3469</v>
      </c>
      <c r="J2441">
        <v>3</v>
      </c>
      <c r="K2441" t="s">
        <v>3892</v>
      </c>
      <c r="L2441">
        <v>26.76</v>
      </c>
      <c r="M2441">
        <v>8.92</v>
      </c>
      <c r="N2441" t="s">
        <v>4240</v>
      </c>
      <c r="O2441" t="s">
        <v>462</v>
      </c>
    </row>
    <row r="2442" spans="1:15" x14ac:dyDescent="0.3">
      <c r="A2442">
        <v>215480</v>
      </c>
      <c r="B2442">
        <v>116</v>
      </c>
      <c r="C2442" t="s">
        <v>568</v>
      </c>
      <c r="D2442" t="s">
        <v>2273</v>
      </c>
      <c r="E2442" t="s">
        <v>2902</v>
      </c>
      <c r="F2442" s="452">
        <v>46075</v>
      </c>
      <c r="G2442">
        <v>23389</v>
      </c>
      <c r="H2442" t="s">
        <v>4016</v>
      </c>
      <c r="I2442" t="s">
        <v>3469</v>
      </c>
      <c r="J2442">
        <v>5</v>
      </c>
      <c r="K2442" t="s">
        <v>3892</v>
      </c>
      <c r="L2442">
        <v>24.15</v>
      </c>
      <c r="M2442">
        <v>4.83</v>
      </c>
      <c r="N2442" t="s">
        <v>4240</v>
      </c>
      <c r="O2442" t="s">
        <v>462</v>
      </c>
    </row>
    <row r="2443" spans="1:15" x14ac:dyDescent="0.3">
      <c r="A2443">
        <v>215478</v>
      </c>
      <c r="B2443">
        <v>116</v>
      </c>
      <c r="C2443" t="s">
        <v>568</v>
      </c>
      <c r="D2443" t="s">
        <v>2273</v>
      </c>
      <c r="E2443" t="s">
        <v>2903</v>
      </c>
      <c r="F2443" s="452">
        <v>46079</v>
      </c>
      <c r="G2443">
        <v>24083</v>
      </c>
      <c r="H2443" t="s">
        <v>3898</v>
      </c>
      <c r="I2443" t="s">
        <v>3469</v>
      </c>
      <c r="J2443">
        <v>25</v>
      </c>
      <c r="K2443" t="s">
        <v>3892</v>
      </c>
      <c r="L2443">
        <v>107</v>
      </c>
      <c r="M2443">
        <v>4.28</v>
      </c>
      <c r="N2443" t="s">
        <v>4240</v>
      </c>
      <c r="O2443" t="s">
        <v>462</v>
      </c>
    </row>
    <row r="2444" spans="1:15" x14ac:dyDescent="0.3">
      <c r="A2444">
        <v>215478</v>
      </c>
      <c r="B2444">
        <v>116</v>
      </c>
      <c r="C2444" t="s">
        <v>568</v>
      </c>
      <c r="D2444" t="s">
        <v>2273</v>
      </c>
      <c r="E2444" t="s">
        <v>2903</v>
      </c>
      <c r="F2444" s="452">
        <v>46079</v>
      </c>
      <c r="G2444">
        <v>19553</v>
      </c>
      <c r="H2444" t="s">
        <v>4078</v>
      </c>
      <c r="I2444" t="s">
        <v>3469</v>
      </c>
      <c r="J2444">
        <v>2.2999999999999998</v>
      </c>
      <c r="K2444" t="s">
        <v>3892</v>
      </c>
      <c r="L2444">
        <v>11.68</v>
      </c>
      <c r="M2444">
        <v>5.0782610000000004</v>
      </c>
      <c r="N2444" t="s">
        <v>4240</v>
      </c>
      <c r="O2444" t="s">
        <v>462</v>
      </c>
    </row>
    <row r="2445" spans="1:15" x14ac:dyDescent="0.3">
      <c r="A2445">
        <v>215478</v>
      </c>
      <c r="B2445">
        <v>116</v>
      </c>
      <c r="C2445" t="s">
        <v>568</v>
      </c>
      <c r="D2445" t="s">
        <v>2273</v>
      </c>
      <c r="E2445" t="s">
        <v>2903</v>
      </c>
      <c r="F2445" s="452">
        <v>46079</v>
      </c>
      <c r="G2445">
        <v>19555</v>
      </c>
      <c r="H2445" t="s">
        <v>4109</v>
      </c>
      <c r="I2445" t="s">
        <v>3469</v>
      </c>
      <c r="J2445">
        <v>0.5</v>
      </c>
      <c r="K2445" t="s">
        <v>3892</v>
      </c>
      <c r="L2445">
        <v>12.32</v>
      </c>
      <c r="M2445">
        <v>24.64</v>
      </c>
      <c r="N2445" t="s">
        <v>4240</v>
      </c>
      <c r="O2445" t="s">
        <v>462</v>
      </c>
    </row>
    <row r="2446" spans="1:15" x14ac:dyDescent="0.3">
      <c r="A2446">
        <v>215478</v>
      </c>
      <c r="B2446">
        <v>116</v>
      </c>
      <c r="C2446" t="s">
        <v>568</v>
      </c>
      <c r="D2446" t="s">
        <v>2273</v>
      </c>
      <c r="E2446" t="s">
        <v>2903</v>
      </c>
      <c r="F2446" s="452">
        <v>46079</v>
      </c>
      <c r="G2446">
        <v>19498</v>
      </c>
      <c r="H2446" t="s">
        <v>4065</v>
      </c>
      <c r="I2446" t="s">
        <v>3469</v>
      </c>
      <c r="J2446">
        <v>1.1000000000000001</v>
      </c>
      <c r="K2446" t="s">
        <v>3892</v>
      </c>
      <c r="L2446">
        <v>27.12</v>
      </c>
      <c r="M2446">
        <v>24.654544999999999</v>
      </c>
      <c r="N2446" t="s">
        <v>4240</v>
      </c>
      <c r="O2446" t="s">
        <v>462</v>
      </c>
    </row>
    <row r="2447" spans="1:15" x14ac:dyDescent="0.3">
      <c r="A2447">
        <v>215478</v>
      </c>
      <c r="B2447">
        <v>116</v>
      </c>
      <c r="C2447" t="s">
        <v>568</v>
      </c>
      <c r="D2447" t="s">
        <v>2273</v>
      </c>
      <c r="E2447" t="s">
        <v>2903</v>
      </c>
      <c r="F2447" s="452">
        <v>46079</v>
      </c>
      <c r="G2447">
        <v>19652</v>
      </c>
      <c r="H2447" t="s">
        <v>4014</v>
      </c>
      <c r="I2447" t="s">
        <v>3469</v>
      </c>
      <c r="J2447">
        <v>1.25</v>
      </c>
      <c r="K2447" t="s">
        <v>3892</v>
      </c>
      <c r="L2447">
        <v>20.85</v>
      </c>
      <c r="M2447">
        <v>16.68</v>
      </c>
      <c r="N2447" t="s">
        <v>4240</v>
      </c>
      <c r="O2447" t="s">
        <v>462</v>
      </c>
    </row>
    <row r="2448" spans="1:15" x14ac:dyDescent="0.3">
      <c r="A2448">
        <v>215478</v>
      </c>
      <c r="B2448">
        <v>116</v>
      </c>
      <c r="C2448" t="s">
        <v>568</v>
      </c>
      <c r="D2448" t="s">
        <v>2273</v>
      </c>
      <c r="E2448" t="s">
        <v>2903</v>
      </c>
      <c r="F2448" s="452">
        <v>46079</v>
      </c>
      <c r="G2448">
        <v>19742</v>
      </c>
      <c r="H2448" t="s">
        <v>4074</v>
      </c>
      <c r="I2448" t="s">
        <v>3469</v>
      </c>
      <c r="J2448">
        <v>1.5</v>
      </c>
      <c r="K2448" t="s">
        <v>3892</v>
      </c>
      <c r="L2448">
        <v>18.649999999999999</v>
      </c>
      <c r="M2448">
        <v>12.433332999999999</v>
      </c>
      <c r="N2448" t="s">
        <v>4240</v>
      </c>
      <c r="O2448" t="s">
        <v>462</v>
      </c>
    </row>
    <row r="2449" spans="1:15" x14ac:dyDescent="0.3">
      <c r="A2449">
        <v>215478</v>
      </c>
      <c r="B2449">
        <v>116</v>
      </c>
      <c r="C2449" t="s">
        <v>568</v>
      </c>
      <c r="D2449" t="s">
        <v>2273</v>
      </c>
      <c r="E2449" t="s">
        <v>2903</v>
      </c>
      <c r="F2449" s="452">
        <v>46079</v>
      </c>
      <c r="G2449">
        <v>24598</v>
      </c>
      <c r="H2449" t="s">
        <v>4166</v>
      </c>
      <c r="I2449" t="s">
        <v>3469</v>
      </c>
      <c r="J2449">
        <v>1</v>
      </c>
      <c r="K2449" t="s">
        <v>3892</v>
      </c>
      <c r="L2449">
        <v>10.95</v>
      </c>
      <c r="M2449">
        <v>10.95</v>
      </c>
      <c r="N2449" t="s">
        <v>4240</v>
      </c>
      <c r="O2449" t="s">
        <v>462</v>
      </c>
    </row>
    <row r="2450" spans="1:15" x14ac:dyDescent="0.3">
      <c r="A2450">
        <v>215478</v>
      </c>
      <c r="B2450">
        <v>116</v>
      </c>
      <c r="C2450" t="s">
        <v>568</v>
      </c>
      <c r="D2450" t="s">
        <v>2273</v>
      </c>
      <c r="E2450" t="s">
        <v>2903</v>
      </c>
      <c r="F2450" s="452">
        <v>46079</v>
      </c>
      <c r="G2450">
        <v>23171</v>
      </c>
      <c r="H2450" t="s">
        <v>4132</v>
      </c>
      <c r="I2450" t="s">
        <v>3469</v>
      </c>
      <c r="J2450">
        <v>3.25</v>
      </c>
      <c r="K2450" t="s">
        <v>3892</v>
      </c>
      <c r="L2450">
        <v>22.16</v>
      </c>
      <c r="M2450">
        <v>6.8184620000000002</v>
      </c>
      <c r="N2450" t="s">
        <v>4240</v>
      </c>
      <c r="O2450" t="s">
        <v>462</v>
      </c>
    </row>
    <row r="2451" spans="1:15" x14ac:dyDescent="0.3">
      <c r="A2451">
        <v>215478</v>
      </c>
      <c r="B2451">
        <v>116</v>
      </c>
      <c r="C2451" t="s">
        <v>568</v>
      </c>
      <c r="D2451" t="s">
        <v>2273</v>
      </c>
      <c r="E2451" t="s">
        <v>2903</v>
      </c>
      <c r="F2451" s="452">
        <v>46079</v>
      </c>
      <c r="G2451">
        <v>23361</v>
      </c>
      <c r="H2451" t="s">
        <v>4220</v>
      </c>
      <c r="I2451" t="s">
        <v>3469</v>
      </c>
      <c r="J2451">
        <v>36</v>
      </c>
      <c r="K2451" t="s">
        <v>3892</v>
      </c>
      <c r="L2451">
        <v>127.8</v>
      </c>
      <c r="M2451">
        <v>3.55</v>
      </c>
      <c r="N2451" t="s">
        <v>4240</v>
      </c>
      <c r="O2451" t="s">
        <v>462</v>
      </c>
    </row>
    <row r="2452" spans="1:15" x14ac:dyDescent="0.3">
      <c r="A2452">
        <v>215478</v>
      </c>
      <c r="B2452">
        <v>116</v>
      </c>
      <c r="C2452" t="s">
        <v>568</v>
      </c>
      <c r="D2452" t="s">
        <v>2273</v>
      </c>
      <c r="E2452" t="s">
        <v>2903</v>
      </c>
      <c r="F2452" s="452">
        <v>46079</v>
      </c>
      <c r="G2452">
        <v>17066</v>
      </c>
      <c r="H2452" t="s">
        <v>4155</v>
      </c>
      <c r="I2452" t="s">
        <v>3469</v>
      </c>
      <c r="J2452">
        <v>1</v>
      </c>
      <c r="K2452" t="s">
        <v>3892</v>
      </c>
      <c r="L2452">
        <v>19.43</v>
      </c>
      <c r="M2452">
        <v>19.43</v>
      </c>
      <c r="N2452" t="s">
        <v>4240</v>
      </c>
      <c r="O2452" t="s">
        <v>462</v>
      </c>
    </row>
    <row r="2453" spans="1:15" x14ac:dyDescent="0.3">
      <c r="A2453">
        <v>215477</v>
      </c>
      <c r="B2453">
        <v>116</v>
      </c>
      <c r="C2453" t="s">
        <v>568</v>
      </c>
      <c r="D2453" t="s">
        <v>2273</v>
      </c>
      <c r="E2453" t="s">
        <v>2904</v>
      </c>
      <c r="F2453" s="452">
        <v>46083</v>
      </c>
      <c r="G2453">
        <v>19621</v>
      </c>
      <c r="H2453" t="s">
        <v>4125</v>
      </c>
      <c r="I2453" t="s">
        <v>3469</v>
      </c>
      <c r="J2453">
        <v>2.1</v>
      </c>
      <c r="K2453" t="s">
        <v>3892</v>
      </c>
      <c r="L2453">
        <v>6.38</v>
      </c>
      <c r="M2453">
        <v>3.0380950000000002</v>
      </c>
      <c r="N2453" t="s">
        <v>4289</v>
      </c>
      <c r="O2453" t="s">
        <v>463</v>
      </c>
    </row>
    <row r="2454" spans="1:15" x14ac:dyDescent="0.3">
      <c r="A2454">
        <v>215477</v>
      </c>
      <c r="B2454">
        <v>116</v>
      </c>
      <c r="C2454" t="s">
        <v>568</v>
      </c>
      <c r="D2454" t="s">
        <v>2273</v>
      </c>
      <c r="E2454" t="s">
        <v>2904</v>
      </c>
      <c r="F2454" s="452">
        <v>46083</v>
      </c>
      <c r="G2454">
        <v>19742</v>
      </c>
      <c r="H2454" t="s">
        <v>4074</v>
      </c>
      <c r="I2454" t="s">
        <v>3469</v>
      </c>
      <c r="J2454">
        <v>1.08</v>
      </c>
      <c r="K2454" t="s">
        <v>3892</v>
      </c>
      <c r="L2454">
        <v>13.39</v>
      </c>
      <c r="M2454">
        <v>12.398148000000001</v>
      </c>
      <c r="N2454" t="s">
        <v>4289</v>
      </c>
      <c r="O2454" t="s">
        <v>463</v>
      </c>
    </row>
    <row r="2455" spans="1:15" x14ac:dyDescent="0.3">
      <c r="A2455">
        <v>215477</v>
      </c>
      <c r="B2455">
        <v>116</v>
      </c>
      <c r="C2455" t="s">
        <v>568</v>
      </c>
      <c r="D2455" t="s">
        <v>2273</v>
      </c>
      <c r="E2455" t="s">
        <v>2904</v>
      </c>
      <c r="F2455" s="452">
        <v>46083</v>
      </c>
      <c r="G2455">
        <v>19572</v>
      </c>
      <c r="H2455" t="s">
        <v>4023</v>
      </c>
      <c r="I2455" t="s">
        <v>3469</v>
      </c>
      <c r="J2455">
        <v>1.25</v>
      </c>
      <c r="K2455" t="s">
        <v>3892</v>
      </c>
      <c r="L2455">
        <v>23.56</v>
      </c>
      <c r="M2455">
        <v>18.847999999999999</v>
      </c>
      <c r="N2455" t="s">
        <v>4289</v>
      </c>
      <c r="O2455" t="s">
        <v>463</v>
      </c>
    </row>
    <row r="2456" spans="1:15" x14ac:dyDescent="0.3">
      <c r="A2456">
        <v>215477</v>
      </c>
      <c r="B2456">
        <v>116</v>
      </c>
      <c r="C2456" t="s">
        <v>568</v>
      </c>
      <c r="D2456" t="s">
        <v>2273</v>
      </c>
      <c r="E2456" t="s">
        <v>2904</v>
      </c>
      <c r="F2456" s="452">
        <v>46083</v>
      </c>
      <c r="G2456">
        <v>24484</v>
      </c>
      <c r="H2456" t="s">
        <v>4154</v>
      </c>
      <c r="I2456" t="s">
        <v>3469</v>
      </c>
      <c r="J2456">
        <v>0.65</v>
      </c>
      <c r="K2456" t="s">
        <v>3892</v>
      </c>
      <c r="L2456">
        <v>7.12</v>
      </c>
      <c r="M2456">
        <v>10.953846</v>
      </c>
      <c r="N2456" t="s">
        <v>4289</v>
      </c>
      <c r="O2456" t="s">
        <v>463</v>
      </c>
    </row>
    <row r="2457" spans="1:15" x14ac:dyDescent="0.3">
      <c r="A2457">
        <v>215477</v>
      </c>
      <c r="B2457">
        <v>116</v>
      </c>
      <c r="C2457" t="s">
        <v>568</v>
      </c>
      <c r="D2457" t="s">
        <v>2273</v>
      </c>
      <c r="E2457" t="s">
        <v>2904</v>
      </c>
      <c r="F2457" s="452">
        <v>46083</v>
      </c>
      <c r="G2457">
        <v>23389</v>
      </c>
      <c r="H2457" t="s">
        <v>4016</v>
      </c>
      <c r="I2457" t="s">
        <v>3469</v>
      </c>
      <c r="J2457">
        <v>5</v>
      </c>
      <c r="K2457" t="s">
        <v>3892</v>
      </c>
      <c r="L2457">
        <v>24.15</v>
      </c>
      <c r="M2457">
        <v>4.83</v>
      </c>
      <c r="N2457" t="s">
        <v>4289</v>
      </c>
      <c r="O2457" t="s">
        <v>463</v>
      </c>
    </row>
    <row r="2458" spans="1:15" x14ac:dyDescent="0.3">
      <c r="A2458">
        <v>215475</v>
      </c>
      <c r="B2458">
        <v>116</v>
      </c>
      <c r="C2458" t="s">
        <v>568</v>
      </c>
      <c r="D2458" t="s">
        <v>2284</v>
      </c>
      <c r="E2458" t="s">
        <v>2905</v>
      </c>
      <c r="F2458" s="452">
        <v>46076</v>
      </c>
      <c r="G2458">
        <v>21400</v>
      </c>
      <c r="H2458" t="s">
        <v>4165</v>
      </c>
      <c r="I2458" t="s">
        <v>3469</v>
      </c>
      <c r="J2458">
        <v>3.5</v>
      </c>
      <c r="K2458" t="s">
        <v>3892</v>
      </c>
      <c r="L2458">
        <v>101.33</v>
      </c>
      <c r="M2458">
        <v>28.951429000000001</v>
      </c>
      <c r="N2458" t="s">
        <v>4240</v>
      </c>
      <c r="O2458" t="s">
        <v>462</v>
      </c>
    </row>
    <row r="2459" spans="1:15" x14ac:dyDescent="0.3">
      <c r="A2459">
        <v>215475</v>
      </c>
      <c r="B2459">
        <v>116</v>
      </c>
      <c r="C2459" t="s">
        <v>568</v>
      </c>
      <c r="D2459" t="s">
        <v>2284</v>
      </c>
      <c r="E2459" t="s">
        <v>2905</v>
      </c>
      <c r="F2459" s="452">
        <v>46076</v>
      </c>
      <c r="G2459">
        <v>22721</v>
      </c>
      <c r="H2459" t="s">
        <v>4221</v>
      </c>
      <c r="I2459" t="s">
        <v>3469</v>
      </c>
      <c r="J2459">
        <v>4.4000000000000004</v>
      </c>
      <c r="K2459" t="s">
        <v>3892</v>
      </c>
      <c r="L2459">
        <v>124.52</v>
      </c>
      <c r="M2459">
        <v>28.3</v>
      </c>
      <c r="N2459" t="s">
        <v>4240</v>
      </c>
      <c r="O2459" t="s">
        <v>462</v>
      </c>
    </row>
    <row r="2460" spans="1:15" x14ac:dyDescent="0.3">
      <c r="A2460">
        <v>215473</v>
      </c>
      <c r="B2460">
        <v>116</v>
      </c>
      <c r="C2460" t="s">
        <v>568</v>
      </c>
      <c r="D2460" t="s">
        <v>2284</v>
      </c>
      <c r="E2460" t="s">
        <v>2906</v>
      </c>
      <c r="F2460" s="452">
        <v>46078</v>
      </c>
      <c r="G2460">
        <v>20250</v>
      </c>
      <c r="H2460" t="s">
        <v>4008</v>
      </c>
      <c r="I2460" t="s">
        <v>3469</v>
      </c>
      <c r="J2460">
        <v>1</v>
      </c>
      <c r="K2460" t="s">
        <v>3888</v>
      </c>
      <c r="L2460">
        <v>40.54</v>
      </c>
      <c r="M2460">
        <v>40.54</v>
      </c>
      <c r="N2460" t="s">
        <v>4240</v>
      </c>
      <c r="O2460" t="s">
        <v>462</v>
      </c>
    </row>
    <row r="2461" spans="1:15" x14ac:dyDescent="0.3">
      <c r="A2461">
        <v>215473</v>
      </c>
      <c r="B2461">
        <v>116</v>
      </c>
      <c r="C2461" t="s">
        <v>568</v>
      </c>
      <c r="D2461" t="s">
        <v>2284</v>
      </c>
      <c r="E2461" t="s">
        <v>2906</v>
      </c>
      <c r="F2461" s="452">
        <v>46078</v>
      </c>
      <c r="G2461">
        <v>20007</v>
      </c>
      <c r="H2461" t="s">
        <v>4009</v>
      </c>
      <c r="I2461" t="s">
        <v>3469</v>
      </c>
      <c r="J2461">
        <v>4</v>
      </c>
      <c r="K2461" t="s">
        <v>3966</v>
      </c>
      <c r="L2461">
        <v>167.6</v>
      </c>
      <c r="M2461">
        <v>41.9</v>
      </c>
      <c r="N2461" t="s">
        <v>4240</v>
      </c>
      <c r="O2461" t="s">
        <v>462</v>
      </c>
    </row>
    <row r="2462" spans="1:15" x14ac:dyDescent="0.3">
      <c r="A2462">
        <v>215473</v>
      </c>
      <c r="B2462">
        <v>116</v>
      </c>
      <c r="C2462" t="s">
        <v>568</v>
      </c>
      <c r="D2462" t="s">
        <v>2284</v>
      </c>
      <c r="E2462" t="s">
        <v>2906</v>
      </c>
      <c r="F2462" s="452">
        <v>46078</v>
      </c>
      <c r="G2462">
        <v>20685</v>
      </c>
      <c r="H2462" t="s">
        <v>4122</v>
      </c>
      <c r="I2462" t="s">
        <v>3469</v>
      </c>
      <c r="J2462">
        <v>6</v>
      </c>
      <c r="K2462" t="s">
        <v>3872</v>
      </c>
      <c r="L2462">
        <v>21.24</v>
      </c>
      <c r="M2462">
        <v>3.54</v>
      </c>
      <c r="N2462" t="s">
        <v>4240</v>
      </c>
      <c r="O2462" t="s">
        <v>462</v>
      </c>
    </row>
    <row r="2463" spans="1:15" x14ac:dyDescent="0.3">
      <c r="A2463">
        <v>215473</v>
      </c>
      <c r="B2463">
        <v>116</v>
      </c>
      <c r="C2463" t="s">
        <v>568</v>
      </c>
      <c r="D2463" t="s">
        <v>2284</v>
      </c>
      <c r="E2463" t="s">
        <v>2906</v>
      </c>
      <c r="F2463" s="452">
        <v>46078</v>
      </c>
      <c r="G2463">
        <v>25769</v>
      </c>
      <c r="H2463" t="s">
        <v>4013</v>
      </c>
      <c r="I2463" t="s">
        <v>3469</v>
      </c>
      <c r="J2463">
        <v>1</v>
      </c>
      <c r="K2463" t="s">
        <v>3892</v>
      </c>
      <c r="L2463">
        <v>13</v>
      </c>
      <c r="M2463">
        <v>13</v>
      </c>
      <c r="N2463" t="s">
        <v>4240</v>
      </c>
      <c r="O2463" t="s">
        <v>462</v>
      </c>
    </row>
    <row r="2464" spans="1:15" x14ac:dyDescent="0.3">
      <c r="A2464">
        <v>215473</v>
      </c>
      <c r="B2464">
        <v>116</v>
      </c>
      <c r="C2464" t="s">
        <v>568</v>
      </c>
      <c r="D2464" t="s">
        <v>2284</v>
      </c>
      <c r="E2464" t="s">
        <v>2906</v>
      </c>
      <c r="F2464" s="452">
        <v>46078</v>
      </c>
      <c r="G2464">
        <v>20624</v>
      </c>
      <c r="H2464" t="s">
        <v>3982</v>
      </c>
      <c r="I2464" t="s">
        <v>3469</v>
      </c>
      <c r="J2464">
        <v>1</v>
      </c>
      <c r="K2464" t="s">
        <v>3872</v>
      </c>
      <c r="L2464">
        <v>69.900000000000006</v>
      </c>
      <c r="M2464">
        <v>69.900000000000006</v>
      </c>
      <c r="N2464" t="s">
        <v>4240</v>
      </c>
      <c r="O2464" t="s">
        <v>462</v>
      </c>
    </row>
    <row r="2465" spans="1:15" x14ac:dyDescent="0.3">
      <c r="A2465">
        <v>215473</v>
      </c>
      <c r="B2465">
        <v>116</v>
      </c>
      <c r="C2465" t="s">
        <v>568</v>
      </c>
      <c r="D2465" t="s">
        <v>2284</v>
      </c>
      <c r="E2465" t="s">
        <v>2906</v>
      </c>
      <c r="F2465" s="452">
        <v>46078</v>
      </c>
      <c r="G2465">
        <v>19428</v>
      </c>
      <c r="H2465" t="s">
        <v>4169</v>
      </c>
      <c r="I2465" t="s">
        <v>3469</v>
      </c>
      <c r="J2465">
        <v>12</v>
      </c>
      <c r="K2465" t="s">
        <v>3872</v>
      </c>
      <c r="L2465">
        <v>67.2</v>
      </c>
      <c r="M2465">
        <v>5.6</v>
      </c>
      <c r="N2465" t="s">
        <v>4240</v>
      </c>
      <c r="O2465" t="s">
        <v>462</v>
      </c>
    </row>
    <row r="2466" spans="1:15" x14ac:dyDescent="0.3">
      <c r="A2466">
        <v>215472</v>
      </c>
      <c r="B2466">
        <v>116</v>
      </c>
      <c r="C2466" t="s">
        <v>568</v>
      </c>
      <c r="D2466" t="s">
        <v>2284</v>
      </c>
      <c r="E2466" t="s">
        <v>2907</v>
      </c>
      <c r="F2466" s="452">
        <v>46084</v>
      </c>
      <c r="G2466">
        <v>18538</v>
      </c>
      <c r="H2466" t="s">
        <v>4026</v>
      </c>
      <c r="I2466" t="s">
        <v>3497</v>
      </c>
      <c r="J2466">
        <v>2</v>
      </c>
      <c r="K2466" t="s">
        <v>3878</v>
      </c>
      <c r="L2466">
        <v>211.8</v>
      </c>
      <c r="M2466">
        <v>105.9</v>
      </c>
      <c r="N2466" t="s">
        <v>3497</v>
      </c>
      <c r="O2466" t="s">
        <v>463</v>
      </c>
    </row>
    <row r="2467" spans="1:15" x14ac:dyDescent="0.3">
      <c r="A2467">
        <v>215468</v>
      </c>
      <c r="B2467">
        <v>116</v>
      </c>
      <c r="C2467" t="s">
        <v>568</v>
      </c>
      <c r="D2467" t="s">
        <v>2284</v>
      </c>
      <c r="E2467" t="s">
        <v>2908</v>
      </c>
      <c r="F2467" s="452">
        <v>46085</v>
      </c>
      <c r="G2467">
        <v>21126</v>
      </c>
      <c r="H2467" t="s">
        <v>4004</v>
      </c>
      <c r="I2467" t="s">
        <v>3469</v>
      </c>
      <c r="J2467">
        <v>2</v>
      </c>
      <c r="K2467" t="s">
        <v>3872</v>
      </c>
      <c r="L2467">
        <v>15.6</v>
      </c>
      <c r="M2467">
        <v>7.8</v>
      </c>
      <c r="N2467" t="s">
        <v>4240</v>
      </c>
      <c r="O2467" t="s">
        <v>463</v>
      </c>
    </row>
    <row r="2468" spans="1:15" x14ac:dyDescent="0.3">
      <c r="A2468">
        <v>215468</v>
      </c>
      <c r="B2468">
        <v>116</v>
      </c>
      <c r="C2468" t="s">
        <v>568</v>
      </c>
      <c r="D2468" t="s">
        <v>2284</v>
      </c>
      <c r="E2468" t="s">
        <v>2908</v>
      </c>
      <c r="F2468" s="452">
        <v>46085</v>
      </c>
      <c r="G2468">
        <v>20077</v>
      </c>
      <c r="H2468" t="s">
        <v>4054</v>
      </c>
      <c r="I2468" t="s">
        <v>3469</v>
      </c>
      <c r="J2468">
        <v>1</v>
      </c>
      <c r="K2468" t="s">
        <v>4268</v>
      </c>
      <c r="L2468">
        <v>16.350000000000001</v>
      </c>
      <c r="M2468">
        <v>16.350000000000001</v>
      </c>
      <c r="N2468" t="s">
        <v>4240</v>
      </c>
      <c r="O2468" t="s">
        <v>463</v>
      </c>
    </row>
    <row r="2469" spans="1:15" x14ac:dyDescent="0.3">
      <c r="A2469">
        <v>215468</v>
      </c>
      <c r="B2469">
        <v>116</v>
      </c>
      <c r="C2469" t="s">
        <v>568</v>
      </c>
      <c r="D2469" t="s">
        <v>2284</v>
      </c>
      <c r="E2469" t="s">
        <v>2908</v>
      </c>
      <c r="F2469" s="452">
        <v>46085</v>
      </c>
      <c r="G2469">
        <v>20685</v>
      </c>
      <c r="H2469" t="s">
        <v>4122</v>
      </c>
      <c r="I2469" t="s">
        <v>3469</v>
      </c>
      <c r="J2469">
        <v>6</v>
      </c>
      <c r="K2469" t="s">
        <v>3872</v>
      </c>
      <c r="L2469">
        <v>21.24</v>
      </c>
      <c r="M2469">
        <v>3.54</v>
      </c>
      <c r="N2469" t="s">
        <v>4240</v>
      </c>
      <c r="O2469" t="s">
        <v>463</v>
      </c>
    </row>
    <row r="2470" spans="1:15" x14ac:dyDescent="0.3">
      <c r="A2470">
        <v>215468</v>
      </c>
      <c r="B2470">
        <v>116</v>
      </c>
      <c r="C2470" t="s">
        <v>568</v>
      </c>
      <c r="D2470" t="s">
        <v>2284</v>
      </c>
      <c r="E2470" t="s">
        <v>2908</v>
      </c>
      <c r="F2470" s="452">
        <v>46085</v>
      </c>
      <c r="G2470">
        <v>25769</v>
      </c>
      <c r="H2470" t="s">
        <v>4013</v>
      </c>
      <c r="I2470" t="s">
        <v>3469</v>
      </c>
      <c r="J2470">
        <v>2</v>
      </c>
      <c r="K2470" t="s">
        <v>3892</v>
      </c>
      <c r="L2470">
        <v>26</v>
      </c>
      <c r="M2470">
        <v>13</v>
      </c>
      <c r="N2470" t="s">
        <v>4240</v>
      </c>
      <c r="O2470" t="s">
        <v>463</v>
      </c>
    </row>
    <row r="2471" spans="1:15" x14ac:dyDescent="0.3">
      <c r="A2471">
        <v>215468</v>
      </c>
      <c r="B2471">
        <v>116</v>
      </c>
      <c r="C2471" t="s">
        <v>568</v>
      </c>
      <c r="D2471" t="s">
        <v>2284</v>
      </c>
      <c r="E2471" t="s">
        <v>2908</v>
      </c>
      <c r="F2471" s="452">
        <v>46085</v>
      </c>
      <c r="G2471">
        <v>20624</v>
      </c>
      <c r="H2471" t="s">
        <v>3982</v>
      </c>
      <c r="I2471" t="s">
        <v>3469</v>
      </c>
      <c r="J2471">
        <v>1</v>
      </c>
      <c r="K2471" t="s">
        <v>3872</v>
      </c>
      <c r="L2471">
        <v>69.900000000000006</v>
      </c>
      <c r="M2471">
        <v>69.900000000000006</v>
      </c>
      <c r="N2471" t="s">
        <v>4240</v>
      </c>
      <c r="O2471" t="s">
        <v>463</v>
      </c>
    </row>
    <row r="2472" spans="1:15" x14ac:dyDescent="0.3">
      <c r="A2472">
        <v>215468</v>
      </c>
      <c r="B2472">
        <v>116</v>
      </c>
      <c r="C2472" t="s">
        <v>568</v>
      </c>
      <c r="D2472" t="s">
        <v>2284</v>
      </c>
      <c r="E2472" t="s">
        <v>2908</v>
      </c>
      <c r="F2472" s="452">
        <v>46085</v>
      </c>
      <c r="G2472">
        <v>19415</v>
      </c>
      <c r="H2472" t="s">
        <v>3941</v>
      </c>
      <c r="I2472" t="s">
        <v>3469</v>
      </c>
      <c r="J2472">
        <v>7</v>
      </c>
      <c r="K2472" t="s">
        <v>3872</v>
      </c>
      <c r="L2472">
        <v>61.6</v>
      </c>
      <c r="M2472">
        <v>8.8000000000000007</v>
      </c>
      <c r="N2472" t="s">
        <v>4240</v>
      </c>
      <c r="O2472" t="s">
        <v>463</v>
      </c>
    </row>
    <row r="2473" spans="1:15" x14ac:dyDescent="0.3">
      <c r="A2473">
        <v>215468</v>
      </c>
      <c r="B2473">
        <v>116</v>
      </c>
      <c r="C2473" t="s">
        <v>568</v>
      </c>
      <c r="D2473" t="s">
        <v>2284</v>
      </c>
      <c r="E2473" t="s">
        <v>2908</v>
      </c>
      <c r="F2473" s="452">
        <v>46085</v>
      </c>
      <c r="G2473">
        <v>24212</v>
      </c>
      <c r="H2473" t="s">
        <v>4056</v>
      </c>
      <c r="I2473" t="s">
        <v>3469</v>
      </c>
      <c r="J2473">
        <v>2</v>
      </c>
      <c r="K2473" t="s">
        <v>3892</v>
      </c>
      <c r="L2473">
        <v>26</v>
      </c>
      <c r="M2473">
        <v>13</v>
      </c>
      <c r="N2473" t="s">
        <v>4240</v>
      </c>
      <c r="O2473" t="s">
        <v>463</v>
      </c>
    </row>
    <row r="2474" spans="1:15" x14ac:dyDescent="0.3">
      <c r="A2474">
        <v>215468</v>
      </c>
      <c r="B2474">
        <v>116</v>
      </c>
      <c r="C2474" t="s">
        <v>568</v>
      </c>
      <c r="D2474" t="s">
        <v>2284</v>
      </c>
      <c r="E2474" t="s">
        <v>2908</v>
      </c>
      <c r="F2474" s="452">
        <v>46085</v>
      </c>
      <c r="G2474">
        <v>24185</v>
      </c>
      <c r="H2474" t="s">
        <v>4040</v>
      </c>
      <c r="I2474" t="s">
        <v>3469</v>
      </c>
      <c r="J2474">
        <v>2</v>
      </c>
      <c r="K2474" t="s">
        <v>3892</v>
      </c>
      <c r="L2474">
        <v>47.2</v>
      </c>
      <c r="M2474">
        <v>23.6</v>
      </c>
      <c r="N2474" t="s">
        <v>4240</v>
      </c>
      <c r="O2474" t="s">
        <v>463</v>
      </c>
    </row>
    <row r="2475" spans="1:15" x14ac:dyDescent="0.3">
      <c r="A2475">
        <v>215468</v>
      </c>
      <c r="B2475">
        <v>116</v>
      </c>
      <c r="C2475" t="s">
        <v>568</v>
      </c>
      <c r="D2475" t="s">
        <v>2284</v>
      </c>
      <c r="E2475" t="s">
        <v>2908</v>
      </c>
      <c r="F2475" s="452">
        <v>46085</v>
      </c>
      <c r="G2475">
        <v>19264</v>
      </c>
      <c r="H2475" t="s">
        <v>4082</v>
      </c>
      <c r="I2475" t="s">
        <v>3469</v>
      </c>
      <c r="J2475">
        <v>1</v>
      </c>
      <c r="K2475" t="s">
        <v>4354</v>
      </c>
      <c r="L2475">
        <v>69.900000000000006</v>
      </c>
      <c r="M2475">
        <v>69.900000000000006</v>
      </c>
      <c r="N2475" t="s">
        <v>4240</v>
      </c>
      <c r="O2475" t="s">
        <v>463</v>
      </c>
    </row>
    <row r="2476" spans="1:15" x14ac:dyDescent="0.3">
      <c r="A2476">
        <v>215468</v>
      </c>
      <c r="B2476">
        <v>116</v>
      </c>
      <c r="C2476" t="s">
        <v>568</v>
      </c>
      <c r="D2476" t="s">
        <v>2284</v>
      </c>
      <c r="E2476" t="s">
        <v>2908</v>
      </c>
      <c r="F2476" s="452">
        <v>46085</v>
      </c>
      <c r="G2476">
        <v>22721</v>
      </c>
      <c r="H2476" t="s">
        <v>4221</v>
      </c>
      <c r="I2476" t="s">
        <v>3469</v>
      </c>
      <c r="J2476">
        <v>3.98</v>
      </c>
      <c r="K2476" t="s">
        <v>4354</v>
      </c>
      <c r="L2476">
        <v>116.57</v>
      </c>
      <c r="M2476">
        <v>29.288944999999998</v>
      </c>
      <c r="N2476" t="s">
        <v>4240</v>
      </c>
      <c r="O2476" t="s">
        <v>463</v>
      </c>
    </row>
    <row r="2477" spans="1:15" x14ac:dyDescent="0.3">
      <c r="A2477">
        <v>215468</v>
      </c>
      <c r="B2477">
        <v>116</v>
      </c>
      <c r="C2477" t="s">
        <v>568</v>
      </c>
      <c r="D2477" t="s">
        <v>2284</v>
      </c>
      <c r="E2477" t="s">
        <v>2908</v>
      </c>
      <c r="F2477" s="452">
        <v>46085</v>
      </c>
      <c r="G2477">
        <v>24449</v>
      </c>
      <c r="H2477" t="s">
        <v>4344</v>
      </c>
      <c r="I2477" t="s">
        <v>3469</v>
      </c>
      <c r="J2477">
        <v>7.14</v>
      </c>
      <c r="K2477" t="s">
        <v>4354</v>
      </c>
      <c r="L2477">
        <v>499.73</v>
      </c>
      <c r="M2477">
        <v>69.990195999999997</v>
      </c>
      <c r="N2477" t="s">
        <v>4240</v>
      </c>
      <c r="O2477" t="s">
        <v>463</v>
      </c>
    </row>
    <row r="2478" spans="1:15" x14ac:dyDescent="0.3">
      <c r="A2478">
        <v>215467</v>
      </c>
      <c r="B2478">
        <v>116</v>
      </c>
      <c r="C2478" t="s">
        <v>568</v>
      </c>
      <c r="D2478" t="s">
        <v>2286</v>
      </c>
      <c r="E2478" t="s">
        <v>2909</v>
      </c>
      <c r="F2478" s="452">
        <v>46083</v>
      </c>
      <c r="G2478">
        <v>19498</v>
      </c>
      <c r="H2478" t="s">
        <v>4065</v>
      </c>
      <c r="I2478" t="s">
        <v>3469</v>
      </c>
      <c r="J2478">
        <v>1</v>
      </c>
      <c r="K2478" t="s">
        <v>3892</v>
      </c>
      <c r="L2478">
        <v>19</v>
      </c>
      <c r="M2478">
        <v>19</v>
      </c>
      <c r="N2478" t="s">
        <v>4240</v>
      </c>
      <c r="O2478" t="s">
        <v>463</v>
      </c>
    </row>
    <row r="2479" spans="1:15" x14ac:dyDescent="0.3">
      <c r="A2479">
        <v>215467</v>
      </c>
      <c r="B2479">
        <v>116</v>
      </c>
      <c r="C2479" t="s">
        <v>568</v>
      </c>
      <c r="D2479" t="s">
        <v>2286</v>
      </c>
      <c r="E2479" t="s">
        <v>2909</v>
      </c>
      <c r="F2479" s="452">
        <v>46083</v>
      </c>
      <c r="G2479">
        <v>19558</v>
      </c>
      <c r="H2479" t="s">
        <v>4183</v>
      </c>
      <c r="I2479" t="s">
        <v>3469</v>
      </c>
      <c r="J2479">
        <v>1</v>
      </c>
      <c r="K2479" t="s">
        <v>3892</v>
      </c>
      <c r="L2479">
        <v>14</v>
      </c>
      <c r="M2479">
        <v>14</v>
      </c>
      <c r="N2479" t="s">
        <v>4240</v>
      </c>
      <c r="O2479" t="s">
        <v>463</v>
      </c>
    </row>
    <row r="2480" spans="1:15" x14ac:dyDescent="0.3">
      <c r="A2480">
        <v>215467</v>
      </c>
      <c r="B2480">
        <v>116</v>
      </c>
      <c r="C2480" t="s">
        <v>568</v>
      </c>
      <c r="D2480" t="s">
        <v>2286</v>
      </c>
      <c r="E2480" t="s">
        <v>2909</v>
      </c>
      <c r="F2480" s="452">
        <v>46083</v>
      </c>
      <c r="G2480">
        <v>19647</v>
      </c>
      <c r="H2480" t="s">
        <v>4066</v>
      </c>
      <c r="I2480" t="s">
        <v>3469</v>
      </c>
      <c r="J2480">
        <v>1</v>
      </c>
      <c r="K2480" t="s">
        <v>3892</v>
      </c>
      <c r="L2480">
        <v>14</v>
      </c>
      <c r="M2480">
        <v>14</v>
      </c>
      <c r="N2480" t="s">
        <v>4240</v>
      </c>
      <c r="O2480" t="s">
        <v>463</v>
      </c>
    </row>
    <row r="2481" spans="1:15" x14ac:dyDescent="0.3">
      <c r="A2481">
        <v>215467</v>
      </c>
      <c r="B2481">
        <v>116</v>
      </c>
      <c r="C2481" t="s">
        <v>568</v>
      </c>
      <c r="D2481" t="s">
        <v>2286</v>
      </c>
      <c r="E2481" t="s">
        <v>2909</v>
      </c>
      <c r="F2481" s="452">
        <v>46083</v>
      </c>
      <c r="G2481">
        <v>19740</v>
      </c>
      <c r="H2481" t="s">
        <v>3933</v>
      </c>
      <c r="I2481" t="s">
        <v>3469</v>
      </c>
      <c r="J2481">
        <v>6</v>
      </c>
      <c r="K2481" t="s">
        <v>3892</v>
      </c>
      <c r="L2481">
        <v>90</v>
      </c>
      <c r="M2481">
        <v>15</v>
      </c>
      <c r="N2481" t="s">
        <v>4240</v>
      </c>
      <c r="O2481" t="s">
        <v>463</v>
      </c>
    </row>
    <row r="2482" spans="1:15" x14ac:dyDescent="0.3">
      <c r="A2482">
        <v>215467</v>
      </c>
      <c r="B2482">
        <v>116</v>
      </c>
      <c r="C2482" t="s">
        <v>568</v>
      </c>
      <c r="D2482" t="s">
        <v>2286</v>
      </c>
      <c r="E2482" t="s">
        <v>2909</v>
      </c>
      <c r="F2482" s="452">
        <v>46083</v>
      </c>
      <c r="G2482">
        <v>19752</v>
      </c>
      <c r="H2482" t="s">
        <v>4042</v>
      </c>
      <c r="I2482" t="s">
        <v>3469</v>
      </c>
      <c r="J2482">
        <v>1</v>
      </c>
      <c r="K2482" t="s">
        <v>3892</v>
      </c>
      <c r="L2482">
        <v>7.5</v>
      </c>
      <c r="M2482">
        <v>7.5</v>
      </c>
      <c r="N2482" t="s">
        <v>4240</v>
      </c>
      <c r="O2482" t="s">
        <v>463</v>
      </c>
    </row>
    <row r="2483" spans="1:15" x14ac:dyDescent="0.3">
      <c r="A2483">
        <v>215467</v>
      </c>
      <c r="B2483">
        <v>116</v>
      </c>
      <c r="C2483" t="s">
        <v>568</v>
      </c>
      <c r="D2483" t="s">
        <v>2286</v>
      </c>
      <c r="E2483" t="s">
        <v>2909</v>
      </c>
      <c r="F2483" s="452">
        <v>46083</v>
      </c>
      <c r="G2483">
        <v>19458</v>
      </c>
      <c r="H2483" t="s">
        <v>4212</v>
      </c>
      <c r="I2483" t="s">
        <v>3469</v>
      </c>
      <c r="J2483">
        <v>1</v>
      </c>
      <c r="K2483" t="s">
        <v>3892</v>
      </c>
      <c r="L2483">
        <v>17</v>
      </c>
      <c r="M2483">
        <v>17</v>
      </c>
      <c r="N2483" t="s">
        <v>4240</v>
      </c>
      <c r="O2483" t="s">
        <v>463</v>
      </c>
    </row>
    <row r="2484" spans="1:15" x14ac:dyDescent="0.3">
      <c r="A2484">
        <v>215467</v>
      </c>
      <c r="B2484">
        <v>116</v>
      </c>
      <c r="C2484" t="s">
        <v>568</v>
      </c>
      <c r="D2484" t="s">
        <v>2286</v>
      </c>
      <c r="E2484" t="s">
        <v>2909</v>
      </c>
      <c r="F2484" s="452">
        <v>46083</v>
      </c>
      <c r="G2484">
        <v>19494</v>
      </c>
      <c r="H2484" t="s">
        <v>4126</v>
      </c>
      <c r="I2484" t="s">
        <v>3469</v>
      </c>
      <c r="J2484">
        <v>2</v>
      </c>
      <c r="K2484" t="s">
        <v>3892</v>
      </c>
      <c r="L2484">
        <v>36</v>
      </c>
      <c r="M2484">
        <v>18</v>
      </c>
      <c r="N2484" t="s">
        <v>4240</v>
      </c>
      <c r="O2484" t="s">
        <v>463</v>
      </c>
    </row>
    <row r="2485" spans="1:15" x14ac:dyDescent="0.3">
      <c r="A2485">
        <v>215467</v>
      </c>
      <c r="B2485">
        <v>116</v>
      </c>
      <c r="C2485" t="s">
        <v>568</v>
      </c>
      <c r="D2485" t="s">
        <v>2286</v>
      </c>
      <c r="E2485" t="s">
        <v>2909</v>
      </c>
      <c r="F2485" s="452">
        <v>46083</v>
      </c>
      <c r="G2485">
        <v>19617</v>
      </c>
      <c r="H2485" t="s">
        <v>4110</v>
      </c>
      <c r="I2485" t="s">
        <v>3469</v>
      </c>
      <c r="J2485">
        <v>0.5</v>
      </c>
      <c r="K2485" t="s">
        <v>3892</v>
      </c>
      <c r="L2485">
        <v>12.5</v>
      </c>
      <c r="M2485">
        <v>25</v>
      </c>
      <c r="N2485" t="s">
        <v>4240</v>
      </c>
      <c r="O2485" t="s">
        <v>463</v>
      </c>
    </row>
    <row r="2486" spans="1:15" x14ac:dyDescent="0.3">
      <c r="A2486">
        <v>215467</v>
      </c>
      <c r="B2486">
        <v>116</v>
      </c>
      <c r="C2486" t="s">
        <v>568</v>
      </c>
      <c r="D2486" t="s">
        <v>2286</v>
      </c>
      <c r="E2486" t="s">
        <v>2909</v>
      </c>
      <c r="F2486" s="452">
        <v>46083</v>
      </c>
      <c r="G2486">
        <v>23113</v>
      </c>
      <c r="H2486" t="s">
        <v>4079</v>
      </c>
      <c r="I2486" t="s">
        <v>3469</v>
      </c>
      <c r="J2486">
        <v>1</v>
      </c>
      <c r="K2486" t="s">
        <v>3892</v>
      </c>
      <c r="L2486">
        <v>10</v>
      </c>
      <c r="M2486">
        <v>10</v>
      </c>
      <c r="N2486" t="s">
        <v>4240</v>
      </c>
      <c r="O2486" t="s">
        <v>463</v>
      </c>
    </row>
    <row r="2487" spans="1:15" x14ac:dyDescent="0.3">
      <c r="A2487">
        <v>215467</v>
      </c>
      <c r="B2487">
        <v>116</v>
      </c>
      <c r="C2487" t="s">
        <v>568</v>
      </c>
      <c r="D2487" t="s">
        <v>2286</v>
      </c>
      <c r="E2487" t="s">
        <v>2909</v>
      </c>
      <c r="F2487" s="452">
        <v>46083</v>
      </c>
      <c r="G2487">
        <v>23120</v>
      </c>
      <c r="H2487" t="s">
        <v>4111</v>
      </c>
      <c r="I2487" t="s">
        <v>3469</v>
      </c>
      <c r="J2487">
        <v>0.25</v>
      </c>
      <c r="K2487" t="s">
        <v>3892</v>
      </c>
      <c r="L2487">
        <v>16.25</v>
      </c>
      <c r="M2487">
        <v>65</v>
      </c>
      <c r="N2487" t="s">
        <v>4240</v>
      </c>
      <c r="O2487" t="s">
        <v>463</v>
      </c>
    </row>
    <row r="2488" spans="1:15" x14ac:dyDescent="0.3">
      <c r="A2488">
        <v>215467</v>
      </c>
      <c r="B2488">
        <v>116</v>
      </c>
      <c r="C2488" t="s">
        <v>568</v>
      </c>
      <c r="D2488" t="s">
        <v>2286</v>
      </c>
      <c r="E2488" t="s">
        <v>2909</v>
      </c>
      <c r="F2488" s="452">
        <v>46083</v>
      </c>
      <c r="G2488">
        <v>23236</v>
      </c>
      <c r="H2488" t="s">
        <v>4017</v>
      </c>
      <c r="I2488" t="s">
        <v>3469</v>
      </c>
      <c r="J2488">
        <v>3</v>
      </c>
      <c r="K2488" t="s">
        <v>3892</v>
      </c>
      <c r="L2488">
        <v>24</v>
      </c>
      <c r="M2488">
        <v>8</v>
      </c>
      <c r="N2488" t="s">
        <v>4240</v>
      </c>
      <c r="O2488" t="s">
        <v>463</v>
      </c>
    </row>
    <row r="2489" spans="1:15" x14ac:dyDescent="0.3">
      <c r="A2489">
        <v>215467</v>
      </c>
      <c r="B2489">
        <v>116</v>
      </c>
      <c r="C2489" t="s">
        <v>568</v>
      </c>
      <c r="D2489" t="s">
        <v>2286</v>
      </c>
      <c r="E2489" t="s">
        <v>2909</v>
      </c>
      <c r="F2489" s="452">
        <v>46083</v>
      </c>
      <c r="G2489">
        <v>23359</v>
      </c>
      <c r="H2489" t="s">
        <v>3932</v>
      </c>
      <c r="I2489" t="s">
        <v>3469</v>
      </c>
      <c r="J2489">
        <v>10</v>
      </c>
      <c r="K2489" t="s">
        <v>3892</v>
      </c>
      <c r="L2489">
        <v>26</v>
      </c>
      <c r="M2489">
        <v>2.6</v>
      </c>
      <c r="N2489" t="s">
        <v>4240</v>
      </c>
      <c r="O2489" t="s">
        <v>463</v>
      </c>
    </row>
    <row r="2490" spans="1:15" x14ac:dyDescent="0.3">
      <c r="A2490">
        <v>215467</v>
      </c>
      <c r="B2490">
        <v>116</v>
      </c>
      <c r="C2490" t="s">
        <v>568</v>
      </c>
      <c r="D2490" t="s">
        <v>2286</v>
      </c>
      <c r="E2490" t="s">
        <v>2909</v>
      </c>
      <c r="F2490" s="452">
        <v>46083</v>
      </c>
      <c r="G2490">
        <v>23095</v>
      </c>
      <c r="H2490" t="s">
        <v>3882</v>
      </c>
      <c r="I2490" t="s">
        <v>3469</v>
      </c>
      <c r="J2490">
        <v>60</v>
      </c>
      <c r="K2490" t="s">
        <v>3872</v>
      </c>
      <c r="L2490">
        <v>76.2</v>
      </c>
      <c r="M2490">
        <v>1.27</v>
      </c>
      <c r="N2490" t="s">
        <v>4240</v>
      </c>
      <c r="O2490" t="s">
        <v>463</v>
      </c>
    </row>
    <row r="2491" spans="1:15" x14ac:dyDescent="0.3">
      <c r="A2491">
        <v>215464</v>
      </c>
      <c r="B2491">
        <v>116</v>
      </c>
      <c r="C2491" t="s">
        <v>568</v>
      </c>
      <c r="D2491" t="s">
        <v>2340</v>
      </c>
      <c r="E2491" t="s">
        <v>2910</v>
      </c>
      <c r="F2491" s="452">
        <v>46078</v>
      </c>
      <c r="G2491">
        <v>20661</v>
      </c>
      <c r="H2491" t="s">
        <v>3919</v>
      </c>
      <c r="I2491" t="s">
        <v>3469</v>
      </c>
      <c r="J2491">
        <v>8</v>
      </c>
      <c r="K2491" t="s">
        <v>3872</v>
      </c>
      <c r="L2491">
        <v>69.52</v>
      </c>
      <c r="M2491">
        <v>8.69</v>
      </c>
      <c r="N2491" t="s">
        <v>4240</v>
      </c>
      <c r="O2491" t="s">
        <v>462</v>
      </c>
    </row>
    <row r="2492" spans="1:15" x14ac:dyDescent="0.3">
      <c r="A2492">
        <v>215464</v>
      </c>
      <c r="B2492">
        <v>116</v>
      </c>
      <c r="C2492" t="s">
        <v>568</v>
      </c>
      <c r="D2492" t="s">
        <v>2340</v>
      </c>
      <c r="E2492" t="s">
        <v>2910</v>
      </c>
      <c r="F2492" s="452">
        <v>46078</v>
      </c>
      <c r="G2492">
        <v>19415</v>
      </c>
      <c r="H2492" t="s">
        <v>3941</v>
      </c>
      <c r="I2492" t="s">
        <v>3469</v>
      </c>
      <c r="J2492">
        <v>8</v>
      </c>
      <c r="K2492" t="s">
        <v>3872</v>
      </c>
      <c r="L2492">
        <v>70.48</v>
      </c>
      <c r="M2492">
        <v>8.81</v>
      </c>
      <c r="N2492" t="s">
        <v>4240</v>
      </c>
      <c r="O2492" t="s">
        <v>462</v>
      </c>
    </row>
    <row r="2493" spans="1:15" x14ac:dyDescent="0.3">
      <c r="A2493">
        <v>215464</v>
      </c>
      <c r="B2493">
        <v>116</v>
      </c>
      <c r="C2493" t="s">
        <v>568</v>
      </c>
      <c r="D2493" t="s">
        <v>2340</v>
      </c>
      <c r="E2493" t="s">
        <v>2910</v>
      </c>
      <c r="F2493" s="452">
        <v>46078</v>
      </c>
      <c r="G2493">
        <v>19287</v>
      </c>
      <c r="H2493" t="s">
        <v>3974</v>
      </c>
      <c r="I2493" t="s">
        <v>3469</v>
      </c>
      <c r="J2493">
        <v>10.18</v>
      </c>
      <c r="K2493" t="s">
        <v>3892</v>
      </c>
      <c r="L2493">
        <v>375.64</v>
      </c>
      <c r="M2493">
        <v>36.899804000000003</v>
      </c>
      <c r="N2493" t="s">
        <v>4240</v>
      </c>
      <c r="O2493" t="s">
        <v>462</v>
      </c>
    </row>
    <row r="2494" spans="1:15" x14ac:dyDescent="0.3">
      <c r="A2494">
        <v>215463</v>
      </c>
      <c r="B2494">
        <v>116</v>
      </c>
      <c r="C2494" t="s">
        <v>568</v>
      </c>
      <c r="D2494" t="s">
        <v>2340</v>
      </c>
      <c r="E2494" t="s">
        <v>2911</v>
      </c>
      <c r="F2494" s="452">
        <v>46085</v>
      </c>
      <c r="G2494">
        <v>20501</v>
      </c>
      <c r="H2494" t="s">
        <v>4219</v>
      </c>
      <c r="I2494" t="s">
        <v>3469</v>
      </c>
      <c r="J2494">
        <v>5</v>
      </c>
      <c r="K2494" t="s">
        <v>3892</v>
      </c>
      <c r="L2494">
        <v>108.4</v>
      </c>
      <c r="M2494">
        <v>21.68</v>
      </c>
      <c r="N2494" t="s">
        <v>4240</v>
      </c>
      <c r="O2494" t="s">
        <v>463</v>
      </c>
    </row>
    <row r="2495" spans="1:15" x14ac:dyDescent="0.3">
      <c r="A2495">
        <v>215460</v>
      </c>
      <c r="B2495">
        <v>116</v>
      </c>
      <c r="C2495" t="s">
        <v>568</v>
      </c>
      <c r="D2495" t="s">
        <v>2340</v>
      </c>
      <c r="E2495" t="s">
        <v>2912</v>
      </c>
      <c r="F2495" s="452">
        <v>46085</v>
      </c>
      <c r="G2495">
        <v>19324</v>
      </c>
      <c r="H2495" t="s">
        <v>3937</v>
      </c>
      <c r="I2495" t="s">
        <v>3469</v>
      </c>
      <c r="J2495">
        <v>7.94</v>
      </c>
      <c r="K2495" t="s">
        <v>3892</v>
      </c>
      <c r="L2495">
        <v>236.14</v>
      </c>
      <c r="M2495">
        <v>29.740553999999999</v>
      </c>
      <c r="N2495" t="s">
        <v>4240</v>
      </c>
      <c r="O2495" t="s">
        <v>463</v>
      </c>
    </row>
    <row r="2496" spans="1:15" x14ac:dyDescent="0.3">
      <c r="A2496">
        <v>215460</v>
      </c>
      <c r="B2496">
        <v>116</v>
      </c>
      <c r="C2496" t="s">
        <v>568</v>
      </c>
      <c r="D2496" t="s">
        <v>2340</v>
      </c>
      <c r="E2496" t="s">
        <v>2912</v>
      </c>
      <c r="F2496" s="452">
        <v>46085</v>
      </c>
      <c r="G2496">
        <v>20661</v>
      </c>
      <c r="H2496" t="s">
        <v>3919</v>
      </c>
      <c r="I2496" t="s">
        <v>3469</v>
      </c>
      <c r="J2496">
        <v>2</v>
      </c>
      <c r="K2496" t="s">
        <v>3872</v>
      </c>
      <c r="L2496">
        <v>17.18</v>
      </c>
      <c r="M2496">
        <v>8.59</v>
      </c>
      <c r="N2496" t="s">
        <v>4240</v>
      </c>
      <c r="O2496" t="s">
        <v>463</v>
      </c>
    </row>
    <row r="2497" spans="1:15" x14ac:dyDescent="0.3">
      <c r="A2497">
        <v>215460</v>
      </c>
      <c r="B2497">
        <v>116</v>
      </c>
      <c r="C2497" t="s">
        <v>568</v>
      </c>
      <c r="D2497" t="s">
        <v>2340</v>
      </c>
      <c r="E2497" t="s">
        <v>2912</v>
      </c>
      <c r="F2497" s="452">
        <v>46085</v>
      </c>
      <c r="G2497">
        <v>20984</v>
      </c>
      <c r="H2497" t="s">
        <v>4235</v>
      </c>
      <c r="I2497" t="s">
        <v>3469</v>
      </c>
      <c r="J2497">
        <v>12</v>
      </c>
      <c r="K2497" t="s">
        <v>3931</v>
      </c>
      <c r="L2497">
        <v>91.32</v>
      </c>
      <c r="M2497">
        <v>7.61</v>
      </c>
      <c r="N2497" t="s">
        <v>4240</v>
      </c>
      <c r="O2497" t="s">
        <v>463</v>
      </c>
    </row>
    <row r="2498" spans="1:15" x14ac:dyDescent="0.3">
      <c r="A2498">
        <v>215458</v>
      </c>
      <c r="B2498">
        <v>116</v>
      </c>
      <c r="C2498" t="s">
        <v>568</v>
      </c>
      <c r="D2498" t="s">
        <v>2262</v>
      </c>
      <c r="E2498" t="s">
        <v>2913</v>
      </c>
      <c r="F2498" s="452">
        <v>46085</v>
      </c>
      <c r="G2498">
        <v>24259</v>
      </c>
      <c r="H2498" t="s">
        <v>3895</v>
      </c>
      <c r="I2498" t="s">
        <v>3469</v>
      </c>
      <c r="J2498">
        <v>20.2</v>
      </c>
      <c r="K2498" t="s">
        <v>3892</v>
      </c>
      <c r="L2498">
        <v>1573.58</v>
      </c>
      <c r="M2498">
        <v>77.900000000000006</v>
      </c>
      <c r="N2498" t="s">
        <v>4240</v>
      </c>
      <c r="O2498" t="s">
        <v>463</v>
      </c>
    </row>
    <row r="2499" spans="1:15" x14ac:dyDescent="0.3">
      <c r="A2499">
        <v>215458</v>
      </c>
      <c r="B2499">
        <v>116</v>
      </c>
      <c r="C2499" t="s">
        <v>568</v>
      </c>
      <c r="D2499" t="s">
        <v>2262</v>
      </c>
      <c r="E2499" t="s">
        <v>2913</v>
      </c>
      <c r="F2499" s="452">
        <v>46085</v>
      </c>
      <c r="G2499">
        <v>18818</v>
      </c>
      <c r="H2499" t="s">
        <v>3916</v>
      </c>
      <c r="I2499" t="s">
        <v>3469</v>
      </c>
      <c r="J2499">
        <v>11.5</v>
      </c>
      <c r="K2499" t="s">
        <v>3892</v>
      </c>
      <c r="L2499">
        <v>377.2</v>
      </c>
      <c r="M2499">
        <v>32.799999999999997</v>
      </c>
      <c r="N2499" t="s">
        <v>4240</v>
      </c>
      <c r="O2499" t="s">
        <v>463</v>
      </c>
    </row>
    <row r="2500" spans="1:15" x14ac:dyDescent="0.3">
      <c r="A2500">
        <v>215458</v>
      </c>
      <c r="B2500">
        <v>116</v>
      </c>
      <c r="C2500" t="s">
        <v>568</v>
      </c>
      <c r="D2500" t="s">
        <v>2262</v>
      </c>
      <c r="E2500" t="s">
        <v>2913</v>
      </c>
      <c r="F2500" s="452">
        <v>46085</v>
      </c>
      <c r="G2500">
        <v>24402</v>
      </c>
      <c r="H2500" t="s">
        <v>3896</v>
      </c>
      <c r="I2500" t="s">
        <v>3469</v>
      </c>
      <c r="J2500">
        <v>16.399999999999999</v>
      </c>
      <c r="K2500" t="s">
        <v>3892</v>
      </c>
      <c r="L2500">
        <v>621.55999999999995</v>
      </c>
      <c r="M2500">
        <v>37.9</v>
      </c>
      <c r="N2500" t="s">
        <v>4240</v>
      </c>
      <c r="O2500" t="s">
        <v>463</v>
      </c>
    </row>
    <row r="2501" spans="1:15" x14ac:dyDescent="0.3">
      <c r="A2501">
        <v>215458</v>
      </c>
      <c r="B2501">
        <v>116</v>
      </c>
      <c r="C2501" t="s">
        <v>568</v>
      </c>
      <c r="D2501" t="s">
        <v>2262</v>
      </c>
      <c r="E2501" t="s">
        <v>2913</v>
      </c>
      <c r="F2501" s="452">
        <v>46085</v>
      </c>
      <c r="G2501">
        <v>24339</v>
      </c>
      <c r="H2501" t="s">
        <v>4119</v>
      </c>
      <c r="I2501" t="s">
        <v>3469</v>
      </c>
      <c r="J2501">
        <v>2.5</v>
      </c>
      <c r="K2501" t="s">
        <v>3892</v>
      </c>
      <c r="L2501">
        <v>82</v>
      </c>
      <c r="M2501">
        <v>32.799999999999997</v>
      </c>
      <c r="N2501" t="s">
        <v>4240</v>
      </c>
      <c r="O2501" t="s">
        <v>463</v>
      </c>
    </row>
    <row r="2502" spans="1:15" x14ac:dyDescent="0.3">
      <c r="A2502">
        <v>215458</v>
      </c>
      <c r="B2502">
        <v>116</v>
      </c>
      <c r="C2502" t="s">
        <v>568</v>
      </c>
      <c r="D2502" t="s">
        <v>2262</v>
      </c>
      <c r="E2502" t="s">
        <v>2913</v>
      </c>
      <c r="F2502" s="452">
        <v>46085</v>
      </c>
      <c r="G2502">
        <v>24320</v>
      </c>
      <c r="H2502" t="s">
        <v>4160</v>
      </c>
      <c r="I2502" t="s">
        <v>3469</v>
      </c>
      <c r="J2502">
        <v>15.4</v>
      </c>
      <c r="K2502" t="s">
        <v>3892</v>
      </c>
      <c r="L2502">
        <v>552.86</v>
      </c>
      <c r="M2502">
        <v>35.9</v>
      </c>
      <c r="N2502" t="s">
        <v>4240</v>
      </c>
      <c r="O2502" t="s">
        <v>463</v>
      </c>
    </row>
    <row r="2503" spans="1:15" x14ac:dyDescent="0.3">
      <c r="A2503">
        <v>215458</v>
      </c>
      <c r="B2503">
        <v>116</v>
      </c>
      <c r="C2503" t="s">
        <v>568</v>
      </c>
      <c r="D2503" t="s">
        <v>2262</v>
      </c>
      <c r="E2503" t="s">
        <v>2913</v>
      </c>
      <c r="F2503" s="452">
        <v>46085</v>
      </c>
      <c r="G2503">
        <v>19017</v>
      </c>
      <c r="H2503" t="s">
        <v>4172</v>
      </c>
      <c r="I2503" t="s">
        <v>3469</v>
      </c>
      <c r="J2503">
        <v>5.6</v>
      </c>
      <c r="K2503" t="s">
        <v>4354</v>
      </c>
      <c r="L2503">
        <v>83.94</v>
      </c>
      <c r="M2503">
        <v>14.989286</v>
      </c>
      <c r="N2503" t="s">
        <v>4240</v>
      </c>
      <c r="O2503" t="s">
        <v>463</v>
      </c>
    </row>
    <row r="2504" spans="1:15" x14ac:dyDescent="0.3">
      <c r="A2504">
        <v>215454</v>
      </c>
      <c r="B2504">
        <v>116</v>
      </c>
      <c r="C2504" t="s">
        <v>568</v>
      </c>
      <c r="D2504" t="s">
        <v>2262</v>
      </c>
      <c r="E2504" t="s">
        <v>2914</v>
      </c>
      <c r="F2504" s="452">
        <v>46077</v>
      </c>
      <c r="G2504">
        <v>24259</v>
      </c>
      <c r="H2504" t="s">
        <v>3895</v>
      </c>
      <c r="I2504" t="s">
        <v>3469</v>
      </c>
      <c r="J2504">
        <v>16.399999999999999</v>
      </c>
      <c r="K2504" t="s">
        <v>3892</v>
      </c>
      <c r="L2504">
        <v>1277.56</v>
      </c>
      <c r="M2504">
        <v>77.900000000000006</v>
      </c>
      <c r="N2504" t="s">
        <v>4240</v>
      </c>
      <c r="O2504" t="s">
        <v>462</v>
      </c>
    </row>
    <row r="2505" spans="1:15" x14ac:dyDescent="0.3">
      <c r="A2505">
        <v>215454</v>
      </c>
      <c r="B2505">
        <v>116</v>
      </c>
      <c r="C2505" t="s">
        <v>568</v>
      </c>
      <c r="D2505" t="s">
        <v>2262</v>
      </c>
      <c r="E2505" t="s">
        <v>2914</v>
      </c>
      <c r="F2505" s="452">
        <v>46077</v>
      </c>
      <c r="G2505">
        <v>18832</v>
      </c>
      <c r="H2505" t="s">
        <v>3900</v>
      </c>
      <c r="I2505" t="s">
        <v>3469</v>
      </c>
      <c r="J2505">
        <v>15.6</v>
      </c>
      <c r="K2505" t="s">
        <v>3892</v>
      </c>
      <c r="L2505">
        <v>653.64</v>
      </c>
      <c r="M2505">
        <v>41.9</v>
      </c>
      <c r="N2505" t="s">
        <v>4240</v>
      </c>
      <c r="O2505" t="s">
        <v>462</v>
      </c>
    </row>
    <row r="2506" spans="1:15" x14ac:dyDescent="0.3">
      <c r="A2506">
        <v>215454</v>
      </c>
      <c r="B2506">
        <v>116</v>
      </c>
      <c r="C2506" t="s">
        <v>568</v>
      </c>
      <c r="D2506" t="s">
        <v>2262</v>
      </c>
      <c r="E2506" t="s">
        <v>2914</v>
      </c>
      <c r="F2506" s="452">
        <v>46077</v>
      </c>
      <c r="G2506">
        <v>18818</v>
      </c>
      <c r="H2506" t="s">
        <v>3916</v>
      </c>
      <c r="I2506" t="s">
        <v>3469</v>
      </c>
      <c r="J2506">
        <v>10.7</v>
      </c>
      <c r="K2506" t="s">
        <v>3892</v>
      </c>
      <c r="L2506">
        <v>350.96</v>
      </c>
      <c r="M2506">
        <v>32.799999999999997</v>
      </c>
      <c r="N2506" t="s">
        <v>4240</v>
      </c>
      <c r="O2506" t="s">
        <v>462</v>
      </c>
    </row>
    <row r="2507" spans="1:15" x14ac:dyDescent="0.3">
      <c r="A2507">
        <v>215454</v>
      </c>
      <c r="B2507">
        <v>116</v>
      </c>
      <c r="C2507" t="s">
        <v>568</v>
      </c>
      <c r="D2507" t="s">
        <v>2262</v>
      </c>
      <c r="E2507" t="s">
        <v>2914</v>
      </c>
      <c r="F2507" s="452">
        <v>46077</v>
      </c>
      <c r="G2507">
        <v>24402</v>
      </c>
      <c r="H2507" t="s">
        <v>3896</v>
      </c>
      <c r="I2507" t="s">
        <v>3469</v>
      </c>
      <c r="J2507">
        <v>11.9</v>
      </c>
      <c r="K2507" t="s">
        <v>3892</v>
      </c>
      <c r="L2507">
        <v>442.68</v>
      </c>
      <c r="M2507">
        <v>37.200000000000003</v>
      </c>
      <c r="N2507" t="s">
        <v>4240</v>
      </c>
      <c r="O2507" t="s">
        <v>462</v>
      </c>
    </row>
    <row r="2508" spans="1:15" x14ac:dyDescent="0.3">
      <c r="A2508">
        <v>215454</v>
      </c>
      <c r="B2508">
        <v>116</v>
      </c>
      <c r="C2508" t="s">
        <v>568</v>
      </c>
      <c r="D2508" t="s">
        <v>2262</v>
      </c>
      <c r="E2508" t="s">
        <v>2914</v>
      </c>
      <c r="F2508" s="452">
        <v>46077</v>
      </c>
      <c r="G2508">
        <v>24320</v>
      </c>
      <c r="H2508" t="s">
        <v>4160</v>
      </c>
      <c r="I2508" t="s">
        <v>3469</v>
      </c>
      <c r="J2508">
        <v>16.399999999999999</v>
      </c>
      <c r="K2508" t="s">
        <v>3892</v>
      </c>
      <c r="L2508">
        <v>587.12</v>
      </c>
      <c r="M2508">
        <v>35.799999999999997</v>
      </c>
      <c r="N2508" t="s">
        <v>4240</v>
      </c>
      <c r="O2508" t="s">
        <v>462</v>
      </c>
    </row>
    <row r="2509" spans="1:15" x14ac:dyDescent="0.3">
      <c r="A2509">
        <v>215454</v>
      </c>
      <c r="B2509">
        <v>116</v>
      </c>
      <c r="C2509" t="s">
        <v>568</v>
      </c>
      <c r="D2509" t="s">
        <v>2262</v>
      </c>
      <c r="E2509" t="s">
        <v>2914</v>
      </c>
      <c r="F2509" s="452">
        <v>46077</v>
      </c>
      <c r="G2509">
        <v>24116</v>
      </c>
      <c r="H2509" t="s">
        <v>3963</v>
      </c>
      <c r="I2509" t="s">
        <v>3469</v>
      </c>
      <c r="J2509">
        <v>5</v>
      </c>
      <c r="K2509" t="s">
        <v>3892</v>
      </c>
      <c r="L2509">
        <v>209.5</v>
      </c>
      <c r="M2509">
        <v>41.9</v>
      </c>
      <c r="N2509" t="s">
        <v>4240</v>
      </c>
      <c r="O2509" t="s">
        <v>462</v>
      </c>
    </row>
    <row r="2510" spans="1:15" x14ac:dyDescent="0.3">
      <c r="A2510">
        <v>215454</v>
      </c>
      <c r="B2510">
        <v>116</v>
      </c>
      <c r="C2510" t="s">
        <v>568</v>
      </c>
      <c r="D2510" t="s">
        <v>2262</v>
      </c>
      <c r="E2510" t="s">
        <v>2914</v>
      </c>
      <c r="F2510" s="452">
        <v>46077</v>
      </c>
      <c r="G2510">
        <v>24339</v>
      </c>
      <c r="H2510" t="s">
        <v>4119</v>
      </c>
      <c r="I2510" t="s">
        <v>3469</v>
      </c>
      <c r="J2510">
        <v>2.5</v>
      </c>
      <c r="K2510" t="s">
        <v>3892</v>
      </c>
      <c r="L2510">
        <v>82</v>
      </c>
      <c r="M2510">
        <v>32.799999999999997</v>
      </c>
      <c r="N2510" t="s">
        <v>4240</v>
      </c>
      <c r="O2510" t="s">
        <v>462</v>
      </c>
    </row>
    <row r="2511" spans="1:15" x14ac:dyDescent="0.3">
      <c r="A2511">
        <v>215452</v>
      </c>
      <c r="B2511">
        <v>116</v>
      </c>
      <c r="C2511" t="s">
        <v>568</v>
      </c>
      <c r="D2511" t="s">
        <v>2379</v>
      </c>
      <c r="E2511" t="s">
        <v>2915</v>
      </c>
      <c r="F2511" s="452">
        <v>46077</v>
      </c>
      <c r="G2511">
        <v>18450</v>
      </c>
      <c r="H2511" t="s">
        <v>4253</v>
      </c>
      <c r="I2511" t="s">
        <v>3497</v>
      </c>
      <c r="J2511">
        <v>60</v>
      </c>
      <c r="K2511" t="s">
        <v>3878</v>
      </c>
      <c r="L2511">
        <v>2280</v>
      </c>
      <c r="M2511">
        <v>38</v>
      </c>
      <c r="N2511" t="s">
        <v>4276</v>
      </c>
      <c r="O2511" t="s">
        <v>462</v>
      </c>
    </row>
    <row r="2512" spans="1:15" x14ac:dyDescent="0.3">
      <c r="A2512">
        <v>215450</v>
      </c>
      <c r="B2512">
        <v>116</v>
      </c>
      <c r="C2512" t="s">
        <v>568</v>
      </c>
      <c r="D2512" t="s">
        <v>2265</v>
      </c>
      <c r="E2512" t="s">
        <v>2916</v>
      </c>
      <c r="F2512" s="452">
        <v>46084</v>
      </c>
      <c r="G2512">
        <v>17405</v>
      </c>
      <c r="H2512" t="s">
        <v>4251</v>
      </c>
      <c r="I2512" t="s">
        <v>4199</v>
      </c>
      <c r="J2512">
        <v>1</v>
      </c>
      <c r="K2512" t="s">
        <v>3872</v>
      </c>
      <c r="L2512">
        <v>9.26</v>
      </c>
      <c r="M2512">
        <v>9.26</v>
      </c>
      <c r="N2512" t="s">
        <v>2176</v>
      </c>
      <c r="O2512" t="s">
        <v>463</v>
      </c>
    </row>
    <row r="2513" spans="1:15" x14ac:dyDescent="0.3">
      <c r="A2513">
        <v>215450</v>
      </c>
      <c r="B2513">
        <v>116</v>
      </c>
      <c r="C2513" t="s">
        <v>568</v>
      </c>
      <c r="D2513" t="s">
        <v>2265</v>
      </c>
      <c r="E2513" t="s">
        <v>2916</v>
      </c>
      <c r="F2513" s="452">
        <v>46084</v>
      </c>
      <c r="G2513">
        <v>17129</v>
      </c>
      <c r="H2513" t="s">
        <v>4200</v>
      </c>
      <c r="I2513" t="s">
        <v>4199</v>
      </c>
      <c r="J2513">
        <v>1</v>
      </c>
      <c r="K2513" t="s">
        <v>3888</v>
      </c>
      <c r="L2513">
        <v>26.61</v>
      </c>
      <c r="M2513">
        <v>26.61</v>
      </c>
      <c r="N2513" t="s">
        <v>2176</v>
      </c>
      <c r="O2513" t="s">
        <v>463</v>
      </c>
    </row>
    <row r="2514" spans="1:15" x14ac:dyDescent="0.3">
      <c r="A2514">
        <v>215450</v>
      </c>
      <c r="B2514">
        <v>116</v>
      </c>
      <c r="C2514" t="s">
        <v>568</v>
      </c>
      <c r="D2514" t="s">
        <v>2265</v>
      </c>
      <c r="E2514" t="s">
        <v>2916</v>
      </c>
      <c r="F2514" s="452">
        <v>46084</v>
      </c>
      <c r="G2514">
        <v>17437</v>
      </c>
      <c r="H2514" t="s">
        <v>4198</v>
      </c>
      <c r="I2514" t="s">
        <v>4199</v>
      </c>
      <c r="J2514">
        <v>10</v>
      </c>
      <c r="K2514" t="s">
        <v>3872</v>
      </c>
      <c r="L2514">
        <v>23</v>
      </c>
      <c r="M2514">
        <v>2.2999999999999998</v>
      </c>
      <c r="N2514" t="s">
        <v>2176</v>
      </c>
      <c r="O2514" t="s">
        <v>463</v>
      </c>
    </row>
    <row r="2515" spans="1:15" x14ac:dyDescent="0.3">
      <c r="A2515">
        <v>215450</v>
      </c>
      <c r="B2515">
        <v>116</v>
      </c>
      <c r="C2515" t="s">
        <v>568</v>
      </c>
      <c r="D2515" t="s">
        <v>2265</v>
      </c>
      <c r="E2515" t="s">
        <v>2916</v>
      </c>
      <c r="F2515" s="452">
        <v>46084</v>
      </c>
      <c r="G2515">
        <v>17185</v>
      </c>
      <c r="H2515" t="s">
        <v>4210</v>
      </c>
      <c r="I2515" t="s">
        <v>4199</v>
      </c>
      <c r="J2515">
        <v>1</v>
      </c>
      <c r="K2515" t="s">
        <v>3978</v>
      </c>
      <c r="L2515">
        <v>15.95</v>
      </c>
      <c r="M2515">
        <v>15.95</v>
      </c>
      <c r="N2515" t="s">
        <v>2176</v>
      </c>
      <c r="O2515" t="s">
        <v>463</v>
      </c>
    </row>
    <row r="2516" spans="1:15" x14ac:dyDescent="0.3">
      <c r="A2516">
        <v>215450</v>
      </c>
      <c r="B2516">
        <v>116</v>
      </c>
      <c r="C2516" t="s">
        <v>568</v>
      </c>
      <c r="D2516" t="s">
        <v>2265</v>
      </c>
      <c r="E2516" t="s">
        <v>2916</v>
      </c>
      <c r="F2516" s="452">
        <v>46084</v>
      </c>
      <c r="G2516">
        <v>17119</v>
      </c>
      <c r="H2516" t="s">
        <v>4244</v>
      </c>
      <c r="I2516" t="s">
        <v>4199</v>
      </c>
      <c r="J2516">
        <v>1</v>
      </c>
      <c r="K2516" t="s">
        <v>3872</v>
      </c>
      <c r="L2516">
        <v>9.5399999999999991</v>
      </c>
      <c r="M2516">
        <v>9.5399999999999991</v>
      </c>
      <c r="N2516" t="s">
        <v>2176</v>
      </c>
      <c r="O2516" t="s">
        <v>463</v>
      </c>
    </row>
    <row r="2517" spans="1:15" x14ac:dyDescent="0.3">
      <c r="A2517">
        <v>215450</v>
      </c>
      <c r="B2517">
        <v>116</v>
      </c>
      <c r="C2517" t="s">
        <v>568</v>
      </c>
      <c r="D2517" t="s">
        <v>2265</v>
      </c>
      <c r="E2517" t="s">
        <v>2916</v>
      </c>
      <c r="F2517" s="452">
        <v>46084</v>
      </c>
      <c r="G2517">
        <v>17455</v>
      </c>
      <c r="H2517" t="s">
        <v>4231</v>
      </c>
      <c r="I2517" t="s">
        <v>4199</v>
      </c>
      <c r="J2517">
        <v>2</v>
      </c>
      <c r="K2517" t="s">
        <v>3872</v>
      </c>
      <c r="L2517">
        <v>70.540000000000006</v>
      </c>
      <c r="M2517">
        <v>35.270000000000003</v>
      </c>
      <c r="N2517" t="s">
        <v>2176</v>
      </c>
      <c r="O2517" t="s">
        <v>463</v>
      </c>
    </row>
    <row r="2518" spans="1:15" x14ac:dyDescent="0.3">
      <c r="A2518">
        <v>215450</v>
      </c>
      <c r="B2518">
        <v>116</v>
      </c>
      <c r="C2518" t="s">
        <v>568</v>
      </c>
      <c r="D2518" t="s">
        <v>2265</v>
      </c>
      <c r="E2518" t="s">
        <v>2916</v>
      </c>
      <c r="F2518" s="452">
        <v>46084</v>
      </c>
      <c r="G2518">
        <v>17314</v>
      </c>
      <c r="H2518" t="s">
        <v>4204</v>
      </c>
      <c r="I2518" t="s">
        <v>4199</v>
      </c>
      <c r="J2518">
        <v>3</v>
      </c>
      <c r="K2518" t="s">
        <v>3978</v>
      </c>
      <c r="L2518">
        <v>17.670000000000002</v>
      </c>
      <c r="M2518">
        <v>5.89</v>
      </c>
      <c r="N2518" t="s">
        <v>2176</v>
      </c>
      <c r="O2518" t="s">
        <v>463</v>
      </c>
    </row>
    <row r="2519" spans="1:15" x14ac:dyDescent="0.3">
      <c r="A2519">
        <v>215450</v>
      </c>
      <c r="B2519">
        <v>116</v>
      </c>
      <c r="C2519" t="s">
        <v>568</v>
      </c>
      <c r="D2519" t="s">
        <v>2265</v>
      </c>
      <c r="E2519" t="s">
        <v>2916</v>
      </c>
      <c r="F2519" s="452">
        <v>46084</v>
      </c>
      <c r="G2519">
        <v>17342</v>
      </c>
      <c r="H2519" t="s">
        <v>4208</v>
      </c>
      <c r="I2519" t="s">
        <v>4199</v>
      </c>
      <c r="J2519">
        <v>1</v>
      </c>
      <c r="K2519" t="s">
        <v>3931</v>
      </c>
      <c r="L2519">
        <v>34.229999999999997</v>
      </c>
      <c r="M2519">
        <v>34.229999999999997</v>
      </c>
      <c r="N2519" t="s">
        <v>2176</v>
      </c>
      <c r="O2519" t="s">
        <v>463</v>
      </c>
    </row>
    <row r="2520" spans="1:15" x14ac:dyDescent="0.3">
      <c r="A2520">
        <v>215450</v>
      </c>
      <c r="B2520">
        <v>116</v>
      </c>
      <c r="C2520" t="s">
        <v>568</v>
      </c>
      <c r="D2520" t="s">
        <v>2265</v>
      </c>
      <c r="E2520" t="s">
        <v>2916</v>
      </c>
      <c r="F2520" s="452">
        <v>46084</v>
      </c>
      <c r="G2520">
        <v>17404</v>
      </c>
      <c r="H2520" t="s">
        <v>4282</v>
      </c>
      <c r="I2520" t="s">
        <v>4199</v>
      </c>
      <c r="J2520">
        <v>1</v>
      </c>
      <c r="K2520" t="s">
        <v>3872</v>
      </c>
      <c r="L2520">
        <v>18.43</v>
      </c>
      <c r="M2520">
        <v>18.43</v>
      </c>
      <c r="N2520" t="s">
        <v>2176</v>
      </c>
      <c r="O2520" t="s">
        <v>463</v>
      </c>
    </row>
    <row r="2521" spans="1:15" x14ac:dyDescent="0.3">
      <c r="A2521">
        <v>215450</v>
      </c>
      <c r="B2521">
        <v>116</v>
      </c>
      <c r="C2521" t="s">
        <v>568</v>
      </c>
      <c r="D2521" t="s">
        <v>2265</v>
      </c>
      <c r="E2521" t="s">
        <v>2916</v>
      </c>
      <c r="F2521" s="452">
        <v>46084</v>
      </c>
      <c r="G2521">
        <v>17266</v>
      </c>
      <c r="H2521" t="s">
        <v>4229</v>
      </c>
      <c r="I2521" t="s">
        <v>4199</v>
      </c>
      <c r="J2521">
        <v>12</v>
      </c>
      <c r="K2521" t="s">
        <v>3872</v>
      </c>
      <c r="L2521">
        <v>55.8</v>
      </c>
      <c r="M2521">
        <v>4.6500000000000004</v>
      </c>
      <c r="N2521" t="s">
        <v>2176</v>
      </c>
      <c r="O2521" t="s">
        <v>463</v>
      </c>
    </row>
    <row r="2522" spans="1:15" x14ac:dyDescent="0.3">
      <c r="A2522">
        <v>215450</v>
      </c>
      <c r="B2522">
        <v>116</v>
      </c>
      <c r="C2522" t="s">
        <v>568</v>
      </c>
      <c r="D2522" t="s">
        <v>2265</v>
      </c>
      <c r="E2522" t="s">
        <v>2916</v>
      </c>
      <c r="F2522" s="452">
        <v>46084</v>
      </c>
      <c r="G2522">
        <v>17215</v>
      </c>
      <c r="H2522" t="s">
        <v>4283</v>
      </c>
      <c r="I2522" t="s">
        <v>4199</v>
      </c>
      <c r="J2522">
        <v>4</v>
      </c>
      <c r="K2522" t="s">
        <v>3978</v>
      </c>
      <c r="L2522">
        <v>79.959999999999994</v>
      </c>
      <c r="M2522">
        <v>19.989999999999998</v>
      </c>
      <c r="N2522" t="s">
        <v>2176</v>
      </c>
      <c r="O2522" t="s">
        <v>463</v>
      </c>
    </row>
    <row r="2523" spans="1:15" x14ac:dyDescent="0.3">
      <c r="A2523">
        <v>215450</v>
      </c>
      <c r="B2523">
        <v>116</v>
      </c>
      <c r="C2523" t="s">
        <v>568</v>
      </c>
      <c r="D2523" t="s">
        <v>2265</v>
      </c>
      <c r="E2523" t="s">
        <v>2916</v>
      </c>
      <c r="F2523" s="452">
        <v>46084</v>
      </c>
      <c r="G2523">
        <v>17230</v>
      </c>
      <c r="H2523" t="s">
        <v>4281</v>
      </c>
      <c r="I2523" t="s">
        <v>4199</v>
      </c>
      <c r="J2523">
        <v>1</v>
      </c>
      <c r="K2523" t="s">
        <v>3872</v>
      </c>
      <c r="L2523">
        <v>38.89</v>
      </c>
      <c r="M2523">
        <v>38.89</v>
      </c>
      <c r="N2523" t="s">
        <v>2176</v>
      </c>
      <c r="O2523" t="s">
        <v>463</v>
      </c>
    </row>
    <row r="2524" spans="1:15" x14ac:dyDescent="0.3">
      <c r="A2524">
        <v>215450</v>
      </c>
      <c r="B2524">
        <v>116</v>
      </c>
      <c r="C2524" t="s">
        <v>568</v>
      </c>
      <c r="D2524" t="s">
        <v>2265</v>
      </c>
      <c r="E2524" t="s">
        <v>2916</v>
      </c>
      <c r="F2524" s="452">
        <v>46084</v>
      </c>
      <c r="G2524">
        <v>26928</v>
      </c>
      <c r="H2524" t="s">
        <v>4357</v>
      </c>
      <c r="I2524" t="s">
        <v>4199</v>
      </c>
      <c r="J2524">
        <v>1</v>
      </c>
      <c r="K2524" t="s">
        <v>3872</v>
      </c>
      <c r="L2524">
        <v>9.5399999999999991</v>
      </c>
      <c r="M2524">
        <v>9.5399999999999991</v>
      </c>
      <c r="N2524" t="s">
        <v>2176</v>
      </c>
      <c r="O2524" t="s">
        <v>463</v>
      </c>
    </row>
    <row r="2525" spans="1:15" x14ac:dyDescent="0.3">
      <c r="A2525">
        <v>215450</v>
      </c>
      <c r="B2525">
        <v>116</v>
      </c>
      <c r="C2525" t="s">
        <v>568</v>
      </c>
      <c r="D2525" t="s">
        <v>2265</v>
      </c>
      <c r="E2525" t="s">
        <v>2916</v>
      </c>
      <c r="F2525" s="452">
        <v>46084</v>
      </c>
      <c r="G2525">
        <v>17362</v>
      </c>
      <c r="H2525" t="s">
        <v>4278</v>
      </c>
      <c r="I2525" t="s">
        <v>4199</v>
      </c>
      <c r="J2525">
        <v>2</v>
      </c>
      <c r="K2525" t="s">
        <v>3888</v>
      </c>
      <c r="L2525">
        <v>99.94</v>
      </c>
      <c r="M2525">
        <v>49.97</v>
      </c>
      <c r="N2525" t="s">
        <v>2176</v>
      </c>
      <c r="O2525" t="s">
        <v>463</v>
      </c>
    </row>
    <row r="2526" spans="1:15" x14ac:dyDescent="0.3">
      <c r="A2526">
        <v>215450</v>
      </c>
      <c r="B2526">
        <v>116</v>
      </c>
      <c r="C2526" t="s">
        <v>568</v>
      </c>
      <c r="D2526" t="s">
        <v>2265</v>
      </c>
      <c r="E2526" t="s">
        <v>2916</v>
      </c>
      <c r="F2526" s="452">
        <v>46084</v>
      </c>
      <c r="G2526">
        <v>17416</v>
      </c>
      <c r="H2526" t="s">
        <v>4205</v>
      </c>
      <c r="I2526" t="s">
        <v>4199</v>
      </c>
      <c r="J2526">
        <v>4</v>
      </c>
      <c r="K2526" t="s">
        <v>3881</v>
      </c>
      <c r="L2526">
        <v>194.32</v>
      </c>
      <c r="M2526">
        <v>48.58</v>
      </c>
      <c r="N2526" t="s">
        <v>2176</v>
      </c>
      <c r="O2526" t="s">
        <v>463</v>
      </c>
    </row>
    <row r="2527" spans="1:15" x14ac:dyDescent="0.3">
      <c r="A2527">
        <v>215450</v>
      </c>
      <c r="B2527">
        <v>116</v>
      </c>
      <c r="C2527" t="s">
        <v>568</v>
      </c>
      <c r="D2527" t="s">
        <v>2265</v>
      </c>
      <c r="E2527" t="s">
        <v>2916</v>
      </c>
      <c r="F2527" s="452">
        <v>46084</v>
      </c>
      <c r="G2527">
        <v>17381</v>
      </c>
      <c r="H2527" t="s">
        <v>4247</v>
      </c>
      <c r="I2527" t="s">
        <v>4199</v>
      </c>
      <c r="J2527">
        <v>1</v>
      </c>
      <c r="K2527" t="s">
        <v>3872</v>
      </c>
      <c r="L2527">
        <v>38.89</v>
      </c>
      <c r="M2527">
        <v>38.89</v>
      </c>
      <c r="N2527" t="s">
        <v>2176</v>
      </c>
      <c r="O2527" t="s">
        <v>463</v>
      </c>
    </row>
    <row r="2528" spans="1:15" x14ac:dyDescent="0.3">
      <c r="A2528">
        <v>215450</v>
      </c>
      <c r="B2528">
        <v>116</v>
      </c>
      <c r="C2528" t="s">
        <v>568</v>
      </c>
      <c r="D2528" t="s">
        <v>2265</v>
      </c>
      <c r="E2528" t="s">
        <v>2916</v>
      </c>
      <c r="F2528" s="452">
        <v>46084</v>
      </c>
      <c r="G2528">
        <v>28297</v>
      </c>
      <c r="H2528" t="s">
        <v>4358</v>
      </c>
      <c r="I2528" t="s">
        <v>4199</v>
      </c>
      <c r="J2528">
        <v>1</v>
      </c>
      <c r="K2528" t="s">
        <v>3888</v>
      </c>
      <c r="L2528">
        <v>112.64</v>
      </c>
      <c r="M2528">
        <v>112.64</v>
      </c>
      <c r="N2528" t="s">
        <v>2176</v>
      </c>
      <c r="O2528" t="s">
        <v>463</v>
      </c>
    </row>
    <row r="2529" spans="1:15" x14ac:dyDescent="0.3">
      <c r="A2529">
        <v>215445</v>
      </c>
      <c r="B2529">
        <v>116</v>
      </c>
      <c r="C2529" t="s">
        <v>568</v>
      </c>
      <c r="D2529" t="s">
        <v>2271</v>
      </c>
      <c r="E2529" t="s">
        <v>2917</v>
      </c>
      <c r="F2529" s="452">
        <v>46084</v>
      </c>
      <c r="G2529">
        <v>18172</v>
      </c>
      <c r="H2529" t="s">
        <v>3923</v>
      </c>
      <c r="I2529" t="s">
        <v>3497</v>
      </c>
      <c r="J2529">
        <v>6</v>
      </c>
      <c r="K2529" t="s">
        <v>3878</v>
      </c>
      <c r="L2529">
        <v>188.4</v>
      </c>
      <c r="M2529">
        <v>31.4</v>
      </c>
      <c r="N2529" t="s">
        <v>4276</v>
      </c>
      <c r="O2529" t="s">
        <v>463</v>
      </c>
    </row>
    <row r="2530" spans="1:15" x14ac:dyDescent="0.3">
      <c r="A2530">
        <v>215331</v>
      </c>
      <c r="B2530">
        <v>116</v>
      </c>
      <c r="C2530" t="s">
        <v>568</v>
      </c>
      <c r="D2530" t="s">
        <v>2918</v>
      </c>
      <c r="E2530" t="s">
        <v>2919</v>
      </c>
      <c r="F2530" s="452">
        <v>46080</v>
      </c>
      <c r="G2530">
        <v>26940</v>
      </c>
      <c r="H2530" t="s">
        <v>4359</v>
      </c>
      <c r="I2530" t="s">
        <v>4202</v>
      </c>
      <c r="J2530">
        <v>10</v>
      </c>
      <c r="K2530" t="s">
        <v>3872</v>
      </c>
      <c r="L2530">
        <v>146.9</v>
      </c>
      <c r="M2530">
        <v>14.69</v>
      </c>
      <c r="N2530" t="s">
        <v>4360</v>
      </c>
      <c r="O2530" t="s">
        <v>462</v>
      </c>
    </row>
    <row r="2531" spans="1:15" x14ac:dyDescent="0.3">
      <c r="A2531">
        <v>215331</v>
      </c>
      <c r="B2531">
        <v>116</v>
      </c>
      <c r="C2531" t="s">
        <v>568</v>
      </c>
      <c r="D2531" t="s">
        <v>2918</v>
      </c>
      <c r="E2531" t="s">
        <v>2919</v>
      </c>
      <c r="F2531" s="452">
        <v>46080</v>
      </c>
      <c r="G2531">
        <v>28862</v>
      </c>
      <c r="H2531" t="s">
        <v>4361</v>
      </c>
      <c r="I2531" t="s">
        <v>4202</v>
      </c>
      <c r="J2531">
        <v>1.9</v>
      </c>
      <c r="K2531" t="s">
        <v>4203</v>
      </c>
      <c r="L2531">
        <v>239.21</v>
      </c>
      <c r="M2531">
        <v>125.9</v>
      </c>
      <c r="N2531" t="s">
        <v>4360</v>
      </c>
      <c r="O2531" t="s">
        <v>462</v>
      </c>
    </row>
    <row r="2532" spans="1:15" x14ac:dyDescent="0.3">
      <c r="A2532">
        <v>215331</v>
      </c>
      <c r="B2532">
        <v>116</v>
      </c>
      <c r="C2532" t="s">
        <v>568</v>
      </c>
      <c r="D2532" t="s">
        <v>2918</v>
      </c>
      <c r="E2532" t="s">
        <v>2919</v>
      </c>
      <c r="F2532" s="452">
        <v>46080</v>
      </c>
      <c r="G2532">
        <v>28864</v>
      </c>
      <c r="H2532" t="s">
        <v>4362</v>
      </c>
      <c r="I2532" t="s">
        <v>4202</v>
      </c>
      <c r="J2532">
        <v>2</v>
      </c>
      <c r="K2532" t="s">
        <v>4203</v>
      </c>
      <c r="L2532">
        <v>336</v>
      </c>
      <c r="M2532">
        <v>168</v>
      </c>
      <c r="N2532" t="s">
        <v>4360</v>
      </c>
      <c r="O2532" t="s">
        <v>462</v>
      </c>
    </row>
    <row r="2533" spans="1:15" x14ac:dyDescent="0.3">
      <c r="A2533">
        <v>215331</v>
      </c>
      <c r="B2533">
        <v>116</v>
      </c>
      <c r="C2533" t="s">
        <v>568</v>
      </c>
      <c r="D2533" t="s">
        <v>2918</v>
      </c>
      <c r="E2533" t="s">
        <v>2919</v>
      </c>
      <c r="F2533" s="452">
        <v>46080</v>
      </c>
      <c r="G2533">
        <v>28865</v>
      </c>
      <c r="H2533" t="s">
        <v>4363</v>
      </c>
      <c r="I2533" t="s">
        <v>4202</v>
      </c>
      <c r="J2533">
        <v>1</v>
      </c>
      <c r="K2533" t="s">
        <v>4203</v>
      </c>
      <c r="L2533">
        <v>545</v>
      </c>
      <c r="M2533">
        <v>545</v>
      </c>
      <c r="N2533" t="s">
        <v>4360</v>
      </c>
      <c r="O2533" t="s">
        <v>462</v>
      </c>
    </row>
    <row r="2534" spans="1:15" x14ac:dyDescent="0.3">
      <c r="A2534">
        <v>215331</v>
      </c>
      <c r="B2534">
        <v>116</v>
      </c>
      <c r="C2534" t="s">
        <v>568</v>
      </c>
      <c r="D2534" t="s">
        <v>2918</v>
      </c>
      <c r="E2534" t="s">
        <v>2919</v>
      </c>
      <c r="F2534" s="452">
        <v>46080</v>
      </c>
      <c r="G2534">
        <v>28867</v>
      </c>
      <c r="H2534" t="s">
        <v>4364</v>
      </c>
      <c r="I2534" t="s">
        <v>4202</v>
      </c>
      <c r="J2534">
        <v>2</v>
      </c>
      <c r="K2534" t="s">
        <v>4203</v>
      </c>
      <c r="L2534">
        <v>470</v>
      </c>
      <c r="M2534">
        <v>235</v>
      </c>
      <c r="N2534" t="s">
        <v>4360</v>
      </c>
      <c r="O2534" t="s">
        <v>462</v>
      </c>
    </row>
    <row r="2535" spans="1:15" x14ac:dyDescent="0.3">
      <c r="A2535">
        <v>215331</v>
      </c>
      <c r="B2535">
        <v>116</v>
      </c>
      <c r="C2535" t="s">
        <v>568</v>
      </c>
      <c r="D2535" t="s">
        <v>2918</v>
      </c>
      <c r="E2535" t="s">
        <v>2919</v>
      </c>
      <c r="F2535" s="452">
        <v>46080</v>
      </c>
      <c r="G2535">
        <v>28868</v>
      </c>
      <c r="H2535" t="s">
        <v>4365</v>
      </c>
      <c r="I2535" t="s">
        <v>4202</v>
      </c>
      <c r="J2535">
        <v>10</v>
      </c>
      <c r="K2535" t="s">
        <v>4203</v>
      </c>
      <c r="L2535">
        <v>24.8</v>
      </c>
      <c r="M2535">
        <v>2.48</v>
      </c>
      <c r="N2535" t="s">
        <v>4360</v>
      </c>
      <c r="O2535" t="s">
        <v>462</v>
      </c>
    </row>
    <row r="2536" spans="1:15" x14ac:dyDescent="0.3">
      <c r="A2536">
        <v>215331</v>
      </c>
      <c r="B2536">
        <v>116</v>
      </c>
      <c r="C2536" t="s">
        <v>568</v>
      </c>
      <c r="D2536" t="s">
        <v>2918</v>
      </c>
      <c r="E2536" t="s">
        <v>2919</v>
      </c>
      <c r="F2536" s="452">
        <v>46080</v>
      </c>
      <c r="G2536">
        <v>28869</v>
      </c>
      <c r="H2536" t="s">
        <v>4366</v>
      </c>
      <c r="I2536" t="s">
        <v>4202</v>
      </c>
      <c r="J2536">
        <v>10</v>
      </c>
      <c r="K2536" t="s">
        <v>4203</v>
      </c>
      <c r="L2536">
        <v>9</v>
      </c>
      <c r="M2536">
        <v>0.9</v>
      </c>
      <c r="N2536" t="s">
        <v>4360</v>
      </c>
      <c r="O2536" t="s">
        <v>462</v>
      </c>
    </row>
    <row r="2537" spans="1:15" x14ac:dyDescent="0.3">
      <c r="A2537">
        <v>215331</v>
      </c>
      <c r="B2537">
        <v>116</v>
      </c>
      <c r="C2537" t="s">
        <v>568</v>
      </c>
      <c r="D2537" t="s">
        <v>2918</v>
      </c>
      <c r="E2537" t="s">
        <v>2919</v>
      </c>
      <c r="F2537" s="452">
        <v>46080</v>
      </c>
      <c r="G2537">
        <v>28870</v>
      </c>
      <c r="H2537" t="s">
        <v>4367</v>
      </c>
      <c r="I2537" t="s">
        <v>4202</v>
      </c>
      <c r="J2537">
        <v>10</v>
      </c>
      <c r="K2537" t="s">
        <v>4203</v>
      </c>
      <c r="L2537">
        <v>16.899999999999999</v>
      </c>
      <c r="M2537">
        <v>1.69</v>
      </c>
      <c r="N2537" t="s">
        <v>4360</v>
      </c>
      <c r="O2537" t="s">
        <v>462</v>
      </c>
    </row>
    <row r="2538" spans="1:15" x14ac:dyDescent="0.3">
      <c r="A2538">
        <v>215331</v>
      </c>
      <c r="B2538">
        <v>116</v>
      </c>
      <c r="C2538" t="s">
        <v>568</v>
      </c>
      <c r="D2538" t="s">
        <v>2918</v>
      </c>
      <c r="E2538" t="s">
        <v>2919</v>
      </c>
      <c r="F2538" s="452">
        <v>46080</v>
      </c>
      <c r="G2538">
        <v>28871</v>
      </c>
      <c r="H2538" t="s">
        <v>4368</v>
      </c>
      <c r="I2538" t="s">
        <v>4202</v>
      </c>
      <c r="J2538">
        <v>3</v>
      </c>
      <c r="K2538" t="s">
        <v>3892</v>
      </c>
      <c r="L2538">
        <v>395.7</v>
      </c>
      <c r="M2538">
        <v>131.9</v>
      </c>
      <c r="N2538" t="s">
        <v>4360</v>
      </c>
      <c r="O2538" t="s">
        <v>462</v>
      </c>
    </row>
    <row r="2539" spans="1:15" x14ac:dyDescent="0.3">
      <c r="A2539">
        <v>215331</v>
      </c>
      <c r="B2539">
        <v>116</v>
      </c>
      <c r="C2539" t="s">
        <v>568</v>
      </c>
      <c r="D2539" t="s">
        <v>2918</v>
      </c>
      <c r="E2539" t="s">
        <v>2919</v>
      </c>
      <c r="F2539" s="452">
        <v>46080</v>
      </c>
      <c r="G2539">
        <v>28872</v>
      </c>
      <c r="H2539" t="s">
        <v>4369</v>
      </c>
      <c r="I2539" t="s">
        <v>4202</v>
      </c>
      <c r="J2539">
        <v>5</v>
      </c>
      <c r="K2539" t="s">
        <v>4203</v>
      </c>
      <c r="L2539">
        <v>246.8</v>
      </c>
      <c r="M2539">
        <v>49.36</v>
      </c>
      <c r="N2539" t="s">
        <v>4360</v>
      </c>
      <c r="O2539" t="s">
        <v>462</v>
      </c>
    </row>
    <row r="2540" spans="1:15" x14ac:dyDescent="0.3">
      <c r="A2540">
        <v>215331</v>
      </c>
      <c r="B2540">
        <v>116</v>
      </c>
      <c r="C2540" t="s">
        <v>568</v>
      </c>
      <c r="D2540" t="s">
        <v>2918</v>
      </c>
      <c r="E2540" t="s">
        <v>2919</v>
      </c>
      <c r="F2540" s="452">
        <v>46080</v>
      </c>
      <c r="G2540">
        <v>28873</v>
      </c>
      <c r="H2540" t="s">
        <v>4370</v>
      </c>
      <c r="I2540" t="s">
        <v>4202</v>
      </c>
      <c r="J2540">
        <v>13.62</v>
      </c>
      <c r="K2540" t="s">
        <v>3892</v>
      </c>
      <c r="L2540">
        <v>904.64</v>
      </c>
      <c r="M2540">
        <v>66.419971000000004</v>
      </c>
      <c r="N2540" t="s">
        <v>4360</v>
      </c>
      <c r="O2540" t="s">
        <v>462</v>
      </c>
    </row>
    <row r="2541" spans="1:15" x14ac:dyDescent="0.3">
      <c r="A2541">
        <v>215327</v>
      </c>
      <c r="B2541">
        <v>116</v>
      </c>
      <c r="C2541" t="s">
        <v>568</v>
      </c>
      <c r="D2541" t="s">
        <v>2918</v>
      </c>
      <c r="E2541" t="s">
        <v>2920</v>
      </c>
      <c r="F2541" s="452">
        <v>46080</v>
      </c>
      <c r="G2541">
        <v>28862</v>
      </c>
      <c r="H2541" t="s">
        <v>4361</v>
      </c>
      <c r="I2541" t="s">
        <v>4202</v>
      </c>
      <c r="J2541">
        <v>1.9</v>
      </c>
      <c r="K2541" t="s">
        <v>4203</v>
      </c>
      <c r="L2541">
        <v>239.21</v>
      </c>
      <c r="M2541">
        <v>125.9</v>
      </c>
      <c r="N2541" t="s">
        <v>4360</v>
      </c>
      <c r="O2541" t="s">
        <v>462</v>
      </c>
    </row>
    <row r="2542" spans="1:15" x14ac:dyDescent="0.3">
      <c r="A2542">
        <v>215327</v>
      </c>
      <c r="B2542">
        <v>116</v>
      </c>
      <c r="C2542" t="s">
        <v>568</v>
      </c>
      <c r="D2542" t="s">
        <v>2918</v>
      </c>
      <c r="E2542" t="s">
        <v>2920</v>
      </c>
      <c r="F2542" s="452">
        <v>46080</v>
      </c>
      <c r="G2542">
        <v>28864</v>
      </c>
      <c r="H2542" t="s">
        <v>4362</v>
      </c>
      <c r="I2542" t="s">
        <v>4202</v>
      </c>
      <c r="J2542">
        <v>2</v>
      </c>
      <c r="K2542" t="s">
        <v>4203</v>
      </c>
      <c r="L2542">
        <v>336</v>
      </c>
      <c r="M2542">
        <v>168</v>
      </c>
      <c r="N2542" t="s">
        <v>4360</v>
      </c>
      <c r="O2542" t="s">
        <v>462</v>
      </c>
    </row>
    <row r="2543" spans="1:15" x14ac:dyDescent="0.3">
      <c r="A2543">
        <v>215327</v>
      </c>
      <c r="B2543">
        <v>116</v>
      </c>
      <c r="C2543" t="s">
        <v>568</v>
      </c>
      <c r="D2543" t="s">
        <v>2918</v>
      </c>
      <c r="E2543" t="s">
        <v>2920</v>
      </c>
      <c r="F2543" s="452">
        <v>46080</v>
      </c>
      <c r="G2543">
        <v>28865</v>
      </c>
      <c r="H2543" t="s">
        <v>4363</v>
      </c>
      <c r="I2543" t="s">
        <v>4202</v>
      </c>
      <c r="J2543">
        <v>1</v>
      </c>
      <c r="K2543" t="s">
        <v>4203</v>
      </c>
      <c r="L2543">
        <v>545</v>
      </c>
      <c r="M2543">
        <v>545</v>
      </c>
      <c r="N2543" t="s">
        <v>4360</v>
      </c>
      <c r="O2543" t="s">
        <v>462</v>
      </c>
    </row>
    <row r="2544" spans="1:15" x14ac:dyDescent="0.3">
      <c r="A2544">
        <v>215327</v>
      </c>
      <c r="B2544">
        <v>116</v>
      </c>
      <c r="C2544" t="s">
        <v>568</v>
      </c>
      <c r="D2544" t="s">
        <v>2918</v>
      </c>
      <c r="E2544" t="s">
        <v>2920</v>
      </c>
      <c r="F2544" s="452">
        <v>46080</v>
      </c>
      <c r="G2544">
        <v>28866</v>
      </c>
      <c r="H2544" t="s">
        <v>4371</v>
      </c>
      <c r="I2544" t="s">
        <v>4202</v>
      </c>
      <c r="J2544">
        <v>13.62</v>
      </c>
      <c r="K2544" t="s">
        <v>3892</v>
      </c>
      <c r="L2544">
        <v>904.64</v>
      </c>
      <c r="M2544">
        <v>66.419971000000004</v>
      </c>
      <c r="N2544" t="s">
        <v>4360</v>
      </c>
      <c r="O2544" t="s">
        <v>462</v>
      </c>
    </row>
    <row r="2545" spans="1:15" x14ac:dyDescent="0.3">
      <c r="A2545">
        <v>215327</v>
      </c>
      <c r="B2545">
        <v>116</v>
      </c>
      <c r="C2545" t="s">
        <v>568</v>
      </c>
      <c r="D2545" t="s">
        <v>2918</v>
      </c>
      <c r="E2545" t="s">
        <v>2920</v>
      </c>
      <c r="F2545" s="452">
        <v>46080</v>
      </c>
      <c r="G2545">
        <v>28867</v>
      </c>
      <c r="H2545" t="s">
        <v>4364</v>
      </c>
      <c r="I2545" t="s">
        <v>4202</v>
      </c>
      <c r="J2545">
        <v>2</v>
      </c>
      <c r="K2545" t="s">
        <v>4203</v>
      </c>
      <c r="L2545">
        <v>470</v>
      </c>
      <c r="M2545">
        <v>235</v>
      </c>
      <c r="N2545" t="s">
        <v>4360</v>
      </c>
      <c r="O2545" t="s">
        <v>462</v>
      </c>
    </row>
    <row r="2546" spans="1:15" x14ac:dyDescent="0.3">
      <c r="A2546">
        <v>215327</v>
      </c>
      <c r="B2546">
        <v>116</v>
      </c>
      <c r="C2546" t="s">
        <v>568</v>
      </c>
      <c r="D2546" t="s">
        <v>2918</v>
      </c>
      <c r="E2546" t="s">
        <v>2920</v>
      </c>
      <c r="F2546" s="452">
        <v>46080</v>
      </c>
      <c r="G2546">
        <v>28868</v>
      </c>
      <c r="H2546" t="s">
        <v>4365</v>
      </c>
      <c r="I2546" t="s">
        <v>4202</v>
      </c>
      <c r="J2546">
        <v>10</v>
      </c>
      <c r="K2546" t="s">
        <v>4203</v>
      </c>
      <c r="L2546">
        <v>143.19999999999999</v>
      </c>
      <c r="M2546">
        <v>14.32</v>
      </c>
      <c r="N2546" t="s">
        <v>4360</v>
      </c>
      <c r="O2546" t="s">
        <v>462</v>
      </c>
    </row>
    <row r="2547" spans="1:15" x14ac:dyDescent="0.3">
      <c r="A2547">
        <v>215327</v>
      </c>
      <c r="B2547">
        <v>116</v>
      </c>
      <c r="C2547" t="s">
        <v>568</v>
      </c>
      <c r="D2547" t="s">
        <v>2918</v>
      </c>
      <c r="E2547" t="s">
        <v>2920</v>
      </c>
      <c r="F2547" s="452">
        <v>46080</v>
      </c>
      <c r="G2547">
        <v>28869</v>
      </c>
      <c r="H2547" t="s">
        <v>4366</v>
      </c>
      <c r="I2547" t="s">
        <v>4202</v>
      </c>
      <c r="J2547">
        <v>10</v>
      </c>
      <c r="K2547" t="s">
        <v>4203</v>
      </c>
      <c r="L2547">
        <v>9</v>
      </c>
      <c r="M2547">
        <v>0.9</v>
      </c>
      <c r="N2547" t="s">
        <v>4360</v>
      </c>
      <c r="O2547" t="s">
        <v>462</v>
      </c>
    </row>
    <row r="2548" spans="1:15" x14ac:dyDescent="0.3">
      <c r="A2548">
        <v>215327</v>
      </c>
      <c r="B2548">
        <v>116</v>
      </c>
      <c r="C2548" t="s">
        <v>568</v>
      </c>
      <c r="D2548" t="s">
        <v>2918</v>
      </c>
      <c r="E2548" t="s">
        <v>2920</v>
      </c>
      <c r="F2548" s="452">
        <v>46080</v>
      </c>
      <c r="G2548">
        <v>28870</v>
      </c>
      <c r="H2548" t="s">
        <v>4367</v>
      </c>
      <c r="I2548" t="s">
        <v>4202</v>
      </c>
      <c r="J2548">
        <v>10</v>
      </c>
      <c r="K2548" t="s">
        <v>4203</v>
      </c>
      <c r="L2548">
        <v>16.899999999999999</v>
      </c>
      <c r="M2548">
        <v>1.69</v>
      </c>
      <c r="N2548" t="s">
        <v>4360</v>
      </c>
      <c r="O2548" t="s">
        <v>462</v>
      </c>
    </row>
    <row r="2549" spans="1:15" x14ac:dyDescent="0.3">
      <c r="A2549">
        <v>215327</v>
      </c>
      <c r="B2549">
        <v>116</v>
      </c>
      <c r="C2549" t="s">
        <v>568</v>
      </c>
      <c r="D2549" t="s">
        <v>2918</v>
      </c>
      <c r="E2549" t="s">
        <v>2920</v>
      </c>
      <c r="F2549" s="452">
        <v>46080</v>
      </c>
      <c r="G2549">
        <v>28871</v>
      </c>
      <c r="H2549" t="s">
        <v>4368</v>
      </c>
      <c r="I2549" t="s">
        <v>4202</v>
      </c>
      <c r="J2549">
        <v>3</v>
      </c>
      <c r="K2549" t="s">
        <v>3892</v>
      </c>
      <c r="L2549">
        <v>395.7</v>
      </c>
      <c r="M2549">
        <v>131.9</v>
      </c>
      <c r="N2549" t="s">
        <v>4360</v>
      </c>
      <c r="O2549" t="s">
        <v>462</v>
      </c>
    </row>
    <row r="2550" spans="1:15" x14ac:dyDescent="0.3">
      <c r="A2550">
        <v>215324</v>
      </c>
      <c r="B2550">
        <v>116</v>
      </c>
      <c r="C2550" t="s">
        <v>568</v>
      </c>
      <c r="D2550" t="s">
        <v>2918</v>
      </c>
      <c r="E2550" t="s">
        <v>2921</v>
      </c>
      <c r="F2550" s="452">
        <v>46080</v>
      </c>
      <c r="G2550">
        <v>28861</v>
      </c>
      <c r="H2550" t="s">
        <v>4372</v>
      </c>
      <c r="I2550" t="s">
        <v>4202</v>
      </c>
      <c r="J2550">
        <v>1</v>
      </c>
      <c r="K2550" t="s">
        <v>4203</v>
      </c>
      <c r="L2550">
        <v>385</v>
      </c>
      <c r="M2550">
        <v>385</v>
      </c>
      <c r="N2550" t="s">
        <v>4360</v>
      </c>
      <c r="O2550" t="s">
        <v>462</v>
      </c>
    </row>
    <row r="2551" spans="1:15" x14ac:dyDescent="0.3">
      <c r="A2551">
        <v>215324</v>
      </c>
      <c r="B2551">
        <v>116</v>
      </c>
      <c r="C2551" t="s">
        <v>568</v>
      </c>
      <c r="D2551" t="s">
        <v>2918</v>
      </c>
      <c r="E2551" t="s">
        <v>2921</v>
      </c>
      <c r="F2551" s="452">
        <v>46080</v>
      </c>
      <c r="G2551">
        <v>28862</v>
      </c>
      <c r="H2551" t="s">
        <v>4361</v>
      </c>
      <c r="I2551" t="s">
        <v>4202</v>
      </c>
      <c r="J2551">
        <v>1.9</v>
      </c>
      <c r="K2551" t="s">
        <v>4203</v>
      </c>
      <c r="L2551">
        <v>239.21</v>
      </c>
      <c r="M2551">
        <v>125.9</v>
      </c>
      <c r="N2551" t="s">
        <v>4360</v>
      </c>
      <c r="O2551" t="s">
        <v>462</v>
      </c>
    </row>
    <row r="2552" spans="1:15" x14ac:dyDescent="0.3">
      <c r="A2552">
        <v>215324</v>
      </c>
      <c r="B2552">
        <v>116</v>
      </c>
      <c r="C2552" t="s">
        <v>568</v>
      </c>
      <c r="D2552" t="s">
        <v>2918</v>
      </c>
      <c r="E2552" t="s">
        <v>2921</v>
      </c>
      <c r="F2552" s="452">
        <v>46080</v>
      </c>
      <c r="G2552">
        <v>28861</v>
      </c>
      <c r="H2552" t="s">
        <v>4372</v>
      </c>
      <c r="I2552" t="s">
        <v>4202</v>
      </c>
      <c r="J2552">
        <v>2</v>
      </c>
      <c r="K2552" t="s">
        <v>4203</v>
      </c>
      <c r="L2552">
        <v>2504</v>
      </c>
      <c r="M2552">
        <v>1252</v>
      </c>
      <c r="N2552" t="s">
        <v>4360</v>
      </c>
      <c r="O2552" t="s">
        <v>462</v>
      </c>
    </row>
    <row r="2553" spans="1:15" x14ac:dyDescent="0.3">
      <c r="A2553">
        <v>215324</v>
      </c>
      <c r="B2553">
        <v>116</v>
      </c>
      <c r="C2553" t="s">
        <v>568</v>
      </c>
      <c r="D2553" t="s">
        <v>2918</v>
      </c>
      <c r="E2553" t="s">
        <v>2921</v>
      </c>
      <c r="F2553" s="452">
        <v>46080</v>
      </c>
      <c r="G2553">
        <v>28871</v>
      </c>
      <c r="H2553" t="s">
        <v>4368</v>
      </c>
      <c r="I2553" t="s">
        <v>4202</v>
      </c>
      <c r="J2553">
        <v>3</v>
      </c>
      <c r="K2553" t="s">
        <v>3892</v>
      </c>
      <c r="L2553">
        <v>395.7</v>
      </c>
      <c r="M2553">
        <v>131.9</v>
      </c>
      <c r="N2553" t="s">
        <v>4360</v>
      </c>
      <c r="O2553" t="s">
        <v>462</v>
      </c>
    </row>
    <row r="2554" spans="1:15" x14ac:dyDescent="0.3">
      <c r="A2554">
        <v>215322</v>
      </c>
      <c r="B2554">
        <v>116</v>
      </c>
      <c r="C2554" t="s">
        <v>568</v>
      </c>
      <c r="D2554" t="s">
        <v>2922</v>
      </c>
      <c r="E2554" t="s">
        <v>2923</v>
      </c>
      <c r="F2554" s="452">
        <v>46076</v>
      </c>
      <c r="G2554">
        <v>19505</v>
      </c>
      <c r="H2554" t="s">
        <v>4101</v>
      </c>
      <c r="I2554" t="s">
        <v>3469</v>
      </c>
      <c r="J2554">
        <v>1</v>
      </c>
      <c r="K2554" t="s">
        <v>3892</v>
      </c>
      <c r="L2554">
        <v>17.190000000000001</v>
      </c>
      <c r="M2554">
        <v>17.190000000000001</v>
      </c>
      <c r="N2554" t="s">
        <v>4240</v>
      </c>
      <c r="O2554" t="s">
        <v>462</v>
      </c>
    </row>
    <row r="2555" spans="1:15" x14ac:dyDescent="0.3">
      <c r="A2555">
        <v>215322</v>
      </c>
      <c r="B2555">
        <v>116</v>
      </c>
      <c r="C2555" t="s">
        <v>568</v>
      </c>
      <c r="D2555" t="s">
        <v>2922</v>
      </c>
      <c r="E2555" t="s">
        <v>2923</v>
      </c>
      <c r="F2555" s="452">
        <v>46076</v>
      </c>
      <c r="G2555">
        <v>19458</v>
      </c>
      <c r="H2555" t="s">
        <v>4212</v>
      </c>
      <c r="I2555" t="s">
        <v>3469</v>
      </c>
      <c r="J2555">
        <v>1</v>
      </c>
      <c r="K2555" t="s">
        <v>3892</v>
      </c>
      <c r="L2555">
        <v>21.25</v>
      </c>
      <c r="M2555">
        <v>21.25</v>
      </c>
      <c r="N2555" t="s">
        <v>4240</v>
      </c>
      <c r="O2555" t="s">
        <v>462</v>
      </c>
    </row>
    <row r="2556" spans="1:15" x14ac:dyDescent="0.3">
      <c r="A2556">
        <v>215322</v>
      </c>
      <c r="B2556">
        <v>116</v>
      </c>
      <c r="C2556" t="s">
        <v>568</v>
      </c>
      <c r="D2556" t="s">
        <v>2922</v>
      </c>
      <c r="E2556" t="s">
        <v>2923</v>
      </c>
      <c r="F2556" s="452">
        <v>46076</v>
      </c>
      <c r="G2556">
        <v>23095</v>
      </c>
      <c r="H2556" t="s">
        <v>3882</v>
      </c>
      <c r="I2556" t="s">
        <v>3469</v>
      </c>
      <c r="J2556">
        <v>60</v>
      </c>
      <c r="K2556" t="s">
        <v>3872</v>
      </c>
      <c r="L2556">
        <v>75</v>
      </c>
      <c r="M2556">
        <v>1.25</v>
      </c>
      <c r="N2556" t="s">
        <v>4240</v>
      </c>
      <c r="O2556" t="s">
        <v>462</v>
      </c>
    </row>
    <row r="2557" spans="1:15" x14ac:dyDescent="0.3">
      <c r="A2557">
        <v>215322</v>
      </c>
      <c r="B2557">
        <v>116</v>
      </c>
      <c r="C2557" t="s">
        <v>568</v>
      </c>
      <c r="D2557" t="s">
        <v>2922</v>
      </c>
      <c r="E2557" t="s">
        <v>2923</v>
      </c>
      <c r="F2557" s="452">
        <v>46076</v>
      </c>
      <c r="G2557">
        <v>23142</v>
      </c>
      <c r="H2557" t="s">
        <v>4151</v>
      </c>
      <c r="I2557" t="s">
        <v>3469</v>
      </c>
      <c r="J2557">
        <v>1</v>
      </c>
      <c r="K2557" t="s">
        <v>3892</v>
      </c>
      <c r="L2557">
        <v>25</v>
      </c>
      <c r="M2557">
        <v>25</v>
      </c>
      <c r="N2557" t="s">
        <v>4240</v>
      </c>
      <c r="O2557" t="s">
        <v>462</v>
      </c>
    </row>
    <row r="2558" spans="1:15" x14ac:dyDescent="0.3">
      <c r="A2558">
        <v>215322</v>
      </c>
      <c r="B2558">
        <v>116</v>
      </c>
      <c r="C2558" t="s">
        <v>568</v>
      </c>
      <c r="D2558" t="s">
        <v>2922</v>
      </c>
      <c r="E2558" t="s">
        <v>2923</v>
      </c>
      <c r="F2558" s="452">
        <v>46076</v>
      </c>
      <c r="G2558">
        <v>24037</v>
      </c>
      <c r="H2558" t="s">
        <v>4104</v>
      </c>
      <c r="I2558" t="s">
        <v>3469</v>
      </c>
      <c r="J2558">
        <v>2</v>
      </c>
      <c r="K2558" t="s">
        <v>3892</v>
      </c>
      <c r="L2558">
        <v>40</v>
      </c>
      <c r="M2558">
        <v>20</v>
      </c>
      <c r="N2558" t="s">
        <v>4240</v>
      </c>
      <c r="O2558" t="s">
        <v>462</v>
      </c>
    </row>
    <row r="2559" spans="1:15" x14ac:dyDescent="0.3">
      <c r="A2559">
        <v>215321</v>
      </c>
      <c r="B2559">
        <v>116</v>
      </c>
      <c r="C2559" t="s">
        <v>568</v>
      </c>
      <c r="D2559" t="s">
        <v>2922</v>
      </c>
      <c r="E2559" t="s">
        <v>2924</v>
      </c>
      <c r="F2559" s="452">
        <v>46079</v>
      </c>
      <c r="G2559">
        <v>19634</v>
      </c>
      <c r="H2559" t="s">
        <v>4068</v>
      </c>
      <c r="I2559" t="s">
        <v>3469</v>
      </c>
      <c r="J2559">
        <v>2</v>
      </c>
      <c r="K2559" t="s">
        <v>3892</v>
      </c>
      <c r="L2559">
        <v>15</v>
      </c>
      <c r="M2559">
        <v>7.5</v>
      </c>
      <c r="N2559" t="s">
        <v>3469</v>
      </c>
      <c r="O2559" t="s">
        <v>462</v>
      </c>
    </row>
    <row r="2560" spans="1:15" x14ac:dyDescent="0.3">
      <c r="A2560">
        <v>215321</v>
      </c>
      <c r="B2560">
        <v>116</v>
      </c>
      <c r="C2560" t="s">
        <v>568</v>
      </c>
      <c r="D2560" t="s">
        <v>2922</v>
      </c>
      <c r="E2560" t="s">
        <v>2924</v>
      </c>
      <c r="F2560" s="452">
        <v>46079</v>
      </c>
      <c r="G2560">
        <v>19505</v>
      </c>
      <c r="H2560" t="s">
        <v>4101</v>
      </c>
      <c r="I2560" t="s">
        <v>3469</v>
      </c>
      <c r="J2560">
        <v>1</v>
      </c>
      <c r="K2560" t="s">
        <v>3892</v>
      </c>
      <c r="L2560">
        <v>15.63</v>
      </c>
      <c r="M2560">
        <v>15.63</v>
      </c>
      <c r="N2560" t="s">
        <v>3469</v>
      </c>
      <c r="O2560" t="s">
        <v>462</v>
      </c>
    </row>
    <row r="2561" spans="1:15" x14ac:dyDescent="0.3">
      <c r="A2561">
        <v>215321</v>
      </c>
      <c r="B2561">
        <v>116</v>
      </c>
      <c r="C2561" t="s">
        <v>568</v>
      </c>
      <c r="D2561" t="s">
        <v>2922</v>
      </c>
      <c r="E2561" t="s">
        <v>2924</v>
      </c>
      <c r="F2561" s="452">
        <v>46079</v>
      </c>
      <c r="G2561">
        <v>19751</v>
      </c>
      <c r="H2561" t="s">
        <v>4019</v>
      </c>
      <c r="I2561" t="s">
        <v>3469</v>
      </c>
      <c r="J2561">
        <v>2</v>
      </c>
      <c r="K2561" t="s">
        <v>3892</v>
      </c>
      <c r="L2561">
        <v>33.76</v>
      </c>
      <c r="M2561">
        <v>16.88</v>
      </c>
      <c r="N2561" t="s">
        <v>3469</v>
      </c>
      <c r="O2561" t="s">
        <v>462</v>
      </c>
    </row>
    <row r="2562" spans="1:15" x14ac:dyDescent="0.3">
      <c r="A2562">
        <v>215321</v>
      </c>
      <c r="B2562">
        <v>116</v>
      </c>
      <c r="C2562" t="s">
        <v>568</v>
      </c>
      <c r="D2562" t="s">
        <v>2922</v>
      </c>
      <c r="E2562" t="s">
        <v>2924</v>
      </c>
      <c r="F2562" s="452">
        <v>46079</v>
      </c>
      <c r="G2562">
        <v>23096</v>
      </c>
      <c r="H2562" t="s">
        <v>3876</v>
      </c>
      <c r="I2562" t="s">
        <v>3469</v>
      </c>
      <c r="J2562">
        <v>30</v>
      </c>
      <c r="K2562" t="s">
        <v>3872</v>
      </c>
      <c r="L2562">
        <v>19.8</v>
      </c>
      <c r="M2562">
        <v>0.66</v>
      </c>
      <c r="N2562" t="s">
        <v>3469</v>
      </c>
      <c r="O2562" t="s">
        <v>462</v>
      </c>
    </row>
    <row r="2563" spans="1:15" x14ac:dyDescent="0.3">
      <c r="A2563">
        <v>215321</v>
      </c>
      <c r="B2563">
        <v>116</v>
      </c>
      <c r="C2563" t="s">
        <v>568</v>
      </c>
      <c r="D2563" t="s">
        <v>2922</v>
      </c>
      <c r="E2563" t="s">
        <v>2924</v>
      </c>
      <c r="F2563" s="452">
        <v>46079</v>
      </c>
      <c r="G2563">
        <v>23198</v>
      </c>
      <c r="H2563" t="s">
        <v>4167</v>
      </c>
      <c r="I2563" t="s">
        <v>3469</v>
      </c>
      <c r="J2563">
        <v>1</v>
      </c>
      <c r="K2563" t="s">
        <v>3892</v>
      </c>
      <c r="L2563">
        <v>12.5</v>
      </c>
      <c r="M2563">
        <v>12.5</v>
      </c>
      <c r="N2563" t="s">
        <v>3469</v>
      </c>
      <c r="O2563" t="s">
        <v>462</v>
      </c>
    </row>
    <row r="2564" spans="1:15" x14ac:dyDescent="0.3">
      <c r="A2564">
        <v>215321</v>
      </c>
      <c r="B2564">
        <v>116</v>
      </c>
      <c r="C2564" t="s">
        <v>568</v>
      </c>
      <c r="D2564" t="s">
        <v>2922</v>
      </c>
      <c r="E2564" t="s">
        <v>2924</v>
      </c>
      <c r="F2564" s="452">
        <v>46079</v>
      </c>
      <c r="G2564">
        <v>23335</v>
      </c>
      <c r="H2564" t="s">
        <v>4075</v>
      </c>
      <c r="I2564" t="s">
        <v>3469</v>
      </c>
      <c r="J2564">
        <v>1.2</v>
      </c>
      <c r="K2564" t="s">
        <v>3892</v>
      </c>
      <c r="L2564">
        <v>34.799999999999997</v>
      </c>
      <c r="M2564">
        <v>29</v>
      </c>
      <c r="N2564" t="s">
        <v>3469</v>
      </c>
      <c r="O2564" t="s">
        <v>462</v>
      </c>
    </row>
    <row r="2565" spans="1:15" x14ac:dyDescent="0.3">
      <c r="A2565">
        <v>215321</v>
      </c>
      <c r="B2565">
        <v>116</v>
      </c>
      <c r="C2565" t="s">
        <v>568</v>
      </c>
      <c r="D2565" t="s">
        <v>2922</v>
      </c>
      <c r="E2565" t="s">
        <v>2924</v>
      </c>
      <c r="F2565" s="452">
        <v>46079</v>
      </c>
      <c r="G2565">
        <v>23142</v>
      </c>
      <c r="H2565" t="s">
        <v>4151</v>
      </c>
      <c r="I2565" t="s">
        <v>3469</v>
      </c>
      <c r="J2565">
        <v>1</v>
      </c>
      <c r="K2565" t="s">
        <v>3892</v>
      </c>
      <c r="L2565">
        <v>25</v>
      </c>
      <c r="M2565">
        <v>25</v>
      </c>
      <c r="N2565" t="s">
        <v>3469</v>
      </c>
      <c r="O2565" t="s">
        <v>462</v>
      </c>
    </row>
    <row r="2566" spans="1:15" x14ac:dyDescent="0.3">
      <c r="A2566">
        <v>215321</v>
      </c>
      <c r="B2566">
        <v>116</v>
      </c>
      <c r="C2566" t="s">
        <v>568</v>
      </c>
      <c r="D2566" t="s">
        <v>2922</v>
      </c>
      <c r="E2566" t="s">
        <v>2924</v>
      </c>
      <c r="F2566" s="452">
        <v>46079</v>
      </c>
      <c r="G2566">
        <v>19672</v>
      </c>
      <c r="H2566" t="s">
        <v>4024</v>
      </c>
      <c r="I2566" t="s">
        <v>3469</v>
      </c>
      <c r="J2566">
        <v>2</v>
      </c>
      <c r="K2566" t="s">
        <v>3892</v>
      </c>
      <c r="L2566">
        <v>27.5</v>
      </c>
      <c r="M2566">
        <v>13.75</v>
      </c>
      <c r="N2566" t="s">
        <v>3469</v>
      </c>
      <c r="O2566" t="s">
        <v>462</v>
      </c>
    </row>
    <row r="2567" spans="1:15" x14ac:dyDescent="0.3">
      <c r="A2567">
        <v>215318</v>
      </c>
      <c r="B2567">
        <v>116</v>
      </c>
      <c r="C2567" t="s">
        <v>568</v>
      </c>
      <c r="D2567" t="s">
        <v>2922</v>
      </c>
      <c r="E2567" t="s">
        <v>2925</v>
      </c>
      <c r="F2567" s="452">
        <v>46083</v>
      </c>
      <c r="G2567">
        <v>19787</v>
      </c>
      <c r="H2567" t="s">
        <v>3940</v>
      </c>
      <c r="I2567" t="s">
        <v>3469</v>
      </c>
      <c r="J2567">
        <v>6</v>
      </c>
      <c r="K2567" t="s">
        <v>3892</v>
      </c>
      <c r="L2567">
        <v>30</v>
      </c>
      <c r="M2567">
        <v>5</v>
      </c>
      <c r="N2567" t="s">
        <v>3469</v>
      </c>
      <c r="O2567" t="s">
        <v>463</v>
      </c>
    </row>
    <row r="2568" spans="1:15" x14ac:dyDescent="0.3">
      <c r="A2568">
        <v>215318</v>
      </c>
      <c r="B2568">
        <v>116</v>
      </c>
      <c r="C2568" t="s">
        <v>568</v>
      </c>
      <c r="D2568" t="s">
        <v>2922</v>
      </c>
      <c r="E2568" t="s">
        <v>2925</v>
      </c>
      <c r="F2568" s="452">
        <v>46083</v>
      </c>
      <c r="G2568">
        <v>19505</v>
      </c>
      <c r="H2568" t="s">
        <v>4101</v>
      </c>
      <c r="I2568" t="s">
        <v>3469</v>
      </c>
      <c r="J2568">
        <v>1.2</v>
      </c>
      <c r="K2568" t="s">
        <v>3892</v>
      </c>
      <c r="L2568">
        <v>18.760000000000002</v>
      </c>
      <c r="M2568">
        <v>15.633333</v>
      </c>
      <c r="N2568" t="s">
        <v>3469</v>
      </c>
      <c r="O2568" t="s">
        <v>463</v>
      </c>
    </row>
    <row r="2569" spans="1:15" x14ac:dyDescent="0.3">
      <c r="A2569">
        <v>215318</v>
      </c>
      <c r="B2569">
        <v>116</v>
      </c>
      <c r="C2569" t="s">
        <v>568</v>
      </c>
      <c r="D2569" t="s">
        <v>2922</v>
      </c>
      <c r="E2569" t="s">
        <v>2925</v>
      </c>
      <c r="F2569" s="452">
        <v>46083</v>
      </c>
      <c r="G2569">
        <v>24509</v>
      </c>
      <c r="H2569" t="s">
        <v>3906</v>
      </c>
      <c r="I2569" t="s">
        <v>3469</v>
      </c>
      <c r="J2569">
        <v>10</v>
      </c>
      <c r="K2569" t="s">
        <v>3892</v>
      </c>
      <c r="L2569">
        <v>31.3</v>
      </c>
      <c r="M2569">
        <v>3.13</v>
      </c>
      <c r="N2569" t="s">
        <v>3469</v>
      </c>
      <c r="O2569" t="s">
        <v>463</v>
      </c>
    </row>
    <row r="2570" spans="1:15" x14ac:dyDescent="0.3">
      <c r="A2570">
        <v>215318</v>
      </c>
      <c r="B2570">
        <v>116</v>
      </c>
      <c r="C2570" t="s">
        <v>568</v>
      </c>
      <c r="D2570" t="s">
        <v>2922</v>
      </c>
      <c r="E2570" t="s">
        <v>2925</v>
      </c>
      <c r="F2570" s="452">
        <v>46083</v>
      </c>
      <c r="G2570">
        <v>19751</v>
      </c>
      <c r="H2570" t="s">
        <v>4019</v>
      </c>
      <c r="I2570" t="s">
        <v>3469</v>
      </c>
      <c r="J2570">
        <v>2</v>
      </c>
      <c r="K2570" t="s">
        <v>3892</v>
      </c>
      <c r="L2570">
        <v>33.76</v>
      </c>
      <c r="M2570">
        <v>16.88</v>
      </c>
      <c r="N2570" t="s">
        <v>3469</v>
      </c>
      <c r="O2570" t="s">
        <v>463</v>
      </c>
    </row>
    <row r="2571" spans="1:15" x14ac:dyDescent="0.3">
      <c r="A2571">
        <v>215318</v>
      </c>
      <c r="B2571">
        <v>116</v>
      </c>
      <c r="C2571" t="s">
        <v>568</v>
      </c>
      <c r="D2571" t="s">
        <v>2922</v>
      </c>
      <c r="E2571" t="s">
        <v>2925</v>
      </c>
      <c r="F2571" s="452">
        <v>46083</v>
      </c>
      <c r="G2571">
        <v>23198</v>
      </c>
      <c r="H2571" t="s">
        <v>4167</v>
      </c>
      <c r="I2571" t="s">
        <v>3469</v>
      </c>
      <c r="J2571">
        <v>1</v>
      </c>
      <c r="K2571" t="s">
        <v>3892</v>
      </c>
      <c r="L2571">
        <v>12.5</v>
      </c>
      <c r="M2571">
        <v>12.5</v>
      </c>
      <c r="N2571" t="s">
        <v>3469</v>
      </c>
      <c r="O2571" t="s">
        <v>463</v>
      </c>
    </row>
    <row r="2572" spans="1:15" x14ac:dyDescent="0.3">
      <c r="A2572">
        <v>215318</v>
      </c>
      <c r="B2572">
        <v>116</v>
      </c>
      <c r="C2572" t="s">
        <v>568</v>
      </c>
      <c r="D2572" t="s">
        <v>2922</v>
      </c>
      <c r="E2572" t="s">
        <v>2925</v>
      </c>
      <c r="F2572" s="452">
        <v>46083</v>
      </c>
      <c r="G2572">
        <v>23361</v>
      </c>
      <c r="H2572" t="s">
        <v>4220</v>
      </c>
      <c r="I2572" t="s">
        <v>3469</v>
      </c>
      <c r="J2572">
        <v>20</v>
      </c>
      <c r="K2572" t="s">
        <v>3892</v>
      </c>
      <c r="L2572">
        <v>67.599999999999994</v>
      </c>
      <c r="M2572">
        <v>3.38</v>
      </c>
      <c r="N2572" t="s">
        <v>3469</v>
      </c>
      <c r="O2572" t="s">
        <v>463</v>
      </c>
    </row>
    <row r="2573" spans="1:15" x14ac:dyDescent="0.3">
      <c r="A2573">
        <v>215318</v>
      </c>
      <c r="B2573">
        <v>116</v>
      </c>
      <c r="C2573" t="s">
        <v>568</v>
      </c>
      <c r="D2573" t="s">
        <v>2922</v>
      </c>
      <c r="E2573" t="s">
        <v>2925</v>
      </c>
      <c r="F2573" s="452">
        <v>46083</v>
      </c>
      <c r="G2573">
        <v>23234</v>
      </c>
      <c r="H2573" t="s">
        <v>4018</v>
      </c>
      <c r="I2573" t="s">
        <v>3469</v>
      </c>
      <c r="J2573">
        <v>2</v>
      </c>
      <c r="K2573" t="s">
        <v>3892</v>
      </c>
      <c r="L2573">
        <v>46</v>
      </c>
      <c r="M2573">
        <v>23</v>
      </c>
      <c r="N2573" t="s">
        <v>3469</v>
      </c>
      <c r="O2573" t="s">
        <v>463</v>
      </c>
    </row>
    <row r="2574" spans="1:15" x14ac:dyDescent="0.3">
      <c r="A2574">
        <v>215318</v>
      </c>
      <c r="B2574">
        <v>116</v>
      </c>
      <c r="C2574" t="s">
        <v>568</v>
      </c>
      <c r="D2574" t="s">
        <v>2922</v>
      </c>
      <c r="E2574" t="s">
        <v>2925</v>
      </c>
      <c r="F2574" s="452">
        <v>46083</v>
      </c>
      <c r="G2574">
        <v>19672</v>
      </c>
      <c r="H2574" t="s">
        <v>4024</v>
      </c>
      <c r="I2574" t="s">
        <v>3469</v>
      </c>
      <c r="J2574">
        <v>2</v>
      </c>
      <c r="K2574" t="s">
        <v>3892</v>
      </c>
      <c r="L2574">
        <v>27.5</v>
      </c>
      <c r="M2574">
        <v>13.75</v>
      </c>
      <c r="N2574" t="s">
        <v>3469</v>
      </c>
      <c r="O2574" t="s">
        <v>463</v>
      </c>
    </row>
    <row r="2575" spans="1:15" x14ac:dyDescent="0.3">
      <c r="A2575">
        <v>215318</v>
      </c>
      <c r="B2575">
        <v>116</v>
      </c>
      <c r="C2575" t="s">
        <v>568</v>
      </c>
      <c r="D2575" t="s">
        <v>2922</v>
      </c>
      <c r="E2575" t="s">
        <v>2925</v>
      </c>
      <c r="F2575" s="452">
        <v>46083</v>
      </c>
      <c r="G2575">
        <v>23142</v>
      </c>
      <c r="H2575" t="s">
        <v>4151</v>
      </c>
      <c r="I2575" t="s">
        <v>3469</v>
      </c>
      <c r="J2575">
        <v>1</v>
      </c>
      <c r="K2575" t="s">
        <v>3892</v>
      </c>
      <c r="L2575">
        <v>25</v>
      </c>
      <c r="M2575">
        <v>25</v>
      </c>
      <c r="N2575" t="s">
        <v>3469</v>
      </c>
      <c r="O2575" t="s">
        <v>463</v>
      </c>
    </row>
    <row r="2576" spans="1:15" x14ac:dyDescent="0.3">
      <c r="A2576">
        <v>215315</v>
      </c>
      <c r="B2576">
        <v>116</v>
      </c>
      <c r="C2576" t="s">
        <v>568</v>
      </c>
      <c r="D2576" t="s">
        <v>2357</v>
      </c>
      <c r="E2576" t="s">
        <v>2926</v>
      </c>
      <c r="F2576" s="452">
        <v>46083</v>
      </c>
      <c r="G2576">
        <v>20278</v>
      </c>
      <c r="H2576" t="s">
        <v>3939</v>
      </c>
      <c r="I2576" t="s">
        <v>3469</v>
      </c>
      <c r="J2576">
        <v>10</v>
      </c>
      <c r="K2576" t="s">
        <v>3872</v>
      </c>
      <c r="L2576">
        <v>332.7</v>
      </c>
      <c r="M2576">
        <v>33.270000000000003</v>
      </c>
      <c r="N2576" t="s">
        <v>4240</v>
      </c>
      <c r="O2576" t="s">
        <v>463</v>
      </c>
    </row>
    <row r="2577" spans="1:15" x14ac:dyDescent="0.3">
      <c r="A2577">
        <v>215314</v>
      </c>
      <c r="B2577">
        <v>116</v>
      </c>
      <c r="C2577" t="s">
        <v>568</v>
      </c>
      <c r="D2577" t="s">
        <v>2260</v>
      </c>
      <c r="E2577" t="s">
        <v>2927</v>
      </c>
      <c r="F2577" s="452">
        <v>46084</v>
      </c>
      <c r="G2577">
        <v>18685</v>
      </c>
      <c r="H2577" t="s">
        <v>3945</v>
      </c>
      <c r="I2577" t="s">
        <v>3469</v>
      </c>
      <c r="J2577">
        <v>12</v>
      </c>
      <c r="K2577" t="s">
        <v>4197</v>
      </c>
      <c r="L2577">
        <v>468</v>
      </c>
      <c r="M2577">
        <v>39</v>
      </c>
      <c r="N2577" t="s">
        <v>4240</v>
      </c>
      <c r="O2577" t="s">
        <v>463</v>
      </c>
    </row>
    <row r="2578" spans="1:15" x14ac:dyDescent="0.3">
      <c r="A2578">
        <v>215314</v>
      </c>
      <c r="B2578">
        <v>116</v>
      </c>
      <c r="C2578" t="s">
        <v>568</v>
      </c>
      <c r="D2578" t="s">
        <v>2260</v>
      </c>
      <c r="E2578" t="s">
        <v>2927</v>
      </c>
      <c r="F2578" s="452">
        <v>46084</v>
      </c>
      <c r="G2578">
        <v>20555</v>
      </c>
      <c r="H2578" t="s">
        <v>3959</v>
      </c>
      <c r="I2578" t="s">
        <v>3469</v>
      </c>
      <c r="J2578">
        <v>3.5</v>
      </c>
      <c r="K2578" t="s">
        <v>3892</v>
      </c>
      <c r="L2578">
        <v>276.5</v>
      </c>
      <c r="M2578">
        <v>79</v>
      </c>
      <c r="N2578" t="s">
        <v>4240</v>
      </c>
      <c r="O2578" t="s">
        <v>463</v>
      </c>
    </row>
    <row r="2579" spans="1:15" x14ac:dyDescent="0.3">
      <c r="A2579">
        <v>215314</v>
      </c>
      <c r="B2579">
        <v>116</v>
      </c>
      <c r="C2579" t="s">
        <v>568</v>
      </c>
      <c r="D2579" t="s">
        <v>2260</v>
      </c>
      <c r="E2579" t="s">
        <v>2927</v>
      </c>
      <c r="F2579" s="452">
        <v>46084</v>
      </c>
      <c r="G2579">
        <v>24200</v>
      </c>
      <c r="H2579" t="s">
        <v>3975</v>
      </c>
      <c r="I2579" t="s">
        <v>3469</v>
      </c>
      <c r="J2579">
        <v>5.8</v>
      </c>
      <c r="K2579" t="s">
        <v>3892</v>
      </c>
      <c r="L2579">
        <v>190.82</v>
      </c>
      <c r="M2579">
        <v>32.9</v>
      </c>
      <c r="N2579" t="s">
        <v>4240</v>
      </c>
      <c r="O2579" t="s">
        <v>463</v>
      </c>
    </row>
    <row r="2580" spans="1:15" x14ac:dyDescent="0.3">
      <c r="A2580">
        <v>215314</v>
      </c>
      <c r="B2580">
        <v>116</v>
      </c>
      <c r="C2580" t="s">
        <v>568</v>
      </c>
      <c r="D2580" t="s">
        <v>2260</v>
      </c>
      <c r="E2580" t="s">
        <v>2927</v>
      </c>
      <c r="F2580" s="452">
        <v>46084</v>
      </c>
      <c r="G2580">
        <v>27884</v>
      </c>
      <c r="H2580" t="s">
        <v>3910</v>
      </c>
      <c r="I2580" t="s">
        <v>3469</v>
      </c>
      <c r="J2580">
        <v>4.5999999999999996</v>
      </c>
      <c r="K2580" t="s">
        <v>3892</v>
      </c>
      <c r="L2580">
        <v>312.8</v>
      </c>
      <c r="M2580">
        <v>68</v>
      </c>
      <c r="N2580" t="s">
        <v>4240</v>
      </c>
      <c r="O2580" t="s">
        <v>463</v>
      </c>
    </row>
    <row r="2581" spans="1:15" x14ac:dyDescent="0.3">
      <c r="A2581">
        <v>215312</v>
      </c>
      <c r="B2581">
        <v>116</v>
      </c>
      <c r="C2581" t="s">
        <v>568</v>
      </c>
      <c r="D2581" t="s">
        <v>2260</v>
      </c>
      <c r="E2581" t="s">
        <v>2928</v>
      </c>
      <c r="F2581" s="452">
        <v>46085</v>
      </c>
      <c r="G2581">
        <v>18684</v>
      </c>
      <c r="H2581" t="s">
        <v>3925</v>
      </c>
      <c r="I2581" t="s">
        <v>3469</v>
      </c>
      <c r="J2581">
        <v>13</v>
      </c>
      <c r="K2581" t="s">
        <v>3892</v>
      </c>
      <c r="L2581">
        <v>468</v>
      </c>
      <c r="M2581">
        <v>36</v>
      </c>
      <c r="N2581" t="s">
        <v>4240</v>
      </c>
      <c r="O2581" t="s">
        <v>463</v>
      </c>
    </row>
    <row r="2582" spans="1:15" x14ac:dyDescent="0.3">
      <c r="A2582">
        <v>215311</v>
      </c>
      <c r="B2582">
        <v>116</v>
      </c>
      <c r="C2582" t="s">
        <v>568</v>
      </c>
      <c r="D2582" t="s">
        <v>2260</v>
      </c>
      <c r="E2582" t="s">
        <v>2929</v>
      </c>
      <c r="F2582" s="452">
        <v>46085</v>
      </c>
      <c r="G2582">
        <v>24072</v>
      </c>
      <c r="H2582" t="s">
        <v>4002</v>
      </c>
      <c r="I2582" t="s">
        <v>3469</v>
      </c>
      <c r="J2582">
        <v>3.2</v>
      </c>
      <c r="K2582" t="s">
        <v>3892</v>
      </c>
      <c r="L2582">
        <v>704</v>
      </c>
      <c r="M2582">
        <v>220</v>
      </c>
      <c r="N2582" t="s">
        <v>4240</v>
      </c>
      <c r="O2582" t="s">
        <v>463</v>
      </c>
    </row>
    <row r="2583" spans="1:15" x14ac:dyDescent="0.3">
      <c r="A2583">
        <v>215311</v>
      </c>
      <c r="B2583">
        <v>116</v>
      </c>
      <c r="C2583" t="s">
        <v>568</v>
      </c>
      <c r="D2583" t="s">
        <v>2260</v>
      </c>
      <c r="E2583" t="s">
        <v>2929</v>
      </c>
      <c r="F2583" s="452">
        <v>46085</v>
      </c>
      <c r="G2583">
        <v>22734</v>
      </c>
      <c r="H2583" t="s">
        <v>3955</v>
      </c>
      <c r="I2583" t="s">
        <v>3469</v>
      </c>
      <c r="J2583">
        <v>10.4</v>
      </c>
      <c r="K2583" t="s">
        <v>3892</v>
      </c>
      <c r="L2583">
        <v>1029.5999999999999</v>
      </c>
      <c r="M2583">
        <v>99</v>
      </c>
      <c r="N2583" t="s">
        <v>4240</v>
      </c>
      <c r="O2583" t="s">
        <v>463</v>
      </c>
    </row>
    <row r="2584" spans="1:15" x14ac:dyDescent="0.3">
      <c r="A2584">
        <v>215310</v>
      </c>
      <c r="B2584">
        <v>116</v>
      </c>
      <c r="C2584" t="s">
        <v>568</v>
      </c>
      <c r="D2584" t="s">
        <v>2267</v>
      </c>
      <c r="E2584" t="s">
        <v>2930</v>
      </c>
      <c r="F2584" s="452">
        <v>46086</v>
      </c>
      <c r="G2584">
        <v>24403</v>
      </c>
      <c r="H2584" t="s">
        <v>3992</v>
      </c>
      <c r="I2584" t="s">
        <v>3469</v>
      </c>
      <c r="J2584">
        <v>3</v>
      </c>
      <c r="K2584" t="s">
        <v>3892</v>
      </c>
      <c r="L2584">
        <v>38.97</v>
      </c>
      <c r="M2584">
        <v>12.99</v>
      </c>
      <c r="N2584" t="s">
        <v>3469</v>
      </c>
      <c r="O2584" t="s">
        <v>463</v>
      </c>
    </row>
    <row r="2585" spans="1:15" x14ac:dyDescent="0.3">
      <c r="A2585">
        <v>215310</v>
      </c>
      <c r="B2585">
        <v>116</v>
      </c>
      <c r="C2585" t="s">
        <v>568</v>
      </c>
      <c r="D2585" t="s">
        <v>2267</v>
      </c>
      <c r="E2585" t="s">
        <v>2930</v>
      </c>
      <c r="F2585" s="452">
        <v>46086</v>
      </c>
      <c r="G2585">
        <v>24517</v>
      </c>
      <c r="H2585" t="s">
        <v>3991</v>
      </c>
      <c r="I2585" t="s">
        <v>3469</v>
      </c>
      <c r="J2585">
        <v>11</v>
      </c>
      <c r="K2585" t="s">
        <v>3892</v>
      </c>
      <c r="L2585">
        <v>307.89</v>
      </c>
      <c r="M2585">
        <v>27.99</v>
      </c>
      <c r="N2585" t="s">
        <v>3469</v>
      </c>
      <c r="O2585" t="s">
        <v>463</v>
      </c>
    </row>
    <row r="2586" spans="1:15" x14ac:dyDescent="0.3">
      <c r="A2586">
        <v>215310</v>
      </c>
      <c r="B2586">
        <v>116</v>
      </c>
      <c r="C2586" t="s">
        <v>568</v>
      </c>
      <c r="D2586" t="s">
        <v>2267</v>
      </c>
      <c r="E2586" t="s">
        <v>2930</v>
      </c>
      <c r="F2586" s="452">
        <v>46086</v>
      </c>
      <c r="G2586">
        <v>24393</v>
      </c>
      <c r="H2586" t="s">
        <v>4039</v>
      </c>
      <c r="I2586" t="s">
        <v>3469</v>
      </c>
      <c r="J2586">
        <v>2.9</v>
      </c>
      <c r="K2586" t="s">
        <v>3892</v>
      </c>
      <c r="L2586">
        <v>40.57</v>
      </c>
      <c r="M2586">
        <v>13.989655000000001</v>
      </c>
      <c r="N2586" t="s">
        <v>3469</v>
      </c>
      <c r="O2586" t="s">
        <v>463</v>
      </c>
    </row>
    <row r="2587" spans="1:15" x14ac:dyDescent="0.3">
      <c r="A2587">
        <v>215310</v>
      </c>
      <c r="B2587">
        <v>116</v>
      </c>
      <c r="C2587" t="s">
        <v>568</v>
      </c>
      <c r="D2587" t="s">
        <v>2267</v>
      </c>
      <c r="E2587" t="s">
        <v>2930</v>
      </c>
      <c r="F2587" s="452">
        <v>46086</v>
      </c>
      <c r="G2587">
        <v>18666</v>
      </c>
      <c r="H2587" t="s">
        <v>4003</v>
      </c>
      <c r="I2587" t="s">
        <v>3469</v>
      </c>
      <c r="J2587">
        <v>3.1</v>
      </c>
      <c r="K2587" t="s">
        <v>3892</v>
      </c>
      <c r="L2587">
        <v>74.37</v>
      </c>
      <c r="M2587">
        <v>23.990323</v>
      </c>
      <c r="N2587" t="s">
        <v>3469</v>
      </c>
      <c r="O2587" t="s">
        <v>463</v>
      </c>
    </row>
    <row r="2588" spans="1:15" x14ac:dyDescent="0.3">
      <c r="A2588">
        <v>215310</v>
      </c>
      <c r="B2588">
        <v>116</v>
      </c>
      <c r="C2588" t="s">
        <v>568</v>
      </c>
      <c r="D2588" t="s">
        <v>2267</v>
      </c>
      <c r="E2588" t="s">
        <v>2930</v>
      </c>
      <c r="F2588" s="452">
        <v>46086</v>
      </c>
      <c r="G2588">
        <v>24343</v>
      </c>
      <c r="H2588" t="s">
        <v>3990</v>
      </c>
      <c r="I2588" t="s">
        <v>3469</v>
      </c>
      <c r="J2588">
        <v>3.7</v>
      </c>
      <c r="K2588" t="s">
        <v>4354</v>
      </c>
      <c r="L2588">
        <v>73.959999999999994</v>
      </c>
      <c r="M2588">
        <v>19.989189</v>
      </c>
      <c r="N2588" t="s">
        <v>3469</v>
      </c>
      <c r="O2588" t="s">
        <v>463</v>
      </c>
    </row>
    <row r="2589" spans="1:15" x14ac:dyDescent="0.3">
      <c r="A2589">
        <v>215309</v>
      </c>
      <c r="B2589">
        <v>116</v>
      </c>
      <c r="C2589" t="s">
        <v>568</v>
      </c>
      <c r="D2589" t="s">
        <v>2320</v>
      </c>
      <c r="E2589" t="s">
        <v>2931</v>
      </c>
      <c r="F2589" s="452">
        <v>46085</v>
      </c>
      <c r="G2589">
        <v>22857</v>
      </c>
      <c r="H2589" t="s">
        <v>4130</v>
      </c>
      <c r="I2589" t="s">
        <v>3469</v>
      </c>
      <c r="J2589">
        <v>18.93</v>
      </c>
      <c r="K2589" t="s">
        <v>3892</v>
      </c>
      <c r="L2589">
        <v>1268.31</v>
      </c>
      <c r="M2589">
        <v>67</v>
      </c>
      <c r="N2589" t="s">
        <v>4240</v>
      </c>
      <c r="O2589" t="s">
        <v>463</v>
      </c>
    </row>
    <row r="2590" spans="1:15" x14ac:dyDescent="0.3">
      <c r="A2590">
        <v>215308</v>
      </c>
      <c r="B2590">
        <v>116</v>
      </c>
      <c r="C2590" t="s">
        <v>568</v>
      </c>
      <c r="D2590" t="s">
        <v>2709</v>
      </c>
      <c r="E2590" t="s">
        <v>2932</v>
      </c>
      <c r="F2590" s="452">
        <v>46076</v>
      </c>
      <c r="G2590">
        <v>21423</v>
      </c>
      <c r="H2590" t="s">
        <v>4225</v>
      </c>
      <c r="I2590" t="s">
        <v>4199</v>
      </c>
      <c r="J2590">
        <v>1</v>
      </c>
      <c r="K2590" t="s">
        <v>4224</v>
      </c>
      <c r="L2590">
        <v>31.82</v>
      </c>
      <c r="M2590">
        <v>31.82</v>
      </c>
      <c r="N2590" t="s">
        <v>2176</v>
      </c>
      <c r="O2590" t="s">
        <v>462</v>
      </c>
    </row>
    <row r="2591" spans="1:15" x14ac:dyDescent="0.3">
      <c r="A2591">
        <v>215307</v>
      </c>
      <c r="B2591">
        <v>116</v>
      </c>
      <c r="C2591" t="s">
        <v>568</v>
      </c>
      <c r="D2591" t="s">
        <v>2709</v>
      </c>
      <c r="E2591" t="s">
        <v>2933</v>
      </c>
      <c r="F2591" s="452">
        <v>46077</v>
      </c>
      <c r="G2591">
        <v>17498</v>
      </c>
      <c r="H2591" t="s">
        <v>4243</v>
      </c>
      <c r="I2591" t="s">
        <v>4199</v>
      </c>
      <c r="J2591">
        <v>1</v>
      </c>
      <c r="K2591" t="s">
        <v>3881</v>
      </c>
      <c r="L2591">
        <v>21</v>
      </c>
      <c r="M2591">
        <v>21</v>
      </c>
      <c r="N2591" t="s">
        <v>2176</v>
      </c>
      <c r="O2591" t="s">
        <v>462</v>
      </c>
    </row>
    <row r="2592" spans="1:15" x14ac:dyDescent="0.3">
      <c r="A2592">
        <v>215306</v>
      </c>
      <c r="B2592">
        <v>116</v>
      </c>
      <c r="C2592" t="s">
        <v>568</v>
      </c>
      <c r="D2592" t="s">
        <v>2709</v>
      </c>
      <c r="E2592" t="s">
        <v>2934</v>
      </c>
      <c r="F2592" s="452">
        <v>46078</v>
      </c>
      <c r="G2592">
        <v>20702</v>
      </c>
      <c r="H2592" t="s">
        <v>4006</v>
      </c>
      <c r="I2592" t="s">
        <v>3469</v>
      </c>
      <c r="J2592">
        <v>1</v>
      </c>
      <c r="K2592" t="s">
        <v>3966</v>
      </c>
      <c r="L2592">
        <v>42.9</v>
      </c>
      <c r="M2592">
        <v>42.9</v>
      </c>
      <c r="N2592" t="s">
        <v>4240</v>
      </c>
      <c r="O2592" t="s">
        <v>462</v>
      </c>
    </row>
    <row r="2593" spans="1:15" x14ac:dyDescent="0.3">
      <c r="A2593">
        <v>215306</v>
      </c>
      <c r="B2593">
        <v>116</v>
      </c>
      <c r="C2593" t="s">
        <v>568</v>
      </c>
      <c r="D2593" t="s">
        <v>2709</v>
      </c>
      <c r="E2593" t="s">
        <v>2934</v>
      </c>
      <c r="F2593" s="452">
        <v>46078</v>
      </c>
      <c r="G2593">
        <v>19984</v>
      </c>
      <c r="H2593" t="s">
        <v>3904</v>
      </c>
      <c r="I2593" t="s">
        <v>3469</v>
      </c>
      <c r="J2593">
        <v>12</v>
      </c>
      <c r="K2593" t="s">
        <v>3872</v>
      </c>
      <c r="L2593">
        <v>237.6</v>
      </c>
      <c r="M2593">
        <v>19.8</v>
      </c>
      <c r="N2593" t="s">
        <v>4240</v>
      </c>
      <c r="O2593" t="s">
        <v>462</v>
      </c>
    </row>
    <row r="2594" spans="1:15" x14ac:dyDescent="0.3">
      <c r="A2594">
        <v>215304</v>
      </c>
      <c r="B2594">
        <v>116</v>
      </c>
      <c r="C2594" t="s">
        <v>568</v>
      </c>
      <c r="D2594" t="s">
        <v>2709</v>
      </c>
      <c r="E2594" t="s">
        <v>2935</v>
      </c>
      <c r="F2594" s="452">
        <v>46083</v>
      </c>
      <c r="G2594">
        <v>17017</v>
      </c>
      <c r="H2594" t="s">
        <v>4230</v>
      </c>
      <c r="I2594" t="s">
        <v>4199</v>
      </c>
      <c r="J2594">
        <v>2</v>
      </c>
      <c r="K2594" t="s">
        <v>3888</v>
      </c>
      <c r="L2594">
        <v>6</v>
      </c>
      <c r="M2594">
        <v>3</v>
      </c>
      <c r="N2594" t="s">
        <v>4373</v>
      </c>
      <c r="O2594" t="s">
        <v>463</v>
      </c>
    </row>
    <row r="2595" spans="1:15" x14ac:dyDescent="0.3">
      <c r="A2595">
        <v>215304</v>
      </c>
      <c r="B2595">
        <v>116</v>
      </c>
      <c r="C2595" t="s">
        <v>568</v>
      </c>
      <c r="D2595" t="s">
        <v>2709</v>
      </c>
      <c r="E2595" t="s">
        <v>2935</v>
      </c>
      <c r="F2595" s="452">
        <v>46083</v>
      </c>
      <c r="G2595">
        <v>17498</v>
      </c>
      <c r="H2595" t="s">
        <v>4243</v>
      </c>
      <c r="I2595" t="s">
        <v>4199</v>
      </c>
      <c r="J2595">
        <v>1</v>
      </c>
      <c r="K2595" t="s">
        <v>3881</v>
      </c>
      <c r="L2595">
        <v>21</v>
      </c>
      <c r="M2595">
        <v>21</v>
      </c>
      <c r="N2595" t="s">
        <v>4373</v>
      </c>
      <c r="O2595" t="s">
        <v>463</v>
      </c>
    </row>
    <row r="2596" spans="1:15" x14ac:dyDescent="0.3">
      <c r="A2596">
        <v>215304</v>
      </c>
      <c r="B2596">
        <v>116</v>
      </c>
      <c r="C2596" t="s">
        <v>568</v>
      </c>
      <c r="D2596" t="s">
        <v>2709</v>
      </c>
      <c r="E2596" t="s">
        <v>2935</v>
      </c>
      <c r="F2596" s="452">
        <v>46083</v>
      </c>
      <c r="G2596">
        <v>17397</v>
      </c>
      <c r="H2596" t="s">
        <v>4223</v>
      </c>
      <c r="I2596" t="s">
        <v>4199</v>
      </c>
      <c r="J2596">
        <v>1</v>
      </c>
      <c r="K2596" t="s">
        <v>4224</v>
      </c>
      <c r="L2596">
        <v>31.82</v>
      </c>
      <c r="M2596">
        <v>31.82</v>
      </c>
      <c r="N2596" t="s">
        <v>4373</v>
      </c>
      <c r="O2596" t="s">
        <v>463</v>
      </c>
    </row>
    <row r="2597" spans="1:15" x14ac:dyDescent="0.3">
      <c r="A2597">
        <v>215304</v>
      </c>
      <c r="B2597">
        <v>116</v>
      </c>
      <c r="C2597" t="s">
        <v>568</v>
      </c>
      <c r="D2597" t="s">
        <v>2709</v>
      </c>
      <c r="E2597" t="s">
        <v>2935</v>
      </c>
      <c r="F2597" s="452">
        <v>46083</v>
      </c>
      <c r="G2597">
        <v>17162</v>
      </c>
      <c r="H2597" t="s">
        <v>4209</v>
      </c>
      <c r="I2597" t="s">
        <v>4199</v>
      </c>
      <c r="J2597">
        <v>1</v>
      </c>
      <c r="K2597" t="s">
        <v>3872</v>
      </c>
      <c r="L2597">
        <v>54</v>
      </c>
      <c r="M2597">
        <v>54</v>
      </c>
      <c r="N2597" t="s">
        <v>4373</v>
      </c>
      <c r="O2597" t="s">
        <v>463</v>
      </c>
    </row>
    <row r="2598" spans="1:15" x14ac:dyDescent="0.3">
      <c r="A2598">
        <v>215282</v>
      </c>
      <c r="B2598">
        <v>116</v>
      </c>
      <c r="C2598" t="s">
        <v>568</v>
      </c>
      <c r="D2598" t="s">
        <v>2709</v>
      </c>
      <c r="E2598" t="s">
        <v>2936</v>
      </c>
      <c r="F2598" s="452">
        <v>46085</v>
      </c>
      <c r="G2598">
        <v>20702</v>
      </c>
      <c r="H2598" t="s">
        <v>4006</v>
      </c>
      <c r="I2598" t="s">
        <v>3469</v>
      </c>
      <c r="J2598">
        <v>1</v>
      </c>
      <c r="K2598" t="s">
        <v>3966</v>
      </c>
      <c r="L2598">
        <v>42.9</v>
      </c>
      <c r="M2598">
        <v>42.9</v>
      </c>
      <c r="N2598" t="s">
        <v>4240</v>
      </c>
      <c r="O2598" t="s">
        <v>463</v>
      </c>
    </row>
    <row r="2599" spans="1:15" x14ac:dyDescent="0.3">
      <c r="A2599">
        <v>215282</v>
      </c>
      <c r="B2599">
        <v>116</v>
      </c>
      <c r="C2599" t="s">
        <v>568</v>
      </c>
      <c r="D2599" t="s">
        <v>2709</v>
      </c>
      <c r="E2599" t="s">
        <v>2936</v>
      </c>
      <c r="F2599" s="452">
        <v>46085</v>
      </c>
      <c r="G2599">
        <v>20117</v>
      </c>
      <c r="H2599" t="s">
        <v>4010</v>
      </c>
      <c r="I2599" t="s">
        <v>3469</v>
      </c>
      <c r="J2599">
        <v>2</v>
      </c>
      <c r="K2599" t="s">
        <v>3872</v>
      </c>
      <c r="L2599">
        <v>76.400000000000006</v>
      </c>
      <c r="M2599">
        <v>38.200000000000003</v>
      </c>
      <c r="N2599" t="s">
        <v>4240</v>
      </c>
      <c r="O2599" t="s">
        <v>463</v>
      </c>
    </row>
    <row r="2600" spans="1:15" x14ac:dyDescent="0.3">
      <c r="A2600">
        <v>215282</v>
      </c>
      <c r="B2600">
        <v>116</v>
      </c>
      <c r="C2600" t="s">
        <v>568</v>
      </c>
      <c r="D2600" t="s">
        <v>2709</v>
      </c>
      <c r="E2600" t="s">
        <v>2936</v>
      </c>
      <c r="F2600" s="452">
        <v>46085</v>
      </c>
      <c r="G2600">
        <v>20755</v>
      </c>
      <c r="H2600" t="s">
        <v>4052</v>
      </c>
      <c r="I2600" t="s">
        <v>3469</v>
      </c>
      <c r="J2600">
        <v>1</v>
      </c>
      <c r="K2600" t="s">
        <v>3966</v>
      </c>
      <c r="L2600">
        <v>120</v>
      </c>
      <c r="M2600">
        <v>120</v>
      </c>
      <c r="N2600" t="s">
        <v>4240</v>
      </c>
      <c r="O2600" t="s">
        <v>463</v>
      </c>
    </row>
    <row r="2601" spans="1:15" x14ac:dyDescent="0.3">
      <c r="A2601">
        <v>215280</v>
      </c>
      <c r="B2601">
        <v>116</v>
      </c>
      <c r="C2601" t="s">
        <v>568</v>
      </c>
      <c r="D2601" t="s">
        <v>2385</v>
      </c>
      <c r="E2601" t="s">
        <v>2937</v>
      </c>
      <c r="F2601" s="452">
        <v>46084</v>
      </c>
      <c r="G2601">
        <v>20539</v>
      </c>
      <c r="H2601" t="s">
        <v>3908</v>
      </c>
      <c r="I2601" t="s">
        <v>3469</v>
      </c>
      <c r="J2601">
        <v>10.95</v>
      </c>
      <c r="K2601" t="s">
        <v>3892</v>
      </c>
      <c r="L2601">
        <v>711.43</v>
      </c>
      <c r="M2601">
        <v>64.970776000000001</v>
      </c>
      <c r="N2601" t="s">
        <v>4240</v>
      </c>
      <c r="O2601" t="s">
        <v>463</v>
      </c>
    </row>
    <row r="2602" spans="1:15" x14ac:dyDescent="0.3">
      <c r="A2602">
        <v>214126</v>
      </c>
      <c r="B2602">
        <v>116</v>
      </c>
      <c r="C2602" t="s">
        <v>568</v>
      </c>
      <c r="D2602" t="s">
        <v>2258</v>
      </c>
      <c r="E2602" t="s">
        <v>2938</v>
      </c>
      <c r="F2602" s="452">
        <v>46083</v>
      </c>
      <c r="G2602">
        <v>17006</v>
      </c>
      <c r="H2602" t="s">
        <v>4128</v>
      </c>
      <c r="I2602" t="s">
        <v>3469</v>
      </c>
      <c r="J2602">
        <v>12.2</v>
      </c>
      <c r="K2602" t="s">
        <v>3892</v>
      </c>
      <c r="L2602">
        <v>158.6</v>
      </c>
      <c r="M2602">
        <v>13</v>
      </c>
      <c r="N2602" t="s">
        <v>4240</v>
      </c>
      <c r="O2602" t="s">
        <v>463</v>
      </c>
    </row>
    <row r="2603" spans="1:15" x14ac:dyDescent="0.3">
      <c r="A2603">
        <v>214124</v>
      </c>
      <c r="B2603">
        <v>116</v>
      </c>
      <c r="C2603" t="s">
        <v>568</v>
      </c>
      <c r="D2603" t="s">
        <v>2683</v>
      </c>
      <c r="E2603" t="s">
        <v>2939</v>
      </c>
      <c r="F2603" s="452">
        <v>46085</v>
      </c>
      <c r="G2603">
        <v>18933</v>
      </c>
      <c r="H2603" t="s">
        <v>3957</v>
      </c>
      <c r="I2603" t="s">
        <v>3469</v>
      </c>
      <c r="J2603">
        <v>5.18</v>
      </c>
      <c r="K2603" t="s">
        <v>3892</v>
      </c>
      <c r="L2603">
        <v>144.38</v>
      </c>
      <c r="M2603">
        <v>27.872586999999999</v>
      </c>
      <c r="N2603" t="s">
        <v>4240</v>
      </c>
      <c r="O2603" t="s">
        <v>463</v>
      </c>
    </row>
    <row r="2604" spans="1:15" x14ac:dyDescent="0.3">
      <c r="A2604">
        <v>213545</v>
      </c>
      <c r="B2604">
        <v>116</v>
      </c>
      <c r="C2604" t="s">
        <v>568</v>
      </c>
      <c r="D2604" t="s">
        <v>2286</v>
      </c>
      <c r="E2604" t="s">
        <v>2940</v>
      </c>
      <c r="F2604" s="452">
        <v>46076</v>
      </c>
      <c r="G2604">
        <v>19506</v>
      </c>
      <c r="H2604" t="s">
        <v>4112</v>
      </c>
      <c r="I2604" t="s">
        <v>3469</v>
      </c>
      <c r="J2604">
        <v>0.2</v>
      </c>
      <c r="K2604" t="s">
        <v>3892</v>
      </c>
      <c r="L2604">
        <v>9</v>
      </c>
      <c r="M2604">
        <v>45</v>
      </c>
      <c r="N2604" t="s">
        <v>4240</v>
      </c>
      <c r="O2604" t="s">
        <v>462</v>
      </c>
    </row>
    <row r="2605" spans="1:15" x14ac:dyDescent="0.3">
      <c r="A2605">
        <v>213545</v>
      </c>
      <c r="B2605">
        <v>116</v>
      </c>
      <c r="C2605" t="s">
        <v>568</v>
      </c>
      <c r="D2605" t="s">
        <v>2286</v>
      </c>
      <c r="E2605" t="s">
        <v>2940</v>
      </c>
      <c r="F2605" s="452">
        <v>46076</v>
      </c>
      <c r="G2605">
        <v>19558</v>
      </c>
      <c r="H2605" t="s">
        <v>4183</v>
      </c>
      <c r="I2605" t="s">
        <v>3469</v>
      </c>
      <c r="J2605">
        <v>1</v>
      </c>
      <c r="K2605" t="s">
        <v>3892</v>
      </c>
      <c r="L2605">
        <v>15</v>
      </c>
      <c r="M2605">
        <v>15</v>
      </c>
      <c r="N2605" t="s">
        <v>4240</v>
      </c>
      <c r="O2605" t="s">
        <v>462</v>
      </c>
    </row>
    <row r="2606" spans="1:15" x14ac:dyDescent="0.3">
      <c r="A2606">
        <v>213545</v>
      </c>
      <c r="B2606">
        <v>116</v>
      </c>
      <c r="C2606" t="s">
        <v>568</v>
      </c>
      <c r="D2606" t="s">
        <v>2286</v>
      </c>
      <c r="E2606" t="s">
        <v>2940</v>
      </c>
      <c r="F2606" s="452">
        <v>46076</v>
      </c>
      <c r="G2606">
        <v>23171</v>
      </c>
      <c r="H2606" t="s">
        <v>4132</v>
      </c>
      <c r="I2606" t="s">
        <v>3469</v>
      </c>
      <c r="J2606">
        <v>3</v>
      </c>
      <c r="K2606" t="s">
        <v>3892</v>
      </c>
      <c r="L2606">
        <v>20.7</v>
      </c>
      <c r="M2606">
        <v>6.9</v>
      </c>
      <c r="N2606" t="s">
        <v>4240</v>
      </c>
      <c r="O2606" t="s">
        <v>462</v>
      </c>
    </row>
    <row r="2607" spans="1:15" x14ac:dyDescent="0.3">
      <c r="A2607">
        <v>213545</v>
      </c>
      <c r="B2607">
        <v>116</v>
      </c>
      <c r="C2607" t="s">
        <v>568</v>
      </c>
      <c r="D2607" t="s">
        <v>2286</v>
      </c>
      <c r="E2607" t="s">
        <v>2940</v>
      </c>
      <c r="F2607" s="452">
        <v>46076</v>
      </c>
      <c r="G2607">
        <v>23359</v>
      </c>
      <c r="H2607" t="s">
        <v>3932</v>
      </c>
      <c r="I2607" t="s">
        <v>3469</v>
      </c>
      <c r="J2607">
        <v>6</v>
      </c>
      <c r="K2607" t="s">
        <v>3892</v>
      </c>
      <c r="L2607">
        <v>15.6</v>
      </c>
      <c r="M2607">
        <v>2.6</v>
      </c>
      <c r="N2607" t="s">
        <v>4240</v>
      </c>
      <c r="O2607" t="s">
        <v>462</v>
      </c>
    </row>
    <row r="2608" spans="1:15" x14ac:dyDescent="0.3">
      <c r="A2608">
        <v>213544</v>
      </c>
      <c r="B2608">
        <v>116</v>
      </c>
      <c r="C2608" t="s">
        <v>568</v>
      </c>
      <c r="D2608" t="s">
        <v>2286</v>
      </c>
      <c r="E2608" t="s">
        <v>2941</v>
      </c>
      <c r="F2608" s="452">
        <v>46079</v>
      </c>
      <c r="G2608">
        <v>19506</v>
      </c>
      <c r="H2608" t="s">
        <v>4112</v>
      </c>
      <c r="I2608" t="s">
        <v>3469</v>
      </c>
      <c r="J2608">
        <v>0.2</v>
      </c>
      <c r="K2608" t="s">
        <v>3892</v>
      </c>
      <c r="L2608">
        <v>7.6</v>
      </c>
      <c r="M2608">
        <v>38</v>
      </c>
      <c r="N2608" t="s">
        <v>4240</v>
      </c>
      <c r="O2608" t="s">
        <v>462</v>
      </c>
    </row>
    <row r="2609" spans="1:15" x14ac:dyDescent="0.3">
      <c r="A2609">
        <v>213544</v>
      </c>
      <c r="B2609">
        <v>116</v>
      </c>
      <c r="C2609" t="s">
        <v>568</v>
      </c>
      <c r="D2609" t="s">
        <v>2286</v>
      </c>
      <c r="E2609" t="s">
        <v>2941</v>
      </c>
      <c r="F2609" s="452">
        <v>46079</v>
      </c>
      <c r="G2609">
        <v>19623</v>
      </c>
      <c r="H2609" t="s">
        <v>3984</v>
      </c>
      <c r="I2609" t="s">
        <v>3469</v>
      </c>
      <c r="J2609">
        <v>3</v>
      </c>
      <c r="K2609" t="s">
        <v>3892</v>
      </c>
      <c r="L2609">
        <v>10.199999999999999</v>
      </c>
      <c r="M2609">
        <v>3.4</v>
      </c>
      <c r="N2609" t="s">
        <v>4240</v>
      </c>
      <c r="O2609" t="s">
        <v>462</v>
      </c>
    </row>
    <row r="2610" spans="1:15" x14ac:dyDescent="0.3">
      <c r="A2610">
        <v>213544</v>
      </c>
      <c r="B2610">
        <v>116</v>
      </c>
      <c r="C2610" t="s">
        <v>568</v>
      </c>
      <c r="D2610" t="s">
        <v>2286</v>
      </c>
      <c r="E2610" t="s">
        <v>2941</v>
      </c>
      <c r="F2610" s="452">
        <v>46079</v>
      </c>
      <c r="G2610">
        <v>19480</v>
      </c>
      <c r="H2610" t="s">
        <v>4113</v>
      </c>
      <c r="I2610" t="s">
        <v>3469</v>
      </c>
      <c r="J2610">
        <v>0.2</v>
      </c>
      <c r="K2610" t="s">
        <v>3892</v>
      </c>
      <c r="L2610">
        <v>3.4</v>
      </c>
      <c r="M2610">
        <v>17</v>
      </c>
      <c r="N2610" t="s">
        <v>4240</v>
      </c>
      <c r="O2610" t="s">
        <v>462</v>
      </c>
    </row>
    <row r="2611" spans="1:15" x14ac:dyDescent="0.3">
      <c r="A2611">
        <v>213544</v>
      </c>
      <c r="B2611">
        <v>116</v>
      </c>
      <c r="C2611" t="s">
        <v>568</v>
      </c>
      <c r="D2611" t="s">
        <v>2286</v>
      </c>
      <c r="E2611" t="s">
        <v>2941</v>
      </c>
      <c r="F2611" s="452">
        <v>46079</v>
      </c>
      <c r="G2611">
        <v>19740</v>
      </c>
      <c r="H2611" t="s">
        <v>3933</v>
      </c>
      <c r="I2611" t="s">
        <v>3469</v>
      </c>
      <c r="J2611">
        <v>4</v>
      </c>
      <c r="K2611" t="s">
        <v>3892</v>
      </c>
      <c r="L2611">
        <v>60</v>
      </c>
      <c r="M2611">
        <v>15</v>
      </c>
      <c r="N2611" t="s">
        <v>4240</v>
      </c>
      <c r="O2611" t="s">
        <v>462</v>
      </c>
    </row>
    <row r="2612" spans="1:15" x14ac:dyDescent="0.3">
      <c r="A2612">
        <v>213544</v>
      </c>
      <c r="B2612">
        <v>116</v>
      </c>
      <c r="C2612" t="s">
        <v>568</v>
      </c>
      <c r="D2612" t="s">
        <v>2286</v>
      </c>
      <c r="E2612" t="s">
        <v>2941</v>
      </c>
      <c r="F2612" s="452">
        <v>46079</v>
      </c>
      <c r="G2612">
        <v>19494</v>
      </c>
      <c r="H2612" t="s">
        <v>4126</v>
      </c>
      <c r="I2612" t="s">
        <v>3469</v>
      </c>
      <c r="J2612">
        <v>1</v>
      </c>
      <c r="K2612" t="s">
        <v>3892</v>
      </c>
      <c r="L2612">
        <v>18</v>
      </c>
      <c r="M2612">
        <v>18</v>
      </c>
      <c r="N2612" t="s">
        <v>4240</v>
      </c>
      <c r="O2612" t="s">
        <v>462</v>
      </c>
    </row>
    <row r="2613" spans="1:15" x14ac:dyDescent="0.3">
      <c r="A2613">
        <v>213544</v>
      </c>
      <c r="B2613">
        <v>116</v>
      </c>
      <c r="C2613" t="s">
        <v>568</v>
      </c>
      <c r="D2613" t="s">
        <v>2286</v>
      </c>
      <c r="E2613" t="s">
        <v>2941</v>
      </c>
      <c r="F2613" s="452">
        <v>46079</v>
      </c>
      <c r="G2613">
        <v>23113</v>
      </c>
      <c r="H2613" t="s">
        <v>4079</v>
      </c>
      <c r="I2613" t="s">
        <v>3469</v>
      </c>
      <c r="J2613">
        <v>1.5</v>
      </c>
      <c r="K2613" t="s">
        <v>3892</v>
      </c>
      <c r="L2613">
        <v>17.25</v>
      </c>
      <c r="M2613">
        <v>11.5</v>
      </c>
      <c r="N2613" t="s">
        <v>4240</v>
      </c>
      <c r="O2613" t="s">
        <v>462</v>
      </c>
    </row>
    <row r="2614" spans="1:15" x14ac:dyDescent="0.3">
      <c r="A2614">
        <v>213544</v>
      </c>
      <c r="B2614">
        <v>116</v>
      </c>
      <c r="C2614" t="s">
        <v>568</v>
      </c>
      <c r="D2614" t="s">
        <v>2286</v>
      </c>
      <c r="E2614" t="s">
        <v>2941</v>
      </c>
      <c r="F2614" s="452">
        <v>46079</v>
      </c>
      <c r="G2614">
        <v>23120</v>
      </c>
      <c r="H2614" t="s">
        <v>4111</v>
      </c>
      <c r="I2614" t="s">
        <v>3469</v>
      </c>
      <c r="J2614">
        <v>0.2</v>
      </c>
      <c r="K2614" t="s">
        <v>3892</v>
      </c>
      <c r="L2614">
        <v>13</v>
      </c>
      <c r="M2614">
        <v>65</v>
      </c>
      <c r="N2614" t="s">
        <v>4240</v>
      </c>
      <c r="O2614" t="s">
        <v>462</v>
      </c>
    </row>
    <row r="2615" spans="1:15" x14ac:dyDescent="0.3">
      <c r="A2615">
        <v>213544</v>
      </c>
      <c r="B2615">
        <v>116</v>
      </c>
      <c r="C2615" t="s">
        <v>568</v>
      </c>
      <c r="D2615" t="s">
        <v>2286</v>
      </c>
      <c r="E2615" t="s">
        <v>2941</v>
      </c>
      <c r="F2615" s="452">
        <v>46079</v>
      </c>
      <c r="G2615">
        <v>23236</v>
      </c>
      <c r="H2615" t="s">
        <v>4017</v>
      </c>
      <c r="I2615" t="s">
        <v>3469</v>
      </c>
      <c r="J2615">
        <v>3</v>
      </c>
      <c r="K2615" t="s">
        <v>3892</v>
      </c>
      <c r="L2615">
        <v>28.5</v>
      </c>
      <c r="M2615">
        <v>9.5</v>
      </c>
      <c r="N2615" t="s">
        <v>4240</v>
      </c>
      <c r="O2615" t="s">
        <v>462</v>
      </c>
    </row>
    <row r="2616" spans="1:15" x14ac:dyDescent="0.3">
      <c r="A2616">
        <v>213544</v>
      </c>
      <c r="B2616">
        <v>116</v>
      </c>
      <c r="C2616" t="s">
        <v>568</v>
      </c>
      <c r="D2616" t="s">
        <v>2286</v>
      </c>
      <c r="E2616" t="s">
        <v>2941</v>
      </c>
      <c r="F2616" s="452">
        <v>46079</v>
      </c>
      <c r="G2616">
        <v>23359</v>
      </c>
      <c r="H2616" t="s">
        <v>3932</v>
      </c>
      <c r="I2616" t="s">
        <v>3469</v>
      </c>
      <c r="J2616">
        <v>10</v>
      </c>
      <c r="K2616" t="s">
        <v>3892</v>
      </c>
      <c r="L2616">
        <v>24</v>
      </c>
      <c r="M2616">
        <v>2.4</v>
      </c>
      <c r="N2616" t="s">
        <v>4240</v>
      </c>
      <c r="O2616" t="s">
        <v>462</v>
      </c>
    </row>
    <row r="2617" spans="1:15" x14ac:dyDescent="0.3">
      <c r="A2617">
        <v>213544</v>
      </c>
      <c r="B2617">
        <v>116</v>
      </c>
      <c r="C2617" t="s">
        <v>568</v>
      </c>
      <c r="D2617" t="s">
        <v>2286</v>
      </c>
      <c r="E2617" t="s">
        <v>2941</v>
      </c>
      <c r="F2617" s="452">
        <v>46079</v>
      </c>
      <c r="G2617">
        <v>23389</v>
      </c>
      <c r="H2617" t="s">
        <v>4016</v>
      </c>
      <c r="I2617" t="s">
        <v>3469</v>
      </c>
      <c r="J2617">
        <v>6</v>
      </c>
      <c r="K2617" t="s">
        <v>3892</v>
      </c>
      <c r="L2617">
        <v>33</v>
      </c>
      <c r="M2617">
        <v>5.5</v>
      </c>
      <c r="N2617" t="s">
        <v>4240</v>
      </c>
      <c r="O2617" t="s">
        <v>462</v>
      </c>
    </row>
    <row r="2618" spans="1:15" x14ac:dyDescent="0.3">
      <c r="A2618">
        <v>213544</v>
      </c>
      <c r="B2618">
        <v>116</v>
      </c>
      <c r="C2618" t="s">
        <v>568</v>
      </c>
      <c r="D2618" t="s">
        <v>2286</v>
      </c>
      <c r="E2618" t="s">
        <v>2941</v>
      </c>
      <c r="F2618" s="452">
        <v>46079</v>
      </c>
      <c r="G2618">
        <v>24037</v>
      </c>
      <c r="H2618" t="s">
        <v>4104</v>
      </c>
      <c r="I2618" t="s">
        <v>3469</v>
      </c>
      <c r="J2618">
        <v>2</v>
      </c>
      <c r="K2618" t="s">
        <v>3892</v>
      </c>
      <c r="L2618">
        <v>39</v>
      </c>
      <c r="M2618">
        <v>19.5</v>
      </c>
      <c r="N2618" t="s">
        <v>4240</v>
      </c>
      <c r="O2618" t="s">
        <v>462</v>
      </c>
    </row>
    <row r="2619" spans="1:15" x14ac:dyDescent="0.3">
      <c r="A2619">
        <v>213543</v>
      </c>
      <c r="B2619">
        <v>116</v>
      </c>
      <c r="C2619" t="s">
        <v>568</v>
      </c>
      <c r="D2619" t="s">
        <v>2286</v>
      </c>
      <c r="E2619" t="s">
        <v>2942</v>
      </c>
      <c r="F2619" s="452">
        <v>46080</v>
      </c>
      <c r="G2619">
        <v>23113</v>
      </c>
      <c r="H2619" t="s">
        <v>4079</v>
      </c>
      <c r="I2619" t="s">
        <v>3469</v>
      </c>
      <c r="J2619">
        <v>1</v>
      </c>
      <c r="K2619" t="s">
        <v>3892</v>
      </c>
      <c r="L2619">
        <v>11.5</v>
      </c>
      <c r="M2619">
        <v>11.5</v>
      </c>
      <c r="N2619" t="s">
        <v>4240</v>
      </c>
      <c r="O2619" t="s">
        <v>462</v>
      </c>
    </row>
    <row r="2620" spans="1:15" x14ac:dyDescent="0.3">
      <c r="A2620">
        <v>213539</v>
      </c>
      <c r="B2620">
        <v>116</v>
      </c>
      <c r="C2620" t="s">
        <v>568</v>
      </c>
      <c r="D2620" t="s">
        <v>2332</v>
      </c>
      <c r="E2620" t="s">
        <v>2943</v>
      </c>
      <c r="F2620" s="452">
        <v>46078</v>
      </c>
      <c r="G2620">
        <v>18200</v>
      </c>
      <c r="H2620" t="s">
        <v>4032</v>
      </c>
      <c r="I2620" t="s">
        <v>3497</v>
      </c>
      <c r="J2620">
        <v>1</v>
      </c>
      <c r="K2620" t="s">
        <v>3878</v>
      </c>
      <c r="L2620">
        <v>36.799999999999997</v>
      </c>
      <c r="M2620">
        <v>36.799999999999997</v>
      </c>
      <c r="N2620" t="s">
        <v>3497</v>
      </c>
      <c r="O2620" t="s">
        <v>462</v>
      </c>
    </row>
    <row r="2621" spans="1:15" x14ac:dyDescent="0.3">
      <c r="A2621">
        <v>213539</v>
      </c>
      <c r="B2621">
        <v>116</v>
      </c>
      <c r="C2621" t="s">
        <v>568</v>
      </c>
      <c r="D2621" t="s">
        <v>2332</v>
      </c>
      <c r="E2621" t="s">
        <v>2943</v>
      </c>
      <c r="F2621" s="452">
        <v>46078</v>
      </c>
      <c r="G2621">
        <v>18545</v>
      </c>
      <c r="H2621" t="s">
        <v>4099</v>
      </c>
      <c r="I2621" t="s">
        <v>3497</v>
      </c>
      <c r="J2621">
        <v>3</v>
      </c>
      <c r="K2621" t="s">
        <v>3878</v>
      </c>
      <c r="L2621">
        <v>143.69999999999999</v>
      </c>
      <c r="M2621">
        <v>47.9</v>
      </c>
      <c r="N2621" t="s">
        <v>3497</v>
      </c>
      <c r="O2621" t="s">
        <v>462</v>
      </c>
    </row>
    <row r="2622" spans="1:15" x14ac:dyDescent="0.3">
      <c r="A2622">
        <v>213536</v>
      </c>
      <c r="B2622">
        <v>116</v>
      </c>
      <c r="C2622" t="s">
        <v>568</v>
      </c>
      <c r="D2622" t="s">
        <v>2332</v>
      </c>
      <c r="E2622" t="s">
        <v>2944</v>
      </c>
      <c r="F2622" s="452">
        <v>46078</v>
      </c>
      <c r="G2622">
        <v>18447</v>
      </c>
      <c r="H2622" t="s">
        <v>4027</v>
      </c>
      <c r="I2622" t="s">
        <v>3497</v>
      </c>
      <c r="J2622">
        <v>12</v>
      </c>
      <c r="K2622" t="s">
        <v>3878</v>
      </c>
      <c r="L2622">
        <v>149.88</v>
      </c>
      <c r="M2622">
        <v>12.49</v>
      </c>
      <c r="N2622" t="s">
        <v>3497</v>
      </c>
      <c r="O2622" t="s">
        <v>462</v>
      </c>
    </row>
    <row r="2623" spans="1:15" x14ac:dyDescent="0.3">
      <c r="A2623">
        <v>213534</v>
      </c>
      <c r="B2623">
        <v>116</v>
      </c>
      <c r="C2623" t="s">
        <v>568</v>
      </c>
      <c r="D2623" t="s">
        <v>2271</v>
      </c>
      <c r="E2623" t="s">
        <v>2945</v>
      </c>
      <c r="F2623" s="452">
        <v>46079</v>
      </c>
      <c r="G2623">
        <v>18111</v>
      </c>
      <c r="H2623" t="s">
        <v>4047</v>
      </c>
      <c r="I2623" t="s">
        <v>3497</v>
      </c>
      <c r="J2623">
        <v>2</v>
      </c>
      <c r="K2623" t="s">
        <v>3878</v>
      </c>
      <c r="L2623">
        <v>183.8</v>
      </c>
      <c r="M2623">
        <v>91.9</v>
      </c>
      <c r="N2623" t="s">
        <v>3497</v>
      </c>
      <c r="O2623" t="s">
        <v>462</v>
      </c>
    </row>
    <row r="2624" spans="1:15" x14ac:dyDescent="0.3">
      <c r="A2624">
        <v>213530</v>
      </c>
      <c r="B2624">
        <v>116</v>
      </c>
      <c r="C2624" t="s">
        <v>568</v>
      </c>
      <c r="D2624" t="s">
        <v>2342</v>
      </c>
      <c r="E2624" t="s">
        <v>2946</v>
      </c>
      <c r="F2624" s="452">
        <v>46076</v>
      </c>
      <c r="G2624">
        <v>24351</v>
      </c>
      <c r="H2624" t="s">
        <v>3912</v>
      </c>
      <c r="I2624" t="s">
        <v>3469</v>
      </c>
      <c r="J2624">
        <v>20</v>
      </c>
      <c r="K2624" t="s">
        <v>3892</v>
      </c>
      <c r="L2624">
        <v>240</v>
      </c>
      <c r="M2624">
        <v>12</v>
      </c>
      <c r="N2624" t="s">
        <v>3469</v>
      </c>
      <c r="O2624" t="s">
        <v>462</v>
      </c>
    </row>
    <row r="2625" spans="1:15" x14ac:dyDescent="0.3">
      <c r="A2625">
        <v>213520</v>
      </c>
      <c r="B2625">
        <v>116</v>
      </c>
      <c r="C2625" t="s">
        <v>568</v>
      </c>
      <c r="D2625" t="s">
        <v>2260</v>
      </c>
      <c r="E2625" t="s">
        <v>2947</v>
      </c>
      <c r="F2625" s="452">
        <v>46076</v>
      </c>
      <c r="G2625">
        <v>24072</v>
      </c>
      <c r="H2625" t="s">
        <v>4002</v>
      </c>
      <c r="I2625" t="s">
        <v>3469</v>
      </c>
      <c r="J2625">
        <v>3</v>
      </c>
      <c r="K2625" t="s">
        <v>3892</v>
      </c>
      <c r="L2625">
        <v>660</v>
      </c>
      <c r="M2625">
        <v>220</v>
      </c>
      <c r="N2625" t="s">
        <v>4240</v>
      </c>
      <c r="O2625" t="s">
        <v>462</v>
      </c>
    </row>
    <row r="2626" spans="1:15" x14ac:dyDescent="0.3">
      <c r="A2626">
        <v>213520</v>
      </c>
      <c r="B2626">
        <v>116</v>
      </c>
      <c r="C2626" t="s">
        <v>568</v>
      </c>
      <c r="D2626" t="s">
        <v>2260</v>
      </c>
      <c r="E2626" t="s">
        <v>2947</v>
      </c>
      <c r="F2626" s="452">
        <v>46076</v>
      </c>
      <c r="G2626">
        <v>22734</v>
      </c>
      <c r="H2626" t="s">
        <v>3955</v>
      </c>
      <c r="I2626" t="s">
        <v>3469</v>
      </c>
      <c r="J2626">
        <v>10.4</v>
      </c>
      <c r="K2626" t="s">
        <v>3892</v>
      </c>
      <c r="L2626">
        <v>1029.5999999999999</v>
      </c>
      <c r="M2626">
        <v>99</v>
      </c>
      <c r="N2626" t="s">
        <v>4240</v>
      </c>
      <c r="O2626" t="s">
        <v>462</v>
      </c>
    </row>
    <row r="2627" spans="1:15" x14ac:dyDescent="0.3">
      <c r="A2627">
        <v>213517</v>
      </c>
      <c r="B2627">
        <v>116</v>
      </c>
      <c r="C2627" t="s">
        <v>568</v>
      </c>
      <c r="D2627" t="s">
        <v>2267</v>
      </c>
      <c r="E2627" t="s">
        <v>2948</v>
      </c>
      <c r="F2627" s="452">
        <v>46079</v>
      </c>
      <c r="G2627">
        <v>24517</v>
      </c>
      <c r="H2627" t="s">
        <v>3991</v>
      </c>
      <c r="I2627" t="s">
        <v>3469</v>
      </c>
      <c r="J2627">
        <v>10</v>
      </c>
      <c r="K2627" t="s">
        <v>3892</v>
      </c>
      <c r="L2627">
        <v>279.89999999999998</v>
      </c>
      <c r="M2627">
        <v>27.99</v>
      </c>
      <c r="N2627" t="s">
        <v>4240</v>
      </c>
      <c r="O2627" t="s">
        <v>462</v>
      </c>
    </row>
    <row r="2628" spans="1:15" x14ac:dyDescent="0.3">
      <c r="A2628">
        <v>213517</v>
      </c>
      <c r="B2628">
        <v>116</v>
      </c>
      <c r="C2628" t="s">
        <v>568</v>
      </c>
      <c r="D2628" t="s">
        <v>2267</v>
      </c>
      <c r="E2628" t="s">
        <v>2948</v>
      </c>
      <c r="F2628" s="452">
        <v>46079</v>
      </c>
      <c r="G2628">
        <v>18682</v>
      </c>
      <c r="H2628" t="s">
        <v>4025</v>
      </c>
      <c r="I2628" t="s">
        <v>3469</v>
      </c>
      <c r="J2628">
        <v>9.6999999999999993</v>
      </c>
      <c r="K2628" t="s">
        <v>3892</v>
      </c>
      <c r="L2628">
        <v>271.5</v>
      </c>
      <c r="M2628">
        <v>27.989691000000001</v>
      </c>
      <c r="N2628" t="s">
        <v>4240</v>
      </c>
      <c r="O2628" t="s">
        <v>462</v>
      </c>
    </row>
    <row r="2629" spans="1:15" x14ac:dyDescent="0.3">
      <c r="A2629">
        <v>213517</v>
      </c>
      <c r="B2629">
        <v>116</v>
      </c>
      <c r="C2629" t="s">
        <v>568</v>
      </c>
      <c r="D2629" t="s">
        <v>2267</v>
      </c>
      <c r="E2629" t="s">
        <v>2948</v>
      </c>
      <c r="F2629" s="452">
        <v>46079</v>
      </c>
      <c r="G2629">
        <v>18696</v>
      </c>
      <c r="H2629" t="s">
        <v>3956</v>
      </c>
      <c r="I2629" t="s">
        <v>3469</v>
      </c>
      <c r="J2629">
        <v>5.2</v>
      </c>
      <c r="K2629" t="s">
        <v>3892</v>
      </c>
      <c r="L2629">
        <v>93.55</v>
      </c>
      <c r="M2629">
        <v>17.990385</v>
      </c>
      <c r="N2629" t="s">
        <v>4240</v>
      </c>
      <c r="O2629" t="s">
        <v>462</v>
      </c>
    </row>
    <row r="2630" spans="1:15" x14ac:dyDescent="0.3">
      <c r="A2630">
        <v>213517</v>
      </c>
      <c r="B2630">
        <v>116</v>
      </c>
      <c r="C2630" t="s">
        <v>568</v>
      </c>
      <c r="D2630" t="s">
        <v>2267</v>
      </c>
      <c r="E2630" t="s">
        <v>2948</v>
      </c>
      <c r="F2630" s="452">
        <v>46079</v>
      </c>
      <c r="G2630">
        <v>24343</v>
      </c>
      <c r="H2630" t="s">
        <v>3990</v>
      </c>
      <c r="I2630" t="s">
        <v>3469</v>
      </c>
      <c r="J2630">
        <v>3</v>
      </c>
      <c r="L2630">
        <v>74.97</v>
      </c>
      <c r="M2630">
        <v>24.99</v>
      </c>
      <c r="N2630" t="s">
        <v>4240</v>
      </c>
      <c r="O2630" t="s">
        <v>462</v>
      </c>
    </row>
    <row r="2631" spans="1:15" x14ac:dyDescent="0.3">
      <c r="A2631">
        <v>213512</v>
      </c>
      <c r="B2631">
        <v>116</v>
      </c>
      <c r="C2631" t="s">
        <v>568</v>
      </c>
      <c r="D2631" t="s">
        <v>2361</v>
      </c>
      <c r="E2631" t="s">
        <v>2949</v>
      </c>
      <c r="F2631" s="452">
        <v>46078</v>
      </c>
      <c r="G2631">
        <v>26627</v>
      </c>
      <c r="H2631" t="s">
        <v>4237</v>
      </c>
      <c r="I2631" t="s">
        <v>3469</v>
      </c>
      <c r="J2631">
        <v>20</v>
      </c>
      <c r="K2631" t="s">
        <v>3892</v>
      </c>
      <c r="L2631">
        <v>159.4</v>
      </c>
      <c r="M2631">
        <v>7.97</v>
      </c>
      <c r="N2631" t="s">
        <v>3469</v>
      </c>
      <c r="O2631" t="s">
        <v>462</v>
      </c>
    </row>
    <row r="2632" spans="1:15" x14ac:dyDescent="0.3">
      <c r="A2632">
        <v>213508</v>
      </c>
      <c r="B2632">
        <v>116</v>
      </c>
      <c r="C2632" t="s">
        <v>568</v>
      </c>
      <c r="D2632" t="s">
        <v>2320</v>
      </c>
      <c r="E2632" t="s">
        <v>2950</v>
      </c>
      <c r="F2632" s="452">
        <v>46077</v>
      </c>
      <c r="G2632">
        <v>22857</v>
      </c>
      <c r="H2632" t="s">
        <v>4130</v>
      </c>
      <c r="I2632" t="s">
        <v>3469</v>
      </c>
      <c r="J2632">
        <v>18.010000000000002</v>
      </c>
      <c r="K2632" t="s">
        <v>3892</v>
      </c>
      <c r="L2632">
        <v>1206.1500000000001</v>
      </c>
      <c r="M2632">
        <v>66.971126999999996</v>
      </c>
      <c r="N2632" t="s">
        <v>3469</v>
      </c>
      <c r="O2632" t="s">
        <v>462</v>
      </c>
    </row>
    <row r="2633" spans="1:15" x14ac:dyDescent="0.3">
      <c r="A2633">
        <v>213305</v>
      </c>
      <c r="B2633">
        <v>116</v>
      </c>
      <c r="C2633" t="s">
        <v>568</v>
      </c>
      <c r="D2633" t="s">
        <v>2367</v>
      </c>
      <c r="E2633" t="s">
        <v>2951</v>
      </c>
      <c r="F2633" s="452">
        <v>46079</v>
      </c>
      <c r="G2633">
        <v>19346</v>
      </c>
      <c r="H2633" t="s">
        <v>3948</v>
      </c>
      <c r="I2633" t="s">
        <v>3469</v>
      </c>
      <c r="J2633">
        <v>5.67</v>
      </c>
      <c r="K2633" t="s">
        <v>3892</v>
      </c>
      <c r="L2633">
        <v>330.56</v>
      </c>
      <c r="M2633">
        <v>58.299824000000001</v>
      </c>
      <c r="N2633" t="s">
        <v>4240</v>
      </c>
      <c r="O2633" t="s">
        <v>462</v>
      </c>
    </row>
    <row r="2634" spans="1:15" x14ac:dyDescent="0.3">
      <c r="A2634">
        <v>213250</v>
      </c>
      <c r="B2634">
        <v>116</v>
      </c>
      <c r="C2634" t="s">
        <v>568</v>
      </c>
      <c r="D2634" t="s">
        <v>2265</v>
      </c>
      <c r="E2634" t="s">
        <v>2952</v>
      </c>
      <c r="F2634" s="452">
        <v>46079</v>
      </c>
      <c r="G2634">
        <v>17129</v>
      </c>
      <c r="H2634" t="s">
        <v>4200</v>
      </c>
      <c r="I2634" t="s">
        <v>4199</v>
      </c>
      <c r="J2634">
        <v>1</v>
      </c>
      <c r="K2634" t="s">
        <v>3888</v>
      </c>
      <c r="L2634">
        <v>26.61</v>
      </c>
      <c r="M2634">
        <v>26.61</v>
      </c>
      <c r="N2634" t="s">
        <v>2176</v>
      </c>
      <c r="O2634" t="s">
        <v>462</v>
      </c>
    </row>
    <row r="2635" spans="1:15" x14ac:dyDescent="0.3">
      <c r="A2635">
        <v>213250</v>
      </c>
      <c r="B2635">
        <v>116</v>
      </c>
      <c r="C2635" t="s">
        <v>568</v>
      </c>
      <c r="D2635" t="s">
        <v>2265</v>
      </c>
      <c r="E2635" t="s">
        <v>2952</v>
      </c>
      <c r="F2635" s="452">
        <v>46079</v>
      </c>
      <c r="G2635">
        <v>17437</v>
      </c>
      <c r="H2635" t="s">
        <v>4198</v>
      </c>
      <c r="I2635" t="s">
        <v>4199</v>
      </c>
      <c r="J2635">
        <v>10</v>
      </c>
      <c r="K2635" t="s">
        <v>3872</v>
      </c>
      <c r="L2635">
        <v>23</v>
      </c>
      <c r="M2635">
        <v>2.2999999999999998</v>
      </c>
      <c r="N2635" t="s">
        <v>2176</v>
      </c>
      <c r="O2635" t="s">
        <v>462</v>
      </c>
    </row>
    <row r="2636" spans="1:15" x14ac:dyDescent="0.3">
      <c r="A2636">
        <v>213250</v>
      </c>
      <c r="B2636">
        <v>116</v>
      </c>
      <c r="C2636" t="s">
        <v>568</v>
      </c>
      <c r="D2636" t="s">
        <v>2265</v>
      </c>
      <c r="E2636" t="s">
        <v>2952</v>
      </c>
      <c r="F2636" s="452">
        <v>46079</v>
      </c>
      <c r="G2636">
        <v>17314</v>
      </c>
      <c r="H2636" t="s">
        <v>4204</v>
      </c>
      <c r="I2636" t="s">
        <v>4199</v>
      </c>
      <c r="J2636">
        <v>2</v>
      </c>
      <c r="K2636" t="s">
        <v>3978</v>
      </c>
      <c r="L2636">
        <v>11.78</v>
      </c>
      <c r="M2636">
        <v>5.89</v>
      </c>
      <c r="N2636" t="s">
        <v>2176</v>
      </c>
      <c r="O2636" t="s">
        <v>462</v>
      </c>
    </row>
    <row r="2637" spans="1:15" x14ac:dyDescent="0.3">
      <c r="A2637">
        <v>213250</v>
      </c>
      <c r="B2637">
        <v>116</v>
      </c>
      <c r="C2637" t="s">
        <v>568</v>
      </c>
      <c r="D2637" t="s">
        <v>2265</v>
      </c>
      <c r="E2637" t="s">
        <v>2952</v>
      </c>
      <c r="F2637" s="452">
        <v>46079</v>
      </c>
      <c r="G2637">
        <v>17474</v>
      </c>
      <c r="H2637" t="s">
        <v>4273</v>
      </c>
      <c r="I2637" t="s">
        <v>4199</v>
      </c>
      <c r="J2637">
        <v>1</v>
      </c>
      <c r="K2637" t="s">
        <v>3881</v>
      </c>
      <c r="L2637">
        <v>78</v>
      </c>
      <c r="M2637">
        <v>78</v>
      </c>
      <c r="N2637" t="s">
        <v>2176</v>
      </c>
      <c r="O2637" t="s">
        <v>462</v>
      </c>
    </row>
    <row r="2638" spans="1:15" x14ac:dyDescent="0.3">
      <c r="A2638">
        <v>213250</v>
      </c>
      <c r="B2638">
        <v>116</v>
      </c>
      <c r="C2638" t="s">
        <v>568</v>
      </c>
      <c r="D2638" t="s">
        <v>2265</v>
      </c>
      <c r="E2638" t="s">
        <v>2952</v>
      </c>
      <c r="F2638" s="452">
        <v>46079</v>
      </c>
      <c r="G2638">
        <v>17416</v>
      </c>
      <c r="H2638" t="s">
        <v>4205</v>
      </c>
      <c r="I2638" t="s">
        <v>4199</v>
      </c>
      <c r="J2638">
        <v>2</v>
      </c>
      <c r="K2638" t="s">
        <v>3881</v>
      </c>
      <c r="L2638">
        <v>97.16</v>
      </c>
      <c r="M2638">
        <v>48.58</v>
      </c>
      <c r="N2638" t="s">
        <v>2176</v>
      </c>
      <c r="O2638" t="s">
        <v>462</v>
      </c>
    </row>
    <row r="2639" spans="1:15" x14ac:dyDescent="0.3">
      <c r="A2639">
        <v>213248</v>
      </c>
      <c r="B2639">
        <v>116</v>
      </c>
      <c r="C2639" t="s">
        <v>568</v>
      </c>
      <c r="D2639" t="s">
        <v>2953</v>
      </c>
      <c r="E2639" t="s">
        <v>2954</v>
      </c>
      <c r="F2639" s="452">
        <v>46079</v>
      </c>
      <c r="G2639">
        <v>27238</v>
      </c>
      <c r="H2639" t="s">
        <v>4374</v>
      </c>
      <c r="I2639" t="s">
        <v>4202</v>
      </c>
      <c r="J2639">
        <v>24</v>
      </c>
      <c r="K2639" t="s">
        <v>4203</v>
      </c>
      <c r="L2639">
        <v>251.76</v>
      </c>
      <c r="M2639">
        <v>10.49</v>
      </c>
      <c r="N2639" t="s">
        <v>4256</v>
      </c>
      <c r="O2639" t="s">
        <v>462</v>
      </c>
    </row>
    <row r="2640" spans="1:15" x14ac:dyDescent="0.3">
      <c r="A2640">
        <v>212900</v>
      </c>
      <c r="B2640">
        <v>116</v>
      </c>
      <c r="C2640" t="s">
        <v>568</v>
      </c>
      <c r="D2640" t="s">
        <v>2776</v>
      </c>
      <c r="E2640" t="s">
        <v>2955</v>
      </c>
      <c r="F2640" s="452">
        <v>46071</v>
      </c>
      <c r="G2640">
        <v>18550</v>
      </c>
      <c r="H2640" t="s">
        <v>4083</v>
      </c>
      <c r="I2640" t="s">
        <v>3497</v>
      </c>
      <c r="J2640">
        <v>1</v>
      </c>
      <c r="K2640" t="s">
        <v>3872</v>
      </c>
      <c r="L2640">
        <v>183</v>
      </c>
      <c r="M2640">
        <v>183</v>
      </c>
      <c r="N2640" t="s">
        <v>3497</v>
      </c>
      <c r="O2640" t="s">
        <v>462</v>
      </c>
    </row>
    <row r="2641" spans="1:15" x14ac:dyDescent="0.3">
      <c r="A2641">
        <v>212899</v>
      </c>
      <c r="B2641">
        <v>116</v>
      </c>
      <c r="C2641" t="s">
        <v>568</v>
      </c>
      <c r="D2641" t="s">
        <v>2338</v>
      </c>
      <c r="E2641" t="s">
        <v>2956</v>
      </c>
      <c r="F2641" s="452">
        <v>46072</v>
      </c>
      <c r="G2641">
        <v>20301</v>
      </c>
      <c r="H2641" t="s">
        <v>4161</v>
      </c>
      <c r="I2641" t="s">
        <v>3469</v>
      </c>
      <c r="J2641">
        <v>6</v>
      </c>
      <c r="K2641" t="s">
        <v>3888</v>
      </c>
      <c r="L2641">
        <v>113.4</v>
      </c>
      <c r="M2641">
        <v>18.899999999999999</v>
      </c>
      <c r="N2641" t="s">
        <v>4240</v>
      </c>
      <c r="O2641" t="s">
        <v>462</v>
      </c>
    </row>
    <row r="2642" spans="1:15" x14ac:dyDescent="0.3">
      <c r="A2642">
        <v>212899</v>
      </c>
      <c r="B2642">
        <v>116</v>
      </c>
      <c r="C2642" t="s">
        <v>568</v>
      </c>
      <c r="D2642" t="s">
        <v>2338</v>
      </c>
      <c r="E2642" t="s">
        <v>2956</v>
      </c>
      <c r="F2642" s="452">
        <v>46072</v>
      </c>
      <c r="G2642">
        <v>21030</v>
      </c>
      <c r="H2642" t="s">
        <v>3890</v>
      </c>
      <c r="I2642" t="s">
        <v>3469</v>
      </c>
      <c r="J2642">
        <v>16</v>
      </c>
      <c r="K2642" t="s">
        <v>3872</v>
      </c>
      <c r="L2642">
        <v>304.95999999999998</v>
      </c>
      <c r="M2642">
        <v>19.059999999999999</v>
      </c>
      <c r="N2642" t="s">
        <v>4240</v>
      </c>
      <c r="O2642" t="s">
        <v>462</v>
      </c>
    </row>
    <row r="2643" spans="1:15" x14ac:dyDescent="0.3">
      <c r="A2643">
        <v>212898</v>
      </c>
      <c r="B2643">
        <v>116</v>
      </c>
      <c r="C2643" t="s">
        <v>568</v>
      </c>
      <c r="D2643" t="s">
        <v>2308</v>
      </c>
      <c r="E2643" t="s">
        <v>2957</v>
      </c>
      <c r="F2643" s="452">
        <v>46072</v>
      </c>
      <c r="G2643">
        <v>28760</v>
      </c>
      <c r="H2643" t="s">
        <v>4188</v>
      </c>
      <c r="I2643" t="s">
        <v>3469</v>
      </c>
      <c r="J2643">
        <v>10.4</v>
      </c>
      <c r="K2643" t="s">
        <v>3892</v>
      </c>
      <c r="L2643">
        <v>634.4</v>
      </c>
      <c r="M2643">
        <v>61</v>
      </c>
      <c r="N2643" t="s">
        <v>3469</v>
      </c>
      <c r="O2643" t="s">
        <v>462</v>
      </c>
    </row>
    <row r="2644" spans="1:15" x14ac:dyDescent="0.3">
      <c r="A2644">
        <v>212896</v>
      </c>
      <c r="B2644">
        <v>116</v>
      </c>
      <c r="C2644" t="s">
        <v>568</v>
      </c>
      <c r="D2644" t="s">
        <v>2308</v>
      </c>
      <c r="E2644" t="s">
        <v>2958</v>
      </c>
      <c r="F2644" s="452">
        <v>46072</v>
      </c>
      <c r="G2644">
        <v>27312</v>
      </c>
      <c r="H2644" t="s">
        <v>3927</v>
      </c>
      <c r="I2644" t="s">
        <v>3469</v>
      </c>
      <c r="J2644">
        <v>16.14</v>
      </c>
      <c r="K2644" t="s">
        <v>3892</v>
      </c>
      <c r="L2644">
        <v>805.39</v>
      </c>
      <c r="M2644">
        <v>49.900247999999998</v>
      </c>
      <c r="N2644" t="s">
        <v>4240</v>
      </c>
      <c r="O2644" t="s">
        <v>462</v>
      </c>
    </row>
    <row r="2645" spans="1:15" x14ac:dyDescent="0.3">
      <c r="A2645">
        <v>212895</v>
      </c>
      <c r="B2645">
        <v>116</v>
      </c>
      <c r="C2645" t="s">
        <v>568</v>
      </c>
      <c r="D2645" t="s">
        <v>2277</v>
      </c>
      <c r="E2645" t="s">
        <v>2959</v>
      </c>
      <c r="F2645" s="452">
        <v>46073</v>
      </c>
      <c r="G2645">
        <v>20227</v>
      </c>
      <c r="H2645" t="s">
        <v>3968</v>
      </c>
      <c r="I2645" t="s">
        <v>3469</v>
      </c>
      <c r="J2645">
        <v>5</v>
      </c>
      <c r="K2645" t="s">
        <v>3888</v>
      </c>
      <c r="L2645">
        <v>57.5</v>
      </c>
      <c r="M2645">
        <v>11.5</v>
      </c>
      <c r="N2645" t="s">
        <v>4240</v>
      </c>
      <c r="O2645" t="s">
        <v>462</v>
      </c>
    </row>
    <row r="2646" spans="1:15" x14ac:dyDescent="0.3">
      <c r="A2646">
        <v>212895</v>
      </c>
      <c r="B2646">
        <v>116</v>
      </c>
      <c r="C2646" t="s">
        <v>568</v>
      </c>
      <c r="D2646" t="s">
        <v>2277</v>
      </c>
      <c r="E2646" t="s">
        <v>2959</v>
      </c>
      <c r="F2646" s="452">
        <v>46073</v>
      </c>
      <c r="G2646">
        <v>21024</v>
      </c>
      <c r="H2646" t="s">
        <v>4180</v>
      </c>
      <c r="I2646" t="s">
        <v>3469</v>
      </c>
      <c r="J2646">
        <v>2</v>
      </c>
      <c r="K2646" t="s">
        <v>3872</v>
      </c>
      <c r="L2646">
        <v>349.06</v>
      </c>
      <c r="M2646">
        <v>174.53</v>
      </c>
      <c r="N2646" t="s">
        <v>4240</v>
      </c>
      <c r="O2646" t="s">
        <v>462</v>
      </c>
    </row>
    <row r="2647" spans="1:15" x14ac:dyDescent="0.3">
      <c r="A2647">
        <v>212895</v>
      </c>
      <c r="B2647">
        <v>116</v>
      </c>
      <c r="C2647" t="s">
        <v>568</v>
      </c>
      <c r="D2647" t="s">
        <v>2277</v>
      </c>
      <c r="E2647" t="s">
        <v>2959</v>
      </c>
      <c r="F2647" s="452">
        <v>46073</v>
      </c>
      <c r="G2647">
        <v>20729</v>
      </c>
      <c r="H2647" t="s">
        <v>3965</v>
      </c>
      <c r="I2647" t="s">
        <v>3469</v>
      </c>
      <c r="J2647">
        <v>2</v>
      </c>
      <c r="K2647" t="s">
        <v>3966</v>
      </c>
      <c r="L2647">
        <v>131.76</v>
      </c>
      <c r="M2647">
        <v>65.88</v>
      </c>
      <c r="N2647" t="s">
        <v>4240</v>
      </c>
      <c r="O2647" t="s">
        <v>462</v>
      </c>
    </row>
    <row r="2648" spans="1:15" x14ac:dyDescent="0.3">
      <c r="A2648">
        <v>212895</v>
      </c>
      <c r="B2648">
        <v>116</v>
      </c>
      <c r="C2648" t="s">
        <v>568</v>
      </c>
      <c r="D2648" t="s">
        <v>2277</v>
      </c>
      <c r="E2648" t="s">
        <v>2959</v>
      </c>
      <c r="F2648" s="452">
        <v>46073</v>
      </c>
      <c r="G2648">
        <v>21093</v>
      </c>
      <c r="H2648" t="s">
        <v>3903</v>
      </c>
      <c r="I2648" t="s">
        <v>3469</v>
      </c>
      <c r="J2648">
        <v>10</v>
      </c>
      <c r="K2648" t="s">
        <v>3872</v>
      </c>
      <c r="L2648">
        <v>43.9</v>
      </c>
      <c r="M2648">
        <v>4.3899999999999997</v>
      </c>
      <c r="N2648" t="s">
        <v>4240</v>
      </c>
      <c r="O2648" t="s">
        <v>462</v>
      </c>
    </row>
    <row r="2649" spans="1:15" x14ac:dyDescent="0.3">
      <c r="A2649">
        <v>212895</v>
      </c>
      <c r="B2649">
        <v>116</v>
      </c>
      <c r="C2649" t="s">
        <v>568</v>
      </c>
      <c r="D2649" t="s">
        <v>2277</v>
      </c>
      <c r="E2649" t="s">
        <v>2959</v>
      </c>
      <c r="F2649" s="452">
        <v>46073</v>
      </c>
      <c r="G2649">
        <v>20752</v>
      </c>
      <c r="H2649" t="s">
        <v>3964</v>
      </c>
      <c r="I2649" t="s">
        <v>3469</v>
      </c>
      <c r="J2649">
        <v>3</v>
      </c>
      <c r="K2649" t="s">
        <v>3872</v>
      </c>
      <c r="L2649">
        <v>308.39999999999998</v>
      </c>
      <c r="M2649">
        <v>102.8</v>
      </c>
      <c r="N2649" t="s">
        <v>4240</v>
      </c>
      <c r="O2649" t="s">
        <v>462</v>
      </c>
    </row>
    <row r="2650" spans="1:15" x14ac:dyDescent="0.3">
      <c r="A2650">
        <v>212895</v>
      </c>
      <c r="B2650">
        <v>116</v>
      </c>
      <c r="C2650" t="s">
        <v>568</v>
      </c>
      <c r="D2650" t="s">
        <v>2277</v>
      </c>
      <c r="E2650" t="s">
        <v>2959</v>
      </c>
      <c r="F2650" s="452">
        <v>46073</v>
      </c>
      <c r="G2650">
        <v>19297</v>
      </c>
      <c r="H2650" t="s">
        <v>3949</v>
      </c>
      <c r="I2650" t="s">
        <v>3469</v>
      </c>
      <c r="J2650">
        <v>7.5</v>
      </c>
      <c r="K2650" t="s">
        <v>3892</v>
      </c>
      <c r="L2650">
        <v>528.75</v>
      </c>
      <c r="M2650">
        <v>70.5</v>
      </c>
      <c r="N2650" t="s">
        <v>4240</v>
      </c>
      <c r="O2650" t="s">
        <v>462</v>
      </c>
    </row>
    <row r="2651" spans="1:15" x14ac:dyDescent="0.3">
      <c r="A2651">
        <v>212895</v>
      </c>
      <c r="B2651">
        <v>116</v>
      </c>
      <c r="C2651" t="s">
        <v>568</v>
      </c>
      <c r="D2651" t="s">
        <v>2277</v>
      </c>
      <c r="E2651" t="s">
        <v>2959</v>
      </c>
      <c r="F2651" s="452">
        <v>46073</v>
      </c>
      <c r="G2651">
        <v>23982</v>
      </c>
      <c r="H2651" t="s">
        <v>3977</v>
      </c>
      <c r="I2651" t="s">
        <v>3469</v>
      </c>
      <c r="J2651">
        <v>1</v>
      </c>
      <c r="K2651" t="s">
        <v>3872</v>
      </c>
      <c r="L2651">
        <v>240.59</v>
      </c>
      <c r="M2651">
        <v>240.59</v>
      </c>
      <c r="N2651" t="s">
        <v>4240</v>
      </c>
      <c r="O2651" t="s">
        <v>462</v>
      </c>
    </row>
    <row r="2652" spans="1:15" x14ac:dyDescent="0.3">
      <c r="A2652">
        <v>212892</v>
      </c>
      <c r="B2652">
        <v>116</v>
      </c>
      <c r="C2652" t="s">
        <v>568</v>
      </c>
      <c r="D2652" t="s">
        <v>2275</v>
      </c>
      <c r="E2652" t="s">
        <v>2960</v>
      </c>
      <c r="F2652" s="452">
        <v>46071</v>
      </c>
      <c r="G2652">
        <v>17958</v>
      </c>
      <c r="H2652" t="s">
        <v>4141</v>
      </c>
      <c r="I2652" t="s">
        <v>3497</v>
      </c>
      <c r="J2652">
        <v>20</v>
      </c>
      <c r="K2652" t="s">
        <v>3888</v>
      </c>
      <c r="L2652">
        <v>354</v>
      </c>
      <c r="M2652">
        <v>17.7</v>
      </c>
      <c r="N2652" t="s">
        <v>4276</v>
      </c>
      <c r="O2652" t="s">
        <v>462</v>
      </c>
    </row>
    <row r="2653" spans="1:15" x14ac:dyDescent="0.3">
      <c r="A2653">
        <v>212892</v>
      </c>
      <c r="B2653">
        <v>116</v>
      </c>
      <c r="C2653" t="s">
        <v>568</v>
      </c>
      <c r="D2653" t="s">
        <v>2275</v>
      </c>
      <c r="E2653" t="s">
        <v>2960</v>
      </c>
      <c r="F2653" s="452">
        <v>46071</v>
      </c>
      <c r="G2653">
        <v>17950</v>
      </c>
      <c r="H2653" t="s">
        <v>4170</v>
      </c>
      <c r="I2653" t="s">
        <v>3497</v>
      </c>
      <c r="J2653">
        <v>15</v>
      </c>
      <c r="K2653" t="s">
        <v>3888</v>
      </c>
      <c r="L2653">
        <v>280.5</v>
      </c>
      <c r="M2653">
        <v>18.7</v>
      </c>
      <c r="N2653" t="s">
        <v>4276</v>
      </c>
      <c r="O2653" t="s">
        <v>462</v>
      </c>
    </row>
    <row r="2654" spans="1:15" x14ac:dyDescent="0.3">
      <c r="A2654">
        <v>212891</v>
      </c>
      <c r="B2654">
        <v>116</v>
      </c>
      <c r="C2654" t="s">
        <v>568</v>
      </c>
      <c r="D2654" t="s">
        <v>2273</v>
      </c>
      <c r="E2654" t="s">
        <v>2961</v>
      </c>
      <c r="F2654" s="452">
        <v>46070</v>
      </c>
      <c r="G2654">
        <v>19642</v>
      </c>
      <c r="H2654" t="s">
        <v>4067</v>
      </c>
      <c r="I2654" t="s">
        <v>3469</v>
      </c>
      <c r="J2654">
        <v>1.06</v>
      </c>
      <c r="K2654" t="s">
        <v>3892</v>
      </c>
      <c r="L2654">
        <v>5.46</v>
      </c>
      <c r="M2654">
        <v>5.1509429999999998</v>
      </c>
      <c r="N2654" t="s">
        <v>4240</v>
      </c>
      <c r="O2654" t="s">
        <v>462</v>
      </c>
    </row>
    <row r="2655" spans="1:15" x14ac:dyDescent="0.3">
      <c r="A2655">
        <v>212891</v>
      </c>
      <c r="B2655">
        <v>116</v>
      </c>
      <c r="C2655" t="s">
        <v>568</v>
      </c>
      <c r="D2655" t="s">
        <v>2273</v>
      </c>
      <c r="E2655" t="s">
        <v>2961</v>
      </c>
      <c r="F2655" s="452">
        <v>46070</v>
      </c>
      <c r="G2655">
        <v>19742</v>
      </c>
      <c r="H2655" t="s">
        <v>4074</v>
      </c>
      <c r="I2655" t="s">
        <v>3469</v>
      </c>
      <c r="J2655">
        <v>1.1000000000000001</v>
      </c>
      <c r="K2655" t="s">
        <v>3892</v>
      </c>
      <c r="L2655">
        <v>9.57</v>
      </c>
      <c r="M2655">
        <v>8.6999999999999993</v>
      </c>
      <c r="N2655" t="s">
        <v>4240</v>
      </c>
      <c r="O2655" t="s">
        <v>462</v>
      </c>
    </row>
    <row r="2656" spans="1:15" x14ac:dyDescent="0.3">
      <c r="A2656">
        <v>212891</v>
      </c>
      <c r="B2656">
        <v>116</v>
      </c>
      <c r="C2656" t="s">
        <v>568</v>
      </c>
      <c r="D2656" t="s">
        <v>2273</v>
      </c>
      <c r="E2656" t="s">
        <v>2961</v>
      </c>
      <c r="F2656" s="452">
        <v>46070</v>
      </c>
      <c r="G2656">
        <v>23171</v>
      </c>
      <c r="H2656" t="s">
        <v>4132</v>
      </c>
      <c r="I2656" t="s">
        <v>3469</v>
      </c>
      <c r="J2656">
        <v>3</v>
      </c>
      <c r="K2656" t="s">
        <v>3892</v>
      </c>
      <c r="L2656">
        <v>21.66</v>
      </c>
      <c r="M2656">
        <v>7.22</v>
      </c>
      <c r="N2656" t="s">
        <v>4240</v>
      </c>
      <c r="O2656" t="s">
        <v>462</v>
      </c>
    </row>
    <row r="2657" spans="1:15" x14ac:dyDescent="0.3">
      <c r="A2657">
        <v>212891</v>
      </c>
      <c r="B2657">
        <v>116</v>
      </c>
      <c r="C2657" t="s">
        <v>568</v>
      </c>
      <c r="D2657" t="s">
        <v>2273</v>
      </c>
      <c r="E2657" t="s">
        <v>2961</v>
      </c>
      <c r="F2657" s="452">
        <v>46070</v>
      </c>
      <c r="G2657">
        <v>23113</v>
      </c>
      <c r="H2657" t="s">
        <v>4079</v>
      </c>
      <c r="I2657" t="s">
        <v>3469</v>
      </c>
      <c r="J2657">
        <v>1.7</v>
      </c>
      <c r="K2657" t="s">
        <v>3892</v>
      </c>
      <c r="L2657">
        <v>18.850000000000001</v>
      </c>
      <c r="M2657">
        <v>11.088234999999999</v>
      </c>
      <c r="N2657" t="s">
        <v>4240</v>
      </c>
      <c r="O2657" t="s">
        <v>462</v>
      </c>
    </row>
    <row r="2658" spans="1:15" x14ac:dyDescent="0.3">
      <c r="A2658">
        <v>212890</v>
      </c>
      <c r="B2658">
        <v>116</v>
      </c>
      <c r="C2658" t="s">
        <v>568</v>
      </c>
      <c r="D2658" t="s">
        <v>2273</v>
      </c>
      <c r="E2658" t="s">
        <v>2962</v>
      </c>
      <c r="F2658" s="452">
        <v>46072</v>
      </c>
      <c r="G2658">
        <v>19634</v>
      </c>
      <c r="H2658" t="s">
        <v>4068</v>
      </c>
      <c r="I2658" t="s">
        <v>3469</v>
      </c>
      <c r="J2658">
        <v>2</v>
      </c>
      <c r="K2658" t="s">
        <v>3892</v>
      </c>
      <c r="L2658">
        <v>13.64</v>
      </c>
      <c r="M2658">
        <v>6.82</v>
      </c>
      <c r="N2658" t="s">
        <v>3469</v>
      </c>
      <c r="O2658" t="s">
        <v>462</v>
      </c>
    </row>
    <row r="2659" spans="1:15" x14ac:dyDescent="0.3">
      <c r="A2659">
        <v>212890</v>
      </c>
      <c r="B2659">
        <v>116</v>
      </c>
      <c r="C2659" t="s">
        <v>568</v>
      </c>
      <c r="D2659" t="s">
        <v>2273</v>
      </c>
      <c r="E2659" t="s">
        <v>2962</v>
      </c>
      <c r="F2659" s="452">
        <v>46072</v>
      </c>
      <c r="G2659">
        <v>19465</v>
      </c>
      <c r="H2659" t="s">
        <v>4080</v>
      </c>
      <c r="I2659" t="s">
        <v>3469</v>
      </c>
      <c r="J2659">
        <v>1.4</v>
      </c>
      <c r="K2659" t="s">
        <v>3892</v>
      </c>
      <c r="L2659">
        <v>9.14</v>
      </c>
      <c r="M2659">
        <v>6.5285710000000003</v>
      </c>
      <c r="N2659" t="s">
        <v>3469</v>
      </c>
      <c r="O2659" t="s">
        <v>462</v>
      </c>
    </row>
    <row r="2660" spans="1:15" x14ac:dyDescent="0.3">
      <c r="A2660">
        <v>212890</v>
      </c>
      <c r="B2660">
        <v>116</v>
      </c>
      <c r="C2660" t="s">
        <v>568</v>
      </c>
      <c r="D2660" t="s">
        <v>2273</v>
      </c>
      <c r="E2660" t="s">
        <v>2962</v>
      </c>
      <c r="F2660" s="452">
        <v>46072</v>
      </c>
      <c r="G2660">
        <v>19555</v>
      </c>
      <c r="H2660" t="s">
        <v>4109</v>
      </c>
      <c r="I2660" t="s">
        <v>3469</v>
      </c>
      <c r="J2660">
        <v>0.5</v>
      </c>
      <c r="K2660" t="s">
        <v>3892</v>
      </c>
      <c r="L2660">
        <v>11.28</v>
      </c>
      <c r="M2660">
        <v>22.56</v>
      </c>
      <c r="N2660" t="s">
        <v>3469</v>
      </c>
      <c r="O2660" t="s">
        <v>462</v>
      </c>
    </row>
    <row r="2661" spans="1:15" x14ac:dyDescent="0.3">
      <c r="A2661">
        <v>212890</v>
      </c>
      <c r="B2661">
        <v>116</v>
      </c>
      <c r="C2661" t="s">
        <v>568</v>
      </c>
      <c r="D2661" t="s">
        <v>2273</v>
      </c>
      <c r="E2661" t="s">
        <v>2962</v>
      </c>
      <c r="F2661" s="452">
        <v>46072</v>
      </c>
      <c r="G2661">
        <v>23171</v>
      </c>
      <c r="H2661" t="s">
        <v>4132</v>
      </c>
      <c r="I2661" t="s">
        <v>3469</v>
      </c>
      <c r="J2661">
        <v>3</v>
      </c>
      <c r="K2661" t="s">
        <v>3892</v>
      </c>
      <c r="L2661">
        <v>22.83</v>
      </c>
      <c r="M2661">
        <v>7.61</v>
      </c>
      <c r="N2661" t="s">
        <v>3469</v>
      </c>
      <c r="O2661" t="s">
        <v>462</v>
      </c>
    </row>
    <row r="2662" spans="1:15" x14ac:dyDescent="0.3">
      <c r="A2662">
        <v>212889</v>
      </c>
      <c r="B2662">
        <v>116</v>
      </c>
      <c r="C2662" t="s">
        <v>568</v>
      </c>
      <c r="D2662" t="s">
        <v>2284</v>
      </c>
      <c r="E2662" t="s">
        <v>2963</v>
      </c>
      <c r="F2662" s="452">
        <v>46072</v>
      </c>
      <c r="G2662">
        <v>20757</v>
      </c>
      <c r="H2662" t="s">
        <v>4050</v>
      </c>
      <c r="I2662" t="s">
        <v>3469</v>
      </c>
      <c r="J2662">
        <v>1</v>
      </c>
      <c r="K2662" t="s">
        <v>3966</v>
      </c>
      <c r="L2662">
        <v>78.3</v>
      </c>
      <c r="M2662">
        <v>78.3</v>
      </c>
      <c r="N2662" t="s">
        <v>4240</v>
      </c>
      <c r="O2662" t="s">
        <v>462</v>
      </c>
    </row>
    <row r="2663" spans="1:15" x14ac:dyDescent="0.3">
      <c r="A2663">
        <v>212889</v>
      </c>
      <c r="B2663">
        <v>116</v>
      </c>
      <c r="C2663" t="s">
        <v>568</v>
      </c>
      <c r="D2663" t="s">
        <v>2284</v>
      </c>
      <c r="E2663" t="s">
        <v>2963</v>
      </c>
      <c r="F2663" s="452">
        <v>46072</v>
      </c>
      <c r="G2663">
        <v>20809</v>
      </c>
      <c r="H2663" t="s">
        <v>4005</v>
      </c>
      <c r="I2663" t="s">
        <v>3469</v>
      </c>
      <c r="J2663">
        <v>2</v>
      </c>
      <c r="K2663" t="s">
        <v>3872</v>
      </c>
      <c r="L2663">
        <v>61.8</v>
      </c>
      <c r="M2663">
        <v>30.9</v>
      </c>
      <c r="N2663" t="s">
        <v>4240</v>
      </c>
      <c r="O2663" t="s">
        <v>462</v>
      </c>
    </row>
    <row r="2664" spans="1:15" x14ac:dyDescent="0.3">
      <c r="A2664">
        <v>212889</v>
      </c>
      <c r="B2664">
        <v>116</v>
      </c>
      <c r="C2664" t="s">
        <v>568</v>
      </c>
      <c r="D2664" t="s">
        <v>2284</v>
      </c>
      <c r="E2664" t="s">
        <v>2963</v>
      </c>
      <c r="F2664" s="452">
        <v>46072</v>
      </c>
      <c r="G2664">
        <v>19324</v>
      </c>
      <c r="H2664" t="s">
        <v>3937</v>
      </c>
      <c r="I2664" t="s">
        <v>3469</v>
      </c>
      <c r="J2664">
        <v>8.14</v>
      </c>
      <c r="K2664" t="s">
        <v>3892</v>
      </c>
      <c r="L2664">
        <v>265.36</v>
      </c>
      <c r="M2664">
        <v>32.599508999999998</v>
      </c>
      <c r="N2664" t="s">
        <v>4240</v>
      </c>
      <c r="O2664" t="s">
        <v>462</v>
      </c>
    </row>
    <row r="2665" spans="1:15" x14ac:dyDescent="0.3">
      <c r="A2665">
        <v>212889</v>
      </c>
      <c r="B2665">
        <v>116</v>
      </c>
      <c r="C2665" t="s">
        <v>568</v>
      </c>
      <c r="D2665" t="s">
        <v>2284</v>
      </c>
      <c r="E2665" t="s">
        <v>2963</v>
      </c>
      <c r="F2665" s="452">
        <v>46072</v>
      </c>
      <c r="G2665">
        <v>20661</v>
      </c>
      <c r="H2665" t="s">
        <v>3919</v>
      </c>
      <c r="I2665" t="s">
        <v>3469</v>
      </c>
      <c r="J2665">
        <v>6</v>
      </c>
      <c r="K2665" t="s">
        <v>3872</v>
      </c>
      <c r="L2665">
        <v>53.1</v>
      </c>
      <c r="M2665">
        <v>8.85</v>
      </c>
      <c r="N2665" t="s">
        <v>4240</v>
      </c>
      <c r="O2665" t="s">
        <v>462</v>
      </c>
    </row>
    <row r="2666" spans="1:15" x14ac:dyDescent="0.3">
      <c r="A2666">
        <v>212889</v>
      </c>
      <c r="B2666">
        <v>116</v>
      </c>
      <c r="C2666" t="s">
        <v>568</v>
      </c>
      <c r="D2666" t="s">
        <v>2284</v>
      </c>
      <c r="E2666" t="s">
        <v>2963</v>
      </c>
      <c r="F2666" s="452">
        <v>46072</v>
      </c>
      <c r="G2666">
        <v>20077</v>
      </c>
      <c r="H2666" t="s">
        <v>4054</v>
      </c>
      <c r="I2666" t="s">
        <v>3469</v>
      </c>
      <c r="J2666">
        <v>1</v>
      </c>
      <c r="K2666" t="s">
        <v>4268</v>
      </c>
      <c r="L2666">
        <v>16.350000000000001</v>
      </c>
      <c r="M2666">
        <v>16.350000000000001</v>
      </c>
      <c r="N2666" t="s">
        <v>4240</v>
      </c>
      <c r="O2666" t="s">
        <v>462</v>
      </c>
    </row>
    <row r="2667" spans="1:15" x14ac:dyDescent="0.3">
      <c r="A2667">
        <v>212889</v>
      </c>
      <c r="B2667">
        <v>116</v>
      </c>
      <c r="C2667" t="s">
        <v>568</v>
      </c>
      <c r="D2667" t="s">
        <v>2284</v>
      </c>
      <c r="E2667" t="s">
        <v>2963</v>
      </c>
      <c r="F2667" s="452">
        <v>46072</v>
      </c>
      <c r="G2667">
        <v>20007</v>
      </c>
      <c r="H2667" t="s">
        <v>4009</v>
      </c>
      <c r="I2667" t="s">
        <v>3469</v>
      </c>
      <c r="J2667">
        <v>1</v>
      </c>
      <c r="K2667" t="s">
        <v>3966</v>
      </c>
      <c r="L2667">
        <v>50.9</v>
      </c>
      <c r="M2667">
        <v>50.9</v>
      </c>
      <c r="N2667" t="s">
        <v>4240</v>
      </c>
      <c r="O2667" t="s">
        <v>462</v>
      </c>
    </row>
    <row r="2668" spans="1:15" x14ac:dyDescent="0.3">
      <c r="A2668">
        <v>212889</v>
      </c>
      <c r="B2668">
        <v>116</v>
      </c>
      <c r="C2668" t="s">
        <v>568</v>
      </c>
      <c r="D2668" t="s">
        <v>2284</v>
      </c>
      <c r="E2668" t="s">
        <v>2963</v>
      </c>
      <c r="F2668" s="452">
        <v>46072</v>
      </c>
      <c r="G2668">
        <v>19415</v>
      </c>
      <c r="H2668" t="s">
        <v>3941</v>
      </c>
      <c r="I2668" t="s">
        <v>3469</v>
      </c>
      <c r="J2668">
        <v>6</v>
      </c>
      <c r="K2668" t="s">
        <v>3872</v>
      </c>
      <c r="L2668">
        <v>52.8</v>
      </c>
      <c r="M2668">
        <v>8.8000000000000007</v>
      </c>
      <c r="N2668" t="s">
        <v>4240</v>
      </c>
      <c r="O2668" t="s">
        <v>462</v>
      </c>
    </row>
    <row r="2669" spans="1:15" x14ac:dyDescent="0.3">
      <c r="A2669">
        <v>212889</v>
      </c>
      <c r="B2669">
        <v>116</v>
      </c>
      <c r="C2669" t="s">
        <v>568</v>
      </c>
      <c r="D2669" t="s">
        <v>2284</v>
      </c>
      <c r="E2669" t="s">
        <v>2963</v>
      </c>
      <c r="F2669" s="452">
        <v>46072</v>
      </c>
      <c r="G2669">
        <v>19973</v>
      </c>
      <c r="H2669" t="s">
        <v>3981</v>
      </c>
      <c r="I2669" t="s">
        <v>3469</v>
      </c>
      <c r="J2669">
        <v>2</v>
      </c>
      <c r="K2669" t="s">
        <v>3872</v>
      </c>
      <c r="L2669">
        <v>30.4</v>
      </c>
      <c r="M2669">
        <v>15.2</v>
      </c>
      <c r="N2669" t="s">
        <v>4240</v>
      </c>
      <c r="O2669" t="s">
        <v>462</v>
      </c>
    </row>
    <row r="2670" spans="1:15" x14ac:dyDescent="0.3">
      <c r="A2670">
        <v>212889</v>
      </c>
      <c r="B2670">
        <v>116</v>
      </c>
      <c r="C2670" t="s">
        <v>568</v>
      </c>
      <c r="D2670" t="s">
        <v>2284</v>
      </c>
      <c r="E2670" t="s">
        <v>2963</v>
      </c>
      <c r="F2670" s="452">
        <v>46072</v>
      </c>
      <c r="G2670">
        <v>19287</v>
      </c>
      <c r="H2670" t="s">
        <v>3974</v>
      </c>
      <c r="I2670" t="s">
        <v>3469</v>
      </c>
      <c r="J2670">
        <v>3.32</v>
      </c>
      <c r="K2670" t="s">
        <v>3892</v>
      </c>
      <c r="L2670">
        <v>127.82</v>
      </c>
      <c r="M2670">
        <v>38.5</v>
      </c>
      <c r="N2670" t="s">
        <v>4240</v>
      </c>
      <c r="O2670" t="s">
        <v>462</v>
      </c>
    </row>
    <row r="2671" spans="1:15" x14ac:dyDescent="0.3">
      <c r="A2671">
        <v>212889</v>
      </c>
      <c r="B2671">
        <v>116</v>
      </c>
      <c r="C2671" t="s">
        <v>568</v>
      </c>
      <c r="D2671" t="s">
        <v>2284</v>
      </c>
      <c r="E2671" t="s">
        <v>2963</v>
      </c>
      <c r="F2671" s="452">
        <v>46072</v>
      </c>
      <c r="G2671">
        <v>20752</v>
      </c>
      <c r="H2671" t="s">
        <v>3964</v>
      </c>
      <c r="I2671" t="s">
        <v>3469</v>
      </c>
      <c r="J2671">
        <v>2</v>
      </c>
      <c r="K2671" t="s">
        <v>3872</v>
      </c>
      <c r="L2671">
        <v>205.8</v>
      </c>
      <c r="M2671">
        <v>102.9</v>
      </c>
      <c r="N2671" t="s">
        <v>4240</v>
      </c>
      <c r="O2671" t="s">
        <v>462</v>
      </c>
    </row>
    <row r="2672" spans="1:15" x14ac:dyDescent="0.3">
      <c r="A2672">
        <v>212889</v>
      </c>
      <c r="B2672">
        <v>116</v>
      </c>
      <c r="C2672" t="s">
        <v>568</v>
      </c>
      <c r="D2672" t="s">
        <v>2284</v>
      </c>
      <c r="E2672" t="s">
        <v>2963</v>
      </c>
      <c r="F2672" s="452">
        <v>46072</v>
      </c>
      <c r="G2672">
        <v>20624</v>
      </c>
      <c r="H2672" t="s">
        <v>3982</v>
      </c>
      <c r="I2672" t="s">
        <v>3469</v>
      </c>
      <c r="J2672">
        <v>1</v>
      </c>
      <c r="K2672" t="s">
        <v>3872</v>
      </c>
      <c r="L2672">
        <v>69.900000000000006</v>
      </c>
      <c r="M2672">
        <v>69.900000000000006</v>
      </c>
      <c r="N2672" t="s">
        <v>4240</v>
      </c>
      <c r="O2672" t="s">
        <v>462</v>
      </c>
    </row>
    <row r="2673" spans="1:15" x14ac:dyDescent="0.3">
      <c r="A2673">
        <v>212888</v>
      </c>
      <c r="B2673">
        <v>116</v>
      </c>
      <c r="C2673" t="s">
        <v>568</v>
      </c>
      <c r="D2673" t="s">
        <v>2288</v>
      </c>
      <c r="E2673" t="s">
        <v>2964</v>
      </c>
      <c r="F2673" s="452">
        <v>46066</v>
      </c>
      <c r="G2673">
        <v>28559</v>
      </c>
      <c r="H2673" t="s">
        <v>4301</v>
      </c>
      <c r="I2673" t="s">
        <v>4217</v>
      </c>
      <c r="J2673">
        <v>1</v>
      </c>
      <c r="K2673" t="s">
        <v>3881</v>
      </c>
      <c r="L2673">
        <v>237</v>
      </c>
      <c r="M2673">
        <v>237</v>
      </c>
      <c r="N2673" t="s">
        <v>4327</v>
      </c>
      <c r="O2673" t="s">
        <v>462</v>
      </c>
    </row>
    <row r="2674" spans="1:15" x14ac:dyDescent="0.3">
      <c r="A2674">
        <v>212888</v>
      </c>
      <c r="B2674">
        <v>116</v>
      </c>
      <c r="C2674" t="s">
        <v>568</v>
      </c>
      <c r="D2674" t="s">
        <v>2288</v>
      </c>
      <c r="E2674" t="s">
        <v>2964</v>
      </c>
      <c r="F2674" s="452">
        <v>46066</v>
      </c>
      <c r="G2674">
        <v>28639</v>
      </c>
      <c r="H2674" t="s">
        <v>4303</v>
      </c>
      <c r="I2674" t="s">
        <v>4217</v>
      </c>
      <c r="J2674">
        <v>1</v>
      </c>
      <c r="K2674" t="s">
        <v>3881</v>
      </c>
      <c r="L2674">
        <v>246</v>
      </c>
      <c r="M2674">
        <v>246</v>
      </c>
      <c r="N2674" t="s">
        <v>4327</v>
      </c>
      <c r="O2674" t="s">
        <v>462</v>
      </c>
    </row>
    <row r="2675" spans="1:15" x14ac:dyDescent="0.3">
      <c r="A2675">
        <v>212888</v>
      </c>
      <c r="B2675">
        <v>116</v>
      </c>
      <c r="C2675" t="s">
        <v>568</v>
      </c>
      <c r="D2675" t="s">
        <v>2288</v>
      </c>
      <c r="E2675" t="s">
        <v>2964</v>
      </c>
      <c r="F2675" s="452">
        <v>46066</v>
      </c>
      <c r="G2675">
        <v>28719</v>
      </c>
      <c r="H2675" t="s">
        <v>4375</v>
      </c>
      <c r="I2675" t="s">
        <v>4217</v>
      </c>
      <c r="J2675">
        <v>1</v>
      </c>
      <c r="K2675" t="s">
        <v>3881</v>
      </c>
      <c r="L2675">
        <v>437</v>
      </c>
      <c r="M2675">
        <v>437</v>
      </c>
      <c r="N2675" t="s">
        <v>4327</v>
      </c>
      <c r="O2675" t="s">
        <v>462</v>
      </c>
    </row>
    <row r="2676" spans="1:15" x14ac:dyDescent="0.3">
      <c r="A2676">
        <v>212888</v>
      </c>
      <c r="B2676">
        <v>116</v>
      </c>
      <c r="C2676" t="s">
        <v>568</v>
      </c>
      <c r="D2676" t="s">
        <v>2288</v>
      </c>
      <c r="E2676" t="s">
        <v>2964</v>
      </c>
      <c r="F2676" s="452">
        <v>46066</v>
      </c>
      <c r="G2676">
        <v>28720</v>
      </c>
      <c r="H2676" t="s">
        <v>4216</v>
      </c>
      <c r="I2676" t="s">
        <v>4217</v>
      </c>
      <c r="J2676">
        <v>1</v>
      </c>
      <c r="K2676" t="s">
        <v>3881</v>
      </c>
      <c r="L2676">
        <v>399</v>
      </c>
      <c r="M2676">
        <v>399</v>
      </c>
      <c r="N2676" t="s">
        <v>4327</v>
      </c>
      <c r="O2676" t="s">
        <v>462</v>
      </c>
    </row>
    <row r="2677" spans="1:15" x14ac:dyDescent="0.3">
      <c r="A2677">
        <v>212888</v>
      </c>
      <c r="B2677">
        <v>116</v>
      </c>
      <c r="C2677" t="s">
        <v>568</v>
      </c>
      <c r="D2677" t="s">
        <v>2288</v>
      </c>
      <c r="E2677" t="s">
        <v>2964</v>
      </c>
      <c r="F2677" s="452">
        <v>46066</v>
      </c>
      <c r="G2677">
        <v>28711</v>
      </c>
      <c r="H2677" t="s">
        <v>4376</v>
      </c>
      <c r="I2677" t="s">
        <v>4217</v>
      </c>
      <c r="J2677">
        <v>1</v>
      </c>
      <c r="K2677" t="s">
        <v>3881</v>
      </c>
      <c r="L2677">
        <v>317</v>
      </c>
      <c r="M2677">
        <v>317</v>
      </c>
      <c r="N2677" t="s">
        <v>4327</v>
      </c>
      <c r="O2677" t="s">
        <v>462</v>
      </c>
    </row>
    <row r="2678" spans="1:15" x14ac:dyDescent="0.3">
      <c r="A2678">
        <v>212888</v>
      </c>
      <c r="B2678">
        <v>116</v>
      </c>
      <c r="C2678" t="s">
        <v>568</v>
      </c>
      <c r="D2678" t="s">
        <v>2288</v>
      </c>
      <c r="E2678" t="s">
        <v>2964</v>
      </c>
      <c r="F2678" s="452">
        <v>46066</v>
      </c>
      <c r="G2678">
        <v>28712</v>
      </c>
      <c r="H2678" t="s">
        <v>4377</v>
      </c>
      <c r="I2678" t="s">
        <v>4217</v>
      </c>
      <c r="J2678">
        <v>1</v>
      </c>
      <c r="K2678" t="s">
        <v>3881</v>
      </c>
      <c r="L2678">
        <v>148</v>
      </c>
      <c r="M2678">
        <v>148</v>
      </c>
      <c r="N2678" t="s">
        <v>4327</v>
      </c>
      <c r="O2678" t="s">
        <v>462</v>
      </c>
    </row>
    <row r="2679" spans="1:15" x14ac:dyDescent="0.3">
      <c r="A2679">
        <v>212887</v>
      </c>
      <c r="B2679">
        <v>116</v>
      </c>
      <c r="C2679" t="s">
        <v>568</v>
      </c>
      <c r="D2679" t="s">
        <v>2271</v>
      </c>
      <c r="E2679" t="s">
        <v>2965</v>
      </c>
      <c r="F2679" s="452">
        <v>46072</v>
      </c>
      <c r="G2679">
        <v>18538</v>
      </c>
      <c r="H2679" t="s">
        <v>4026</v>
      </c>
      <c r="I2679" t="s">
        <v>3497</v>
      </c>
      <c r="J2679">
        <v>3</v>
      </c>
      <c r="K2679" t="s">
        <v>3878</v>
      </c>
      <c r="L2679">
        <v>314.7</v>
      </c>
      <c r="M2679">
        <v>104.9</v>
      </c>
      <c r="N2679" t="s">
        <v>4276</v>
      </c>
      <c r="O2679" t="s">
        <v>462</v>
      </c>
    </row>
    <row r="2680" spans="1:15" x14ac:dyDescent="0.3">
      <c r="A2680">
        <v>212886</v>
      </c>
      <c r="B2680">
        <v>116</v>
      </c>
      <c r="C2680" t="s">
        <v>568</v>
      </c>
      <c r="D2680" t="s">
        <v>2922</v>
      </c>
      <c r="E2680" t="s">
        <v>2966</v>
      </c>
      <c r="F2680" s="452">
        <v>46069</v>
      </c>
      <c r="G2680">
        <v>19787</v>
      </c>
      <c r="H2680" t="s">
        <v>3940</v>
      </c>
      <c r="I2680" t="s">
        <v>3469</v>
      </c>
      <c r="J2680">
        <v>7.5</v>
      </c>
      <c r="K2680" t="s">
        <v>3892</v>
      </c>
      <c r="L2680">
        <v>37.5</v>
      </c>
      <c r="M2680">
        <v>5</v>
      </c>
      <c r="N2680" t="s">
        <v>4240</v>
      </c>
      <c r="O2680" t="s">
        <v>462</v>
      </c>
    </row>
    <row r="2681" spans="1:15" x14ac:dyDescent="0.3">
      <c r="A2681">
        <v>212886</v>
      </c>
      <c r="B2681">
        <v>116</v>
      </c>
      <c r="C2681" t="s">
        <v>568</v>
      </c>
      <c r="D2681" t="s">
        <v>2922</v>
      </c>
      <c r="E2681" t="s">
        <v>2966</v>
      </c>
      <c r="F2681" s="452">
        <v>46069</v>
      </c>
      <c r="G2681">
        <v>19555</v>
      </c>
      <c r="H2681" t="s">
        <v>4109</v>
      </c>
      <c r="I2681" t="s">
        <v>3469</v>
      </c>
      <c r="J2681">
        <v>0.5</v>
      </c>
      <c r="K2681" t="s">
        <v>3892</v>
      </c>
      <c r="L2681">
        <v>15.63</v>
      </c>
      <c r="M2681">
        <v>31.26</v>
      </c>
      <c r="N2681" t="s">
        <v>4240</v>
      </c>
      <c r="O2681" t="s">
        <v>462</v>
      </c>
    </row>
    <row r="2682" spans="1:15" x14ac:dyDescent="0.3">
      <c r="A2682">
        <v>212886</v>
      </c>
      <c r="B2682">
        <v>116</v>
      </c>
      <c r="C2682" t="s">
        <v>568</v>
      </c>
      <c r="D2682" t="s">
        <v>2922</v>
      </c>
      <c r="E2682" t="s">
        <v>2966</v>
      </c>
      <c r="F2682" s="452">
        <v>46069</v>
      </c>
      <c r="G2682">
        <v>23198</v>
      </c>
      <c r="H2682" t="s">
        <v>4167</v>
      </c>
      <c r="I2682" t="s">
        <v>3469</v>
      </c>
      <c r="J2682">
        <v>1</v>
      </c>
      <c r="K2682" t="s">
        <v>3892</v>
      </c>
      <c r="L2682">
        <v>8.75</v>
      </c>
      <c r="M2682">
        <v>8.75</v>
      </c>
      <c r="N2682" t="s">
        <v>4240</v>
      </c>
      <c r="O2682" t="s">
        <v>462</v>
      </c>
    </row>
    <row r="2683" spans="1:15" x14ac:dyDescent="0.3">
      <c r="A2683">
        <v>212886</v>
      </c>
      <c r="B2683">
        <v>116</v>
      </c>
      <c r="C2683" t="s">
        <v>568</v>
      </c>
      <c r="D2683" t="s">
        <v>2922</v>
      </c>
      <c r="E2683" t="s">
        <v>2966</v>
      </c>
      <c r="F2683" s="452">
        <v>46069</v>
      </c>
      <c r="G2683">
        <v>23095</v>
      </c>
      <c r="H2683" t="s">
        <v>3882</v>
      </c>
      <c r="I2683" t="s">
        <v>3469</v>
      </c>
      <c r="J2683">
        <v>60</v>
      </c>
      <c r="K2683" t="s">
        <v>3872</v>
      </c>
      <c r="L2683">
        <v>75</v>
      </c>
      <c r="M2683">
        <v>1.25</v>
      </c>
      <c r="N2683" t="s">
        <v>4240</v>
      </c>
      <c r="O2683" t="s">
        <v>462</v>
      </c>
    </row>
    <row r="2684" spans="1:15" x14ac:dyDescent="0.3">
      <c r="A2684">
        <v>212886</v>
      </c>
      <c r="B2684">
        <v>116</v>
      </c>
      <c r="C2684" t="s">
        <v>568</v>
      </c>
      <c r="D2684" t="s">
        <v>2922</v>
      </c>
      <c r="E2684" t="s">
        <v>2966</v>
      </c>
      <c r="F2684" s="452">
        <v>46069</v>
      </c>
      <c r="G2684">
        <v>23142</v>
      </c>
      <c r="H2684" t="s">
        <v>4151</v>
      </c>
      <c r="I2684" t="s">
        <v>3469</v>
      </c>
      <c r="J2684">
        <v>1</v>
      </c>
      <c r="K2684" t="s">
        <v>3892</v>
      </c>
      <c r="L2684">
        <v>25</v>
      </c>
      <c r="M2684">
        <v>25</v>
      </c>
      <c r="N2684" t="s">
        <v>4240</v>
      </c>
      <c r="O2684" t="s">
        <v>462</v>
      </c>
    </row>
    <row r="2685" spans="1:15" x14ac:dyDescent="0.3">
      <c r="A2685">
        <v>212886</v>
      </c>
      <c r="B2685">
        <v>116</v>
      </c>
      <c r="C2685" t="s">
        <v>568</v>
      </c>
      <c r="D2685" t="s">
        <v>2922</v>
      </c>
      <c r="E2685" t="s">
        <v>2966</v>
      </c>
      <c r="F2685" s="452">
        <v>46069</v>
      </c>
      <c r="G2685">
        <v>19672</v>
      </c>
      <c r="H2685" t="s">
        <v>4024</v>
      </c>
      <c r="I2685" t="s">
        <v>3469</v>
      </c>
      <c r="J2685">
        <v>2</v>
      </c>
      <c r="K2685" t="s">
        <v>3892</v>
      </c>
      <c r="L2685">
        <v>30</v>
      </c>
      <c r="M2685">
        <v>15</v>
      </c>
      <c r="N2685" t="s">
        <v>4240</v>
      </c>
      <c r="O2685" t="s">
        <v>462</v>
      </c>
    </row>
    <row r="2686" spans="1:15" x14ac:dyDescent="0.3">
      <c r="A2686">
        <v>212885</v>
      </c>
      <c r="B2686">
        <v>116</v>
      </c>
      <c r="C2686" t="s">
        <v>568</v>
      </c>
      <c r="D2686" t="s">
        <v>2922</v>
      </c>
      <c r="E2686" t="s">
        <v>2967</v>
      </c>
      <c r="F2686" s="452">
        <v>46072</v>
      </c>
      <c r="G2686">
        <v>19623</v>
      </c>
      <c r="H2686" t="s">
        <v>3984</v>
      </c>
      <c r="I2686" t="s">
        <v>3469</v>
      </c>
      <c r="J2686">
        <v>3</v>
      </c>
      <c r="K2686" t="s">
        <v>3892</v>
      </c>
      <c r="L2686">
        <v>11.25</v>
      </c>
      <c r="M2686">
        <v>3.75</v>
      </c>
      <c r="N2686" t="s">
        <v>4240</v>
      </c>
      <c r="O2686" t="s">
        <v>462</v>
      </c>
    </row>
    <row r="2687" spans="1:15" x14ac:dyDescent="0.3">
      <c r="A2687">
        <v>212885</v>
      </c>
      <c r="B2687">
        <v>116</v>
      </c>
      <c r="C2687" t="s">
        <v>568</v>
      </c>
      <c r="D2687" t="s">
        <v>2922</v>
      </c>
      <c r="E2687" t="s">
        <v>2967</v>
      </c>
      <c r="F2687" s="452">
        <v>46072</v>
      </c>
      <c r="G2687">
        <v>24083</v>
      </c>
      <c r="H2687" t="s">
        <v>3898</v>
      </c>
      <c r="I2687" t="s">
        <v>3469</v>
      </c>
      <c r="J2687">
        <v>25</v>
      </c>
      <c r="K2687" t="s">
        <v>3892</v>
      </c>
      <c r="L2687">
        <v>100</v>
      </c>
      <c r="M2687">
        <v>4</v>
      </c>
      <c r="N2687" t="s">
        <v>4240</v>
      </c>
      <c r="O2687" t="s">
        <v>462</v>
      </c>
    </row>
    <row r="2688" spans="1:15" x14ac:dyDescent="0.3">
      <c r="A2688">
        <v>212885</v>
      </c>
      <c r="B2688">
        <v>116</v>
      </c>
      <c r="C2688" t="s">
        <v>568</v>
      </c>
      <c r="D2688" t="s">
        <v>2922</v>
      </c>
      <c r="E2688" t="s">
        <v>2967</v>
      </c>
      <c r="F2688" s="452">
        <v>46072</v>
      </c>
      <c r="G2688">
        <v>19751</v>
      </c>
      <c r="H2688" t="s">
        <v>4019</v>
      </c>
      <c r="I2688" t="s">
        <v>3469</v>
      </c>
      <c r="J2688">
        <v>2</v>
      </c>
      <c r="K2688" t="s">
        <v>3892</v>
      </c>
      <c r="L2688">
        <v>35</v>
      </c>
      <c r="M2688">
        <v>17.5</v>
      </c>
      <c r="N2688" t="s">
        <v>4240</v>
      </c>
      <c r="O2688" t="s">
        <v>462</v>
      </c>
    </row>
    <row r="2689" spans="1:15" x14ac:dyDescent="0.3">
      <c r="A2689">
        <v>212885</v>
      </c>
      <c r="B2689">
        <v>116</v>
      </c>
      <c r="C2689" t="s">
        <v>568</v>
      </c>
      <c r="D2689" t="s">
        <v>2922</v>
      </c>
      <c r="E2689" t="s">
        <v>2967</v>
      </c>
      <c r="F2689" s="452">
        <v>46072</v>
      </c>
      <c r="G2689">
        <v>24484</v>
      </c>
      <c r="H2689" t="s">
        <v>4154</v>
      </c>
      <c r="I2689" t="s">
        <v>3469</v>
      </c>
      <c r="J2689">
        <v>0.5</v>
      </c>
      <c r="K2689" t="s">
        <v>3892</v>
      </c>
      <c r="L2689">
        <v>5</v>
      </c>
      <c r="M2689">
        <v>10</v>
      </c>
      <c r="N2689" t="s">
        <v>4240</v>
      </c>
      <c r="O2689" t="s">
        <v>462</v>
      </c>
    </row>
    <row r="2690" spans="1:15" x14ac:dyDescent="0.3">
      <c r="A2690">
        <v>212885</v>
      </c>
      <c r="B2690">
        <v>116</v>
      </c>
      <c r="C2690" t="s">
        <v>568</v>
      </c>
      <c r="D2690" t="s">
        <v>2922</v>
      </c>
      <c r="E2690" t="s">
        <v>2967</v>
      </c>
      <c r="F2690" s="452">
        <v>46072</v>
      </c>
      <c r="G2690">
        <v>24598</v>
      </c>
      <c r="H2690" t="s">
        <v>4166</v>
      </c>
      <c r="I2690" t="s">
        <v>3469</v>
      </c>
      <c r="J2690">
        <v>1</v>
      </c>
      <c r="K2690" t="s">
        <v>3892</v>
      </c>
      <c r="L2690">
        <v>12.5</v>
      </c>
      <c r="M2690">
        <v>12.5</v>
      </c>
      <c r="N2690" t="s">
        <v>4240</v>
      </c>
      <c r="O2690" t="s">
        <v>462</v>
      </c>
    </row>
    <row r="2691" spans="1:15" x14ac:dyDescent="0.3">
      <c r="A2691">
        <v>212885</v>
      </c>
      <c r="B2691">
        <v>116</v>
      </c>
      <c r="C2691" t="s">
        <v>568</v>
      </c>
      <c r="D2691" t="s">
        <v>2922</v>
      </c>
      <c r="E2691" t="s">
        <v>2967</v>
      </c>
      <c r="F2691" s="452">
        <v>46072</v>
      </c>
      <c r="G2691">
        <v>23096</v>
      </c>
      <c r="H2691" t="s">
        <v>3876</v>
      </c>
      <c r="I2691" t="s">
        <v>3469</v>
      </c>
      <c r="J2691">
        <v>60</v>
      </c>
      <c r="K2691" t="s">
        <v>3872</v>
      </c>
      <c r="L2691">
        <v>39.6</v>
      </c>
      <c r="M2691">
        <v>0.66</v>
      </c>
      <c r="N2691" t="s">
        <v>4240</v>
      </c>
      <c r="O2691" t="s">
        <v>462</v>
      </c>
    </row>
    <row r="2692" spans="1:15" x14ac:dyDescent="0.3">
      <c r="A2692">
        <v>212885</v>
      </c>
      <c r="B2692">
        <v>116</v>
      </c>
      <c r="C2692" t="s">
        <v>568</v>
      </c>
      <c r="D2692" t="s">
        <v>2922</v>
      </c>
      <c r="E2692" t="s">
        <v>2967</v>
      </c>
      <c r="F2692" s="452">
        <v>46072</v>
      </c>
      <c r="G2692">
        <v>19740</v>
      </c>
      <c r="H2692" t="s">
        <v>3933</v>
      </c>
      <c r="I2692" t="s">
        <v>3469</v>
      </c>
      <c r="J2692">
        <v>8</v>
      </c>
      <c r="K2692" t="s">
        <v>3892</v>
      </c>
      <c r="L2692">
        <v>110</v>
      </c>
      <c r="M2692">
        <v>13.75</v>
      </c>
      <c r="N2692" t="s">
        <v>4240</v>
      </c>
      <c r="O2692" t="s">
        <v>462</v>
      </c>
    </row>
    <row r="2693" spans="1:15" x14ac:dyDescent="0.3">
      <c r="A2693">
        <v>212885</v>
      </c>
      <c r="B2693">
        <v>116</v>
      </c>
      <c r="C2693" t="s">
        <v>568</v>
      </c>
      <c r="D2693" t="s">
        <v>2922</v>
      </c>
      <c r="E2693" t="s">
        <v>2967</v>
      </c>
      <c r="F2693" s="452">
        <v>46072</v>
      </c>
      <c r="G2693">
        <v>19742</v>
      </c>
      <c r="H2693" t="s">
        <v>4074</v>
      </c>
      <c r="I2693" t="s">
        <v>3469</v>
      </c>
      <c r="J2693">
        <v>1</v>
      </c>
      <c r="K2693" t="s">
        <v>3892</v>
      </c>
      <c r="L2693">
        <v>11.25</v>
      </c>
      <c r="M2693">
        <v>11.25</v>
      </c>
      <c r="N2693" t="s">
        <v>4240</v>
      </c>
      <c r="O2693" t="s">
        <v>462</v>
      </c>
    </row>
    <row r="2694" spans="1:15" x14ac:dyDescent="0.3">
      <c r="A2694">
        <v>212885</v>
      </c>
      <c r="B2694">
        <v>116</v>
      </c>
      <c r="C2694" t="s">
        <v>568</v>
      </c>
      <c r="D2694" t="s">
        <v>2922</v>
      </c>
      <c r="E2694" t="s">
        <v>2967</v>
      </c>
      <c r="F2694" s="452">
        <v>46072</v>
      </c>
      <c r="G2694">
        <v>23361</v>
      </c>
      <c r="H2694" t="s">
        <v>4220</v>
      </c>
      <c r="I2694" t="s">
        <v>3469</v>
      </c>
      <c r="J2694">
        <v>40</v>
      </c>
      <c r="K2694" t="s">
        <v>3892</v>
      </c>
      <c r="L2694">
        <v>140</v>
      </c>
      <c r="M2694">
        <v>3.5</v>
      </c>
      <c r="N2694" t="s">
        <v>4240</v>
      </c>
      <c r="O2694" t="s">
        <v>462</v>
      </c>
    </row>
    <row r="2695" spans="1:15" x14ac:dyDescent="0.3">
      <c r="A2695">
        <v>212885</v>
      </c>
      <c r="B2695">
        <v>116</v>
      </c>
      <c r="C2695" t="s">
        <v>568</v>
      </c>
      <c r="D2695" t="s">
        <v>2922</v>
      </c>
      <c r="E2695" t="s">
        <v>2967</v>
      </c>
      <c r="F2695" s="452">
        <v>46072</v>
      </c>
      <c r="G2695">
        <v>23385</v>
      </c>
      <c r="H2695" t="s">
        <v>4069</v>
      </c>
      <c r="I2695" t="s">
        <v>3469</v>
      </c>
      <c r="J2695">
        <v>1.2</v>
      </c>
      <c r="K2695" t="s">
        <v>3892</v>
      </c>
      <c r="L2695">
        <v>42</v>
      </c>
      <c r="M2695">
        <v>35</v>
      </c>
      <c r="N2695" t="s">
        <v>4240</v>
      </c>
      <c r="O2695" t="s">
        <v>462</v>
      </c>
    </row>
    <row r="2696" spans="1:15" x14ac:dyDescent="0.3">
      <c r="A2696">
        <v>212885</v>
      </c>
      <c r="B2696">
        <v>116</v>
      </c>
      <c r="C2696" t="s">
        <v>568</v>
      </c>
      <c r="D2696" t="s">
        <v>2922</v>
      </c>
      <c r="E2696" t="s">
        <v>2967</v>
      </c>
      <c r="F2696" s="452">
        <v>46072</v>
      </c>
      <c r="G2696">
        <v>23142</v>
      </c>
      <c r="H2696" t="s">
        <v>4151</v>
      </c>
      <c r="I2696" t="s">
        <v>3469</v>
      </c>
      <c r="J2696">
        <v>1</v>
      </c>
      <c r="K2696" t="s">
        <v>3892</v>
      </c>
      <c r="L2696">
        <v>25</v>
      </c>
      <c r="M2696">
        <v>25</v>
      </c>
      <c r="N2696" t="s">
        <v>4240</v>
      </c>
      <c r="O2696" t="s">
        <v>462</v>
      </c>
    </row>
    <row r="2697" spans="1:15" x14ac:dyDescent="0.3">
      <c r="A2697">
        <v>212885</v>
      </c>
      <c r="B2697">
        <v>116</v>
      </c>
      <c r="C2697" t="s">
        <v>568</v>
      </c>
      <c r="D2697" t="s">
        <v>2922</v>
      </c>
      <c r="E2697" t="s">
        <v>2967</v>
      </c>
      <c r="F2697" s="452">
        <v>46072</v>
      </c>
      <c r="G2697">
        <v>19672</v>
      </c>
      <c r="H2697" t="s">
        <v>4024</v>
      </c>
      <c r="I2697" t="s">
        <v>3469</v>
      </c>
      <c r="J2697">
        <v>2</v>
      </c>
      <c r="K2697" t="s">
        <v>3892</v>
      </c>
      <c r="L2697">
        <v>35</v>
      </c>
      <c r="M2697">
        <v>17.5</v>
      </c>
      <c r="N2697" t="s">
        <v>4240</v>
      </c>
      <c r="O2697" t="s">
        <v>462</v>
      </c>
    </row>
    <row r="2698" spans="1:15" x14ac:dyDescent="0.3">
      <c r="A2698">
        <v>212885</v>
      </c>
      <c r="B2698">
        <v>116</v>
      </c>
      <c r="C2698" t="s">
        <v>568</v>
      </c>
      <c r="D2698" t="s">
        <v>2922</v>
      </c>
      <c r="E2698" t="s">
        <v>2967</v>
      </c>
      <c r="F2698" s="452">
        <v>46072</v>
      </c>
      <c r="G2698">
        <v>23095</v>
      </c>
      <c r="H2698" t="s">
        <v>3882</v>
      </c>
      <c r="I2698" t="s">
        <v>3469</v>
      </c>
      <c r="J2698">
        <v>60</v>
      </c>
      <c r="K2698" t="s">
        <v>3872</v>
      </c>
      <c r="L2698">
        <v>75</v>
      </c>
      <c r="M2698">
        <v>1.25</v>
      </c>
      <c r="N2698" t="s">
        <v>4240</v>
      </c>
      <c r="O2698" t="s">
        <v>462</v>
      </c>
    </row>
    <row r="2699" spans="1:15" x14ac:dyDescent="0.3">
      <c r="A2699">
        <v>212884</v>
      </c>
      <c r="B2699">
        <v>116</v>
      </c>
      <c r="C2699" t="s">
        <v>568</v>
      </c>
      <c r="D2699" t="s">
        <v>2260</v>
      </c>
      <c r="E2699" t="s">
        <v>2968</v>
      </c>
      <c r="F2699" s="452">
        <v>46072</v>
      </c>
      <c r="G2699">
        <v>18685</v>
      </c>
      <c r="H2699" t="s">
        <v>3945</v>
      </c>
      <c r="I2699" t="s">
        <v>3469</v>
      </c>
      <c r="J2699">
        <v>6.4</v>
      </c>
      <c r="K2699" t="s">
        <v>4197</v>
      </c>
      <c r="L2699">
        <v>249.6</v>
      </c>
      <c r="M2699">
        <v>39</v>
      </c>
      <c r="N2699" t="s">
        <v>4240</v>
      </c>
      <c r="O2699" t="s">
        <v>462</v>
      </c>
    </row>
    <row r="2700" spans="1:15" x14ac:dyDescent="0.3">
      <c r="A2700">
        <v>212884</v>
      </c>
      <c r="B2700">
        <v>116</v>
      </c>
      <c r="C2700" t="s">
        <v>568</v>
      </c>
      <c r="D2700" t="s">
        <v>2260</v>
      </c>
      <c r="E2700" t="s">
        <v>2968</v>
      </c>
      <c r="F2700" s="452">
        <v>46072</v>
      </c>
      <c r="G2700">
        <v>20458</v>
      </c>
      <c r="H2700" t="s">
        <v>4121</v>
      </c>
      <c r="I2700" t="s">
        <v>3469</v>
      </c>
      <c r="J2700">
        <v>6.2</v>
      </c>
      <c r="K2700" t="s">
        <v>3892</v>
      </c>
      <c r="L2700">
        <v>203.98</v>
      </c>
      <c r="M2700">
        <v>32.9</v>
      </c>
      <c r="N2700" t="s">
        <v>4240</v>
      </c>
      <c r="O2700" t="s">
        <v>462</v>
      </c>
    </row>
    <row r="2701" spans="1:15" x14ac:dyDescent="0.3">
      <c r="A2701">
        <v>212884</v>
      </c>
      <c r="B2701">
        <v>116</v>
      </c>
      <c r="C2701" t="s">
        <v>568</v>
      </c>
      <c r="D2701" t="s">
        <v>2260</v>
      </c>
      <c r="E2701" t="s">
        <v>2968</v>
      </c>
      <c r="F2701" s="452">
        <v>46072</v>
      </c>
      <c r="G2701">
        <v>20555</v>
      </c>
      <c r="H2701" t="s">
        <v>3959</v>
      </c>
      <c r="I2701" t="s">
        <v>3469</v>
      </c>
      <c r="J2701">
        <v>3.8</v>
      </c>
      <c r="K2701" t="s">
        <v>3892</v>
      </c>
      <c r="L2701">
        <v>300.2</v>
      </c>
      <c r="M2701">
        <v>79</v>
      </c>
      <c r="N2701" t="s">
        <v>4240</v>
      </c>
      <c r="O2701" t="s">
        <v>462</v>
      </c>
    </row>
    <row r="2702" spans="1:15" x14ac:dyDescent="0.3">
      <c r="A2702">
        <v>212884</v>
      </c>
      <c r="B2702">
        <v>116</v>
      </c>
      <c r="C2702" t="s">
        <v>568</v>
      </c>
      <c r="D2702" t="s">
        <v>2260</v>
      </c>
      <c r="E2702" t="s">
        <v>2968</v>
      </c>
      <c r="F2702" s="452">
        <v>46072</v>
      </c>
      <c r="G2702">
        <v>24200</v>
      </c>
      <c r="H2702" t="s">
        <v>3975</v>
      </c>
      <c r="I2702" t="s">
        <v>3469</v>
      </c>
      <c r="J2702">
        <v>5.3</v>
      </c>
      <c r="K2702" t="s">
        <v>3892</v>
      </c>
      <c r="L2702">
        <v>174.37</v>
      </c>
      <c r="M2702">
        <v>32.9</v>
      </c>
      <c r="N2702" t="s">
        <v>4240</v>
      </c>
      <c r="O2702" t="s">
        <v>462</v>
      </c>
    </row>
    <row r="2703" spans="1:15" x14ac:dyDescent="0.3">
      <c r="A2703">
        <v>212884</v>
      </c>
      <c r="B2703">
        <v>116</v>
      </c>
      <c r="C2703" t="s">
        <v>568</v>
      </c>
      <c r="D2703" t="s">
        <v>2260</v>
      </c>
      <c r="E2703" t="s">
        <v>2968</v>
      </c>
      <c r="F2703" s="452">
        <v>46072</v>
      </c>
      <c r="G2703">
        <v>24072</v>
      </c>
      <c r="H2703" t="s">
        <v>4002</v>
      </c>
      <c r="I2703" t="s">
        <v>3469</v>
      </c>
      <c r="J2703">
        <v>3.2</v>
      </c>
      <c r="K2703" t="s">
        <v>3892</v>
      </c>
      <c r="L2703">
        <v>704</v>
      </c>
      <c r="M2703">
        <v>220</v>
      </c>
      <c r="N2703" t="s">
        <v>4240</v>
      </c>
      <c r="O2703" t="s">
        <v>462</v>
      </c>
    </row>
    <row r="2704" spans="1:15" x14ac:dyDescent="0.3">
      <c r="A2704">
        <v>212884</v>
      </c>
      <c r="B2704">
        <v>116</v>
      </c>
      <c r="C2704" t="s">
        <v>568</v>
      </c>
      <c r="D2704" t="s">
        <v>2260</v>
      </c>
      <c r="E2704" t="s">
        <v>2968</v>
      </c>
      <c r="F2704" s="452">
        <v>46072</v>
      </c>
      <c r="G2704">
        <v>22734</v>
      </c>
      <c r="H2704" t="s">
        <v>3955</v>
      </c>
      <c r="I2704" t="s">
        <v>3469</v>
      </c>
      <c r="J2704">
        <v>5.2</v>
      </c>
      <c r="K2704" t="s">
        <v>3892</v>
      </c>
      <c r="L2704">
        <v>514.79999999999995</v>
      </c>
      <c r="M2704">
        <v>99</v>
      </c>
      <c r="N2704" t="s">
        <v>4240</v>
      </c>
      <c r="O2704" t="s">
        <v>462</v>
      </c>
    </row>
    <row r="2705" spans="1:15" x14ac:dyDescent="0.3">
      <c r="A2705">
        <v>212884</v>
      </c>
      <c r="B2705">
        <v>116</v>
      </c>
      <c r="C2705" t="s">
        <v>568</v>
      </c>
      <c r="D2705" t="s">
        <v>2260</v>
      </c>
      <c r="E2705" t="s">
        <v>2968</v>
      </c>
      <c r="F2705" s="452">
        <v>46072</v>
      </c>
      <c r="G2705">
        <v>27884</v>
      </c>
      <c r="H2705" t="s">
        <v>3910</v>
      </c>
      <c r="I2705" t="s">
        <v>3469</v>
      </c>
      <c r="J2705">
        <v>5.0999999999999996</v>
      </c>
      <c r="K2705" t="s">
        <v>3892</v>
      </c>
      <c r="L2705">
        <v>331.5</v>
      </c>
      <c r="M2705">
        <v>65</v>
      </c>
      <c r="N2705" t="s">
        <v>4240</v>
      </c>
      <c r="O2705" t="s">
        <v>462</v>
      </c>
    </row>
    <row r="2706" spans="1:15" x14ac:dyDescent="0.3">
      <c r="A2706">
        <v>212884</v>
      </c>
      <c r="B2706">
        <v>116</v>
      </c>
      <c r="C2706" t="s">
        <v>568</v>
      </c>
      <c r="D2706" t="s">
        <v>2260</v>
      </c>
      <c r="E2706" t="s">
        <v>2968</v>
      </c>
      <c r="F2706" s="452">
        <v>46072</v>
      </c>
      <c r="G2706">
        <v>28212</v>
      </c>
      <c r="H2706" t="s">
        <v>4156</v>
      </c>
      <c r="I2706" t="s">
        <v>3469</v>
      </c>
      <c r="J2706">
        <v>5</v>
      </c>
      <c r="K2706" t="s">
        <v>3892</v>
      </c>
      <c r="L2706">
        <v>220</v>
      </c>
      <c r="M2706">
        <v>44</v>
      </c>
      <c r="N2706" t="s">
        <v>4240</v>
      </c>
      <c r="O2706" t="s">
        <v>462</v>
      </c>
    </row>
    <row r="2707" spans="1:15" x14ac:dyDescent="0.3">
      <c r="A2707">
        <v>212883</v>
      </c>
      <c r="B2707">
        <v>116</v>
      </c>
      <c r="C2707" t="s">
        <v>568</v>
      </c>
      <c r="D2707" t="s">
        <v>2267</v>
      </c>
      <c r="E2707" t="s">
        <v>2969</v>
      </c>
      <c r="F2707" s="452">
        <v>46073</v>
      </c>
      <c r="G2707">
        <v>24517</v>
      </c>
      <c r="H2707" t="s">
        <v>3991</v>
      </c>
      <c r="I2707" t="s">
        <v>3469</v>
      </c>
      <c r="J2707">
        <v>10</v>
      </c>
      <c r="K2707" t="s">
        <v>3892</v>
      </c>
      <c r="L2707">
        <v>279.89999999999998</v>
      </c>
      <c r="M2707">
        <v>27.99</v>
      </c>
      <c r="N2707" t="s">
        <v>3469</v>
      </c>
      <c r="O2707" t="s">
        <v>462</v>
      </c>
    </row>
    <row r="2708" spans="1:15" x14ac:dyDescent="0.3">
      <c r="A2708">
        <v>212883</v>
      </c>
      <c r="B2708">
        <v>116</v>
      </c>
      <c r="C2708" t="s">
        <v>568</v>
      </c>
      <c r="D2708" t="s">
        <v>2267</v>
      </c>
      <c r="E2708" t="s">
        <v>2969</v>
      </c>
      <c r="F2708" s="452">
        <v>46073</v>
      </c>
      <c r="G2708">
        <v>18696</v>
      </c>
      <c r="H2708" t="s">
        <v>3956</v>
      </c>
      <c r="I2708" t="s">
        <v>3469</v>
      </c>
      <c r="J2708">
        <v>5</v>
      </c>
      <c r="K2708" t="s">
        <v>3892</v>
      </c>
      <c r="L2708">
        <v>89.95</v>
      </c>
      <c r="M2708">
        <v>17.989999999999998</v>
      </c>
      <c r="N2708" t="s">
        <v>3469</v>
      </c>
      <c r="O2708" t="s">
        <v>462</v>
      </c>
    </row>
    <row r="2709" spans="1:15" x14ac:dyDescent="0.3">
      <c r="A2709">
        <v>212883</v>
      </c>
      <c r="B2709">
        <v>116</v>
      </c>
      <c r="C2709" t="s">
        <v>568</v>
      </c>
      <c r="D2709" t="s">
        <v>2267</v>
      </c>
      <c r="E2709" t="s">
        <v>2969</v>
      </c>
      <c r="F2709" s="452">
        <v>46073</v>
      </c>
      <c r="G2709">
        <v>20549</v>
      </c>
      <c r="H2709" t="s">
        <v>4007</v>
      </c>
      <c r="I2709" t="s">
        <v>3469</v>
      </c>
      <c r="J2709">
        <v>10.6</v>
      </c>
      <c r="K2709" t="s">
        <v>3892</v>
      </c>
      <c r="L2709">
        <v>211.89</v>
      </c>
      <c r="M2709">
        <v>19.989623000000002</v>
      </c>
      <c r="N2709" t="s">
        <v>3469</v>
      </c>
      <c r="O2709" t="s">
        <v>462</v>
      </c>
    </row>
    <row r="2710" spans="1:15" x14ac:dyDescent="0.3">
      <c r="A2710">
        <v>212883</v>
      </c>
      <c r="B2710">
        <v>116</v>
      </c>
      <c r="C2710" t="s">
        <v>568</v>
      </c>
      <c r="D2710" t="s">
        <v>2267</v>
      </c>
      <c r="E2710" t="s">
        <v>2969</v>
      </c>
      <c r="F2710" s="452">
        <v>46073</v>
      </c>
      <c r="G2710">
        <v>24343</v>
      </c>
      <c r="H2710" t="s">
        <v>3990</v>
      </c>
      <c r="I2710" t="s">
        <v>3469</v>
      </c>
      <c r="J2710">
        <v>2</v>
      </c>
      <c r="L2710">
        <v>49.98</v>
      </c>
      <c r="M2710">
        <v>24.99</v>
      </c>
      <c r="N2710" t="s">
        <v>3469</v>
      </c>
      <c r="O2710" t="s">
        <v>462</v>
      </c>
    </row>
    <row r="2711" spans="1:15" x14ac:dyDescent="0.3">
      <c r="A2711">
        <v>212882</v>
      </c>
      <c r="B2711">
        <v>116</v>
      </c>
      <c r="C2711" t="s">
        <v>568</v>
      </c>
      <c r="D2711" t="s">
        <v>2709</v>
      </c>
      <c r="E2711" t="s">
        <v>2970</v>
      </c>
      <c r="F2711" s="452">
        <v>46071</v>
      </c>
      <c r="G2711">
        <v>17397</v>
      </c>
      <c r="H2711" t="s">
        <v>4223</v>
      </c>
      <c r="I2711" t="s">
        <v>4199</v>
      </c>
      <c r="J2711">
        <v>1</v>
      </c>
      <c r="K2711" t="s">
        <v>4224</v>
      </c>
      <c r="L2711">
        <v>31.82</v>
      </c>
      <c r="M2711">
        <v>31.82</v>
      </c>
      <c r="N2711" t="s">
        <v>2176</v>
      </c>
      <c r="O2711" t="s">
        <v>462</v>
      </c>
    </row>
    <row r="2712" spans="1:15" x14ac:dyDescent="0.3">
      <c r="A2712">
        <v>212882</v>
      </c>
      <c r="B2712">
        <v>116</v>
      </c>
      <c r="C2712" t="s">
        <v>568</v>
      </c>
      <c r="D2712" t="s">
        <v>2709</v>
      </c>
      <c r="E2712" t="s">
        <v>2970</v>
      </c>
      <c r="F2712" s="452">
        <v>46071</v>
      </c>
      <c r="G2712">
        <v>21423</v>
      </c>
      <c r="H2712" t="s">
        <v>4225</v>
      </c>
      <c r="I2712" t="s">
        <v>4199</v>
      </c>
      <c r="J2712">
        <v>1</v>
      </c>
      <c r="K2712" t="s">
        <v>4224</v>
      </c>
      <c r="L2712">
        <v>31.82</v>
      </c>
      <c r="M2712">
        <v>31.82</v>
      </c>
      <c r="N2712" t="s">
        <v>2176</v>
      </c>
      <c r="O2712" t="s">
        <v>462</v>
      </c>
    </row>
    <row r="2713" spans="1:15" x14ac:dyDescent="0.3">
      <c r="A2713">
        <v>212881</v>
      </c>
      <c r="B2713">
        <v>116</v>
      </c>
      <c r="C2713" t="s">
        <v>568</v>
      </c>
      <c r="D2713" t="s">
        <v>2709</v>
      </c>
      <c r="E2713" t="s">
        <v>2971</v>
      </c>
      <c r="F2713" s="452">
        <v>46072</v>
      </c>
      <c r="G2713">
        <v>19297</v>
      </c>
      <c r="H2713" t="s">
        <v>3949</v>
      </c>
      <c r="I2713" t="s">
        <v>3469</v>
      </c>
      <c r="J2713">
        <v>6.88</v>
      </c>
      <c r="K2713" t="s">
        <v>3892</v>
      </c>
      <c r="L2713">
        <v>487.51</v>
      </c>
      <c r="M2713">
        <v>70.859012000000007</v>
      </c>
      <c r="N2713" t="s">
        <v>4240</v>
      </c>
      <c r="O2713" t="s">
        <v>462</v>
      </c>
    </row>
    <row r="2714" spans="1:15" x14ac:dyDescent="0.3">
      <c r="A2714">
        <v>212881</v>
      </c>
      <c r="B2714">
        <v>116</v>
      </c>
      <c r="C2714" t="s">
        <v>568</v>
      </c>
      <c r="D2714" t="s">
        <v>2709</v>
      </c>
      <c r="E2714" t="s">
        <v>2971</v>
      </c>
      <c r="F2714" s="452">
        <v>46072</v>
      </c>
      <c r="G2714">
        <v>20234</v>
      </c>
      <c r="H2714" t="s">
        <v>3979</v>
      </c>
      <c r="I2714" t="s">
        <v>3469</v>
      </c>
      <c r="J2714">
        <v>4</v>
      </c>
      <c r="K2714" t="s">
        <v>3892</v>
      </c>
      <c r="L2714">
        <v>87.6</v>
      </c>
      <c r="M2714">
        <v>21.9</v>
      </c>
      <c r="N2714" t="s">
        <v>4240</v>
      </c>
      <c r="O2714" t="s">
        <v>462</v>
      </c>
    </row>
    <row r="2715" spans="1:15" x14ac:dyDescent="0.3">
      <c r="A2715">
        <v>212880</v>
      </c>
      <c r="B2715">
        <v>116</v>
      </c>
      <c r="C2715" t="s">
        <v>568</v>
      </c>
      <c r="D2715" t="s">
        <v>2385</v>
      </c>
      <c r="E2715" t="s">
        <v>2972</v>
      </c>
      <c r="F2715" s="452">
        <v>46072</v>
      </c>
      <c r="G2715">
        <v>20539</v>
      </c>
      <c r="H2715" t="s">
        <v>3908</v>
      </c>
      <c r="I2715" t="s">
        <v>3469</v>
      </c>
      <c r="J2715">
        <v>10.54</v>
      </c>
      <c r="K2715" t="s">
        <v>3892</v>
      </c>
      <c r="L2715">
        <v>685.1</v>
      </c>
      <c r="M2715">
        <v>65</v>
      </c>
      <c r="N2715" t="s">
        <v>3469</v>
      </c>
      <c r="O2715" t="s">
        <v>462</v>
      </c>
    </row>
    <row r="2716" spans="1:15" x14ac:dyDescent="0.3">
      <c r="A2716">
        <v>212879</v>
      </c>
      <c r="B2716">
        <v>116</v>
      </c>
      <c r="C2716" t="s">
        <v>568</v>
      </c>
      <c r="D2716" t="s">
        <v>2262</v>
      </c>
      <c r="E2716" t="s">
        <v>2973</v>
      </c>
      <c r="F2716" s="452">
        <v>46072</v>
      </c>
      <c r="G2716">
        <v>19034</v>
      </c>
      <c r="H2716" t="s">
        <v>3989</v>
      </c>
      <c r="I2716" t="s">
        <v>3469</v>
      </c>
      <c r="J2716">
        <v>5.8</v>
      </c>
      <c r="K2716" t="s">
        <v>3892</v>
      </c>
      <c r="L2716">
        <v>52.14</v>
      </c>
      <c r="M2716">
        <v>8.9896550000000008</v>
      </c>
      <c r="N2716" t="s">
        <v>4240</v>
      </c>
      <c r="O2716" t="s">
        <v>462</v>
      </c>
    </row>
    <row r="2717" spans="1:15" x14ac:dyDescent="0.3">
      <c r="A2717">
        <v>212879</v>
      </c>
      <c r="B2717">
        <v>116</v>
      </c>
      <c r="C2717" t="s">
        <v>568</v>
      </c>
      <c r="D2717" t="s">
        <v>2262</v>
      </c>
      <c r="E2717" t="s">
        <v>2973</v>
      </c>
      <c r="F2717" s="452">
        <v>46072</v>
      </c>
      <c r="G2717">
        <v>18832</v>
      </c>
      <c r="H2717" t="s">
        <v>3900</v>
      </c>
      <c r="I2717" t="s">
        <v>3469</v>
      </c>
      <c r="J2717">
        <v>20.3</v>
      </c>
      <c r="K2717" t="s">
        <v>3892</v>
      </c>
      <c r="L2717">
        <v>850.57</v>
      </c>
      <c r="M2717">
        <v>41.9</v>
      </c>
      <c r="N2717" t="s">
        <v>4240</v>
      </c>
      <c r="O2717" t="s">
        <v>462</v>
      </c>
    </row>
    <row r="2718" spans="1:15" x14ac:dyDescent="0.3">
      <c r="A2718">
        <v>212879</v>
      </c>
      <c r="B2718">
        <v>116</v>
      </c>
      <c r="C2718" t="s">
        <v>568</v>
      </c>
      <c r="D2718" t="s">
        <v>2262</v>
      </c>
      <c r="E2718" t="s">
        <v>2973</v>
      </c>
      <c r="F2718" s="452">
        <v>46072</v>
      </c>
      <c r="G2718">
        <v>24259</v>
      </c>
      <c r="H2718" t="s">
        <v>3895</v>
      </c>
      <c r="I2718" t="s">
        <v>3469</v>
      </c>
      <c r="J2718">
        <v>15.7</v>
      </c>
      <c r="K2718" t="s">
        <v>3892</v>
      </c>
      <c r="L2718">
        <v>1223.03</v>
      </c>
      <c r="M2718">
        <v>77.900000000000006</v>
      </c>
      <c r="N2718" t="s">
        <v>4240</v>
      </c>
      <c r="O2718" t="s">
        <v>462</v>
      </c>
    </row>
    <row r="2719" spans="1:15" x14ac:dyDescent="0.3">
      <c r="A2719">
        <v>212879</v>
      </c>
      <c r="B2719">
        <v>116</v>
      </c>
      <c r="C2719" t="s">
        <v>568</v>
      </c>
      <c r="D2719" t="s">
        <v>2262</v>
      </c>
      <c r="E2719" t="s">
        <v>2973</v>
      </c>
      <c r="F2719" s="452">
        <v>46072</v>
      </c>
      <c r="G2719">
        <v>18996</v>
      </c>
      <c r="H2719" t="s">
        <v>3946</v>
      </c>
      <c r="I2719" t="s">
        <v>3469</v>
      </c>
      <c r="J2719">
        <v>5.4</v>
      </c>
      <c r="K2719" t="s">
        <v>3892</v>
      </c>
      <c r="L2719">
        <v>80.95</v>
      </c>
      <c r="M2719">
        <v>14.990741</v>
      </c>
      <c r="N2719" t="s">
        <v>4240</v>
      </c>
      <c r="O2719" t="s">
        <v>462</v>
      </c>
    </row>
    <row r="2720" spans="1:15" x14ac:dyDescent="0.3">
      <c r="A2720">
        <v>212879</v>
      </c>
      <c r="B2720">
        <v>116</v>
      </c>
      <c r="C2720" t="s">
        <v>568</v>
      </c>
      <c r="D2720" t="s">
        <v>2262</v>
      </c>
      <c r="E2720" t="s">
        <v>2973</v>
      </c>
      <c r="F2720" s="452">
        <v>46072</v>
      </c>
      <c r="G2720">
        <v>24402</v>
      </c>
      <c r="H2720" t="s">
        <v>3896</v>
      </c>
      <c r="I2720" t="s">
        <v>3469</v>
      </c>
      <c r="J2720">
        <v>18.100000000000001</v>
      </c>
      <c r="K2720" t="s">
        <v>3892</v>
      </c>
      <c r="L2720">
        <v>673.32</v>
      </c>
      <c r="M2720">
        <v>37.200000000000003</v>
      </c>
      <c r="N2720" t="s">
        <v>4240</v>
      </c>
      <c r="O2720" t="s">
        <v>462</v>
      </c>
    </row>
    <row r="2721" spans="1:15" x14ac:dyDescent="0.3">
      <c r="A2721">
        <v>212879</v>
      </c>
      <c r="B2721">
        <v>116</v>
      </c>
      <c r="C2721" t="s">
        <v>568</v>
      </c>
      <c r="D2721" t="s">
        <v>2262</v>
      </c>
      <c r="E2721" t="s">
        <v>2973</v>
      </c>
      <c r="F2721" s="452">
        <v>46072</v>
      </c>
      <c r="G2721">
        <v>20501</v>
      </c>
      <c r="H2721" t="s">
        <v>4219</v>
      </c>
      <c r="I2721" t="s">
        <v>3469</v>
      </c>
      <c r="J2721">
        <v>5</v>
      </c>
      <c r="K2721" t="s">
        <v>3892</v>
      </c>
      <c r="L2721">
        <v>109.5</v>
      </c>
      <c r="M2721">
        <v>21.9</v>
      </c>
      <c r="N2721" t="s">
        <v>4240</v>
      </c>
      <c r="O2721" t="s">
        <v>462</v>
      </c>
    </row>
    <row r="2722" spans="1:15" x14ac:dyDescent="0.3">
      <c r="A2722">
        <v>212879</v>
      </c>
      <c r="B2722">
        <v>116</v>
      </c>
      <c r="C2722" t="s">
        <v>568</v>
      </c>
      <c r="D2722" t="s">
        <v>2262</v>
      </c>
      <c r="E2722" t="s">
        <v>2973</v>
      </c>
      <c r="F2722" s="452">
        <v>46072</v>
      </c>
      <c r="G2722">
        <v>24388</v>
      </c>
      <c r="H2722" t="s">
        <v>3915</v>
      </c>
      <c r="I2722" t="s">
        <v>3469</v>
      </c>
      <c r="J2722">
        <v>9.8000000000000007</v>
      </c>
      <c r="K2722" t="s">
        <v>3892</v>
      </c>
      <c r="L2722">
        <v>293.02</v>
      </c>
      <c r="M2722">
        <v>29.9</v>
      </c>
      <c r="N2722" t="s">
        <v>4240</v>
      </c>
      <c r="O2722" t="s">
        <v>462</v>
      </c>
    </row>
    <row r="2723" spans="1:15" x14ac:dyDescent="0.3">
      <c r="A2723">
        <v>212878</v>
      </c>
      <c r="B2723">
        <v>116</v>
      </c>
      <c r="C2723" t="s">
        <v>568</v>
      </c>
      <c r="D2723" t="s">
        <v>2314</v>
      </c>
      <c r="E2723" t="s">
        <v>2974</v>
      </c>
      <c r="F2723" s="452">
        <v>46070</v>
      </c>
      <c r="G2723">
        <v>18636</v>
      </c>
      <c r="H2723" t="s">
        <v>3921</v>
      </c>
      <c r="I2723" t="s">
        <v>3497</v>
      </c>
      <c r="J2723">
        <v>6</v>
      </c>
      <c r="K2723" t="s">
        <v>3922</v>
      </c>
      <c r="L2723">
        <v>2896.8</v>
      </c>
      <c r="M2723">
        <v>482.8</v>
      </c>
      <c r="N2723" t="s">
        <v>3497</v>
      </c>
      <c r="O2723" t="s">
        <v>462</v>
      </c>
    </row>
    <row r="2724" spans="1:15" x14ac:dyDescent="0.3">
      <c r="A2724">
        <v>212878</v>
      </c>
      <c r="B2724">
        <v>116</v>
      </c>
      <c r="C2724" t="s">
        <v>568</v>
      </c>
      <c r="D2724" t="s">
        <v>2314</v>
      </c>
      <c r="E2724" t="s">
        <v>2974</v>
      </c>
      <c r="F2724" s="452">
        <v>46070</v>
      </c>
      <c r="G2724">
        <v>17918</v>
      </c>
      <c r="H2724" t="s">
        <v>4034</v>
      </c>
      <c r="I2724" t="s">
        <v>3497</v>
      </c>
      <c r="J2724">
        <v>1</v>
      </c>
      <c r="K2724" t="s">
        <v>3888</v>
      </c>
      <c r="L2724">
        <v>28.8</v>
      </c>
      <c r="M2724">
        <v>28.8</v>
      </c>
      <c r="N2724" t="s">
        <v>3497</v>
      </c>
      <c r="O2724" t="s">
        <v>462</v>
      </c>
    </row>
    <row r="2725" spans="1:15" x14ac:dyDescent="0.3">
      <c r="A2725">
        <v>212878</v>
      </c>
      <c r="B2725">
        <v>116</v>
      </c>
      <c r="C2725" t="s">
        <v>568</v>
      </c>
      <c r="D2725" t="s">
        <v>2314</v>
      </c>
      <c r="E2725" t="s">
        <v>2974</v>
      </c>
      <c r="F2725" s="452">
        <v>46070</v>
      </c>
      <c r="G2725">
        <v>17916</v>
      </c>
      <c r="H2725" t="s">
        <v>4191</v>
      </c>
      <c r="I2725" t="s">
        <v>3497</v>
      </c>
      <c r="J2725">
        <v>2</v>
      </c>
      <c r="K2725" t="s">
        <v>3888</v>
      </c>
      <c r="L2725">
        <v>55.86</v>
      </c>
      <c r="M2725">
        <v>27.93</v>
      </c>
      <c r="N2725" t="s">
        <v>3497</v>
      </c>
      <c r="O2725" t="s">
        <v>462</v>
      </c>
    </row>
    <row r="2726" spans="1:15" x14ac:dyDescent="0.3">
      <c r="A2726">
        <v>212877</v>
      </c>
      <c r="B2726">
        <v>116</v>
      </c>
      <c r="C2726" t="s">
        <v>568</v>
      </c>
      <c r="D2726" t="s">
        <v>2314</v>
      </c>
      <c r="E2726" t="s">
        <v>2975</v>
      </c>
      <c r="F2726" s="452">
        <v>46071</v>
      </c>
      <c r="G2726">
        <v>18636</v>
      </c>
      <c r="H2726" t="s">
        <v>3921</v>
      </c>
      <c r="I2726" t="s">
        <v>3497</v>
      </c>
      <c r="J2726">
        <v>12</v>
      </c>
      <c r="K2726" t="s">
        <v>3922</v>
      </c>
      <c r="L2726">
        <v>5793.6</v>
      </c>
      <c r="M2726">
        <v>482.8</v>
      </c>
      <c r="N2726" t="s">
        <v>4276</v>
      </c>
      <c r="O2726" t="s">
        <v>462</v>
      </c>
    </row>
    <row r="2727" spans="1:15" x14ac:dyDescent="0.3">
      <c r="A2727">
        <v>212877</v>
      </c>
      <c r="B2727">
        <v>116</v>
      </c>
      <c r="C2727" t="s">
        <v>568</v>
      </c>
      <c r="D2727" t="s">
        <v>2314</v>
      </c>
      <c r="E2727" t="s">
        <v>2975</v>
      </c>
      <c r="F2727" s="452">
        <v>46071</v>
      </c>
      <c r="G2727">
        <v>18640</v>
      </c>
      <c r="H2727" t="s">
        <v>3994</v>
      </c>
      <c r="I2727" t="s">
        <v>3497</v>
      </c>
      <c r="J2727">
        <v>1</v>
      </c>
      <c r="K2727" t="s">
        <v>3922</v>
      </c>
      <c r="L2727">
        <v>306</v>
      </c>
      <c r="M2727">
        <v>306</v>
      </c>
      <c r="N2727" t="s">
        <v>4276</v>
      </c>
      <c r="O2727" t="s">
        <v>462</v>
      </c>
    </row>
    <row r="2728" spans="1:15" x14ac:dyDescent="0.3">
      <c r="A2728">
        <v>211733</v>
      </c>
      <c r="B2728">
        <v>116</v>
      </c>
      <c r="C2728" t="s">
        <v>568</v>
      </c>
      <c r="D2728" t="s">
        <v>2499</v>
      </c>
      <c r="E2728" t="s">
        <v>2976</v>
      </c>
      <c r="F2728" s="452">
        <v>46071</v>
      </c>
      <c r="G2728">
        <v>20519</v>
      </c>
      <c r="H2728" t="s">
        <v>3902</v>
      </c>
      <c r="I2728" t="s">
        <v>3469</v>
      </c>
      <c r="J2728">
        <v>19.260000000000002</v>
      </c>
      <c r="K2728" t="s">
        <v>3892</v>
      </c>
      <c r="L2728">
        <v>958.19</v>
      </c>
      <c r="M2728">
        <v>49.750259999999997</v>
      </c>
      <c r="N2728" t="s">
        <v>4240</v>
      </c>
      <c r="O2728" t="s">
        <v>462</v>
      </c>
    </row>
    <row r="2729" spans="1:15" x14ac:dyDescent="0.3">
      <c r="A2729">
        <v>211412</v>
      </c>
      <c r="B2729">
        <v>116</v>
      </c>
      <c r="C2729" t="s">
        <v>568</v>
      </c>
      <c r="D2729" t="s">
        <v>2258</v>
      </c>
      <c r="E2729" t="s">
        <v>2977</v>
      </c>
      <c r="F2729" s="452">
        <v>46076</v>
      </c>
      <c r="G2729">
        <v>17006</v>
      </c>
      <c r="H2729" t="s">
        <v>4128</v>
      </c>
      <c r="I2729" t="s">
        <v>3469</v>
      </c>
      <c r="J2729">
        <v>13.1</v>
      </c>
      <c r="K2729" t="s">
        <v>3892</v>
      </c>
      <c r="L2729">
        <v>170.3</v>
      </c>
      <c r="M2729">
        <v>13</v>
      </c>
      <c r="N2729" t="s">
        <v>4240</v>
      </c>
      <c r="O2729" t="s">
        <v>462</v>
      </c>
    </row>
    <row r="2730" spans="1:15" x14ac:dyDescent="0.3">
      <c r="A2730">
        <v>211411</v>
      </c>
      <c r="B2730">
        <v>116</v>
      </c>
      <c r="C2730" t="s">
        <v>568</v>
      </c>
      <c r="D2730" t="s">
        <v>2286</v>
      </c>
      <c r="E2730" t="s">
        <v>2978</v>
      </c>
      <c r="F2730" s="452">
        <v>46072</v>
      </c>
      <c r="G2730">
        <v>19787</v>
      </c>
      <c r="H2730" t="s">
        <v>3940</v>
      </c>
      <c r="I2730" t="s">
        <v>3469</v>
      </c>
      <c r="J2730">
        <v>4.5</v>
      </c>
      <c r="K2730" t="s">
        <v>3892</v>
      </c>
      <c r="L2730">
        <v>24.3</v>
      </c>
      <c r="M2730">
        <v>5.4</v>
      </c>
      <c r="N2730" t="s">
        <v>4240</v>
      </c>
      <c r="O2730" t="s">
        <v>462</v>
      </c>
    </row>
    <row r="2731" spans="1:15" x14ac:dyDescent="0.3">
      <c r="A2731">
        <v>211411</v>
      </c>
      <c r="B2731">
        <v>116</v>
      </c>
      <c r="C2731" t="s">
        <v>568</v>
      </c>
      <c r="D2731" t="s">
        <v>2286</v>
      </c>
      <c r="E2731" t="s">
        <v>2978</v>
      </c>
      <c r="F2731" s="452">
        <v>46072</v>
      </c>
      <c r="G2731">
        <v>19506</v>
      </c>
      <c r="H2731" t="s">
        <v>4112</v>
      </c>
      <c r="I2731" t="s">
        <v>3469</v>
      </c>
      <c r="J2731">
        <v>0.2</v>
      </c>
      <c r="K2731" t="s">
        <v>3892</v>
      </c>
      <c r="L2731">
        <v>8</v>
      </c>
      <c r="M2731">
        <v>40</v>
      </c>
      <c r="N2731" t="s">
        <v>4240</v>
      </c>
      <c r="O2731" t="s">
        <v>462</v>
      </c>
    </row>
    <row r="2732" spans="1:15" x14ac:dyDescent="0.3">
      <c r="A2732">
        <v>211411</v>
      </c>
      <c r="B2732">
        <v>116</v>
      </c>
      <c r="C2732" t="s">
        <v>568</v>
      </c>
      <c r="D2732" t="s">
        <v>2286</v>
      </c>
      <c r="E2732" t="s">
        <v>2978</v>
      </c>
      <c r="F2732" s="452">
        <v>46072</v>
      </c>
      <c r="G2732">
        <v>19505</v>
      </c>
      <c r="H2732" t="s">
        <v>4101</v>
      </c>
      <c r="I2732" t="s">
        <v>3469</v>
      </c>
      <c r="J2732">
        <v>1</v>
      </c>
      <c r="K2732" t="s">
        <v>3892</v>
      </c>
      <c r="L2732">
        <v>17</v>
      </c>
      <c r="M2732">
        <v>17</v>
      </c>
      <c r="N2732" t="s">
        <v>4240</v>
      </c>
      <c r="O2732" t="s">
        <v>462</v>
      </c>
    </row>
    <row r="2733" spans="1:15" x14ac:dyDescent="0.3">
      <c r="A2733">
        <v>211411</v>
      </c>
      <c r="B2733">
        <v>116</v>
      </c>
      <c r="C2733" t="s">
        <v>568</v>
      </c>
      <c r="D2733" t="s">
        <v>2286</v>
      </c>
      <c r="E2733" t="s">
        <v>2978</v>
      </c>
      <c r="F2733" s="452">
        <v>46072</v>
      </c>
      <c r="G2733">
        <v>24509</v>
      </c>
      <c r="H2733" t="s">
        <v>3906</v>
      </c>
      <c r="I2733" t="s">
        <v>3469</v>
      </c>
      <c r="J2733">
        <v>20</v>
      </c>
      <c r="K2733" t="s">
        <v>3892</v>
      </c>
      <c r="L2733">
        <v>40</v>
      </c>
      <c r="M2733">
        <v>2</v>
      </c>
      <c r="N2733" t="s">
        <v>4240</v>
      </c>
      <c r="O2733" t="s">
        <v>462</v>
      </c>
    </row>
    <row r="2734" spans="1:15" x14ac:dyDescent="0.3">
      <c r="A2734">
        <v>211411</v>
      </c>
      <c r="B2734">
        <v>116</v>
      </c>
      <c r="C2734" t="s">
        <v>568</v>
      </c>
      <c r="D2734" t="s">
        <v>2286</v>
      </c>
      <c r="E2734" t="s">
        <v>2978</v>
      </c>
      <c r="F2734" s="452">
        <v>46072</v>
      </c>
      <c r="G2734">
        <v>19498</v>
      </c>
      <c r="H2734" t="s">
        <v>4065</v>
      </c>
      <c r="I2734" t="s">
        <v>3469</v>
      </c>
      <c r="J2734">
        <v>1</v>
      </c>
      <c r="K2734" t="s">
        <v>3892</v>
      </c>
      <c r="L2734">
        <v>19</v>
      </c>
      <c r="M2734">
        <v>19</v>
      </c>
      <c r="N2734" t="s">
        <v>4240</v>
      </c>
      <c r="O2734" t="s">
        <v>462</v>
      </c>
    </row>
    <row r="2735" spans="1:15" x14ac:dyDescent="0.3">
      <c r="A2735">
        <v>211411</v>
      </c>
      <c r="B2735">
        <v>116</v>
      </c>
      <c r="C2735" t="s">
        <v>568</v>
      </c>
      <c r="D2735" t="s">
        <v>2286</v>
      </c>
      <c r="E2735" t="s">
        <v>2978</v>
      </c>
      <c r="F2735" s="452">
        <v>46072</v>
      </c>
      <c r="G2735">
        <v>19743</v>
      </c>
      <c r="H2735" t="s">
        <v>4152</v>
      </c>
      <c r="I2735" t="s">
        <v>3469</v>
      </c>
      <c r="J2735">
        <v>2</v>
      </c>
      <c r="K2735" t="s">
        <v>3892</v>
      </c>
      <c r="L2735">
        <v>29</v>
      </c>
      <c r="M2735">
        <v>14.5</v>
      </c>
      <c r="N2735" t="s">
        <v>4240</v>
      </c>
      <c r="O2735" t="s">
        <v>462</v>
      </c>
    </row>
    <row r="2736" spans="1:15" x14ac:dyDescent="0.3">
      <c r="A2736">
        <v>211411</v>
      </c>
      <c r="B2736">
        <v>116</v>
      </c>
      <c r="C2736" t="s">
        <v>568</v>
      </c>
      <c r="D2736" t="s">
        <v>2286</v>
      </c>
      <c r="E2736" t="s">
        <v>2978</v>
      </c>
      <c r="F2736" s="452">
        <v>46072</v>
      </c>
      <c r="G2736">
        <v>19752</v>
      </c>
      <c r="H2736" t="s">
        <v>4042</v>
      </c>
      <c r="I2736" t="s">
        <v>3469</v>
      </c>
      <c r="J2736">
        <v>1</v>
      </c>
      <c r="K2736" t="s">
        <v>3892</v>
      </c>
      <c r="L2736">
        <v>9.5</v>
      </c>
      <c r="M2736">
        <v>9.5</v>
      </c>
      <c r="N2736" t="s">
        <v>4240</v>
      </c>
      <c r="O2736" t="s">
        <v>462</v>
      </c>
    </row>
    <row r="2737" spans="1:15" x14ac:dyDescent="0.3">
      <c r="A2737">
        <v>211411</v>
      </c>
      <c r="B2737">
        <v>116</v>
      </c>
      <c r="C2737" t="s">
        <v>568</v>
      </c>
      <c r="D2737" t="s">
        <v>2286</v>
      </c>
      <c r="E2737" t="s">
        <v>2978</v>
      </c>
      <c r="F2737" s="452">
        <v>46072</v>
      </c>
      <c r="G2737">
        <v>23120</v>
      </c>
      <c r="H2737" t="s">
        <v>4111</v>
      </c>
      <c r="I2737" t="s">
        <v>3469</v>
      </c>
      <c r="J2737">
        <v>0.2</v>
      </c>
      <c r="K2737" t="s">
        <v>3892</v>
      </c>
      <c r="L2737">
        <v>13</v>
      </c>
      <c r="M2737">
        <v>65</v>
      </c>
      <c r="N2737" t="s">
        <v>4240</v>
      </c>
      <c r="O2737" t="s">
        <v>462</v>
      </c>
    </row>
    <row r="2738" spans="1:15" x14ac:dyDescent="0.3">
      <c r="A2738">
        <v>211411</v>
      </c>
      <c r="B2738">
        <v>116</v>
      </c>
      <c r="C2738" t="s">
        <v>568</v>
      </c>
      <c r="D2738" t="s">
        <v>2286</v>
      </c>
      <c r="E2738" t="s">
        <v>2978</v>
      </c>
      <c r="F2738" s="452">
        <v>46072</v>
      </c>
      <c r="G2738">
        <v>23236</v>
      </c>
      <c r="H2738" t="s">
        <v>4017</v>
      </c>
      <c r="I2738" t="s">
        <v>3469</v>
      </c>
      <c r="J2738">
        <v>4</v>
      </c>
      <c r="K2738" t="s">
        <v>3892</v>
      </c>
      <c r="L2738">
        <v>27.2</v>
      </c>
      <c r="M2738">
        <v>6.8</v>
      </c>
      <c r="N2738" t="s">
        <v>4240</v>
      </c>
      <c r="O2738" t="s">
        <v>462</v>
      </c>
    </row>
    <row r="2739" spans="1:15" x14ac:dyDescent="0.3">
      <c r="A2739">
        <v>211411</v>
      </c>
      <c r="B2739">
        <v>116</v>
      </c>
      <c r="C2739" t="s">
        <v>568</v>
      </c>
      <c r="D2739" t="s">
        <v>2286</v>
      </c>
      <c r="E2739" t="s">
        <v>2978</v>
      </c>
      <c r="F2739" s="452">
        <v>46072</v>
      </c>
      <c r="G2739">
        <v>23359</v>
      </c>
      <c r="H2739" t="s">
        <v>3932</v>
      </c>
      <c r="I2739" t="s">
        <v>3469</v>
      </c>
      <c r="J2739">
        <v>10</v>
      </c>
      <c r="K2739" t="s">
        <v>3892</v>
      </c>
      <c r="L2739">
        <v>29</v>
      </c>
      <c r="M2739">
        <v>2.9</v>
      </c>
      <c r="N2739" t="s">
        <v>4240</v>
      </c>
      <c r="O2739" t="s">
        <v>462</v>
      </c>
    </row>
    <row r="2740" spans="1:15" x14ac:dyDescent="0.3">
      <c r="A2740">
        <v>211411</v>
      </c>
      <c r="B2740">
        <v>116</v>
      </c>
      <c r="C2740" t="s">
        <v>568</v>
      </c>
      <c r="D2740" t="s">
        <v>2286</v>
      </c>
      <c r="E2740" t="s">
        <v>2978</v>
      </c>
      <c r="F2740" s="452">
        <v>46072</v>
      </c>
      <c r="G2740">
        <v>23349</v>
      </c>
      <c r="H2740" t="s">
        <v>4173</v>
      </c>
      <c r="I2740" t="s">
        <v>3469</v>
      </c>
      <c r="J2740">
        <v>1</v>
      </c>
      <c r="K2740" t="s">
        <v>3892</v>
      </c>
      <c r="L2740">
        <v>13</v>
      </c>
      <c r="M2740">
        <v>13</v>
      </c>
      <c r="N2740" t="s">
        <v>4240</v>
      </c>
      <c r="O2740" t="s">
        <v>462</v>
      </c>
    </row>
    <row r="2741" spans="1:15" x14ac:dyDescent="0.3">
      <c r="A2741">
        <v>211411</v>
      </c>
      <c r="B2741">
        <v>116</v>
      </c>
      <c r="C2741" t="s">
        <v>568</v>
      </c>
      <c r="D2741" t="s">
        <v>2286</v>
      </c>
      <c r="E2741" t="s">
        <v>2978</v>
      </c>
      <c r="F2741" s="452">
        <v>46072</v>
      </c>
      <c r="G2741">
        <v>23389</v>
      </c>
      <c r="H2741" t="s">
        <v>4016</v>
      </c>
      <c r="I2741" t="s">
        <v>3469</v>
      </c>
      <c r="J2741">
        <v>6</v>
      </c>
      <c r="K2741" t="s">
        <v>3892</v>
      </c>
      <c r="L2741">
        <v>33.6</v>
      </c>
      <c r="M2741">
        <v>5.6</v>
      </c>
      <c r="N2741" t="s">
        <v>4240</v>
      </c>
      <c r="O2741" t="s">
        <v>462</v>
      </c>
    </row>
    <row r="2742" spans="1:15" x14ac:dyDescent="0.3">
      <c r="A2742">
        <v>211411</v>
      </c>
      <c r="B2742">
        <v>116</v>
      </c>
      <c r="C2742" t="s">
        <v>568</v>
      </c>
      <c r="D2742" t="s">
        <v>2286</v>
      </c>
      <c r="E2742" t="s">
        <v>2978</v>
      </c>
      <c r="F2742" s="452">
        <v>46072</v>
      </c>
      <c r="G2742">
        <v>23113</v>
      </c>
      <c r="H2742" t="s">
        <v>4079</v>
      </c>
      <c r="I2742" t="s">
        <v>3469</v>
      </c>
      <c r="J2742">
        <v>1.5</v>
      </c>
      <c r="K2742" t="s">
        <v>3892</v>
      </c>
      <c r="L2742">
        <v>12</v>
      </c>
      <c r="M2742">
        <v>8</v>
      </c>
      <c r="N2742" t="s">
        <v>4240</v>
      </c>
      <c r="O2742" t="s">
        <v>462</v>
      </c>
    </row>
    <row r="2743" spans="1:15" x14ac:dyDescent="0.3">
      <c r="A2743">
        <v>211411</v>
      </c>
      <c r="B2743">
        <v>116</v>
      </c>
      <c r="C2743" t="s">
        <v>568</v>
      </c>
      <c r="D2743" t="s">
        <v>2286</v>
      </c>
      <c r="E2743" t="s">
        <v>2978</v>
      </c>
      <c r="F2743" s="452">
        <v>46072</v>
      </c>
      <c r="G2743">
        <v>24037</v>
      </c>
      <c r="H2743" t="s">
        <v>4104</v>
      </c>
      <c r="I2743" t="s">
        <v>3469</v>
      </c>
      <c r="J2743">
        <v>3</v>
      </c>
      <c r="K2743" t="s">
        <v>3892</v>
      </c>
      <c r="L2743">
        <v>58.5</v>
      </c>
      <c r="M2743">
        <v>19.5</v>
      </c>
      <c r="N2743" t="s">
        <v>4240</v>
      </c>
      <c r="O2743" t="s">
        <v>462</v>
      </c>
    </row>
    <row r="2744" spans="1:15" x14ac:dyDescent="0.3">
      <c r="A2744">
        <v>211411</v>
      </c>
      <c r="B2744">
        <v>116</v>
      </c>
      <c r="C2744" t="s">
        <v>568</v>
      </c>
      <c r="D2744" t="s">
        <v>2286</v>
      </c>
      <c r="E2744" t="s">
        <v>2978</v>
      </c>
      <c r="F2744" s="452">
        <v>46072</v>
      </c>
      <c r="G2744">
        <v>19539</v>
      </c>
      <c r="H2744" t="s">
        <v>4133</v>
      </c>
      <c r="I2744" t="s">
        <v>3469</v>
      </c>
      <c r="J2744">
        <v>18</v>
      </c>
      <c r="K2744" t="s">
        <v>3892</v>
      </c>
      <c r="L2744">
        <v>153</v>
      </c>
      <c r="M2744">
        <v>8.5</v>
      </c>
      <c r="N2744" t="s">
        <v>4240</v>
      </c>
      <c r="O2744" t="s">
        <v>462</v>
      </c>
    </row>
    <row r="2745" spans="1:15" x14ac:dyDescent="0.3">
      <c r="A2745">
        <v>211410</v>
      </c>
      <c r="B2745">
        <v>116</v>
      </c>
      <c r="C2745" t="s">
        <v>568</v>
      </c>
      <c r="D2745" t="s">
        <v>2286</v>
      </c>
      <c r="E2745" t="s">
        <v>2979</v>
      </c>
      <c r="F2745" s="452">
        <v>46070</v>
      </c>
      <c r="G2745">
        <v>24083</v>
      </c>
      <c r="H2745" t="s">
        <v>3898</v>
      </c>
      <c r="I2745" t="s">
        <v>3469</v>
      </c>
      <c r="J2745">
        <v>10</v>
      </c>
      <c r="K2745" t="s">
        <v>3892</v>
      </c>
      <c r="L2745">
        <v>45</v>
      </c>
      <c r="M2745">
        <v>4.5</v>
      </c>
      <c r="N2745" t="s">
        <v>4240</v>
      </c>
      <c r="O2745" t="s">
        <v>462</v>
      </c>
    </row>
    <row r="2746" spans="1:15" x14ac:dyDescent="0.3">
      <c r="A2746">
        <v>211410</v>
      </c>
      <c r="B2746">
        <v>116</v>
      </c>
      <c r="C2746" t="s">
        <v>568</v>
      </c>
      <c r="D2746" t="s">
        <v>2286</v>
      </c>
      <c r="E2746" t="s">
        <v>2979</v>
      </c>
      <c r="F2746" s="452">
        <v>46070</v>
      </c>
      <c r="G2746">
        <v>19506</v>
      </c>
      <c r="H2746" t="s">
        <v>4112</v>
      </c>
      <c r="I2746" t="s">
        <v>3469</v>
      </c>
      <c r="J2746">
        <v>0.2</v>
      </c>
      <c r="K2746" t="s">
        <v>3892</v>
      </c>
      <c r="L2746">
        <v>8</v>
      </c>
      <c r="M2746">
        <v>40</v>
      </c>
      <c r="N2746" t="s">
        <v>4240</v>
      </c>
      <c r="O2746" t="s">
        <v>462</v>
      </c>
    </row>
    <row r="2747" spans="1:15" x14ac:dyDescent="0.3">
      <c r="A2747">
        <v>211410</v>
      </c>
      <c r="B2747">
        <v>116</v>
      </c>
      <c r="C2747" t="s">
        <v>568</v>
      </c>
      <c r="D2747" t="s">
        <v>2286</v>
      </c>
      <c r="E2747" t="s">
        <v>2979</v>
      </c>
      <c r="F2747" s="452">
        <v>46070</v>
      </c>
      <c r="G2747">
        <v>19505</v>
      </c>
      <c r="H2747" t="s">
        <v>4101</v>
      </c>
      <c r="I2747" t="s">
        <v>3469</v>
      </c>
      <c r="J2747">
        <v>1</v>
      </c>
      <c r="K2747" t="s">
        <v>3892</v>
      </c>
      <c r="L2747">
        <v>16</v>
      </c>
      <c r="M2747">
        <v>16</v>
      </c>
      <c r="N2747" t="s">
        <v>4240</v>
      </c>
      <c r="O2747" t="s">
        <v>462</v>
      </c>
    </row>
    <row r="2748" spans="1:15" x14ac:dyDescent="0.3">
      <c r="A2748">
        <v>211410</v>
      </c>
      <c r="B2748">
        <v>116</v>
      </c>
      <c r="C2748" t="s">
        <v>568</v>
      </c>
      <c r="D2748" t="s">
        <v>2286</v>
      </c>
      <c r="E2748" t="s">
        <v>2979</v>
      </c>
      <c r="F2748" s="452">
        <v>46070</v>
      </c>
      <c r="G2748">
        <v>19498</v>
      </c>
      <c r="H2748" t="s">
        <v>4065</v>
      </c>
      <c r="I2748" t="s">
        <v>3469</v>
      </c>
      <c r="J2748">
        <v>1</v>
      </c>
      <c r="K2748" t="s">
        <v>3892</v>
      </c>
      <c r="L2748">
        <v>20</v>
      </c>
      <c r="M2748">
        <v>20</v>
      </c>
      <c r="N2748" t="s">
        <v>4240</v>
      </c>
      <c r="O2748" t="s">
        <v>462</v>
      </c>
    </row>
    <row r="2749" spans="1:15" x14ac:dyDescent="0.3">
      <c r="A2749">
        <v>211410</v>
      </c>
      <c r="B2749">
        <v>116</v>
      </c>
      <c r="C2749" t="s">
        <v>568</v>
      </c>
      <c r="D2749" t="s">
        <v>2286</v>
      </c>
      <c r="E2749" t="s">
        <v>2979</v>
      </c>
      <c r="F2749" s="452">
        <v>46070</v>
      </c>
      <c r="G2749">
        <v>19558</v>
      </c>
      <c r="H2749" t="s">
        <v>4183</v>
      </c>
      <c r="I2749" t="s">
        <v>3469</v>
      </c>
      <c r="J2749">
        <v>1</v>
      </c>
      <c r="K2749" t="s">
        <v>3892</v>
      </c>
      <c r="L2749">
        <v>15</v>
      </c>
      <c r="M2749">
        <v>15</v>
      </c>
      <c r="N2749" t="s">
        <v>4240</v>
      </c>
      <c r="O2749" t="s">
        <v>462</v>
      </c>
    </row>
    <row r="2750" spans="1:15" x14ac:dyDescent="0.3">
      <c r="A2750">
        <v>211410</v>
      </c>
      <c r="B2750">
        <v>116</v>
      </c>
      <c r="C2750" t="s">
        <v>568</v>
      </c>
      <c r="D2750" t="s">
        <v>2286</v>
      </c>
      <c r="E2750" t="s">
        <v>2979</v>
      </c>
      <c r="F2750" s="452">
        <v>46070</v>
      </c>
      <c r="G2750">
        <v>19752</v>
      </c>
      <c r="H2750" t="s">
        <v>4042</v>
      </c>
      <c r="I2750" t="s">
        <v>3469</v>
      </c>
      <c r="J2750">
        <v>1</v>
      </c>
      <c r="K2750" t="s">
        <v>3892</v>
      </c>
      <c r="L2750">
        <v>8.9</v>
      </c>
      <c r="M2750">
        <v>8.9</v>
      </c>
      <c r="N2750" t="s">
        <v>4240</v>
      </c>
      <c r="O2750" t="s">
        <v>462</v>
      </c>
    </row>
    <row r="2751" spans="1:15" x14ac:dyDescent="0.3">
      <c r="A2751">
        <v>211410</v>
      </c>
      <c r="B2751">
        <v>116</v>
      </c>
      <c r="C2751" t="s">
        <v>568</v>
      </c>
      <c r="D2751" t="s">
        <v>2286</v>
      </c>
      <c r="E2751" t="s">
        <v>2979</v>
      </c>
      <c r="F2751" s="452">
        <v>46070</v>
      </c>
      <c r="G2751">
        <v>19763</v>
      </c>
      <c r="H2751" t="s">
        <v>4187</v>
      </c>
      <c r="I2751" t="s">
        <v>3469</v>
      </c>
      <c r="J2751">
        <v>2</v>
      </c>
      <c r="K2751" t="s">
        <v>3892</v>
      </c>
      <c r="L2751">
        <v>19.600000000000001</v>
      </c>
      <c r="M2751">
        <v>9.8000000000000007</v>
      </c>
      <c r="N2751" t="s">
        <v>4240</v>
      </c>
      <c r="O2751" t="s">
        <v>462</v>
      </c>
    </row>
    <row r="2752" spans="1:15" x14ac:dyDescent="0.3">
      <c r="A2752">
        <v>211410</v>
      </c>
      <c r="B2752">
        <v>116</v>
      </c>
      <c r="C2752" t="s">
        <v>568</v>
      </c>
      <c r="D2752" t="s">
        <v>2286</v>
      </c>
      <c r="E2752" t="s">
        <v>2979</v>
      </c>
      <c r="F2752" s="452">
        <v>46070</v>
      </c>
      <c r="G2752">
        <v>19617</v>
      </c>
      <c r="H2752" t="s">
        <v>4110</v>
      </c>
      <c r="I2752" t="s">
        <v>3469</v>
      </c>
      <c r="J2752">
        <v>0.5</v>
      </c>
      <c r="K2752" t="s">
        <v>3892</v>
      </c>
      <c r="L2752">
        <v>17.5</v>
      </c>
      <c r="M2752">
        <v>35</v>
      </c>
      <c r="N2752" t="s">
        <v>4240</v>
      </c>
      <c r="O2752" t="s">
        <v>462</v>
      </c>
    </row>
    <row r="2753" spans="1:15" x14ac:dyDescent="0.3">
      <c r="A2753">
        <v>211410</v>
      </c>
      <c r="B2753">
        <v>116</v>
      </c>
      <c r="C2753" t="s">
        <v>568</v>
      </c>
      <c r="D2753" t="s">
        <v>2286</v>
      </c>
      <c r="E2753" t="s">
        <v>2979</v>
      </c>
      <c r="F2753" s="452">
        <v>46070</v>
      </c>
      <c r="G2753">
        <v>19773</v>
      </c>
      <c r="H2753" t="s">
        <v>4168</v>
      </c>
      <c r="I2753" t="s">
        <v>3469</v>
      </c>
      <c r="J2753">
        <v>1</v>
      </c>
      <c r="K2753" t="s">
        <v>3892</v>
      </c>
      <c r="L2753">
        <v>22</v>
      </c>
      <c r="M2753">
        <v>22</v>
      </c>
      <c r="N2753" t="s">
        <v>4240</v>
      </c>
      <c r="O2753" t="s">
        <v>462</v>
      </c>
    </row>
    <row r="2754" spans="1:15" x14ac:dyDescent="0.3">
      <c r="A2754">
        <v>211410</v>
      </c>
      <c r="B2754">
        <v>116</v>
      </c>
      <c r="C2754" t="s">
        <v>568</v>
      </c>
      <c r="D2754" t="s">
        <v>2286</v>
      </c>
      <c r="E2754" t="s">
        <v>2979</v>
      </c>
      <c r="F2754" s="452">
        <v>46070</v>
      </c>
      <c r="G2754">
        <v>23120</v>
      </c>
      <c r="H2754" t="s">
        <v>4111</v>
      </c>
      <c r="I2754" t="s">
        <v>3469</v>
      </c>
      <c r="J2754">
        <v>0.2</v>
      </c>
      <c r="K2754" t="s">
        <v>3892</v>
      </c>
      <c r="L2754">
        <v>13</v>
      </c>
      <c r="M2754">
        <v>65</v>
      </c>
      <c r="N2754" t="s">
        <v>4240</v>
      </c>
      <c r="O2754" t="s">
        <v>462</v>
      </c>
    </row>
    <row r="2755" spans="1:15" x14ac:dyDescent="0.3">
      <c r="A2755">
        <v>211410</v>
      </c>
      <c r="B2755">
        <v>116</v>
      </c>
      <c r="C2755" t="s">
        <v>568</v>
      </c>
      <c r="D2755" t="s">
        <v>2286</v>
      </c>
      <c r="E2755" t="s">
        <v>2979</v>
      </c>
      <c r="F2755" s="452">
        <v>46070</v>
      </c>
      <c r="G2755">
        <v>23236</v>
      </c>
      <c r="H2755" t="s">
        <v>4017</v>
      </c>
      <c r="I2755" t="s">
        <v>3469</v>
      </c>
      <c r="J2755">
        <v>3</v>
      </c>
      <c r="K2755" t="s">
        <v>3892</v>
      </c>
      <c r="L2755">
        <v>21</v>
      </c>
      <c r="M2755">
        <v>7</v>
      </c>
      <c r="N2755" t="s">
        <v>4240</v>
      </c>
      <c r="O2755" t="s">
        <v>462</v>
      </c>
    </row>
    <row r="2756" spans="1:15" x14ac:dyDescent="0.3">
      <c r="A2756">
        <v>211410</v>
      </c>
      <c r="B2756">
        <v>116</v>
      </c>
      <c r="C2756" t="s">
        <v>568</v>
      </c>
      <c r="D2756" t="s">
        <v>2286</v>
      </c>
      <c r="E2756" t="s">
        <v>2979</v>
      </c>
      <c r="F2756" s="452">
        <v>46070</v>
      </c>
      <c r="G2756">
        <v>23359</v>
      </c>
      <c r="H2756" t="s">
        <v>3932</v>
      </c>
      <c r="I2756" t="s">
        <v>3469</v>
      </c>
      <c r="J2756">
        <v>10</v>
      </c>
      <c r="K2756" t="s">
        <v>3892</v>
      </c>
      <c r="L2756">
        <v>30</v>
      </c>
      <c r="M2756">
        <v>3</v>
      </c>
      <c r="N2756" t="s">
        <v>4240</v>
      </c>
      <c r="O2756" t="s">
        <v>462</v>
      </c>
    </row>
    <row r="2757" spans="1:15" x14ac:dyDescent="0.3">
      <c r="A2757">
        <v>211410</v>
      </c>
      <c r="B2757">
        <v>116</v>
      </c>
      <c r="C2757" t="s">
        <v>568</v>
      </c>
      <c r="D2757" t="s">
        <v>2286</v>
      </c>
      <c r="E2757" t="s">
        <v>2979</v>
      </c>
      <c r="F2757" s="452">
        <v>46070</v>
      </c>
      <c r="G2757">
        <v>25162</v>
      </c>
      <c r="H2757" t="s">
        <v>4288</v>
      </c>
      <c r="I2757" t="s">
        <v>3469</v>
      </c>
      <c r="J2757">
        <v>2</v>
      </c>
      <c r="K2757" t="s">
        <v>3892</v>
      </c>
      <c r="L2757">
        <v>13</v>
      </c>
      <c r="M2757">
        <v>6.5</v>
      </c>
      <c r="N2757" t="s">
        <v>4240</v>
      </c>
      <c r="O2757" t="s">
        <v>462</v>
      </c>
    </row>
    <row r="2758" spans="1:15" x14ac:dyDescent="0.3">
      <c r="A2758">
        <v>211410</v>
      </c>
      <c r="B2758">
        <v>116</v>
      </c>
      <c r="C2758" t="s">
        <v>568</v>
      </c>
      <c r="D2758" t="s">
        <v>2286</v>
      </c>
      <c r="E2758" t="s">
        <v>2979</v>
      </c>
      <c r="F2758" s="452">
        <v>46070</v>
      </c>
      <c r="G2758">
        <v>23389</v>
      </c>
      <c r="H2758" t="s">
        <v>4016</v>
      </c>
      <c r="I2758" t="s">
        <v>3469</v>
      </c>
      <c r="J2758">
        <v>4</v>
      </c>
      <c r="K2758" t="s">
        <v>3892</v>
      </c>
      <c r="L2758">
        <v>22</v>
      </c>
      <c r="M2758">
        <v>5.5</v>
      </c>
      <c r="N2758" t="s">
        <v>4240</v>
      </c>
      <c r="O2758" t="s">
        <v>462</v>
      </c>
    </row>
    <row r="2759" spans="1:15" x14ac:dyDescent="0.3">
      <c r="A2759">
        <v>211410</v>
      </c>
      <c r="B2759">
        <v>116</v>
      </c>
      <c r="C2759" t="s">
        <v>568</v>
      </c>
      <c r="D2759" t="s">
        <v>2286</v>
      </c>
      <c r="E2759" t="s">
        <v>2979</v>
      </c>
      <c r="F2759" s="452">
        <v>46070</v>
      </c>
      <c r="G2759">
        <v>24037</v>
      </c>
      <c r="H2759" t="s">
        <v>4104</v>
      </c>
      <c r="I2759" t="s">
        <v>3469</v>
      </c>
      <c r="J2759">
        <v>2</v>
      </c>
      <c r="K2759" t="s">
        <v>3892</v>
      </c>
      <c r="L2759">
        <v>39</v>
      </c>
      <c r="M2759">
        <v>19.5</v>
      </c>
      <c r="N2759" t="s">
        <v>4240</v>
      </c>
      <c r="O2759" t="s">
        <v>462</v>
      </c>
    </row>
    <row r="2760" spans="1:15" x14ac:dyDescent="0.3">
      <c r="A2760">
        <v>211409</v>
      </c>
      <c r="B2760">
        <v>116</v>
      </c>
      <c r="C2760" t="s">
        <v>568</v>
      </c>
      <c r="D2760" t="s">
        <v>2282</v>
      </c>
      <c r="E2760" t="s">
        <v>2980</v>
      </c>
      <c r="F2760" s="452">
        <v>46071</v>
      </c>
      <c r="G2760">
        <v>24497</v>
      </c>
      <c r="H2760" t="s">
        <v>4214</v>
      </c>
      <c r="I2760" t="s">
        <v>4215</v>
      </c>
      <c r="J2760">
        <v>2</v>
      </c>
      <c r="K2760" t="s">
        <v>3872</v>
      </c>
      <c r="L2760">
        <v>269.10000000000002</v>
      </c>
      <c r="M2760">
        <v>134.55000000000001</v>
      </c>
      <c r="N2760" t="s">
        <v>4239</v>
      </c>
      <c r="O2760" t="s">
        <v>462</v>
      </c>
    </row>
    <row r="2761" spans="1:15" x14ac:dyDescent="0.3">
      <c r="A2761">
        <v>211409</v>
      </c>
      <c r="B2761">
        <v>116</v>
      </c>
      <c r="C2761" t="s">
        <v>568</v>
      </c>
      <c r="D2761" t="s">
        <v>2282</v>
      </c>
      <c r="E2761" t="s">
        <v>2980</v>
      </c>
      <c r="F2761" s="452">
        <v>46071</v>
      </c>
      <c r="G2761">
        <v>25518</v>
      </c>
      <c r="H2761" t="s">
        <v>4238</v>
      </c>
      <c r="I2761" t="s">
        <v>4215</v>
      </c>
      <c r="J2761">
        <v>1</v>
      </c>
      <c r="K2761" t="s">
        <v>3872</v>
      </c>
      <c r="L2761">
        <v>110.4</v>
      </c>
      <c r="M2761">
        <v>110.4</v>
      </c>
      <c r="N2761" t="s">
        <v>4239</v>
      </c>
      <c r="O2761" t="s">
        <v>462</v>
      </c>
    </row>
    <row r="2762" spans="1:15" x14ac:dyDescent="0.3">
      <c r="A2762">
        <v>211408</v>
      </c>
      <c r="B2762">
        <v>116</v>
      </c>
      <c r="C2762" t="s">
        <v>568</v>
      </c>
      <c r="D2762" t="s">
        <v>2265</v>
      </c>
      <c r="E2762" t="s">
        <v>2981</v>
      </c>
      <c r="F2762" s="452">
        <v>46073</v>
      </c>
      <c r="G2762">
        <v>17405</v>
      </c>
      <c r="H2762" t="s">
        <v>4251</v>
      </c>
      <c r="I2762" t="s">
        <v>4199</v>
      </c>
      <c r="J2762">
        <v>1</v>
      </c>
      <c r="K2762" t="s">
        <v>3872</v>
      </c>
      <c r="L2762">
        <v>10</v>
      </c>
      <c r="M2762">
        <v>10</v>
      </c>
      <c r="N2762" t="s">
        <v>4378</v>
      </c>
      <c r="O2762" t="s">
        <v>462</v>
      </c>
    </row>
    <row r="2763" spans="1:15" x14ac:dyDescent="0.3">
      <c r="A2763">
        <v>211408</v>
      </c>
      <c r="B2763">
        <v>116</v>
      </c>
      <c r="C2763" t="s">
        <v>568</v>
      </c>
      <c r="D2763" t="s">
        <v>2265</v>
      </c>
      <c r="E2763" t="s">
        <v>2981</v>
      </c>
      <c r="F2763" s="452">
        <v>46073</v>
      </c>
      <c r="G2763">
        <v>17129</v>
      </c>
      <c r="H2763" t="s">
        <v>4200</v>
      </c>
      <c r="I2763" t="s">
        <v>4199</v>
      </c>
      <c r="J2763">
        <v>1</v>
      </c>
      <c r="K2763" t="s">
        <v>3888</v>
      </c>
      <c r="L2763">
        <v>29.9</v>
      </c>
      <c r="M2763">
        <v>29.9</v>
      </c>
      <c r="N2763" t="s">
        <v>4378</v>
      </c>
      <c r="O2763" t="s">
        <v>462</v>
      </c>
    </row>
    <row r="2764" spans="1:15" x14ac:dyDescent="0.3">
      <c r="A2764">
        <v>211408</v>
      </c>
      <c r="B2764">
        <v>116</v>
      </c>
      <c r="C2764" t="s">
        <v>568</v>
      </c>
      <c r="D2764" t="s">
        <v>2265</v>
      </c>
      <c r="E2764" t="s">
        <v>2981</v>
      </c>
      <c r="F2764" s="452">
        <v>46073</v>
      </c>
      <c r="G2764">
        <v>17437</v>
      </c>
      <c r="H2764" t="s">
        <v>4198</v>
      </c>
      <c r="I2764" t="s">
        <v>4199</v>
      </c>
      <c r="J2764">
        <v>10</v>
      </c>
      <c r="K2764" t="s">
        <v>3872</v>
      </c>
      <c r="L2764">
        <v>25</v>
      </c>
      <c r="M2764">
        <v>2.5</v>
      </c>
      <c r="N2764" t="s">
        <v>4378</v>
      </c>
      <c r="O2764" t="s">
        <v>462</v>
      </c>
    </row>
    <row r="2765" spans="1:15" x14ac:dyDescent="0.3">
      <c r="A2765">
        <v>211408</v>
      </c>
      <c r="B2765">
        <v>116</v>
      </c>
      <c r="C2765" t="s">
        <v>568</v>
      </c>
      <c r="D2765" t="s">
        <v>2265</v>
      </c>
      <c r="E2765" t="s">
        <v>2981</v>
      </c>
      <c r="F2765" s="452">
        <v>46073</v>
      </c>
      <c r="G2765">
        <v>17314</v>
      </c>
      <c r="H2765" t="s">
        <v>4204</v>
      </c>
      <c r="I2765" t="s">
        <v>4199</v>
      </c>
      <c r="J2765">
        <v>3</v>
      </c>
      <c r="K2765" t="s">
        <v>3978</v>
      </c>
      <c r="L2765">
        <v>18.3</v>
      </c>
      <c r="M2765">
        <v>6.1</v>
      </c>
      <c r="N2765" t="s">
        <v>4378</v>
      </c>
      <c r="O2765" t="s">
        <v>462</v>
      </c>
    </row>
    <row r="2766" spans="1:15" x14ac:dyDescent="0.3">
      <c r="A2766">
        <v>211408</v>
      </c>
      <c r="B2766">
        <v>116</v>
      </c>
      <c r="C2766" t="s">
        <v>568</v>
      </c>
      <c r="D2766" t="s">
        <v>2265</v>
      </c>
      <c r="E2766" t="s">
        <v>2981</v>
      </c>
      <c r="F2766" s="452">
        <v>46073</v>
      </c>
      <c r="G2766">
        <v>17383</v>
      </c>
      <c r="H2766" t="s">
        <v>4252</v>
      </c>
      <c r="I2766" t="s">
        <v>4199</v>
      </c>
      <c r="J2766">
        <v>1</v>
      </c>
      <c r="K2766" t="s">
        <v>3872</v>
      </c>
      <c r="L2766">
        <v>42</v>
      </c>
      <c r="M2766">
        <v>42</v>
      </c>
      <c r="N2766" t="s">
        <v>4378</v>
      </c>
      <c r="O2766" t="s">
        <v>462</v>
      </c>
    </row>
    <row r="2767" spans="1:15" x14ac:dyDescent="0.3">
      <c r="A2767">
        <v>211408</v>
      </c>
      <c r="B2767">
        <v>116</v>
      </c>
      <c r="C2767" t="s">
        <v>568</v>
      </c>
      <c r="D2767" t="s">
        <v>2265</v>
      </c>
      <c r="E2767" t="s">
        <v>2981</v>
      </c>
      <c r="F2767" s="452">
        <v>46073</v>
      </c>
      <c r="G2767">
        <v>17190</v>
      </c>
      <c r="H2767" t="s">
        <v>4271</v>
      </c>
      <c r="I2767" t="s">
        <v>4199</v>
      </c>
      <c r="J2767">
        <v>1</v>
      </c>
      <c r="K2767" t="s">
        <v>3888</v>
      </c>
      <c r="L2767">
        <v>8.9</v>
      </c>
      <c r="M2767">
        <v>8.9</v>
      </c>
      <c r="N2767" t="s">
        <v>4378</v>
      </c>
      <c r="O2767" t="s">
        <v>462</v>
      </c>
    </row>
    <row r="2768" spans="1:15" x14ac:dyDescent="0.3">
      <c r="A2768">
        <v>211408</v>
      </c>
      <c r="B2768">
        <v>116</v>
      </c>
      <c r="C2768" t="s">
        <v>568</v>
      </c>
      <c r="D2768" t="s">
        <v>2265</v>
      </c>
      <c r="E2768" t="s">
        <v>2981</v>
      </c>
      <c r="F2768" s="452">
        <v>46073</v>
      </c>
      <c r="G2768">
        <v>17404</v>
      </c>
      <c r="H2768" t="s">
        <v>4282</v>
      </c>
      <c r="I2768" t="s">
        <v>4199</v>
      </c>
      <c r="J2768">
        <v>1</v>
      </c>
      <c r="K2768" t="s">
        <v>3872</v>
      </c>
      <c r="L2768">
        <v>19.899999999999999</v>
      </c>
      <c r="M2768">
        <v>19.899999999999999</v>
      </c>
      <c r="N2768" t="s">
        <v>4378</v>
      </c>
      <c r="O2768" t="s">
        <v>462</v>
      </c>
    </row>
    <row r="2769" spans="1:15" x14ac:dyDescent="0.3">
      <c r="A2769">
        <v>211408</v>
      </c>
      <c r="B2769">
        <v>116</v>
      </c>
      <c r="C2769" t="s">
        <v>568</v>
      </c>
      <c r="D2769" t="s">
        <v>2265</v>
      </c>
      <c r="E2769" t="s">
        <v>2981</v>
      </c>
      <c r="F2769" s="452">
        <v>46073</v>
      </c>
      <c r="G2769">
        <v>17342</v>
      </c>
      <c r="H2769" t="s">
        <v>4208</v>
      </c>
      <c r="I2769" t="s">
        <v>4199</v>
      </c>
      <c r="J2769">
        <v>1</v>
      </c>
      <c r="K2769" t="s">
        <v>3931</v>
      </c>
      <c r="L2769">
        <v>34.229999999999997</v>
      </c>
      <c r="M2769">
        <v>34.229999999999997</v>
      </c>
      <c r="N2769" t="s">
        <v>4378</v>
      </c>
      <c r="O2769" t="s">
        <v>462</v>
      </c>
    </row>
    <row r="2770" spans="1:15" x14ac:dyDescent="0.3">
      <c r="A2770">
        <v>211408</v>
      </c>
      <c r="B2770">
        <v>116</v>
      </c>
      <c r="C2770" t="s">
        <v>568</v>
      </c>
      <c r="D2770" t="s">
        <v>2265</v>
      </c>
      <c r="E2770" t="s">
        <v>2981</v>
      </c>
      <c r="F2770" s="452">
        <v>46073</v>
      </c>
      <c r="G2770">
        <v>17017</v>
      </c>
      <c r="H2770" t="s">
        <v>4230</v>
      </c>
      <c r="I2770" t="s">
        <v>4199</v>
      </c>
      <c r="J2770">
        <v>2</v>
      </c>
      <c r="K2770" t="s">
        <v>3888</v>
      </c>
      <c r="L2770">
        <v>7</v>
      </c>
      <c r="M2770">
        <v>3.5</v>
      </c>
      <c r="N2770" t="s">
        <v>4378</v>
      </c>
      <c r="O2770" t="s">
        <v>462</v>
      </c>
    </row>
    <row r="2771" spans="1:15" x14ac:dyDescent="0.3">
      <c r="A2771">
        <v>211408</v>
      </c>
      <c r="B2771">
        <v>116</v>
      </c>
      <c r="C2771" t="s">
        <v>568</v>
      </c>
      <c r="D2771" t="s">
        <v>2265</v>
      </c>
      <c r="E2771" t="s">
        <v>2981</v>
      </c>
      <c r="F2771" s="452">
        <v>46073</v>
      </c>
      <c r="G2771">
        <v>17304</v>
      </c>
      <c r="H2771" t="s">
        <v>4206</v>
      </c>
      <c r="I2771" t="s">
        <v>4199</v>
      </c>
      <c r="J2771">
        <v>2</v>
      </c>
      <c r="K2771" t="s">
        <v>3978</v>
      </c>
      <c r="L2771">
        <v>14.2</v>
      </c>
      <c r="M2771">
        <v>7.1</v>
      </c>
      <c r="N2771" t="s">
        <v>4378</v>
      </c>
      <c r="O2771" t="s">
        <v>462</v>
      </c>
    </row>
    <row r="2772" spans="1:15" x14ac:dyDescent="0.3">
      <c r="A2772">
        <v>211408</v>
      </c>
      <c r="B2772">
        <v>116</v>
      </c>
      <c r="C2772" t="s">
        <v>568</v>
      </c>
      <c r="D2772" t="s">
        <v>2265</v>
      </c>
      <c r="E2772" t="s">
        <v>2981</v>
      </c>
      <c r="F2772" s="452">
        <v>46073</v>
      </c>
      <c r="G2772">
        <v>17498</v>
      </c>
      <c r="H2772" t="s">
        <v>4243</v>
      </c>
      <c r="I2772" t="s">
        <v>4199</v>
      </c>
      <c r="J2772">
        <v>1</v>
      </c>
      <c r="K2772" t="s">
        <v>3881</v>
      </c>
      <c r="L2772">
        <v>23</v>
      </c>
      <c r="M2772">
        <v>23</v>
      </c>
      <c r="N2772" t="s">
        <v>4378</v>
      </c>
      <c r="O2772" t="s">
        <v>462</v>
      </c>
    </row>
    <row r="2773" spans="1:15" x14ac:dyDescent="0.3">
      <c r="A2773">
        <v>211408</v>
      </c>
      <c r="B2773">
        <v>116</v>
      </c>
      <c r="C2773" t="s">
        <v>568</v>
      </c>
      <c r="D2773" t="s">
        <v>2265</v>
      </c>
      <c r="E2773" t="s">
        <v>2981</v>
      </c>
      <c r="F2773" s="452">
        <v>46073</v>
      </c>
      <c r="G2773">
        <v>21783</v>
      </c>
      <c r="H2773" t="s">
        <v>4228</v>
      </c>
      <c r="I2773" t="s">
        <v>4202</v>
      </c>
      <c r="J2773">
        <v>2</v>
      </c>
      <c r="K2773" t="s">
        <v>3872</v>
      </c>
      <c r="L2773">
        <v>25</v>
      </c>
      <c r="M2773">
        <v>12.5</v>
      </c>
      <c r="N2773" t="s">
        <v>4378</v>
      </c>
      <c r="O2773" t="s">
        <v>462</v>
      </c>
    </row>
    <row r="2774" spans="1:15" x14ac:dyDescent="0.3">
      <c r="A2774">
        <v>211408</v>
      </c>
      <c r="B2774">
        <v>116</v>
      </c>
      <c r="C2774" t="s">
        <v>568</v>
      </c>
      <c r="D2774" t="s">
        <v>2265</v>
      </c>
      <c r="E2774" t="s">
        <v>2981</v>
      </c>
      <c r="F2774" s="452">
        <v>46073</v>
      </c>
      <c r="G2774">
        <v>17215</v>
      </c>
      <c r="H2774" t="s">
        <v>4283</v>
      </c>
      <c r="I2774" t="s">
        <v>4199</v>
      </c>
      <c r="J2774">
        <v>5</v>
      </c>
      <c r="K2774" t="s">
        <v>3978</v>
      </c>
      <c r="L2774">
        <v>100</v>
      </c>
      <c r="M2774">
        <v>20</v>
      </c>
      <c r="N2774" t="s">
        <v>4378</v>
      </c>
      <c r="O2774" t="s">
        <v>462</v>
      </c>
    </row>
    <row r="2775" spans="1:15" x14ac:dyDescent="0.3">
      <c r="A2775">
        <v>211408</v>
      </c>
      <c r="B2775">
        <v>116</v>
      </c>
      <c r="C2775" t="s">
        <v>568</v>
      </c>
      <c r="D2775" t="s">
        <v>2265</v>
      </c>
      <c r="E2775" t="s">
        <v>2981</v>
      </c>
      <c r="F2775" s="452">
        <v>46073</v>
      </c>
      <c r="G2775">
        <v>17230</v>
      </c>
      <c r="H2775" t="s">
        <v>4281</v>
      </c>
      <c r="I2775" t="s">
        <v>4199</v>
      </c>
      <c r="J2775">
        <v>2</v>
      </c>
      <c r="K2775" t="s">
        <v>3872</v>
      </c>
      <c r="L2775">
        <v>84</v>
      </c>
      <c r="M2775">
        <v>42</v>
      </c>
      <c r="N2775" t="s">
        <v>4378</v>
      </c>
      <c r="O2775" t="s">
        <v>462</v>
      </c>
    </row>
    <row r="2776" spans="1:15" x14ac:dyDescent="0.3">
      <c r="A2776">
        <v>211408</v>
      </c>
      <c r="B2776">
        <v>116</v>
      </c>
      <c r="C2776" t="s">
        <v>568</v>
      </c>
      <c r="D2776" t="s">
        <v>2265</v>
      </c>
      <c r="E2776" t="s">
        <v>2981</v>
      </c>
      <c r="F2776" s="452">
        <v>46073</v>
      </c>
      <c r="G2776">
        <v>17343</v>
      </c>
      <c r="H2776" t="s">
        <v>4379</v>
      </c>
      <c r="I2776" t="s">
        <v>4199</v>
      </c>
      <c r="J2776">
        <v>2</v>
      </c>
      <c r="K2776" t="s">
        <v>3872</v>
      </c>
      <c r="L2776">
        <v>52</v>
      </c>
      <c r="M2776">
        <v>26</v>
      </c>
      <c r="N2776" t="s">
        <v>4378</v>
      </c>
      <c r="O2776" t="s">
        <v>462</v>
      </c>
    </row>
    <row r="2777" spans="1:15" x14ac:dyDescent="0.3">
      <c r="A2777">
        <v>211408</v>
      </c>
      <c r="B2777">
        <v>116</v>
      </c>
      <c r="C2777" t="s">
        <v>568</v>
      </c>
      <c r="D2777" t="s">
        <v>2265</v>
      </c>
      <c r="E2777" t="s">
        <v>2981</v>
      </c>
      <c r="F2777" s="452">
        <v>46073</v>
      </c>
      <c r="G2777">
        <v>17418</v>
      </c>
      <c r="H2777" t="s">
        <v>4280</v>
      </c>
      <c r="I2777" t="s">
        <v>4199</v>
      </c>
      <c r="J2777">
        <v>1</v>
      </c>
      <c r="K2777" t="s">
        <v>3881</v>
      </c>
      <c r="L2777">
        <v>58.9</v>
      </c>
      <c r="M2777">
        <v>58.9</v>
      </c>
      <c r="N2777" t="s">
        <v>4378</v>
      </c>
      <c r="O2777" t="s">
        <v>462</v>
      </c>
    </row>
    <row r="2778" spans="1:15" x14ac:dyDescent="0.3">
      <c r="A2778">
        <v>211408</v>
      </c>
      <c r="B2778">
        <v>116</v>
      </c>
      <c r="C2778" t="s">
        <v>568</v>
      </c>
      <c r="D2778" t="s">
        <v>2265</v>
      </c>
      <c r="E2778" t="s">
        <v>2981</v>
      </c>
      <c r="F2778" s="452">
        <v>46073</v>
      </c>
      <c r="G2778">
        <v>17416</v>
      </c>
      <c r="H2778" t="s">
        <v>4205</v>
      </c>
      <c r="I2778" t="s">
        <v>4199</v>
      </c>
      <c r="J2778">
        <v>3</v>
      </c>
      <c r="K2778" t="s">
        <v>3881</v>
      </c>
      <c r="L2778">
        <v>145.74</v>
      </c>
      <c r="M2778">
        <v>48.58</v>
      </c>
      <c r="N2778" t="s">
        <v>4378</v>
      </c>
      <c r="O2778" t="s">
        <v>462</v>
      </c>
    </row>
    <row r="2779" spans="1:15" x14ac:dyDescent="0.3">
      <c r="A2779">
        <v>211408</v>
      </c>
      <c r="B2779">
        <v>116</v>
      </c>
      <c r="C2779" t="s">
        <v>568</v>
      </c>
      <c r="D2779" t="s">
        <v>2265</v>
      </c>
      <c r="E2779" t="s">
        <v>2981</v>
      </c>
      <c r="F2779" s="452">
        <v>46073</v>
      </c>
      <c r="G2779">
        <v>28777</v>
      </c>
      <c r="H2779" t="s">
        <v>4279</v>
      </c>
      <c r="I2779" t="s">
        <v>4199</v>
      </c>
      <c r="J2779">
        <v>2</v>
      </c>
      <c r="K2779" t="s">
        <v>4203</v>
      </c>
      <c r="L2779">
        <v>17.8</v>
      </c>
      <c r="M2779">
        <v>8.9</v>
      </c>
      <c r="N2779" t="s">
        <v>4378</v>
      </c>
      <c r="O2779" t="s">
        <v>462</v>
      </c>
    </row>
    <row r="2780" spans="1:15" x14ac:dyDescent="0.3">
      <c r="A2780">
        <v>211408</v>
      </c>
      <c r="B2780">
        <v>116</v>
      </c>
      <c r="C2780" t="s">
        <v>568</v>
      </c>
      <c r="D2780" t="s">
        <v>2265</v>
      </c>
      <c r="E2780" t="s">
        <v>2981</v>
      </c>
      <c r="F2780" s="452">
        <v>46073</v>
      </c>
      <c r="G2780">
        <v>28386</v>
      </c>
      <c r="H2780" t="s">
        <v>4245</v>
      </c>
      <c r="I2780" t="s">
        <v>4199</v>
      </c>
      <c r="J2780">
        <v>2</v>
      </c>
      <c r="K2780" t="s">
        <v>4203</v>
      </c>
      <c r="L2780">
        <v>84</v>
      </c>
      <c r="M2780">
        <v>42</v>
      </c>
      <c r="N2780" t="s">
        <v>4378</v>
      </c>
      <c r="O2780" t="s">
        <v>462</v>
      </c>
    </row>
    <row r="2781" spans="1:15" x14ac:dyDescent="0.3">
      <c r="A2781">
        <v>211407</v>
      </c>
      <c r="B2781">
        <v>116</v>
      </c>
      <c r="C2781" t="s">
        <v>568</v>
      </c>
      <c r="D2781" t="s">
        <v>2318</v>
      </c>
      <c r="E2781" t="s">
        <v>2982</v>
      </c>
      <c r="F2781" s="452">
        <v>46061</v>
      </c>
      <c r="G2781">
        <v>18764</v>
      </c>
      <c r="H2781" t="s">
        <v>3907</v>
      </c>
      <c r="I2781" t="s">
        <v>3469</v>
      </c>
      <c r="J2781">
        <v>12</v>
      </c>
      <c r="K2781" t="s">
        <v>3892</v>
      </c>
      <c r="L2781">
        <v>958.8</v>
      </c>
      <c r="M2781">
        <v>79.900000000000006</v>
      </c>
      <c r="N2781" t="s">
        <v>4240</v>
      </c>
      <c r="O2781" t="s">
        <v>462</v>
      </c>
    </row>
    <row r="2782" spans="1:15" x14ac:dyDescent="0.3">
      <c r="A2782">
        <v>210699</v>
      </c>
      <c r="B2782">
        <v>116</v>
      </c>
      <c r="C2782" t="s">
        <v>568</v>
      </c>
      <c r="D2782" t="s">
        <v>2267</v>
      </c>
      <c r="E2782" t="s">
        <v>2983</v>
      </c>
      <c r="F2782" s="452">
        <v>46064</v>
      </c>
      <c r="G2782">
        <v>24403</v>
      </c>
      <c r="H2782" t="s">
        <v>3992</v>
      </c>
      <c r="I2782" t="s">
        <v>3469</v>
      </c>
      <c r="J2782">
        <v>3</v>
      </c>
      <c r="K2782" t="s">
        <v>3892</v>
      </c>
      <c r="L2782">
        <v>38.97</v>
      </c>
      <c r="M2782">
        <v>12.99</v>
      </c>
      <c r="N2782" t="s">
        <v>4240</v>
      </c>
      <c r="O2782" t="s">
        <v>462</v>
      </c>
    </row>
    <row r="2783" spans="1:15" x14ac:dyDescent="0.3">
      <c r="A2783">
        <v>210699</v>
      </c>
      <c r="B2783">
        <v>116</v>
      </c>
      <c r="C2783" t="s">
        <v>568</v>
      </c>
      <c r="D2783" t="s">
        <v>2267</v>
      </c>
      <c r="E2783" t="s">
        <v>2983</v>
      </c>
      <c r="F2783" s="452">
        <v>46064</v>
      </c>
      <c r="G2783">
        <v>18696</v>
      </c>
      <c r="H2783" t="s">
        <v>3956</v>
      </c>
      <c r="I2783" t="s">
        <v>3469</v>
      </c>
      <c r="J2783">
        <v>5</v>
      </c>
      <c r="K2783" t="s">
        <v>3892</v>
      </c>
      <c r="L2783">
        <v>89.95</v>
      </c>
      <c r="M2783">
        <v>17.989999999999998</v>
      </c>
      <c r="N2783" t="s">
        <v>4240</v>
      </c>
      <c r="O2783" t="s">
        <v>462</v>
      </c>
    </row>
    <row r="2784" spans="1:15" x14ac:dyDescent="0.3">
      <c r="A2784">
        <v>210698</v>
      </c>
      <c r="B2784">
        <v>116</v>
      </c>
      <c r="C2784" t="s">
        <v>568</v>
      </c>
      <c r="D2784" t="s">
        <v>2267</v>
      </c>
      <c r="E2784" t="s">
        <v>2984</v>
      </c>
      <c r="F2784" s="452">
        <v>46066</v>
      </c>
      <c r="G2784">
        <v>24517</v>
      </c>
      <c r="H2784" t="s">
        <v>3991</v>
      </c>
      <c r="I2784" t="s">
        <v>3469</v>
      </c>
      <c r="J2784">
        <v>10</v>
      </c>
      <c r="K2784" t="s">
        <v>3892</v>
      </c>
      <c r="L2784">
        <v>279.89999999999998</v>
      </c>
      <c r="M2784">
        <v>27.99</v>
      </c>
      <c r="N2784" t="s">
        <v>4240</v>
      </c>
      <c r="O2784" t="s">
        <v>462</v>
      </c>
    </row>
    <row r="2785" spans="1:15" x14ac:dyDescent="0.3">
      <c r="A2785">
        <v>210698</v>
      </c>
      <c r="B2785">
        <v>116</v>
      </c>
      <c r="C2785" t="s">
        <v>568</v>
      </c>
      <c r="D2785" t="s">
        <v>2267</v>
      </c>
      <c r="E2785" t="s">
        <v>2984</v>
      </c>
      <c r="F2785" s="452">
        <v>46066</v>
      </c>
      <c r="G2785">
        <v>18682</v>
      </c>
      <c r="H2785" t="s">
        <v>4025</v>
      </c>
      <c r="I2785" t="s">
        <v>3469</v>
      </c>
      <c r="J2785">
        <v>5.8</v>
      </c>
      <c r="K2785" t="s">
        <v>3892</v>
      </c>
      <c r="L2785">
        <v>162.34</v>
      </c>
      <c r="M2785">
        <v>27.989654999999999</v>
      </c>
      <c r="N2785" t="s">
        <v>4240</v>
      </c>
      <c r="O2785" t="s">
        <v>462</v>
      </c>
    </row>
    <row r="2786" spans="1:15" x14ac:dyDescent="0.3">
      <c r="A2786">
        <v>210697</v>
      </c>
      <c r="B2786">
        <v>116</v>
      </c>
      <c r="C2786" t="s">
        <v>568</v>
      </c>
      <c r="D2786" t="s">
        <v>2709</v>
      </c>
      <c r="E2786" t="s">
        <v>2985</v>
      </c>
      <c r="F2786" s="452">
        <v>46062</v>
      </c>
      <c r="G2786">
        <v>17573</v>
      </c>
      <c r="H2786" t="s">
        <v>4306</v>
      </c>
      <c r="I2786" t="s">
        <v>4199</v>
      </c>
      <c r="J2786">
        <v>1</v>
      </c>
      <c r="K2786" t="s">
        <v>3881</v>
      </c>
      <c r="L2786">
        <v>74.900000000000006</v>
      </c>
      <c r="M2786">
        <v>74.900000000000006</v>
      </c>
      <c r="N2786" t="s">
        <v>2176</v>
      </c>
      <c r="O2786" t="s">
        <v>462</v>
      </c>
    </row>
    <row r="2787" spans="1:15" x14ac:dyDescent="0.3">
      <c r="A2787">
        <v>210696</v>
      </c>
      <c r="B2787">
        <v>116</v>
      </c>
      <c r="C2787" t="s">
        <v>568</v>
      </c>
      <c r="D2787" t="s">
        <v>2709</v>
      </c>
      <c r="E2787" t="s">
        <v>2986</v>
      </c>
      <c r="F2787" s="452">
        <v>46063</v>
      </c>
      <c r="G2787">
        <v>20702</v>
      </c>
      <c r="H2787" t="s">
        <v>4006</v>
      </c>
      <c r="I2787" t="s">
        <v>3469</v>
      </c>
      <c r="J2787">
        <v>1</v>
      </c>
      <c r="K2787" t="s">
        <v>3966</v>
      </c>
      <c r="L2787">
        <v>42.9</v>
      </c>
      <c r="M2787">
        <v>42.9</v>
      </c>
      <c r="N2787" t="s">
        <v>4240</v>
      </c>
      <c r="O2787" t="s">
        <v>462</v>
      </c>
    </row>
    <row r="2788" spans="1:15" x14ac:dyDescent="0.3">
      <c r="A2788">
        <v>210696</v>
      </c>
      <c r="B2788">
        <v>116</v>
      </c>
      <c r="C2788" t="s">
        <v>568</v>
      </c>
      <c r="D2788" t="s">
        <v>2709</v>
      </c>
      <c r="E2788" t="s">
        <v>2986</v>
      </c>
      <c r="F2788" s="452">
        <v>46063</v>
      </c>
      <c r="G2788">
        <v>19297</v>
      </c>
      <c r="H2788" t="s">
        <v>3949</v>
      </c>
      <c r="I2788" t="s">
        <v>3469</v>
      </c>
      <c r="J2788">
        <v>14.15</v>
      </c>
      <c r="K2788" t="s">
        <v>3892</v>
      </c>
      <c r="L2788">
        <v>1003.52</v>
      </c>
      <c r="M2788">
        <v>70.920141000000001</v>
      </c>
      <c r="N2788" t="s">
        <v>4240</v>
      </c>
      <c r="O2788" t="s">
        <v>462</v>
      </c>
    </row>
    <row r="2789" spans="1:15" x14ac:dyDescent="0.3">
      <c r="A2789">
        <v>210695</v>
      </c>
      <c r="B2789">
        <v>116</v>
      </c>
      <c r="C2789" t="s">
        <v>568</v>
      </c>
      <c r="D2789" t="s">
        <v>2385</v>
      </c>
      <c r="E2789" t="s">
        <v>2987</v>
      </c>
      <c r="F2789" s="452">
        <v>46064</v>
      </c>
      <c r="G2789">
        <v>20539</v>
      </c>
      <c r="H2789" t="s">
        <v>3908</v>
      </c>
      <c r="I2789" t="s">
        <v>3469</v>
      </c>
      <c r="J2789">
        <v>10.27</v>
      </c>
      <c r="K2789" t="s">
        <v>3892</v>
      </c>
      <c r="L2789">
        <v>667.23</v>
      </c>
      <c r="M2789">
        <v>64.968840999999998</v>
      </c>
      <c r="N2789" t="s">
        <v>4240</v>
      </c>
      <c r="O2789" t="s">
        <v>462</v>
      </c>
    </row>
    <row r="2790" spans="1:15" x14ac:dyDescent="0.3">
      <c r="A2790">
        <v>210694</v>
      </c>
      <c r="B2790">
        <v>116</v>
      </c>
      <c r="C2790" t="s">
        <v>568</v>
      </c>
      <c r="D2790" t="s">
        <v>2262</v>
      </c>
      <c r="E2790" t="s">
        <v>2988</v>
      </c>
      <c r="F2790" s="452">
        <v>46063</v>
      </c>
      <c r="G2790">
        <v>27312</v>
      </c>
      <c r="H2790" t="s">
        <v>3927</v>
      </c>
      <c r="I2790" t="s">
        <v>3469</v>
      </c>
      <c r="J2790">
        <v>16.95</v>
      </c>
      <c r="K2790" t="s">
        <v>3892</v>
      </c>
      <c r="L2790">
        <v>894.96</v>
      </c>
      <c r="M2790">
        <v>52.8</v>
      </c>
      <c r="N2790" t="s">
        <v>4240</v>
      </c>
      <c r="O2790" t="s">
        <v>462</v>
      </c>
    </row>
    <row r="2791" spans="1:15" x14ac:dyDescent="0.3">
      <c r="A2791">
        <v>210693</v>
      </c>
      <c r="B2791">
        <v>116</v>
      </c>
      <c r="C2791" t="s">
        <v>568</v>
      </c>
      <c r="D2791" t="s">
        <v>2262</v>
      </c>
      <c r="E2791" t="s">
        <v>2989</v>
      </c>
      <c r="F2791" s="452">
        <v>46064</v>
      </c>
      <c r="G2791">
        <v>24402</v>
      </c>
      <c r="H2791" t="s">
        <v>3896</v>
      </c>
      <c r="I2791" t="s">
        <v>3469</v>
      </c>
      <c r="J2791">
        <v>17.7</v>
      </c>
      <c r="K2791" t="s">
        <v>3892</v>
      </c>
      <c r="L2791">
        <v>637.20000000000005</v>
      </c>
      <c r="M2791">
        <v>36</v>
      </c>
      <c r="N2791" t="s">
        <v>4240</v>
      </c>
      <c r="O2791" t="s">
        <v>462</v>
      </c>
    </row>
    <row r="2792" spans="1:15" x14ac:dyDescent="0.3">
      <c r="A2792">
        <v>210693</v>
      </c>
      <c r="B2792">
        <v>116</v>
      </c>
      <c r="C2792" t="s">
        <v>568</v>
      </c>
      <c r="D2792" t="s">
        <v>2262</v>
      </c>
      <c r="E2792" t="s">
        <v>2989</v>
      </c>
      <c r="F2792" s="452">
        <v>46064</v>
      </c>
      <c r="G2792">
        <v>24339</v>
      </c>
      <c r="H2792" t="s">
        <v>4119</v>
      </c>
      <c r="I2792" t="s">
        <v>3469</v>
      </c>
      <c r="J2792">
        <v>5</v>
      </c>
      <c r="K2792" t="s">
        <v>3892</v>
      </c>
      <c r="L2792">
        <v>140</v>
      </c>
      <c r="M2792">
        <v>28</v>
      </c>
      <c r="N2792" t="s">
        <v>4240</v>
      </c>
      <c r="O2792" t="s">
        <v>462</v>
      </c>
    </row>
    <row r="2793" spans="1:15" x14ac:dyDescent="0.3">
      <c r="A2793">
        <v>210693</v>
      </c>
      <c r="B2793">
        <v>116</v>
      </c>
      <c r="C2793" t="s">
        <v>568</v>
      </c>
      <c r="D2793" t="s">
        <v>2262</v>
      </c>
      <c r="E2793" t="s">
        <v>2989</v>
      </c>
      <c r="F2793" s="452">
        <v>46064</v>
      </c>
      <c r="G2793">
        <v>24331</v>
      </c>
      <c r="H2793" t="s">
        <v>3960</v>
      </c>
      <c r="I2793" t="s">
        <v>3469</v>
      </c>
      <c r="J2793">
        <v>5</v>
      </c>
      <c r="K2793" t="s">
        <v>3892</v>
      </c>
      <c r="L2793">
        <v>109.5</v>
      </c>
      <c r="M2793">
        <v>21.9</v>
      </c>
      <c r="N2793" t="s">
        <v>4240</v>
      </c>
      <c r="O2793" t="s">
        <v>462</v>
      </c>
    </row>
    <row r="2794" spans="1:15" x14ac:dyDescent="0.3">
      <c r="A2794">
        <v>210693</v>
      </c>
      <c r="B2794">
        <v>116</v>
      </c>
      <c r="C2794" t="s">
        <v>568</v>
      </c>
      <c r="D2794" t="s">
        <v>2262</v>
      </c>
      <c r="E2794" t="s">
        <v>2989</v>
      </c>
      <c r="F2794" s="452">
        <v>46064</v>
      </c>
      <c r="G2794">
        <v>24259</v>
      </c>
      <c r="H2794" t="s">
        <v>3895</v>
      </c>
      <c r="I2794" t="s">
        <v>3469</v>
      </c>
      <c r="J2794">
        <v>21.55</v>
      </c>
      <c r="L2794">
        <v>1678.75</v>
      </c>
      <c r="M2794">
        <v>77.900232000000003</v>
      </c>
      <c r="N2794" t="s">
        <v>4240</v>
      </c>
      <c r="O2794" t="s">
        <v>462</v>
      </c>
    </row>
    <row r="2795" spans="1:15" x14ac:dyDescent="0.3">
      <c r="A2795">
        <v>210692</v>
      </c>
      <c r="B2795">
        <v>116</v>
      </c>
      <c r="C2795" t="s">
        <v>568</v>
      </c>
      <c r="D2795" t="s">
        <v>2262</v>
      </c>
      <c r="E2795" t="s">
        <v>2990</v>
      </c>
      <c r="F2795" s="452">
        <v>46065</v>
      </c>
      <c r="G2795">
        <v>25541</v>
      </c>
      <c r="H2795" t="s">
        <v>4330</v>
      </c>
      <c r="I2795" t="s">
        <v>3469</v>
      </c>
      <c r="J2795">
        <v>10.7</v>
      </c>
      <c r="K2795" t="s">
        <v>3892</v>
      </c>
      <c r="L2795">
        <v>350.96</v>
      </c>
      <c r="M2795">
        <v>32.799999999999997</v>
      </c>
      <c r="N2795" t="s">
        <v>4240</v>
      </c>
      <c r="O2795" t="s">
        <v>462</v>
      </c>
    </row>
    <row r="2796" spans="1:15" x14ac:dyDescent="0.3">
      <c r="A2796">
        <v>210692</v>
      </c>
      <c r="B2796">
        <v>116</v>
      </c>
      <c r="C2796" t="s">
        <v>568</v>
      </c>
      <c r="D2796" t="s">
        <v>2262</v>
      </c>
      <c r="E2796" t="s">
        <v>2990</v>
      </c>
      <c r="F2796" s="452">
        <v>46065</v>
      </c>
      <c r="G2796">
        <v>24388</v>
      </c>
      <c r="H2796" t="s">
        <v>3915</v>
      </c>
      <c r="I2796" t="s">
        <v>3469</v>
      </c>
      <c r="J2796">
        <v>5.9</v>
      </c>
      <c r="K2796" t="s">
        <v>3892</v>
      </c>
      <c r="L2796">
        <v>176.94</v>
      </c>
      <c r="M2796">
        <v>29.989830999999999</v>
      </c>
      <c r="N2796" t="s">
        <v>4240</v>
      </c>
      <c r="O2796" t="s">
        <v>462</v>
      </c>
    </row>
    <row r="2797" spans="1:15" x14ac:dyDescent="0.3">
      <c r="A2797">
        <v>210333</v>
      </c>
      <c r="B2797">
        <v>116</v>
      </c>
      <c r="C2797" t="s">
        <v>568</v>
      </c>
      <c r="D2797" t="s">
        <v>2314</v>
      </c>
      <c r="E2797" t="s">
        <v>2991</v>
      </c>
      <c r="F2797" s="452">
        <v>46064</v>
      </c>
      <c r="G2797">
        <v>17896</v>
      </c>
      <c r="H2797" t="s">
        <v>3972</v>
      </c>
      <c r="I2797" t="s">
        <v>3497</v>
      </c>
      <c r="J2797">
        <v>3</v>
      </c>
      <c r="K2797" t="s">
        <v>3888</v>
      </c>
      <c r="L2797">
        <v>120.87</v>
      </c>
      <c r="M2797">
        <v>40.29</v>
      </c>
      <c r="N2797" t="s">
        <v>4309</v>
      </c>
      <c r="O2797" t="s">
        <v>462</v>
      </c>
    </row>
    <row r="2798" spans="1:15" x14ac:dyDescent="0.3">
      <c r="A2798">
        <v>210333</v>
      </c>
      <c r="B2798">
        <v>116</v>
      </c>
      <c r="C2798" t="s">
        <v>568</v>
      </c>
      <c r="D2798" t="s">
        <v>2314</v>
      </c>
      <c r="E2798" t="s">
        <v>2991</v>
      </c>
      <c r="F2798" s="452">
        <v>46064</v>
      </c>
      <c r="G2798">
        <v>17914</v>
      </c>
      <c r="H2798" t="s">
        <v>3997</v>
      </c>
      <c r="I2798" t="s">
        <v>3497</v>
      </c>
      <c r="J2798">
        <v>2</v>
      </c>
      <c r="K2798" t="s">
        <v>3888</v>
      </c>
      <c r="L2798">
        <v>64.48</v>
      </c>
      <c r="M2798">
        <v>32.24</v>
      </c>
      <c r="N2798" t="s">
        <v>4309</v>
      </c>
      <c r="O2798" t="s">
        <v>462</v>
      </c>
    </row>
    <row r="2799" spans="1:15" x14ac:dyDescent="0.3">
      <c r="A2799">
        <v>210333</v>
      </c>
      <c r="B2799">
        <v>116</v>
      </c>
      <c r="C2799" t="s">
        <v>568</v>
      </c>
      <c r="D2799" t="s">
        <v>2314</v>
      </c>
      <c r="E2799" t="s">
        <v>2991</v>
      </c>
      <c r="F2799" s="452">
        <v>46064</v>
      </c>
      <c r="G2799">
        <v>17897</v>
      </c>
      <c r="H2799" t="s">
        <v>4094</v>
      </c>
      <c r="I2799" t="s">
        <v>3497</v>
      </c>
      <c r="J2799">
        <v>2</v>
      </c>
      <c r="K2799" t="s">
        <v>3888</v>
      </c>
      <c r="L2799">
        <v>80.58</v>
      </c>
      <c r="M2799">
        <v>40.29</v>
      </c>
      <c r="N2799" t="s">
        <v>4309</v>
      </c>
      <c r="O2799" t="s">
        <v>462</v>
      </c>
    </row>
    <row r="2800" spans="1:15" x14ac:dyDescent="0.3">
      <c r="A2800">
        <v>210330</v>
      </c>
      <c r="B2800">
        <v>116</v>
      </c>
      <c r="C2800" t="s">
        <v>568</v>
      </c>
      <c r="D2800" t="s">
        <v>2314</v>
      </c>
      <c r="E2800" t="s">
        <v>2992</v>
      </c>
      <c r="F2800" s="452">
        <v>46064</v>
      </c>
      <c r="G2800">
        <v>18640</v>
      </c>
      <c r="H2800" t="s">
        <v>3994</v>
      </c>
      <c r="I2800" t="s">
        <v>3497</v>
      </c>
      <c r="J2800">
        <v>2</v>
      </c>
      <c r="K2800" t="s">
        <v>3922</v>
      </c>
      <c r="L2800">
        <v>612</v>
      </c>
      <c r="M2800">
        <v>306</v>
      </c>
      <c r="N2800" t="s">
        <v>3497</v>
      </c>
      <c r="O2800" t="s">
        <v>462</v>
      </c>
    </row>
    <row r="2801" spans="1:15" x14ac:dyDescent="0.3">
      <c r="A2801">
        <v>210326</v>
      </c>
      <c r="B2801">
        <v>116</v>
      </c>
      <c r="C2801" t="s">
        <v>568</v>
      </c>
      <c r="D2801" t="s">
        <v>2314</v>
      </c>
      <c r="E2801" t="s">
        <v>2993</v>
      </c>
      <c r="F2801" s="452">
        <v>46064</v>
      </c>
      <c r="G2801">
        <v>18636</v>
      </c>
      <c r="H2801" t="s">
        <v>3921</v>
      </c>
      <c r="I2801" t="s">
        <v>3497</v>
      </c>
      <c r="J2801">
        <v>8</v>
      </c>
      <c r="K2801" t="s">
        <v>3922</v>
      </c>
      <c r="L2801">
        <v>3862.4</v>
      </c>
      <c r="M2801">
        <v>482.8</v>
      </c>
      <c r="N2801" t="s">
        <v>3497</v>
      </c>
      <c r="O2801" t="s">
        <v>462</v>
      </c>
    </row>
    <row r="2802" spans="1:15" x14ac:dyDescent="0.3">
      <c r="A2802">
        <v>210323</v>
      </c>
      <c r="B2802">
        <v>116</v>
      </c>
      <c r="C2802" t="s">
        <v>568</v>
      </c>
      <c r="D2802" t="s">
        <v>2308</v>
      </c>
      <c r="E2802" t="s">
        <v>2994</v>
      </c>
      <c r="F2802" s="452">
        <v>46064</v>
      </c>
      <c r="G2802">
        <v>28731</v>
      </c>
      <c r="H2802" t="s">
        <v>4380</v>
      </c>
      <c r="I2802" t="s">
        <v>3469</v>
      </c>
      <c r="J2802">
        <v>15.3</v>
      </c>
      <c r="K2802" t="s">
        <v>4381</v>
      </c>
      <c r="L2802">
        <v>933.3</v>
      </c>
      <c r="M2802">
        <v>61</v>
      </c>
      <c r="N2802" t="s">
        <v>3469</v>
      </c>
      <c r="O2802" t="s">
        <v>462</v>
      </c>
    </row>
    <row r="2803" spans="1:15" x14ac:dyDescent="0.3">
      <c r="A2803">
        <v>210320</v>
      </c>
      <c r="B2803">
        <v>116</v>
      </c>
      <c r="C2803" t="s">
        <v>568</v>
      </c>
      <c r="D2803" t="s">
        <v>2429</v>
      </c>
      <c r="E2803" t="s">
        <v>2995</v>
      </c>
      <c r="F2803" s="452">
        <v>46063</v>
      </c>
      <c r="G2803">
        <v>28765</v>
      </c>
      <c r="H2803" t="s">
        <v>4382</v>
      </c>
      <c r="I2803" t="s">
        <v>3469</v>
      </c>
      <c r="J2803">
        <v>38</v>
      </c>
      <c r="K2803" t="s">
        <v>3872</v>
      </c>
      <c r="L2803">
        <v>300.2</v>
      </c>
      <c r="M2803">
        <v>7.9</v>
      </c>
      <c r="N2803" t="s">
        <v>3469</v>
      </c>
      <c r="O2803" t="s">
        <v>462</v>
      </c>
    </row>
    <row r="2804" spans="1:15" x14ac:dyDescent="0.3">
      <c r="A2804">
        <v>210316</v>
      </c>
      <c r="B2804">
        <v>116</v>
      </c>
      <c r="C2804" t="s">
        <v>568</v>
      </c>
      <c r="D2804" t="s">
        <v>2277</v>
      </c>
      <c r="E2804" t="s">
        <v>2996</v>
      </c>
      <c r="F2804" s="452">
        <v>46063</v>
      </c>
      <c r="G2804">
        <v>20809</v>
      </c>
      <c r="H2804" t="s">
        <v>4005</v>
      </c>
      <c r="I2804" t="s">
        <v>3469</v>
      </c>
      <c r="J2804">
        <v>2</v>
      </c>
      <c r="K2804" t="s">
        <v>3888</v>
      </c>
      <c r="L2804">
        <v>61.6</v>
      </c>
      <c r="M2804">
        <v>30.8</v>
      </c>
      <c r="N2804" t="s">
        <v>3469</v>
      </c>
      <c r="O2804" t="s">
        <v>462</v>
      </c>
    </row>
    <row r="2805" spans="1:15" x14ac:dyDescent="0.3">
      <c r="A2805">
        <v>210316</v>
      </c>
      <c r="B2805">
        <v>116</v>
      </c>
      <c r="C2805" t="s">
        <v>568</v>
      </c>
      <c r="D2805" t="s">
        <v>2277</v>
      </c>
      <c r="E2805" t="s">
        <v>2996</v>
      </c>
      <c r="F2805" s="452">
        <v>46063</v>
      </c>
      <c r="G2805">
        <v>21024</v>
      </c>
      <c r="H2805" t="s">
        <v>4180</v>
      </c>
      <c r="I2805" t="s">
        <v>3469</v>
      </c>
      <c r="J2805">
        <v>2</v>
      </c>
      <c r="K2805" t="s">
        <v>3966</v>
      </c>
      <c r="L2805">
        <v>349.06</v>
      </c>
      <c r="M2805">
        <v>174.53</v>
      </c>
      <c r="N2805" t="s">
        <v>3469</v>
      </c>
      <c r="O2805" t="s">
        <v>462</v>
      </c>
    </row>
    <row r="2806" spans="1:15" x14ac:dyDescent="0.3">
      <c r="A2806">
        <v>210316</v>
      </c>
      <c r="B2806">
        <v>116</v>
      </c>
      <c r="C2806" t="s">
        <v>568</v>
      </c>
      <c r="D2806" t="s">
        <v>2277</v>
      </c>
      <c r="E2806" t="s">
        <v>2996</v>
      </c>
      <c r="F2806" s="452">
        <v>46063</v>
      </c>
      <c r="G2806">
        <v>20213</v>
      </c>
      <c r="H2806" t="s">
        <v>4059</v>
      </c>
      <c r="I2806" t="s">
        <v>3469</v>
      </c>
      <c r="J2806">
        <v>1</v>
      </c>
      <c r="K2806" t="s">
        <v>4268</v>
      </c>
      <c r="L2806">
        <v>31.6</v>
      </c>
      <c r="M2806">
        <v>31.6</v>
      </c>
      <c r="N2806" t="s">
        <v>3469</v>
      </c>
      <c r="O2806" t="s">
        <v>462</v>
      </c>
    </row>
    <row r="2807" spans="1:15" x14ac:dyDescent="0.3">
      <c r="A2807">
        <v>210316</v>
      </c>
      <c r="B2807">
        <v>116</v>
      </c>
      <c r="C2807" t="s">
        <v>568</v>
      </c>
      <c r="D2807" t="s">
        <v>2277</v>
      </c>
      <c r="E2807" t="s">
        <v>2996</v>
      </c>
      <c r="F2807" s="452">
        <v>46063</v>
      </c>
      <c r="G2807">
        <v>20729</v>
      </c>
      <c r="H2807" t="s">
        <v>3965</v>
      </c>
      <c r="I2807" t="s">
        <v>3469</v>
      </c>
      <c r="J2807">
        <v>3</v>
      </c>
      <c r="K2807" t="s">
        <v>3966</v>
      </c>
      <c r="L2807">
        <v>197.64</v>
      </c>
      <c r="M2807">
        <v>65.88</v>
      </c>
      <c r="N2807" t="s">
        <v>3469</v>
      </c>
      <c r="O2807" t="s">
        <v>462</v>
      </c>
    </row>
    <row r="2808" spans="1:15" x14ac:dyDescent="0.3">
      <c r="A2808">
        <v>210316</v>
      </c>
      <c r="B2808">
        <v>116</v>
      </c>
      <c r="C2808" t="s">
        <v>568</v>
      </c>
      <c r="D2808" t="s">
        <v>2277</v>
      </c>
      <c r="E2808" t="s">
        <v>2996</v>
      </c>
      <c r="F2808" s="452">
        <v>46063</v>
      </c>
      <c r="G2808">
        <v>21093</v>
      </c>
      <c r="H2808" t="s">
        <v>3903</v>
      </c>
      <c r="I2808" t="s">
        <v>3469</v>
      </c>
      <c r="J2808">
        <v>10</v>
      </c>
      <c r="K2808" t="s">
        <v>3872</v>
      </c>
      <c r="L2808">
        <v>44.9</v>
      </c>
      <c r="M2808">
        <v>4.49</v>
      </c>
      <c r="N2808" t="s">
        <v>3469</v>
      </c>
      <c r="O2808" t="s">
        <v>462</v>
      </c>
    </row>
    <row r="2809" spans="1:15" x14ac:dyDescent="0.3">
      <c r="A2809">
        <v>210316</v>
      </c>
      <c r="B2809">
        <v>116</v>
      </c>
      <c r="C2809" t="s">
        <v>568</v>
      </c>
      <c r="D2809" t="s">
        <v>2277</v>
      </c>
      <c r="E2809" t="s">
        <v>2996</v>
      </c>
      <c r="F2809" s="452">
        <v>46063</v>
      </c>
      <c r="G2809">
        <v>20287</v>
      </c>
      <c r="H2809" t="s">
        <v>4053</v>
      </c>
      <c r="I2809" t="s">
        <v>3469</v>
      </c>
      <c r="J2809">
        <v>1</v>
      </c>
      <c r="K2809" t="s">
        <v>4197</v>
      </c>
      <c r="L2809">
        <v>24.85</v>
      </c>
      <c r="M2809">
        <v>24.85</v>
      </c>
      <c r="N2809" t="s">
        <v>3469</v>
      </c>
      <c r="O2809" t="s">
        <v>462</v>
      </c>
    </row>
    <row r="2810" spans="1:15" x14ac:dyDescent="0.3">
      <c r="A2810">
        <v>210316</v>
      </c>
      <c r="B2810">
        <v>116</v>
      </c>
      <c r="C2810" t="s">
        <v>568</v>
      </c>
      <c r="D2810" t="s">
        <v>2277</v>
      </c>
      <c r="E2810" t="s">
        <v>2996</v>
      </c>
      <c r="F2810" s="452">
        <v>46063</v>
      </c>
      <c r="G2810">
        <v>25237</v>
      </c>
      <c r="H2810" t="s">
        <v>4164</v>
      </c>
      <c r="I2810" t="s">
        <v>3469</v>
      </c>
      <c r="J2810">
        <v>10</v>
      </c>
      <c r="K2810" t="s">
        <v>3888</v>
      </c>
      <c r="L2810">
        <v>54.5</v>
      </c>
      <c r="M2810">
        <v>5.45</v>
      </c>
      <c r="N2810" t="s">
        <v>3469</v>
      </c>
      <c r="O2810" t="s">
        <v>462</v>
      </c>
    </row>
    <row r="2811" spans="1:15" x14ac:dyDescent="0.3">
      <c r="A2811">
        <v>210316</v>
      </c>
      <c r="B2811">
        <v>116</v>
      </c>
      <c r="C2811" t="s">
        <v>568</v>
      </c>
      <c r="D2811" t="s">
        <v>2277</v>
      </c>
      <c r="E2811" t="s">
        <v>2996</v>
      </c>
      <c r="F2811" s="452">
        <v>46063</v>
      </c>
      <c r="G2811">
        <v>19421</v>
      </c>
      <c r="H2811" t="s">
        <v>4275</v>
      </c>
      <c r="I2811" t="s">
        <v>3469</v>
      </c>
      <c r="J2811">
        <v>1</v>
      </c>
      <c r="K2811" t="s">
        <v>3881</v>
      </c>
      <c r="L2811">
        <v>55.22</v>
      </c>
      <c r="M2811">
        <v>55.22</v>
      </c>
      <c r="N2811" t="s">
        <v>3469</v>
      </c>
      <c r="O2811" t="s">
        <v>462</v>
      </c>
    </row>
    <row r="2812" spans="1:15" x14ac:dyDescent="0.3">
      <c r="A2812">
        <v>210316</v>
      </c>
      <c r="B2812">
        <v>116</v>
      </c>
      <c r="C2812" t="s">
        <v>568</v>
      </c>
      <c r="D2812" t="s">
        <v>2277</v>
      </c>
      <c r="E2812" t="s">
        <v>2996</v>
      </c>
      <c r="F2812" s="452">
        <v>46063</v>
      </c>
      <c r="G2812">
        <v>20752</v>
      </c>
      <c r="H2812" t="s">
        <v>3964</v>
      </c>
      <c r="I2812" t="s">
        <v>3469</v>
      </c>
      <c r="J2812">
        <v>2</v>
      </c>
      <c r="K2812" t="s">
        <v>3886</v>
      </c>
      <c r="L2812">
        <v>209.6</v>
      </c>
      <c r="M2812">
        <v>104.8</v>
      </c>
      <c r="N2812" t="s">
        <v>3469</v>
      </c>
      <c r="O2812" t="s">
        <v>462</v>
      </c>
    </row>
    <row r="2813" spans="1:15" x14ac:dyDescent="0.3">
      <c r="A2813">
        <v>210316</v>
      </c>
      <c r="B2813">
        <v>116</v>
      </c>
      <c r="C2813" t="s">
        <v>568</v>
      </c>
      <c r="D2813" t="s">
        <v>2277</v>
      </c>
      <c r="E2813" t="s">
        <v>2996</v>
      </c>
      <c r="F2813" s="452">
        <v>46063</v>
      </c>
      <c r="G2813">
        <v>24185</v>
      </c>
      <c r="H2813" t="s">
        <v>4040</v>
      </c>
      <c r="I2813" t="s">
        <v>3469</v>
      </c>
      <c r="J2813">
        <v>2</v>
      </c>
      <c r="K2813" t="s">
        <v>3892</v>
      </c>
      <c r="L2813">
        <v>46.2</v>
      </c>
      <c r="M2813">
        <v>23.1</v>
      </c>
      <c r="N2813" t="s">
        <v>3469</v>
      </c>
      <c r="O2813" t="s">
        <v>462</v>
      </c>
    </row>
    <row r="2814" spans="1:15" x14ac:dyDescent="0.3">
      <c r="A2814">
        <v>210312</v>
      </c>
      <c r="B2814">
        <v>116</v>
      </c>
      <c r="C2814" t="s">
        <v>568</v>
      </c>
      <c r="D2814" t="s">
        <v>2275</v>
      </c>
      <c r="E2814" t="s">
        <v>2997</v>
      </c>
      <c r="F2814" s="452">
        <v>46065</v>
      </c>
      <c r="G2814">
        <v>17959</v>
      </c>
      <c r="H2814" t="s">
        <v>4383</v>
      </c>
      <c r="I2814" t="s">
        <v>3497</v>
      </c>
      <c r="J2814">
        <v>10</v>
      </c>
      <c r="K2814" t="s">
        <v>3888</v>
      </c>
      <c r="L2814">
        <v>177</v>
      </c>
      <c r="M2814">
        <v>17.7</v>
      </c>
      <c r="N2814" t="s">
        <v>3497</v>
      </c>
      <c r="O2814" t="s">
        <v>462</v>
      </c>
    </row>
    <row r="2815" spans="1:15" x14ac:dyDescent="0.3">
      <c r="A2815">
        <v>210312</v>
      </c>
      <c r="B2815">
        <v>116</v>
      </c>
      <c r="C2815" t="s">
        <v>568</v>
      </c>
      <c r="D2815" t="s">
        <v>2275</v>
      </c>
      <c r="E2815" t="s">
        <v>2997</v>
      </c>
      <c r="F2815" s="452">
        <v>46065</v>
      </c>
      <c r="G2815">
        <v>17950</v>
      </c>
      <c r="H2815" t="s">
        <v>4170</v>
      </c>
      <c r="I2815" t="s">
        <v>3497</v>
      </c>
      <c r="J2815">
        <v>10</v>
      </c>
      <c r="K2815" t="s">
        <v>3888</v>
      </c>
      <c r="L2815">
        <v>187</v>
      </c>
      <c r="M2815">
        <v>18.7</v>
      </c>
      <c r="N2815" t="s">
        <v>3497</v>
      </c>
      <c r="O2815" t="s">
        <v>462</v>
      </c>
    </row>
    <row r="2816" spans="1:15" x14ac:dyDescent="0.3">
      <c r="A2816">
        <v>210308</v>
      </c>
      <c r="B2816">
        <v>116</v>
      </c>
      <c r="C2816" t="s">
        <v>568</v>
      </c>
      <c r="D2816" t="s">
        <v>2094</v>
      </c>
      <c r="E2816" t="s">
        <v>2998</v>
      </c>
      <c r="F2816" s="452">
        <v>46062</v>
      </c>
      <c r="G2816">
        <v>17093</v>
      </c>
      <c r="H2816" t="s">
        <v>3993</v>
      </c>
      <c r="I2816" t="s">
        <v>3497</v>
      </c>
      <c r="J2816">
        <v>60</v>
      </c>
      <c r="K2816" t="s">
        <v>3888</v>
      </c>
      <c r="L2816">
        <v>480</v>
      </c>
      <c r="M2816">
        <v>8</v>
      </c>
      <c r="N2816" t="s">
        <v>4384</v>
      </c>
      <c r="O2816" t="s">
        <v>462</v>
      </c>
    </row>
    <row r="2817" spans="1:15" x14ac:dyDescent="0.3">
      <c r="A2817">
        <v>210308</v>
      </c>
      <c r="B2817">
        <v>116</v>
      </c>
      <c r="C2817" t="s">
        <v>568</v>
      </c>
      <c r="D2817" t="s">
        <v>2094</v>
      </c>
      <c r="E2817" t="s">
        <v>2998</v>
      </c>
      <c r="F2817" s="452">
        <v>46062</v>
      </c>
      <c r="G2817">
        <v>17942</v>
      </c>
      <c r="H2817" t="s">
        <v>4035</v>
      </c>
      <c r="I2817" t="s">
        <v>3497</v>
      </c>
      <c r="J2817">
        <v>7</v>
      </c>
      <c r="K2817" t="s">
        <v>3872</v>
      </c>
      <c r="L2817">
        <v>91</v>
      </c>
      <c r="M2817">
        <v>13</v>
      </c>
      <c r="N2817" t="s">
        <v>4384</v>
      </c>
      <c r="O2817" t="s">
        <v>462</v>
      </c>
    </row>
    <row r="2818" spans="1:15" x14ac:dyDescent="0.3">
      <c r="A2818">
        <v>210307</v>
      </c>
      <c r="B2818">
        <v>116</v>
      </c>
      <c r="C2818" t="s">
        <v>568</v>
      </c>
      <c r="D2818" t="s">
        <v>2273</v>
      </c>
      <c r="E2818" t="s">
        <v>2999</v>
      </c>
      <c r="F2818" s="452">
        <v>46062</v>
      </c>
      <c r="G2818">
        <v>19621</v>
      </c>
      <c r="H2818" t="s">
        <v>4125</v>
      </c>
      <c r="I2818" t="s">
        <v>3469</v>
      </c>
      <c r="J2818">
        <v>2.4</v>
      </c>
      <c r="K2818" t="s">
        <v>3892</v>
      </c>
      <c r="L2818">
        <v>7.3</v>
      </c>
      <c r="M2818">
        <v>3.0416669999999999</v>
      </c>
      <c r="N2818" t="s">
        <v>3469</v>
      </c>
      <c r="O2818" t="s">
        <v>462</v>
      </c>
    </row>
    <row r="2819" spans="1:15" x14ac:dyDescent="0.3">
      <c r="A2819">
        <v>210307</v>
      </c>
      <c r="B2819">
        <v>116</v>
      </c>
      <c r="C2819" t="s">
        <v>568</v>
      </c>
      <c r="D2819" t="s">
        <v>2273</v>
      </c>
      <c r="E2819" t="s">
        <v>2999</v>
      </c>
      <c r="F2819" s="452">
        <v>46062</v>
      </c>
      <c r="G2819">
        <v>24083</v>
      </c>
      <c r="H2819" t="s">
        <v>3898</v>
      </c>
      <c r="I2819" t="s">
        <v>3469</v>
      </c>
      <c r="J2819">
        <v>10</v>
      </c>
      <c r="K2819" t="s">
        <v>3892</v>
      </c>
      <c r="L2819">
        <v>40.6</v>
      </c>
      <c r="M2819">
        <v>4.0599999999999996</v>
      </c>
      <c r="N2819" t="s">
        <v>3469</v>
      </c>
      <c r="O2819" t="s">
        <v>462</v>
      </c>
    </row>
    <row r="2820" spans="1:15" x14ac:dyDescent="0.3">
      <c r="A2820">
        <v>210307</v>
      </c>
      <c r="B2820">
        <v>116</v>
      </c>
      <c r="C2820" t="s">
        <v>568</v>
      </c>
      <c r="D2820" t="s">
        <v>2273</v>
      </c>
      <c r="E2820" t="s">
        <v>2999</v>
      </c>
      <c r="F2820" s="452">
        <v>46062</v>
      </c>
      <c r="G2820">
        <v>19742</v>
      </c>
      <c r="H2820" t="s">
        <v>4074</v>
      </c>
      <c r="I2820" t="s">
        <v>3469</v>
      </c>
      <c r="J2820">
        <v>1.3</v>
      </c>
      <c r="K2820" t="s">
        <v>3892</v>
      </c>
      <c r="L2820">
        <v>11.31</v>
      </c>
      <c r="M2820">
        <v>8.6999999999999993</v>
      </c>
      <c r="N2820" t="s">
        <v>3469</v>
      </c>
      <c r="O2820" t="s">
        <v>462</v>
      </c>
    </row>
    <row r="2821" spans="1:15" x14ac:dyDescent="0.3">
      <c r="A2821">
        <v>210307</v>
      </c>
      <c r="B2821">
        <v>116</v>
      </c>
      <c r="C2821" t="s">
        <v>568</v>
      </c>
      <c r="D2821" t="s">
        <v>2273</v>
      </c>
      <c r="E2821" t="s">
        <v>2999</v>
      </c>
      <c r="F2821" s="452">
        <v>46062</v>
      </c>
      <c r="G2821">
        <v>23113</v>
      </c>
      <c r="H2821" t="s">
        <v>4079</v>
      </c>
      <c r="I2821" t="s">
        <v>3469</v>
      </c>
      <c r="J2821">
        <v>1.5</v>
      </c>
      <c r="K2821" t="s">
        <v>3892</v>
      </c>
      <c r="L2821">
        <v>16.63</v>
      </c>
      <c r="M2821">
        <v>11.086667</v>
      </c>
      <c r="N2821" t="s">
        <v>3469</v>
      </c>
      <c r="O2821" t="s">
        <v>462</v>
      </c>
    </row>
    <row r="2822" spans="1:15" x14ac:dyDescent="0.3">
      <c r="A2822">
        <v>210307</v>
      </c>
      <c r="B2822">
        <v>116</v>
      </c>
      <c r="C2822" t="s">
        <v>568</v>
      </c>
      <c r="D2822" t="s">
        <v>2273</v>
      </c>
      <c r="E2822" t="s">
        <v>2999</v>
      </c>
      <c r="F2822" s="452">
        <v>46062</v>
      </c>
      <c r="G2822">
        <v>23198</v>
      </c>
      <c r="H2822" t="s">
        <v>4167</v>
      </c>
      <c r="I2822" t="s">
        <v>3469</v>
      </c>
      <c r="J2822">
        <v>1.1000000000000001</v>
      </c>
      <c r="K2822" t="s">
        <v>3892</v>
      </c>
      <c r="L2822">
        <v>19.8</v>
      </c>
      <c r="M2822">
        <v>18</v>
      </c>
      <c r="N2822" t="s">
        <v>3469</v>
      </c>
      <c r="O2822" t="s">
        <v>462</v>
      </c>
    </row>
    <row r="2823" spans="1:15" x14ac:dyDescent="0.3">
      <c r="A2823">
        <v>210307</v>
      </c>
      <c r="B2823">
        <v>116</v>
      </c>
      <c r="C2823" t="s">
        <v>568</v>
      </c>
      <c r="D2823" t="s">
        <v>2273</v>
      </c>
      <c r="E2823" t="s">
        <v>2999</v>
      </c>
      <c r="F2823" s="452">
        <v>46062</v>
      </c>
      <c r="G2823">
        <v>23095</v>
      </c>
      <c r="H2823" t="s">
        <v>3882</v>
      </c>
      <c r="I2823" t="s">
        <v>3469</v>
      </c>
      <c r="J2823">
        <v>60</v>
      </c>
      <c r="K2823" t="s">
        <v>3872</v>
      </c>
      <c r="L2823">
        <v>69</v>
      </c>
      <c r="M2823">
        <v>1.1499999999999999</v>
      </c>
      <c r="N2823" t="s">
        <v>3469</v>
      </c>
      <c r="O2823" t="s">
        <v>462</v>
      </c>
    </row>
    <row r="2824" spans="1:15" x14ac:dyDescent="0.3">
      <c r="A2824">
        <v>210304</v>
      </c>
      <c r="B2824">
        <v>116</v>
      </c>
      <c r="C2824" t="s">
        <v>568</v>
      </c>
      <c r="D2824" t="s">
        <v>2273</v>
      </c>
      <c r="E2824" t="s">
        <v>3000</v>
      </c>
      <c r="F2824" s="452">
        <v>46065</v>
      </c>
      <c r="G2824">
        <v>24083</v>
      </c>
      <c r="H2824" t="s">
        <v>3898</v>
      </c>
      <c r="I2824" t="s">
        <v>3469</v>
      </c>
      <c r="J2824">
        <v>25</v>
      </c>
      <c r="K2824" t="s">
        <v>3892</v>
      </c>
      <c r="L2824">
        <v>99.75</v>
      </c>
      <c r="M2824">
        <v>3.99</v>
      </c>
      <c r="N2824" t="s">
        <v>4240</v>
      </c>
      <c r="O2824" t="s">
        <v>462</v>
      </c>
    </row>
    <row r="2825" spans="1:15" x14ac:dyDescent="0.3">
      <c r="A2825">
        <v>210304</v>
      </c>
      <c r="B2825">
        <v>116</v>
      </c>
      <c r="C2825" t="s">
        <v>568</v>
      </c>
      <c r="D2825" t="s">
        <v>2273</v>
      </c>
      <c r="E2825" t="s">
        <v>3000</v>
      </c>
      <c r="F2825" s="452">
        <v>46065</v>
      </c>
      <c r="G2825">
        <v>19465</v>
      </c>
      <c r="H2825" t="s">
        <v>4080</v>
      </c>
      <c r="I2825" t="s">
        <v>3469</v>
      </c>
      <c r="J2825">
        <v>1</v>
      </c>
      <c r="K2825" t="s">
        <v>3892</v>
      </c>
      <c r="L2825">
        <v>6.53</v>
      </c>
      <c r="M2825">
        <v>6.53</v>
      </c>
      <c r="N2825" t="s">
        <v>4240</v>
      </c>
      <c r="O2825" t="s">
        <v>462</v>
      </c>
    </row>
    <row r="2826" spans="1:15" x14ac:dyDescent="0.3">
      <c r="A2826">
        <v>210304</v>
      </c>
      <c r="B2826">
        <v>116</v>
      </c>
      <c r="C2826" t="s">
        <v>568</v>
      </c>
      <c r="D2826" t="s">
        <v>2273</v>
      </c>
      <c r="E2826" t="s">
        <v>3000</v>
      </c>
      <c r="F2826" s="452">
        <v>46065</v>
      </c>
      <c r="G2826">
        <v>19572</v>
      </c>
      <c r="H2826" t="s">
        <v>4023</v>
      </c>
      <c r="I2826" t="s">
        <v>3469</v>
      </c>
      <c r="J2826">
        <v>1.2</v>
      </c>
      <c r="K2826" t="s">
        <v>3892</v>
      </c>
      <c r="L2826">
        <v>22.19</v>
      </c>
      <c r="M2826">
        <v>18.491667</v>
      </c>
      <c r="N2826" t="s">
        <v>4240</v>
      </c>
      <c r="O2826" t="s">
        <v>462</v>
      </c>
    </row>
    <row r="2827" spans="1:15" x14ac:dyDescent="0.3">
      <c r="A2827">
        <v>210304</v>
      </c>
      <c r="B2827">
        <v>116</v>
      </c>
      <c r="C2827" t="s">
        <v>568</v>
      </c>
      <c r="D2827" t="s">
        <v>2273</v>
      </c>
      <c r="E2827" t="s">
        <v>3000</v>
      </c>
      <c r="F2827" s="452">
        <v>46065</v>
      </c>
      <c r="G2827">
        <v>19647</v>
      </c>
      <c r="H2827" t="s">
        <v>4066</v>
      </c>
      <c r="I2827" t="s">
        <v>3469</v>
      </c>
      <c r="J2827">
        <v>1.2</v>
      </c>
      <c r="K2827" t="s">
        <v>3892</v>
      </c>
      <c r="L2827">
        <v>15.66</v>
      </c>
      <c r="M2827">
        <v>13.05</v>
      </c>
      <c r="N2827" t="s">
        <v>4240</v>
      </c>
      <c r="O2827" t="s">
        <v>462</v>
      </c>
    </row>
    <row r="2828" spans="1:15" x14ac:dyDescent="0.3">
      <c r="A2828">
        <v>210304</v>
      </c>
      <c r="B2828">
        <v>116</v>
      </c>
      <c r="C2828" t="s">
        <v>568</v>
      </c>
      <c r="D2828" t="s">
        <v>2273</v>
      </c>
      <c r="E2828" t="s">
        <v>3000</v>
      </c>
      <c r="F2828" s="452">
        <v>46065</v>
      </c>
      <c r="G2828">
        <v>19742</v>
      </c>
      <c r="H2828" t="s">
        <v>4074</v>
      </c>
      <c r="I2828" t="s">
        <v>3469</v>
      </c>
      <c r="J2828">
        <v>1.4</v>
      </c>
      <c r="K2828" t="s">
        <v>3892</v>
      </c>
      <c r="L2828">
        <v>12.18</v>
      </c>
      <c r="M2828">
        <v>8.6999999999999993</v>
      </c>
      <c r="N2828" t="s">
        <v>4240</v>
      </c>
      <c r="O2828" t="s">
        <v>462</v>
      </c>
    </row>
    <row r="2829" spans="1:15" x14ac:dyDescent="0.3">
      <c r="A2829">
        <v>210304</v>
      </c>
      <c r="B2829">
        <v>116</v>
      </c>
      <c r="C2829" t="s">
        <v>568</v>
      </c>
      <c r="D2829" t="s">
        <v>2273</v>
      </c>
      <c r="E2829" t="s">
        <v>3000</v>
      </c>
      <c r="F2829" s="452">
        <v>46065</v>
      </c>
      <c r="G2829">
        <v>24484</v>
      </c>
      <c r="H2829" t="s">
        <v>4154</v>
      </c>
      <c r="I2829" t="s">
        <v>3469</v>
      </c>
      <c r="J2829">
        <v>0.7</v>
      </c>
      <c r="K2829" t="s">
        <v>3892</v>
      </c>
      <c r="L2829">
        <v>7.1</v>
      </c>
      <c r="M2829">
        <v>10.142856999999999</v>
      </c>
      <c r="N2829" t="s">
        <v>4240</v>
      </c>
      <c r="O2829" t="s">
        <v>462</v>
      </c>
    </row>
    <row r="2830" spans="1:15" x14ac:dyDescent="0.3">
      <c r="A2830">
        <v>210304</v>
      </c>
      <c r="B2830">
        <v>116</v>
      </c>
      <c r="C2830" t="s">
        <v>568</v>
      </c>
      <c r="D2830" t="s">
        <v>2273</v>
      </c>
      <c r="E2830" t="s">
        <v>3000</v>
      </c>
      <c r="F2830" s="452">
        <v>46065</v>
      </c>
      <c r="G2830">
        <v>23095</v>
      </c>
      <c r="H2830" t="s">
        <v>3882</v>
      </c>
      <c r="I2830" t="s">
        <v>3469</v>
      </c>
      <c r="J2830">
        <v>60</v>
      </c>
      <c r="K2830" t="s">
        <v>3872</v>
      </c>
      <c r="L2830">
        <v>87</v>
      </c>
      <c r="M2830">
        <v>1.45</v>
      </c>
      <c r="N2830" t="s">
        <v>4240</v>
      </c>
      <c r="O2830" t="s">
        <v>462</v>
      </c>
    </row>
    <row r="2831" spans="1:15" x14ac:dyDescent="0.3">
      <c r="A2831">
        <v>210302</v>
      </c>
      <c r="B2831">
        <v>116</v>
      </c>
      <c r="C2831" t="s">
        <v>568</v>
      </c>
      <c r="D2831" t="s">
        <v>2284</v>
      </c>
      <c r="E2831" t="s">
        <v>3001</v>
      </c>
      <c r="F2831" s="452">
        <v>46062</v>
      </c>
      <c r="G2831">
        <v>18467</v>
      </c>
      <c r="H2831" t="s">
        <v>4028</v>
      </c>
      <c r="I2831" t="s">
        <v>3497</v>
      </c>
      <c r="J2831">
        <v>2</v>
      </c>
      <c r="K2831" t="s">
        <v>3878</v>
      </c>
      <c r="L2831">
        <v>151.80000000000001</v>
      </c>
      <c r="M2831">
        <v>75.900000000000006</v>
      </c>
      <c r="N2831" t="s">
        <v>3497</v>
      </c>
      <c r="O2831" t="s">
        <v>462</v>
      </c>
    </row>
    <row r="2832" spans="1:15" x14ac:dyDescent="0.3">
      <c r="A2832">
        <v>210288</v>
      </c>
      <c r="B2832">
        <v>116</v>
      </c>
      <c r="C2832" t="s">
        <v>568</v>
      </c>
      <c r="D2832" t="s">
        <v>2284</v>
      </c>
      <c r="E2832" t="s">
        <v>3002</v>
      </c>
      <c r="F2832" s="452">
        <v>46063</v>
      </c>
      <c r="G2832">
        <v>19324</v>
      </c>
      <c r="H2832" t="s">
        <v>3937</v>
      </c>
      <c r="I2832" t="s">
        <v>3469</v>
      </c>
      <c r="J2832">
        <v>8.24</v>
      </c>
      <c r="K2832" t="s">
        <v>3892</v>
      </c>
      <c r="L2832">
        <v>271.76</v>
      </c>
      <c r="M2832">
        <v>32.980583000000003</v>
      </c>
      <c r="N2832" t="s">
        <v>3469</v>
      </c>
      <c r="O2832" t="s">
        <v>462</v>
      </c>
    </row>
    <row r="2833" spans="1:15" x14ac:dyDescent="0.3">
      <c r="A2833">
        <v>210288</v>
      </c>
      <c r="B2833">
        <v>116</v>
      </c>
      <c r="C2833" t="s">
        <v>568</v>
      </c>
      <c r="D2833" t="s">
        <v>2284</v>
      </c>
      <c r="E2833" t="s">
        <v>3002</v>
      </c>
      <c r="F2833" s="452">
        <v>46063</v>
      </c>
      <c r="G2833">
        <v>20227</v>
      </c>
      <c r="H2833" t="s">
        <v>3968</v>
      </c>
      <c r="I2833" t="s">
        <v>3469</v>
      </c>
      <c r="J2833">
        <v>5</v>
      </c>
      <c r="K2833" t="s">
        <v>3888</v>
      </c>
      <c r="L2833">
        <v>50</v>
      </c>
      <c r="M2833">
        <v>10</v>
      </c>
      <c r="N2833" t="s">
        <v>3469</v>
      </c>
      <c r="O2833" t="s">
        <v>462</v>
      </c>
    </row>
    <row r="2834" spans="1:15" x14ac:dyDescent="0.3">
      <c r="A2834">
        <v>210288</v>
      </c>
      <c r="B2834">
        <v>116</v>
      </c>
      <c r="C2834" t="s">
        <v>568</v>
      </c>
      <c r="D2834" t="s">
        <v>2284</v>
      </c>
      <c r="E2834" t="s">
        <v>3002</v>
      </c>
      <c r="F2834" s="452">
        <v>46063</v>
      </c>
      <c r="G2834">
        <v>20077</v>
      </c>
      <c r="H2834" t="s">
        <v>4054</v>
      </c>
      <c r="I2834" t="s">
        <v>3469</v>
      </c>
      <c r="J2834">
        <v>1</v>
      </c>
      <c r="K2834" t="s">
        <v>4268</v>
      </c>
      <c r="L2834">
        <v>16.350000000000001</v>
      </c>
      <c r="M2834">
        <v>16.350000000000001</v>
      </c>
      <c r="N2834" t="s">
        <v>3469</v>
      </c>
      <c r="O2834" t="s">
        <v>462</v>
      </c>
    </row>
    <row r="2835" spans="1:15" x14ac:dyDescent="0.3">
      <c r="A2835">
        <v>210288</v>
      </c>
      <c r="B2835">
        <v>116</v>
      </c>
      <c r="C2835" t="s">
        <v>568</v>
      </c>
      <c r="D2835" t="s">
        <v>2284</v>
      </c>
      <c r="E2835" t="s">
        <v>3002</v>
      </c>
      <c r="F2835" s="452">
        <v>46063</v>
      </c>
      <c r="G2835">
        <v>20007</v>
      </c>
      <c r="H2835" t="s">
        <v>4009</v>
      </c>
      <c r="I2835" t="s">
        <v>3469</v>
      </c>
      <c r="J2835">
        <v>2</v>
      </c>
      <c r="K2835" t="s">
        <v>3966</v>
      </c>
      <c r="L2835">
        <v>101.8</v>
      </c>
      <c r="M2835">
        <v>50.9</v>
      </c>
      <c r="N2835" t="s">
        <v>3469</v>
      </c>
      <c r="O2835" t="s">
        <v>462</v>
      </c>
    </row>
    <row r="2836" spans="1:15" x14ac:dyDescent="0.3">
      <c r="A2836">
        <v>210288</v>
      </c>
      <c r="B2836">
        <v>116</v>
      </c>
      <c r="C2836" t="s">
        <v>568</v>
      </c>
      <c r="D2836" t="s">
        <v>2284</v>
      </c>
      <c r="E2836" t="s">
        <v>3002</v>
      </c>
      <c r="F2836" s="452">
        <v>46063</v>
      </c>
      <c r="G2836">
        <v>25769</v>
      </c>
      <c r="H2836" t="s">
        <v>4013</v>
      </c>
      <c r="I2836" t="s">
        <v>3469</v>
      </c>
      <c r="J2836">
        <v>1</v>
      </c>
      <c r="K2836" t="s">
        <v>3892</v>
      </c>
      <c r="L2836">
        <v>13</v>
      </c>
      <c r="M2836">
        <v>13</v>
      </c>
      <c r="N2836" t="s">
        <v>3469</v>
      </c>
      <c r="O2836" t="s">
        <v>462</v>
      </c>
    </row>
    <row r="2837" spans="1:15" x14ac:dyDescent="0.3">
      <c r="A2837">
        <v>210288</v>
      </c>
      <c r="B2837">
        <v>116</v>
      </c>
      <c r="C2837" t="s">
        <v>568</v>
      </c>
      <c r="D2837" t="s">
        <v>2284</v>
      </c>
      <c r="E2837" t="s">
        <v>3002</v>
      </c>
      <c r="F2837" s="452">
        <v>46063</v>
      </c>
      <c r="G2837">
        <v>20395</v>
      </c>
      <c r="H2837" t="s">
        <v>4057</v>
      </c>
      <c r="I2837" t="s">
        <v>3469</v>
      </c>
      <c r="J2837">
        <v>1</v>
      </c>
      <c r="K2837" t="s">
        <v>3872</v>
      </c>
      <c r="L2837">
        <v>27</v>
      </c>
      <c r="M2837">
        <v>27</v>
      </c>
      <c r="N2837" t="s">
        <v>3469</v>
      </c>
      <c r="O2837" t="s">
        <v>462</v>
      </c>
    </row>
    <row r="2838" spans="1:15" x14ac:dyDescent="0.3">
      <c r="A2838">
        <v>210288</v>
      </c>
      <c r="B2838">
        <v>116</v>
      </c>
      <c r="C2838" t="s">
        <v>568</v>
      </c>
      <c r="D2838" t="s">
        <v>2284</v>
      </c>
      <c r="E2838" t="s">
        <v>3002</v>
      </c>
      <c r="F2838" s="452">
        <v>46063</v>
      </c>
      <c r="G2838">
        <v>20988</v>
      </c>
      <c r="H2838" t="s">
        <v>4117</v>
      </c>
      <c r="I2838" t="s">
        <v>3469</v>
      </c>
      <c r="J2838">
        <v>20</v>
      </c>
      <c r="K2838" t="s">
        <v>3872</v>
      </c>
      <c r="L2838">
        <v>184</v>
      </c>
      <c r="M2838">
        <v>9.1999999999999993</v>
      </c>
      <c r="N2838" t="s">
        <v>3469</v>
      </c>
      <c r="O2838" t="s">
        <v>462</v>
      </c>
    </row>
    <row r="2839" spans="1:15" x14ac:dyDescent="0.3">
      <c r="A2839">
        <v>210288</v>
      </c>
      <c r="B2839">
        <v>116</v>
      </c>
      <c r="C2839" t="s">
        <v>568</v>
      </c>
      <c r="D2839" t="s">
        <v>2284</v>
      </c>
      <c r="E2839" t="s">
        <v>3002</v>
      </c>
      <c r="F2839" s="452">
        <v>46063</v>
      </c>
      <c r="G2839">
        <v>23503</v>
      </c>
      <c r="H2839" t="s">
        <v>4041</v>
      </c>
      <c r="I2839" t="s">
        <v>3469</v>
      </c>
      <c r="J2839">
        <v>1</v>
      </c>
      <c r="K2839" t="s">
        <v>3892</v>
      </c>
      <c r="L2839">
        <v>24.2</v>
      </c>
      <c r="M2839">
        <v>24.2</v>
      </c>
      <c r="N2839" t="s">
        <v>3469</v>
      </c>
      <c r="O2839" t="s">
        <v>462</v>
      </c>
    </row>
    <row r="2840" spans="1:15" x14ac:dyDescent="0.3">
      <c r="A2840">
        <v>210286</v>
      </c>
      <c r="B2840">
        <v>116</v>
      </c>
      <c r="C2840" t="s">
        <v>568</v>
      </c>
      <c r="D2840" t="s">
        <v>2332</v>
      </c>
      <c r="E2840" t="s">
        <v>3003</v>
      </c>
      <c r="F2840" s="452">
        <v>46064</v>
      </c>
      <c r="G2840">
        <v>18253</v>
      </c>
      <c r="H2840" t="s">
        <v>3947</v>
      </c>
      <c r="I2840" t="s">
        <v>3497</v>
      </c>
      <c r="J2840">
        <v>5</v>
      </c>
      <c r="K2840" t="s">
        <v>3878</v>
      </c>
      <c r="L2840">
        <v>141.55000000000001</v>
      </c>
      <c r="M2840">
        <v>28.31</v>
      </c>
      <c r="N2840" t="s">
        <v>4276</v>
      </c>
      <c r="O2840" t="s">
        <v>462</v>
      </c>
    </row>
    <row r="2841" spans="1:15" x14ac:dyDescent="0.3">
      <c r="A2841">
        <v>210285</v>
      </c>
      <c r="B2841">
        <v>116</v>
      </c>
      <c r="C2841" t="s">
        <v>568</v>
      </c>
      <c r="D2841" t="s">
        <v>2271</v>
      </c>
      <c r="E2841" t="s">
        <v>3004</v>
      </c>
      <c r="F2841" s="452">
        <v>46063</v>
      </c>
      <c r="G2841">
        <v>18172</v>
      </c>
      <c r="H2841" t="s">
        <v>3923</v>
      </c>
      <c r="I2841" t="s">
        <v>3497</v>
      </c>
      <c r="J2841">
        <v>6</v>
      </c>
      <c r="K2841" t="s">
        <v>3878</v>
      </c>
      <c r="L2841">
        <v>188.4</v>
      </c>
      <c r="M2841">
        <v>31.4</v>
      </c>
      <c r="N2841" t="s">
        <v>4276</v>
      </c>
      <c r="O2841" t="s">
        <v>462</v>
      </c>
    </row>
    <row r="2842" spans="1:15" x14ac:dyDescent="0.3">
      <c r="A2842">
        <v>210280</v>
      </c>
      <c r="B2842">
        <v>116</v>
      </c>
      <c r="C2842" t="s">
        <v>568</v>
      </c>
      <c r="D2842" t="s">
        <v>2342</v>
      </c>
      <c r="E2842" t="s">
        <v>3005</v>
      </c>
      <c r="F2842" s="452">
        <v>46062</v>
      </c>
      <c r="G2842">
        <v>24351</v>
      </c>
      <c r="H2842" t="s">
        <v>3912</v>
      </c>
      <c r="I2842" t="s">
        <v>3469</v>
      </c>
      <c r="J2842">
        <v>20</v>
      </c>
      <c r="K2842" t="s">
        <v>3892</v>
      </c>
      <c r="L2842">
        <v>240</v>
      </c>
      <c r="M2842">
        <v>12</v>
      </c>
      <c r="N2842" t="s">
        <v>3469</v>
      </c>
      <c r="O2842" t="s">
        <v>462</v>
      </c>
    </row>
    <row r="2843" spans="1:15" x14ac:dyDescent="0.3">
      <c r="A2843">
        <v>210256</v>
      </c>
      <c r="B2843">
        <v>116</v>
      </c>
      <c r="C2843" t="s">
        <v>568</v>
      </c>
      <c r="D2843" t="s">
        <v>2922</v>
      </c>
      <c r="E2843" t="s">
        <v>3006</v>
      </c>
      <c r="F2843" s="452">
        <v>46065</v>
      </c>
      <c r="G2843">
        <v>19555</v>
      </c>
      <c r="H2843" t="s">
        <v>4109</v>
      </c>
      <c r="I2843" t="s">
        <v>3469</v>
      </c>
      <c r="J2843">
        <v>0.6</v>
      </c>
      <c r="K2843" t="s">
        <v>3892</v>
      </c>
      <c r="L2843">
        <v>18.75</v>
      </c>
      <c r="M2843">
        <v>31.25</v>
      </c>
      <c r="N2843" t="s">
        <v>4240</v>
      </c>
      <c r="O2843" t="s">
        <v>462</v>
      </c>
    </row>
    <row r="2844" spans="1:15" x14ac:dyDescent="0.3">
      <c r="A2844">
        <v>210256</v>
      </c>
      <c r="B2844">
        <v>116</v>
      </c>
      <c r="C2844" t="s">
        <v>568</v>
      </c>
      <c r="D2844" t="s">
        <v>2922</v>
      </c>
      <c r="E2844" t="s">
        <v>3006</v>
      </c>
      <c r="F2844" s="452">
        <v>46065</v>
      </c>
      <c r="G2844">
        <v>19494</v>
      </c>
      <c r="H2844" t="s">
        <v>4126</v>
      </c>
      <c r="I2844" t="s">
        <v>3469</v>
      </c>
      <c r="J2844">
        <v>2.2999999999999998</v>
      </c>
      <c r="K2844" t="s">
        <v>3892</v>
      </c>
      <c r="L2844">
        <v>48.87</v>
      </c>
      <c r="M2844">
        <v>21.247826</v>
      </c>
      <c r="N2844" t="s">
        <v>4240</v>
      </c>
      <c r="O2844" t="s">
        <v>462</v>
      </c>
    </row>
    <row r="2845" spans="1:15" x14ac:dyDescent="0.3">
      <c r="A2845">
        <v>210256</v>
      </c>
      <c r="B2845">
        <v>116</v>
      </c>
      <c r="C2845" t="s">
        <v>568</v>
      </c>
      <c r="D2845" t="s">
        <v>2922</v>
      </c>
      <c r="E2845" t="s">
        <v>3006</v>
      </c>
      <c r="F2845" s="452">
        <v>46065</v>
      </c>
      <c r="G2845">
        <v>23096</v>
      </c>
      <c r="H2845" t="s">
        <v>3876</v>
      </c>
      <c r="I2845" t="s">
        <v>3469</v>
      </c>
      <c r="J2845">
        <v>60</v>
      </c>
      <c r="K2845" t="s">
        <v>3872</v>
      </c>
      <c r="L2845">
        <v>39.6</v>
      </c>
      <c r="M2845">
        <v>0.66</v>
      </c>
      <c r="N2845" t="s">
        <v>4240</v>
      </c>
      <c r="O2845" t="s">
        <v>462</v>
      </c>
    </row>
    <row r="2846" spans="1:15" x14ac:dyDescent="0.3">
      <c r="A2846">
        <v>210256</v>
      </c>
      <c r="B2846">
        <v>116</v>
      </c>
      <c r="C2846" t="s">
        <v>568</v>
      </c>
      <c r="D2846" t="s">
        <v>2922</v>
      </c>
      <c r="E2846" t="s">
        <v>3006</v>
      </c>
      <c r="F2846" s="452">
        <v>46065</v>
      </c>
      <c r="G2846">
        <v>23142</v>
      </c>
      <c r="H2846" t="s">
        <v>4151</v>
      </c>
      <c r="I2846" t="s">
        <v>3469</v>
      </c>
      <c r="J2846">
        <v>1</v>
      </c>
      <c r="K2846" t="s">
        <v>3892</v>
      </c>
      <c r="L2846">
        <v>25</v>
      </c>
      <c r="M2846">
        <v>25</v>
      </c>
      <c r="N2846" t="s">
        <v>4240</v>
      </c>
      <c r="O2846" t="s">
        <v>462</v>
      </c>
    </row>
    <row r="2847" spans="1:15" x14ac:dyDescent="0.3">
      <c r="A2847">
        <v>210253</v>
      </c>
      <c r="B2847">
        <v>116</v>
      </c>
      <c r="C2847" t="s">
        <v>568</v>
      </c>
      <c r="D2847" t="s">
        <v>2922</v>
      </c>
      <c r="E2847" t="s">
        <v>3007</v>
      </c>
      <c r="F2847" s="452">
        <v>46062</v>
      </c>
      <c r="G2847">
        <v>19787</v>
      </c>
      <c r="H2847" t="s">
        <v>3940</v>
      </c>
      <c r="I2847" t="s">
        <v>3469</v>
      </c>
      <c r="J2847">
        <v>3.9</v>
      </c>
      <c r="K2847" t="s">
        <v>3892</v>
      </c>
      <c r="L2847">
        <v>19.5</v>
      </c>
      <c r="M2847">
        <v>5</v>
      </c>
      <c r="N2847" t="s">
        <v>4240</v>
      </c>
      <c r="O2847" t="s">
        <v>462</v>
      </c>
    </row>
    <row r="2848" spans="1:15" x14ac:dyDescent="0.3">
      <c r="A2848">
        <v>210253</v>
      </c>
      <c r="B2848">
        <v>116</v>
      </c>
      <c r="C2848" t="s">
        <v>568</v>
      </c>
      <c r="D2848" t="s">
        <v>2922</v>
      </c>
      <c r="E2848" t="s">
        <v>3007</v>
      </c>
      <c r="F2848" s="452">
        <v>46062</v>
      </c>
      <c r="G2848">
        <v>19498</v>
      </c>
      <c r="H2848" t="s">
        <v>4065</v>
      </c>
      <c r="I2848" t="s">
        <v>3469</v>
      </c>
      <c r="J2848">
        <v>1.3</v>
      </c>
      <c r="K2848" t="s">
        <v>3892</v>
      </c>
      <c r="L2848">
        <v>19.5</v>
      </c>
      <c r="M2848">
        <v>15</v>
      </c>
      <c r="N2848" t="s">
        <v>4240</v>
      </c>
      <c r="O2848" t="s">
        <v>462</v>
      </c>
    </row>
    <row r="2849" spans="1:15" x14ac:dyDescent="0.3">
      <c r="A2849">
        <v>210253</v>
      </c>
      <c r="B2849">
        <v>116</v>
      </c>
      <c r="C2849" t="s">
        <v>568</v>
      </c>
      <c r="D2849" t="s">
        <v>2922</v>
      </c>
      <c r="E2849" t="s">
        <v>3007</v>
      </c>
      <c r="F2849" s="452">
        <v>46062</v>
      </c>
      <c r="G2849">
        <v>19555</v>
      </c>
      <c r="H2849" t="s">
        <v>4109</v>
      </c>
      <c r="I2849" t="s">
        <v>3469</v>
      </c>
      <c r="J2849">
        <v>0.5</v>
      </c>
      <c r="K2849" t="s">
        <v>3892</v>
      </c>
      <c r="L2849">
        <v>15.63</v>
      </c>
      <c r="M2849">
        <v>31.26</v>
      </c>
      <c r="N2849" t="s">
        <v>4240</v>
      </c>
      <c r="O2849" t="s">
        <v>462</v>
      </c>
    </row>
    <row r="2850" spans="1:15" x14ac:dyDescent="0.3">
      <c r="A2850">
        <v>210253</v>
      </c>
      <c r="B2850">
        <v>116</v>
      </c>
      <c r="C2850" t="s">
        <v>568</v>
      </c>
      <c r="D2850" t="s">
        <v>2922</v>
      </c>
      <c r="E2850" t="s">
        <v>3007</v>
      </c>
      <c r="F2850" s="452">
        <v>46062</v>
      </c>
      <c r="G2850">
        <v>19740</v>
      </c>
      <c r="H2850" t="s">
        <v>3933</v>
      </c>
      <c r="I2850" t="s">
        <v>3469</v>
      </c>
      <c r="J2850">
        <v>6</v>
      </c>
      <c r="K2850" t="s">
        <v>3892</v>
      </c>
      <c r="L2850">
        <v>56.28</v>
      </c>
      <c r="M2850">
        <v>9.3800000000000008</v>
      </c>
      <c r="N2850" t="s">
        <v>4240</v>
      </c>
      <c r="O2850" t="s">
        <v>462</v>
      </c>
    </row>
    <row r="2851" spans="1:15" x14ac:dyDescent="0.3">
      <c r="A2851">
        <v>210253</v>
      </c>
      <c r="B2851">
        <v>116</v>
      </c>
      <c r="C2851" t="s">
        <v>568</v>
      </c>
      <c r="D2851" t="s">
        <v>2922</v>
      </c>
      <c r="E2851" t="s">
        <v>3007</v>
      </c>
      <c r="F2851" s="452">
        <v>46062</v>
      </c>
      <c r="G2851">
        <v>19617</v>
      </c>
      <c r="H2851" t="s">
        <v>4110</v>
      </c>
      <c r="I2851" t="s">
        <v>3469</v>
      </c>
      <c r="J2851">
        <v>0.3</v>
      </c>
      <c r="K2851" t="s">
        <v>3892</v>
      </c>
      <c r="L2851">
        <v>10.88</v>
      </c>
      <c r="M2851">
        <v>36.266666999999998</v>
      </c>
      <c r="N2851" t="s">
        <v>4240</v>
      </c>
      <c r="O2851" t="s">
        <v>462</v>
      </c>
    </row>
    <row r="2852" spans="1:15" x14ac:dyDescent="0.3">
      <c r="A2852">
        <v>210253</v>
      </c>
      <c r="B2852">
        <v>116</v>
      </c>
      <c r="C2852" t="s">
        <v>568</v>
      </c>
      <c r="D2852" t="s">
        <v>2922</v>
      </c>
      <c r="E2852" t="s">
        <v>3007</v>
      </c>
      <c r="F2852" s="452">
        <v>46062</v>
      </c>
      <c r="G2852">
        <v>19494</v>
      </c>
      <c r="H2852" t="s">
        <v>4126</v>
      </c>
      <c r="I2852" t="s">
        <v>3469</v>
      </c>
      <c r="J2852">
        <v>1.2</v>
      </c>
      <c r="K2852" t="s">
        <v>3892</v>
      </c>
      <c r="L2852">
        <v>25.5</v>
      </c>
      <c r="M2852">
        <v>21.25</v>
      </c>
      <c r="N2852" t="s">
        <v>4240</v>
      </c>
      <c r="O2852" t="s">
        <v>462</v>
      </c>
    </row>
    <row r="2853" spans="1:15" x14ac:dyDescent="0.3">
      <c r="A2853">
        <v>210253</v>
      </c>
      <c r="B2853">
        <v>116</v>
      </c>
      <c r="C2853" t="s">
        <v>568</v>
      </c>
      <c r="D2853" t="s">
        <v>2922</v>
      </c>
      <c r="E2853" t="s">
        <v>3007</v>
      </c>
      <c r="F2853" s="452">
        <v>46062</v>
      </c>
      <c r="G2853">
        <v>23171</v>
      </c>
      <c r="H2853" t="s">
        <v>4132</v>
      </c>
      <c r="I2853" t="s">
        <v>3469</v>
      </c>
      <c r="J2853">
        <v>3</v>
      </c>
      <c r="K2853" t="s">
        <v>3892</v>
      </c>
      <c r="L2853">
        <v>18.75</v>
      </c>
      <c r="M2853">
        <v>6.25</v>
      </c>
      <c r="N2853" t="s">
        <v>4240</v>
      </c>
      <c r="O2853" t="s">
        <v>462</v>
      </c>
    </row>
    <row r="2854" spans="1:15" x14ac:dyDescent="0.3">
      <c r="A2854">
        <v>210253</v>
      </c>
      <c r="B2854">
        <v>116</v>
      </c>
      <c r="C2854" t="s">
        <v>568</v>
      </c>
      <c r="D2854" t="s">
        <v>2922</v>
      </c>
      <c r="E2854" t="s">
        <v>3007</v>
      </c>
      <c r="F2854" s="452">
        <v>46062</v>
      </c>
      <c r="G2854">
        <v>23359</v>
      </c>
      <c r="H2854" t="s">
        <v>3932</v>
      </c>
      <c r="I2854" t="s">
        <v>3469</v>
      </c>
      <c r="J2854">
        <v>6</v>
      </c>
      <c r="K2854" t="s">
        <v>3892</v>
      </c>
      <c r="L2854">
        <v>15</v>
      </c>
      <c r="M2854">
        <v>2.5</v>
      </c>
      <c r="N2854" t="s">
        <v>4240</v>
      </c>
      <c r="O2854" t="s">
        <v>462</v>
      </c>
    </row>
    <row r="2855" spans="1:15" x14ac:dyDescent="0.3">
      <c r="A2855">
        <v>210253</v>
      </c>
      <c r="B2855">
        <v>116</v>
      </c>
      <c r="C2855" t="s">
        <v>568</v>
      </c>
      <c r="D2855" t="s">
        <v>2922</v>
      </c>
      <c r="E2855" t="s">
        <v>3007</v>
      </c>
      <c r="F2855" s="452">
        <v>46062</v>
      </c>
      <c r="G2855">
        <v>23389</v>
      </c>
      <c r="H2855" t="s">
        <v>4016</v>
      </c>
      <c r="I2855" t="s">
        <v>3469</v>
      </c>
      <c r="J2855">
        <v>5</v>
      </c>
      <c r="K2855" t="s">
        <v>3892</v>
      </c>
      <c r="L2855">
        <v>25</v>
      </c>
      <c r="M2855">
        <v>5</v>
      </c>
      <c r="N2855" t="s">
        <v>4240</v>
      </c>
      <c r="O2855" t="s">
        <v>462</v>
      </c>
    </row>
    <row r="2856" spans="1:15" x14ac:dyDescent="0.3">
      <c r="A2856">
        <v>210253</v>
      </c>
      <c r="B2856">
        <v>116</v>
      </c>
      <c r="C2856" t="s">
        <v>568</v>
      </c>
      <c r="D2856" t="s">
        <v>2922</v>
      </c>
      <c r="E2856" t="s">
        <v>3007</v>
      </c>
      <c r="F2856" s="452">
        <v>46062</v>
      </c>
      <c r="G2856">
        <v>23335</v>
      </c>
      <c r="H2856" t="s">
        <v>4075</v>
      </c>
      <c r="I2856" t="s">
        <v>3469</v>
      </c>
      <c r="J2856">
        <v>1.2</v>
      </c>
      <c r="K2856" t="s">
        <v>3892</v>
      </c>
      <c r="L2856">
        <v>37.5</v>
      </c>
      <c r="M2856">
        <v>31.25</v>
      </c>
      <c r="N2856" t="s">
        <v>4240</v>
      </c>
      <c r="O2856" t="s">
        <v>462</v>
      </c>
    </row>
    <row r="2857" spans="1:15" x14ac:dyDescent="0.3">
      <c r="A2857">
        <v>210253</v>
      </c>
      <c r="B2857">
        <v>116</v>
      </c>
      <c r="C2857" t="s">
        <v>568</v>
      </c>
      <c r="D2857" t="s">
        <v>2922</v>
      </c>
      <c r="E2857" t="s">
        <v>3007</v>
      </c>
      <c r="F2857" s="452">
        <v>46062</v>
      </c>
      <c r="G2857">
        <v>23142</v>
      </c>
      <c r="H2857" t="s">
        <v>4151</v>
      </c>
      <c r="I2857" t="s">
        <v>3469</v>
      </c>
      <c r="J2857">
        <v>1</v>
      </c>
      <c r="K2857" t="s">
        <v>3892</v>
      </c>
      <c r="L2857">
        <v>25</v>
      </c>
      <c r="M2857">
        <v>25</v>
      </c>
      <c r="N2857" t="s">
        <v>4240</v>
      </c>
      <c r="O2857" t="s">
        <v>462</v>
      </c>
    </row>
    <row r="2858" spans="1:15" x14ac:dyDescent="0.3">
      <c r="A2858">
        <v>210253</v>
      </c>
      <c r="B2858">
        <v>116</v>
      </c>
      <c r="C2858" t="s">
        <v>568</v>
      </c>
      <c r="D2858" t="s">
        <v>2922</v>
      </c>
      <c r="E2858" t="s">
        <v>3007</v>
      </c>
      <c r="F2858" s="452">
        <v>46062</v>
      </c>
      <c r="G2858">
        <v>19672</v>
      </c>
      <c r="H2858" t="s">
        <v>4024</v>
      </c>
      <c r="I2858" t="s">
        <v>3469</v>
      </c>
      <c r="J2858">
        <v>2</v>
      </c>
      <c r="K2858" t="s">
        <v>3892</v>
      </c>
      <c r="L2858">
        <v>30</v>
      </c>
      <c r="M2858">
        <v>15</v>
      </c>
      <c r="N2858" t="s">
        <v>4240</v>
      </c>
      <c r="O2858" t="s">
        <v>462</v>
      </c>
    </row>
    <row r="2859" spans="1:15" x14ac:dyDescent="0.3">
      <c r="A2859">
        <v>209049</v>
      </c>
      <c r="B2859">
        <v>116</v>
      </c>
      <c r="C2859" t="s">
        <v>568</v>
      </c>
      <c r="D2859" t="s">
        <v>2323</v>
      </c>
      <c r="E2859" t="s">
        <v>3008</v>
      </c>
      <c r="F2859" s="452">
        <v>46054</v>
      </c>
      <c r="G2859">
        <v>24402</v>
      </c>
      <c r="H2859" t="s">
        <v>3896</v>
      </c>
      <c r="I2859" t="s">
        <v>3469</v>
      </c>
      <c r="J2859">
        <v>17.5</v>
      </c>
      <c r="K2859" t="s">
        <v>3892</v>
      </c>
      <c r="L2859">
        <v>638.75</v>
      </c>
      <c r="M2859">
        <v>36.5</v>
      </c>
      <c r="N2859" t="s">
        <v>4385</v>
      </c>
      <c r="O2859" t="s">
        <v>462</v>
      </c>
    </row>
    <row r="2860" spans="1:15" x14ac:dyDescent="0.3">
      <c r="A2860">
        <v>209044</v>
      </c>
      <c r="B2860">
        <v>116</v>
      </c>
      <c r="C2860" t="s">
        <v>568</v>
      </c>
      <c r="D2860" t="s">
        <v>2265</v>
      </c>
      <c r="E2860" t="s">
        <v>3009</v>
      </c>
      <c r="F2860" s="452">
        <v>46063</v>
      </c>
      <c r="G2860">
        <v>26613</v>
      </c>
      <c r="H2860" t="s">
        <v>4386</v>
      </c>
      <c r="I2860" t="s">
        <v>4202</v>
      </c>
      <c r="J2860">
        <v>2</v>
      </c>
      <c r="K2860" t="s">
        <v>3872</v>
      </c>
      <c r="L2860">
        <v>78</v>
      </c>
      <c r="M2860">
        <v>39</v>
      </c>
      <c r="N2860" t="s">
        <v>4387</v>
      </c>
      <c r="O2860" t="s">
        <v>462</v>
      </c>
    </row>
    <row r="2861" spans="1:15" x14ac:dyDescent="0.3">
      <c r="A2861">
        <v>209041</v>
      </c>
      <c r="B2861">
        <v>116</v>
      </c>
      <c r="C2861" t="s">
        <v>568</v>
      </c>
      <c r="D2861" t="s">
        <v>3010</v>
      </c>
      <c r="E2861" t="s">
        <v>3011</v>
      </c>
      <c r="F2861" s="452">
        <v>46063</v>
      </c>
      <c r="G2861">
        <v>24497</v>
      </c>
      <c r="H2861" t="s">
        <v>4214</v>
      </c>
      <c r="I2861" t="s">
        <v>4215</v>
      </c>
      <c r="J2861">
        <v>2</v>
      </c>
      <c r="K2861" t="s">
        <v>3872</v>
      </c>
      <c r="L2861">
        <v>269.10000000000002</v>
      </c>
      <c r="M2861">
        <v>134.55000000000001</v>
      </c>
      <c r="N2861" t="s">
        <v>4239</v>
      </c>
      <c r="O2861" t="s">
        <v>462</v>
      </c>
    </row>
    <row r="2862" spans="1:15" x14ac:dyDescent="0.3">
      <c r="A2862">
        <v>209041</v>
      </c>
      <c r="B2862">
        <v>116</v>
      </c>
      <c r="C2862" t="s">
        <v>568</v>
      </c>
      <c r="D2862" t="s">
        <v>3010</v>
      </c>
      <c r="E2862" t="s">
        <v>3011</v>
      </c>
      <c r="F2862" s="452">
        <v>46063</v>
      </c>
      <c r="G2862">
        <v>25518</v>
      </c>
      <c r="H2862" t="s">
        <v>4238</v>
      </c>
      <c r="I2862" t="s">
        <v>4215</v>
      </c>
      <c r="J2862">
        <v>1</v>
      </c>
      <c r="K2862" t="s">
        <v>3872</v>
      </c>
      <c r="L2862">
        <v>110.4</v>
      </c>
      <c r="M2862">
        <v>110.4</v>
      </c>
      <c r="N2862" t="s">
        <v>4239</v>
      </c>
      <c r="O2862" t="s">
        <v>462</v>
      </c>
    </row>
    <row r="2863" spans="1:15" x14ac:dyDescent="0.3">
      <c r="A2863">
        <v>209038</v>
      </c>
      <c r="B2863">
        <v>116</v>
      </c>
      <c r="C2863" t="s">
        <v>568</v>
      </c>
      <c r="D2863" t="s">
        <v>2286</v>
      </c>
      <c r="E2863" t="s">
        <v>3012</v>
      </c>
      <c r="F2863" s="452">
        <v>46062</v>
      </c>
      <c r="G2863">
        <v>19506</v>
      </c>
      <c r="H2863" t="s">
        <v>4112</v>
      </c>
      <c r="I2863" t="s">
        <v>3469</v>
      </c>
      <c r="J2863">
        <v>0.2</v>
      </c>
      <c r="K2863" t="s">
        <v>3892</v>
      </c>
      <c r="L2863">
        <v>8</v>
      </c>
      <c r="M2863">
        <v>40</v>
      </c>
      <c r="N2863" t="s">
        <v>4240</v>
      </c>
      <c r="O2863" t="s">
        <v>462</v>
      </c>
    </row>
    <row r="2864" spans="1:15" x14ac:dyDescent="0.3">
      <c r="A2864">
        <v>209038</v>
      </c>
      <c r="B2864">
        <v>116</v>
      </c>
      <c r="C2864" t="s">
        <v>568</v>
      </c>
      <c r="D2864" t="s">
        <v>2286</v>
      </c>
      <c r="E2864" t="s">
        <v>3012</v>
      </c>
      <c r="F2864" s="452">
        <v>46062</v>
      </c>
      <c r="G2864">
        <v>19505</v>
      </c>
      <c r="H2864" t="s">
        <v>4101</v>
      </c>
      <c r="I2864" t="s">
        <v>3469</v>
      </c>
      <c r="J2864">
        <v>1</v>
      </c>
      <c r="K2864" t="s">
        <v>3892</v>
      </c>
      <c r="L2864">
        <v>13.8</v>
      </c>
      <c r="M2864">
        <v>13.8</v>
      </c>
      <c r="N2864" t="s">
        <v>4240</v>
      </c>
      <c r="O2864" t="s">
        <v>462</v>
      </c>
    </row>
    <row r="2865" spans="1:15" x14ac:dyDescent="0.3">
      <c r="A2865">
        <v>209038</v>
      </c>
      <c r="B2865">
        <v>116</v>
      </c>
      <c r="C2865" t="s">
        <v>568</v>
      </c>
      <c r="D2865" t="s">
        <v>2286</v>
      </c>
      <c r="E2865" t="s">
        <v>3012</v>
      </c>
      <c r="F2865" s="452">
        <v>46062</v>
      </c>
      <c r="G2865">
        <v>19558</v>
      </c>
      <c r="H2865" t="s">
        <v>4183</v>
      </c>
      <c r="I2865" t="s">
        <v>3469</v>
      </c>
      <c r="J2865">
        <v>1</v>
      </c>
      <c r="K2865" t="s">
        <v>3892</v>
      </c>
      <c r="L2865">
        <v>15</v>
      </c>
      <c r="M2865">
        <v>15</v>
      </c>
      <c r="N2865" t="s">
        <v>4240</v>
      </c>
      <c r="O2865" t="s">
        <v>462</v>
      </c>
    </row>
    <row r="2866" spans="1:15" x14ac:dyDescent="0.3">
      <c r="A2866">
        <v>209038</v>
      </c>
      <c r="B2866">
        <v>116</v>
      </c>
      <c r="C2866" t="s">
        <v>568</v>
      </c>
      <c r="D2866" t="s">
        <v>2286</v>
      </c>
      <c r="E2866" t="s">
        <v>3012</v>
      </c>
      <c r="F2866" s="452">
        <v>46062</v>
      </c>
      <c r="G2866">
        <v>19458</v>
      </c>
      <c r="H2866" t="s">
        <v>4212</v>
      </c>
      <c r="I2866" t="s">
        <v>3469</v>
      </c>
      <c r="J2866">
        <v>1</v>
      </c>
      <c r="K2866" t="s">
        <v>3892</v>
      </c>
      <c r="L2866">
        <v>13.5</v>
      </c>
      <c r="M2866">
        <v>13.5</v>
      </c>
      <c r="N2866" t="s">
        <v>4240</v>
      </c>
      <c r="O2866" t="s">
        <v>462</v>
      </c>
    </row>
    <row r="2867" spans="1:15" x14ac:dyDescent="0.3">
      <c r="A2867">
        <v>209038</v>
      </c>
      <c r="B2867">
        <v>116</v>
      </c>
      <c r="C2867" t="s">
        <v>568</v>
      </c>
      <c r="D2867" t="s">
        <v>2286</v>
      </c>
      <c r="E2867" t="s">
        <v>3012</v>
      </c>
      <c r="F2867" s="452">
        <v>46062</v>
      </c>
      <c r="G2867">
        <v>23236</v>
      </c>
      <c r="H2867" t="s">
        <v>4017</v>
      </c>
      <c r="I2867" t="s">
        <v>3469</v>
      </c>
      <c r="J2867">
        <v>3</v>
      </c>
      <c r="K2867" t="s">
        <v>3892</v>
      </c>
      <c r="L2867">
        <v>19.5</v>
      </c>
      <c r="M2867">
        <v>6.5</v>
      </c>
      <c r="N2867" t="s">
        <v>4240</v>
      </c>
      <c r="O2867" t="s">
        <v>462</v>
      </c>
    </row>
    <row r="2868" spans="1:15" x14ac:dyDescent="0.3">
      <c r="A2868">
        <v>209038</v>
      </c>
      <c r="B2868">
        <v>116</v>
      </c>
      <c r="C2868" t="s">
        <v>568</v>
      </c>
      <c r="D2868" t="s">
        <v>2286</v>
      </c>
      <c r="E2868" t="s">
        <v>3012</v>
      </c>
      <c r="F2868" s="452">
        <v>46062</v>
      </c>
      <c r="G2868">
        <v>23120</v>
      </c>
      <c r="H2868" t="s">
        <v>4111</v>
      </c>
      <c r="I2868" t="s">
        <v>3469</v>
      </c>
      <c r="J2868">
        <v>0.2</v>
      </c>
      <c r="K2868" t="s">
        <v>3892</v>
      </c>
      <c r="L2868">
        <v>13</v>
      </c>
      <c r="M2868">
        <v>65</v>
      </c>
      <c r="N2868" t="s">
        <v>4240</v>
      </c>
      <c r="O2868" t="s">
        <v>462</v>
      </c>
    </row>
    <row r="2869" spans="1:15" x14ac:dyDescent="0.3">
      <c r="A2869">
        <v>209038</v>
      </c>
      <c r="B2869">
        <v>116</v>
      </c>
      <c r="C2869" t="s">
        <v>568</v>
      </c>
      <c r="D2869" t="s">
        <v>2286</v>
      </c>
      <c r="E2869" t="s">
        <v>3012</v>
      </c>
      <c r="F2869" s="452">
        <v>46062</v>
      </c>
      <c r="G2869">
        <v>23361</v>
      </c>
      <c r="H2869" t="s">
        <v>4220</v>
      </c>
      <c r="I2869" t="s">
        <v>3469</v>
      </c>
      <c r="J2869">
        <v>18</v>
      </c>
      <c r="K2869" t="s">
        <v>3892</v>
      </c>
      <c r="L2869">
        <v>57.6</v>
      </c>
      <c r="M2869">
        <v>3.2</v>
      </c>
      <c r="N2869" t="s">
        <v>4240</v>
      </c>
      <c r="O2869" t="s">
        <v>462</v>
      </c>
    </row>
    <row r="2870" spans="1:15" x14ac:dyDescent="0.3">
      <c r="A2870">
        <v>209038</v>
      </c>
      <c r="B2870">
        <v>116</v>
      </c>
      <c r="C2870" t="s">
        <v>568</v>
      </c>
      <c r="D2870" t="s">
        <v>2286</v>
      </c>
      <c r="E2870" t="s">
        <v>3012</v>
      </c>
      <c r="F2870" s="452">
        <v>46062</v>
      </c>
      <c r="G2870">
        <v>19539</v>
      </c>
      <c r="H2870" t="s">
        <v>4133</v>
      </c>
      <c r="I2870" t="s">
        <v>3469</v>
      </c>
      <c r="J2870">
        <v>18</v>
      </c>
      <c r="K2870" t="s">
        <v>3892</v>
      </c>
      <c r="L2870">
        <v>90</v>
      </c>
      <c r="M2870">
        <v>5</v>
      </c>
      <c r="N2870" t="s">
        <v>4240</v>
      </c>
      <c r="O2870" t="s">
        <v>462</v>
      </c>
    </row>
    <row r="2871" spans="1:15" x14ac:dyDescent="0.3">
      <c r="A2871">
        <v>209035</v>
      </c>
      <c r="B2871">
        <v>116</v>
      </c>
      <c r="C2871" t="s">
        <v>568</v>
      </c>
      <c r="D2871" t="s">
        <v>2286</v>
      </c>
      <c r="E2871" t="s">
        <v>3013</v>
      </c>
      <c r="F2871" s="452">
        <v>46065</v>
      </c>
      <c r="G2871">
        <v>19787</v>
      </c>
      <c r="H2871" t="s">
        <v>3940</v>
      </c>
      <c r="I2871" t="s">
        <v>3469</v>
      </c>
      <c r="J2871">
        <v>4.5</v>
      </c>
      <c r="K2871" t="s">
        <v>3892</v>
      </c>
      <c r="L2871">
        <v>21.15</v>
      </c>
      <c r="M2871">
        <v>4.7</v>
      </c>
      <c r="N2871" t="s">
        <v>4240</v>
      </c>
      <c r="O2871" t="s">
        <v>462</v>
      </c>
    </row>
    <row r="2872" spans="1:15" x14ac:dyDescent="0.3">
      <c r="A2872">
        <v>209035</v>
      </c>
      <c r="B2872">
        <v>116</v>
      </c>
      <c r="C2872" t="s">
        <v>568</v>
      </c>
      <c r="D2872" t="s">
        <v>2286</v>
      </c>
      <c r="E2872" t="s">
        <v>3013</v>
      </c>
      <c r="F2872" s="452">
        <v>46065</v>
      </c>
      <c r="G2872">
        <v>19506</v>
      </c>
      <c r="H2872" t="s">
        <v>4112</v>
      </c>
      <c r="I2872" t="s">
        <v>3469</v>
      </c>
      <c r="J2872">
        <v>0.2</v>
      </c>
      <c r="K2872" t="s">
        <v>3892</v>
      </c>
      <c r="L2872">
        <v>7.2</v>
      </c>
      <c r="M2872">
        <v>36</v>
      </c>
      <c r="N2872" t="s">
        <v>4240</v>
      </c>
      <c r="O2872" t="s">
        <v>462</v>
      </c>
    </row>
    <row r="2873" spans="1:15" x14ac:dyDescent="0.3">
      <c r="A2873">
        <v>209035</v>
      </c>
      <c r="B2873">
        <v>116</v>
      </c>
      <c r="C2873" t="s">
        <v>568</v>
      </c>
      <c r="D2873" t="s">
        <v>2286</v>
      </c>
      <c r="E2873" t="s">
        <v>3013</v>
      </c>
      <c r="F2873" s="452">
        <v>46065</v>
      </c>
      <c r="G2873">
        <v>19505</v>
      </c>
      <c r="H2873" t="s">
        <v>4101</v>
      </c>
      <c r="I2873" t="s">
        <v>3469</v>
      </c>
      <c r="J2873">
        <v>1.5</v>
      </c>
      <c r="K2873" t="s">
        <v>3892</v>
      </c>
      <c r="L2873">
        <v>21</v>
      </c>
      <c r="M2873">
        <v>14</v>
      </c>
      <c r="N2873" t="s">
        <v>4240</v>
      </c>
      <c r="O2873" t="s">
        <v>462</v>
      </c>
    </row>
    <row r="2874" spans="1:15" x14ac:dyDescent="0.3">
      <c r="A2874">
        <v>209035</v>
      </c>
      <c r="B2874">
        <v>116</v>
      </c>
      <c r="C2874" t="s">
        <v>568</v>
      </c>
      <c r="D2874" t="s">
        <v>2286</v>
      </c>
      <c r="E2874" t="s">
        <v>3013</v>
      </c>
      <c r="F2874" s="452">
        <v>46065</v>
      </c>
      <c r="G2874">
        <v>19623</v>
      </c>
      <c r="H2874" t="s">
        <v>3984</v>
      </c>
      <c r="I2874" t="s">
        <v>3469</v>
      </c>
      <c r="J2874">
        <v>3</v>
      </c>
      <c r="K2874" t="s">
        <v>3892</v>
      </c>
      <c r="L2874">
        <v>11.4</v>
      </c>
      <c r="M2874">
        <v>3.8</v>
      </c>
      <c r="N2874" t="s">
        <v>4240</v>
      </c>
      <c r="O2874" t="s">
        <v>462</v>
      </c>
    </row>
    <row r="2875" spans="1:15" x14ac:dyDescent="0.3">
      <c r="A2875">
        <v>209035</v>
      </c>
      <c r="B2875">
        <v>116</v>
      </c>
      <c r="C2875" t="s">
        <v>568</v>
      </c>
      <c r="D2875" t="s">
        <v>2286</v>
      </c>
      <c r="E2875" t="s">
        <v>3013</v>
      </c>
      <c r="F2875" s="452">
        <v>46065</v>
      </c>
      <c r="G2875">
        <v>19478</v>
      </c>
      <c r="H2875" t="s">
        <v>4072</v>
      </c>
      <c r="I2875" t="s">
        <v>3469</v>
      </c>
      <c r="J2875">
        <v>1</v>
      </c>
      <c r="K2875" t="s">
        <v>3892</v>
      </c>
      <c r="L2875">
        <v>65</v>
      </c>
      <c r="M2875">
        <v>65</v>
      </c>
      <c r="N2875" t="s">
        <v>4240</v>
      </c>
      <c r="O2875" t="s">
        <v>462</v>
      </c>
    </row>
    <row r="2876" spans="1:15" x14ac:dyDescent="0.3">
      <c r="A2876">
        <v>209035</v>
      </c>
      <c r="B2876">
        <v>116</v>
      </c>
      <c r="C2876" t="s">
        <v>568</v>
      </c>
      <c r="D2876" t="s">
        <v>2286</v>
      </c>
      <c r="E2876" t="s">
        <v>3013</v>
      </c>
      <c r="F2876" s="452">
        <v>46065</v>
      </c>
      <c r="G2876">
        <v>19480</v>
      </c>
      <c r="H2876" t="s">
        <v>4113</v>
      </c>
      <c r="I2876" t="s">
        <v>3469</v>
      </c>
      <c r="J2876">
        <v>0.2</v>
      </c>
      <c r="K2876" t="s">
        <v>3892</v>
      </c>
      <c r="L2876">
        <v>3.4</v>
      </c>
      <c r="M2876">
        <v>17</v>
      </c>
      <c r="N2876" t="s">
        <v>4240</v>
      </c>
      <c r="O2876" t="s">
        <v>462</v>
      </c>
    </row>
    <row r="2877" spans="1:15" x14ac:dyDescent="0.3">
      <c r="A2877">
        <v>209035</v>
      </c>
      <c r="B2877">
        <v>116</v>
      </c>
      <c r="C2877" t="s">
        <v>568</v>
      </c>
      <c r="D2877" t="s">
        <v>2286</v>
      </c>
      <c r="E2877" t="s">
        <v>3013</v>
      </c>
      <c r="F2877" s="452">
        <v>46065</v>
      </c>
      <c r="G2877">
        <v>19498</v>
      </c>
      <c r="H2877" t="s">
        <v>4065</v>
      </c>
      <c r="I2877" t="s">
        <v>3469</v>
      </c>
      <c r="J2877">
        <v>1</v>
      </c>
      <c r="K2877" t="s">
        <v>3892</v>
      </c>
      <c r="L2877">
        <v>14.5</v>
      </c>
      <c r="M2877">
        <v>14.5</v>
      </c>
      <c r="N2877" t="s">
        <v>4240</v>
      </c>
      <c r="O2877" t="s">
        <v>462</v>
      </c>
    </row>
    <row r="2878" spans="1:15" x14ac:dyDescent="0.3">
      <c r="A2878">
        <v>209035</v>
      </c>
      <c r="B2878">
        <v>116</v>
      </c>
      <c r="C2878" t="s">
        <v>568</v>
      </c>
      <c r="D2878" t="s">
        <v>2286</v>
      </c>
      <c r="E2878" t="s">
        <v>3013</v>
      </c>
      <c r="F2878" s="452">
        <v>46065</v>
      </c>
      <c r="G2878">
        <v>19553</v>
      </c>
      <c r="H2878" t="s">
        <v>4078</v>
      </c>
      <c r="I2878" t="s">
        <v>3469</v>
      </c>
      <c r="J2878">
        <v>1.5</v>
      </c>
      <c r="K2878" t="s">
        <v>3892</v>
      </c>
      <c r="L2878">
        <v>4.95</v>
      </c>
      <c r="M2878">
        <v>3.3</v>
      </c>
      <c r="N2878" t="s">
        <v>4240</v>
      </c>
      <c r="O2878" t="s">
        <v>462</v>
      </c>
    </row>
    <row r="2879" spans="1:15" x14ac:dyDescent="0.3">
      <c r="A2879">
        <v>209035</v>
      </c>
      <c r="B2879">
        <v>116</v>
      </c>
      <c r="C2879" t="s">
        <v>568</v>
      </c>
      <c r="D2879" t="s">
        <v>2286</v>
      </c>
      <c r="E2879" t="s">
        <v>3013</v>
      </c>
      <c r="F2879" s="452">
        <v>46065</v>
      </c>
      <c r="G2879">
        <v>19740</v>
      </c>
      <c r="H2879" t="s">
        <v>3933</v>
      </c>
      <c r="I2879" t="s">
        <v>3469</v>
      </c>
      <c r="J2879">
        <v>4</v>
      </c>
      <c r="K2879" t="s">
        <v>3892</v>
      </c>
      <c r="L2879">
        <v>32.4</v>
      </c>
      <c r="M2879">
        <v>8.1</v>
      </c>
      <c r="N2879" t="s">
        <v>4240</v>
      </c>
      <c r="O2879" t="s">
        <v>462</v>
      </c>
    </row>
    <row r="2880" spans="1:15" x14ac:dyDescent="0.3">
      <c r="A2880">
        <v>209035</v>
      </c>
      <c r="B2880">
        <v>116</v>
      </c>
      <c r="C2880" t="s">
        <v>568</v>
      </c>
      <c r="D2880" t="s">
        <v>2286</v>
      </c>
      <c r="E2880" t="s">
        <v>3013</v>
      </c>
      <c r="F2880" s="452">
        <v>46065</v>
      </c>
      <c r="G2880">
        <v>19752</v>
      </c>
      <c r="H2880" t="s">
        <v>4042</v>
      </c>
      <c r="I2880" t="s">
        <v>3469</v>
      </c>
      <c r="J2880">
        <v>1</v>
      </c>
      <c r="K2880" t="s">
        <v>3892</v>
      </c>
      <c r="L2880">
        <v>9.5</v>
      </c>
      <c r="M2880">
        <v>9.5</v>
      </c>
      <c r="N2880" t="s">
        <v>4240</v>
      </c>
      <c r="O2880" t="s">
        <v>462</v>
      </c>
    </row>
    <row r="2881" spans="1:15" x14ac:dyDescent="0.3">
      <c r="A2881">
        <v>209035</v>
      </c>
      <c r="B2881">
        <v>116</v>
      </c>
      <c r="C2881" t="s">
        <v>568</v>
      </c>
      <c r="D2881" t="s">
        <v>2286</v>
      </c>
      <c r="E2881" t="s">
        <v>3013</v>
      </c>
      <c r="F2881" s="452">
        <v>46065</v>
      </c>
      <c r="G2881">
        <v>23113</v>
      </c>
      <c r="H2881" t="s">
        <v>4079</v>
      </c>
      <c r="I2881" t="s">
        <v>3469</v>
      </c>
      <c r="J2881">
        <v>1.5</v>
      </c>
      <c r="K2881" t="s">
        <v>3892</v>
      </c>
      <c r="L2881">
        <v>15</v>
      </c>
      <c r="M2881">
        <v>10</v>
      </c>
      <c r="N2881" t="s">
        <v>4240</v>
      </c>
      <c r="O2881" t="s">
        <v>462</v>
      </c>
    </row>
    <row r="2882" spans="1:15" x14ac:dyDescent="0.3">
      <c r="A2882">
        <v>209035</v>
      </c>
      <c r="B2882">
        <v>116</v>
      </c>
      <c r="C2882" t="s">
        <v>568</v>
      </c>
      <c r="D2882" t="s">
        <v>2286</v>
      </c>
      <c r="E2882" t="s">
        <v>3013</v>
      </c>
      <c r="F2882" s="452">
        <v>46065</v>
      </c>
      <c r="G2882">
        <v>23171</v>
      </c>
      <c r="H2882" t="s">
        <v>4132</v>
      </c>
      <c r="I2882" t="s">
        <v>3469</v>
      </c>
      <c r="J2882">
        <v>3</v>
      </c>
      <c r="K2882" t="s">
        <v>3892</v>
      </c>
      <c r="L2882">
        <v>17.7</v>
      </c>
      <c r="M2882">
        <v>5.9</v>
      </c>
      <c r="N2882" t="s">
        <v>4240</v>
      </c>
      <c r="O2882" t="s">
        <v>462</v>
      </c>
    </row>
    <row r="2883" spans="1:15" x14ac:dyDescent="0.3">
      <c r="A2883">
        <v>209035</v>
      </c>
      <c r="B2883">
        <v>116</v>
      </c>
      <c r="C2883" t="s">
        <v>568</v>
      </c>
      <c r="D2883" t="s">
        <v>2286</v>
      </c>
      <c r="E2883" t="s">
        <v>3013</v>
      </c>
      <c r="F2883" s="452">
        <v>46065</v>
      </c>
      <c r="G2883">
        <v>23120</v>
      </c>
      <c r="H2883" t="s">
        <v>4111</v>
      </c>
      <c r="I2883" t="s">
        <v>3469</v>
      </c>
      <c r="J2883">
        <v>0.2</v>
      </c>
      <c r="K2883" t="s">
        <v>3892</v>
      </c>
      <c r="L2883">
        <v>12.6</v>
      </c>
      <c r="M2883">
        <v>63</v>
      </c>
      <c r="N2883" t="s">
        <v>4240</v>
      </c>
      <c r="O2883" t="s">
        <v>462</v>
      </c>
    </row>
    <row r="2884" spans="1:15" x14ac:dyDescent="0.3">
      <c r="A2884">
        <v>209035</v>
      </c>
      <c r="B2884">
        <v>116</v>
      </c>
      <c r="C2884" t="s">
        <v>568</v>
      </c>
      <c r="D2884" t="s">
        <v>2286</v>
      </c>
      <c r="E2884" t="s">
        <v>3013</v>
      </c>
      <c r="F2884" s="452">
        <v>46065</v>
      </c>
      <c r="G2884">
        <v>23236</v>
      </c>
      <c r="H2884" t="s">
        <v>4017</v>
      </c>
      <c r="I2884" t="s">
        <v>3469</v>
      </c>
      <c r="J2884">
        <v>3</v>
      </c>
      <c r="K2884" t="s">
        <v>3892</v>
      </c>
      <c r="L2884">
        <v>19.5</v>
      </c>
      <c r="M2884">
        <v>6.5</v>
      </c>
      <c r="N2884" t="s">
        <v>4240</v>
      </c>
      <c r="O2884" t="s">
        <v>462</v>
      </c>
    </row>
    <row r="2885" spans="1:15" x14ac:dyDescent="0.3">
      <c r="A2885">
        <v>209035</v>
      </c>
      <c r="B2885">
        <v>116</v>
      </c>
      <c r="C2885" t="s">
        <v>568</v>
      </c>
      <c r="D2885" t="s">
        <v>2286</v>
      </c>
      <c r="E2885" t="s">
        <v>3013</v>
      </c>
      <c r="F2885" s="452">
        <v>46065</v>
      </c>
      <c r="G2885">
        <v>23359</v>
      </c>
      <c r="H2885" t="s">
        <v>3932</v>
      </c>
      <c r="I2885" t="s">
        <v>3469</v>
      </c>
      <c r="J2885">
        <v>10</v>
      </c>
      <c r="K2885" t="s">
        <v>3892</v>
      </c>
      <c r="L2885">
        <v>32</v>
      </c>
      <c r="M2885">
        <v>3.2</v>
      </c>
      <c r="N2885" t="s">
        <v>4240</v>
      </c>
      <c r="O2885" t="s">
        <v>462</v>
      </c>
    </row>
    <row r="2886" spans="1:15" x14ac:dyDescent="0.3">
      <c r="A2886">
        <v>209035</v>
      </c>
      <c r="B2886">
        <v>116</v>
      </c>
      <c r="C2886" t="s">
        <v>568</v>
      </c>
      <c r="D2886" t="s">
        <v>2286</v>
      </c>
      <c r="E2886" t="s">
        <v>3013</v>
      </c>
      <c r="F2886" s="452">
        <v>46065</v>
      </c>
      <c r="G2886">
        <v>19583</v>
      </c>
      <c r="H2886" t="s">
        <v>4076</v>
      </c>
      <c r="I2886" t="s">
        <v>3469</v>
      </c>
      <c r="J2886">
        <v>1</v>
      </c>
      <c r="K2886" t="s">
        <v>3892</v>
      </c>
      <c r="L2886">
        <v>49</v>
      </c>
      <c r="M2886">
        <v>49</v>
      </c>
      <c r="N2886" t="s">
        <v>4240</v>
      </c>
      <c r="O2886" t="s">
        <v>462</v>
      </c>
    </row>
    <row r="2887" spans="1:15" x14ac:dyDescent="0.3">
      <c r="A2887">
        <v>209035</v>
      </c>
      <c r="B2887">
        <v>116</v>
      </c>
      <c r="C2887" t="s">
        <v>568</v>
      </c>
      <c r="D2887" t="s">
        <v>2286</v>
      </c>
      <c r="E2887" t="s">
        <v>3013</v>
      </c>
      <c r="F2887" s="452">
        <v>46065</v>
      </c>
      <c r="G2887">
        <v>23389</v>
      </c>
      <c r="H2887" t="s">
        <v>4016</v>
      </c>
      <c r="I2887" t="s">
        <v>3469</v>
      </c>
      <c r="J2887">
        <v>6</v>
      </c>
      <c r="K2887" t="s">
        <v>3892</v>
      </c>
      <c r="L2887">
        <v>33</v>
      </c>
      <c r="M2887">
        <v>5.5</v>
      </c>
      <c r="N2887" t="s">
        <v>4240</v>
      </c>
      <c r="O2887" t="s">
        <v>462</v>
      </c>
    </row>
    <row r="2888" spans="1:15" x14ac:dyDescent="0.3">
      <c r="A2888">
        <v>209035</v>
      </c>
      <c r="B2888">
        <v>116</v>
      </c>
      <c r="C2888" t="s">
        <v>568</v>
      </c>
      <c r="D2888" t="s">
        <v>2286</v>
      </c>
      <c r="E2888" t="s">
        <v>3013</v>
      </c>
      <c r="F2888" s="452">
        <v>46065</v>
      </c>
      <c r="G2888">
        <v>24037</v>
      </c>
      <c r="H2888" t="s">
        <v>4104</v>
      </c>
      <c r="I2888" t="s">
        <v>3469</v>
      </c>
      <c r="J2888">
        <v>3</v>
      </c>
      <c r="K2888" t="s">
        <v>3892</v>
      </c>
      <c r="L2888">
        <v>58.5</v>
      </c>
      <c r="M2888">
        <v>19.5</v>
      </c>
      <c r="N2888" t="s">
        <v>4240</v>
      </c>
      <c r="O2888" t="s">
        <v>462</v>
      </c>
    </row>
    <row r="2889" spans="1:15" x14ac:dyDescent="0.3">
      <c r="A2889">
        <v>209034</v>
      </c>
      <c r="B2889">
        <v>116</v>
      </c>
      <c r="C2889" t="s">
        <v>568</v>
      </c>
      <c r="D2889" t="s">
        <v>2357</v>
      </c>
      <c r="E2889" t="s">
        <v>3014</v>
      </c>
      <c r="F2889" s="452">
        <v>46062</v>
      </c>
      <c r="G2889">
        <v>20278</v>
      </c>
      <c r="H2889" t="s">
        <v>3939</v>
      </c>
      <c r="I2889" t="s">
        <v>3469</v>
      </c>
      <c r="J2889">
        <v>10</v>
      </c>
      <c r="K2889" t="s">
        <v>3872</v>
      </c>
      <c r="L2889">
        <v>332.7</v>
      </c>
      <c r="M2889">
        <v>33.270000000000003</v>
      </c>
      <c r="N2889" t="s">
        <v>4240</v>
      </c>
      <c r="O2889" t="s">
        <v>462</v>
      </c>
    </row>
    <row r="2890" spans="1:15" x14ac:dyDescent="0.3">
      <c r="A2890">
        <v>209032</v>
      </c>
      <c r="B2890">
        <v>116</v>
      </c>
      <c r="C2890" t="s">
        <v>568</v>
      </c>
      <c r="D2890" t="s">
        <v>2260</v>
      </c>
      <c r="E2890" t="s">
        <v>3015</v>
      </c>
      <c r="F2890" s="452">
        <v>46064</v>
      </c>
      <c r="G2890">
        <v>18685</v>
      </c>
      <c r="H2890" t="s">
        <v>3945</v>
      </c>
      <c r="I2890" t="s">
        <v>3469</v>
      </c>
      <c r="J2890">
        <v>6.8</v>
      </c>
      <c r="K2890" t="s">
        <v>4197</v>
      </c>
      <c r="L2890">
        <v>265.2</v>
      </c>
      <c r="M2890">
        <v>39</v>
      </c>
      <c r="N2890" t="s">
        <v>4240</v>
      </c>
      <c r="O2890" t="s">
        <v>462</v>
      </c>
    </row>
    <row r="2891" spans="1:15" x14ac:dyDescent="0.3">
      <c r="A2891">
        <v>209032</v>
      </c>
      <c r="B2891">
        <v>116</v>
      </c>
      <c r="C2891" t="s">
        <v>568</v>
      </c>
      <c r="D2891" t="s">
        <v>2260</v>
      </c>
      <c r="E2891" t="s">
        <v>3015</v>
      </c>
      <c r="F2891" s="452">
        <v>46064</v>
      </c>
      <c r="G2891">
        <v>18684</v>
      </c>
      <c r="H2891" t="s">
        <v>3925</v>
      </c>
      <c r="I2891" t="s">
        <v>3469</v>
      </c>
      <c r="J2891">
        <v>10.1</v>
      </c>
      <c r="K2891" t="s">
        <v>3892</v>
      </c>
      <c r="L2891">
        <v>363.6</v>
      </c>
      <c r="M2891">
        <v>36</v>
      </c>
      <c r="N2891" t="s">
        <v>4240</v>
      </c>
      <c r="O2891" t="s">
        <v>462</v>
      </c>
    </row>
    <row r="2892" spans="1:15" x14ac:dyDescent="0.3">
      <c r="A2892">
        <v>209032</v>
      </c>
      <c r="B2892">
        <v>116</v>
      </c>
      <c r="C2892" t="s">
        <v>568</v>
      </c>
      <c r="D2892" t="s">
        <v>2260</v>
      </c>
      <c r="E2892" t="s">
        <v>3015</v>
      </c>
      <c r="F2892" s="452">
        <v>46064</v>
      </c>
      <c r="G2892">
        <v>20456</v>
      </c>
      <c r="H2892" t="s">
        <v>4000</v>
      </c>
      <c r="I2892" t="s">
        <v>3469</v>
      </c>
      <c r="J2892">
        <v>2.8</v>
      </c>
      <c r="K2892" t="s">
        <v>3892</v>
      </c>
      <c r="L2892">
        <v>109.2</v>
      </c>
      <c r="M2892">
        <v>39</v>
      </c>
      <c r="N2892" t="s">
        <v>4240</v>
      </c>
      <c r="O2892" t="s">
        <v>462</v>
      </c>
    </row>
    <row r="2893" spans="1:15" x14ac:dyDescent="0.3">
      <c r="A2893">
        <v>209032</v>
      </c>
      <c r="B2893">
        <v>116</v>
      </c>
      <c r="C2893" t="s">
        <v>568</v>
      </c>
      <c r="D2893" t="s">
        <v>2260</v>
      </c>
      <c r="E2893" t="s">
        <v>3015</v>
      </c>
      <c r="F2893" s="452">
        <v>46064</v>
      </c>
      <c r="G2893">
        <v>20466</v>
      </c>
      <c r="H2893" t="s">
        <v>4098</v>
      </c>
      <c r="I2893" t="s">
        <v>3469</v>
      </c>
      <c r="J2893">
        <v>1.4</v>
      </c>
      <c r="K2893" t="s">
        <v>3892</v>
      </c>
      <c r="L2893">
        <v>95.2</v>
      </c>
      <c r="M2893">
        <v>68</v>
      </c>
      <c r="N2893" t="s">
        <v>4240</v>
      </c>
      <c r="O2893" t="s">
        <v>462</v>
      </c>
    </row>
    <row r="2894" spans="1:15" x14ac:dyDescent="0.3">
      <c r="A2894">
        <v>209032</v>
      </c>
      <c r="B2894">
        <v>116</v>
      </c>
      <c r="C2894" t="s">
        <v>568</v>
      </c>
      <c r="D2894" t="s">
        <v>2260</v>
      </c>
      <c r="E2894" t="s">
        <v>3015</v>
      </c>
      <c r="F2894" s="452">
        <v>46064</v>
      </c>
      <c r="G2894">
        <v>20555</v>
      </c>
      <c r="H2894" t="s">
        <v>3959</v>
      </c>
      <c r="I2894" t="s">
        <v>3469</v>
      </c>
      <c r="J2894">
        <v>4.0999999999999996</v>
      </c>
      <c r="K2894" t="s">
        <v>3892</v>
      </c>
      <c r="L2894">
        <v>323.89999999999998</v>
      </c>
      <c r="M2894">
        <v>79</v>
      </c>
      <c r="N2894" t="s">
        <v>4240</v>
      </c>
      <c r="O2894" t="s">
        <v>462</v>
      </c>
    </row>
    <row r="2895" spans="1:15" x14ac:dyDescent="0.3">
      <c r="A2895">
        <v>209032</v>
      </c>
      <c r="B2895">
        <v>116</v>
      </c>
      <c r="C2895" t="s">
        <v>568</v>
      </c>
      <c r="D2895" t="s">
        <v>2260</v>
      </c>
      <c r="E2895" t="s">
        <v>3015</v>
      </c>
      <c r="F2895" s="452">
        <v>46064</v>
      </c>
      <c r="G2895">
        <v>24200</v>
      </c>
      <c r="H2895" t="s">
        <v>3975</v>
      </c>
      <c r="I2895" t="s">
        <v>3469</v>
      </c>
      <c r="J2895">
        <v>5.5</v>
      </c>
      <c r="K2895" t="s">
        <v>3892</v>
      </c>
      <c r="L2895">
        <v>180.95</v>
      </c>
      <c r="M2895">
        <v>32.9</v>
      </c>
      <c r="N2895" t="s">
        <v>4240</v>
      </c>
      <c r="O2895" t="s">
        <v>462</v>
      </c>
    </row>
    <row r="2896" spans="1:15" x14ac:dyDescent="0.3">
      <c r="A2896">
        <v>209032</v>
      </c>
      <c r="B2896">
        <v>116</v>
      </c>
      <c r="C2896" t="s">
        <v>568</v>
      </c>
      <c r="D2896" t="s">
        <v>2260</v>
      </c>
      <c r="E2896" t="s">
        <v>3015</v>
      </c>
      <c r="F2896" s="452">
        <v>46064</v>
      </c>
      <c r="G2896">
        <v>22734</v>
      </c>
      <c r="H2896" t="s">
        <v>3955</v>
      </c>
      <c r="I2896" t="s">
        <v>3469</v>
      </c>
      <c r="J2896">
        <v>10</v>
      </c>
      <c r="K2896" t="s">
        <v>3892</v>
      </c>
      <c r="L2896">
        <v>990</v>
      </c>
      <c r="M2896">
        <v>99</v>
      </c>
      <c r="N2896" t="s">
        <v>4240</v>
      </c>
      <c r="O2896" t="s">
        <v>462</v>
      </c>
    </row>
    <row r="2897" spans="1:15" x14ac:dyDescent="0.3">
      <c r="A2897">
        <v>209030</v>
      </c>
      <c r="B2897">
        <v>116</v>
      </c>
      <c r="C2897" t="s">
        <v>568</v>
      </c>
      <c r="D2897" t="s">
        <v>2260</v>
      </c>
      <c r="E2897" t="s">
        <v>3016</v>
      </c>
      <c r="F2897" s="452">
        <v>46064</v>
      </c>
      <c r="G2897">
        <v>20555</v>
      </c>
      <c r="H2897" t="s">
        <v>3959</v>
      </c>
      <c r="I2897" t="s">
        <v>3469</v>
      </c>
      <c r="J2897">
        <v>4.5</v>
      </c>
      <c r="K2897" t="s">
        <v>3892</v>
      </c>
      <c r="L2897">
        <v>355.5</v>
      </c>
      <c r="M2897">
        <v>79</v>
      </c>
      <c r="N2897" t="s">
        <v>4240</v>
      </c>
      <c r="O2897" t="s">
        <v>462</v>
      </c>
    </row>
    <row r="2898" spans="1:15" x14ac:dyDescent="0.3">
      <c r="A2898">
        <v>208981</v>
      </c>
      <c r="B2898">
        <v>116</v>
      </c>
      <c r="C2898" t="s">
        <v>568</v>
      </c>
      <c r="D2898" t="s">
        <v>2323</v>
      </c>
      <c r="E2898" t="s">
        <v>3017</v>
      </c>
      <c r="F2898" s="452">
        <v>46065</v>
      </c>
      <c r="G2898">
        <v>18933</v>
      </c>
      <c r="H2898" t="s">
        <v>3957</v>
      </c>
      <c r="I2898" t="s">
        <v>3469</v>
      </c>
      <c r="J2898">
        <v>6.3</v>
      </c>
      <c r="K2898" t="s">
        <v>3892</v>
      </c>
      <c r="L2898">
        <v>154.35</v>
      </c>
      <c r="M2898">
        <v>24.5</v>
      </c>
      <c r="N2898" t="s">
        <v>4240</v>
      </c>
      <c r="O2898" t="s">
        <v>462</v>
      </c>
    </row>
    <row r="2899" spans="1:15" x14ac:dyDescent="0.3">
      <c r="A2899">
        <v>208981</v>
      </c>
      <c r="B2899">
        <v>116</v>
      </c>
      <c r="C2899" t="s">
        <v>568</v>
      </c>
      <c r="D2899" t="s">
        <v>2323</v>
      </c>
      <c r="E2899" t="s">
        <v>3017</v>
      </c>
      <c r="F2899" s="452">
        <v>46065</v>
      </c>
      <c r="G2899">
        <v>18832</v>
      </c>
      <c r="H2899" t="s">
        <v>3900</v>
      </c>
      <c r="I2899" t="s">
        <v>3469</v>
      </c>
      <c r="J2899">
        <v>15.1</v>
      </c>
      <c r="L2899">
        <v>520.95000000000005</v>
      </c>
      <c r="M2899">
        <v>34.5</v>
      </c>
      <c r="N2899" t="s">
        <v>4240</v>
      </c>
      <c r="O2899" t="s">
        <v>462</v>
      </c>
    </row>
    <row r="2900" spans="1:15" x14ac:dyDescent="0.3">
      <c r="A2900">
        <v>208386</v>
      </c>
      <c r="B2900">
        <v>116</v>
      </c>
      <c r="C2900" t="s">
        <v>568</v>
      </c>
      <c r="D2900" t="s">
        <v>2293</v>
      </c>
      <c r="E2900" t="s">
        <v>3018</v>
      </c>
      <c r="F2900" s="452">
        <v>46058</v>
      </c>
      <c r="G2900">
        <v>16974</v>
      </c>
      <c r="H2900" t="s">
        <v>3996</v>
      </c>
      <c r="I2900" t="s">
        <v>3497</v>
      </c>
      <c r="J2900">
        <v>4</v>
      </c>
      <c r="K2900" t="s">
        <v>3881</v>
      </c>
      <c r="L2900">
        <v>540</v>
      </c>
      <c r="M2900">
        <v>135</v>
      </c>
      <c r="N2900" t="s">
        <v>3497</v>
      </c>
      <c r="O2900" t="s">
        <v>462</v>
      </c>
    </row>
    <row r="2901" spans="1:15" x14ac:dyDescent="0.3">
      <c r="A2901">
        <v>207979</v>
      </c>
      <c r="B2901">
        <v>116</v>
      </c>
      <c r="C2901" t="s">
        <v>568</v>
      </c>
      <c r="D2901" t="s">
        <v>2262</v>
      </c>
      <c r="E2901" t="s">
        <v>3019</v>
      </c>
      <c r="F2901" s="452">
        <v>46052</v>
      </c>
      <c r="G2901">
        <v>18818</v>
      </c>
      <c r="H2901" t="s">
        <v>3916</v>
      </c>
      <c r="I2901" t="s">
        <v>3469</v>
      </c>
      <c r="J2901">
        <v>10.9</v>
      </c>
      <c r="K2901" t="s">
        <v>3892</v>
      </c>
      <c r="L2901">
        <v>357.52</v>
      </c>
      <c r="M2901">
        <v>32.799999999999997</v>
      </c>
      <c r="N2901" t="s">
        <v>4240</v>
      </c>
      <c r="O2901" t="s">
        <v>461</v>
      </c>
    </row>
    <row r="2902" spans="1:15" x14ac:dyDescent="0.3">
      <c r="A2902">
        <v>207979</v>
      </c>
      <c r="B2902">
        <v>116</v>
      </c>
      <c r="C2902" t="s">
        <v>568</v>
      </c>
      <c r="D2902" t="s">
        <v>2262</v>
      </c>
      <c r="E2902" t="s">
        <v>3019</v>
      </c>
      <c r="F2902" s="452">
        <v>46052</v>
      </c>
      <c r="G2902">
        <v>24259</v>
      </c>
      <c r="H2902" t="s">
        <v>3895</v>
      </c>
      <c r="I2902" t="s">
        <v>3469</v>
      </c>
      <c r="J2902">
        <v>15</v>
      </c>
      <c r="K2902" t="s">
        <v>3892</v>
      </c>
      <c r="L2902">
        <v>1139.8499999999999</v>
      </c>
      <c r="M2902">
        <v>75.989999999999995</v>
      </c>
      <c r="N2902" t="s">
        <v>4240</v>
      </c>
      <c r="O2902" t="s">
        <v>461</v>
      </c>
    </row>
    <row r="2903" spans="1:15" x14ac:dyDescent="0.3">
      <c r="A2903">
        <v>207979</v>
      </c>
      <c r="B2903">
        <v>116</v>
      </c>
      <c r="C2903" t="s">
        <v>568</v>
      </c>
      <c r="D2903" t="s">
        <v>2262</v>
      </c>
      <c r="E2903" t="s">
        <v>3019</v>
      </c>
      <c r="F2903" s="452">
        <v>46052</v>
      </c>
      <c r="G2903">
        <v>24389</v>
      </c>
      <c r="H2903" t="s">
        <v>4305</v>
      </c>
      <c r="I2903" t="s">
        <v>3469</v>
      </c>
      <c r="J2903">
        <v>4.8</v>
      </c>
      <c r="K2903" t="s">
        <v>3892</v>
      </c>
      <c r="L2903">
        <v>143.52000000000001</v>
      </c>
      <c r="M2903">
        <v>29.9</v>
      </c>
      <c r="N2903" t="s">
        <v>4240</v>
      </c>
      <c r="O2903" t="s">
        <v>461</v>
      </c>
    </row>
    <row r="2904" spans="1:15" x14ac:dyDescent="0.3">
      <c r="A2904">
        <v>207979</v>
      </c>
      <c r="B2904">
        <v>116</v>
      </c>
      <c r="C2904" t="s">
        <v>568</v>
      </c>
      <c r="D2904" t="s">
        <v>2262</v>
      </c>
      <c r="E2904" t="s">
        <v>3019</v>
      </c>
      <c r="F2904" s="452">
        <v>46052</v>
      </c>
      <c r="G2904">
        <v>20501</v>
      </c>
      <c r="H2904" t="s">
        <v>4219</v>
      </c>
      <c r="I2904" t="s">
        <v>3469</v>
      </c>
      <c r="J2904">
        <v>5</v>
      </c>
      <c r="K2904" t="s">
        <v>3892</v>
      </c>
      <c r="L2904">
        <v>117.5</v>
      </c>
      <c r="M2904">
        <v>23.5</v>
      </c>
      <c r="N2904" t="s">
        <v>4240</v>
      </c>
      <c r="O2904" t="s">
        <v>461</v>
      </c>
    </row>
    <row r="2905" spans="1:15" x14ac:dyDescent="0.3">
      <c r="A2905">
        <v>207978</v>
      </c>
      <c r="B2905">
        <v>116</v>
      </c>
      <c r="C2905" t="s">
        <v>568</v>
      </c>
      <c r="D2905" t="s">
        <v>2262</v>
      </c>
      <c r="E2905" t="s">
        <v>3020</v>
      </c>
      <c r="F2905" s="452">
        <v>46057</v>
      </c>
      <c r="G2905">
        <v>19034</v>
      </c>
      <c r="H2905" t="s">
        <v>3989</v>
      </c>
      <c r="I2905" t="s">
        <v>3469</v>
      </c>
      <c r="J2905">
        <v>5.3</v>
      </c>
      <c r="K2905" t="s">
        <v>3892</v>
      </c>
      <c r="L2905">
        <v>57.77</v>
      </c>
      <c r="M2905">
        <v>10.9</v>
      </c>
      <c r="N2905" t="s">
        <v>4240</v>
      </c>
      <c r="O2905" t="s">
        <v>462</v>
      </c>
    </row>
    <row r="2906" spans="1:15" x14ac:dyDescent="0.3">
      <c r="A2906">
        <v>207978</v>
      </c>
      <c r="B2906">
        <v>116</v>
      </c>
      <c r="C2906" t="s">
        <v>568</v>
      </c>
      <c r="D2906" t="s">
        <v>2262</v>
      </c>
      <c r="E2906" t="s">
        <v>3020</v>
      </c>
      <c r="F2906" s="452">
        <v>46057</v>
      </c>
      <c r="G2906">
        <v>18996</v>
      </c>
      <c r="H2906" t="s">
        <v>3946</v>
      </c>
      <c r="I2906" t="s">
        <v>3469</v>
      </c>
      <c r="J2906">
        <v>5.3</v>
      </c>
      <c r="K2906" t="s">
        <v>3892</v>
      </c>
      <c r="L2906">
        <v>79.45</v>
      </c>
      <c r="M2906">
        <v>14.990565999999999</v>
      </c>
      <c r="N2906" t="s">
        <v>4240</v>
      </c>
      <c r="O2906" t="s">
        <v>462</v>
      </c>
    </row>
    <row r="2907" spans="1:15" x14ac:dyDescent="0.3">
      <c r="A2907">
        <v>207977</v>
      </c>
      <c r="B2907">
        <v>116</v>
      </c>
      <c r="C2907" t="s">
        <v>568</v>
      </c>
      <c r="D2907" t="s">
        <v>2262</v>
      </c>
      <c r="E2907" t="s">
        <v>3021</v>
      </c>
      <c r="F2907" s="452">
        <v>46058</v>
      </c>
      <c r="G2907">
        <v>24402</v>
      </c>
      <c r="H2907" t="s">
        <v>3896</v>
      </c>
      <c r="I2907" t="s">
        <v>3469</v>
      </c>
      <c r="J2907">
        <v>7.3</v>
      </c>
      <c r="K2907" t="s">
        <v>3892</v>
      </c>
      <c r="L2907">
        <v>262.8</v>
      </c>
      <c r="M2907">
        <v>36</v>
      </c>
      <c r="N2907" t="s">
        <v>4240</v>
      </c>
      <c r="O2907" t="s">
        <v>462</v>
      </c>
    </row>
    <row r="2908" spans="1:15" x14ac:dyDescent="0.3">
      <c r="A2908">
        <v>207977</v>
      </c>
      <c r="B2908">
        <v>116</v>
      </c>
      <c r="C2908" t="s">
        <v>568</v>
      </c>
      <c r="D2908" t="s">
        <v>2262</v>
      </c>
      <c r="E2908" t="s">
        <v>3021</v>
      </c>
      <c r="F2908" s="452">
        <v>46058</v>
      </c>
      <c r="G2908">
        <v>18832</v>
      </c>
      <c r="H2908" t="s">
        <v>3900</v>
      </c>
      <c r="I2908" t="s">
        <v>3469</v>
      </c>
      <c r="J2908">
        <v>15.6</v>
      </c>
      <c r="K2908" t="s">
        <v>3892</v>
      </c>
      <c r="L2908">
        <v>622.44000000000005</v>
      </c>
      <c r="M2908">
        <v>39.9</v>
      </c>
      <c r="N2908" t="s">
        <v>4240</v>
      </c>
      <c r="O2908" t="s">
        <v>462</v>
      </c>
    </row>
    <row r="2909" spans="1:15" x14ac:dyDescent="0.3">
      <c r="A2909">
        <v>207977</v>
      </c>
      <c r="B2909">
        <v>116</v>
      </c>
      <c r="C2909" t="s">
        <v>568</v>
      </c>
      <c r="D2909" t="s">
        <v>2262</v>
      </c>
      <c r="E2909" t="s">
        <v>3021</v>
      </c>
      <c r="F2909" s="452">
        <v>46058</v>
      </c>
      <c r="G2909">
        <v>24320</v>
      </c>
      <c r="H2909" t="s">
        <v>4160</v>
      </c>
      <c r="I2909" t="s">
        <v>3469</v>
      </c>
      <c r="J2909">
        <v>15.7</v>
      </c>
      <c r="K2909" t="s">
        <v>3892</v>
      </c>
      <c r="L2909">
        <v>530.66</v>
      </c>
      <c r="M2909">
        <v>33.799999999999997</v>
      </c>
      <c r="N2909" t="s">
        <v>4240</v>
      </c>
      <c r="O2909" t="s">
        <v>462</v>
      </c>
    </row>
    <row r="2910" spans="1:15" x14ac:dyDescent="0.3">
      <c r="A2910">
        <v>207977</v>
      </c>
      <c r="B2910">
        <v>116</v>
      </c>
      <c r="C2910" t="s">
        <v>568</v>
      </c>
      <c r="D2910" t="s">
        <v>2262</v>
      </c>
      <c r="E2910" t="s">
        <v>3021</v>
      </c>
      <c r="F2910" s="452">
        <v>46058</v>
      </c>
      <c r="G2910">
        <v>24389</v>
      </c>
      <c r="H2910" t="s">
        <v>4305</v>
      </c>
      <c r="I2910" t="s">
        <v>3469</v>
      </c>
      <c r="J2910">
        <v>6.8</v>
      </c>
      <c r="K2910" t="s">
        <v>3892</v>
      </c>
      <c r="L2910">
        <v>203.32</v>
      </c>
      <c r="M2910">
        <v>29.9</v>
      </c>
      <c r="N2910" t="s">
        <v>4240</v>
      </c>
      <c r="O2910" t="s">
        <v>462</v>
      </c>
    </row>
    <row r="2911" spans="1:15" x14ac:dyDescent="0.3">
      <c r="A2911">
        <v>207977</v>
      </c>
      <c r="B2911">
        <v>116</v>
      </c>
      <c r="C2911" t="s">
        <v>568</v>
      </c>
      <c r="D2911" t="s">
        <v>2262</v>
      </c>
      <c r="E2911" t="s">
        <v>3021</v>
      </c>
      <c r="F2911" s="452">
        <v>46058</v>
      </c>
      <c r="G2911">
        <v>24331</v>
      </c>
      <c r="H2911" t="s">
        <v>3960</v>
      </c>
      <c r="I2911" t="s">
        <v>3469</v>
      </c>
      <c r="J2911">
        <v>5</v>
      </c>
      <c r="K2911" t="s">
        <v>3892</v>
      </c>
      <c r="L2911">
        <v>109.5</v>
      </c>
      <c r="M2911">
        <v>21.9</v>
      </c>
      <c r="N2911" t="s">
        <v>4240</v>
      </c>
      <c r="O2911" t="s">
        <v>462</v>
      </c>
    </row>
    <row r="2912" spans="1:15" x14ac:dyDescent="0.3">
      <c r="A2912">
        <v>207976</v>
      </c>
      <c r="B2912">
        <v>116</v>
      </c>
      <c r="C2912" t="s">
        <v>568</v>
      </c>
      <c r="D2912" t="s">
        <v>2314</v>
      </c>
      <c r="E2912" t="s">
        <v>3022</v>
      </c>
      <c r="F2912" s="452">
        <v>46056</v>
      </c>
      <c r="G2912">
        <v>18636</v>
      </c>
      <c r="H2912" t="s">
        <v>3921</v>
      </c>
      <c r="I2912" t="s">
        <v>3497</v>
      </c>
      <c r="J2912">
        <v>10</v>
      </c>
      <c r="K2912" t="s">
        <v>3922</v>
      </c>
      <c r="L2912">
        <v>4828</v>
      </c>
      <c r="M2912">
        <v>482.8</v>
      </c>
      <c r="N2912" t="s">
        <v>3497</v>
      </c>
      <c r="O2912" t="s">
        <v>462</v>
      </c>
    </row>
    <row r="2913" spans="1:15" x14ac:dyDescent="0.3">
      <c r="A2913">
        <v>207976</v>
      </c>
      <c r="B2913">
        <v>116</v>
      </c>
      <c r="C2913" t="s">
        <v>568</v>
      </c>
      <c r="D2913" t="s">
        <v>2314</v>
      </c>
      <c r="E2913" t="s">
        <v>3022</v>
      </c>
      <c r="F2913" s="452">
        <v>46056</v>
      </c>
      <c r="G2913">
        <v>17881</v>
      </c>
      <c r="H2913" t="s">
        <v>4095</v>
      </c>
      <c r="I2913" t="s">
        <v>3497</v>
      </c>
      <c r="J2913">
        <v>4</v>
      </c>
      <c r="K2913" t="s">
        <v>3888</v>
      </c>
      <c r="L2913">
        <v>0.04</v>
      </c>
      <c r="M2913">
        <v>0.01</v>
      </c>
      <c r="N2913" t="s">
        <v>3497</v>
      </c>
      <c r="O2913" t="s">
        <v>462</v>
      </c>
    </row>
    <row r="2914" spans="1:15" x14ac:dyDescent="0.3">
      <c r="A2914">
        <v>207975</v>
      </c>
      <c r="B2914">
        <v>116</v>
      </c>
      <c r="C2914" t="s">
        <v>568</v>
      </c>
      <c r="D2914" t="s">
        <v>2314</v>
      </c>
      <c r="E2914" t="s">
        <v>3023</v>
      </c>
      <c r="F2914" s="452">
        <v>46057</v>
      </c>
      <c r="G2914">
        <v>18636</v>
      </c>
      <c r="H2914" t="s">
        <v>3921</v>
      </c>
      <c r="I2914" t="s">
        <v>3497</v>
      </c>
      <c r="J2914">
        <v>10</v>
      </c>
      <c r="K2914" t="s">
        <v>3922</v>
      </c>
      <c r="L2914">
        <v>4828</v>
      </c>
      <c r="M2914">
        <v>482.8</v>
      </c>
      <c r="N2914" t="s">
        <v>4276</v>
      </c>
      <c r="O2914" t="s">
        <v>462</v>
      </c>
    </row>
    <row r="2915" spans="1:15" x14ac:dyDescent="0.3">
      <c r="A2915">
        <v>207974</v>
      </c>
      <c r="B2915">
        <v>116</v>
      </c>
      <c r="C2915" t="s">
        <v>568</v>
      </c>
      <c r="D2915" t="s">
        <v>2314</v>
      </c>
      <c r="E2915" t="s">
        <v>3024</v>
      </c>
      <c r="F2915" s="452">
        <v>46062</v>
      </c>
      <c r="G2915">
        <v>18636</v>
      </c>
      <c r="H2915" t="s">
        <v>3921</v>
      </c>
      <c r="I2915" t="s">
        <v>3497</v>
      </c>
      <c r="J2915">
        <v>8</v>
      </c>
      <c r="K2915" t="s">
        <v>3922</v>
      </c>
      <c r="L2915">
        <v>3862.4</v>
      </c>
      <c r="M2915">
        <v>482.8</v>
      </c>
      <c r="N2915" t="s">
        <v>4276</v>
      </c>
      <c r="O2915" t="s">
        <v>462</v>
      </c>
    </row>
    <row r="2916" spans="1:15" x14ac:dyDescent="0.3">
      <c r="A2916">
        <v>207973</v>
      </c>
      <c r="B2916">
        <v>116</v>
      </c>
      <c r="C2916" t="s">
        <v>568</v>
      </c>
      <c r="D2916" t="s">
        <v>2314</v>
      </c>
      <c r="E2916" t="s">
        <v>3025</v>
      </c>
      <c r="F2916" s="452">
        <v>46056</v>
      </c>
      <c r="G2916">
        <v>17905</v>
      </c>
      <c r="H2916" t="s">
        <v>4139</v>
      </c>
      <c r="I2916" t="s">
        <v>3497</v>
      </c>
      <c r="J2916">
        <v>20</v>
      </c>
      <c r="K2916" t="s">
        <v>3888</v>
      </c>
      <c r="L2916">
        <v>0</v>
      </c>
      <c r="M2916">
        <v>0</v>
      </c>
      <c r="N2916" t="s">
        <v>3497</v>
      </c>
      <c r="O2916" t="s">
        <v>462</v>
      </c>
    </row>
    <row r="2917" spans="1:15" x14ac:dyDescent="0.3">
      <c r="A2917">
        <v>207973</v>
      </c>
      <c r="B2917">
        <v>116</v>
      </c>
      <c r="C2917" t="s">
        <v>568</v>
      </c>
      <c r="D2917" t="s">
        <v>2314</v>
      </c>
      <c r="E2917" t="s">
        <v>3025</v>
      </c>
      <c r="F2917" s="452">
        <v>46056</v>
      </c>
      <c r="G2917">
        <v>17895</v>
      </c>
      <c r="H2917" t="s">
        <v>4137</v>
      </c>
      <c r="I2917" t="s">
        <v>3497</v>
      </c>
      <c r="J2917">
        <v>10</v>
      </c>
      <c r="K2917" t="s">
        <v>3888</v>
      </c>
      <c r="L2917">
        <v>0</v>
      </c>
      <c r="M2917">
        <v>0</v>
      </c>
      <c r="N2917" t="s">
        <v>3497</v>
      </c>
      <c r="O2917" t="s">
        <v>462</v>
      </c>
    </row>
    <row r="2918" spans="1:15" x14ac:dyDescent="0.3">
      <c r="A2918">
        <v>207973</v>
      </c>
      <c r="B2918">
        <v>116</v>
      </c>
      <c r="C2918" t="s">
        <v>568</v>
      </c>
      <c r="D2918" t="s">
        <v>2314</v>
      </c>
      <c r="E2918" t="s">
        <v>3025</v>
      </c>
      <c r="F2918" s="452">
        <v>46056</v>
      </c>
      <c r="G2918">
        <v>17886</v>
      </c>
      <c r="H2918" t="s">
        <v>3935</v>
      </c>
      <c r="I2918" t="s">
        <v>3497</v>
      </c>
      <c r="J2918">
        <v>20</v>
      </c>
      <c r="K2918" t="s">
        <v>3888</v>
      </c>
      <c r="L2918">
        <v>0</v>
      </c>
      <c r="M2918">
        <v>0</v>
      </c>
      <c r="N2918" t="s">
        <v>3497</v>
      </c>
      <c r="O2918" t="s">
        <v>462</v>
      </c>
    </row>
    <row r="2919" spans="1:15" x14ac:dyDescent="0.3">
      <c r="A2919">
        <v>207973</v>
      </c>
      <c r="B2919">
        <v>116</v>
      </c>
      <c r="C2919" t="s">
        <v>568</v>
      </c>
      <c r="D2919" t="s">
        <v>2314</v>
      </c>
      <c r="E2919" t="s">
        <v>3025</v>
      </c>
      <c r="F2919" s="452">
        <v>46056</v>
      </c>
      <c r="G2919">
        <v>17903</v>
      </c>
      <c r="H2919" t="s">
        <v>3971</v>
      </c>
      <c r="I2919" t="s">
        <v>3497</v>
      </c>
      <c r="J2919">
        <v>5</v>
      </c>
      <c r="K2919" t="s">
        <v>3888</v>
      </c>
      <c r="L2919">
        <v>0</v>
      </c>
      <c r="M2919">
        <v>0</v>
      </c>
      <c r="N2919" t="s">
        <v>3497</v>
      </c>
      <c r="O2919" t="s">
        <v>462</v>
      </c>
    </row>
    <row r="2920" spans="1:15" x14ac:dyDescent="0.3">
      <c r="A2920">
        <v>207972</v>
      </c>
      <c r="B2920">
        <v>116</v>
      </c>
      <c r="C2920" t="s">
        <v>568</v>
      </c>
      <c r="D2920" t="s">
        <v>2314</v>
      </c>
      <c r="E2920" t="s">
        <v>3026</v>
      </c>
      <c r="F2920" s="452">
        <v>46057</v>
      </c>
      <c r="G2920">
        <v>18640</v>
      </c>
      <c r="H2920" t="s">
        <v>3994</v>
      </c>
      <c r="I2920" t="s">
        <v>3497</v>
      </c>
      <c r="J2920">
        <v>1</v>
      </c>
      <c r="K2920" t="s">
        <v>3922</v>
      </c>
      <c r="L2920">
        <v>306</v>
      </c>
      <c r="M2920">
        <v>306</v>
      </c>
      <c r="N2920" t="s">
        <v>3497</v>
      </c>
      <c r="O2920" t="s">
        <v>462</v>
      </c>
    </row>
    <row r="2921" spans="1:15" x14ac:dyDescent="0.3">
      <c r="A2921">
        <v>207971</v>
      </c>
      <c r="B2921">
        <v>116</v>
      </c>
      <c r="C2921" t="s">
        <v>568</v>
      </c>
      <c r="D2921" t="s">
        <v>2314</v>
      </c>
      <c r="E2921" t="s">
        <v>3027</v>
      </c>
      <c r="F2921" s="452">
        <v>46060</v>
      </c>
      <c r="G2921">
        <v>17883</v>
      </c>
      <c r="H2921" t="s">
        <v>4136</v>
      </c>
      <c r="I2921" t="s">
        <v>3497</v>
      </c>
      <c r="J2921">
        <v>2</v>
      </c>
      <c r="K2921" t="s">
        <v>3888</v>
      </c>
      <c r="L2921">
        <v>46.9</v>
      </c>
      <c r="M2921">
        <v>23.45</v>
      </c>
      <c r="N2921" t="s">
        <v>4276</v>
      </c>
      <c r="O2921" t="s">
        <v>462</v>
      </c>
    </row>
    <row r="2922" spans="1:15" x14ac:dyDescent="0.3">
      <c r="A2922">
        <v>207971</v>
      </c>
      <c r="B2922">
        <v>116</v>
      </c>
      <c r="C2922" t="s">
        <v>568</v>
      </c>
      <c r="D2922" t="s">
        <v>2314</v>
      </c>
      <c r="E2922" t="s">
        <v>3027</v>
      </c>
      <c r="F2922" s="452">
        <v>46060</v>
      </c>
      <c r="G2922">
        <v>18640</v>
      </c>
      <c r="H2922" t="s">
        <v>3994</v>
      </c>
      <c r="I2922" t="s">
        <v>3497</v>
      </c>
      <c r="J2922">
        <v>1</v>
      </c>
      <c r="K2922" t="s">
        <v>3888</v>
      </c>
      <c r="L2922">
        <v>222.93</v>
      </c>
      <c r="M2922">
        <v>222.93</v>
      </c>
      <c r="N2922" t="s">
        <v>4276</v>
      </c>
      <c r="O2922" t="s">
        <v>462</v>
      </c>
    </row>
    <row r="2923" spans="1:15" x14ac:dyDescent="0.3">
      <c r="A2923">
        <v>207970</v>
      </c>
      <c r="B2923">
        <v>116</v>
      </c>
      <c r="C2923" t="s">
        <v>568</v>
      </c>
      <c r="D2923" t="s">
        <v>2338</v>
      </c>
      <c r="E2923" t="s">
        <v>3028</v>
      </c>
      <c r="F2923" s="452">
        <v>46057</v>
      </c>
      <c r="G2923">
        <v>21030</v>
      </c>
      <c r="H2923" t="s">
        <v>3890</v>
      </c>
      <c r="I2923" t="s">
        <v>3469</v>
      </c>
      <c r="J2923">
        <v>12</v>
      </c>
      <c r="K2923" t="s">
        <v>3872</v>
      </c>
      <c r="L2923">
        <v>228.72</v>
      </c>
      <c r="M2923">
        <v>19.059999999999999</v>
      </c>
      <c r="N2923" t="s">
        <v>4240</v>
      </c>
      <c r="O2923" t="s">
        <v>462</v>
      </c>
    </row>
    <row r="2924" spans="1:15" x14ac:dyDescent="0.3">
      <c r="A2924">
        <v>207970</v>
      </c>
      <c r="B2924">
        <v>116</v>
      </c>
      <c r="C2924" t="s">
        <v>568</v>
      </c>
      <c r="D2924" t="s">
        <v>2338</v>
      </c>
      <c r="E2924" t="s">
        <v>3028</v>
      </c>
      <c r="F2924" s="452">
        <v>46057</v>
      </c>
      <c r="G2924">
        <v>20301</v>
      </c>
      <c r="H2924" t="s">
        <v>4161</v>
      </c>
      <c r="I2924" t="s">
        <v>3469</v>
      </c>
      <c r="J2924">
        <v>10</v>
      </c>
      <c r="L2924">
        <v>189</v>
      </c>
      <c r="M2924">
        <v>18.899999999999999</v>
      </c>
      <c r="N2924" t="s">
        <v>4240</v>
      </c>
      <c r="O2924" t="s">
        <v>462</v>
      </c>
    </row>
    <row r="2925" spans="1:15" x14ac:dyDescent="0.3">
      <c r="A2925">
        <v>207969</v>
      </c>
      <c r="B2925">
        <v>116</v>
      </c>
      <c r="C2925" t="s">
        <v>568</v>
      </c>
      <c r="D2925" t="s">
        <v>2410</v>
      </c>
      <c r="E2925" t="s">
        <v>3029</v>
      </c>
      <c r="F2925" s="452">
        <v>46062</v>
      </c>
      <c r="G2925">
        <v>18493</v>
      </c>
      <c r="H2925" t="s">
        <v>3958</v>
      </c>
      <c r="I2925" t="s">
        <v>3497</v>
      </c>
      <c r="J2925">
        <v>4</v>
      </c>
      <c r="K2925" t="s">
        <v>3878</v>
      </c>
      <c r="L2925">
        <v>279.60000000000002</v>
      </c>
      <c r="M2925">
        <v>69.900000000000006</v>
      </c>
      <c r="N2925" t="s">
        <v>4276</v>
      </c>
      <c r="O2925" t="s">
        <v>462</v>
      </c>
    </row>
    <row r="2926" spans="1:15" x14ac:dyDescent="0.3">
      <c r="A2926">
        <v>207969</v>
      </c>
      <c r="B2926">
        <v>116</v>
      </c>
      <c r="C2926" t="s">
        <v>568</v>
      </c>
      <c r="D2926" t="s">
        <v>2410</v>
      </c>
      <c r="E2926" t="s">
        <v>3029</v>
      </c>
      <c r="F2926" s="452">
        <v>46062</v>
      </c>
      <c r="G2926">
        <v>18475</v>
      </c>
      <c r="H2926" t="s">
        <v>3918</v>
      </c>
      <c r="I2926" t="s">
        <v>3497</v>
      </c>
      <c r="J2926">
        <v>12</v>
      </c>
      <c r="K2926" t="s">
        <v>3878</v>
      </c>
      <c r="L2926">
        <v>394.8</v>
      </c>
      <c r="M2926">
        <v>32.9</v>
      </c>
      <c r="N2926" t="s">
        <v>4276</v>
      </c>
      <c r="O2926" t="s">
        <v>462</v>
      </c>
    </row>
    <row r="2927" spans="1:15" x14ac:dyDescent="0.3">
      <c r="A2927">
        <v>207968</v>
      </c>
      <c r="B2927">
        <v>116</v>
      </c>
      <c r="C2927" t="s">
        <v>568</v>
      </c>
      <c r="D2927" t="s">
        <v>2277</v>
      </c>
      <c r="E2927" t="s">
        <v>3030</v>
      </c>
      <c r="F2927" s="452">
        <v>46057</v>
      </c>
      <c r="G2927">
        <v>20729</v>
      </c>
      <c r="H2927" t="s">
        <v>3965</v>
      </c>
      <c r="I2927" t="s">
        <v>3469</v>
      </c>
      <c r="J2927">
        <v>1</v>
      </c>
      <c r="K2927" t="s">
        <v>3966</v>
      </c>
      <c r="L2927">
        <v>65.88</v>
      </c>
      <c r="M2927">
        <v>65.88</v>
      </c>
      <c r="N2927" t="s">
        <v>4240</v>
      </c>
      <c r="O2927" t="s">
        <v>462</v>
      </c>
    </row>
    <row r="2928" spans="1:15" x14ac:dyDescent="0.3">
      <c r="A2928">
        <v>207968</v>
      </c>
      <c r="B2928">
        <v>116</v>
      </c>
      <c r="C2928" t="s">
        <v>568</v>
      </c>
      <c r="D2928" t="s">
        <v>2277</v>
      </c>
      <c r="E2928" t="s">
        <v>3030</v>
      </c>
      <c r="F2928" s="452">
        <v>46057</v>
      </c>
      <c r="G2928">
        <v>21024</v>
      </c>
      <c r="H2928" t="s">
        <v>4180</v>
      </c>
      <c r="I2928" t="s">
        <v>3469</v>
      </c>
      <c r="J2928">
        <v>2</v>
      </c>
      <c r="K2928" t="s">
        <v>3966</v>
      </c>
      <c r="L2928">
        <v>347.3</v>
      </c>
      <c r="M2928">
        <v>173.65</v>
      </c>
      <c r="N2928" t="s">
        <v>4240</v>
      </c>
      <c r="O2928" t="s">
        <v>462</v>
      </c>
    </row>
    <row r="2929" spans="1:15" x14ac:dyDescent="0.3">
      <c r="A2929">
        <v>207968</v>
      </c>
      <c r="B2929">
        <v>116</v>
      </c>
      <c r="C2929" t="s">
        <v>568</v>
      </c>
      <c r="D2929" t="s">
        <v>2277</v>
      </c>
      <c r="E2929" t="s">
        <v>3030</v>
      </c>
      <c r="F2929" s="452">
        <v>46057</v>
      </c>
      <c r="G2929">
        <v>20246</v>
      </c>
      <c r="H2929" t="s">
        <v>3911</v>
      </c>
      <c r="I2929" t="s">
        <v>3469</v>
      </c>
      <c r="J2929">
        <v>10</v>
      </c>
      <c r="K2929" t="s">
        <v>3872</v>
      </c>
      <c r="L2929">
        <v>68.8</v>
      </c>
      <c r="M2929">
        <v>6.88</v>
      </c>
      <c r="N2929" t="s">
        <v>4240</v>
      </c>
      <c r="O2929" t="s">
        <v>462</v>
      </c>
    </row>
    <row r="2930" spans="1:15" x14ac:dyDescent="0.3">
      <c r="A2930">
        <v>207967</v>
      </c>
      <c r="B2930">
        <v>116</v>
      </c>
      <c r="C2930" t="s">
        <v>568</v>
      </c>
      <c r="D2930" t="s">
        <v>2277</v>
      </c>
      <c r="E2930" t="s">
        <v>3031</v>
      </c>
      <c r="F2930" s="452">
        <v>46057</v>
      </c>
      <c r="G2930">
        <v>20304</v>
      </c>
      <c r="H2930" t="s">
        <v>3938</v>
      </c>
      <c r="I2930" t="s">
        <v>3469</v>
      </c>
      <c r="J2930">
        <v>6</v>
      </c>
      <c r="K2930" t="s">
        <v>3888</v>
      </c>
      <c r="L2930">
        <v>226.8</v>
      </c>
      <c r="M2930">
        <v>37.799999999999997</v>
      </c>
      <c r="N2930" t="s">
        <v>4240</v>
      </c>
      <c r="O2930" t="s">
        <v>462</v>
      </c>
    </row>
    <row r="2931" spans="1:15" x14ac:dyDescent="0.3">
      <c r="A2931">
        <v>207966</v>
      </c>
      <c r="B2931">
        <v>116</v>
      </c>
      <c r="C2931" t="s">
        <v>568</v>
      </c>
      <c r="D2931" t="s">
        <v>2273</v>
      </c>
      <c r="E2931" t="s">
        <v>3032</v>
      </c>
      <c r="F2931" s="452">
        <v>46056</v>
      </c>
      <c r="G2931">
        <v>19573</v>
      </c>
      <c r="H2931" t="s">
        <v>4163</v>
      </c>
      <c r="I2931" t="s">
        <v>3469</v>
      </c>
      <c r="J2931">
        <v>1</v>
      </c>
      <c r="K2931" t="s">
        <v>3892</v>
      </c>
      <c r="L2931">
        <v>46.4</v>
      </c>
      <c r="M2931">
        <v>46.4</v>
      </c>
      <c r="N2931" t="s">
        <v>4240</v>
      </c>
      <c r="O2931" t="s">
        <v>462</v>
      </c>
    </row>
    <row r="2932" spans="1:15" x14ac:dyDescent="0.3">
      <c r="A2932">
        <v>207966</v>
      </c>
      <c r="B2932">
        <v>116</v>
      </c>
      <c r="C2932" t="s">
        <v>568</v>
      </c>
      <c r="D2932" t="s">
        <v>2273</v>
      </c>
      <c r="E2932" t="s">
        <v>3032</v>
      </c>
      <c r="F2932" s="452">
        <v>46056</v>
      </c>
      <c r="G2932">
        <v>23198</v>
      </c>
      <c r="H2932" t="s">
        <v>4167</v>
      </c>
      <c r="I2932" t="s">
        <v>3469</v>
      </c>
      <c r="J2932">
        <v>1</v>
      </c>
      <c r="K2932" t="s">
        <v>3892</v>
      </c>
      <c r="L2932">
        <v>8.6999999999999993</v>
      </c>
      <c r="M2932">
        <v>8.6999999999999993</v>
      </c>
      <c r="N2932" t="s">
        <v>4240</v>
      </c>
      <c r="O2932" t="s">
        <v>462</v>
      </c>
    </row>
    <row r="2933" spans="1:15" x14ac:dyDescent="0.3">
      <c r="A2933">
        <v>207965</v>
      </c>
      <c r="B2933">
        <v>116</v>
      </c>
      <c r="C2933" t="s">
        <v>568</v>
      </c>
      <c r="D2933" t="s">
        <v>2273</v>
      </c>
      <c r="E2933" t="s">
        <v>3033</v>
      </c>
      <c r="F2933" s="452">
        <v>46058</v>
      </c>
      <c r="G2933">
        <v>19634</v>
      </c>
      <c r="H2933" t="s">
        <v>4068</v>
      </c>
      <c r="I2933" t="s">
        <v>3469</v>
      </c>
      <c r="J2933">
        <v>2.15</v>
      </c>
      <c r="K2933" t="s">
        <v>3892</v>
      </c>
      <c r="L2933">
        <v>15.59</v>
      </c>
      <c r="M2933">
        <v>7.251163</v>
      </c>
      <c r="N2933" t="s">
        <v>4240</v>
      </c>
      <c r="O2933" t="s">
        <v>462</v>
      </c>
    </row>
    <row r="2934" spans="1:15" x14ac:dyDescent="0.3">
      <c r="A2934">
        <v>207965</v>
      </c>
      <c r="B2934">
        <v>116</v>
      </c>
      <c r="C2934" t="s">
        <v>568</v>
      </c>
      <c r="D2934" t="s">
        <v>2273</v>
      </c>
      <c r="E2934" t="s">
        <v>3033</v>
      </c>
      <c r="F2934" s="452">
        <v>46058</v>
      </c>
      <c r="G2934">
        <v>19480</v>
      </c>
      <c r="H2934" t="s">
        <v>4113</v>
      </c>
      <c r="I2934" t="s">
        <v>3469</v>
      </c>
      <c r="J2934">
        <v>0.2</v>
      </c>
      <c r="K2934" t="s">
        <v>3892</v>
      </c>
      <c r="L2934">
        <v>3.48</v>
      </c>
      <c r="M2934">
        <v>17.399999999999999</v>
      </c>
      <c r="N2934" t="s">
        <v>4240</v>
      </c>
      <c r="O2934" t="s">
        <v>462</v>
      </c>
    </row>
    <row r="2935" spans="1:15" x14ac:dyDescent="0.3">
      <c r="A2935">
        <v>207965</v>
      </c>
      <c r="B2935">
        <v>116</v>
      </c>
      <c r="C2935" t="s">
        <v>568</v>
      </c>
      <c r="D2935" t="s">
        <v>2273</v>
      </c>
      <c r="E2935" t="s">
        <v>3033</v>
      </c>
      <c r="F2935" s="452">
        <v>46058</v>
      </c>
      <c r="G2935">
        <v>24598</v>
      </c>
      <c r="H2935" t="s">
        <v>4166</v>
      </c>
      <c r="I2935" t="s">
        <v>3469</v>
      </c>
      <c r="J2935">
        <v>1</v>
      </c>
      <c r="K2935" t="s">
        <v>3892</v>
      </c>
      <c r="L2935">
        <v>9.93</v>
      </c>
      <c r="M2935">
        <v>9.93</v>
      </c>
      <c r="N2935" t="s">
        <v>4240</v>
      </c>
      <c r="O2935" t="s">
        <v>462</v>
      </c>
    </row>
    <row r="2936" spans="1:15" x14ac:dyDescent="0.3">
      <c r="A2936">
        <v>207965</v>
      </c>
      <c r="B2936">
        <v>116</v>
      </c>
      <c r="C2936" t="s">
        <v>568</v>
      </c>
      <c r="D2936" t="s">
        <v>2273</v>
      </c>
      <c r="E2936" t="s">
        <v>3033</v>
      </c>
      <c r="F2936" s="452">
        <v>46058</v>
      </c>
      <c r="G2936">
        <v>17066</v>
      </c>
      <c r="H2936" t="s">
        <v>4155</v>
      </c>
      <c r="I2936" t="s">
        <v>3469</v>
      </c>
      <c r="J2936">
        <v>1</v>
      </c>
      <c r="K2936" t="s">
        <v>3892</v>
      </c>
      <c r="L2936">
        <v>19.43</v>
      </c>
      <c r="M2936">
        <v>19.43</v>
      </c>
      <c r="N2936" t="s">
        <v>4240</v>
      </c>
      <c r="O2936" t="s">
        <v>462</v>
      </c>
    </row>
    <row r="2937" spans="1:15" x14ac:dyDescent="0.3">
      <c r="A2937">
        <v>207964</v>
      </c>
      <c r="B2937">
        <v>116</v>
      </c>
      <c r="C2937" t="s">
        <v>568</v>
      </c>
      <c r="D2937" t="s">
        <v>2284</v>
      </c>
      <c r="E2937" t="s">
        <v>3034</v>
      </c>
      <c r="F2937" s="452">
        <v>46050</v>
      </c>
      <c r="G2937">
        <v>19297</v>
      </c>
      <c r="H2937" t="s">
        <v>3949</v>
      </c>
      <c r="I2937" t="s">
        <v>3469</v>
      </c>
      <c r="J2937">
        <v>6.92</v>
      </c>
      <c r="K2937" t="s">
        <v>3892</v>
      </c>
      <c r="L2937">
        <v>511.39</v>
      </c>
      <c r="M2937">
        <v>73.900289000000001</v>
      </c>
      <c r="N2937" t="s">
        <v>4240</v>
      </c>
      <c r="O2937" t="s">
        <v>461</v>
      </c>
    </row>
    <row r="2938" spans="1:15" x14ac:dyDescent="0.3">
      <c r="A2938">
        <v>207963</v>
      </c>
      <c r="B2938">
        <v>116</v>
      </c>
      <c r="C2938" t="s">
        <v>568</v>
      </c>
      <c r="D2938" t="s">
        <v>2284</v>
      </c>
      <c r="E2938" t="s">
        <v>3035</v>
      </c>
      <c r="F2938" s="452">
        <v>46055</v>
      </c>
      <c r="G2938">
        <v>21400</v>
      </c>
      <c r="H2938" t="s">
        <v>4165</v>
      </c>
      <c r="I2938" t="s">
        <v>3469</v>
      </c>
      <c r="J2938">
        <v>3.6</v>
      </c>
      <c r="K2938" t="s">
        <v>3892</v>
      </c>
      <c r="L2938">
        <v>104.22</v>
      </c>
      <c r="M2938">
        <v>28.95</v>
      </c>
      <c r="N2938" t="s">
        <v>4240</v>
      </c>
      <c r="O2938" t="s">
        <v>462</v>
      </c>
    </row>
    <row r="2939" spans="1:15" x14ac:dyDescent="0.3">
      <c r="A2939">
        <v>207963</v>
      </c>
      <c r="B2939">
        <v>116</v>
      </c>
      <c r="C2939" t="s">
        <v>568</v>
      </c>
      <c r="D2939" t="s">
        <v>2284</v>
      </c>
      <c r="E2939" t="s">
        <v>3035</v>
      </c>
      <c r="F2939" s="452">
        <v>46055</v>
      </c>
      <c r="G2939">
        <v>22721</v>
      </c>
      <c r="H2939" t="s">
        <v>4221</v>
      </c>
      <c r="I2939" t="s">
        <v>3469</v>
      </c>
      <c r="J2939">
        <v>4.4800000000000004</v>
      </c>
      <c r="K2939" t="s">
        <v>3892</v>
      </c>
      <c r="L2939">
        <v>126.78</v>
      </c>
      <c r="M2939">
        <v>28.299106999999999</v>
      </c>
      <c r="N2939" t="s">
        <v>4240</v>
      </c>
      <c r="O2939" t="s">
        <v>462</v>
      </c>
    </row>
    <row r="2940" spans="1:15" x14ac:dyDescent="0.3">
      <c r="A2940">
        <v>207962</v>
      </c>
      <c r="B2940">
        <v>116</v>
      </c>
      <c r="C2940" t="s">
        <v>568</v>
      </c>
      <c r="D2940" t="s">
        <v>2284</v>
      </c>
      <c r="E2940" t="s">
        <v>3036</v>
      </c>
      <c r="F2940" s="452">
        <v>46056</v>
      </c>
      <c r="G2940">
        <v>20077</v>
      </c>
      <c r="H2940" t="s">
        <v>4054</v>
      </c>
      <c r="I2940" t="s">
        <v>3469</v>
      </c>
      <c r="J2940">
        <v>1</v>
      </c>
      <c r="K2940" t="s">
        <v>4268</v>
      </c>
      <c r="L2940">
        <v>16.350000000000001</v>
      </c>
      <c r="M2940">
        <v>16.350000000000001</v>
      </c>
      <c r="N2940" t="s">
        <v>4240</v>
      </c>
      <c r="O2940" t="s">
        <v>462</v>
      </c>
    </row>
    <row r="2941" spans="1:15" x14ac:dyDescent="0.3">
      <c r="A2941">
        <v>207962</v>
      </c>
      <c r="B2941">
        <v>116</v>
      </c>
      <c r="C2941" t="s">
        <v>568</v>
      </c>
      <c r="D2941" t="s">
        <v>2284</v>
      </c>
      <c r="E2941" t="s">
        <v>3036</v>
      </c>
      <c r="F2941" s="452">
        <v>46056</v>
      </c>
      <c r="G2941">
        <v>20117</v>
      </c>
      <c r="H2941" t="s">
        <v>4010</v>
      </c>
      <c r="I2941" t="s">
        <v>3469</v>
      </c>
      <c r="J2941">
        <v>2</v>
      </c>
      <c r="K2941" t="s">
        <v>3872</v>
      </c>
      <c r="L2941">
        <v>77.900000000000006</v>
      </c>
      <c r="M2941">
        <v>38.950000000000003</v>
      </c>
      <c r="N2941" t="s">
        <v>4240</v>
      </c>
      <c r="O2941" t="s">
        <v>462</v>
      </c>
    </row>
    <row r="2942" spans="1:15" x14ac:dyDescent="0.3">
      <c r="A2942">
        <v>207962</v>
      </c>
      <c r="B2942">
        <v>116</v>
      </c>
      <c r="C2942" t="s">
        <v>568</v>
      </c>
      <c r="D2942" t="s">
        <v>2284</v>
      </c>
      <c r="E2942" t="s">
        <v>3036</v>
      </c>
      <c r="F2942" s="452">
        <v>46056</v>
      </c>
      <c r="G2942">
        <v>20007</v>
      </c>
      <c r="H2942" t="s">
        <v>4009</v>
      </c>
      <c r="I2942" t="s">
        <v>3469</v>
      </c>
      <c r="J2942">
        <v>3</v>
      </c>
      <c r="K2942" t="s">
        <v>3966</v>
      </c>
      <c r="L2942">
        <v>152.69999999999999</v>
      </c>
      <c r="M2942">
        <v>50.9</v>
      </c>
      <c r="N2942" t="s">
        <v>4240</v>
      </c>
      <c r="O2942" t="s">
        <v>462</v>
      </c>
    </row>
    <row r="2943" spans="1:15" x14ac:dyDescent="0.3">
      <c r="A2943">
        <v>207962</v>
      </c>
      <c r="B2943">
        <v>116</v>
      </c>
      <c r="C2943" t="s">
        <v>568</v>
      </c>
      <c r="D2943" t="s">
        <v>2284</v>
      </c>
      <c r="E2943" t="s">
        <v>3036</v>
      </c>
      <c r="F2943" s="452">
        <v>46056</v>
      </c>
      <c r="G2943">
        <v>19346</v>
      </c>
      <c r="H2943" t="s">
        <v>3948</v>
      </c>
      <c r="I2943" t="s">
        <v>3469</v>
      </c>
      <c r="J2943">
        <v>3</v>
      </c>
      <c r="K2943" t="s">
        <v>3892</v>
      </c>
      <c r="L2943">
        <v>173.1</v>
      </c>
      <c r="M2943">
        <v>57.7</v>
      </c>
      <c r="N2943" t="s">
        <v>4240</v>
      </c>
      <c r="O2943" t="s">
        <v>462</v>
      </c>
    </row>
    <row r="2944" spans="1:15" x14ac:dyDescent="0.3">
      <c r="A2944">
        <v>207962</v>
      </c>
      <c r="B2944">
        <v>116</v>
      </c>
      <c r="C2944" t="s">
        <v>568</v>
      </c>
      <c r="D2944" t="s">
        <v>2284</v>
      </c>
      <c r="E2944" t="s">
        <v>3036</v>
      </c>
      <c r="F2944" s="452">
        <v>46056</v>
      </c>
      <c r="G2944">
        <v>20976</v>
      </c>
      <c r="H2944" t="s">
        <v>4062</v>
      </c>
      <c r="I2944" t="s">
        <v>3469</v>
      </c>
      <c r="J2944">
        <v>1</v>
      </c>
      <c r="K2944" t="s">
        <v>4291</v>
      </c>
      <c r="L2944">
        <v>224.7</v>
      </c>
      <c r="M2944">
        <v>224.7</v>
      </c>
      <c r="N2944" t="s">
        <v>4240</v>
      </c>
      <c r="O2944" t="s">
        <v>462</v>
      </c>
    </row>
    <row r="2945" spans="1:15" x14ac:dyDescent="0.3">
      <c r="A2945">
        <v>207962</v>
      </c>
      <c r="B2945">
        <v>116</v>
      </c>
      <c r="C2945" t="s">
        <v>568</v>
      </c>
      <c r="D2945" t="s">
        <v>2284</v>
      </c>
      <c r="E2945" t="s">
        <v>3036</v>
      </c>
      <c r="F2945" s="452">
        <v>46056</v>
      </c>
      <c r="G2945">
        <v>20682</v>
      </c>
      <c r="H2945" t="s">
        <v>3929</v>
      </c>
      <c r="I2945" t="s">
        <v>3469</v>
      </c>
      <c r="J2945">
        <v>12</v>
      </c>
      <c r="K2945" t="s">
        <v>3872</v>
      </c>
      <c r="L2945">
        <v>115.8</v>
      </c>
      <c r="M2945">
        <v>9.65</v>
      </c>
      <c r="N2945" t="s">
        <v>4240</v>
      </c>
      <c r="O2945" t="s">
        <v>462</v>
      </c>
    </row>
    <row r="2946" spans="1:15" x14ac:dyDescent="0.3">
      <c r="A2946">
        <v>207962</v>
      </c>
      <c r="B2946">
        <v>116</v>
      </c>
      <c r="C2946" t="s">
        <v>568</v>
      </c>
      <c r="D2946" t="s">
        <v>2284</v>
      </c>
      <c r="E2946" t="s">
        <v>3036</v>
      </c>
      <c r="F2946" s="452">
        <v>46056</v>
      </c>
      <c r="G2946">
        <v>20717</v>
      </c>
      <c r="H2946" t="s">
        <v>4055</v>
      </c>
      <c r="I2946" t="s">
        <v>3469</v>
      </c>
      <c r="J2946">
        <v>1</v>
      </c>
      <c r="K2946" t="s">
        <v>3872</v>
      </c>
      <c r="L2946">
        <v>43.1</v>
      </c>
      <c r="M2946">
        <v>43.1</v>
      </c>
      <c r="N2946" t="s">
        <v>4240</v>
      </c>
      <c r="O2946" t="s">
        <v>462</v>
      </c>
    </row>
    <row r="2947" spans="1:15" x14ac:dyDescent="0.3">
      <c r="A2947">
        <v>207962</v>
      </c>
      <c r="B2947">
        <v>116</v>
      </c>
      <c r="C2947" t="s">
        <v>568</v>
      </c>
      <c r="D2947" t="s">
        <v>2284</v>
      </c>
      <c r="E2947" t="s">
        <v>3036</v>
      </c>
      <c r="F2947" s="452">
        <v>46056</v>
      </c>
      <c r="G2947">
        <v>20752</v>
      </c>
      <c r="H2947" t="s">
        <v>3964</v>
      </c>
      <c r="I2947" t="s">
        <v>3469</v>
      </c>
      <c r="J2947">
        <v>3</v>
      </c>
      <c r="K2947" t="s">
        <v>3886</v>
      </c>
      <c r="L2947">
        <v>314.7</v>
      </c>
      <c r="M2947">
        <v>104.9</v>
      </c>
      <c r="N2947" t="s">
        <v>4240</v>
      </c>
      <c r="O2947" t="s">
        <v>462</v>
      </c>
    </row>
    <row r="2948" spans="1:15" x14ac:dyDescent="0.3">
      <c r="A2948">
        <v>207962</v>
      </c>
      <c r="B2948">
        <v>116</v>
      </c>
      <c r="C2948" t="s">
        <v>568</v>
      </c>
      <c r="D2948" t="s">
        <v>2284</v>
      </c>
      <c r="E2948" t="s">
        <v>3036</v>
      </c>
      <c r="F2948" s="452">
        <v>46056</v>
      </c>
      <c r="G2948">
        <v>20624</v>
      </c>
      <c r="H2948" t="s">
        <v>3982</v>
      </c>
      <c r="I2948" t="s">
        <v>3469</v>
      </c>
      <c r="J2948">
        <v>1</v>
      </c>
      <c r="K2948" t="s">
        <v>3872</v>
      </c>
      <c r="L2948">
        <v>69.989999999999995</v>
      </c>
      <c r="M2948">
        <v>69.989999999999995</v>
      </c>
      <c r="N2948" t="s">
        <v>4240</v>
      </c>
      <c r="O2948" t="s">
        <v>462</v>
      </c>
    </row>
    <row r="2949" spans="1:15" x14ac:dyDescent="0.3">
      <c r="A2949">
        <v>207962</v>
      </c>
      <c r="B2949">
        <v>116</v>
      </c>
      <c r="C2949" t="s">
        <v>568</v>
      </c>
      <c r="D2949" t="s">
        <v>2284</v>
      </c>
      <c r="E2949" t="s">
        <v>3036</v>
      </c>
      <c r="F2949" s="452">
        <v>46056</v>
      </c>
      <c r="G2949">
        <v>27475</v>
      </c>
      <c r="H2949" t="s">
        <v>4162</v>
      </c>
      <c r="I2949" t="s">
        <v>3469</v>
      </c>
      <c r="J2949">
        <v>2</v>
      </c>
      <c r="K2949" t="s">
        <v>3872</v>
      </c>
      <c r="L2949">
        <v>38.4</v>
      </c>
      <c r="M2949">
        <v>19.2</v>
      </c>
      <c r="N2949" t="s">
        <v>4240</v>
      </c>
      <c r="O2949" t="s">
        <v>462</v>
      </c>
    </row>
    <row r="2950" spans="1:15" x14ac:dyDescent="0.3">
      <c r="A2950">
        <v>207961</v>
      </c>
      <c r="B2950">
        <v>116</v>
      </c>
      <c r="C2950" t="s">
        <v>568</v>
      </c>
      <c r="D2950" t="s">
        <v>2284</v>
      </c>
      <c r="E2950" t="s">
        <v>3037</v>
      </c>
      <c r="F2950" s="452">
        <v>46056</v>
      </c>
      <c r="G2950">
        <v>27838</v>
      </c>
      <c r="H2950" t="s">
        <v>4388</v>
      </c>
      <c r="I2950" t="s">
        <v>3497</v>
      </c>
      <c r="J2950">
        <v>3</v>
      </c>
      <c r="K2950" t="s">
        <v>3872</v>
      </c>
      <c r="L2950">
        <v>429.3</v>
      </c>
      <c r="M2950">
        <v>143.1</v>
      </c>
      <c r="N2950" t="s">
        <v>4276</v>
      </c>
      <c r="O2950" t="s">
        <v>462</v>
      </c>
    </row>
    <row r="2951" spans="1:15" x14ac:dyDescent="0.3">
      <c r="A2951">
        <v>207960</v>
      </c>
      <c r="B2951">
        <v>116</v>
      </c>
      <c r="C2951" t="s">
        <v>568</v>
      </c>
      <c r="D2951" t="s">
        <v>2340</v>
      </c>
      <c r="E2951" t="s">
        <v>3038</v>
      </c>
      <c r="F2951" s="452">
        <v>46051</v>
      </c>
      <c r="G2951">
        <v>19346</v>
      </c>
      <c r="H2951" t="s">
        <v>3948</v>
      </c>
      <c r="I2951" t="s">
        <v>3469</v>
      </c>
      <c r="J2951">
        <v>3.16</v>
      </c>
      <c r="K2951" t="s">
        <v>3892</v>
      </c>
      <c r="L2951">
        <v>196.77</v>
      </c>
      <c r="M2951">
        <v>62.268987000000003</v>
      </c>
      <c r="N2951" t="s">
        <v>4240</v>
      </c>
      <c r="O2951" t="s">
        <v>461</v>
      </c>
    </row>
    <row r="2952" spans="1:15" x14ac:dyDescent="0.3">
      <c r="A2952">
        <v>207960</v>
      </c>
      <c r="B2952">
        <v>116</v>
      </c>
      <c r="C2952" t="s">
        <v>568</v>
      </c>
      <c r="D2952" t="s">
        <v>2340</v>
      </c>
      <c r="E2952" t="s">
        <v>3038</v>
      </c>
      <c r="F2952" s="452">
        <v>46051</v>
      </c>
      <c r="G2952">
        <v>19405</v>
      </c>
      <c r="H2952" t="s">
        <v>4097</v>
      </c>
      <c r="I2952" t="s">
        <v>3469</v>
      </c>
      <c r="J2952">
        <v>1</v>
      </c>
      <c r="K2952" t="s">
        <v>3872</v>
      </c>
      <c r="L2952">
        <v>151.9</v>
      </c>
      <c r="M2952">
        <v>151.9</v>
      </c>
      <c r="N2952" t="s">
        <v>4240</v>
      </c>
      <c r="O2952" t="s">
        <v>461</v>
      </c>
    </row>
    <row r="2953" spans="1:15" x14ac:dyDescent="0.3">
      <c r="A2953">
        <v>207959</v>
      </c>
      <c r="B2953">
        <v>116</v>
      </c>
      <c r="C2953" t="s">
        <v>568</v>
      </c>
      <c r="D2953" t="s">
        <v>2332</v>
      </c>
      <c r="E2953" t="s">
        <v>3039</v>
      </c>
      <c r="F2953" s="452">
        <v>46058</v>
      </c>
      <c r="G2953">
        <v>18129</v>
      </c>
      <c r="H2953" t="s">
        <v>4092</v>
      </c>
      <c r="I2953" t="s">
        <v>3497</v>
      </c>
      <c r="J2953">
        <v>1</v>
      </c>
      <c r="K2953" t="s">
        <v>3878</v>
      </c>
      <c r="L2953">
        <v>122.36</v>
      </c>
      <c r="M2953">
        <v>122.36</v>
      </c>
      <c r="N2953" t="s">
        <v>3497</v>
      </c>
      <c r="O2953" t="s">
        <v>462</v>
      </c>
    </row>
    <row r="2954" spans="1:15" x14ac:dyDescent="0.3">
      <c r="A2954">
        <v>207959</v>
      </c>
      <c r="B2954">
        <v>116</v>
      </c>
      <c r="C2954" t="s">
        <v>568</v>
      </c>
      <c r="D2954" t="s">
        <v>2332</v>
      </c>
      <c r="E2954" t="s">
        <v>3039</v>
      </c>
      <c r="F2954" s="452">
        <v>46058</v>
      </c>
      <c r="G2954">
        <v>18295</v>
      </c>
      <c r="H2954" t="s">
        <v>4030</v>
      </c>
      <c r="I2954" t="s">
        <v>3497</v>
      </c>
      <c r="J2954">
        <v>2</v>
      </c>
      <c r="K2954" t="s">
        <v>3878</v>
      </c>
      <c r="L2954">
        <v>262.7</v>
      </c>
      <c r="M2954">
        <v>131.35</v>
      </c>
      <c r="N2954" t="s">
        <v>3497</v>
      </c>
      <c r="O2954" t="s">
        <v>462</v>
      </c>
    </row>
    <row r="2955" spans="1:15" x14ac:dyDescent="0.3">
      <c r="A2955">
        <v>207958</v>
      </c>
      <c r="B2955">
        <v>116</v>
      </c>
      <c r="C2955" t="s">
        <v>568</v>
      </c>
      <c r="D2955" t="s">
        <v>2340</v>
      </c>
      <c r="E2955" t="s">
        <v>3040</v>
      </c>
      <c r="F2955" s="452">
        <v>46084</v>
      </c>
      <c r="G2955">
        <v>20809</v>
      </c>
      <c r="H2955" t="s">
        <v>4005</v>
      </c>
      <c r="I2955" t="s">
        <v>3469</v>
      </c>
      <c r="J2955">
        <v>3</v>
      </c>
      <c r="K2955" t="s">
        <v>3888</v>
      </c>
      <c r="L2955">
        <v>99.69</v>
      </c>
      <c r="M2955">
        <v>33.229999999999997</v>
      </c>
      <c r="N2955" t="s">
        <v>4240</v>
      </c>
      <c r="O2955" t="s">
        <v>463</v>
      </c>
    </row>
    <row r="2956" spans="1:15" x14ac:dyDescent="0.3">
      <c r="A2956">
        <v>207958</v>
      </c>
      <c r="B2956">
        <v>116</v>
      </c>
      <c r="C2956" t="s">
        <v>568</v>
      </c>
      <c r="D2956" t="s">
        <v>2340</v>
      </c>
      <c r="E2956" t="s">
        <v>3040</v>
      </c>
      <c r="F2956" s="452">
        <v>46084</v>
      </c>
      <c r="G2956">
        <v>20661</v>
      </c>
      <c r="H2956" t="s">
        <v>3919</v>
      </c>
      <c r="I2956" t="s">
        <v>3469</v>
      </c>
      <c r="J2956">
        <v>6</v>
      </c>
      <c r="K2956" t="s">
        <v>3872</v>
      </c>
      <c r="L2956">
        <v>52.62</v>
      </c>
      <c r="M2956">
        <v>8.77</v>
      </c>
      <c r="N2956" t="s">
        <v>4240</v>
      </c>
      <c r="O2956" t="s">
        <v>463</v>
      </c>
    </row>
    <row r="2957" spans="1:15" x14ac:dyDescent="0.3">
      <c r="A2957">
        <v>207958</v>
      </c>
      <c r="B2957">
        <v>116</v>
      </c>
      <c r="C2957" t="s">
        <v>568</v>
      </c>
      <c r="D2957" t="s">
        <v>2340</v>
      </c>
      <c r="E2957" t="s">
        <v>3040</v>
      </c>
      <c r="F2957" s="452">
        <v>46084</v>
      </c>
      <c r="G2957">
        <v>19324</v>
      </c>
      <c r="H2957" t="s">
        <v>3937</v>
      </c>
      <c r="I2957" t="s">
        <v>3469</v>
      </c>
      <c r="J2957">
        <v>4.16</v>
      </c>
      <c r="K2957" t="s">
        <v>3892</v>
      </c>
      <c r="L2957">
        <v>123.01</v>
      </c>
      <c r="M2957">
        <v>29.569711999999999</v>
      </c>
      <c r="N2957" t="s">
        <v>4240</v>
      </c>
      <c r="O2957" t="s">
        <v>463</v>
      </c>
    </row>
    <row r="2958" spans="1:15" x14ac:dyDescent="0.3">
      <c r="A2958">
        <v>207958</v>
      </c>
      <c r="B2958">
        <v>116</v>
      </c>
      <c r="C2958" t="s">
        <v>568</v>
      </c>
      <c r="D2958" t="s">
        <v>2340</v>
      </c>
      <c r="E2958" t="s">
        <v>3040</v>
      </c>
      <c r="F2958" s="452">
        <v>46084</v>
      </c>
      <c r="G2958">
        <v>19415</v>
      </c>
      <c r="H2958" t="s">
        <v>3941</v>
      </c>
      <c r="I2958" t="s">
        <v>3469</v>
      </c>
      <c r="J2958">
        <v>6</v>
      </c>
      <c r="K2958" t="s">
        <v>3872</v>
      </c>
      <c r="L2958">
        <v>53.7</v>
      </c>
      <c r="M2958">
        <v>8.9499999999999993</v>
      </c>
      <c r="N2958" t="s">
        <v>4240</v>
      </c>
      <c r="O2958" t="s">
        <v>463</v>
      </c>
    </row>
    <row r="2959" spans="1:15" x14ac:dyDescent="0.3">
      <c r="A2959">
        <v>207958</v>
      </c>
      <c r="B2959">
        <v>116</v>
      </c>
      <c r="C2959" t="s">
        <v>568</v>
      </c>
      <c r="D2959" t="s">
        <v>2340</v>
      </c>
      <c r="E2959" t="s">
        <v>3040</v>
      </c>
      <c r="F2959" s="452">
        <v>46084</v>
      </c>
      <c r="G2959">
        <v>20984</v>
      </c>
      <c r="H2959" t="s">
        <v>4235</v>
      </c>
      <c r="I2959" t="s">
        <v>3469</v>
      </c>
      <c r="J2959">
        <v>12</v>
      </c>
      <c r="K2959" t="s">
        <v>3931</v>
      </c>
      <c r="L2959">
        <v>103.8</v>
      </c>
      <c r="M2959">
        <v>8.65</v>
      </c>
      <c r="N2959" t="s">
        <v>4240</v>
      </c>
      <c r="O2959" t="s">
        <v>463</v>
      </c>
    </row>
    <row r="2960" spans="1:15" x14ac:dyDescent="0.3">
      <c r="A2960">
        <v>207957</v>
      </c>
      <c r="B2960">
        <v>116</v>
      </c>
      <c r="C2960" t="s">
        <v>568</v>
      </c>
      <c r="D2960" t="s">
        <v>2922</v>
      </c>
      <c r="E2960" t="s">
        <v>3041</v>
      </c>
      <c r="F2960" s="452">
        <v>46055</v>
      </c>
      <c r="G2960">
        <v>19566</v>
      </c>
      <c r="H2960" t="s">
        <v>3986</v>
      </c>
      <c r="I2960" t="s">
        <v>3469</v>
      </c>
      <c r="J2960">
        <v>3</v>
      </c>
      <c r="K2960" t="s">
        <v>3892</v>
      </c>
      <c r="L2960">
        <v>150</v>
      </c>
      <c r="M2960">
        <v>50</v>
      </c>
      <c r="N2960" t="s">
        <v>4240</v>
      </c>
      <c r="O2960" t="s">
        <v>462</v>
      </c>
    </row>
    <row r="2961" spans="1:15" x14ac:dyDescent="0.3">
      <c r="A2961">
        <v>207957</v>
      </c>
      <c r="B2961">
        <v>116</v>
      </c>
      <c r="C2961" t="s">
        <v>568</v>
      </c>
      <c r="D2961" t="s">
        <v>2922</v>
      </c>
      <c r="E2961" t="s">
        <v>3041</v>
      </c>
      <c r="F2961" s="452">
        <v>46055</v>
      </c>
      <c r="G2961">
        <v>19572</v>
      </c>
      <c r="H2961" t="s">
        <v>4023</v>
      </c>
      <c r="I2961" t="s">
        <v>3469</v>
      </c>
      <c r="J2961">
        <v>3</v>
      </c>
      <c r="K2961" t="s">
        <v>3892</v>
      </c>
      <c r="L2961">
        <v>56.25</v>
      </c>
      <c r="M2961">
        <v>18.75</v>
      </c>
      <c r="N2961" t="s">
        <v>4240</v>
      </c>
      <c r="O2961" t="s">
        <v>462</v>
      </c>
    </row>
    <row r="2962" spans="1:15" x14ac:dyDescent="0.3">
      <c r="A2962">
        <v>207957</v>
      </c>
      <c r="B2962">
        <v>116</v>
      </c>
      <c r="C2962" t="s">
        <v>568</v>
      </c>
      <c r="D2962" t="s">
        <v>2922</v>
      </c>
      <c r="E2962" t="s">
        <v>3041</v>
      </c>
      <c r="F2962" s="452">
        <v>46055</v>
      </c>
      <c r="G2962">
        <v>19578</v>
      </c>
      <c r="H2962" t="s">
        <v>3985</v>
      </c>
      <c r="I2962" t="s">
        <v>3469</v>
      </c>
      <c r="J2962">
        <v>3</v>
      </c>
      <c r="K2962" t="s">
        <v>3892</v>
      </c>
      <c r="L2962">
        <v>240</v>
      </c>
      <c r="M2962">
        <v>80</v>
      </c>
      <c r="N2962" t="s">
        <v>4240</v>
      </c>
      <c r="O2962" t="s">
        <v>462</v>
      </c>
    </row>
    <row r="2963" spans="1:15" x14ac:dyDescent="0.3">
      <c r="A2963">
        <v>207957</v>
      </c>
      <c r="B2963">
        <v>116</v>
      </c>
      <c r="C2963" t="s">
        <v>568</v>
      </c>
      <c r="D2963" t="s">
        <v>2922</v>
      </c>
      <c r="E2963" t="s">
        <v>3041</v>
      </c>
      <c r="F2963" s="452">
        <v>46055</v>
      </c>
      <c r="G2963">
        <v>19740</v>
      </c>
      <c r="H2963" t="s">
        <v>3933</v>
      </c>
      <c r="I2963" t="s">
        <v>3469</v>
      </c>
      <c r="J2963">
        <v>5</v>
      </c>
      <c r="K2963" t="s">
        <v>3892</v>
      </c>
      <c r="L2963">
        <v>46.9</v>
      </c>
      <c r="M2963">
        <v>9.3800000000000008</v>
      </c>
      <c r="N2963" t="s">
        <v>4240</v>
      </c>
      <c r="O2963" t="s">
        <v>462</v>
      </c>
    </row>
    <row r="2964" spans="1:15" x14ac:dyDescent="0.3">
      <c r="A2964">
        <v>207957</v>
      </c>
      <c r="B2964">
        <v>116</v>
      </c>
      <c r="C2964" t="s">
        <v>568</v>
      </c>
      <c r="D2964" t="s">
        <v>2922</v>
      </c>
      <c r="E2964" t="s">
        <v>3041</v>
      </c>
      <c r="F2964" s="452">
        <v>46055</v>
      </c>
      <c r="G2964">
        <v>19494</v>
      </c>
      <c r="H2964" t="s">
        <v>4126</v>
      </c>
      <c r="I2964" t="s">
        <v>3469</v>
      </c>
      <c r="J2964">
        <v>2.2999999999999998</v>
      </c>
      <c r="K2964" t="s">
        <v>3892</v>
      </c>
      <c r="L2964">
        <v>48.87</v>
      </c>
      <c r="M2964">
        <v>21.247826</v>
      </c>
      <c r="N2964" t="s">
        <v>4240</v>
      </c>
      <c r="O2964" t="s">
        <v>462</v>
      </c>
    </row>
    <row r="2965" spans="1:15" x14ac:dyDescent="0.3">
      <c r="A2965">
        <v>207957</v>
      </c>
      <c r="B2965">
        <v>116</v>
      </c>
      <c r="C2965" t="s">
        <v>568</v>
      </c>
      <c r="D2965" t="s">
        <v>2922</v>
      </c>
      <c r="E2965" t="s">
        <v>3041</v>
      </c>
      <c r="F2965" s="452">
        <v>46055</v>
      </c>
      <c r="G2965">
        <v>23142</v>
      </c>
      <c r="H2965" t="s">
        <v>4151</v>
      </c>
      <c r="I2965" t="s">
        <v>3469</v>
      </c>
      <c r="J2965">
        <v>1</v>
      </c>
      <c r="K2965" t="s">
        <v>3892</v>
      </c>
      <c r="L2965">
        <v>25</v>
      </c>
      <c r="M2965">
        <v>25</v>
      </c>
      <c r="N2965" t="s">
        <v>4240</v>
      </c>
      <c r="O2965" t="s">
        <v>462</v>
      </c>
    </row>
    <row r="2966" spans="1:15" x14ac:dyDescent="0.3">
      <c r="A2966">
        <v>207957</v>
      </c>
      <c r="B2966">
        <v>116</v>
      </c>
      <c r="C2966" t="s">
        <v>568</v>
      </c>
      <c r="D2966" t="s">
        <v>2922</v>
      </c>
      <c r="E2966" t="s">
        <v>3041</v>
      </c>
      <c r="F2966" s="452">
        <v>46055</v>
      </c>
      <c r="G2966">
        <v>19672</v>
      </c>
      <c r="H2966" t="s">
        <v>4024</v>
      </c>
      <c r="I2966" t="s">
        <v>3469</v>
      </c>
      <c r="J2966">
        <v>2</v>
      </c>
      <c r="K2966" t="s">
        <v>3892</v>
      </c>
      <c r="L2966">
        <v>30</v>
      </c>
      <c r="M2966">
        <v>15</v>
      </c>
      <c r="N2966" t="s">
        <v>4240</v>
      </c>
      <c r="O2966" t="s">
        <v>462</v>
      </c>
    </row>
    <row r="2967" spans="1:15" x14ac:dyDescent="0.3">
      <c r="A2967">
        <v>207956</v>
      </c>
      <c r="B2967">
        <v>116</v>
      </c>
      <c r="C2967" t="s">
        <v>568</v>
      </c>
      <c r="D2967" t="s">
        <v>2922</v>
      </c>
      <c r="E2967" t="s">
        <v>3042</v>
      </c>
      <c r="F2967" s="452">
        <v>46056</v>
      </c>
      <c r="G2967">
        <v>25767</v>
      </c>
      <c r="H2967" t="s">
        <v>3976</v>
      </c>
      <c r="I2967" t="s">
        <v>3469</v>
      </c>
      <c r="J2967">
        <v>3</v>
      </c>
      <c r="K2967" t="s">
        <v>3892</v>
      </c>
      <c r="L2967">
        <v>240</v>
      </c>
      <c r="M2967">
        <v>80</v>
      </c>
      <c r="N2967" t="s">
        <v>4240</v>
      </c>
      <c r="O2967" t="s">
        <v>462</v>
      </c>
    </row>
    <row r="2968" spans="1:15" x14ac:dyDescent="0.3">
      <c r="A2968">
        <v>207955</v>
      </c>
      <c r="B2968">
        <v>116</v>
      </c>
      <c r="C2968" t="s">
        <v>568</v>
      </c>
      <c r="D2968" t="s">
        <v>2922</v>
      </c>
      <c r="E2968" t="s">
        <v>3043</v>
      </c>
      <c r="F2968" s="452">
        <v>46058</v>
      </c>
      <c r="G2968">
        <v>23142</v>
      </c>
      <c r="H2968" t="s">
        <v>4151</v>
      </c>
      <c r="I2968" t="s">
        <v>3469</v>
      </c>
      <c r="J2968">
        <v>1</v>
      </c>
      <c r="K2968" t="s">
        <v>3892</v>
      </c>
      <c r="L2968">
        <v>25</v>
      </c>
      <c r="M2968">
        <v>25</v>
      </c>
      <c r="N2968" t="s">
        <v>4240</v>
      </c>
      <c r="O2968" t="s">
        <v>462</v>
      </c>
    </row>
    <row r="2969" spans="1:15" x14ac:dyDescent="0.3">
      <c r="A2969">
        <v>207955</v>
      </c>
      <c r="B2969">
        <v>116</v>
      </c>
      <c r="C2969" t="s">
        <v>568</v>
      </c>
      <c r="D2969" t="s">
        <v>2922</v>
      </c>
      <c r="E2969" t="s">
        <v>3043</v>
      </c>
      <c r="F2969" s="452">
        <v>46058</v>
      </c>
      <c r="G2969">
        <v>19672</v>
      </c>
      <c r="H2969" t="s">
        <v>4024</v>
      </c>
      <c r="I2969" t="s">
        <v>3469</v>
      </c>
      <c r="J2969">
        <v>2</v>
      </c>
      <c r="K2969" t="s">
        <v>3892</v>
      </c>
      <c r="L2969">
        <v>30</v>
      </c>
      <c r="M2969">
        <v>15</v>
      </c>
      <c r="N2969" t="s">
        <v>4240</v>
      </c>
      <c r="O2969" t="s">
        <v>462</v>
      </c>
    </row>
    <row r="2970" spans="1:15" x14ac:dyDescent="0.3">
      <c r="A2970">
        <v>207955</v>
      </c>
      <c r="B2970">
        <v>116</v>
      </c>
      <c r="C2970" t="s">
        <v>568</v>
      </c>
      <c r="D2970" t="s">
        <v>2922</v>
      </c>
      <c r="E2970" t="s">
        <v>3043</v>
      </c>
      <c r="F2970" s="452">
        <v>46058</v>
      </c>
      <c r="G2970">
        <v>19574</v>
      </c>
      <c r="H2970" t="s">
        <v>4077</v>
      </c>
      <c r="I2970" t="s">
        <v>3469</v>
      </c>
      <c r="J2970">
        <v>1</v>
      </c>
      <c r="K2970" t="s">
        <v>3892</v>
      </c>
      <c r="L2970">
        <v>90</v>
      </c>
      <c r="M2970">
        <v>90</v>
      </c>
      <c r="N2970" t="s">
        <v>4240</v>
      </c>
      <c r="O2970" t="s">
        <v>462</v>
      </c>
    </row>
    <row r="2971" spans="1:15" x14ac:dyDescent="0.3">
      <c r="A2971">
        <v>207955</v>
      </c>
      <c r="B2971">
        <v>116</v>
      </c>
      <c r="C2971" t="s">
        <v>568</v>
      </c>
      <c r="D2971" t="s">
        <v>2922</v>
      </c>
      <c r="E2971" t="s">
        <v>3043</v>
      </c>
      <c r="F2971" s="452">
        <v>46058</v>
      </c>
      <c r="G2971">
        <v>19642</v>
      </c>
      <c r="H2971" t="s">
        <v>4067</v>
      </c>
      <c r="I2971" t="s">
        <v>3469</v>
      </c>
      <c r="J2971">
        <v>1</v>
      </c>
      <c r="K2971" t="s">
        <v>3892</v>
      </c>
      <c r="L2971">
        <v>5</v>
      </c>
      <c r="M2971">
        <v>5</v>
      </c>
      <c r="N2971" t="s">
        <v>4240</v>
      </c>
      <c r="O2971" t="s">
        <v>462</v>
      </c>
    </row>
    <row r="2972" spans="1:15" x14ac:dyDescent="0.3">
      <c r="A2972">
        <v>207955</v>
      </c>
      <c r="B2972">
        <v>116</v>
      </c>
      <c r="C2972" t="s">
        <v>568</v>
      </c>
      <c r="D2972" t="s">
        <v>2922</v>
      </c>
      <c r="E2972" t="s">
        <v>3043</v>
      </c>
      <c r="F2972" s="452">
        <v>46058</v>
      </c>
      <c r="G2972">
        <v>19555</v>
      </c>
      <c r="H2972" t="s">
        <v>4109</v>
      </c>
      <c r="I2972" t="s">
        <v>3469</v>
      </c>
      <c r="J2972">
        <v>0.6</v>
      </c>
      <c r="K2972" t="s">
        <v>3892</v>
      </c>
      <c r="L2972">
        <v>18.75</v>
      </c>
      <c r="M2972">
        <v>31.25</v>
      </c>
      <c r="N2972" t="s">
        <v>4240</v>
      </c>
      <c r="O2972" t="s">
        <v>462</v>
      </c>
    </row>
    <row r="2973" spans="1:15" x14ac:dyDescent="0.3">
      <c r="A2973">
        <v>207955</v>
      </c>
      <c r="B2973">
        <v>116</v>
      </c>
      <c r="C2973" t="s">
        <v>568</v>
      </c>
      <c r="D2973" t="s">
        <v>2922</v>
      </c>
      <c r="E2973" t="s">
        <v>3043</v>
      </c>
      <c r="F2973" s="452">
        <v>46058</v>
      </c>
      <c r="G2973">
        <v>19763</v>
      </c>
      <c r="H2973" t="s">
        <v>4187</v>
      </c>
      <c r="I2973" t="s">
        <v>3469</v>
      </c>
      <c r="J2973">
        <v>1</v>
      </c>
      <c r="K2973" t="s">
        <v>3892</v>
      </c>
      <c r="L2973">
        <v>10.63</v>
      </c>
      <c r="M2973">
        <v>10.63</v>
      </c>
      <c r="N2973" t="s">
        <v>4240</v>
      </c>
      <c r="O2973" t="s">
        <v>462</v>
      </c>
    </row>
    <row r="2974" spans="1:15" x14ac:dyDescent="0.3">
      <c r="A2974">
        <v>207955</v>
      </c>
      <c r="B2974">
        <v>116</v>
      </c>
      <c r="C2974" t="s">
        <v>568</v>
      </c>
      <c r="D2974" t="s">
        <v>2922</v>
      </c>
      <c r="E2974" t="s">
        <v>3043</v>
      </c>
      <c r="F2974" s="452">
        <v>46058</v>
      </c>
      <c r="G2974">
        <v>19494</v>
      </c>
      <c r="H2974" t="s">
        <v>4126</v>
      </c>
      <c r="I2974" t="s">
        <v>3469</v>
      </c>
      <c r="J2974">
        <v>1.4</v>
      </c>
      <c r="K2974" t="s">
        <v>3892</v>
      </c>
      <c r="L2974">
        <v>29.75</v>
      </c>
      <c r="M2974">
        <v>21.25</v>
      </c>
      <c r="N2974" t="s">
        <v>4240</v>
      </c>
      <c r="O2974" t="s">
        <v>462</v>
      </c>
    </row>
    <row r="2975" spans="1:15" x14ac:dyDescent="0.3">
      <c r="A2975">
        <v>207954</v>
      </c>
      <c r="B2975">
        <v>116</v>
      </c>
      <c r="C2975" t="s">
        <v>568</v>
      </c>
      <c r="D2975" t="s">
        <v>2260</v>
      </c>
      <c r="E2975" t="s">
        <v>3044</v>
      </c>
      <c r="F2975" s="452">
        <v>46058</v>
      </c>
      <c r="G2975">
        <v>24072</v>
      </c>
      <c r="H2975" t="s">
        <v>4002</v>
      </c>
      <c r="I2975" t="s">
        <v>3469</v>
      </c>
      <c r="J2975">
        <v>3.5</v>
      </c>
      <c r="K2975" t="s">
        <v>3892</v>
      </c>
      <c r="L2975">
        <v>770</v>
      </c>
      <c r="M2975">
        <v>220</v>
      </c>
      <c r="N2975" t="s">
        <v>4289</v>
      </c>
      <c r="O2975" t="s">
        <v>462</v>
      </c>
    </row>
    <row r="2976" spans="1:15" x14ac:dyDescent="0.3">
      <c r="A2976">
        <v>207954</v>
      </c>
      <c r="B2976">
        <v>116</v>
      </c>
      <c r="C2976" t="s">
        <v>568</v>
      </c>
      <c r="D2976" t="s">
        <v>2260</v>
      </c>
      <c r="E2976" t="s">
        <v>3044</v>
      </c>
      <c r="F2976" s="452">
        <v>46058</v>
      </c>
      <c r="G2976">
        <v>22734</v>
      </c>
      <c r="H2976" t="s">
        <v>3955</v>
      </c>
      <c r="I2976" t="s">
        <v>3469</v>
      </c>
      <c r="J2976">
        <v>10</v>
      </c>
      <c r="K2976" t="s">
        <v>3892</v>
      </c>
      <c r="L2976">
        <v>990</v>
      </c>
      <c r="M2976">
        <v>99</v>
      </c>
      <c r="N2976" t="s">
        <v>4289</v>
      </c>
      <c r="O2976" t="s">
        <v>462</v>
      </c>
    </row>
    <row r="2977" spans="1:15" x14ac:dyDescent="0.3">
      <c r="A2977">
        <v>207953</v>
      </c>
      <c r="B2977">
        <v>116</v>
      </c>
      <c r="C2977" t="s">
        <v>568</v>
      </c>
      <c r="D2977" t="s">
        <v>2267</v>
      </c>
      <c r="E2977" t="s">
        <v>3045</v>
      </c>
      <c r="F2977" s="452">
        <v>46058</v>
      </c>
      <c r="G2977">
        <v>24393</v>
      </c>
      <c r="H2977" t="s">
        <v>4039</v>
      </c>
      <c r="I2977" t="s">
        <v>3469</v>
      </c>
      <c r="J2977">
        <v>3</v>
      </c>
      <c r="K2977" t="s">
        <v>3892</v>
      </c>
      <c r="L2977">
        <v>41.97</v>
      </c>
      <c r="M2977">
        <v>13.99</v>
      </c>
      <c r="N2977" t="s">
        <v>4240</v>
      </c>
      <c r="O2977" t="s">
        <v>462</v>
      </c>
    </row>
    <row r="2978" spans="1:15" x14ac:dyDescent="0.3">
      <c r="A2978">
        <v>207953</v>
      </c>
      <c r="B2978">
        <v>116</v>
      </c>
      <c r="C2978" t="s">
        <v>568</v>
      </c>
      <c r="D2978" t="s">
        <v>2267</v>
      </c>
      <c r="E2978" t="s">
        <v>3045</v>
      </c>
      <c r="F2978" s="452">
        <v>46058</v>
      </c>
      <c r="G2978">
        <v>24343</v>
      </c>
      <c r="H2978" t="s">
        <v>3990</v>
      </c>
      <c r="I2978" t="s">
        <v>3469</v>
      </c>
      <c r="J2978">
        <v>5</v>
      </c>
      <c r="L2978">
        <v>99.95</v>
      </c>
      <c r="M2978">
        <v>19.989999999999998</v>
      </c>
      <c r="N2978" t="s">
        <v>4240</v>
      </c>
      <c r="O2978" t="s">
        <v>462</v>
      </c>
    </row>
    <row r="2979" spans="1:15" x14ac:dyDescent="0.3">
      <c r="A2979">
        <v>207952</v>
      </c>
      <c r="B2979">
        <v>116</v>
      </c>
      <c r="C2979" t="s">
        <v>568</v>
      </c>
      <c r="D2979" t="s">
        <v>2267</v>
      </c>
      <c r="E2979" t="s">
        <v>3046</v>
      </c>
      <c r="F2979" s="452">
        <v>46060</v>
      </c>
      <c r="G2979">
        <v>18682</v>
      </c>
      <c r="H2979" t="s">
        <v>4025</v>
      </c>
      <c r="I2979" t="s">
        <v>3469</v>
      </c>
      <c r="J2979">
        <v>7.2</v>
      </c>
      <c r="K2979" t="s">
        <v>3892</v>
      </c>
      <c r="L2979">
        <v>201.53</v>
      </c>
      <c r="M2979">
        <v>27.990278</v>
      </c>
      <c r="N2979" t="s">
        <v>4240</v>
      </c>
      <c r="O2979" t="s">
        <v>462</v>
      </c>
    </row>
    <row r="2980" spans="1:15" x14ac:dyDescent="0.3">
      <c r="A2980">
        <v>207951</v>
      </c>
      <c r="B2980">
        <v>116</v>
      </c>
      <c r="C2980" t="s">
        <v>568</v>
      </c>
      <c r="D2980" t="s">
        <v>2709</v>
      </c>
      <c r="E2980" t="s">
        <v>3047</v>
      </c>
      <c r="F2980" s="452">
        <v>46056</v>
      </c>
      <c r="G2980">
        <v>17498</v>
      </c>
      <c r="H2980" t="s">
        <v>4243</v>
      </c>
      <c r="I2980" t="s">
        <v>4199</v>
      </c>
      <c r="J2980">
        <v>2</v>
      </c>
      <c r="K2980" t="s">
        <v>3881</v>
      </c>
      <c r="L2980">
        <v>45.38</v>
      </c>
      <c r="M2980">
        <v>22.69</v>
      </c>
      <c r="N2980" t="s">
        <v>2176</v>
      </c>
      <c r="O2980" t="s">
        <v>462</v>
      </c>
    </row>
    <row r="2981" spans="1:15" x14ac:dyDescent="0.3">
      <c r="A2981">
        <v>207950</v>
      </c>
      <c r="B2981">
        <v>116</v>
      </c>
      <c r="C2981" t="s">
        <v>568</v>
      </c>
      <c r="D2981" t="s">
        <v>2709</v>
      </c>
      <c r="E2981" t="s">
        <v>3048</v>
      </c>
      <c r="F2981" s="452">
        <v>46056</v>
      </c>
      <c r="G2981">
        <v>19297</v>
      </c>
      <c r="H2981" t="s">
        <v>3949</v>
      </c>
      <c r="I2981" t="s">
        <v>3469</v>
      </c>
      <c r="J2981">
        <v>6.79</v>
      </c>
      <c r="K2981" t="s">
        <v>3892</v>
      </c>
      <c r="L2981">
        <v>481.55</v>
      </c>
      <c r="M2981">
        <v>70.920471000000006</v>
      </c>
      <c r="N2981" t="s">
        <v>4240</v>
      </c>
      <c r="O2981" t="s">
        <v>462</v>
      </c>
    </row>
    <row r="2982" spans="1:15" x14ac:dyDescent="0.3">
      <c r="A2982">
        <v>207949</v>
      </c>
      <c r="B2982">
        <v>116</v>
      </c>
      <c r="C2982" t="s">
        <v>568</v>
      </c>
      <c r="D2982" t="s">
        <v>2293</v>
      </c>
      <c r="E2982" t="s">
        <v>3049</v>
      </c>
      <c r="F2982" s="452">
        <v>46058</v>
      </c>
      <c r="G2982">
        <v>16974</v>
      </c>
      <c r="H2982" t="s">
        <v>3996</v>
      </c>
      <c r="I2982" t="s">
        <v>3497</v>
      </c>
      <c r="J2982">
        <v>3</v>
      </c>
      <c r="K2982" t="s">
        <v>3881</v>
      </c>
      <c r="L2982">
        <v>405</v>
      </c>
      <c r="M2982">
        <v>135</v>
      </c>
      <c r="N2982" t="s">
        <v>3497</v>
      </c>
      <c r="O2982" t="s">
        <v>462</v>
      </c>
    </row>
    <row r="2983" spans="1:15" x14ac:dyDescent="0.3">
      <c r="A2983">
        <v>207806</v>
      </c>
      <c r="B2983">
        <v>116</v>
      </c>
      <c r="C2983" t="s">
        <v>568</v>
      </c>
      <c r="D2983" t="s">
        <v>2293</v>
      </c>
      <c r="E2983" t="s">
        <v>3050</v>
      </c>
      <c r="F2983" s="452">
        <v>46055</v>
      </c>
      <c r="G2983">
        <v>16974</v>
      </c>
      <c r="H2983" t="s">
        <v>3996</v>
      </c>
      <c r="I2983" t="s">
        <v>3497</v>
      </c>
      <c r="J2983">
        <v>4</v>
      </c>
      <c r="K2983" t="s">
        <v>3881</v>
      </c>
      <c r="L2983">
        <v>540</v>
      </c>
      <c r="M2983">
        <v>135</v>
      </c>
      <c r="N2983" t="s">
        <v>4276</v>
      </c>
      <c r="O2983" t="s">
        <v>462</v>
      </c>
    </row>
    <row r="2984" spans="1:15" x14ac:dyDescent="0.3">
      <c r="A2984">
        <v>206383</v>
      </c>
      <c r="B2984">
        <v>116</v>
      </c>
      <c r="C2984" t="s">
        <v>568</v>
      </c>
      <c r="D2984" t="s">
        <v>2286</v>
      </c>
      <c r="E2984" t="s">
        <v>3051</v>
      </c>
      <c r="F2984" s="452">
        <v>46055</v>
      </c>
      <c r="G2984">
        <v>19787</v>
      </c>
      <c r="H2984" t="s">
        <v>3940</v>
      </c>
      <c r="I2984" t="s">
        <v>3469</v>
      </c>
      <c r="J2984">
        <v>4.5</v>
      </c>
      <c r="K2984" t="s">
        <v>3892</v>
      </c>
      <c r="L2984">
        <v>21.6</v>
      </c>
      <c r="M2984">
        <v>4.8</v>
      </c>
      <c r="N2984" t="s">
        <v>4240</v>
      </c>
      <c r="O2984" t="s">
        <v>462</v>
      </c>
    </row>
    <row r="2985" spans="1:15" x14ac:dyDescent="0.3">
      <c r="A2985">
        <v>206383</v>
      </c>
      <c r="B2985">
        <v>116</v>
      </c>
      <c r="C2985" t="s">
        <v>568</v>
      </c>
      <c r="D2985" t="s">
        <v>2286</v>
      </c>
      <c r="E2985" t="s">
        <v>3051</v>
      </c>
      <c r="F2985" s="452">
        <v>46055</v>
      </c>
      <c r="G2985">
        <v>24083</v>
      </c>
      <c r="H2985" t="s">
        <v>3898</v>
      </c>
      <c r="I2985" t="s">
        <v>3469</v>
      </c>
      <c r="J2985">
        <v>10</v>
      </c>
      <c r="K2985" t="s">
        <v>3892</v>
      </c>
      <c r="L2985">
        <v>39.9</v>
      </c>
      <c r="M2985">
        <v>3.99</v>
      </c>
      <c r="N2985" t="s">
        <v>4240</v>
      </c>
      <c r="O2985" t="s">
        <v>462</v>
      </c>
    </row>
    <row r="2986" spans="1:15" x14ac:dyDescent="0.3">
      <c r="A2986">
        <v>206383</v>
      </c>
      <c r="B2986">
        <v>116</v>
      </c>
      <c r="C2986" t="s">
        <v>568</v>
      </c>
      <c r="D2986" t="s">
        <v>2286</v>
      </c>
      <c r="E2986" t="s">
        <v>3051</v>
      </c>
      <c r="F2986" s="452">
        <v>46055</v>
      </c>
      <c r="G2986">
        <v>19623</v>
      </c>
      <c r="H2986" t="s">
        <v>3984</v>
      </c>
      <c r="I2986" t="s">
        <v>3469</v>
      </c>
      <c r="J2986">
        <v>3</v>
      </c>
      <c r="K2986" t="s">
        <v>3892</v>
      </c>
      <c r="L2986">
        <v>11.7</v>
      </c>
      <c r="M2986">
        <v>3.9</v>
      </c>
      <c r="N2986" t="s">
        <v>4240</v>
      </c>
      <c r="O2986" t="s">
        <v>462</v>
      </c>
    </row>
    <row r="2987" spans="1:15" x14ac:dyDescent="0.3">
      <c r="A2987">
        <v>206383</v>
      </c>
      <c r="B2987">
        <v>116</v>
      </c>
      <c r="C2987" t="s">
        <v>568</v>
      </c>
      <c r="D2987" t="s">
        <v>2286</v>
      </c>
      <c r="E2987" t="s">
        <v>3051</v>
      </c>
      <c r="F2987" s="452">
        <v>46055</v>
      </c>
      <c r="G2987">
        <v>19506</v>
      </c>
      <c r="H2987" t="s">
        <v>4112</v>
      </c>
      <c r="I2987" t="s">
        <v>3469</v>
      </c>
      <c r="J2987">
        <v>0.3</v>
      </c>
      <c r="K2987" t="s">
        <v>3892</v>
      </c>
      <c r="L2987">
        <v>12</v>
      </c>
      <c r="M2987">
        <v>40</v>
      </c>
      <c r="N2987" t="s">
        <v>4240</v>
      </c>
      <c r="O2987" t="s">
        <v>462</v>
      </c>
    </row>
    <row r="2988" spans="1:15" x14ac:dyDescent="0.3">
      <c r="A2988">
        <v>206383</v>
      </c>
      <c r="B2988">
        <v>116</v>
      </c>
      <c r="C2988" t="s">
        <v>568</v>
      </c>
      <c r="D2988" t="s">
        <v>2286</v>
      </c>
      <c r="E2988" t="s">
        <v>3051</v>
      </c>
      <c r="F2988" s="452">
        <v>46055</v>
      </c>
      <c r="G2988">
        <v>19505</v>
      </c>
      <c r="H2988" t="s">
        <v>4101</v>
      </c>
      <c r="I2988" t="s">
        <v>3469</v>
      </c>
      <c r="J2988">
        <v>1</v>
      </c>
      <c r="K2988" t="s">
        <v>3892</v>
      </c>
      <c r="L2988">
        <v>13</v>
      </c>
      <c r="M2988">
        <v>13</v>
      </c>
      <c r="N2988" t="s">
        <v>4240</v>
      </c>
      <c r="O2988" t="s">
        <v>462</v>
      </c>
    </row>
    <row r="2989" spans="1:15" x14ac:dyDescent="0.3">
      <c r="A2989">
        <v>206383</v>
      </c>
      <c r="B2989">
        <v>116</v>
      </c>
      <c r="C2989" t="s">
        <v>568</v>
      </c>
      <c r="D2989" t="s">
        <v>2286</v>
      </c>
      <c r="E2989" t="s">
        <v>3051</v>
      </c>
      <c r="F2989" s="452">
        <v>46055</v>
      </c>
      <c r="G2989">
        <v>19488</v>
      </c>
      <c r="H2989" t="s">
        <v>4070</v>
      </c>
      <c r="I2989" t="s">
        <v>3469</v>
      </c>
      <c r="J2989">
        <v>0.2</v>
      </c>
      <c r="K2989" t="s">
        <v>3892</v>
      </c>
      <c r="L2989">
        <v>2.6</v>
      </c>
      <c r="M2989">
        <v>13</v>
      </c>
      <c r="N2989" t="s">
        <v>4240</v>
      </c>
      <c r="O2989" t="s">
        <v>462</v>
      </c>
    </row>
    <row r="2990" spans="1:15" x14ac:dyDescent="0.3">
      <c r="A2990">
        <v>206383</v>
      </c>
      <c r="B2990">
        <v>116</v>
      </c>
      <c r="C2990" t="s">
        <v>568</v>
      </c>
      <c r="D2990" t="s">
        <v>2286</v>
      </c>
      <c r="E2990" t="s">
        <v>3051</v>
      </c>
      <c r="F2990" s="452">
        <v>46055</v>
      </c>
      <c r="G2990">
        <v>19647</v>
      </c>
      <c r="H2990" t="s">
        <v>4066</v>
      </c>
      <c r="I2990" t="s">
        <v>3469</v>
      </c>
      <c r="J2990">
        <v>1</v>
      </c>
      <c r="K2990" t="s">
        <v>3892</v>
      </c>
      <c r="L2990">
        <v>12</v>
      </c>
      <c r="M2990">
        <v>12</v>
      </c>
      <c r="N2990" t="s">
        <v>4240</v>
      </c>
      <c r="O2990" t="s">
        <v>462</v>
      </c>
    </row>
    <row r="2991" spans="1:15" x14ac:dyDescent="0.3">
      <c r="A2991">
        <v>206383</v>
      </c>
      <c r="B2991">
        <v>116</v>
      </c>
      <c r="C2991" t="s">
        <v>568</v>
      </c>
      <c r="D2991" t="s">
        <v>2286</v>
      </c>
      <c r="E2991" t="s">
        <v>3051</v>
      </c>
      <c r="F2991" s="452">
        <v>46055</v>
      </c>
      <c r="G2991">
        <v>19565</v>
      </c>
      <c r="H2991" t="s">
        <v>3987</v>
      </c>
      <c r="I2991" t="s">
        <v>3469</v>
      </c>
      <c r="J2991">
        <v>3</v>
      </c>
      <c r="K2991" t="s">
        <v>3892</v>
      </c>
      <c r="L2991">
        <v>135</v>
      </c>
      <c r="M2991">
        <v>45</v>
      </c>
      <c r="N2991" t="s">
        <v>4240</v>
      </c>
      <c r="O2991" t="s">
        <v>462</v>
      </c>
    </row>
    <row r="2992" spans="1:15" x14ac:dyDescent="0.3">
      <c r="A2992">
        <v>206383</v>
      </c>
      <c r="B2992">
        <v>116</v>
      </c>
      <c r="C2992" t="s">
        <v>568</v>
      </c>
      <c r="D2992" t="s">
        <v>2286</v>
      </c>
      <c r="E2992" t="s">
        <v>3051</v>
      </c>
      <c r="F2992" s="452">
        <v>46055</v>
      </c>
      <c r="G2992">
        <v>19752</v>
      </c>
      <c r="H2992" t="s">
        <v>4042</v>
      </c>
      <c r="I2992" t="s">
        <v>3469</v>
      </c>
      <c r="J2992">
        <v>1</v>
      </c>
      <c r="K2992" t="s">
        <v>3892</v>
      </c>
      <c r="L2992">
        <v>12</v>
      </c>
      <c r="M2992">
        <v>12</v>
      </c>
      <c r="N2992" t="s">
        <v>4240</v>
      </c>
      <c r="O2992" t="s">
        <v>462</v>
      </c>
    </row>
    <row r="2993" spans="1:15" x14ac:dyDescent="0.3">
      <c r="A2993">
        <v>206383</v>
      </c>
      <c r="B2993">
        <v>116</v>
      </c>
      <c r="C2993" t="s">
        <v>568</v>
      </c>
      <c r="D2993" t="s">
        <v>2286</v>
      </c>
      <c r="E2993" t="s">
        <v>3051</v>
      </c>
      <c r="F2993" s="452">
        <v>46055</v>
      </c>
      <c r="G2993">
        <v>19458</v>
      </c>
      <c r="H2993" t="s">
        <v>4212</v>
      </c>
      <c r="I2993" t="s">
        <v>3469</v>
      </c>
      <c r="J2993">
        <v>1</v>
      </c>
      <c r="K2993" t="s">
        <v>3892</v>
      </c>
      <c r="L2993">
        <v>13</v>
      </c>
      <c r="M2993">
        <v>13</v>
      </c>
      <c r="N2993" t="s">
        <v>4240</v>
      </c>
      <c r="O2993" t="s">
        <v>462</v>
      </c>
    </row>
    <row r="2994" spans="1:15" x14ac:dyDescent="0.3">
      <c r="A2994">
        <v>206383</v>
      </c>
      <c r="B2994">
        <v>116</v>
      </c>
      <c r="C2994" t="s">
        <v>568</v>
      </c>
      <c r="D2994" t="s">
        <v>2286</v>
      </c>
      <c r="E2994" t="s">
        <v>3051</v>
      </c>
      <c r="F2994" s="452">
        <v>46055</v>
      </c>
      <c r="G2994">
        <v>19576</v>
      </c>
      <c r="H2994" t="s">
        <v>4021</v>
      </c>
      <c r="I2994" t="s">
        <v>3469</v>
      </c>
      <c r="J2994">
        <v>3</v>
      </c>
      <c r="K2994" t="s">
        <v>3892</v>
      </c>
      <c r="L2994">
        <v>45</v>
      </c>
      <c r="M2994">
        <v>15</v>
      </c>
      <c r="N2994" t="s">
        <v>4240</v>
      </c>
      <c r="O2994" t="s">
        <v>462</v>
      </c>
    </row>
    <row r="2995" spans="1:15" x14ac:dyDescent="0.3">
      <c r="A2995">
        <v>206383</v>
      </c>
      <c r="B2995">
        <v>116</v>
      </c>
      <c r="C2995" t="s">
        <v>568</v>
      </c>
      <c r="D2995" t="s">
        <v>2286</v>
      </c>
      <c r="E2995" t="s">
        <v>3051</v>
      </c>
      <c r="F2995" s="452">
        <v>46055</v>
      </c>
      <c r="G2995">
        <v>23113</v>
      </c>
      <c r="H2995" t="s">
        <v>4079</v>
      </c>
      <c r="I2995" t="s">
        <v>3469</v>
      </c>
      <c r="J2995">
        <v>1.5</v>
      </c>
      <c r="K2995" t="s">
        <v>3892</v>
      </c>
      <c r="L2995">
        <v>14.25</v>
      </c>
      <c r="M2995">
        <v>9.5</v>
      </c>
      <c r="N2995" t="s">
        <v>4240</v>
      </c>
      <c r="O2995" t="s">
        <v>462</v>
      </c>
    </row>
    <row r="2996" spans="1:15" x14ac:dyDescent="0.3">
      <c r="A2996">
        <v>206383</v>
      </c>
      <c r="B2996">
        <v>116</v>
      </c>
      <c r="C2996" t="s">
        <v>568</v>
      </c>
      <c r="D2996" t="s">
        <v>2286</v>
      </c>
      <c r="E2996" t="s">
        <v>3051</v>
      </c>
      <c r="F2996" s="452">
        <v>46055</v>
      </c>
      <c r="G2996">
        <v>23120</v>
      </c>
      <c r="H2996" t="s">
        <v>4111</v>
      </c>
      <c r="I2996" t="s">
        <v>3469</v>
      </c>
      <c r="J2996">
        <v>0.2</v>
      </c>
      <c r="K2996" t="s">
        <v>3892</v>
      </c>
      <c r="L2996">
        <v>13.6</v>
      </c>
      <c r="M2996">
        <v>68</v>
      </c>
      <c r="N2996" t="s">
        <v>4240</v>
      </c>
      <c r="O2996" t="s">
        <v>462</v>
      </c>
    </row>
    <row r="2997" spans="1:15" x14ac:dyDescent="0.3">
      <c r="A2997">
        <v>206383</v>
      </c>
      <c r="B2997">
        <v>116</v>
      </c>
      <c r="C2997" t="s">
        <v>568</v>
      </c>
      <c r="D2997" t="s">
        <v>2286</v>
      </c>
      <c r="E2997" t="s">
        <v>3051</v>
      </c>
      <c r="F2997" s="452">
        <v>46055</v>
      </c>
      <c r="G2997">
        <v>19617</v>
      </c>
      <c r="H2997" t="s">
        <v>4110</v>
      </c>
      <c r="I2997" t="s">
        <v>3469</v>
      </c>
      <c r="J2997">
        <v>0.3</v>
      </c>
      <c r="K2997" t="s">
        <v>3892</v>
      </c>
      <c r="L2997">
        <v>8.4</v>
      </c>
      <c r="M2997">
        <v>28</v>
      </c>
      <c r="N2997" t="s">
        <v>4240</v>
      </c>
      <c r="O2997" t="s">
        <v>462</v>
      </c>
    </row>
    <row r="2998" spans="1:15" x14ac:dyDescent="0.3">
      <c r="A2998">
        <v>206383</v>
      </c>
      <c r="B2998">
        <v>116</v>
      </c>
      <c r="C2998" t="s">
        <v>568</v>
      </c>
      <c r="D2998" t="s">
        <v>2286</v>
      </c>
      <c r="E2998" t="s">
        <v>3051</v>
      </c>
      <c r="F2998" s="452">
        <v>46055</v>
      </c>
      <c r="G2998">
        <v>23359</v>
      </c>
      <c r="H2998" t="s">
        <v>3932</v>
      </c>
      <c r="I2998" t="s">
        <v>3469</v>
      </c>
      <c r="J2998">
        <v>10</v>
      </c>
      <c r="K2998" t="s">
        <v>3892</v>
      </c>
      <c r="L2998">
        <v>27</v>
      </c>
      <c r="M2998">
        <v>2.7</v>
      </c>
      <c r="N2998" t="s">
        <v>4240</v>
      </c>
      <c r="O2998" t="s">
        <v>462</v>
      </c>
    </row>
    <row r="2999" spans="1:15" x14ac:dyDescent="0.3">
      <c r="A2999">
        <v>206383</v>
      </c>
      <c r="B2999">
        <v>116</v>
      </c>
      <c r="C2999" t="s">
        <v>568</v>
      </c>
      <c r="D2999" t="s">
        <v>2286</v>
      </c>
      <c r="E2999" t="s">
        <v>3051</v>
      </c>
      <c r="F2999" s="452">
        <v>46055</v>
      </c>
      <c r="G2999">
        <v>23236</v>
      </c>
      <c r="H2999" t="s">
        <v>4017</v>
      </c>
      <c r="I2999" t="s">
        <v>3469</v>
      </c>
      <c r="J2999">
        <v>3</v>
      </c>
      <c r="K2999" t="s">
        <v>3892</v>
      </c>
      <c r="L2999">
        <v>18</v>
      </c>
      <c r="M2999">
        <v>6</v>
      </c>
      <c r="N2999" t="s">
        <v>4240</v>
      </c>
      <c r="O2999" t="s">
        <v>462</v>
      </c>
    </row>
    <row r="3000" spans="1:15" x14ac:dyDescent="0.3">
      <c r="A3000">
        <v>206383</v>
      </c>
      <c r="B3000">
        <v>116</v>
      </c>
      <c r="C3000" t="s">
        <v>568</v>
      </c>
      <c r="D3000" t="s">
        <v>2286</v>
      </c>
      <c r="E3000" t="s">
        <v>3051</v>
      </c>
      <c r="F3000" s="452">
        <v>46055</v>
      </c>
      <c r="G3000">
        <v>23361</v>
      </c>
      <c r="H3000" t="s">
        <v>4220</v>
      </c>
      <c r="I3000" t="s">
        <v>3469</v>
      </c>
      <c r="J3000">
        <v>18</v>
      </c>
      <c r="K3000" t="s">
        <v>3892</v>
      </c>
      <c r="L3000">
        <v>58.5</v>
      </c>
      <c r="M3000">
        <v>3.25</v>
      </c>
      <c r="N3000" t="s">
        <v>4240</v>
      </c>
      <c r="O3000" t="s">
        <v>462</v>
      </c>
    </row>
    <row r="3001" spans="1:15" x14ac:dyDescent="0.3">
      <c r="A3001">
        <v>206383</v>
      </c>
      <c r="B3001">
        <v>116</v>
      </c>
      <c r="C3001" t="s">
        <v>568</v>
      </c>
      <c r="D3001" t="s">
        <v>2286</v>
      </c>
      <c r="E3001" t="s">
        <v>3051</v>
      </c>
      <c r="F3001" s="452">
        <v>46055</v>
      </c>
      <c r="G3001">
        <v>24037</v>
      </c>
      <c r="H3001" t="s">
        <v>4104</v>
      </c>
      <c r="I3001" t="s">
        <v>3469</v>
      </c>
      <c r="J3001">
        <v>2</v>
      </c>
      <c r="K3001" t="s">
        <v>3892</v>
      </c>
      <c r="L3001">
        <v>39</v>
      </c>
      <c r="M3001">
        <v>19.5</v>
      </c>
      <c r="N3001" t="s">
        <v>4240</v>
      </c>
      <c r="O3001" t="s">
        <v>462</v>
      </c>
    </row>
    <row r="3002" spans="1:15" x14ac:dyDescent="0.3">
      <c r="A3002">
        <v>206380</v>
      </c>
      <c r="B3002">
        <v>116</v>
      </c>
      <c r="C3002" t="s">
        <v>568</v>
      </c>
      <c r="D3002" t="s">
        <v>2314</v>
      </c>
      <c r="E3002" t="s">
        <v>3025</v>
      </c>
      <c r="F3002" s="452">
        <v>46056</v>
      </c>
      <c r="G3002">
        <v>17881</v>
      </c>
      <c r="H3002" t="s">
        <v>4095</v>
      </c>
      <c r="I3002" t="s">
        <v>3497</v>
      </c>
      <c r="J3002">
        <v>4</v>
      </c>
      <c r="K3002" t="s">
        <v>3888</v>
      </c>
      <c r="L3002">
        <v>0</v>
      </c>
      <c r="M3002">
        <v>0</v>
      </c>
      <c r="N3002" t="s">
        <v>4276</v>
      </c>
      <c r="O3002" t="s">
        <v>462</v>
      </c>
    </row>
    <row r="3003" spans="1:15" x14ac:dyDescent="0.3">
      <c r="A3003">
        <v>206376</v>
      </c>
      <c r="B3003">
        <v>116</v>
      </c>
      <c r="C3003" t="s">
        <v>568</v>
      </c>
      <c r="D3003" t="s">
        <v>2286</v>
      </c>
      <c r="E3003" t="s">
        <v>3052</v>
      </c>
      <c r="F3003" s="452">
        <v>46058</v>
      </c>
      <c r="G3003">
        <v>19787</v>
      </c>
      <c r="H3003" t="s">
        <v>3940</v>
      </c>
      <c r="I3003" t="s">
        <v>3469</v>
      </c>
      <c r="J3003">
        <v>4.5</v>
      </c>
      <c r="K3003" t="s">
        <v>3892</v>
      </c>
      <c r="L3003">
        <v>21.6</v>
      </c>
      <c r="M3003">
        <v>4.8</v>
      </c>
      <c r="N3003" t="s">
        <v>4240</v>
      </c>
      <c r="O3003" t="s">
        <v>462</v>
      </c>
    </row>
    <row r="3004" spans="1:15" x14ac:dyDescent="0.3">
      <c r="A3004">
        <v>206376</v>
      </c>
      <c r="B3004">
        <v>116</v>
      </c>
      <c r="C3004" t="s">
        <v>568</v>
      </c>
      <c r="D3004" t="s">
        <v>2286</v>
      </c>
      <c r="E3004" t="s">
        <v>3052</v>
      </c>
      <c r="F3004" s="452">
        <v>46058</v>
      </c>
      <c r="G3004">
        <v>24083</v>
      </c>
      <c r="H3004" t="s">
        <v>3898</v>
      </c>
      <c r="I3004" t="s">
        <v>3469</v>
      </c>
      <c r="J3004">
        <v>25</v>
      </c>
      <c r="K3004" t="s">
        <v>3892</v>
      </c>
      <c r="L3004">
        <v>95</v>
      </c>
      <c r="M3004">
        <v>3.8</v>
      </c>
      <c r="N3004" t="s">
        <v>4240</v>
      </c>
      <c r="O3004" t="s">
        <v>462</v>
      </c>
    </row>
    <row r="3005" spans="1:15" x14ac:dyDescent="0.3">
      <c r="A3005">
        <v>206376</v>
      </c>
      <c r="B3005">
        <v>116</v>
      </c>
      <c r="C3005" t="s">
        <v>568</v>
      </c>
      <c r="D3005" t="s">
        <v>2286</v>
      </c>
      <c r="E3005" t="s">
        <v>3052</v>
      </c>
      <c r="F3005" s="452">
        <v>46058</v>
      </c>
      <c r="G3005">
        <v>19506</v>
      </c>
      <c r="H3005" t="s">
        <v>4112</v>
      </c>
      <c r="I3005" t="s">
        <v>3469</v>
      </c>
      <c r="J3005">
        <v>0.2</v>
      </c>
      <c r="K3005" t="s">
        <v>3892</v>
      </c>
      <c r="L3005">
        <v>8</v>
      </c>
      <c r="M3005">
        <v>40</v>
      </c>
      <c r="N3005" t="s">
        <v>4240</v>
      </c>
      <c r="O3005" t="s">
        <v>462</v>
      </c>
    </row>
    <row r="3006" spans="1:15" x14ac:dyDescent="0.3">
      <c r="A3006">
        <v>206376</v>
      </c>
      <c r="B3006">
        <v>116</v>
      </c>
      <c r="C3006" t="s">
        <v>568</v>
      </c>
      <c r="D3006" t="s">
        <v>2286</v>
      </c>
      <c r="E3006" t="s">
        <v>3052</v>
      </c>
      <c r="F3006" s="452">
        <v>46058</v>
      </c>
      <c r="G3006">
        <v>19505</v>
      </c>
      <c r="H3006" t="s">
        <v>4101</v>
      </c>
      <c r="I3006" t="s">
        <v>3469</v>
      </c>
      <c r="J3006">
        <v>1</v>
      </c>
      <c r="K3006" t="s">
        <v>3892</v>
      </c>
      <c r="L3006">
        <v>13</v>
      </c>
      <c r="M3006">
        <v>13</v>
      </c>
      <c r="N3006" t="s">
        <v>4240</v>
      </c>
      <c r="O3006" t="s">
        <v>462</v>
      </c>
    </row>
    <row r="3007" spans="1:15" x14ac:dyDescent="0.3">
      <c r="A3007">
        <v>206376</v>
      </c>
      <c r="B3007">
        <v>116</v>
      </c>
      <c r="C3007" t="s">
        <v>568</v>
      </c>
      <c r="D3007" t="s">
        <v>2286</v>
      </c>
      <c r="E3007" t="s">
        <v>3052</v>
      </c>
      <c r="F3007" s="452">
        <v>46058</v>
      </c>
      <c r="G3007">
        <v>24509</v>
      </c>
      <c r="H3007" t="s">
        <v>3906</v>
      </c>
      <c r="I3007" t="s">
        <v>3469</v>
      </c>
      <c r="J3007">
        <v>6</v>
      </c>
      <c r="K3007" t="s">
        <v>3892</v>
      </c>
      <c r="L3007">
        <v>10.8</v>
      </c>
      <c r="M3007">
        <v>1.8</v>
      </c>
      <c r="N3007" t="s">
        <v>4240</v>
      </c>
      <c r="O3007" t="s">
        <v>462</v>
      </c>
    </row>
    <row r="3008" spans="1:15" x14ac:dyDescent="0.3">
      <c r="A3008">
        <v>206376</v>
      </c>
      <c r="B3008">
        <v>116</v>
      </c>
      <c r="C3008" t="s">
        <v>568</v>
      </c>
      <c r="D3008" t="s">
        <v>2286</v>
      </c>
      <c r="E3008" t="s">
        <v>3052</v>
      </c>
      <c r="F3008" s="452">
        <v>46058</v>
      </c>
      <c r="G3008">
        <v>19498</v>
      </c>
      <c r="H3008" t="s">
        <v>4065</v>
      </c>
      <c r="I3008" t="s">
        <v>3469</v>
      </c>
      <c r="J3008">
        <v>1</v>
      </c>
      <c r="K3008" t="s">
        <v>3892</v>
      </c>
      <c r="L3008">
        <v>15</v>
      </c>
      <c r="M3008">
        <v>15</v>
      </c>
      <c r="N3008" t="s">
        <v>4240</v>
      </c>
      <c r="O3008" t="s">
        <v>462</v>
      </c>
    </row>
    <row r="3009" spans="1:15" x14ac:dyDescent="0.3">
      <c r="A3009">
        <v>206376</v>
      </c>
      <c r="B3009">
        <v>116</v>
      </c>
      <c r="C3009" t="s">
        <v>568</v>
      </c>
      <c r="D3009" t="s">
        <v>2286</v>
      </c>
      <c r="E3009" t="s">
        <v>3052</v>
      </c>
      <c r="F3009" s="452">
        <v>46058</v>
      </c>
      <c r="G3009">
        <v>19742</v>
      </c>
      <c r="H3009" t="s">
        <v>4074</v>
      </c>
      <c r="I3009" t="s">
        <v>3469</v>
      </c>
      <c r="J3009">
        <v>1</v>
      </c>
      <c r="K3009" t="s">
        <v>3892</v>
      </c>
      <c r="L3009">
        <v>8</v>
      </c>
      <c r="M3009">
        <v>8</v>
      </c>
      <c r="N3009" t="s">
        <v>4240</v>
      </c>
      <c r="O3009" t="s">
        <v>462</v>
      </c>
    </row>
    <row r="3010" spans="1:15" x14ac:dyDescent="0.3">
      <c r="A3010">
        <v>206376</v>
      </c>
      <c r="B3010">
        <v>116</v>
      </c>
      <c r="C3010" t="s">
        <v>568</v>
      </c>
      <c r="D3010" t="s">
        <v>2286</v>
      </c>
      <c r="E3010" t="s">
        <v>3052</v>
      </c>
      <c r="F3010" s="452">
        <v>46058</v>
      </c>
      <c r="G3010">
        <v>19752</v>
      </c>
      <c r="H3010" t="s">
        <v>4042</v>
      </c>
      <c r="I3010" t="s">
        <v>3469</v>
      </c>
      <c r="J3010">
        <v>1</v>
      </c>
      <c r="K3010" t="s">
        <v>3892</v>
      </c>
      <c r="L3010">
        <v>8.5</v>
      </c>
      <c r="M3010">
        <v>8.5</v>
      </c>
      <c r="N3010" t="s">
        <v>4240</v>
      </c>
      <c r="O3010" t="s">
        <v>462</v>
      </c>
    </row>
    <row r="3011" spans="1:15" x14ac:dyDescent="0.3">
      <c r="A3011">
        <v>206376</v>
      </c>
      <c r="B3011">
        <v>116</v>
      </c>
      <c r="C3011" t="s">
        <v>568</v>
      </c>
      <c r="D3011" t="s">
        <v>2286</v>
      </c>
      <c r="E3011" t="s">
        <v>3052</v>
      </c>
      <c r="F3011" s="452">
        <v>46058</v>
      </c>
      <c r="G3011">
        <v>19740</v>
      </c>
      <c r="H3011" t="s">
        <v>3933</v>
      </c>
      <c r="I3011" t="s">
        <v>3469</v>
      </c>
      <c r="J3011">
        <v>4</v>
      </c>
      <c r="K3011" t="s">
        <v>3892</v>
      </c>
      <c r="L3011">
        <v>36</v>
      </c>
      <c r="M3011">
        <v>9</v>
      </c>
      <c r="N3011" t="s">
        <v>4240</v>
      </c>
      <c r="O3011" t="s">
        <v>462</v>
      </c>
    </row>
    <row r="3012" spans="1:15" x14ac:dyDescent="0.3">
      <c r="A3012">
        <v>206376</v>
      </c>
      <c r="B3012">
        <v>116</v>
      </c>
      <c r="C3012" t="s">
        <v>568</v>
      </c>
      <c r="D3012" t="s">
        <v>2286</v>
      </c>
      <c r="E3012" t="s">
        <v>3052</v>
      </c>
      <c r="F3012" s="452">
        <v>46058</v>
      </c>
      <c r="G3012">
        <v>19773</v>
      </c>
      <c r="H3012" t="s">
        <v>4168</v>
      </c>
      <c r="I3012" t="s">
        <v>3469</v>
      </c>
      <c r="J3012">
        <v>1</v>
      </c>
      <c r="K3012" t="s">
        <v>3892</v>
      </c>
      <c r="L3012">
        <v>15</v>
      </c>
      <c r="M3012">
        <v>15</v>
      </c>
      <c r="N3012" t="s">
        <v>4240</v>
      </c>
      <c r="O3012" t="s">
        <v>462</v>
      </c>
    </row>
    <row r="3013" spans="1:15" x14ac:dyDescent="0.3">
      <c r="A3013">
        <v>206376</v>
      </c>
      <c r="B3013">
        <v>116</v>
      </c>
      <c r="C3013" t="s">
        <v>568</v>
      </c>
      <c r="D3013" t="s">
        <v>2286</v>
      </c>
      <c r="E3013" t="s">
        <v>3052</v>
      </c>
      <c r="F3013" s="452">
        <v>46058</v>
      </c>
      <c r="G3013">
        <v>23096</v>
      </c>
      <c r="H3013" t="s">
        <v>3876</v>
      </c>
      <c r="I3013" t="s">
        <v>3469</v>
      </c>
      <c r="J3013">
        <v>60</v>
      </c>
      <c r="K3013" t="s">
        <v>3872</v>
      </c>
      <c r="L3013">
        <v>40.799999999999997</v>
      </c>
      <c r="M3013">
        <v>0.68</v>
      </c>
      <c r="N3013" t="s">
        <v>4240</v>
      </c>
      <c r="O3013" t="s">
        <v>462</v>
      </c>
    </row>
    <row r="3014" spans="1:15" x14ac:dyDescent="0.3">
      <c r="A3014">
        <v>206376</v>
      </c>
      <c r="B3014">
        <v>116</v>
      </c>
      <c r="C3014" t="s">
        <v>568</v>
      </c>
      <c r="D3014" t="s">
        <v>2286</v>
      </c>
      <c r="E3014" t="s">
        <v>3052</v>
      </c>
      <c r="F3014" s="452">
        <v>46058</v>
      </c>
      <c r="G3014">
        <v>23113</v>
      </c>
      <c r="H3014" t="s">
        <v>4079</v>
      </c>
      <c r="I3014" t="s">
        <v>3469</v>
      </c>
      <c r="J3014">
        <v>1.5</v>
      </c>
      <c r="K3014" t="s">
        <v>3892</v>
      </c>
      <c r="L3014">
        <v>12</v>
      </c>
      <c r="M3014">
        <v>8</v>
      </c>
      <c r="N3014" t="s">
        <v>4240</v>
      </c>
      <c r="O3014" t="s">
        <v>462</v>
      </c>
    </row>
    <row r="3015" spans="1:15" x14ac:dyDescent="0.3">
      <c r="A3015">
        <v>206376</v>
      </c>
      <c r="B3015">
        <v>116</v>
      </c>
      <c r="C3015" t="s">
        <v>568</v>
      </c>
      <c r="D3015" t="s">
        <v>2286</v>
      </c>
      <c r="E3015" t="s">
        <v>3052</v>
      </c>
      <c r="F3015" s="452">
        <v>46058</v>
      </c>
      <c r="G3015">
        <v>23120</v>
      </c>
      <c r="H3015" t="s">
        <v>4111</v>
      </c>
      <c r="I3015" t="s">
        <v>3469</v>
      </c>
      <c r="J3015">
        <v>0.2</v>
      </c>
      <c r="K3015" t="s">
        <v>3892</v>
      </c>
      <c r="L3015">
        <v>13</v>
      </c>
      <c r="M3015">
        <v>65</v>
      </c>
      <c r="N3015" t="s">
        <v>4240</v>
      </c>
      <c r="O3015" t="s">
        <v>462</v>
      </c>
    </row>
    <row r="3016" spans="1:15" x14ac:dyDescent="0.3">
      <c r="A3016">
        <v>206376</v>
      </c>
      <c r="B3016">
        <v>116</v>
      </c>
      <c r="C3016" t="s">
        <v>568</v>
      </c>
      <c r="D3016" t="s">
        <v>2286</v>
      </c>
      <c r="E3016" t="s">
        <v>3052</v>
      </c>
      <c r="F3016" s="452">
        <v>46058</v>
      </c>
      <c r="G3016">
        <v>23236</v>
      </c>
      <c r="H3016" t="s">
        <v>4017</v>
      </c>
      <c r="I3016" t="s">
        <v>3469</v>
      </c>
      <c r="J3016">
        <v>3</v>
      </c>
      <c r="K3016" t="s">
        <v>3892</v>
      </c>
      <c r="L3016">
        <v>19.5</v>
      </c>
      <c r="M3016">
        <v>6.5</v>
      </c>
      <c r="N3016" t="s">
        <v>4240</v>
      </c>
      <c r="O3016" t="s">
        <v>462</v>
      </c>
    </row>
    <row r="3017" spans="1:15" x14ac:dyDescent="0.3">
      <c r="A3017">
        <v>206376</v>
      </c>
      <c r="B3017">
        <v>116</v>
      </c>
      <c r="C3017" t="s">
        <v>568</v>
      </c>
      <c r="D3017" t="s">
        <v>2286</v>
      </c>
      <c r="E3017" t="s">
        <v>3052</v>
      </c>
      <c r="F3017" s="452">
        <v>46058</v>
      </c>
      <c r="G3017">
        <v>23171</v>
      </c>
      <c r="H3017" t="s">
        <v>4132</v>
      </c>
      <c r="I3017" t="s">
        <v>3469</v>
      </c>
      <c r="J3017">
        <v>3</v>
      </c>
      <c r="K3017" t="s">
        <v>3892</v>
      </c>
      <c r="L3017">
        <v>20.399999999999999</v>
      </c>
      <c r="M3017">
        <v>6.8</v>
      </c>
      <c r="N3017" t="s">
        <v>4240</v>
      </c>
      <c r="O3017" t="s">
        <v>462</v>
      </c>
    </row>
    <row r="3018" spans="1:15" x14ac:dyDescent="0.3">
      <c r="A3018">
        <v>206376</v>
      </c>
      <c r="B3018">
        <v>116</v>
      </c>
      <c r="C3018" t="s">
        <v>568</v>
      </c>
      <c r="D3018" t="s">
        <v>2286</v>
      </c>
      <c r="E3018" t="s">
        <v>3052</v>
      </c>
      <c r="F3018" s="452">
        <v>46058</v>
      </c>
      <c r="G3018">
        <v>23359</v>
      </c>
      <c r="H3018" t="s">
        <v>3932</v>
      </c>
      <c r="I3018" t="s">
        <v>3469</v>
      </c>
      <c r="J3018">
        <v>10</v>
      </c>
      <c r="K3018" t="s">
        <v>3892</v>
      </c>
      <c r="L3018">
        <v>23.5</v>
      </c>
      <c r="M3018">
        <v>2.35</v>
      </c>
      <c r="N3018" t="s">
        <v>4240</v>
      </c>
      <c r="O3018" t="s">
        <v>462</v>
      </c>
    </row>
    <row r="3019" spans="1:15" x14ac:dyDescent="0.3">
      <c r="A3019">
        <v>206376</v>
      </c>
      <c r="B3019">
        <v>116</v>
      </c>
      <c r="C3019" t="s">
        <v>568</v>
      </c>
      <c r="D3019" t="s">
        <v>2286</v>
      </c>
      <c r="E3019" t="s">
        <v>3052</v>
      </c>
      <c r="F3019" s="452">
        <v>46058</v>
      </c>
      <c r="G3019">
        <v>23361</v>
      </c>
      <c r="H3019" t="s">
        <v>4220</v>
      </c>
      <c r="I3019" t="s">
        <v>3469</v>
      </c>
      <c r="J3019">
        <v>36</v>
      </c>
      <c r="K3019" t="s">
        <v>3892</v>
      </c>
      <c r="L3019">
        <v>108</v>
      </c>
      <c r="M3019">
        <v>3</v>
      </c>
      <c r="N3019" t="s">
        <v>4240</v>
      </c>
      <c r="O3019" t="s">
        <v>462</v>
      </c>
    </row>
    <row r="3020" spans="1:15" x14ac:dyDescent="0.3">
      <c r="A3020">
        <v>206376</v>
      </c>
      <c r="B3020">
        <v>116</v>
      </c>
      <c r="C3020" t="s">
        <v>568</v>
      </c>
      <c r="D3020" t="s">
        <v>2286</v>
      </c>
      <c r="E3020" t="s">
        <v>3052</v>
      </c>
      <c r="F3020" s="452">
        <v>46058</v>
      </c>
      <c r="G3020">
        <v>23389</v>
      </c>
      <c r="H3020" t="s">
        <v>4016</v>
      </c>
      <c r="I3020" t="s">
        <v>3469</v>
      </c>
      <c r="J3020">
        <v>6</v>
      </c>
      <c r="K3020" t="s">
        <v>3892</v>
      </c>
      <c r="L3020">
        <v>33</v>
      </c>
      <c r="M3020">
        <v>5.5</v>
      </c>
      <c r="N3020" t="s">
        <v>4240</v>
      </c>
      <c r="O3020" t="s">
        <v>462</v>
      </c>
    </row>
    <row r="3021" spans="1:15" x14ac:dyDescent="0.3">
      <c r="A3021">
        <v>206376</v>
      </c>
      <c r="B3021">
        <v>116</v>
      </c>
      <c r="C3021" t="s">
        <v>568</v>
      </c>
      <c r="D3021" t="s">
        <v>2286</v>
      </c>
      <c r="E3021" t="s">
        <v>3052</v>
      </c>
      <c r="F3021" s="452">
        <v>46058</v>
      </c>
      <c r="G3021">
        <v>19583</v>
      </c>
      <c r="H3021" t="s">
        <v>4076</v>
      </c>
      <c r="I3021" t="s">
        <v>3469</v>
      </c>
      <c r="J3021">
        <v>1</v>
      </c>
      <c r="K3021" t="s">
        <v>3892</v>
      </c>
      <c r="L3021">
        <v>40</v>
      </c>
      <c r="M3021">
        <v>40</v>
      </c>
      <c r="N3021" t="s">
        <v>4240</v>
      </c>
      <c r="O3021" t="s">
        <v>462</v>
      </c>
    </row>
    <row r="3022" spans="1:15" x14ac:dyDescent="0.3">
      <c r="A3022">
        <v>206376</v>
      </c>
      <c r="B3022">
        <v>116</v>
      </c>
      <c r="C3022" t="s">
        <v>568</v>
      </c>
      <c r="D3022" t="s">
        <v>2286</v>
      </c>
      <c r="E3022" t="s">
        <v>3052</v>
      </c>
      <c r="F3022" s="452">
        <v>46058</v>
      </c>
      <c r="G3022">
        <v>23095</v>
      </c>
      <c r="H3022" t="s">
        <v>3882</v>
      </c>
      <c r="I3022" t="s">
        <v>3469</v>
      </c>
      <c r="J3022">
        <v>60</v>
      </c>
      <c r="K3022" t="s">
        <v>3872</v>
      </c>
      <c r="L3022">
        <v>57</v>
      </c>
      <c r="M3022">
        <v>0.95</v>
      </c>
      <c r="N3022" t="s">
        <v>4240</v>
      </c>
      <c r="O3022" t="s">
        <v>462</v>
      </c>
    </row>
    <row r="3023" spans="1:15" x14ac:dyDescent="0.3">
      <c r="A3023">
        <v>206376</v>
      </c>
      <c r="B3023">
        <v>116</v>
      </c>
      <c r="C3023" t="s">
        <v>568</v>
      </c>
      <c r="D3023" t="s">
        <v>2286</v>
      </c>
      <c r="E3023" t="s">
        <v>3052</v>
      </c>
      <c r="F3023" s="452">
        <v>46058</v>
      </c>
      <c r="G3023">
        <v>24037</v>
      </c>
      <c r="H3023" t="s">
        <v>4104</v>
      </c>
      <c r="I3023" t="s">
        <v>3469</v>
      </c>
      <c r="J3023">
        <v>2</v>
      </c>
      <c r="K3023" t="s">
        <v>3892</v>
      </c>
      <c r="L3023">
        <v>38</v>
      </c>
      <c r="M3023">
        <v>19</v>
      </c>
      <c r="N3023" t="s">
        <v>4240</v>
      </c>
      <c r="O3023" t="s">
        <v>462</v>
      </c>
    </row>
    <row r="3024" spans="1:15" x14ac:dyDescent="0.3">
      <c r="A3024">
        <v>206376</v>
      </c>
      <c r="B3024">
        <v>116</v>
      </c>
      <c r="C3024" t="s">
        <v>568</v>
      </c>
      <c r="D3024" t="s">
        <v>2286</v>
      </c>
      <c r="E3024" t="s">
        <v>3052</v>
      </c>
      <c r="F3024" s="452">
        <v>46058</v>
      </c>
      <c r="G3024">
        <v>19689</v>
      </c>
      <c r="H3024" t="s">
        <v>4073</v>
      </c>
      <c r="I3024" t="s">
        <v>3469</v>
      </c>
      <c r="J3024">
        <v>2</v>
      </c>
      <c r="K3024" t="s">
        <v>3892</v>
      </c>
      <c r="L3024">
        <v>15</v>
      </c>
      <c r="M3024">
        <v>7.5</v>
      </c>
      <c r="N3024" t="s">
        <v>4240</v>
      </c>
      <c r="O3024" t="s">
        <v>462</v>
      </c>
    </row>
    <row r="3025" spans="1:15" x14ac:dyDescent="0.3">
      <c r="A3025">
        <v>206374</v>
      </c>
      <c r="B3025">
        <v>116</v>
      </c>
      <c r="C3025" t="s">
        <v>568</v>
      </c>
      <c r="D3025" t="s">
        <v>3053</v>
      </c>
      <c r="E3025" t="s">
        <v>3054</v>
      </c>
      <c r="F3025" s="452">
        <v>46039</v>
      </c>
      <c r="G3025">
        <v>17006</v>
      </c>
      <c r="H3025" t="s">
        <v>4128</v>
      </c>
      <c r="I3025" t="s">
        <v>3469</v>
      </c>
      <c r="J3025">
        <v>13.6</v>
      </c>
      <c r="K3025" t="s">
        <v>3892</v>
      </c>
      <c r="L3025">
        <v>176.8</v>
      </c>
      <c r="M3025">
        <v>13</v>
      </c>
      <c r="N3025" t="s">
        <v>4240</v>
      </c>
      <c r="O3025" t="s">
        <v>461</v>
      </c>
    </row>
    <row r="3026" spans="1:15" x14ac:dyDescent="0.3">
      <c r="A3026">
        <v>206366</v>
      </c>
      <c r="B3026">
        <v>116</v>
      </c>
      <c r="C3026" t="s">
        <v>568</v>
      </c>
      <c r="D3026" t="s">
        <v>3055</v>
      </c>
      <c r="E3026" t="s">
        <v>3056</v>
      </c>
      <c r="F3026" s="452">
        <v>46057</v>
      </c>
      <c r="G3026">
        <v>23687</v>
      </c>
      <c r="H3026" t="s">
        <v>4285</v>
      </c>
      <c r="I3026" t="s">
        <v>3469</v>
      </c>
      <c r="J3026">
        <v>25.15</v>
      </c>
      <c r="K3026" t="s">
        <v>3892</v>
      </c>
      <c r="L3026">
        <v>324.37</v>
      </c>
      <c r="M3026">
        <v>12.897416</v>
      </c>
      <c r="N3026" t="s">
        <v>4389</v>
      </c>
      <c r="O3026" t="s">
        <v>462</v>
      </c>
    </row>
    <row r="3027" spans="1:15" x14ac:dyDescent="0.3">
      <c r="A3027">
        <v>206366</v>
      </c>
      <c r="B3027">
        <v>116</v>
      </c>
      <c r="C3027" t="s">
        <v>568</v>
      </c>
      <c r="D3027" t="s">
        <v>3055</v>
      </c>
      <c r="E3027" t="s">
        <v>3056</v>
      </c>
      <c r="F3027" s="452">
        <v>46057</v>
      </c>
      <c r="G3027">
        <v>19130</v>
      </c>
      <c r="H3027" t="s">
        <v>4284</v>
      </c>
      <c r="I3027" t="s">
        <v>3469</v>
      </c>
      <c r="J3027">
        <v>929</v>
      </c>
      <c r="K3027" t="s">
        <v>3892</v>
      </c>
      <c r="L3027">
        <v>1068.3499999999999</v>
      </c>
      <c r="M3027">
        <v>1.1499999999999999</v>
      </c>
      <c r="N3027" t="s">
        <v>4389</v>
      </c>
      <c r="O3027" t="s">
        <v>462</v>
      </c>
    </row>
    <row r="3028" spans="1:15" x14ac:dyDescent="0.3">
      <c r="A3028">
        <v>206362</v>
      </c>
      <c r="B3028">
        <v>116</v>
      </c>
      <c r="C3028" t="s">
        <v>568</v>
      </c>
      <c r="D3028" t="s">
        <v>2260</v>
      </c>
      <c r="E3028" t="s">
        <v>3057</v>
      </c>
      <c r="F3028" s="452">
        <v>46056</v>
      </c>
      <c r="G3028">
        <v>28212</v>
      </c>
      <c r="H3028" t="s">
        <v>4156</v>
      </c>
      <c r="I3028" t="s">
        <v>3469</v>
      </c>
      <c r="J3028">
        <v>5.2</v>
      </c>
      <c r="K3028" t="s">
        <v>3892</v>
      </c>
      <c r="L3028">
        <v>228.8</v>
      </c>
      <c r="M3028">
        <v>44</v>
      </c>
      <c r="N3028" t="s">
        <v>4240</v>
      </c>
      <c r="O3028" t="s">
        <v>462</v>
      </c>
    </row>
    <row r="3029" spans="1:15" x14ac:dyDescent="0.3">
      <c r="A3029">
        <v>206358</v>
      </c>
      <c r="B3029">
        <v>116</v>
      </c>
      <c r="C3029" t="s">
        <v>568</v>
      </c>
      <c r="D3029" t="s">
        <v>2320</v>
      </c>
      <c r="E3029" t="s">
        <v>3058</v>
      </c>
      <c r="F3029" s="452">
        <v>46057</v>
      </c>
      <c r="G3029">
        <v>22857</v>
      </c>
      <c r="H3029" t="s">
        <v>4130</v>
      </c>
      <c r="I3029" t="s">
        <v>3469</v>
      </c>
      <c r="J3029">
        <v>17.190000000000001</v>
      </c>
      <c r="K3029" t="s">
        <v>3892</v>
      </c>
      <c r="L3029">
        <v>1202.78</v>
      </c>
      <c r="M3029">
        <v>69.969750000000005</v>
      </c>
      <c r="N3029" t="s">
        <v>4240</v>
      </c>
      <c r="O3029" t="s">
        <v>462</v>
      </c>
    </row>
    <row r="3030" spans="1:15" x14ac:dyDescent="0.3">
      <c r="A3030">
        <v>206357</v>
      </c>
      <c r="B3030">
        <v>116</v>
      </c>
      <c r="C3030" t="s">
        <v>568</v>
      </c>
      <c r="D3030" t="s">
        <v>2265</v>
      </c>
      <c r="E3030" t="s">
        <v>3059</v>
      </c>
      <c r="F3030" s="452">
        <v>46056</v>
      </c>
      <c r="G3030">
        <v>17129</v>
      </c>
      <c r="H3030" t="s">
        <v>4200</v>
      </c>
      <c r="I3030" t="s">
        <v>4199</v>
      </c>
      <c r="J3030">
        <v>1</v>
      </c>
      <c r="K3030" t="s">
        <v>3888</v>
      </c>
      <c r="L3030">
        <v>29.9</v>
      </c>
      <c r="M3030">
        <v>29.9</v>
      </c>
      <c r="N3030" t="s">
        <v>2176</v>
      </c>
      <c r="O3030" t="s">
        <v>462</v>
      </c>
    </row>
    <row r="3031" spans="1:15" x14ac:dyDescent="0.3">
      <c r="A3031">
        <v>206357</v>
      </c>
      <c r="B3031">
        <v>116</v>
      </c>
      <c r="C3031" t="s">
        <v>568</v>
      </c>
      <c r="D3031" t="s">
        <v>2265</v>
      </c>
      <c r="E3031" t="s">
        <v>3059</v>
      </c>
      <c r="F3031" s="452">
        <v>46056</v>
      </c>
      <c r="G3031">
        <v>17405</v>
      </c>
      <c r="H3031" t="s">
        <v>4251</v>
      </c>
      <c r="I3031" t="s">
        <v>4199</v>
      </c>
      <c r="J3031">
        <v>1</v>
      </c>
      <c r="K3031" t="s">
        <v>3872</v>
      </c>
      <c r="L3031">
        <v>10</v>
      </c>
      <c r="M3031">
        <v>10</v>
      </c>
      <c r="N3031" t="s">
        <v>2176</v>
      </c>
      <c r="O3031" t="s">
        <v>462</v>
      </c>
    </row>
    <row r="3032" spans="1:15" x14ac:dyDescent="0.3">
      <c r="A3032">
        <v>206357</v>
      </c>
      <c r="B3032">
        <v>116</v>
      </c>
      <c r="C3032" t="s">
        <v>568</v>
      </c>
      <c r="D3032" t="s">
        <v>2265</v>
      </c>
      <c r="E3032" t="s">
        <v>3059</v>
      </c>
      <c r="F3032" s="452">
        <v>46056</v>
      </c>
      <c r="G3032">
        <v>17437</v>
      </c>
      <c r="H3032" t="s">
        <v>4198</v>
      </c>
      <c r="I3032" t="s">
        <v>4199</v>
      </c>
      <c r="J3032">
        <v>10</v>
      </c>
      <c r="K3032" t="s">
        <v>3872</v>
      </c>
      <c r="L3032">
        <v>25</v>
      </c>
      <c r="M3032">
        <v>2.5</v>
      </c>
      <c r="N3032" t="s">
        <v>2176</v>
      </c>
      <c r="O3032" t="s">
        <v>462</v>
      </c>
    </row>
    <row r="3033" spans="1:15" x14ac:dyDescent="0.3">
      <c r="A3033">
        <v>206357</v>
      </c>
      <c r="B3033">
        <v>116</v>
      </c>
      <c r="C3033" t="s">
        <v>568</v>
      </c>
      <c r="D3033" t="s">
        <v>2265</v>
      </c>
      <c r="E3033" t="s">
        <v>3059</v>
      </c>
      <c r="F3033" s="452">
        <v>46056</v>
      </c>
      <c r="G3033">
        <v>17455</v>
      </c>
      <c r="H3033" t="s">
        <v>4231</v>
      </c>
      <c r="I3033" t="s">
        <v>4199</v>
      </c>
      <c r="J3033">
        <v>2</v>
      </c>
      <c r="K3033" t="s">
        <v>3872</v>
      </c>
      <c r="L3033">
        <v>76</v>
      </c>
      <c r="M3033">
        <v>38</v>
      </c>
      <c r="N3033" t="s">
        <v>2176</v>
      </c>
      <c r="O3033" t="s">
        <v>462</v>
      </c>
    </row>
    <row r="3034" spans="1:15" x14ac:dyDescent="0.3">
      <c r="A3034">
        <v>206357</v>
      </c>
      <c r="B3034">
        <v>116</v>
      </c>
      <c r="C3034" t="s">
        <v>568</v>
      </c>
      <c r="D3034" t="s">
        <v>2265</v>
      </c>
      <c r="E3034" t="s">
        <v>3059</v>
      </c>
      <c r="F3034" s="452">
        <v>46056</v>
      </c>
      <c r="G3034">
        <v>17314</v>
      </c>
      <c r="H3034" t="s">
        <v>4204</v>
      </c>
      <c r="I3034" t="s">
        <v>4199</v>
      </c>
      <c r="J3034">
        <v>3</v>
      </c>
      <c r="K3034" t="s">
        <v>3978</v>
      </c>
      <c r="L3034">
        <v>18.3</v>
      </c>
      <c r="M3034">
        <v>6.1</v>
      </c>
      <c r="N3034" t="s">
        <v>2176</v>
      </c>
      <c r="O3034" t="s">
        <v>462</v>
      </c>
    </row>
    <row r="3035" spans="1:15" x14ac:dyDescent="0.3">
      <c r="A3035">
        <v>206357</v>
      </c>
      <c r="B3035">
        <v>116</v>
      </c>
      <c r="C3035" t="s">
        <v>568</v>
      </c>
      <c r="D3035" t="s">
        <v>2265</v>
      </c>
      <c r="E3035" t="s">
        <v>3059</v>
      </c>
      <c r="F3035" s="452">
        <v>46056</v>
      </c>
      <c r="G3035">
        <v>17342</v>
      </c>
      <c r="H3035" t="s">
        <v>4208</v>
      </c>
      <c r="I3035" t="s">
        <v>4199</v>
      </c>
      <c r="J3035">
        <v>1</v>
      </c>
      <c r="K3035" t="s">
        <v>3931</v>
      </c>
      <c r="L3035">
        <v>34.229999999999997</v>
      </c>
      <c r="M3035">
        <v>34.229999999999997</v>
      </c>
      <c r="N3035" t="s">
        <v>2176</v>
      </c>
      <c r="O3035" t="s">
        <v>462</v>
      </c>
    </row>
    <row r="3036" spans="1:15" x14ac:dyDescent="0.3">
      <c r="A3036">
        <v>206357</v>
      </c>
      <c r="B3036">
        <v>116</v>
      </c>
      <c r="C3036" t="s">
        <v>568</v>
      </c>
      <c r="D3036" t="s">
        <v>2265</v>
      </c>
      <c r="E3036" t="s">
        <v>3059</v>
      </c>
      <c r="F3036" s="452">
        <v>46056</v>
      </c>
      <c r="G3036">
        <v>17404</v>
      </c>
      <c r="H3036" t="s">
        <v>4282</v>
      </c>
      <c r="I3036" t="s">
        <v>4199</v>
      </c>
      <c r="J3036">
        <v>1</v>
      </c>
      <c r="K3036" t="s">
        <v>3872</v>
      </c>
      <c r="L3036">
        <v>19.899999999999999</v>
      </c>
      <c r="M3036">
        <v>19.899999999999999</v>
      </c>
      <c r="N3036" t="s">
        <v>2176</v>
      </c>
      <c r="O3036" t="s">
        <v>462</v>
      </c>
    </row>
    <row r="3037" spans="1:15" x14ac:dyDescent="0.3">
      <c r="A3037">
        <v>206357</v>
      </c>
      <c r="B3037">
        <v>116</v>
      </c>
      <c r="C3037" t="s">
        <v>568</v>
      </c>
      <c r="D3037" t="s">
        <v>2265</v>
      </c>
      <c r="E3037" t="s">
        <v>3059</v>
      </c>
      <c r="F3037" s="452">
        <v>46056</v>
      </c>
      <c r="G3037">
        <v>21587</v>
      </c>
      <c r="H3037" t="s">
        <v>4249</v>
      </c>
      <c r="I3037" t="s">
        <v>4199</v>
      </c>
      <c r="J3037">
        <v>6</v>
      </c>
      <c r="K3037" t="s">
        <v>3872</v>
      </c>
      <c r="L3037">
        <v>53.4</v>
      </c>
      <c r="M3037">
        <v>8.9</v>
      </c>
      <c r="N3037" t="s">
        <v>2176</v>
      </c>
      <c r="O3037" t="s">
        <v>462</v>
      </c>
    </row>
    <row r="3038" spans="1:15" x14ac:dyDescent="0.3">
      <c r="A3038">
        <v>206357</v>
      </c>
      <c r="B3038">
        <v>116</v>
      </c>
      <c r="C3038" t="s">
        <v>568</v>
      </c>
      <c r="D3038" t="s">
        <v>2265</v>
      </c>
      <c r="E3038" t="s">
        <v>3059</v>
      </c>
      <c r="F3038" s="452">
        <v>46056</v>
      </c>
      <c r="G3038">
        <v>17215</v>
      </c>
      <c r="H3038" t="s">
        <v>4283</v>
      </c>
      <c r="I3038" t="s">
        <v>4199</v>
      </c>
      <c r="J3038">
        <v>4</v>
      </c>
      <c r="K3038" t="s">
        <v>3978</v>
      </c>
      <c r="L3038">
        <v>80</v>
      </c>
      <c r="M3038">
        <v>20</v>
      </c>
      <c r="N3038" t="s">
        <v>2176</v>
      </c>
      <c r="O3038" t="s">
        <v>462</v>
      </c>
    </row>
    <row r="3039" spans="1:15" x14ac:dyDescent="0.3">
      <c r="A3039">
        <v>206357</v>
      </c>
      <c r="B3039">
        <v>116</v>
      </c>
      <c r="C3039" t="s">
        <v>568</v>
      </c>
      <c r="D3039" t="s">
        <v>2265</v>
      </c>
      <c r="E3039" t="s">
        <v>3059</v>
      </c>
      <c r="F3039" s="452">
        <v>46056</v>
      </c>
      <c r="G3039">
        <v>17017</v>
      </c>
      <c r="H3039" t="s">
        <v>4230</v>
      </c>
      <c r="I3039" t="s">
        <v>4199</v>
      </c>
      <c r="J3039">
        <v>2</v>
      </c>
      <c r="K3039" t="s">
        <v>3888</v>
      </c>
      <c r="L3039">
        <v>7</v>
      </c>
      <c r="M3039">
        <v>3.5</v>
      </c>
      <c r="N3039" t="s">
        <v>2176</v>
      </c>
      <c r="O3039" t="s">
        <v>462</v>
      </c>
    </row>
    <row r="3040" spans="1:15" x14ac:dyDescent="0.3">
      <c r="A3040">
        <v>206357</v>
      </c>
      <c r="B3040">
        <v>116</v>
      </c>
      <c r="C3040" t="s">
        <v>568</v>
      </c>
      <c r="D3040" t="s">
        <v>2265</v>
      </c>
      <c r="E3040" t="s">
        <v>3059</v>
      </c>
      <c r="F3040" s="452">
        <v>46056</v>
      </c>
      <c r="G3040">
        <v>17377</v>
      </c>
      <c r="H3040" t="s">
        <v>4390</v>
      </c>
      <c r="I3040" t="s">
        <v>4199</v>
      </c>
      <c r="J3040">
        <v>1</v>
      </c>
      <c r="K3040" t="s">
        <v>3872</v>
      </c>
      <c r="L3040">
        <v>155</v>
      </c>
      <c r="M3040">
        <v>155</v>
      </c>
      <c r="N3040" t="s">
        <v>2176</v>
      </c>
      <c r="O3040" t="s">
        <v>462</v>
      </c>
    </row>
    <row r="3041" spans="1:15" x14ac:dyDescent="0.3">
      <c r="A3041">
        <v>206357</v>
      </c>
      <c r="B3041">
        <v>116</v>
      </c>
      <c r="C3041" t="s">
        <v>568</v>
      </c>
      <c r="D3041" t="s">
        <v>2265</v>
      </c>
      <c r="E3041" t="s">
        <v>3059</v>
      </c>
      <c r="F3041" s="452">
        <v>46056</v>
      </c>
      <c r="G3041">
        <v>17381</v>
      </c>
      <c r="H3041" t="s">
        <v>4247</v>
      </c>
      <c r="I3041" t="s">
        <v>4199</v>
      </c>
      <c r="J3041">
        <v>1</v>
      </c>
      <c r="K3041" t="s">
        <v>3872</v>
      </c>
      <c r="L3041">
        <v>42</v>
      </c>
      <c r="M3041">
        <v>42</v>
      </c>
      <c r="N3041" t="s">
        <v>2176</v>
      </c>
      <c r="O3041" t="s">
        <v>462</v>
      </c>
    </row>
    <row r="3042" spans="1:15" x14ac:dyDescent="0.3">
      <c r="A3042">
        <v>206357</v>
      </c>
      <c r="B3042">
        <v>116</v>
      </c>
      <c r="C3042" t="s">
        <v>568</v>
      </c>
      <c r="D3042" t="s">
        <v>2265</v>
      </c>
      <c r="E3042" t="s">
        <v>3059</v>
      </c>
      <c r="F3042" s="452">
        <v>46056</v>
      </c>
      <c r="G3042">
        <v>17125</v>
      </c>
      <c r="H3042" t="s">
        <v>4391</v>
      </c>
      <c r="I3042" t="s">
        <v>4199</v>
      </c>
      <c r="J3042">
        <v>6</v>
      </c>
      <c r="K3042" t="s">
        <v>3872</v>
      </c>
      <c r="L3042">
        <v>25.2</v>
      </c>
      <c r="M3042">
        <v>4.2</v>
      </c>
      <c r="N3042" t="s">
        <v>2176</v>
      </c>
      <c r="O3042" t="s">
        <v>462</v>
      </c>
    </row>
    <row r="3043" spans="1:15" x14ac:dyDescent="0.3">
      <c r="A3043">
        <v>206357</v>
      </c>
      <c r="B3043">
        <v>116</v>
      </c>
      <c r="C3043" t="s">
        <v>568</v>
      </c>
      <c r="D3043" t="s">
        <v>2265</v>
      </c>
      <c r="E3043" t="s">
        <v>3059</v>
      </c>
      <c r="F3043" s="452">
        <v>46056</v>
      </c>
      <c r="G3043">
        <v>17362</v>
      </c>
      <c r="H3043" t="s">
        <v>4278</v>
      </c>
      <c r="I3043" t="s">
        <v>4199</v>
      </c>
      <c r="J3043">
        <v>1</v>
      </c>
      <c r="K3043" t="s">
        <v>3888</v>
      </c>
      <c r="L3043">
        <v>65</v>
      </c>
      <c r="M3043">
        <v>65</v>
      </c>
      <c r="N3043" t="s">
        <v>2176</v>
      </c>
      <c r="O3043" t="s">
        <v>462</v>
      </c>
    </row>
    <row r="3044" spans="1:15" x14ac:dyDescent="0.3">
      <c r="A3044">
        <v>206357</v>
      </c>
      <c r="B3044">
        <v>116</v>
      </c>
      <c r="C3044" t="s">
        <v>568</v>
      </c>
      <c r="D3044" t="s">
        <v>2265</v>
      </c>
      <c r="E3044" t="s">
        <v>3059</v>
      </c>
      <c r="F3044" s="452">
        <v>46056</v>
      </c>
      <c r="G3044">
        <v>24843</v>
      </c>
      <c r="H3044" t="s">
        <v>4392</v>
      </c>
      <c r="I3044" t="s">
        <v>4199</v>
      </c>
      <c r="J3044">
        <v>1</v>
      </c>
      <c r="K3044" t="s">
        <v>3881</v>
      </c>
      <c r="L3044">
        <v>58.9</v>
      </c>
      <c r="M3044">
        <v>58.9</v>
      </c>
      <c r="N3044" t="s">
        <v>2176</v>
      </c>
      <c r="O3044" t="s">
        <v>462</v>
      </c>
    </row>
    <row r="3045" spans="1:15" x14ac:dyDescent="0.3">
      <c r="A3045">
        <v>206357</v>
      </c>
      <c r="B3045">
        <v>116</v>
      </c>
      <c r="C3045" t="s">
        <v>568</v>
      </c>
      <c r="D3045" t="s">
        <v>2265</v>
      </c>
      <c r="E3045" t="s">
        <v>3059</v>
      </c>
      <c r="F3045" s="452">
        <v>46056</v>
      </c>
      <c r="G3045">
        <v>17416</v>
      </c>
      <c r="H3045" t="s">
        <v>4205</v>
      </c>
      <c r="I3045" t="s">
        <v>4199</v>
      </c>
      <c r="J3045">
        <v>3</v>
      </c>
      <c r="K3045" t="s">
        <v>3881</v>
      </c>
      <c r="L3045">
        <v>145.74</v>
      </c>
      <c r="M3045">
        <v>48.58</v>
      </c>
      <c r="N3045" t="s">
        <v>2176</v>
      </c>
      <c r="O3045" t="s">
        <v>462</v>
      </c>
    </row>
    <row r="3046" spans="1:15" x14ac:dyDescent="0.3">
      <c r="A3046">
        <v>206356</v>
      </c>
      <c r="B3046">
        <v>116</v>
      </c>
      <c r="C3046" t="s">
        <v>568</v>
      </c>
      <c r="D3046" t="s">
        <v>3060</v>
      </c>
      <c r="E3046" t="s">
        <v>3061</v>
      </c>
      <c r="F3046" s="452">
        <v>46056</v>
      </c>
      <c r="G3046">
        <v>27442</v>
      </c>
      <c r="H3046" t="s">
        <v>4393</v>
      </c>
      <c r="I3046" t="s">
        <v>4202</v>
      </c>
      <c r="J3046">
        <v>1</v>
      </c>
      <c r="K3046" t="s">
        <v>3872</v>
      </c>
      <c r="L3046">
        <v>4</v>
      </c>
      <c r="M3046">
        <v>4</v>
      </c>
      <c r="N3046" t="s">
        <v>4394</v>
      </c>
      <c r="O3046" t="s">
        <v>462</v>
      </c>
    </row>
    <row r="3047" spans="1:15" x14ac:dyDescent="0.3">
      <c r="A3047">
        <v>206355</v>
      </c>
      <c r="B3047">
        <v>116</v>
      </c>
      <c r="C3047" t="s">
        <v>568</v>
      </c>
      <c r="D3047" t="s">
        <v>3060</v>
      </c>
      <c r="E3047" t="s">
        <v>3062</v>
      </c>
      <c r="F3047" s="452">
        <v>46056</v>
      </c>
      <c r="G3047">
        <v>27268</v>
      </c>
      <c r="H3047" t="s">
        <v>4395</v>
      </c>
      <c r="I3047" t="s">
        <v>4202</v>
      </c>
      <c r="J3047">
        <v>13.62</v>
      </c>
      <c r="K3047" t="s">
        <v>3872</v>
      </c>
      <c r="L3047">
        <v>1146.94</v>
      </c>
      <c r="M3047">
        <v>84.209985000000003</v>
      </c>
      <c r="N3047" t="s">
        <v>4396</v>
      </c>
      <c r="O3047" t="s">
        <v>462</v>
      </c>
    </row>
    <row r="3048" spans="1:15" x14ac:dyDescent="0.3">
      <c r="A3048">
        <v>206353</v>
      </c>
      <c r="B3048">
        <v>116</v>
      </c>
      <c r="C3048" t="s">
        <v>568</v>
      </c>
      <c r="D3048" t="s">
        <v>2314</v>
      </c>
      <c r="E3048" t="s">
        <v>3063</v>
      </c>
      <c r="F3048" s="452">
        <v>46042</v>
      </c>
      <c r="G3048">
        <v>18636</v>
      </c>
      <c r="H3048" t="s">
        <v>3921</v>
      </c>
      <c r="I3048" t="s">
        <v>3497</v>
      </c>
      <c r="J3048">
        <v>8</v>
      </c>
      <c r="K3048" t="s">
        <v>3922</v>
      </c>
      <c r="L3048">
        <v>3862.4</v>
      </c>
      <c r="M3048">
        <v>482.8</v>
      </c>
      <c r="N3048" t="s">
        <v>4276</v>
      </c>
      <c r="O3048" t="s">
        <v>461</v>
      </c>
    </row>
    <row r="3049" spans="1:15" x14ac:dyDescent="0.3">
      <c r="A3049">
        <v>206353</v>
      </c>
      <c r="B3049">
        <v>116</v>
      </c>
      <c r="C3049" t="s">
        <v>568</v>
      </c>
      <c r="D3049" t="s">
        <v>2314</v>
      </c>
      <c r="E3049" t="s">
        <v>3063</v>
      </c>
      <c r="F3049" s="452">
        <v>46042</v>
      </c>
      <c r="G3049">
        <v>17895</v>
      </c>
      <c r="H3049" t="s">
        <v>4137</v>
      </c>
      <c r="I3049" t="s">
        <v>3497</v>
      </c>
      <c r="J3049">
        <v>5</v>
      </c>
      <c r="K3049" t="s">
        <v>3888</v>
      </c>
      <c r="L3049">
        <v>165</v>
      </c>
      <c r="M3049">
        <v>33</v>
      </c>
      <c r="N3049" t="s">
        <v>4276</v>
      </c>
      <c r="O3049" t="s">
        <v>461</v>
      </c>
    </row>
    <row r="3050" spans="1:15" x14ac:dyDescent="0.3">
      <c r="A3050">
        <v>206353</v>
      </c>
      <c r="B3050">
        <v>116</v>
      </c>
      <c r="C3050" t="s">
        <v>568</v>
      </c>
      <c r="D3050" t="s">
        <v>2314</v>
      </c>
      <c r="E3050" t="s">
        <v>3063</v>
      </c>
      <c r="F3050" s="452">
        <v>46042</v>
      </c>
      <c r="G3050">
        <v>18640</v>
      </c>
      <c r="H3050" t="s">
        <v>3994</v>
      </c>
      <c r="I3050" t="s">
        <v>3497</v>
      </c>
      <c r="J3050">
        <v>2</v>
      </c>
      <c r="K3050" t="s">
        <v>3922</v>
      </c>
      <c r="L3050">
        <v>612</v>
      </c>
      <c r="M3050">
        <v>306</v>
      </c>
      <c r="N3050" t="s">
        <v>4276</v>
      </c>
      <c r="O3050" t="s">
        <v>461</v>
      </c>
    </row>
    <row r="3051" spans="1:15" x14ac:dyDescent="0.3">
      <c r="A3051">
        <v>206353</v>
      </c>
      <c r="B3051">
        <v>116</v>
      </c>
      <c r="C3051" t="s">
        <v>568</v>
      </c>
      <c r="D3051" t="s">
        <v>2314</v>
      </c>
      <c r="E3051" t="s">
        <v>3063</v>
      </c>
      <c r="F3051" s="452">
        <v>46042</v>
      </c>
      <c r="G3051">
        <v>17886</v>
      </c>
      <c r="H3051" t="s">
        <v>3935</v>
      </c>
      <c r="I3051" t="s">
        <v>3497</v>
      </c>
      <c r="J3051">
        <v>5</v>
      </c>
      <c r="K3051" t="s">
        <v>3888</v>
      </c>
      <c r="L3051">
        <v>165</v>
      </c>
      <c r="M3051">
        <v>33</v>
      </c>
      <c r="N3051" t="s">
        <v>4276</v>
      </c>
      <c r="O3051" t="s">
        <v>461</v>
      </c>
    </row>
    <row r="3052" spans="1:15" x14ac:dyDescent="0.3">
      <c r="A3052">
        <v>206353</v>
      </c>
      <c r="B3052">
        <v>116</v>
      </c>
      <c r="C3052" t="s">
        <v>568</v>
      </c>
      <c r="D3052" t="s">
        <v>2314</v>
      </c>
      <c r="E3052" t="s">
        <v>3063</v>
      </c>
      <c r="F3052" s="452">
        <v>46042</v>
      </c>
      <c r="G3052">
        <v>17896</v>
      </c>
      <c r="H3052" t="s">
        <v>3972</v>
      </c>
      <c r="I3052" t="s">
        <v>3497</v>
      </c>
      <c r="J3052">
        <v>1</v>
      </c>
      <c r="K3052" t="s">
        <v>3888</v>
      </c>
      <c r="L3052">
        <v>46.08</v>
      </c>
      <c r="M3052">
        <v>46.08</v>
      </c>
      <c r="N3052" t="s">
        <v>4276</v>
      </c>
      <c r="O3052" t="s">
        <v>461</v>
      </c>
    </row>
    <row r="3053" spans="1:15" x14ac:dyDescent="0.3">
      <c r="A3053">
        <v>206353</v>
      </c>
      <c r="B3053">
        <v>116</v>
      </c>
      <c r="C3053" t="s">
        <v>568</v>
      </c>
      <c r="D3053" t="s">
        <v>2314</v>
      </c>
      <c r="E3053" t="s">
        <v>3063</v>
      </c>
      <c r="F3053" s="452">
        <v>46042</v>
      </c>
      <c r="G3053">
        <v>17903</v>
      </c>
      <c r="H3053" t="s">
        <v>3971</v>
      </c>
      <c r="I3053" t="s">
        <v>3497</v>
      </c>
      <c r="J3053">
        <v>5</v>
      </c>
      <c r="K3053" t="s">
        <v>3888</v>
      </c>
      <c r="L3053">
        <v>165</v>
      </c>
      <c r="M3053">
        <v>33</v>
      </c>
      <c r="N3053" t="s">
        <v>4276</v>
      </c>
      <c r="O3053" t="s">
        <v>461</v>
      </c>
    </row>
    <row r="3054" spans="1:15" x14ac:dyDescent="0.3">
      <c r="A3054">
        <v>206350</v>
      </c>
      <c r="B3054">
        <v>116</v>
      </c>
      <c r="C3054" t="s">
        <v>568</v>
      </c>
      <c r="D3054" t="s">
        <v>2314</v>
      </c>
      <c r="E3054" t="s">
        <v>3064</v>
      </c>
      <c r="F3054" s="452">
        <v>46044</v>
      </c>
      <c r="G3054">
        <v>17883</v>
      </c>
      <c r="H3054" t="s">
        <v>4136</v>
      </c>
      <c r="I3054" t="s">
        <v>3497</v>
      </c>
      <c r="J3054">
        <v>2</v>
      </c>
      <c r="K3054" t="s">
        <v>3888</v>
      </c>
      <c r="L3054">
        <v>56.64</v>
      </c>
      <c r="M3054">
        <v>28.32</v>
      </c>
      <c r="N3054" t="s">
        <v>3497</v>
      </c>
      <c r="O3054" t="s">
        <v>461</v>
      </c>
    </row>
    <row r="3055" spans="1:15" x14ac:dyDescent="0.3">
      <c r="A3055">
        <v>206350</v>
      </c>
      <c r="B3055">
        <v>116</v>
      </c>
      <c r="C3055" t="s">
        <v>568</v>
      </c>
      <c r="D3055" t="s">
        <v>2314</v>
      </c>
      <c r="E3055" t="s">
        <v>3064</v>
      </c>
      <c r="F3055" s="452">
        <v>46044</v>
      </c>
      <c r="G3055">
        <v>18640</v>
      </c>
      <c r="H3055" t="s">
        <v>3994</v>
      </c>
      <c r="I3055" t="s">
        <v>3497</v>
      </c>
      <c r="J3055">
        <v>1</v>
      </c>
      <c r="K3055" t="s">
        <v>3922</v>
      </c>
      <c r="L3055">
        <v>306</v>
      </c>
      <c r="M3055">
        <v>306</v>
      </c>
      <c r="N3055" t="s">
        <v>3497</v>
      </c>
      <c r="O3055" t="s">
        <v>461</v>
      </c>
    </row>
    <row r="3056" spans="1:15" x14ac:dyDescent="0.3">
      <c r="A3056">
        <v>205900</v>
      </c>
      <c r="B3056">
        <v>116</v>
      </c>
      <c r="C3056" t="s">
        <v>568</v>
      </c>
      <c r="D3056" t="s">
        <v>2284</v>
      </c>
      <c r="E3056" t="s">
        <v>3065</v>
      </c>
      <c r="F3056" s="452">
        <v>46050</v>
      </c>
      <c r="G3056">
        <v>20077</v>
      </c>
      <c r="H3056" t="s">
        <v>4054</v>
      </c>
      <c r="I3056" t="s">
        <v>3469</v>
      </c>
      <c r="J3056">
        <v>1</v>
      </c>
      <c r="K3056" t="s">
        <v>4268</v>
      </c>
      <c r="L3056">
        <v>16.350000000000001</v>
      </c>
      <c r="M3056">
        <v>16.350000000000001</v>
      </c>
      <c r="N3056" t="s">
        <v>4240</v>
      </c>
      <c r="O3056" t="s">
        <v>461</v>
      </c>
    </row>
    <row r="3057" spans="1:15" x14ac:dyDescent="0.3">
      <c r="A3057">
        <v>205900</v>
      </c>
      <c r="B3057">
        <v>116</v>
      </c>
      <c r="C3057" t="s">
        <v>568</v>
      </c>
      <c r="D3057" t="s">
        <v>2284</v>
      </c>
      <c r="E3057" t="s">
        <v>3065</v>
      </c>
      <c r="F3057" s="452">
        <v>46050</v>
      </c>
      <c r="G3057">
        <v>21093</v>
      </c>
      <c r="H3057" t="s">
        <v>3903</v>
      </c>
      <c r="I3057" t="s">
        <v>3469</v>
      </c>
      <c r="J3057">
        <v>10</v>
      </c>
      <c r="K3057" t="s">
        <v>3872</v>
      </c>
      <c r="L3057">
        <v>46.5</v>
      </c>
      <c r="M3057">
        <v>4.6500000000000004</v>
      </c>
      <c r="N3057" t="s">
        <v>4240</v>
      </c>
      <c r="O3057" t="s">
        <v>461</v>
      </c>
    </row>
    <row r="3058" spans="1:15" x14ac:dyDescent="0.3">
      <c r="A3058">
        <v>205900</v>
      </c>
      <c r="B3058">
        <v>116</v>
      </c>
      <c r="C3058" t="s">
        <v>568</v>
      </c>
      <c r="D3058" t="s">
        <v>2284</v>
      </c>
      <c r="E3058" t="s">
        <v>3065</v>
      </c>
      <c r="F3058" s="452">
        <v>46050</v>
      </c>
      <c r="G3058">
        <v>20007</v>
      </c>
      <c r="H3058" t="s">
        <v>4009</v>
      </c>
      <c r="I3058" t="s">
        <v>3469</v>
      </c>
      <c r="J3058">
        <v>1</v>
      </c>
      <c r="K3058" t="s">
        <v>3966</v>
      </c>
      <c r="L3058">
        <v>49.9</v>
      </c>
      <c r="M3058">
        <v>49.9</v>
      </c>
      <c r="N3058" t="s">
        <v>4240</v>
      </c>
      <c r="O3058" t="s">
        <v>461</v>
      </c>
    </row>
    <row r="3059" spans="1:15" x14ac:dyDescent="0.3">
      <c r="A3059">
        <v>205900</v>
      </c>
      <c r="B3059">
        <v>116</v>
      </c>
      <c r="C3059" t="s">
        <v>568</v>
      </c>
      <c r="D3059" t="s">
        <v>2284</v>
      </c>
      <c r="E3059" t="s">
        <v>3065</v>
      </c>
      <c r="F3059" s="452">
        <v>46050</v>
      </c>
      <c r="G3059">
        <v>21024</v>
      </c>
      <c r="H3059" t="s">
        <v>4180</v>
      </c>
      <c r="I3059" t="s">
        <v>3469</v>
      </c>
      <c r="J3059">
        <v>2</v>
      </c>
      <c r="K3059" t="s">
        <v>3966</v>
      </c>
      <c r="L3059">
        <v>351.2</v>
      </c>
      <c r="M3059">
        <v>175.6</v>
      </c>
      <c r="N3059" t="s">
        <v>4240</v>
      </c>
      <c r="O3059" t="s">
        <v>461</v>
      </c>
    </row>
    <row r="3060" spans="1:15" x14ac:dyDescent="0.3">
      <c r="A3060">
        <v>205900</v>
      </c>
      <c r="B3060">
        <v>116</v>
      </c>
      <c r="C3060" t="s">
        <v>568</v>
      </c>
      <c r="D3060" t="s">
        <v>2284</v>
      </c>
      <c r="E3060" t="s">
        <v>3065</v>
      </c>
      <c r="F3060" s="452">
        <v>46050</v>
      </c>
      <c r="G3060">
        <v>19287</v>
      </c>
      <c r="H3060" t="s">
        <v>3974</v>
      </c>
      <c r="I3060" t="s">
        <v>3469</v>
      </c>
      <c r="J3060">
        <v>9.2799999999999994</v>
      </c>
      <c r="K3060" t="s">
        <v>3892</v>
      </c>
      <c r="L3060">
        <v>356.35</v>
      </c>
      <c r="M3060">
        <v>38.399783999999997</v>
      </c>
      <c r="N3060" t="s">
        <v>4240</v>
      </c>
      <c r="O3060" t="s">
        <v>461</v>
      </c>
    </row>
    <row r="3061" spans="1:15" x14ac:dyDescent="0.3">
      <c r="A3061">
        <v>205900</v>
      </c>
      <c r="B3061">
        <v>116</v>
      </c>
      <c r="C3061" t="s">
        <v>568</v>
      </c>
      <c r="D3061" t="s">
        <v>2284</v>
      </c>
      <c r="E3061" t="s">
        <v>3065</v>
      </c>
      <c r="F3061" s="452">
        <v>46050</v>
      </c>
      <c r="G3061">
        <v>19297</v>
      </c>
      <c r="H3061" t="s">
        <v>3949</v>
      </c>
      <c r="I3061" t="s">
        <v>3469</v>
      </c>
      <c r="J3061">
        <v>6.92</v>
      </c>
      <c r="K3061" t="s">
        <v>3892</v>
      </c>
      <c r="L3061">
        <v>511.39</v>
      </c>
      <c r="M3061">
        <v>73.900289000000001</v>
      </c>
      <c r="N3061" t="s">
        <v>4240</v>
      </c>
      <c r="O3061" t="s">
        <v>461</v>
      </c>
    </row>
    <row r="3062" spans="1:15" x14ac:dyDescent="0.3">
      <c r="A3062">
        <v>205900</v>
      </c>
      <c r="B3062">
        <v>116</v>
      </c>
      <c r="C3062" t="s">
        <v>568</v>
      </c>
      <c r="D3062" t="s">
        <v>2284</v>
      </c>
      <c r="E3062" t="s">
        <v>3065</v>
      </c>
      <c r="F3062" s="452">
        <v>46050</v>
      </c>
      <c r="G3062">
        <v>20685</v>
      </c>
      <c r="H3062" t="s">
        <v>4122</v>
      </c>
      <c r="I3062" t="s">
        <v>3469</v>
      </c>
      <c r="J3062">
        <v>6</v>
      </c>
      <c r="K3062" t="s">
        <v>3872</v>
      </c>
      <c r="L3062">
        <v>21.24</v>
      </c>
      <c r="M3062">
        <v>3.54</v>
      </c>
      <c r="N3062" t="s">
        <v>4240</v>
      </c>
      <c r="O3062" t="s">
        <v>461</v>
      </c>
    </row>
    <row r="3063" spans="1:15" x14ac:dyDescent="0.3">
      <c r="A3063">
        <v>205900</v>
      </c>
      <c r="B3063">
        <v>116</v>
      </c>
      <c r="C3063" t="s">
        <v>568</v>
      </c>
      <c r="D3063" t="s">
        <v>2284</v>
      </c>
      <c r="E3063" t="s">
        <v>3065</v>
      </c>
      <c r="F3063" s="452">
        <v>46050</v>
      </c>
      <c r="G3063">
        <v>19415</v>
      </c>
      <c r="H3063" t="s">
        <v>3941</v>
      </c>
      <c r="I3063" t="s">
        <v>3469</v>
      </c>
      <c r="J3063">
        <v>6</v>
      </c>
      <c r="K3063" t="s">
        <v>3872</v>
      </c>
      <c r="L3063">
        <v>46.8</v>
      </c>
      <c r="M3063">
        <v>7.8</v>
      </c>
      <c r="N3063" t="s">
        <v>4240</v>
      </c>
      <c r="O3063" t="s">
        <v>461</v>
      </c>
    </row>
    <row r="3064" spans="1:15" x14ac:dyDescent="0.3">
      <c r="A3064">
        <v>205900</v>
      </c>
      <c r="B3064">
        <v>116</v>
      </c>
      <c r="C3064" t="s">
        <v>568</v>
      </c>
      <c r="D3064" t="s">
        <v>2284</v>
      </c>
      <c r="E3064" t="s">
        <v>3065</v>
      </c>
      <c r="F3064" s="452">
        <v>46050</v>
      </c>
      <c r="G3064">
        <v>25769</v>
      </c>
      <c r="H3064" t="s">
        <v>4013</v>
      </c>
      <c r="I3064" t="s">
        <v>3469</v>
      </c>
      <c r="J3064">
        <v>1</v>
      </c>
      <c r="K3064" t="s">
        <v>3892</v>
      </c>
      <c r="L3064">
        <v>12.9</v>
      </c>
      <c r="M3064">
        <v>12.9</v>
      </c>
      <c r="N3064" t="s">
        <v>4240</v>
      </c>
      <c r="O3064" t="s">
        <v>461</v>
      </c>
    </row>
    <row r="3065" spans="1:15" x14ac:dyDescent="0.3">
      <c r="A3065">
        <v>205900</v>
      </c>
      <c r="B3065">
        <v>116</v>
      </c>
      <c r="C3065" t="s">
        <v>568</v>
      </c>
      <c r="D3065" t="s">
        <v>2284</v>
      </c>
      <c r="E3065" t="s">
        <v>3065</v>
      </c>
      <c r="F3065" s="452">
        <v>46050</v>
      </c>
      <c r="G3065">
        <v>21400</v>
      </c>
      <c r="H3065" t="s">
        <v>4165</v>
      </c>
      <c r="I3065" t="s">
        <v>3469</v>
      </c>
      <c r="J3065">
        <v>3.44</v>
      </c>
      <c r="K3065" t="s">
        <v>3892</v>
      </c>
      <c r="L3065">
        <v>99.59</v>
      </c>
      <c r="M3065">
        <v>28.950581</v>
      </c>
      <c r="N3065" t="s">
        <v>4240</v>
      </c>
      <c r="O3065" t="s">
        <v>461</v>
      </c>
    </row>
    <row r="3066" spans="1:15" x14ac:dyDescent="0.3">
      <c r="A3066">
        <v>205900</v>
      </c>
      <c r="B3066">
        <v>116</v>
      </c>
      <c r="C3066" t="s">
        <v>568</v>
      </c>
      <c r="D3066" t="s">
        <v>2284</v>
      </c>
      <c r="E3066" t="s">
        <v>3065</v>
      </c>
      <c r="F3066" s="452">
        <v>46050</v>
      </c>
      <c r="G3066">
        <v>24401</v>
      </c>
      <c r="H3066" t="s">
        <v>4063</v>
      </c>
      <c r="I3066" t="s">
        <v>3469</v>
      </c>
      <c r="J3066">
        <v>1</v>
      </c>
      <c r="K3066" t="s">
        <v>3892</v>
      </c>
      <c r="L3066">
        <v>14.5</v>
      </c>
      <c r="M3066">
        <v>14.5</v>
      </c>
      <c r="N3066" t="s">
        <v>4240</v>
      </c>
      <c r="O3066" t="s">
        <v>461</v>
      </c>
    </row>
    <row r="3067" spans="1:15" x14ac:dyDescent="0.3">
      <c r="A3067">
        <v>205900</v>
      </c>
      <c r="B3067">
        <v>116</v>
      </c>
      <c r="C3067" t="s">
        <v>568</v>
      </c>
      <c r="D3067" t="s">
        <v>2284</v>
      </c>
      <c r="E3067" t="s">
        <v>3065</v>
      </c>
      <c r="F3067" s="452">
        <v>46050</v>
      </c>
      <c r="G3067">
        <v>20624</v>
      </c>
      <c r="H3067" t="s">
        <v>3982</v>
      </c>
      <c r="I3067" t="s">
        <v>3469</v>
      </c>
      <c r="J3067">
        <v>2</v>
      </c>
      <c r="K3067" t="s">
        <v>3872</v>
      </c>
      <c r="L3067">
        <v>137.80000000000001</v>
      </c>
      <c r="M3067">
        <v>68.900000000000006</v>
      </c>
      <c r="N3067" t="s">
        <v>4240</v>
      </c>
      <c r="O3067" t="s">
        <v>461</v>
      </c>
    </row>
    <row r="3068" spans="1:15" x14ac:dyDescent="0.3">
      <c r="A3068">
        <v>205899</v>
      </c>
      <c r="B3068">
        <v>116</v>
      </c>
      <c r="C3068" t="s">
        <v>568</v>
      </c>
      <c r="D3068" t="s">
        <v>2340</v>
      </c>
      <c r="E3068" t="s">
        <v>3066</v>
      </c>
      <c r="F3068" s="452">
        <v>46050</v>
      </c>
      <c r="G3068">
        <v>19324</v>
      </c>
      <c r="H3068" t="s">
        <v>3937</v>
      </c>
      <c r="I3068" t="s">
        <v>3469</v>
      </c>
      <c r="J3068">
        <v>8.26</v>
      </c>
      <c r="K3068" t="s">
        <v>3892</v>
      </c>
      <c r="L3068">
        <v>244.25</v>
      </c>
      <c r="M3068">
        <v>29.570218000000001</v>
      </c>
      <c r="N3068" t="s">
        <v>4240</v>
      </c>
      <c r="O3068" t="s">
        <v>461</v>
      </c>
    </row>
    <row r="3069" spans="1:15" x14ac:dyDescent="0.3">
      <c r="A3069">
        <v>205899</v>
      </c>
      <c r="B3069">
        <v>116</v>
      </c>
      <c r="C3069" t="s">
        <v>568</v>
      </c>
      <c r="D3069" t="s">
        <v>2340</v>
      </c>
      <c r="E3069" t="s">
        <v>3066</v>
      </c>
      <c r="F3069" s="452">
        <v>46050</v>
      </c>
      <c r="G3069">
        <v>20661</v>
      </c>
      <c r="H3069" t="s">
        <v>3919</v>
      </c>
      <c r="I3069" t="s">
        <v>3469</v>
      </c>
      <c r="J3069">
        <v>6</v>
      </c>
      <c r="K3069" t="s">
        <v>3872</v>
      </c>
      <c r="L3069">
        <v>52.68</v>
      </c>
      <c r="M3069">
        <v>8.7799999999999994</v>
      </c>
      <c r="N3069" t="s">
        <v>4240</v>
      </c>
      <c r="O3069" t="s">
        <v>461</v>
      </c>
    </row>
    <row r="3070" spans="1:15" x14ac:dyDescent="0.3">
      <c r="A3070">
        <v>205899</v>
      </c>
      <c r="B3070">
        <v>116</v>
      </c>
      <c r="C3070" t="s">
        <v>568</v>
      </c>
      <c r="D3070" t="s">
        <v>2340</v>
      </c>
      <c r="E3070" t="s">
        <v>3066</v>
      </c>
      <c r="F3070" s="452">
        <v>46050</v>
      </c>
      <c r="G3070">
        <v>19346</v>
      </c>
      <c r="H3070" t="s">
        <v>3948</v>
      </c>
      <c r="I3070" t="s">
        <v>3469</v>
      </c>
      <c r="J3070">
        <v>3.16</v>
      </c>
      <c r="K3070" t="s">
        <v>3892</v>
      </c>
      <c r="L3070">
        <v>196.77</v>
      </c>
      <c r="M3070">
        <v>62.268987000000003</v>
      </c>
      <c r="N3070" t="s">
        <v>4240</v>
      </c>
      <c r="O3070" t="s">
        <v>461</v>
      </c>
    </row>
    <row r="3071" spans="1:15" x14ac:dyDescent="0.3">
      <c r="A3071">
        <v>205899</v>
      </c>
      <c r="B3071">
        <v>116</v>
      </c>
      <c r="C3071" t="s">
        <v>568</v>
      </c>
      <c r="D3071" t="s">
        <v>2340</v>
      </c>
      <c r="E3071" t="s">
        <v>3066</v>
      </c>
      <c r="F3071" s="452">
        <v>46050</v>
      </c>
      <c r="G3071">
        <v>19405</v>
      </c>
      <c r="H3071" t="s">
        <v>4097</v>
      </c>
      <c r="I3071" t="s">
        <v>3469</v>
      </c>
      <c r="J3071">
        <v>1</v>
      </c>
      <c r="K3071" t="s">
        <v>3872</v>
      </c>
      <c r="L3071">
        <v>151.9</v>
      </c>
      <c r="M3071">
        <v>151.9</v>
      </c>
      <c r="N3071" t="s">
        <v>4240</v>
      </c>
      <c r="O3071" t="s">
        <v>461</v>
      </c>
    </row>
    <row r="3072" spans="1:15" x14ac:dyDescent="0.3">
      <c r="A3072">
        <v>205899</v>
      </c>
      <c r="B3072">
        <v>116</v>
      </c>
      <c r="C3072" t="s">
        <v>568</v>
      </c>
      <c r="D3072" t="s">
        <v>2340</v>
      </c>
      <c r="E3072" t="s">
        <v>3066</v>
      </c>
      <c r="F3072" s="452">
        <v>46050</v>
      </c>
      <c r="G3072">
        <v>20984</v>
      </c>
      <c r="H3072" t="s">
        <v>4235</v>
      </c>
      <c r="I3072" t="s">
        <v>3469</v>
      </c>
      <c r="J3072">
        <v>20</v>
      </c>
      <c r="K3072" t="s">
        <v>3931</v>
      </c>
      <c r="L3072">
        <v>167</v>
      </c>
      <c r="M3072">
        <v>8.35</v>
      </c>
      <c r="N3072" t="s">
        <v>4240</v>
      </c>
      <c r="O3072" t="s">
        <v>461</v>
      </c>
    </row>
    <row r="3073" spans="1:15" x14ac:dyDescent="0.3">
      <c r="A3073">
        <v>205899</v>
      </c>
      <c r="B3073">
        <v>116</v>
      </c>
      <c r="C3073" t="s">
        <v>568</v>
      </c>
      <c r="D3073" t="s">
        <v>2340</v>
      </c>
      <c r="E3073" t="s">
        <v>3066</v>
      </c>
      <c r="F3073" s="452">
        <v>46050</v>
      </c>
      <c r="G3073">
        <v>24331</v>
      </c>
      <c r="H3073" t="s">
        <v>3960</v>
      </c>
      <c r="I3073" t="s">
        <v>3469</v>
      </c>
      <c r="J3073">
        <v>5</v>
      </c>
      <c r="K3073" t="s">
        <v>3892</v>
      </c>
      <c r="L3073">
        <v>109.5</v>
      </c>
      <c r="M3073">
        <v>21.9</v>
      </c>
      <c r="N3073" t="s">
        <v>4240</v>
      </c>
      <c r="O3073" t="s">
        <v>461</v>
      </c>
    </row>
    <row r="3074" spans="1:15" x14ac:dyDescent="0.3">
      <c r="A3074">
        <v>205899</v>
      </c>
      <c r="B3074">
        <v>116</v>
      </c>
      <c r="C3074" t="s">
        <v>568</v>
      </c>
      <c r="D3074" t="s">
        <v>2340</v>
      </c>
      <c r="E3074" t="s">
        <v>3066</v>
      </c>
      <c r="F3074" s="452">
        <v>46050</v>
      </c>
      <c r="G3074">
        <v>24339</v>
      </c>
      <c r="H3074" t="s">
        <v>4119</v>
      </c>
      <c r="I3074" t="s">
        <v>3469</v>
      </c>
      <c r="J3074">
        <v>2.5</v>
      </c>
      <c r="K3074" t="s">
        <v>3892</v>
      </c>
      <c r="L3074">
        <v>62.25</v>
      </c>
      <c r="M3074">
        <v>24.9</v>
      </c>
      <c r="N3074" t="s">
        <v>4240</v>
      </c>
      <c r="O3074" t="s">
        <v>461</v>
      </c>
    </row>
    <row r="3075" spans="1:15" x14ac:dyDescent="0.3">
      <c r="A3075">
        <v>205898</v>
      </c>
      <c r="B3075">
        <v>116</v>
      </c>
      <c r="C3075" t="s">
        <v>568</v>
      </c>
      <c r="D3075" t="s">
        <v>2271</v>
      </c>
      <c r="E3075" t="s">
        <v>3067</v>
      </c>
      <c r="F3075" s="452">
        <v>46050</v>
      </c>
      <c r="G3075">
        <v>18172</v>
      </c>
      <c r="H3075" t="s">
        <v>3923</v>
      </c>
      <c r="I3075" t="s">
        <v>3497</v>
      </c>
      <c r="J3075">
        <v>7</v>
      </c>
      <c r="K3075" t="s">
        <v>3878</v>
      </c>
      <c r="L3075">
        <v>219.8</v>
      </c>
      <c r="M3075">
        <v>31.4</v>
      </c>
      <c r="N3075" t="s">
        <v>4276</v>
      </c>
      <c r="O3075" t="s">
        <v>461</v>
      </c>
    </row>
    <row r="3076" spans="1:15" x14ac:dyDescent="0.3">
      <c r="A3076">
        <v>205896</v>
      </c>
      <c r="B3076">
        <v>116</v>
      </c>
      <c r="C3076" t="s">
        <v>568</v>
      </c>
      <c r="D3076" t="s">
        <v>2922</v>
      </c>
      <c r="E3076" t="s">
        <v>3068</v>
      </c>
      <c r="F3076" s="452">
        <v>46048</v>
      </c>
      <c r="G3076">
        <v>19607</v>
      </c>
      <c r="H3076" t="s">
        <v>4105</v>
      </c>
      <c r="I3076" t="s">
        <v>3469</v>
      </c>
      <c r="J3076">
        <v>1</v>
      </c>
      <c r="K3076" t="s">
        <v>3892</v>
      </c>
      <c r="L3076">
        <v>15</v>
      </c>
      <c r="M3076">
        <v>15</v>
      </c>
      <c r="N3076" t="s">
        <v>4240</v>
      </c>
      <c r="O3076" t="s">
        <v>461</v>
      </c>
    </row>
    <row r="3077" spans="1:15" x14ac:dyDescent="0.3">
      <c r="A3077">
        <v>205896</v>
      </c>
      <c r="B3077">
        <v>116</v>
      </c>
      <c r="C3077" t="s">
        <v>568</v>
      </c>
      <c r="D3077" t="s">
        <v>2922</v>
      </c>
      <c r="E3077" t="s">
        <v>3068</v>
      </c>
      <c r="F3077" s="452">
        <v>46048</v>
      </c>
      <c r="G3077">
        <v>19498</v>
      </c>
      <c r="H3077" t="s">
        <v>4065</v>
      </c>
      <c r="I3077" t="s">
        <v>3469</v>
      </c>
      <c r="J3077">
        <v>1</v>
      </c>
      <c r="K3077" t="s">
        <v>3892</v>
      </c>
      <c r="L3077">
        <v>12.5</v>
      </c>
      <c r="M3077">
        <v>12.5</v>
      </c>
      <c r="N3077" t="s">
        <v>4240</v>
      </c>
      <c r="O3077" t="s">
        <v>461</v>
      </c>
    </row>
    <row r="3078" spans="1:15" x14ac:dyDescent="0.3">
      <c r="A3078">
        <v>205896</v>
      </c>
      <c r="B3078">
        <v>116</v>
      </c>
      <c r="C3078" t="s">
        <v>568</v>
      </c>
      <c r="D3078" t="s">
        <v>2922</v>
      </c>
      <c r="E3078" t="s">
        <v>3068</v>
      </c>
      <c r="F3078" s="452">
        <v>46048</v>
      </c>
      <c r="G3078">
        <v>19572</v>
      </c>
      <c r="H3078" t="s">
        <v>4023</v>
      </c>
      <c r="I3078" t="s">
        <v>3469</v>
      </c>
      <c r="J3078">
        <v>1</v>
      </c>
      <c r="K3078" t="s">
        <v>3892</v>
      </c>
      <c r="L3078">
        <v>15</v>
      </c>
      <c r="M3078">
        <v>15</v>
      </c>
      <c r="N3078" t="s">
        <v>4240</v>
      </c>
      <c r="O3078" t="s">
        <v>461</v>
      </c>
    </row>
    <row r="3079" spans="1:15" x14ac:dyDescent="0.3">
      <c r="A3079">
        <v>205896</v>
      </c>
      <c r="B3079">
        <v>116</v>
      </c>
      <c r="C3079" t="s">
        <v>568</v>
      </c>
      <c r="D3079" t="s">
        <v>2922</v>
      </c>
      <c r="E3079" t="s">
        <v>3068</v>
      </c>
      <c r="F3079" s="452">
        <v>46048</v>
      </c>
      <c r="G3079">
        <v>19555</v>
      </c>
      <c r="H3079" t="s">
        <v>4109</v>
      </c>
      <c r="I3079" t="s">
        <v>3469</v>
      </c>
      <c r="J3079">
        <v>0.6</v>
      </c>
      <c r="K3079" t="s">
        <v>3892</v>
      </c>
      <c r="L3079">
        <v>15</v>
      </c>
      <c r="M3079">
        <v>25</v>
      </c>
      <c r="N3079" t="s">
        <v>4240</v>
      </c>
      <c r="O3079" t="s">
        <v>461</v>
      </c>
    </row>
    <row r="3080" spans="1:15" x14ac:dyDescent="0.3">
      <c r="A3080">
        <v>205896</v>
      </c>
      <c r="B3080">
        <v>116</v>
      </c>
      <c r="C3080" t="s">
        <v>568</v>
      </c>
      <c r="D3080" t="s">
        <v>2922</v>
      </c>
      <c r="E3080" t="s">
        <v>3068</v>
      </c>
      <c r="F3080" s="452">
        <v>46048</v>
      </c>
      <c r="G3080">
        <v>24484</v>
      </c>
      <c r="H3080" t="s">
        <v>4154</v>
      </c>
      <c r="I3080" t="s">
        <v>3469</v>
      </c>
      <c r="J3080">
        <v>0.5</v>
      </c>
      <c r="K3080" t="s">
        <v>3892</v>
      </c>
      <c r="L3080">
        <v>4.38</v>
      </c>
      <c r="M3080">
        <v>8.76</v>
      </c>
      <c r="N3080" t="s">
        <v>4240</v>
      </c>
      <c r="O3080" t="s">
        <v>461</v>
      </c>
    </row>
    <row r="3081" spans="1:15" x14ac:dyDescent="0.3">
      <c r="A3081">
        <v>205896</v>
      </c>
      <c r="B3081">
        <v>116</v>
      </c>
      <c r="C3081" t="s">
        <v>568</v>
      </c>
      <c r="D3081" t="s">
        <v>2922</v>
      </c>
      <c r="E3081" t="s">
        <v>3068</v>
      </c>
      <c r="F3081" s="452">
        <v>46048</v>
      </c>
      <c r="G3081">
        <v>24598</v>
      </c>
      <c r="H3081" t="s">
        <v>4166</v>
      </c>
      <c r="I3081" t="s">
        <v>3469</v>
      </c>
      <c r="J3081">
        <v>1</v>
      </c>
      <c r="K3081" t="s">
        <v>3892</v>
      </c>
      <c r="L3081">
        <v>15</v>
      </c>
      <c r="M3081">
        <v>15</v>
      </c>
      <c r="N3081" t="s">
        <v>4240</v>
      </c>
      <c r="O3081" t="s">
        <v>461</v>
      </c>
    </row>
    <row r="3082" spans="1:15" x14ac:dyDescent="0.3">
      <c r="A3082">
        <v>205896</v>
      </c>
      <c r="B3082">
        <v>116</v>
      </c>
      <c r="C3082" t="s">
        <v>568</v>
      </c>
      <c r="D3082" t="s">
        <v>2922</v>
      </c>
      <c r="E3082" t="s">
        <v>3068</v>
      </c>
      <c r="F3082" s="452">
        <v>46048</v>
      </c>
      <c r="G3082">
        <v>19740</v>
      </c>
      <c r="H3082" t="s">
        <v>3933</v>
      </c>
      <c r="I3082" t="s">
        <v>3469</v>
      </c>
      <c r="J3082">
        <v>3</v>
      </c>
      <c r="K3082" t="s">
        <v>3892</v>
      </c>
      <c r="L3082">
        <v>24.39</v>
      </c>
      <c r="M3082">
        <v>8.1300000000000008</v>
      </c>
      <c r="N3082" t="s">
        <v>4240</v>
      </c>
      <c r="O3082" t="s">
        <v>461</v>
      </c>
    </row>
    <row r="3083" spans="1:15" x14ac:dyDescent="0.3">
      <c r="A3083">
        <v>205896</v>
      </c>
      <c r="B3083">
        <v>116</v>
      </c>
      <c r="C3083" t="s">
        <v>568</v>
      </c>
      <c r="D3083" t="s">
        <v>2922</v>
      </c>
      <c r="E3083" t="s">
        <v>3068</v>
      </c>
      <c r="F3083" s="452">
        <v>46048</v>
      </c>
      <c r="G3083">
        <v>19458</v>
      </c>
      <c r="H3083" t="s">
        <v>4212</v>
      </c>
      <c r="I3083" t="s">
        <v>3469</v>
      </c>
      <c r="J3083">
        <v>1</v>
      </c>
      <c r="K3083" t="s">
        <v>3892</v>
      </c>
      <c r="L3083">
        <v>12.5</v>
      </c>
      <c r="M3083">
        <v>12.5</v>
      </c>
      <c r="N3083" t="s">
        <v>4240</v>
      </c>
      <c r="O3083" t="s">
        <v>461</v>
      </c>
    </row>
    <row r="3084" spans="1:15" x14ac:dyDescent="0.3">
      <c r="A3084">
        <v>205896</v>
      </c>
      <c r="B3084">
        <v>116</v>
      </c>
      <c r="C3084" t="s">
        <v>568</v>
      </c>
      <c r="D3084" t="s">
        <v>2922</v>
      </c>
      <c r="E3084" t="s">
        <v>3068</v>
      </c>
      <c r="F3084" s="452">
        <v>46048</v>
      </c>
      <c r="G3084">
        <v>19494</v>
      </c>
      <c r="H3084" t="s">
        <v>4126</v>
      </c>
      <c r="I3084" t="s">
        <v>3469</v>
      </c>
      <c r="J3084">
        <v>2</v>
      </c>
      <c r="K3084" t="s">
        <v>3892</v>
      </c>
      <c r="L3084">
        <v>45.82</v>
      </c>
      <c r="M3084">
        <v>22.91</v>
      </c>
      <c r="N3084" t="s">
        <v>4240</v>
      </c>
      <c r="O3084" t="s">
        <v>461</v>
      </c>
    </row>
    <row r="3085" spans="1:15" x14ac:dyDescent="0.3">
      <c r="A3085">
        <v>205896</v>
      </c>
      <c r="B3085">
        <v>116</v>
      </c>
      <c r="C3085" t="s">
        <v>568</v>
      </c>
      <c r="D3085" t="s">
        <v>2922</v>
      </c>
      <c r="E3085" t="s">
        <v>3068</v>
      </c>
      <c r="F3085" s="452">
        <v>46048</v>
      </c>
      <c r="G3085">
        <v>19617</v>
      </c>
      <c r="H3085" t="s">
        <v>4110</v>
      </c>
      <c r="I3085" t="s">
        <v>3469</v>
      </c>
      <c r="J3085">
        <v>0.3</v>
      </c>
      <c r="K3085" t="s">
        <v>3892</v>
      </c>
      <c r="L3085">
        <v>8.0299999999999994</v>
      </c>
      <c r="M3085">
        <v>26.766667000000002</v>
      </c>
      <c r="N3085" t="s">
        <v>4240</v>
      </c>
      <c r="O3085" t="s">
        <v>461</v>
      </c>
    </row>
    <row r="3086" spans="1:15" x14ac:dyDescent="0.3">
      <c r="A3086">
        <v>205896</v>
      </c>
      <c r="B3086">
        <v>116</v>
      </c>
      <c r="C3086" t="s">
        <v>568</v>
      </c>
      <c r="D3086" t="s">
        <v>2922</v>
      </c>
      <c r="E3086" t="s">
        <v>3068</v>
      </c>
      <c r="F3086" s="452">
        <v>46048</v>
      </c>
      <c r="G3086">
        <v>23096</v>
      </c>
      <c r="H3086" t="s">
        <v>3876</v>
      </c>
      <c r="I3086" t="s">
        <v>3469</v>
      </c>
      <c r="J3086">
        <v>60</v>
      </c>
      <c r="K3086" t="s">
        <v>3872</v>
      </c>
      <c r="L3086">
        <v>30</v>
      </c>
      <c r="M3086">
        <v>0.5</v>
      </c>
      <c r="N3086" t="s">
        <v>4240</v>
      </c>
      <c r="O3086" t="s">
        <v>461</v>
      </c>
    </row>
    <row r="3087" spans="1:15" x14ac:dyDescent="0.3">
      <c r="A3087">
        <v>205896</v>
      </c>
      <c r="B3087">
        <v>116</v>
      </c>
      <c r="C3087" t="s">
        <v>568</v>
      </c>
      <c r="D3087" t="s">
        <v>2922</v>
      </c>
      <c r="E3087" t="s">
        <v>3068</v>
      </c>
      <c r="F3087" s="452">
        <v>46048</v>
      </c>
      <c r="G3087">
        <v>23113</v>
      </c>
      <c r="H3087" t="s">
        <v>4079</v>
      </c>
      <c r="I3087" t="s">
        <v>3469</v>
      </c>
      <c r="J3087">
        <v>1.5</v>
      </c>
      <c r="K3087" t="s">
        <v>3892</v>
      </c>
      <c r="L3087">
        <v>28.13</v>
      </c>
      <c r="M3087">
        <v>18.753333000000001</v>
      </c>
      <c r="N3087" t="s">
        <v>4240</v>
      </c>
      <c r="O3087" t="s">
        <v>461</v>
      </c>
    </row>
    <row r="3088" spans="1:15" x14ac:dyDescent="0.3">
      <c r="A3088">
        <v>205896</v>
      </c>
      <c r="B3088">
        <v>116</v>
      </c>
      <c r="C3088" t="s">
        <v>568</v>
      </c>
      <c r="D3088" t="s">
        <v>2922</v>
      </c>
      <c r="E3088" t="s">
        <v>3068</v>
      </c>
      <c r="F3088" s="452">
        <v>46048</v>
      </c>
      <c r="G3088">
        <v>23359</v>
      </c>
      <c r="H3088" t="s">
        <v>3932</v>
      </c>
      <c r="I3088" t="s">
        <v>3469</v>
      </c>
      <c r="J3088">
        <v>11</v>
      </c>
      <c r="K3088" t="s">
        <v>3892</v>
      </c>
      <c r="L3088">
        <v>27.5</v>
      </c>
      <c r="M3088">
        <v>2.5</v>
      </c>
      <c r="N3088" t="s">
        <v>4240</v>
      </c>
      <c r="O3088" t="s">
        <v>461</v>
      </c>
    </row>
    <row r="3089" spans="1:15" x14ac:dyDescent="0.3">
      <c r="A3089">
        <v>205896</v>
      </c>
      <c r="B3089">
        <v>116</v>
      </c>
      <c r="C3089" t="s">
        <v>568</v>
      </c>
      <c r="D3089" t="s">
        <v>2922</v>
      </c>
      <c r="E3089" t="s">
        <v>3068</v>
      </c>
      <c r="F3089" s="452">
        <v>46048</v>
      </c>
      <c r="G3089">
        <v>19672</v>
      </c>
      <c r="H3089" t="s">
        <v>4024</v>
      </c>
      <c r="I3089" t="s">
        <v>3469</v>
      </c>
      <c r="J3089">
        <v>3</v>
      </c>
      <c r="K3089" t="s">
        <v>3892</v>
      </c>
      <c r="L3089">
        <v>63.75</v>
      </c>
      <c r="M3089">
        <v>21.25</v>
      </c>
      <c r="N3089" t="s">
        <v>4240</v>
      </c>
      <c r="O3089" t="s">
        <v>461</v>
      </c>
    </row>
    <row r="3090" spans="1:15" x14ac:dyDescent="0.3">
      <c r="A3090">
        <v>205895</v>
      </c>
      <c r="B3090">
        <v>116</v>
      </c>
      <c r="C3090" t="s">
        <v>568</v>
      </c>
      <c r="D3090" t="s">
        <v>2922</v>
      </c>
      <c r="E3090" t="s">
        <v>3069</v>
      </c>
      <c r="F3090" s="452">
        <v>46051</v>
      </c>
      <c r="G3090">
        <v>19572</v>
      </c>
      <c r="H3090" t="s">
        <v>4023</v>
      </c>
      <c r="I3090" t="s">
        <v>3469</v>
      </c>
      <c r="J3090">
        <v>1</v>
      </c>
      <c r="K3090" t="s">
        <v>3892</v>
      </c>
      <c r="L3090">
        <v>15</v>
      </c>
      <c r="M3090">
        <v>15</v>
      </c>
      <c r="N3090" t="s">
        <v>4240</v>
      </c>
      <c r="O3090" t="s">
        <v>461</v>
      </c>
    </row>
    <row r="3091" spans="1:15" x14ac:dyDescent="0.3">
      <c r="A3091">
        <v>205895</v>
      </c>
      <c r="B3091">
        <v>116</v>
      </c>
      <c r="C3091" t="s">
        <v>568</v>
      </c>
      <c r="D3091" t="s">
        <v>2922</v>
      </c>
      <c r="E3091" t="s">
        <v>3069</v>
      </c>
      <c r="F3091" s="452">
        <v>46051</v>
      </c>
      <c r="G3091">
        <v>24484</v>
      </c>
      <c r="H3091" t="s">
        <v>4154</v>
      </c>
      <c r="I3091" t="s">
        <v>3469</v>
      </c>
      <c r="J3091">
        <v>0.5</v>
      </c>
      <c r="K3091" t="s">
        <v>3892</v>
      </c>
      <c r="L3091">
        <v>4.9000000000000004</v>
      </c>
      <c r="M3091">
        <v>9.8000000000000007</v>
      </c>
      <c r="N3091" t="s">
        <v>4240</v>
      </c>
      <c r="O3091" t="s">
        <v>461</v>
      </c>
    </row>
    <row r="3092" spans="1:15" x14ac:dyDescent="0.3">
      <c r="A3092">
        <v>205895</v>
      </c>
      <c r="B3092">
        <v>116</v>
      </c>
      <c r="C3092" t="s">
        <v>568</v>
      </c>
      <c r="D3092" t="s">
        <v>2922</v>
      </c>
      <c r="E3092" t="s">
        <v>3069</v>
      </c>
      <c r="F3092" s="452">
        <v>46051</v>
      </c>
      <c r="G3092">
        <v>19498</v>
      </c>
      <c r="H3092" t="s">
        <v>4065</v>
      </c>
      <c r="I3092" t="s">
        <v>3469</v>
      </c>
      <c r="J3092">
        <v>1</v>
      </c>
      <c r="K3092" t="s">
        <v>3892</v>
      </c>
      <c r="L3092">
        <v>12.5</v>
      </c>
      <c r="M3092">
        <v>12.5</v>
      </c>
      <c r="N3092" t="s">
        <v>4240</v>
      </c>
      <c r="O3092" t="s">
        <v>461</v>
      </c>
    </row>
    <row r="3093" spans="1:15" x14ac:dyDescent="0.3">
      <c r="A3093">
        <v>205895</v>
      </c>
      <c r="B3093">
        <v>116</v>
      </c>
      <c r="C3093" t="s">
        <v>568</v>
      </c>
      <c r="D3093" t="s">
        <v>2922</v>
      </c>
      <c r="E3093" t="s">
        <v>3069</v>
      </c>
      <c r="F3093" s="452">
        <v>46051</v>
      </c>
      <c r="G3093">
        <v>23096</v>
      </c>
      <c r="H3093" t="s">
        <v>3876</v>
      </c>
      <c r="I3093" t="s">
        <v>3469</v>
      </c>
      <c r="J3093">
        <v>60</v>
      </c>
      <c r="K3093" t="s">
        <v>3872</v>
      </c>
      <c r="L3093">
        <v>33.6</v>
      </c>
      <c r="M3093">
        <v>0.56000000000000005</v>
      </c>
      <c r="N3093" t="s">
        <v>4240</v>
      </c>
      <c r="O3093" t="s">
        <v>461</v>
      </c>
    </row>
    <row r="3094" spans="1:15" x14ac:dyDescent="0.3">
      <c r="A3094">
        <v>205895</v>
      </c>
      <c r="B3094">
        <v>116</v>
      </c>
      <c r="C3094" t="s">
        <v>568</v>
      </c>
      <c r="D3094" t="s">
        <v>2922</v>
      </c>
      <c r="E3094" t="s">
        <v>3069</v>
      </c>
      <c r="F3094" s="452">
        <v>46051</v>
      </c>
      <c r="G3094">
        <v>23335</v>
      </c>
      <c r="H3094" t="s">
        <v>4075</v>
      </c>
      <c r="I3094" t="s">
        <v>3469</v>
      </c>
      <c r="J3094">
        <v>1.2</v>
      </c>
      <c r="K3094" t="s">
        <v>3892</v>
      </c>
      <c r="L3094">
        <v>45</v>
      </c>
      <c r="M3094">
        <v>37.5</v>
      </c>
      <c r="N3094" t="s">
        <v>4240</v>
      </c>
      <c r="O3094" t="s">
        <v>461</v>
      </c>
    </row>
    <row r="3095" spans="1:15" x14ac:dyDescent="0.3">
      <c r="A3095">
        <v>205895</v>
      </c>
      <c r="B3095">
        <v>116</v>
      </c>
      <c r="C3095" t="s">
        <v>568</v>
      </c>
      <c r="D3095" t="s">
        <v>2922</v>
      </c>
      <c r="E3095" t="s">
        <v>3069</v>
      </c>
      <c r="F3095" s="452">
        <v>46051</v>
      </c>
      <c r="G3095">
        <v>19494</v>
      </c>
      <c r="H3095" t="s">
        <v>4126</v>
      </c>
      <c r="I3095" t="s">
        <v>3469</v>
      </c>
      <c r="J3095">
        <v>0.4</v>
      </c>
      <c r="K3095" t="s">
        <v>3892</v>
      </c>
      <c r="L3095">
        <v>9.16</v>
      </c>
      <c r="M3095">
        <v>22.9</v>
      </c>
      <c r="N3095" t="s">
        <v>4240</v>
      </c>
      <c r="O3095" t="s">
        <v>461</v>
      </c>
    </row>
    <row r="3096" spans="1:15" x14ac:dyDescent="0.3">
      <c r="A3096">
        <v>205895</v>
      </c>
      <c r="B3096">
        <v>116</v>
      </c>
      <c r="C3096" t="s">
        <v>568</v>
      </c>
      <c r="D3096" t="s">
        <v>2922</v>
      </c>
      <c r="E3096" t="s">
        <v>3069</v>
      </c>
      <c r="F3096" s="452">
        <v>46051</v>
      </c>
      <c r="G3096">
        <v>23385</v>
      </c>
      <c r="H3096" t="s">
        <v>4069</v>
      </c>
      <c r="I3096" t="s">
        <v>3469</v>
      </c>
      <c r="J3096">
        <v>1.2</v>
      </c>
      <c r="K3096" t="s">
        <v>3892</v>
      </c>
      <c r="L3096">
        <v>34.5</v>
      </c>
      <c r="M3096">
        <v>28.75</v>
      </c>
      <c r="N3096" t="s">
        <v>4240</v>
      </c>
      <c r="O3096" t="s">
        <v>461</v>
      </c>
    </row>
    <row r="3097" spans="1:15" x14ac:dyDescent="0.3">
      <c r="A3097">
        <v>205895</v>
      </c>
      <c r="B3097">
        <v>116</v>
      </c>
      <c r="C3097" t="s">
        <v>568</v>
      </c>
      <c r="D3097" t="s">
        <v>2922</v>
      </c>
      <c r="E3097" t="s">
        <v>3069</v>
      </c>
      <c r="F3097" s="452">
        <v>46051</v>
      </c>
      <c r="G3097">
        <v>19672</v>
      </c>
      <c r="H3097" t="s">
        <v>4024</v>
      </c>
      <c r="I3097" t="s">
        <v>3469</v>
      </c>
      <c r="J3097">
        <v>2</v>
      </c>
      <c r="K3097" t="s">
        <v>3892</v>
      </c>
      <c r="L3097">
        <v>30</v>
      </c>
      <c r="M3097">
        <v>15</v>
      </c>
      <c r="N3097" t="s">
        <v>4240</v>
      </c>
      <c r="O3097" t="s">
        <v>461</v>
      </c>
    </row>
    <row r="3098" spans="1:15" x14ac:dyDescent="0.3">
      <c r="A3098">
        <v>205893</v>
      </c>
      <c r="B3098">
        <v>116</v>
      </c>
      <c r="C3098" t="s">
        <v>568</v>
      </c>
      <c r="D3098" t="s">
        <v>2267</v>
      </c>
      <c r="E3098" t="s">
        <v>3070</v>
      </c>
      <c r="F3098" s="452">
        <v>46051</v>
      </c>
      <c r="G3098">
        <v>18682</v>
      </c>
      <c r="H3098" t="s">
        <v>4025</v>
      </c>
      <c r="I3098" t="s">
        <v>3469</v>
      </c>
      <c r="J3098">
        <v>6.3</v>
      </c>
      <c r="K3098" t="s">
        <v>3892</v>
      </c>
      <c r="L3098">
        <v>176.34</v>
      </c>
      <c r="M3098">
        <v>27.990476000000001</v>
      </c>
      <c r="N3098" t="s">
        <v>4240</v>
      </c>
      <c r="O3098" t="s">
        <v>461</v>
      </c>
    </row>
    <row r="3099" spans="1:15" x14ac:dyDescent="0.3">
      <c r="A3099">
        <v>205893</v>
      </c>
      <c r="B3099">
        <v>116</v>
      </c>
      <c r="C3099" t="s">
        <v>568</v>
      </c>
      <c r="D3099" t="s">
        <v>2267</v>
      </c>
      <c r="E3099" t="s">
        <v>3070</v>
      </c>
      <c r="F3099" s="452">
        <v>46051</v>
      </c>
      <c r="G3099">
        <v>20549</v>
      </c>
      <c r="H3099" t="s">
        <v>4007</v>
      </c>
      <c r="I3099" t="s">
        <v>3469</v>
      </c>
      <c r="J3099">
        <v>11</v>
      </c>
      <c r="K3099" t="s">
        <v>3892</v>
      </c>
      <c r="L3099">
        <v>219.89</v>
      </c>
      <c r="M3099">
        <v>19.989999999999998</v>
      </c>
      <c r="N3099" t="s">
        <v>4240</v>
      </c>
      <c r="O3099" t="s">
        <v>461</v>
      </c>
    </row>
    <row r="3100" spans="1:15" x14ac:dyDescent="0.3">
      <c r="A3100">
        <v>205890</v>
      </c>
      <c r="B3100">
        <v>116</v>
      </c>
      <c r="C3100" t="s">
        <v>568</v>
      </c>
      <c r="D3100" t="s">
        <v>2262</v>
      </c>
      <c r="E3100" t="s">
        <v>3071</v>
      </c>
      <c r="F3100" s="452">
        <v>46049</v>
      </c>
      <c r="G3100">
        <v>18832</v>
      </c>
      <c r="H3100" t="s">
        <v>3900</v>
      </c>
      <c r="I3100" t="s">
        <v>3469</v>
      </c>
      <c r="J3100">
        <v>26</v>
      </c>
      <c r="K3100" t="s">
        <v>3892</v>
      </c>
      <c r="L3100">
        <v>936</v>
      </c>
      <c r="M3100">
        <v>36</v>
      </c>
      <c r="N3100" t="s">
        <v>3469</v>
      </c>
      <c r="O3100" t="s">
        <v>461</v>
      </c>
    </row>
    <row r="3101" spans="1:15" x14ac:dyDescent="0.3">
      <c r="A3101">
        <v>205890</v>
      </c>
      <c r="B3101">
        <v>116</v>
      </c>
      <c r="C3101" t="s">
        <v>568</v>
      </c>
      <c r="D3101" t="s">
        <v>2262</v>
      </c>
      <c r="E3101" t="s">
        <v>3071</v>
      </c>
      <c r="F3101" s="452">
        <v>46049</v>
      </c>
      <c r="G3101">
        <v>24402</v>
      </c>
      <c r="H3101" t="s">
        <v>3896</v>
      </c>
      <c r="I3101" t="s">
        <v>3469</v>
      </c>
      <c r="J3101">
        <v>16.3</v>
      </c>
      <c r="K3101" t="s">
        <v>3892</v>
      </c>
      <c r="L3101">
        <v>570.5</v>
      </c>
      <c r="M3101">
        <v>35</v>
      </c>
      <c r="N3101" t="s">
        <v>3469</v>
      </c>
      <c r="O3101" t="s">
        <v>461</v>
      </c>
    </row>
    <row r="3102" spans="1:15" x14ac:dyDescent="0.3">
      <c r="A3102">
        <v>205883</v>
      </c>
      <c r="B3102">
        <v>116</v>
      </c>
      <c r="C3102" t="s">
        <v>568</v>
      </c>
      <c r="D3102" t="s">
        <v>2314</v>
      </c>
      <c r="E3102" t="s">
        <v>3072</v>
      </c>
      <c r="F3102" s="452">
        <v>46049</v>
      </c>
      <c r="G3102">
        <v>18636</v>
      </c>
      <c r="H3102" t="s">
        <v>3921</v>
      </c>
      <c r="I3102" t="s">
        <v>3497</v>
      </c>
      <c r="J3102">
        <v>6</v>
      </c>
      <c r="K3102" t="s">
        <v>3922</v>
      </c>
      <c r="L3102">
        <v>2896.8</v>
      </c>
      <c r="M3102">
        <v>482.8</v>
      </c>
      <c r="N3102" t="s">
        <v>4276</v>
      </c>
      <c r="O3102" t="s">
        <v>461</v>
      </c>
    </row>
    <row r="3103" spans="1:15" x14ac:dyDescent="0.3">
      <c r="A3103">
        <v>205883</v>
      </c>
      <c r="B3103">
        <v>116</v>
      </c>
      <c r="C3103" t="s">
        <v>568</v>
      </c>
      <c r="D3103" t="s">
        <v>2314</v>
      </c>
      <c r="E3103" t="s">
        <v>3072</v>
      </c>
      <c r="F3103" s="452">
        <v>46049</v>
      </c>
      <c r="G3103">
        <v>17883</v>
      </c>
      <c r="H3103" t="s">
        <v>4136</v>
      </c>
      <c r="I3103" t="s">
        <v>3497</v>
      </c>
      <c r="J3103">
        <v>2</v>
      </c>
      <c r="K3103" t="s">
        <v>3888</v>
      </c>
      <c r="L3103">
        <v>56.64</v>
      </c>
      <c r="M3103">
        <v>28.32</v>
      </c>
      <c r="N3103" t="s">
        <v>4276</v>
      </c>
      <c r="O3103" t="s">
        <v>461</v>
      </c>
    </row>
    <row r="3104" spans="1:15" x14ac:dyDescent="0.3">
      <c r="A3104">
        <v>205883</v>
      </c>
      <c r="B3104">
        <v>116</v>
      </c>
      <c r="C3104" t="s">
        <v>568</v>
      </c>
      <c r="D3104" t="s">
        <v>2314</v>
      </c>
      <c r="E3104" t="s">
        <v>3072</v>
      </c>
      <c r="F3104" s="452">
        <v>46049</v>
      </c>
      <c r="G3104">
        <v>18640</v>
      </c>
      <c r="H3104" t="s">
        <v>3994</v>
      </c>
      <c r="I3104" t="s">
        <v>3497</v>
      </c>
      <c r="J3104">
        <v>2</v>
      </c>
      <c r="K3104" t="s">
        <v>3922</v>
      </c>
      <c r="L3104">
        <v>612</v>
      </c>
      <c r="M3104">
        <v>306</v>
      </c>
      <c r="N3104" t="s">
        <v>4276</v>
      </c>
      <c r="O3104" t="s">
        <v>461</v>
      </c>
    </row>
    <row r="3105" spans="1:15" x14ac:dyDescent="0.3">
      <c r="A3105">
        <v>205883</v>
      </c>
      <c r="B3105">
        <v>116</v>
      </c>
      <c r="C3105" t="s">
        <v>568</v>
      </c>
      <c r="D3105" t="s">
        <v>2314</v>
      </c>
      <c r="E3105" t="s">
        <v>3072</v>
      </c>
      <c r="F3105" s="452">
        <v>46049</v>
      </c>
      <c r="G3105">
        <v>17881</v>
      </c>
      <c r="H3105" t="s">
        <v>4095</v>
      </c>
      <c r="I3105" t="s">
        <v>3497</v>
      </c>
      <c r="J3105">
        <v>4</v>
      </c>
      <c r="K3105" t="s">
        <v>3888</v>
      </c>
      <c r="L3105">
        <v>102.12</v>
      </c>
      <c r="M3105">
        <v>25.53</v>
      </c>
      <c r="N3105" t="s">
        <v>4276</v>
      </c>
      <c r="O3105" t="s">
        <v>461</v>
      </c>
    </row>
    <row r="3106" spans="1:15" x14ac:dyDescent="0.3">
      <c r="A3106">
        <v>205883</v>
      </c>
      <c r="B3106">
        <v>116</v>
      </c>
      <c r="C3106" t="s">
        <v>568</v>
      </c>
      <c r="D3106" t="s">
        <v>2314</v>
      </c>
      <c r="E3106" t="s">
        <v>3072</v>
      </c>
      <c r="F3106" s="452">
        <v>46049</v>
      </c>
      <c r="G3106">
        <v>18006</v>
      </c>
      <c r="H3106" t="s">
        <v>4138</v>
      </c>
      <c r="I3106" t="s">
        <v>3497</v>
      </c>
      <c r="J3106">
        <v>4</v>
      </c>
      <c r="K3106" t="s">
        <v>3888</v>
      </c>
      <c r="L3106">
        <v>118.56</v>
      </c>
      <c r="M3106">
        <v>29.64</v>
      </c>
      <c r="N3106" t="s">
        <v>4276</v>
      </c>
      <c r="O3106" t="s">
        <v>461</v>
      </c>
    </row>
    <row r="3107" spans="1:15" x14ac:dyDescent="0.3">
      <c r="A3107">
        <v>205883</v>
      </c>
      <c r="B3107">
        <v>116</v>
      </c>
      <c r="C3107" t="s">
        <v>568</v>
      </c>
      <c r="D3107" t="s">
        <v>2314</v>
      </c>
      <c r="E3107" t="s">
        <v>3072</v>
      </c>
      <c r="F3107" s="452">
        <v>46049</v>
      </c>
      <c r="G3107">
        <v>18004</v>
      </c>
      <c r="H3107" t="s">
        <v>4140</v>
      </c>
      <c r="I3107" t="s">
        <v>3497</v>
      </c>
      <c r="J3107">
        <v>2</v>
      </c>
      <c r="K3107" t="s">
        <v>3888</v>
      </c>
      <c r="L3107">
        <v>59.28</v>
      </c>
      <c r="M3107">
        <v>29.64</v>
      </c>
      <c r="N3107" t="s">
        <v>4276</v>
      </c>
      <c r="O3107" t="s">
        <v>461</v>
      </c>
    </row>
    <row r="3108" spans="1:15" x14ac:dyDescent="0.3">
      <c r="A3108">
        <v>205882</v>
      </c>
      <c r="B3108">
        <v>116</v>
      </c>
      <c r="C3108" t="s">
        <v>568</v>
      </c>
      <c r="D3108" t="s">
        <v>2314</v>
      </c>
      <c r="E3108" t="s">
        <v>3073</v>
      </c>
      <c r="F3108" s="452">
        <v>46049</v>
      </c>
      <c r="G3108">
        <v>18636</v>
      </c>
      <c r="H3108" t="s">
        <v>3921</v>
      </c>
      <c r="I3108" t="s">
        <v>3497</v>
      </c>
      <c r="J3108">
        <v>8</v>
      </c>
      <c r="K3108" t="s">
        <v>3922</v>
      </c>
      <c r="L3108">
        <v>3862.4</v>
      </c>
      <c r="M3108">
        <v>482.8</v>
      </c>
      <c r="N3108" t="s">
        <v>4276</v>
      </c>
      <c r="O3108" t="s">
        <v>461</v>
      </c>
    </row>
    <row r="3109" spans="1:15" x14ac:dyDescent="0.3">
      <c r="A3109">
        <v>205882</v>
      </c>
      <c r="B3109">
        <v>116</v>
      </c>
      <c r="C3109" t="s">
        <v>568</v>
      </c>
      <c r="D3109" t="s">
        <v>2314</v>
      </c>
      <c r="E3109" t="s">
        <v>3073</v>
      </c>
      <c r="F3109" s="452">
        <v>46049</v>
      </c>
      <c r="G3109">
        <v>18640</v>
      </c>
      <c r="H3109" t="s">
        <v>3994</v>
      </c>
      <c r="I3109" t="s">
        <v>3497</v>
      </c>
      <c r="J3109">
        <v>2</v>
      </c>
      <c r="K3109" t="s">
        <v>3922</v>
      </c>
      <c r="L3109">
        <v>612</v>
      </c>
      <c r="M3109">
        <v>306</v>
      </c>
      <c r="N3109" t="s">
        <v>4276</v>
      </c>
      <c r="O3109" t="s">
        <v>461</v>
      </c>
    </row>
    <row r="3110" spans="1:15" x14ac:dyDescent="0.3">
      <c r="A3110">
        <v>205881</v>
      </c>
      <c r="B3110">
        <v>116</v>
      </c>
      <c r="C3110" t="s">
        <v>568</v>
      </c>
      <c r="D3110" t="s">
        <v>2314</v>
      </c>
      <c r="E3110" t="s">
        <v>3074</v>
      </c>
      <c r="F3110" s="452">
        <v>46049</v>
      </c>
      <c r="G3110">
        <v>18640</v>
      </c>
      <c r="H3110" t="s">
        <v>3994</v>
      </c>
      <c r="I3110" t="s">
        <v>3497</v>
      </c>
      <c r="J3110">
        <v>1</v>
      </c>
      <c r="K3110" t="s">
        <v>3922</v>
      </c>
      <c r="L3110">
        <v>306</v>
      </c>
      <c r="M3110">
        <v>306</v>
      </c>
      <c r="N3110" t="s">
        <v>3497</v>
      </c>
      <c r="O3110" t="s">
        <v>461</v>
      </c>
    </row>
    <row r="3111" spans="1:15" x14ac:dyDescent="0.3">
      <c r="A3111">
        <v>205880</v>
      </c>
      <c r="B3111">
        <v>116</v>
      </c>
      <c r="C3111" t="s">
        <v>568</v>
      </c>
      <c r="D3111" t="s">
        <v>2314</v>
      </c>
      <c r="E3111" t="s">
        <v>3075</v>
      </c>
      <c r="F3111" s="452">
        <v>46051</v>
      </c>
      <c r="G3111">
        <v>18636</v>
      </c>
      <c r="H3111" t="s">
        <v>3921</v>
      </c>
      <c r="I3111" t="s">
        <v>3497</v>
      </c>
      <c r="J3111">
        <v>6</v>
      </c>
      <c r="K3111" t="s">
        <v>3922</v>
      </c>
      <c r="L3111">
        <v>2896.8</v>
      </c>
      <c r="M3111">
        <v>482.8</v>
      </c>
      <c r="N3111" t="s">
        <v>3497</v>
      </c>
      <c r="O3111" t="s">
        <v>461</v>
      </c>
    </row>
    <row r="3112" spans="1:15" x14ac:dyDescent="0.3">
      <c r="A3112">
        <v>205880</v>
      </c>
      <c r="B3112">
        <v>116</v>
      </c>
      <c r="C3112" t="s">
        <v>568</v>
      </c>
      <c r="D3112" t="s">
        <v>2314</v>
      </c>
      <c r="E3112" t="s">
        <v>3075</v>
      </c>
      <c r="F3112" s="452">
        <v>46051</v>
      </c>
      <c r="G3112">
        <v>24599</v>
      </c>
      <c r="H3112" t="s">
        <v>3897</v>
      </c>
      <c r="I3112" t="s">
        <v>3497</v>
      </c>
      <c r="J3112">
        <v>1</v>
      </c>
      <c r="K3112" t="s">
        <v>3881</v>
      </c>
      <c r="L3112">
        <v>116.4</v>
      </c>
      <c r="M3112">
        <v>116.4</v>
      </c>
      <c r="N3112" t="s">
        <v>3497</v>
      </c>
      <c r="O3112" t="s">
        <v>461</v>
      </c>
    </row>
    <row r="3113" spans="1:15" x14ac:dyDescent="0.3">
      <c r="A3113">
        <v>205879</v>
      </c>
      <c r="B3113">
        <v>116</v>
      </c>
      <c r="C3113" t="s">
        <v>568</v>
      </c>
      <c r="D3113" t="s">
        <v>2314</v>
      </c>
      <c r="E3113" t="s">
        <v>3076</v>
      </c>
      <c r="F3113" s="452">
        <v>46052</v>
      </c>
      <c r="G3113">
        <v>28544</v>
      </c>
      <c r="H3113" t="s">
        <v>4397</v>
      </c>
      <c r="I3113" t="s">
        <v>3497</v>
      </c>
      <c r="J3113">
        <v>2</v>
      </c>
      <c r="K3113" t="s">
        <v>3872</v>
      </c>
      <c r="L3113">
        <v>264.14</v>
      </c>
      <c r="M3113">
        <v>132.07</v>
      </c>
      <c r="N3113" t="s">
        <v>3497</v>
      </c>
      <c r="O3113" t="s">
        <v>461</v>
      </c>
    </row>
    <row r="3114" spans="1:15" x14ac:dyDescent="0.3">
      <c r="A3114">
        <v>205866</v>
      </c>
      <c r="B3114">
        <v>116</v>
      </c>
      <c r="C3114" t="s">
        <v>568</v>
      </c>
      <c r="D3114" t="s">
        <v>2310</v>
      </c>
      <c r="E3114" t="s">
        <v>3077</v>
      </c>
      <c r="F3114" s="452">
        <v>46041</v>
      </c>
      <c r="G3114">
        <v>17162</v>
      </c>
      <c r="H3114" t="s">
        <v>4209</v>
      </c>
      <c r="I3114" t="s">
        <v>4199</v>
      </c>
      <c r="J3114">
        <v>1</v>
      </c>
      <c r="K3114" t="s">
        <v>3872</v>
      </c>
      <c r="L3114">
        <v>54.99</v>
      </c>
      <c r="M3114">
        <v>54.99</v>
      </c>
      <c r="N3114" t="s">
        <v>2176</v>
      </c>
      <c r="O3114" t="s">
        <v>461</v>
      </c>
    </row>
    <row r="3115" spans="1:15" x14ac:dyDescent="0.3">
      <c r="A3115">
        <v>205866</v>
      </c>
      <c r="B3115">
        <v>116</v>
      </c>
      <c r="C3115" t="s">
        <v>568</v>
      </c>
      <c r="D3115" t="s">
        <v>2310</v>
      </c>
      <c r="E3115" t="s">
        <v>3077</v>
      </c>
      <c r="F3115" s="452">
        <v>46041</v>
      </c>
      <c r="G3115">
        <v>17266</v>
      </c>
      <c r="H3115" t="s">
        <v>4229</v>
      </c>
      <c r="I3115" t="s">
        <v>4199</v>
      </c>
      <c r="J3115">
        <v>12</v>
      </c>
      <c r="K3115" t="s">
        <v>3872</v>
      </c>
      <c r="L3115">
        <v>59.88</v>
      </c>
      <c r="M3115">
        <v>4.99</v>
      </c>
      <c r="N3115" t="s">
        <v>2176</v>
      </c>
      <c r="O3115" t="s">
        <v>461</v>
      </c>
    </row>
    <row r="3116" spans="1:15" x14ac:dyDescent="0.3">
      <c r="A3116">
        <v>205866</v>
      </c>
      <c r="B3116">
        <v>116</v>
      </c>
      <c r="C3116" t="s">
        <v>568</v>
      </c>
      <c r="D3116" t="s">
        <v>2310</v>
      </c>
      <c r="E3116" t="s">
        <v>3077</v>
      </c>
      <c r="F3116" s="452">
        <v>46041</v>
      </c>
      <c r="G3116">
        <v>17498</v>
      </c>
      <c r="H3116" t="s">
        <v>4243</v>
      </c>
      <c r="I3116" t="s">
        <v>4199</v>
      </c>
      <c r="J3116">
        <v>2</v>
      </c>
      <c r="K3116" t="s">
        <v>3881</v>
      </c>
      <c r="L3116">
        <v>45.36</v>
      </c>
      <c r="M3116">
        <v>22.68</v>
      </c>
      <c r="N3116" t="s">
        <v>2176</v>
      </c>
      <c r="O3116" t="s">
        <v>461</v>
      </c>
    </row>
    <row r="3117" spans="1:15" x14ac:dyDescent="0.3">
      <c r="A3117">
        <v>205864</v>
      </c>
      <c r="B3117">
        <v>116</v>
      </c>
      <c r="C3117" t="s">
        <v>568</v>
      </c>
      <c r="D3117" t="s">
        <v>2310</v>
      </c>
      <c r="E3117" t="s">
        <v>3078</v>
      </c>
      <c r="F3117" s="452">
        <v>46041</v>
      </c>
      <c r="G3117">
        <v>19984</v>
      </c>
      <c r="H3117" t="s">
        <v>3904</v>
      </c>
      <c r="I3117" t="s">
        <v>3469</v>
      </c>
      <c r="J3117">
        <v>12</v>
      </c>
      <c r="K3117" t="s">
        <v>3872</v>
      </c>
      <c r="L3117">
        <v>237.6</v>
      </c>
      <c r="M3117">
        <v>19.8</v>
      </c>
      <c r="N3117" t="s">
        <v>4240</v>
      </c>
      <c r="O3117" t="s">
        <v>461</v>
      </c>
    </row>
    <row r="3118" spans="1:15" x14ac:dyDescent="0.3">
      <c r="A3118">
        <v>205864</v>
      </c>
      <c r="B3118">
        <v>116</v>
      </c>
      <c r="C3118" t="s">
        <v>568</v>
      </c>
      <c r="D3118" t="s">
        <v>2310</v>
      </c>
      <c r="E3118" t="s">
        <v>3078</v>
      </c>
      <c r="F3118" s="452">
        <v>46041</v>
      </c>
      <c r="G3118">
        <v>20621</v>
      </c>
      <c r="H3118" t="s">
        <v>3885</v>
      </c>
      <c r="I3118" t="s">
        <v>3469</v>
      </c>
      <c r="J3118">
        <v>6</v>
      </c>
      <c r="K3118" t="s">
        <v>3872</v>
      </c>
      <c r="L3118">
        <v>144</v>
      </c>
      <c r="M3118">
        <v>24</v>
      </c>
      <c r="N3118" t="s">
        <v>4240</v>
      </c>
      <c r="O3118" t="s">
        <v>461</v>
      </c>
    </row>
    <row r="3119" spans="1:15" x14ac:dyDescent="0.3">
      <c r="A3119">
        <v>205863</v>
      </c>
      <c r="B3119">
        <v>116</v>
      </c>
      <c r="C3119" t="s">
        <v>568</v>
      </c>
      <c r="D3119" t="s">
        <v>2310</v>
      </c>
      <c r="E3119" t="s">
        <v>3079</v>
      </c>
      <c r="F3119" s="452">
        <v>46048</v>
      </c>
      <c r="G3119">
        <v>17266</v>
      </c>
      <c r="H3119" t="s">
        <v>4229</v>
      </c>
      <c r="I3119" t="s">
        <v>4199</v>
      </c>
      <c r="J3119">
        <v>12</v>
      </c>
      <c r="K3119" t="s">
        <v>3872</v>
      </c>
      <c r="L3119">
        <v>59.88</v>
      </c>
      <c r="M3119">
        <v>4.99</v>
      </c>
      <c r="N3119" t="s">
        <v>2176</v>
      </c>
      <c r="O3119" t="s">
        <v>461</v>
      </c>
    </row>
    <row r="3120" spans="1:15" x14ac:dyDescent="0.3">
      <c r="A3120">
        <v>205863</v>
      </c>
      <c r="B3120">
        <v>116</v>
      </c>
      <c r="C3120" t="s">
        <v>568</v>
      </c>
      <c r="D3120" t="s">
        <v>2310</v>
      </c>
      <c r="E3120" t="s">
        <v>3079</v>
      </c>
      <c r="F3120" s="452">
        <v>46048</v>
      </c>
      <c r="G3120">
        <v>17498</v>
      </c>
      <c r="H3120" t="s">
        <v>4243</v>
      </c>
      <c r="I3120" t="s">
        <v>4199</v>
      </c>
      <c r="J3120">
        <v>1</v>
      </c>
      <c r="K3120" t="s">
        <v>3881</v>
      </c>
      <c r="L3120">
        <v>22.68</v>
      </c>
      <c r="M3120">
        <v>22.68</v>
      </c>
      <c r="N3120" t="s">
        <v>2176</v>
      </c>
      <c r="O3120" t="s">
        <v>461</v>
      </c>
    </row>
    <row r="3121" spans="1:15" x14ac:dyDescent="0.3">
      <c r="A3121">
        <v>205861</v>
      </c>
      <c r="B3121">
        <v>116</v>
      </c>
      <c r="C3121" t="s">
        <v>568</v>
      </c>
      <c r="D3121" t="s">
        <v>2310</v>
      </c>
      <c r="E3121" t="s">
        <v>3080</v>
      </c>
      <c r="F3121" s="452">
        <v>46050</v>
      </c>
      <c r="G3121">
        <v>20832</v>
      </c>
      <c r="H3121" t="s">
        <v>4060</v>
      </c>
      <c r="I3121" t="s">
        <v>3469</v>
      </c>
      <c r="J3121">
        <v>3</v>
      </c>
      <c r="K3121" t="s">
        <v>3886</v>
      </c>
      <c r="L3121">
        <v>99</v>
      </c>
      <c r="M3121">
        <v>33</v>
      </c>
      <c r="N3121" t="s">
        <v>4240</v>
      </c>
      <c r="O3121" t="s">
        <v>461</v>
      </c>
    </row>
    <row r="3122" spans="1:15" x14ac:dyDescent="0.3">
      <c r="A3122">
        <v>205861</v>
      </c>
      <c r="B3122">
        <v>116</v>
      </c>
      <c r="C3122" t="s">
        <v>568</v>
      </c>
      <c r="D3122" t="s">
        <v>2310</v>
      </c>
      <c r="E3122" t="s">
        <v>3080</v>
      </c>
      <c r="F3122" s="452">
        <v>46050</v>
      </c>
      <c r="G3122">
        <v>21123</v>
      </c>
      <c r="H3122" t="s">
        <v>4115</v>
      </c>
      <c r="I3122" t="s">
        <v>3469</v>
      </c>
      <c r="J3122">
        <v>5</v>
      </c>
      <c r="K3122" t="s">
        <v>3892</v>
      </c>
      <c r="L3122">
        <v>66.5</v>
      </c>
      <c r="M3122">
        <v>13.3</v>
      </c>
      <c r="N3122" t="s">
        <v>4240</v>
      </c>
      <c r="O3122" t="s">
        <v>461</v>
      </c>
    </row>
    <row r="3123" spans="1:15" x14ac:dyDescent="0.3">
      <c r="A3123">
        <v>205861</v>
      </c>
      <c r="B3123">
        <v>116</v>
      </c>
      <c r="C3123" t="s">
        <v>568</v>
      </c>
      <c r="D3123" t="s">
        <v>2310</v>
      </c>
      <c r="E3123" t="s">
        <v>3080</v>
      </c>
      <c r="F3123" s="452">
        <v>46050</v>
      </c>
      <c r="G3123">
        <v>25768</v>
      </c>
      <c r="H3123" t="s">
        <v>4012</v>
      </c>
      <c r="I3123" t="s">
        <v>3469</v>
      </c>
      <c r="J3123">
        <v>4</v>
      </c>
      <c r="L3123">
        <v>35.6</v>
      </c>
      <c r="M3123">
        <v>8.9</v>
      </c>
      <c r="N3123" t="s">
        <v>4240</v>
      </c>
      <c r="O3123" t="s">
        <v>461</v>
      </c>
    </row>
    <row r="3124" spans="1:15" x14ac:dyDescent="0.3">
      <c r="A3124">
        <v>205858</v>
      </c>
      <c r="B3124">
        <v>116</v>
      </c>
      <c r="C3124" t="s">
        <v>568</v>
      </c>
      <c r="D3124" t="s">
        <v>2308</v>
      </c>
      <c r="E3124" t="s">
        <v>3081</v>
      </c>
      <c r="F3124" s="452">
        <v>46049</v>
      </c>
      <c r="G3124">
        <v>27312</v>
      </c>
      <c r="H3124" t="s">
        <v>3927</v>
      </c>
      <c r="I3124" t="s">
        <v>3469</v>
      </c>
      <c r="J3124">
        <v>15.7</v>
      </c>
      <c r="K3124" t="s">
        <v>3892</v>
      </c>
      <c r="L3124">
        <v>769.3</v>
      </c>
      <c r="M3124">
        <v>49</v>
      </c>
      <c r="N3124" t="s">
        <v>4240</v>
      </c>
      <c r="O3124" t="s">
        <v>461</v>
      </c>
    </row>
    <row r="3125" spans="1:15" x14ac:dyDescent="0.3">
      <c r="A3125">
        <v>205857</v>
      </c>
      <c r="B3125">
        <v>116</v>
      </c>
      <c r="C3125" t="s">
        <v>568</v>
      </c>
      <c r="D3125" t="s">
        <v>2953</v>
      </c>
      <c r="E3125" t="s">
        <v>1574</v>
      </c>
      <c r="F3125" s="452">
        <v>46043</v>
      </c>
      <c r="G3125">
        <v>28596</v>
      </c>
      <c r="H3125" t="s">
        <v>4398</v>
      </c>
      <c r="I3125" t="s">
        <v>4202</v>
      </c>
      <c r="J3125">
        <v>1</v>
      </c>
      <c r="K3125" t="s">
        <v>4203</v>
      </c>
      <c r="L3125">
        <v>668.7</v>
      </c>
      <c r="M3125">
        <v>668.7</v>
      </c>
      <c r="N3125" t="s">
        <v>4240</v>
      </c>
      <c r="O3125" t="s">
        <v>461</v>
      </c>
    </row>
    <row r="3126" spans="1:15" x14ac:dyDescent="0.3">
      <c r="A3126">
        <v>205855</v>
      </c>
      <c r="B3126">
        <v>116</v>
      </c>
      <c r="C3126" t="s">
        <v>568</v>
      </c>
      <c r="D3126" t="s">
        <v>2277</v>
      </c>
      <c r="E3126" t="s">
        <v>3082</v>
      </c>
      <c r="F3126" s="452">
        <v>46050</v>
      </c>
      <c r="G3126">
        <v>20809</v>
      </c>
      <c r="H3126" t="s">
        <v>4005</v>
      </c>
      <c r="I3126" t="s">
        <v>3469</v>
      </c>
      <c r="J3126">
        <v>2</v>
      </c>
      <c r="K3126" t="s">
        <v>3888</v>
      </c>
      <c r="L3126">
        <v>65.959999999999994</v>
      </c>
      <c r="M3126">
        <v>32.979999999999997</v>
      </c>
      <c r="N3126" t="s">
        <v>4240</v>
      </c>
      <c r="O3126" t="s">
        <v>461</v>
      </c>
    </row>
    <row r="3127" spans="1:15" x14ac:dyDescent="0.3">
      <c r="A3127">
        <v>205855</v>
      </c>
      <c r="B3127">
        <v>116</v>
      </c>
      <c r="C3127" t="s">
        <v>568</v>
      </c>
      <c r="D3127" t="s">
        <v>2277</v>
      </c>
      <c r="E3127" t="s">
        <v>3082</v>
      </c>
      <c r="F3127" s="452">
        <v>46050</v>
      </c>
      <c r="G3127">
        <v>20729</v>
      </c>
      <c r="H3127" t="s">
        <v>3965</v>
      </c>
      <c r="I3127" t="s">
        <v>3469</v>
      </c>
      <c r="J3127">
        <v>2</v>
      </c>
      <c r="K3127" t="s">
        <v>3966</v>
      </c>
      <c r="L3127">
        <v>131.76</v>
      </c>
      <c r="M3127">
        <v>65.88</v>
      </c>
      <c r="N3127" t="s">
        <v>4240</v>
      </c>
      <c r="O3127" t="s">
        <v>461</v>
      </c>
    </row>
    <row r="3128" spans="1:15" x14ac:dyDescent="0.3">
      <c r="A3128">
        <v>205855</v>
      </c>
      <c r="B3128">
        <v>116</v>
      </c>
      <c r="C3128" t="s">
        <v>568</v>
      </c>
      <c r="D3128" t="s">
        <v>2277</v>
      </c>
      <c r="E3128" t="s">
        <v>3082</v>
      </c>
      <c r="F3128" s="452">
        <v>46050</v>
      </c>
      <c r="G3128">
        <v>20949</v>
      </c>
      <c r="H3128" t="s">
        <v>3983</v>
      </c>
      <c r="I3128" t="s">
        <v>3469</v>
      </c>
      <c r="J3128">
        <v>6</v>
      </c>
      <c r="K3128" t="s">
        <v>3872</v>
      </c>
      <c r="L3128">
        <v>47.76</v>
      </c>
      <c r="M3128">
        <v>7.96</v>
      </c>
      <c r="N3128" t="s">
        <v>4240</v>
      </c>
      <c r="O3128" t="s">
        <v>461</v>
      </c>
    </row>
    <row r="3129" spans="1:15" x14ac:dyDescent="0.3">
      <c r="A3129">
        <v>205855</v>
      </c>
      <c r="B3129">
        <v>116</v>
      </c>
      <c r="C3129" t="s">
        <v>568</v>
      </c>
      <c r="D3129" t="s">
        <v>2277</v>
      </c>
      <c r="E3129" t="s">
        <v>3082</v>
      </c>
      <c r="F3129" s="452">
        <v>46050</v>
      </c>
      <c r="G3129">
        <v>24302</v>
      </c>
      <c r="H3129" t="s">
        <v>4399</v>
      </c>
      <c r="I3129" t="s">
        <v>3469</v>
      </c>
      <c r="J3129">
        <v>2</v>
      </c>
      <c r="K3129" t="s">
        <v>3892</v>
      </c>
      <c r="L3129">
        <v>20.5</v>
      </c>
      <c r="M3129">
        <v>10.25</v>
      </c>
      <c r="N3129" t="s">
        <v>4240</v>
      </c>
      <c r="O3129" t="s">
        <v>461</v>
      </c>
    </row>
    <row r="3130" spans="1:15" x14ac:dyDescent="0.3">
      <c r="A3130">
        <v>205855</v>
      </c>
      <c r="B3130">
        <v>116</v>
      </c>
      <c r="C3130" t="s">
        <v>568</v>
      </c>
      <c r="D3130" t="s">
        <v>2277</v>
      </c>
      <c r="E3130" t="s">
        <v>3082</v>
      </c>
      <c r="F3130" s="452">
        <v>46050</v>
      </c>
      <c r="G3130">
        <v>19979</v>
      </c>
      <c r="H3130" t="s">
        <v>4295</v>
      </c>
      <c r="I3130" t="s">
        <v>3469</v>
      </c>
      <c r="J3130">
        <v>2</v>
      </c>
      <c r="K3130" t="s">
        <v>3931</v>
      </c>
      <c r="L3130">
        <v>43.76</v>
      </c>
      <c r="M3130">
        <v>21.88</v>
      </c>
      <c r="N3130" t="s">
        <v>4240</v>
      </c>
      <c r="O3130" t="s">
        <v>461</v>
      </c>
    </row>
    <row r="3131" spans="1:15" x14ac:dyDescent="0.3">
      <c r="A3131">
        <v>205855</v>
      </c>
      <c r="B3131">
        <v>116</v>
      </c>
      <c r="C3131" t="s">
        <v>568</v>
      </c>
      <c r="D3131" t="s">
        <v>2277</v>
      </c>
      <c r="E3131" t="s">
        <v>3082</v>
      </c>
      <c r="F3131" s="452">
        <v>46050</v>
      </c>
      <c r="G3131">
        <v>23270</v>
      </c>
      <c r="H3131" t="s">
        <v>4103</v>
      </c>
      <c r="I3131" t="s">
        <v>3469</v>
      </c>
      <c r="J3131">
        <v>1</v>
      </c>
      <c r="K3131" t="s">
        <v>3892</v>
      </c>
      <c r="L3131">
        <v>26.44</v>
      </c>
      <c r="M3131">
        <v>26.44</v>
      </c>
      <c r="N3131" t="s">
        <v>4240</v>
      </c>
      <c r="O3131" t="s">
        <v>461</v>
      </c>
    </row>
    <row r="3132" spans="1:15" x14ac:dyDescent="0.3">
      <c r="A3132">
        <v>205855</v>
      </c>
      <c r="B3132">
        <v>116</v>
      </c>
      <c r="C3132" t="s">
        <v>568</v>
      </c>
      <c r="D3132" t="s">
        <v>2277</v>
      </c>
      <c r="E3132" t="s">
        <v>3082</v>
      </c>
      <c r="F3132" s="452">
        <v>46050</v>
      </c>
      <c r="G3132">
        <v>25237</v>
      </c>
      <c r="H3132" t="s">
        <v>4164</v>
      </c>
      <c r="I3132" t="s">
        <v>3469</v>
      </c>
      <c r="J3132">
        <v>10</v>
      </c>
      <c r="K3132" t="s">
        <v>3888</v>
      </c>
      <c r="L3132">
        <v>55.9</v>
      </c>
      <c r="M3132">
        <v>5.59</v>
      </c>
      <c r="N3132" t="s">
        <v>4240</v>
      </c>
      <c r="O3132" t="s">
        <v>461</v>
      </c>
    </row>
    <row r="3133" spans="1:15" x14ac:dyDescent="0.3">
      <c r="A3133">
        <v>205855</v>
      </c>
      <c r="B3133">
        <v>116</v>
      </c>
      <c r="C3133" t="s">
        <v>568</v>
      </c>
      <c r="D3133" t="s">
        <v>2277</v>
      </c>
      <c r="E3133" t="s">
        <v>3082</v>
      </c>
      <c r="F3133" s="452">
        <v>46050</v>
      </c>
      <c r="G3133">
        <v>20752</v>
      </c>
      <c r="H3133" t="s">
        <v>3964</v>
      </c>
      <c r="I3133" t="s">
        <v>3469</v>
      </c>
      <c r="J3133">
        <v>2</v>
      </c>
      <c r="K3133" t="s">
        <v>3886</v>
      </c>
      <c r="L3133">
        <v>212</v>
      </c>
      <c r="M3133">
        <v>106</v>
      </c>
      <c r="N3133" t="s">
        <v>4240</v>
      </c>
      <c r="O3133" t="s">
        <v>461</v>
      </c>
    </row>
    <row r="3134" spans="1:15" x14ac:dyDescent="0.3">
      <c r="A3134">
        <v>205855</v>
      </c>
      <c r="B3134">
        <v>116</v>
      </c>
      <c r="C3134" t="s">
        <v>568</v>
      </c>
      <c r="D3134" t="s">
        <v>2277</v>
      </c>
      <c r="E3134" t="s">
        <v>3082</v>
      </c>
      <c r="F3134" s="452">
        <v>46050</v>
      </c>
      <c r="G3134">
        <v>23982</v>
      </c>
      <c r="H3134" t="s">
        <v>3977</v>
      </c>
      <c r="I3134" t="s">
        <v>3469</v>
      </c>
      <c r="J3134">
        <v>1</v>
      </c>
      <c r="K3134" t="s">
        <v>3978</v>
      </c>
      <c r="L3134">
        <v>240.59</v>
      </c>
      <c r="M3134">
        <v>240.59</v>
      </c>
      <c r="N3134" t="s">
        <v>4240</v>
      </c>
      <c r="O3134" t="s">
        <v>461</v>
      </c>
    </row>
    <row r="3135" spans="1:15" x14ac:dyDescent="0.3">
      <c r="A3135">
        <v>205855</v>
      </c>
      <c r="B3135">
        <v>116</v>
      </c>
      <c r="C3135" t="s">
        <v>568</v>
      </c>
      <c r="D3135" t="s">
        <v>2277</v>
      </c>
      <c r="E3135" t="s">
        <v>3082</v>
      </c>
      <c r="F3135" s="452">
        <v>46050</v>
      </c>
      <c r="G3135">
        <v>19906</v>
      </c>
      <c r="H3135" t="s">
        <v>4171</v>
      </c>
      <c r="I3135" t="s">
        <v>3469</v>
      </c>
      <c r="J3135">
        <v>1</v>
      </c>
      <c r="K3135" t="s">
        <v>3888</v>
      </c>
      <c r="L3135">
        <v>33.6</v>
      </c>
      <c r="M3135">
        <v>33.6</v>
      </c>
      <c r="N3135" t="s">
        <v>4240</v>
      </c>
      <c r="O3135" t="s">
        <v>461</v>
      </c>
    </row>
    <row r="3136" spans="1:15" x14ac:dyDescent="0.3">
      <c r="A3136">
        <v>205855</v>
      </c>
      <c r="B3136">
        <v>116</v>
      </c>
      <c r="C3136" t="s">
        <v>568</v>
      </c>
      <c r="D3136" t="s">
        <v>2277</v>
      </c>
      <c r="E3136" t="s">
        <v>3082</v>
      </c>
      <c r="F3136" s="452">
        <v>46050</v>
      </c>
      <c r="G3136">
        <v>24185</v>
      </c>
      <c r="H3136" t="s">
        <v>4040</v>
      </c>
      <c r="I3136" t="s">
        <v>3469</v>
      </c>
      <c r="J3136">
        <v>2</v>
      </c>
      <c r="K3136" t="s">
        <v>3892</v>
      </c>
      <c r="L3136">
        <v>46.2</v>
      </c>
      <c r="M3136">
        <v>23.1</v>
      </c>
      <c r="N3136" t="s">
        <v>4240</v>
      </c>
      <c r="O3136" t="s">
        <v>461</v>
      </c>
    </row>
    <row r="3137" spans="1:15" x14ac:dyDescent="0.3">
      <c r="A3137">
        <v>205854</v>
      </c>
      <c r="B3137">
        <v>116</v>
      </c>
      <c r="C3137" t="s">
        <v>568</v>
      </c>
      <c r="D3137" t="s">
        <v>2277</v>
      </c>
      <c r="E3137" t="s">
        <v>3083</v>
      </c>
      <c r="F3137" s="452">
        <v>46052</v>
      </c>
      <c r="G3137">
        <v>20809</v>
      </c>
      <c r="H3137" t="s">
        <v>4005</v>
      </c>
      <c r="I3137" t="s">
        <v>3469</v>
      </c>
      <c r="J3137">
        <v>2</v>
      </c>
      <c r="K3137" t="s">
        <v>3888</v>
      </c>
      <c r="L3137">
        <v>65.959999999999994</v>
      </c>
      <c r="M3137">
        <v>32.979999999999997</v>
      </c>
      <c r="N3137" t="s">
        <v>4240</v>
      </c>
      <c r="O3137" t="s">
        <v>461</v>
      </c>
    </row>
    <row r="3138" spans="1:15" x14ac:dyDescent="0.3">
      <c r="A3138">
        <v>205853</v>
      </c>
      <c r="B3138">
        <v>116</v>
      </c>
      <c r="C3138" t="s">
        <v>568</v>
      </c>
      <c r="D3138" t="s">
        <v>2275</v>
      </c>
      <c r="E3138" t="s">
        <v>3084</v>
      </c>
      <c r="F3138" s="452">
        <v>46048</v>
      </c>
      <c r="G3138">
        <v>17958</v>
      </c>
      <c r="H3138" t="s">
        <v>4141</v>
      </c>
      <c r="I3138" t="s">
        <v>3497</v>
      </c>
      <c r="J3138">
        <v>20</v>
      </c>
      <c r="K3138" t="s">
        <v>3888</v>
      </c>
      <c r="L3138">
        <v>354</v>
      </c>
      <c r="M3138">
        <v>17.7</v>
      </c>
      <c r="N3138" t="s">
        <v>3497</v>
      </c>
      <c r="O3138" t="s">
        <v>461</v>
      </c>
    </row>
    <row r="3139" spans="1:15" x14ac:dyDescent="0.3">
      <c r="A3139">
        <v>205853</v>
      </c>
      <c r="B3139">
        <v>116</v>
      </c>
      <c r="C3139" t="s">
        <v>568</v>
      </c>
      <c r="D3139" t="s">
        <v>2275</v>
      </c>
      <c r="E3139" t="s">
        <v>3084</v>
      </c>
      <c r="F3139" s="452">
        <v>46048</v>
      </c>
      <c r="G3139">
        <v>17950</v>
      </c>
      <c r="H3139" t="s">
        <v>4170</v>
      </c>
      <c r="I3139" t="s">
        <v>3497</v>
      </c>
      <c r="J3139">
        <v>10</v>
      </c>
      <c r="K3139" t="s">
        <v>3888</v>
      </c>
      <c r="L3139">
        <v>187</v>
      </c>
      <c r="M3139">
        <v>18.7</v>
      </c>
      <c r="N3139" t="s">
        <v>3497</v>
      </c>
      <c r="O3139" t="s">
        <v>461</v>
      </c>
    </row>
    <row r="3140" spans="1:15" x14ac:dyDescent="0.3">
      <c r="A3140">
        <v>205852</v>
      </c>
      <c r="B3140">
        <v>116</v>
      </c>
      <c r="C3140" t="s">
        <v>568</v>
      </c>
      <c r="D3140" t="s">
        <v>2273</v>
      </c>
      <c r="E3140" t="s">
        <v>3085</v>
      </c>
      <c r="F3140" s="452">
        <v>46042</v>
      </c>
      <c r="G3140">
        <v>19652</v>
      </c>
      <c r="H3140" t="s">
        <v>4014</v>
      </c>
      <c r="I3140" t="s">
        <v>3469</v>
      </c>
      <c r="J3140">
        <v>1.1499999999999999</v>
      </c>
      <c r="K3140" t="s">
        <v>3892</v>
      </c>
      <c r="L3140">
        <v>21.93</v>
      </c>
      <c r="M3140">
        <v>19.069565000000001</v>
      </c>
      <c r="N3140" t="s">
        <v>4289</v>
      </c>
      <c r="O3140" t="s">
        <v>461</v>
      </c>
    </row>
    <row r="3141" spans="1:15" x14ac:dyDescent="0.3">
      <c r="A3141">
        <v>205852</v>
      </c>
      <c r="B3141">
        <v>116</v>
      </c>
      <c r="C3141" t="s">
        <v>568</v>
      </c>
      <c r="D3141" t="s">
        <v>2273</v>
      </c>
      <c r="E3141" t="s">
        <v>3085</v>
      </c>
      <c r="F3141" s="452">
        <v>46042</v>
      </c>
      <c r="G3141">
        <v>19558</v>
      </c>
      <c r="H3141" t="s">
        <v>4183</v>
      </c>
      <c r="I3141" t="s">
        <v>3469</v>
      </c>
      <c r="J3141">
        <v>1.1200000000000001</v>
      </c>
      <c r="K3141" t="s">
        <v>3892</v>
      </c>
      <c r="L3141">
        <v>13.89</v>
      </c>
      <c r="M3141">
        <v>12.401786</v>
      </c>
      <c r="N3141" t="s">
        <v>4289</v>
      </c>
      <c r="O3141" t="s">
        <v>461</v>
      </c>
    </row>
    <row r="3142" spans="1:15" x14ac:dyDescent="0.3">
      <c r="A3142">
        <v>205852</v>
      </c>
      <c r="B3142">
        <v>116</v>
      </c>
      <c r="C3142" t="s">
        <v>568</v>
      </c>
      <c r="D3142" t="s">
        <v>2273</v>
      </c>
      <c r="E3142" t="s">
        <v>3085</v>
      </c>
      <c r="F3142" s="452">
        <v>46042</v>
      </c>
      <c r="G3142">
        <v>19751</v>
      </c>
      <c r="H3142" t="s">
        <v>4019</v>
      </c>
      <c r="I3142" t="s">
        <v>3469</v>
      </c>
      <c r="J3142">
        <v>2</v>
      </c>
      <c r="K3142" t="s">
        <v>3892</v>
      </c>
      <c r="L3142">
        <v>25.96</v>
      </c>
      <c r="M3142">
        <v>12.98</v>
      </c>
      <c r="N3142" t="s">
        <v>4289</v>
      </c>
      <c r="O3142" t="s">
        <v>461</v>
      </c>
    </row>
    <row r="3143" spans="1:15" x14ac:dyDescent="0.3">
      <c r="A3143">
        <v>205852</v>
      </c>
      <c r="B3143">
        <v>116</v>
      </c>
      <c r="C3143" t="s">
        <v>568</v>
      </c>
      <c r="D3143" t="s">
        <v>2273</v>
      </c>
      <c r="E3143" t="s">
        <v>3085</v>
      </c>
      <c r="F3143" s="452">
        <v>46042</v>
      </c>
      <c r="G3143">
        <v>24598</v>
      </c>
      <c r="H3143" t="s">
        <v>4166</v>
      </c>
      <c r="I3143" t="s">
        <v>3469</v>
      </c>
      <c r="J3143">
        <v>1.2</v>
      </c>
      <c r="K3143" t="s">
        <v>3892</v>
      </c>
      <c r="L3143">
        <v>12.61</v>
      </c>
      <c r="M3143">
        <v>10.508333</v>
      </c>
      <c r="N3143" t="s">
        <v>4289</v>
      </c>
      <c r="O3143" t="s">
        <v>461</v>
      </c>
    </row>
    <row r="3144" spans="1:15" x14ac:dyDescent="0.3">
      <c r="A3144">
        <v>205852</v>
      </c>
      <c r="B3144">
        <v>116</v>
      </c>
      <c r="C3144" t="s">
        <v>568</v>
      </c>
      <c r="D3144" t="s">
        <v>2273</v>
      </c>
      <c r="E3144" t="s">
        <v>3085</v>
      </c>
      <c r="F3144" s="452">
        <v>46042</v>
      </c>
      <c r="G3144">
        <v>23171</v>
      </c>
      <c r="H3144" t="s">
        <v>4132</v>
      </c>
      <c r="I3144" t="s">
        <v>3469</v>
      </c>
      <c r="J3144">
        <v>3.25</v>
      </c>
      <c r="K3144" t="s">
        <v>3892</v>
      </c>
      <c r="L3144">
        <v>20.02</v>
      </c>
      <c r="M3144">
        <v>6.16</v>
      </c>
      <c r="N3144" t="s">
        <v>4289</v>
      </c>
      <c r="O3144" t="s">
        <v>461</v>
      </c>
    </row>
    <row r="3145" spans="1:15" x14ac:dyDescent="0.3">
      <c r="A3145">
        <v>205852</v>
      </c>
      <c r="B3145">
        <v>116</v>
      </c>
      <c r="C3145" t="s">
        <v>568</v>
      </c>
      <c r="D3145" t="s">
        <v>2273</v>
      </c>
      <c r="E3145" t="s">
        <v>3085</v>
      </c>
      <c r="F3145" s="452">
        <v>46042</v>
      </c>
      <c r="G3145">
        <v>23389</v>
      </c>
      <c r="H3145" t="s">
        <v>4016</v>
      </c>
      <c r="I3145" t="s">
        <v>3469</v>
      </c>
      <c r="J3145">
        <v>5</v>
      </c>
      <c r="K3145" t="s">
        <v>3892</v>
      </c>
      <c r="L3145">
        <v>25.95</v>
      </c>
      <c r="M3145">
        <v>5.19</v>
      </c>
      <c r="N3145" t="s">
        <v>4289</v>
      </c>
      <c r="O3145" t="s">
        <v>461</v>
      </c>
    </row>
    <row r="3146" spans="1:15" x14ac:dyDescent="0.3">
      <c r="A3146">
        <v>205852</v>
      </c>
      <c r="B3146">
        <v>116</v>
      </c>
      <c r="C3146" t="s">
        <v>568</v>
      </c>
      <c r="D3146" t="s">
        <v>2273</v>
      </c>
      <c r="E3146" t="s">
        <v>3085</v>
      </c>
      <c r="F3146" s="452">
        <v>46042</v>
      </c>
      <c r="G3146">
        <v>23142</v>
      </c>
      <c r="H3146" t="s">
        <v>4151</v>
      </c>
      <c r="I3146" t="s">
        <v>3469</v>
      </c>
      <c r="J3146">
        <v>1.3</v>
      </c>
      <c r="K3146" t="s">
        <v>3892</v>
      </c>
      <c r="L3146">
        <v>37.700000000000003</v>
      </c>
      <c r="M3146">
        <v>29</v>
      </c>
      <c r="N3146" t="s">
        <v>4289</v>
      </c>
      <c r="O3146" t="s">
        <v>461</v>
      </c>
    </row>
    <row r="3147" spans="1:15" x14ac:dyDescent="0.3">
      <c r="A3147">
        <v>205852</v>
      </c>
      <c r="B3147">
        <v>116</v>
      </c>
      <c r="C3147" t="s">
        <v>568</v>
      </c>
      <c r="D3147" t="s">
        <v>2273</v>
      </c>
      <c r="E3147" t="s">
        <v>3085</v>
      </c>
      <c r="F3147" s="452">
        <v>46042</v>
      </c>
      <c r="G3147">
        <v>19672</v>
      </c>
      <c r="H3147" t="s">
        <v>4024</v>
      </c>
      <c r="I3147" t="s">
        <v>3469</v>
      </c>
      <c r="J3147">
        <v>2</v>
      </c>
      <c r="K3147" t="s">
        <v>3892</v>
      </c>
      <c r="L3147">
        <v>30.6</v>
      </c>
      <c r="M3147">
        <v>15.3</v>
      </c>
      <c r="N3147" t="s">
        <v>4289</v>
      </c>
      <c r="O3147" t="s">
        <v>461</v>
      </c>
    </row>
    <row r="3148" spans="1:15" x14ac:dyDescent="0.3">
      <c r="A3148">
        <v>205852</v>
      </c>
      <c r="B3148">
        <v>116</v>
      </c>
      <c r="C3148" t="s">
        <v>568</v>
      </c>
      <c r="D3148" t="s">
        <v>2273</v>
      </c>
      <c r="E3148" t="s">
        <v>3085</v>
      </c>
      <c r="F3148" s="452">
        <v>46042</v>
      </c>
      <c r="G3148">
        <v>19539</v>
      </c>
      <c r="H3148" t="s">
        <v>4133</v>
      </c>
      <c r="I3148" t="s">
        <v>3469</v>
      </c>
      <c r="J3148">
        <v>18</v>
      </c>
      <c r="K3148" t="s">
        <v>3892</v>
      </c>
      <c r="L3148">
        <v>78.3</v>
      </c>
      <c r="M3148">
        <v>4.3499999999999996</v>
      </c>
      <c r="N3148" t="s">
        <v>4289</v>
      </c>
      <c r="O3148" t="s">
        <v>461</v>
      </c>
    </row>
    <row r="3149" spans="1:15" x14ac:dyDescent="0.3">
      <c r="A3149">
        <v>205850</v>
      </c>
      <c r="B3149">
        <v>116</v>
      </c>
      <c r="C3149" t="s">
        <v>568</v>
      </c>
      <c r="D3149" t="s">
        <v>2273</v>
      </c>
      <c r="E3149" t="s">
        <v>3086</v>
      </c>
      <c r="F3149" s="452">
        <v>46051</v>
      </c>
      <c r="G3149">
        <v>24083</v>
      </c>
      <c r="H3149" t="s">
        <v>3898</v>
      </c>
      <c r="I3149" t="s">
        <v>3469</v>
      </c>
      <c r="J3149">
        <v>25</v>
      </c>
      <c r="K3149" t="s">
        <v>3892</v>
      </c>
      <c r="L3149">
        <v>101.5</v>
      </c>
      <c r="M3149">
        <v>4.0599999999999996</v>
      </c>
      <c r="N3149" t="s">
        <v>4240</v>
      </c>
      <c r="O3149" t="s">
        <v>461</v>
      </c>
    </row>
    <row r="3150" spans="1:15" x14ac:dyDescent="0.3">
      <c r="A3150">
        <v>205850</v>
      </c>
      <c r="B3150">
        <v>116</v>
      </c>
      <c r="C3150" t="s">
        <v>568</v>
      </c>
      <c r="D3150" t="s">
        <v>2273</v>
      </c>
      <c r="E3150" t="s">
        <v>3086</v>
      </c>
      <c r="F3150" s="452">
        <v>46051</v>
      </c>
      <c r="G3150">
        <v>19751</v>
      </c>
      <c r="H3150" t="s">
        <v>4019</v>
      </c>
      <c r="I3150" t="s">
        <v>3469</v>
      </c>
      <c r="J3150">
        <v>2.0499999999999998</v>
      </c>
      <c r="K3150" t="s">
        <v>3892</v>
      </c>
      <c r="L3150">
        <v>26.61</v>
      </c>
      <c r="M3150">
        <v>12.980487999999999</v>
      </c>
      <c r="N3150" t="s">
        <v>4240</v>
      </c>
      <c r="O3150" t="s">
        <v>461</v>
      </c>
    </row>
    <row r="3151" spans="1:15" x14ac:dyDescent="0.3">
      <c r="A3151">
        <v>205850</v>
      </c>
      <c r="B3151">
        <v>116</v>
      </c>
      <c r="C3151" t="s">
        <v>568</v>
      </c>
      <c r="D3151" t="s">
        <v>2273</v>
      </c>
      <c r="E3151" t="s">
        <v>3086</v>
      </c>
      <c r="F3151" s="452">
        <v>46051</v>
      </c>
      <c r="G3151">
        <v>24598</v>
      </c>
      <c r="H3151" t="s">
        <v>4166</v>
      </c>
      <c r="I3151" t="s">
        <v>3469</v>
      </c>
      <c r="J3151">
        <v>1.2</v>
      </c>
      <c r="K3151" t="s">
        <v>3892</v>
      </c>
      <c r="L3151">
        <v>12.61</v>
      </c>
      <c r="M3151">
        <v>10.508333</v>
      </c>
      <c r="N3151" t="s">
        <v>4240</v>
      </c>
      <c r="O3151" t="s">
        <v>461</v>
      </c>
    </row>
    <row r="3152" spans="1:15" x14ac:dyDescent="0.3">
      <c r="A3152">
        <v>205850</v>
      </c>
      <c r="B3152">
        <v>116</v>
      </c>
      <c r="C3152" t="s">
        <v>568</v>
      </c>
      <c r="D3152" t="s">
        <v>2273</v>
      </c>
      <c r="E3152" t="s">
        <v>3086</v>
      </c>
      <c r="F3152" s="452">
        <v>46051</v>
      </c>
      <c r="G3152">
        <v>23171</v>
      </c>
      <c r="H3152" t="s">
        <v>4132</v>
      </c>
      <c r="I3152" t="s">
        <v>3469</v>
      </c>
      <c r="J3152">
        <v>4</v>
      </c>
      <c r="K3152" t="s">
        <v>3892</v>
      </c>
      <c r="L3152">
        <v>24.64</v>
      </c>
      <c r="M3152">
        <v>6.16</v>
      </c>
      <c r="N3152" t="s">
        <v>4240</v>
      </c>
      <c r="O3152" t="s">
        <v>461</v>
      </c>
    </row>
    <row r="3153" spans="1:15" x14ac:dyDescent="0.3">
      <c r="A3153">
        <v>205850</v>
      </c>
      <c r="B3153">
        <v>116</v>
      </c>
      <c r="C3153" t="s">
        <v>568</v>
      </c>
      <c r="D3153" t="s">
        <v>2273</v>
      </c>
      <c r="E3153" t="s">
        <v>3086</v>
      </c>
      <c r="F3153" s="452">
        <v>46051</v>
      </c>
      <c r="G3153">
        <v>23142</v>
      </c>
      <c r="H3153" t="s">
        <v>4151</v>
      </c>
      <c r="I3153" t="s">
        <v>3469</v>
      </c>
      <c r="J3153">
        <v>1.2</v>
      </c>
      <c r="K3153" t="s">
        <v>3892</v>
      </c>
      <c r="L3153">
        <v>34.799999999999997</v>
      </c>
      <c r="M3153">
        <v>29</v>
      </c>
      <c r="N3153" t="s">
        <v>4240</v>
      </c>
      <c r="O3153" t="s">
        <v>461</v>
      </c>
    </row>
    <row r="3154" spans="1:15" x14ac:dyDescent="0.3">
      <c r="A3154">
        <v>205850</v>
      </c>
      <c r="B3154">
        <v>116</v>
      </c>
      <c r="C3154" t="s">
        <v>568</v>
      </c>
      <c r="D3154" t="s">
        <v>2273</v>
      </c>
      <c r="E3154" t="s">
        <v>3086</v>
      </c>
      <c r="F3154" s="452">
        <v>46051</v>
      </c>
      <c r="G3154">
        <v>17066</v>
      </c>
      <c r="H3154" t="s">
        <v>4155</v>
      </c>
      <c r="I3154" t="s">
        <v>3469</v>
      </c>
      <c r="J3154">
        <v>1</v>
      </c>
      <c r="K3154" t="s">
        <v>3892</v>
      </c>
      <c r="L3154">
        <v>21.02</v>
      </c>
      <c r="M3154">
        <v>21.02</v>
      </c>
      <c r="N3154" t="s">
        <v>4240</v>
      </c>
      <c r="O3154" t="s">
        <v>461</v>
      </c>
    </row>
    <row r="3155" spans="1:15" x14ac:dyDescent="0.3">
      <c r="A3155">
        <v>205850</v>
      </c>
      <c r="B3155">
        <v>116</v>
      </c>
      <c r="C3155" t="s">
        <v>568</v>
      </c>
      <c r="D3155" t="s">
        <v>2273</v>
      </c>
      <c r="E3155" t="s">
        <v>3086</v>
      </c>
      <c r="F3155" s="452">
        <v>46051</v>
      </c>
      <c r="G3155">
        <v>19539</v>
      </c>
      <c r="H3155" t="s">
        <v>4133</v>
      </c>
      <c r="I3155" t="s">
        <v>3469</v>
      </c>
      <c r="J3155">
        <v>18</v>
      </c>
      <c r="K3155" t="s">
        <v>3892</v>
      </c>
      <c r="L3155">
        <v>78.3</v>
      </c>
      <c r="M3155">
        <v>4.3499999999999996</v>
      </c>
      <c r="N3155" t="s">
        <v>4240</v>
      </c>
      <c r="O3155" t="s">
        <v>461</v>
      </c>
    </row>
    <row r="3156" spans="1:15" x14ac:dyDescent="0.3">
      <c r="A3156">
        <v>204882</v>
      </c>
      <c r="B3156">
        <v>116</v>
      </c>
      <c r="C3156" t="s">
        <v>568</v>
      </c>
      <c r="D3156" t="s">
        <v>2318</v>
      </c>
      <c r="E3156" t="s">
        <v>3087</v>
      </c>
      <c r="F3156" s="452">
        <v>46052</v>
      </c>
      <c r="G3156">
        <v>18764</v>
      </c>
      <c r="H3156" t="s">
        <v>3907</v>
      </c>
      <c r="I3156" t="s">
        <v>3469</v>
      </c>
      <c r="J3156">
        <v>12</v>
      </c>
      <c r="L3156">
        <v>958.8</v>
      </c>
      <c r="M3156">
        <v>79.900000000000006</v>
      </c>
      <c r="N3156" t="s">
        <v>4240</v>
      </c>
      <c r="O3156" t="s">
        <v>461</v>
      </c>
    </row>
    <row r="3157" spans="1:15" x14ac:dyDescent="0.3">
      <c r="A3157">
        <v>204881</v>
      </c>
      <c r="B3157">
        <v>116</v>
      </c>
      <c r="C3157" t="s">
        <v>568</v>
      </c>
      <c r="D3157" t="s">
        <v>2320</v>
      </c>
      <c r="E3157" t="s">
        <v>3088</v>
      </c>
      <c r="F3157" s="452">
        <v>46050</v>
      </c>
      <c r="G3157">
        <v>22857</v>
      </c>
      <c r="H3157" t="s">
        <v>4130</v>
      </c>
      <c r="I3157" t="s">
        <v>3469</v>
      </c>
      <c r="J3157">
        <v>17.14</v>
      </c>
      <c r="K3157" t="s">
        <v>3892</v>
      </c>
      <c r="L3157">
        <v>1199.6300000000001</v>
      </c>
      <c r="M3157">
        <v>69.990082000000001</v>
      </c>
      <c r="N3157" t="s">
        <v>4240</v>
      </c>
      <c r="O3157" t="s">
        <v>461</v>
      </c>
    </row>
    <row r="3158" spans="1:15" x14ac:dyDescent="0.3">
      <c r="A3158">
        <v>204880</v>
      </c>
      <c r="B3158">
        <v>116</v>
      </c>
      <c r="C3158" t="s">
        <v>568</v>
      </c>
      <c r="D3158" t="s">
        <v>2271</v>
      </c>
      <c r="E3158" t="s">
        <v>3121</v>
      </c>
      <c r="F3158" s="452">
        <v>46036</v>
      </c>
      <c r="G3158">
        <v>18295</v>
      </c>
      <c r="H3158" t="s">
        <v>4030</v>
      </c>
      <c r="I3158" t="s">
        <v>3497</v>
      </c>
      <c r="J3158">
        <v>2</v>
      </c>
      <c r="K3158" t="s">
        <v>3878</v>
      </c>
      <c r="L3158">
        <v>246.8</v>
      </c>
      <c r="M3158">
        <v>123.4</v>
      </c>
      <c r="N3158" t="s">
        <v>3497</v>
      </c>
      <c r="O3158" t="s">
        <v>461</v>
      </c>
    </row>
    <row r="3159" spans="1:15" x14ac:dyDescent="0.3">
      <c r="A3159">
        <v>204879</v>
      </c>
      <c r="B3159">
        <v>116</v>
      </c>
      <c r="C3159" t="s">
        <v>568</v>
      </c>
      <c r="D3159" t="s">
        <v>3053</v>
      </c>
      <c r="E3159" t="s">
        <v>3089</v>
      </c>
      <c r="F3159" s="452">
        <v>46052</v>
      </c>
      <c r="G3159">
        <v>17006</v>
      </c>
      <c r="H3159" t="s">
        <v>4128</v>
      </c>
      <c r="I3159" t="s">
        <v>3469</v>
      </c>
      <c r="J3159">
        <v>14.2</v>
      </c>
      <c r="K3159" t="s">
        <v>3892</v>
      </c>
      <c r="L3159">
        <v>184.6</v>
      </c>
      <c r="M3159">
        <v>13</v>
      </c>
      <c r="N3159" t="s">
        <v>4240</v>
      </c>
      <c r="O3159" t="s">
        <v>461</v>
      </c>
    </row>
    <row r="3160" spans="1:15" x14ac:dyDescent="0.3">
      <c r="A3160">
        <v>204878</v>
      </c>
      <c r="B3160">
        <v>116</v>
      </c>
      <c r="C3160" t="s">
        <v>568</v>
      </c>
      <c r="D3160" t="s">
        <v>3053</v>
      </c>
      <c r="E3160" t="s">
        <v>3090</v>
      </c>
      <c r="F3160" s="452">
        <v>46052</v>
      </c>
      <c r="G3160">
        <v>17006</v>
      </c>
      <c r="H3160" t="s">
        <v>4128</v>
      </c>
      <c r="I3160" t="s">
        <v>3469</v>
      </c>
      <c r="J3160">
        <v>13.18</v>
      </c>
      <c r="K3160" t="s">
        <v>3892</v>
      </c>
      <c r="L3160">
        <v>171.34</v>
      </c>
      <c r="M3160">
        <v>13</v>
      </c>
      <c r="N3160" t="s">
        <v>4240</v>
      </c>
      <c r="O3160" t="s">
        <v>461</v>
      </c>
    </row>
    <row r="3161" spans="1:15" x14ac:dyDescent="0.3">
      <c r="A3161">
        <v>204877</v>
      </c>
      <c r="B3161">
        <v>116</v>
      </c>
      <c r="C3161" t="s">
        <v>568</v>
      </c>
      <c r="D3161" t="s">
        <v>2286</v>
      </c>
      <c r="E3161" t="s">
        <v>3091</v>
      </c>
      <c r="F3161" s="452">
        <v>46051</v>
      </c>
      <c r="G3161">
        <v>19787</v>
      </c>
      <c r="H3161" t="s">
        <v>3940</v>
      </c>
      <c r="I3161" t="s">
        <v>3469</v>
      </c>
      <c r="J3161">
        <v>3</v>
      </c>
      <c r="K3161" t="s">
        <v>3892</v>
      </c>
      <c r="L3161">
        <v>14.4</v>
      </c>
      <c r="M3161">
        <v>4.8</v>
      </c>
      <c r="N3161" t="s">
        <v>4240</v>
      </c>
      <c r="O3161" t="s">
        <v>461</v>
      </c>
    </row>
    <row r="3162" spans="1:15" x14ac:dyDescent="0.3">
      <c r="A3162">
        <v>204877</v>
      </c>
      <c r="B3162">
        <v>116</v>
      </c>
      <c r="C3162" t="s">
        <v>568</v>
      </c>
      <c r="D3162" t="s">
        <v>2286</v>
      </c>
      <c r="E3162" t="s">
        <v>3091</v>
      </c>
      <c r="F3162" s="452">
        <v>46051</v>
      </c>
      <c r="G3162">
        <v>19634</v>
      </c>
      <c r="H3162" t="s">
        <v>4068</v>
      </c>
      <c r="I3162" t="s">
        <v>3469</v>
      </c>
      <c r="J3162">
        <v>2</v>
      </c>
      <c r="K3162" t="s">
        <v>3892</v>
      </c>
      <c r="L3162">
        <v>14</v>
      </c>
      <c r="M3162">
        <v>7</v>
      </c>
      <c r="N3162" t="s">
        <v>4240</v>
      </c>
      <c r="O3162" t="s">
        <v>461</v>
      </c>
    </row>
    <row r="3163" spans="1:15" x14ac:dyDescent="0.3">
      <c r="A3163">
        <v>204877</v>
      </c>
      <c r="B3163">
        <v>116</v>
      </c>
      <c r="C3163" t="s">
        <v>568</v>
      </c>
      <c r="D3163" t="s">
        <v>2286</v>
      </c>
      <c r="E3163" t="s">
        <v>3091</v>
      </c>
      <c r="F3163" s="452">
        <v>46051</v>
      </c>
      <c r="G3163">
        <v>19621</v>
      </c>
      <c r="H3163" t="s">
        <v>4125</v>
      </c>
      <c r="I3163" t="s">
        <v>3469</v>
      </c>
      <c r="J3163">
        <v>2</v>
      </c>
      <c r="K3163" t="s">
        <v>3892</v>
      </c>
      <c r="L3163">
        <v>5</v>
      </c>
      <c r="M3163">
        <v>2.5</v>
      </c>
      <c r="N3163" t="s">
        <v>4240</v>
      </c>
      <c r="O3163" t="s">
        <v>461</v>
      </c>
    </row>
    <row r="3164" spans="1:15" x14ac:dyDescent="0.3">
      <c r="A3164">
        <v>204877</v>
      </c>
      <c r="B3164">
        <v>116</v>
      </c>
      <c r="C3164" t="s">
        <v>568</v>
      </c>
      <c r="D3164" t="s">
        <v>2286</v>
      </c>
      <c r="E3164" t="s">
        <v>3091</v>
      </c>
      <c r="F3164" s="452">
        <v>46051</v>
      </c>
      <c r="G3164">
        <v>19623</v>
      </c>
      <c r="H3164" t="s">
        <v>3984</v>
      </c>
      <c r="I3164" t="s">
        <v>3469</v>
      </c>
      <c r="J3164">
        <v>3</v>
      </c>
      <c r="K3164" t="s">
        <v>3892</v>
      </c>
      <c r="L3164">
        <v>11.4</v>
      </c>
      <c r="M3164">
        <v>3.8</v>
      </c>
      <c r="N3164" t="s">
        <v>4240</v>
      </c>
      <c r="O3164" t="s">
        <v>461</v>
      </c>
    </row>
    <row r="3165" spans="1:15" x14ac:dyDescent="0.3">
      <c r="A3165">
        <v>204877</v>
      </c>
      <c r="B3165">
        <v>116</v>
      </c>
      <c r="C3165" t="s">
        <v>568</v>
      </c>
      <c r="D3165" t="s">
        <v>2286</v>
      </c>
      <c r="E3165" t="s">
        <v>3091</v>
      </c>
      <c r="F3165" s="452">
        <v>46051</v>
      </c>
      <c r="G3165">
        <v>19506</v>
      </c>
      <c r="H3165" t="s">
        <v>4112</v>
      </c>
      <c r="I3165" t="s">
        <v>3469</v>
      </c>
      <c r="J3165">
        <v>0.3</v>
      </c>
      <c r="K3165" t="s">
        <v>3892</v>
      </c>
      <c r="L3165">
        <v>12</v>
      </c>
      <c r="M3165">
        <v>40</v>
      </c>
      <c r="N3165" t="s">
        <v>4240</v>
      </c>
      <c r="O3165" t="s">
        <v>461</v>
      </c>
    </row>
    <row r="3166" spans="1:15" x14ac:dyDescent="0.3">
      <c r="A3166">
        <v>204877</v>
      </c>
      <c r="B3166">
        <v>116</v>
      </c>
      <c r="C3166" t="s">
        <v>568</v>
      </c>
      <c r="D3166" t="s">
        <v>2286</v>
      </c>
      <c r="E3166" t="s">
        <v>3091</v>
      </c>
      <c r="F3166" s="452">
        <v>46051</v>
      </c>
      <c r="G3166">
        <v>19505</v>
      </c>
      <c r="H3166" t="s">
        <v>4101</v>
      </c>
      <c r="I3166" t="s">
        <v>3469</v>
      </c>
      <c r="J3166">
        <v>1</v>
      </c>
      <c r="K3166" t="s">
        <v>3892</v>
      </c>
      <c r="L3166">
        <v>12.5</v>
      </c>
      <c r="M3166">
        <v>12.5</v>
      </c>
      <c r="N3166" t="s">
        <v>4240</v>
      </c>
      <c r="O3166" t="s">
        <v>461</v>
      </c>
    </row>
    <row r="3167" spans="1:15" x14ac:dyDescent="0.3">
      <c r="A3167">
        <v>204877</v>
      </c>
      <c r="B3167">
        <v>116</v>
      </c>
      <c r="C3167" t="s">
        <v>568</v>
      </c>
      <c r="D3167" t="s">
        <v>2286</v>
      </c>
      <c r="E3167" t="s">
        <v>3091</v>
      </c>
      <c r="F3167" s="452">
        <v>46051</v>
      </c>
      <c r="G3167">
        <v>24509</v>
      </c>
      <c r="H3167" t="s">
        <v>3906</v>
      </c>
      <c r="I3167" t="s">
        <v>3469</v>
      </c>
      <c r="J3167">
        <v>20</v>
      </c>
      <c r="K3167" t="s">
        <v>3892</v>
      </c>
      <c r="L3167">
        <v>36</v>
      </c>
      <c r="M3167">
        <v>1.8</v>
      </c>
      <c r="N3167" t="s">
        <v>4240</v>
      </c>
      <c r="O3167" t="s">
        <v>461</v>
      </c>
    </row>
    <row r="3168" spans="1:15" x14ac:dyDescent="0.3">
      <c r="A3168">
        <v>204877</v>
      </c>
      <c r="B3168">
        <v>116</v>
      </c>
      <c r="C3168" t="s">
        <v>568</v>
      </c>
      <c r="D3168" t="s">
        <v>2286</v>
      </c>
      <c r="E3168" t="s">
        <v>3091</v>
      </c>
      <c r="F3168" s="452">
        <v>46051</v>
      </c>
      <c r="G3168">
        <v>19642</v>
      </c>
      <c r="H3168" t="s">
        <v>4067</v>
      </c>
      <c r="I3168" t="s">
        <v>3469</v>
      </c>
      <c r="J3168">
        <v>1</v>
      </c>
      <c r="K3168" t="s">
        <v>3892</v>
      </c>
      <c r="L3168">
        <v>5.5</v>
      </c>
      <c r="M3168">
        <v>5.5</v>
      </c>
      <c r="N3168" t="s">
        <v>4240</v>
      </c>
      <c r="O3168" t="s">
        <v>461</v>
      </c>
    </row>
    <row r="3169" spans="1:15" x14ac:dyDescent="0.3">
      <c r="A3169">
        <v>204877</v>
      </c>
      <c r="B3169">
        <v>116</v>
      </c>
      <c r="C3169" t="s">
        <v>568</v>
      </c>
      <c r="D3169" t="s">
        <v>2286</v>
      </c>
      <c r="E3169" t="s">
        <v>3091</v>
      </c>
      <c r="F3169" s="452">
        <v>46051</v>
      </c>
      <c r="G3169">
        <v>19465</v>
      </c>
      <c r="H3169" t="s">
        <v>4080</v>
      </c>
      <c r="I3169" t="s">
        <v>3469</v>
      </c>
      <c r="J3169">
        <v>1</v>
      </c>
      <c r="K3169" t="s">
        <v>3892</v>
      </c>
      <c r="L3169">
        <v>5</v>
      </c>
      <c r="M3169">
        <v>5</v>
      </c>
      <c r="N3169" t="s">
        <v>4240</v>
      </c>
      <c r="O3169" t="s">
        <v>461</v>
      </c>
    </row>
    <row r="3170" spans="1:15" x14ac:dyDescent="0.3">
      <c r="A3170">
        <v>204877</v>
      </c>
      <c r="B3170">
        <v>116</v>
      </c>
      <c r="C3170" t="s">
        <v>568</v>
      </c>
      <c r="D3170" t="s">
        <v>2286</v>
      </c>
      <c r="E3170" t="s">
        <v>3091</v>
      </c>
      <c r="F3170" s="452">
        <v>46051</v>
      </c>
      <c r="G3170">
        <v>19480</v>
      </c>
      <c r="H3170" t="s">
        <v>4113</v>
      </c>
      <c r="I3170" t="s">
        <v>3469</v>
      </c>
      <c r="J3170">
        <v>0.2</v>
      </c>
      <c r="K3170" t="s">
        <v>3892</v>
      </c>
      <c r="L3170">
        <v>2.8</v>
      </c>
      <c r="M3170">
        <v>14</v>
      </c>
      <c r="N3170" t="s">
        <v>4240</v>
      </c>
      <c r="O3170" t="s">
        <v>461</v>
      </c>
    </row>
    <row r="3171" spans="1:15" x14ac:dyDescent="0.3">
      <c r="A3171">
        <v>204877</v>
      </c>
      <c r="B3171">
        <v>116</v>
      </c>
      <c r="C3171" t="s">
        <v>568</v>
      </c>
      <c r="D3171" t="s">
        <v>2286</v>
      </c>
      <c r="E3171" t="s">
        <v>3091</v>
      </c>
      <c r="F3171" s="452">
        <v>46051</v>
      </c>
      <c r="G3171">
        <v>19488</v>
      </c>
      <c r="H3171" t="s">
        <v>4070</v>
      </c>
      <c r="I3171" t="s">
        <v>3469</v>
      </c>
      <c r="J3171">
        <v>0.2</v>
      </c>
      <c r="K3171" t="s">
        <v>3892</v>
      </c>
      <c r="L3171">
        <v>2.4</v>
      </c>
      <c r="M3171">
        <v>12</v>
      </c>
      <c r="N3171" t="s">
        <v>4240</v>
      </c>
      <c r="O3171" t="s">
        <v>461</v>
      </c>
    </row>
    <row r="3172" spans="1:15" x14ac:dyDescent="0.3">
      <c r="A3172">
        <v>204877</v>
      </c>
      <c r="B3172">
        <v>116</v>
      </c>
      <c r="C3172" t="s">
        <v>568</v>
      </c>
      <c r="D3172" t="s">
        <v>2286</v>
      </c>
      <c r="E3172" t="s">
        <v>3091</v>
      </c>
      <c r="F3172" s="452">
        <v>46051</v>
      </c>
      <c r="G3172">
        <v>19589</v>
      </c>
      <c r="H3172" t="s">
        <v>4153</v>
      </c>
      <c r="I3172" t="s">
        <v>3469</v>
      </c>
      <c r="J3172">
        <v>1</v>
      </c>
      <c r="K3172" t="s">
        <v>3892</v>
      </c>
      <c r="L3172">
        <v>6</v>
      </c>
      <c r="M3172">
        <v>6</v>
      </c>
      <c r="N3172" t="s">
        <v>4240</v>
      </c>
      <c r="O3172" t="s">
        <v>461</v>
      </c>
    </row>
    <row r="3173" spans="1:15" x14ac:dyDescent="0.3">
      <c r="A3173">
        <v>204877</v>
      </c>
      <c r="B3173">
        <v>116</v>
      </c>
      <c r="C3173" t="s">
        <v>568</v>
      </c>
      <c r="D3173" t="s">
        <v>2286</v>
      </c>
      <c r="E3173" t="s">
        <v>3091</v>
      </c>
      <c r="F3173" s="452">
        <v>46051</v>
      </c>
      <c r="G3173">
        <v>19555</v>
      </c>
      <c r="H3173" t="s">
        <v>4109</v>
      </c>
      <c r="I3173" t="s">
        <v>3469</v>
      </c>
      <c r="J3173">
        <v>0.6</v>
      </c>
      <c r="K3173" t="s">
        <v>3892</v>
      </c>
      <c r="L3173">
        <v>21</v>
      </c>
      <c r="M3173">
        <v>35</v>
      </c>
      <c r="N3173" t="s">
        <v>4240</v>
      </c>
      <c r="O3173" t="s">
        <v>461</v>
      </c>
    </row>
    <row r="3174" spans="1:15" x14ac:dyDescent="0.3">
      <c r="A3174">
        <v>204877</v>
      </c>
      <c r="B3174">
        <v>116</v>
      </c>
      <c r="C3174" t="s">
        <v>568</v>
      </c>
      <c r="D3174" t="s">
        <v>2286</v>
      </c>
      <c r="E3174" t="s">
        <v>3091</v>
      </c>
      <c r="F3174" s="452">
        <v>46051</v>
      </c>
      <c r="G3174">
        <v>19740</v>
      </c>
      <c r="H3174" t="s">
        <v>3933</v>
      </c>
      <c r="I3174" t="s">
        <v>3469</v>
      </c>
      <c r="J3174">
        <v>8</v>
      </c>
      <c r="K3174" t="s">
        <v>3892</v>
      </c>
      <c r="L3174">
        <v>68</v>
      </c>
      <c r="M3174">
        <v>8.5</v>
      </c>
      <c r="N3174" t="s">
        <v>4240</v>
      </c>
      <c r="O3174" t="s">
        <v>461</v>
      </c>
    </row>
    <row r="3175" spans="1:15" x14ac:dyDescent="0.3">
      <c r="A3175">
        <v>204877</v>
      </c>
      <c r="B3175">
        <v>116</v>
      </c>
      <c r="C3175" t="s">
        <v>568</v>
      </c>
      <c r="D3175" t="s">
        <v>2286</v>
      </c>
      <c r="E3175" t="s">
        <v>3091</v>
      </c>
      <c r="F3175" s="452">
        <v>46051</v>
      </c>
      <c r="G3175">
        <v>19742</v>
      </c>
      <c r="H3175" t="s">
        <v>4074</v>
      </c>
      <c r="I3175" t="s">
        <v>3469</v>
      </c>
      <c r="J3175">
        <v>1</v>
      </c>
      <c r="K3175" t="s">
        <v>3892</v>
      </c>
      <c r="L3175">
        <v>9.5</v>
      </c>
      <c r="M3175">
        <v>9.5</v>
      </c>
      <c r="N3175" t="s">
        <v>4240</v>
      </c>
      <c r="O3175" t="s">
        <v>461</v>
      </c>
    </row>
    <row r="3176" spans="1:15" x14ac:dyDescent="0.3">
      <c r="A3176">
        <v>204877</v>
      </c>
      <c r="B3176">
        <v>116</v>
      </c>
      <c r="C3176" t="s">
        <v>568</v>
      </c>
      <c r="D3176" t="s">
        <v>2286</v>
      </c>
      <c r="E3176" t="s">
        <v>3091</v>
      </c>
      <c r="F3176" s="452">
        <v>46051</v>
      </c>
      <c r="G3176">
        <v>23113</v>
      </c>
      <c r="H3176" t="s">
        <v>4079</v>
      </c>
      <c r="I3176" t="s">
        <v>3469</v>
      </c>
      <c r="J3176">
        <v>1.5</v>
      </c>
      <c r="K3176" t="s">
        <v>3892</v>
      </c>
      <c r="L3176">
        <v>12.75</v>
      </c>
      <c r="M3176">
        <v>8.5</v>
      </c>
      <c r="N3176" t="s">
        <v>4240</v>
      </c>
      <c r="O3176" t="s">
        <v>461</v>
      </c>
    </row>
    <row r="3177" spans="1:15" x14ac:dyDescent="0.3">
      <c r="A3177">
        <v>204877</v>
      </c>
      <c r="B3177">
        <v>116</v>
      </c>
      <c r="C3177" t="s">
        <v>568</v>
      </c>
      <c r="D3177" t="s">
        <v>2286</v>
      </c>
      <c r="E3177" t="s">
        <v>3091</v>
      </c>
      <c r="F3177" s="452">
        <v>46051</v>
      </c>
      <c r="G3177">
        <v>23120</v>
      </c>
      <c r="H3177" t="s">
        <v>4111</v>
      </c>
      <c r="I3177" t="s">
        <v>3469</v>
      </c>
      <c r="J3177">
        <v>0.2</v>
      </c>
      <c r="K3177" t="s">
        <v>3892</v>
      </c>
      <c r="L3177">
        <v>12.6</v>
      </c>
      <c r="M3177">
        <v>63</v>
      </c>
      <c r="N3177" t="s">
        <v>4240</v>
      </c>
      <c r="O3177" t="s">
        <v>461</v>
      </c>
    </row>
    <row r="3178" spans="1:15" x14ac:dyDescent="0.3">
      <c r="A3178">
        <v>204877</v>
      </c>
      <c r="B3178">
        <v>116</v>
      </c>
      <c r="C3178" t="s">
        <v>568</v>
      </c>
      <c r="D3178" t="s">
        <v>2286</v>
      </c>
      <c r="E3178" t="s">
        <v>3091</v>
      </c>
      <c r="F3178" s="452">
        <v>46051</v>
      </c>
      <c r="G3178">
        <v>23198</v>
      </c>
      <c r="H3178" t="s">
        <v>4167</v>
      </c>
      <c r="I3178" t="s">
        <v>3469</v>
      </c>
      <c r="J3178">
        <v>1</v>
      </c>
      <c r="K3178" t="s">
        <v>3892</v>
      </c>
      <c r="L3178">
        <v>8.5</v>
      </c>
      <c r="M3178">
        <v>8.5</v>
      </c>
      <c r="N3178" t="s">
        <v>4240</v>
      </c>
      <c r="O3178" t="s">
        <v>461</v>
      </c>
    </row>
    <row r="3179" spans="1:15" x14ac:dyDescent="0.3">
      <c r="A3179">
        <v>204877</v>
      </c>
      <c r="B3179">
        <v>116</v>
      </c>
      <c r="C3179" t="s">
        <v>568</v>
      </c>
      <c r="D3179" t="s">
        <v>2286</v>
      </c>
      <c r="E3179" t="s">
        <v>3091</v>
      </c>
      <c r="F3179" s="452">
        <v>46051</v>
      </c>
      <c r="G3179">
        <v>23236</v>
      </c>
      <c r="H3179" t="s">
        <v>4017</v>
      </c>
      <c r="I3179" t="s">
        <v>3469</v>
      </c>
      <c r="J3179">
        <v>4</v>
      </c>
      <c r="K3179" t="s">
        <v>3892</v>
      </c>
      <c r="L3179">
        <v>20</v>
      </c>
      <c r="M3179">
        <v>5</v>
      </c>
      <c r="N3179" t="s">
        <v>4240</v>
      </c>
      <c r="O3179" t="s">
        <v>461</v>
      </c>
    </row>
    <row r="3180" spans="1:15" x14ac:dyDescent="0.3">
      <c r="A3180">
        <v>204877</v>
      </c>
      <c r="B3180">
        <v>116</v>
      </c>
      <c r="C3180" t="s">
        <v>568</v>
      </c>
      <c r="D3180" t="s">
        <v>2286</v>
      </c>
      <c r="E3180" t="s">
        <v>3091</v>
      </c>
      <c r="F3180" s="452">
        <v>46051</v>
      </c>
      <c r="G3180">
        <v>23361</v>
      </c>
      <c r="H3180" t="s">
        <v>4220</v>
      </c>
      <c r="I3180" t="s">
        <v>3469</v>
      </c>
      <c r="J3180">
        <v>18</v>
      </c>
      <c r="K3180" t="s">
        <v>3892</v>
      </c>
      <c r="L3180">
        <v>55.8</v>
      </c>
      <c r="M3180">
        <v>3.1</v>
      </c>
      <c r="N3180" t="s">
        <v>4240</v>
      </c>
      <c r="O3180" t="s">
        <v>461</v>
      </c>
    </row>
    <row r="3181" spans="1:15" x14ac:dyDescent="0.3">
      <c r="A3181">
        <v>204877</v>
      </c>
      <c r="B3181">
        <v>116</v>
      </c>
      <c r="C3181" t="s">
        <v>568</v>
      </c>
      <c r="D3181" t="s">
        <v>2286</v>
      </c>
      <c r="E3181" t="s">
        <v>3091</v>
      </c>
      <c r="F3181" s="452">
        <v>46051</v>
      </c>
      <c r="G3181">
        <v>23389</v>
      </c>
      <c r="H3181" t="s">
        <v>4016</v>
      </c>
      <c r="I3181" t="s">
        <v>3469</v>
      </c>
      <c r="J3181">
        <v>6</v>
      </c>
      <c r="K3181" t="s">
        <v>3892</v>
      </c>
      <c r="L3181">
        <v>30</v>
      </c>
      <c r="M3181">
        <v>5</v>
      </c>
      <c r="N3181" t="s">
        <v>4240</v>
      </c>
      <c r="O3181" t="s">
        <v>461</v>
      </c>
    </row>
    <row r="3182" spans="1:15" x14ac:dyDescent="0.3">
      <c r="A3182">
        <v>204877</v>
      </c>
      <c r="B3182">
        <v>116</v>
      </c>
      <c r="C3182" t="s">
        <v>568</v>
      </c>
      <c r="D3182" t="s">
        <v>2286</v>
      </c>
      <c r="E3182" t="s">
        <v>3091</v>
      </c>
      <c r="F3182" s="452">
        <v>46051</v>
      </c>
      <c r="G3182">
        <v>23095</v>
      </c>
      <c r="H3182" t="s">
        <v>3882</v>
      </c>
      <c r="I3182" t="s">
        <v>3469</v>
      </c>
      <c r="J3182">
        <v>60</v>
      </c>
      <c r="K3182" t="s">
        <v>3872</v>
      </c>
      <c r="L3182">
        <v>56.4</v>
      </c>
      <c r="M3182">
        <v>0.94</v>
      </c>
      <c r="N3182" t="s">
        <v>4240</v>
      </c>
      <c r="O3182" t="s">
        <v>461</v>
      </c>
    </row>
    <row r="3183" spans="1:15" x14ac:dyDescent="0.3">
      <c r="A3183">
        <v>204877</v>
      </c>
      <c r="B3183">
        <v>116</v>
      </c>
      <c r="C3183" t="s">
        <v>568</v>
      </c>
      <c r="D3183" t="s">
        <v>2286</v>
      </c>
      <c r="E3183" t="s">
        <v>3091</v>
      </c>
      <c r="F3183" s="452">
        <v>46051</v>
      </c>
      <c r="G3183">
        <v>24037</v>
      </c>
      <c r="H3183" t="s">
        <v>4104</v>
      </c>
      <c r="I3183" t="s">
        <v>3469</v>
      </c>
      <c r="J3183">
        <v>2</v>
      </c>
      <c r="K3183" t="s">
        <v>3892</v>
      </c>
      <c r="L3183">
        <v>40</v>
      </c>
      <c r="M3183">
        <v>20</v>
      </c>
      <c r="N3183" t="s">
        <v>4240</v>
      </c>
      <c r="O3183" t="s">
        <v>461</v>
      </c>
    </row>
    <row r="3184" spans="1:15" x14ac:dyDescent="0.3">
      <c r="A3184">
        <v>204877</v>
      </c>
      <c r="B3184">
        <v>116</v>
      </c>
      <c r="C3184" t="s">
        <v>568</v>
      </c>
      <c r="D3184" t="s">
        <v>2286</v>
      </c>
      <c r="E3184" t="s">
        <v>3091</v>
      </c>
      <c r="F3184" s="452">
        <v>46051</v>
      </c>
      <c r="G3184">
        <v>23359</v>
      </c>
      <c r="H3184" t="s">
        <v>3932</v>
      </c>
      <c r="I3184" t="s">
        <v>3469</v>
      </c>
      <c r="J3184">
        <v>10</v>
      </c>
      <c r="K3184" t="s">
        <v>3892</v>
      </c>
      <c r="L3184">
        <v>25</v>
      </c>
      <c r="M3184">
        <v>2.5</v>
      </c>
      <c r="N3184" t="s">
        <v>4240</v>
      </c>
      <c r="O3184" t="s">
        <v>461</v>
      </c>
    </row>
    <row r="3185" spans="1:15" x14ac:dyDescent="0.3">
      <c r="A3185">
        <v>203224</v>
      </c>
      <c r="B3185">
        <v>116</v>
      </c>
      <c r="C3185" t="s">
        <v>568</v>
      </c>
      <c r="D3185" t="s">
        <v>2284</v>
      </c>
      <c r="E3185" t="s">
        <v>3092</v>
      </c>
      <c r="F3185" s="452">
        <v>46041</v>
      </c>
      <c r="G3185">
        <v>18467</v>
      </c>
      <c r="H3185" t="s">
        <v>4028</v>
      </c>
      <c r="I3185" t="s">
        <v>3497</v>
      </c>
      <c r="J3185">
        <v>4</v>
      </c>
      <c r="K3185" t="s">
        <v>3878</v>
      </c>
      <c r="L3185">
        <v>303.60000000000002</v>
      </c>
      <c r="M3185">
        <v>75.900000000000006</v>
      </c>
      <c r="N3185" t="s">
        <v>3497</v>
      </c>
      <c r="O3185" t="s">
        <v>461</v>
      </c>
    </row>
    <row r="3186" spans="1:15" x14ac:dyDescent="0.3">
      <c r="A3186">
        <v>203223</v>
      </c>
      <c r="B3186">
        <v>116</v>
      </c>
      <c r="C3186" t="s">
        <v>568</v>
      </c>
      <c r="D3186" t="s">
        <v>2284</v>
      </c>
      <c r="E3186" t="s">
        <v>3093</v>
      </c>
      <c r="F3186" s="452">
        <v>46041</v>
      </c>
      <c r="G3186">
        <v>20227</v>
      </c>
      <c r="H3186" t="s">
        <v>3968</v>
      </c>
      <c r="I3186" t="s">
        <v>3469</v>
      </c>
      <c r="J3186">
        <v>5</v>
      </c>
      <c r="K3186" t="s">
        <v>3888</v>
      </c>
      <c r="L3186">
        <v>50</v>
      </c>
      <c r="M3186">
        <v>10</v>
      </c>
      <c r="N3186" t="s">
        <v>3469</v>
      </c>
      <c r="O3186" t="s">
        <v>461</v>
      </c>
    </row>
    <row r="3187" spans="1:15" x14ac:dyDescent="0.3">
      <c r="A3187">
        <v>203223</v>
      </c>
      <c r="B3187">
        <v>116</v>
      </c>
      <c r="C3187" t="s">
        <v>568</v>
      </c>
      <c r="D3187" t="s">
        <v>2284</v>
      </c>
      <c r="E3187" t="s">
        <v>3093</v>
      </c>
      <c r="F3187" s="452">
        <v>46041</v>
      </c>
      <c r="G3187">
        <v>20007</v>
      </c>
      <c r="H3187" t="s">
        <v>4009</v>
      </c>
      <c r="I3187" t="s">
        <v>3469</v>
      </c>
      <c r="J3187">
        <v>3</v>
      </c>
      <c r="K3187" t="s">
        <v>3966</v>
      </c>
      <c r="L3187">
        <v>146.4</v>
      </c>
      <c r="M3187">
        <v>48.8</v>
      </c>
      <c r="N3187" t="s">
        <v>3469</v>
      </c>
      <c r="O3187" t="s">
        <v>461</v>
      </c>
    </row>
    <row r="3188" spans="1:15" x14ac:dyDescent="0.3">
      <c r="A3188">
        <v>203223</v>
      </c>
      <c r="B3188">
        <v>116</v>
      </c>
      <c r="C3188" t="s">
        <v>568</v>
      </c>
      <c r="D3188" t="s">
        <v>2284</v>
      </c>
      <c r="E3188" t="s">
        <v>3093</v>
      </c>
      <c r="F3188" s="452">
        <v>46041</v>
      </c>
      <c r="G3188">
        <v>21030</v>
      </c>
      <c r="H3188" t="s">
        <v>3890</v>
      </c>
      <c r="I3188" t="s">
        <v>3469</v>
      </c>
      <c r="J3188">
        <v>6</v>
      </c>
      <c r="K3188" t="s">
        <v>3872</v>
      </c>
      <c r="L3188">
        <v>115.2</v>
      </c>
      <c r="M3188">
        <v>19.2</v>
      </c>
      <c r="N3188" t="s">
        <v>3469</v>
      </c>
      <c r="O3188" t="s">
        <v>461</v>
      </c>
    </row>
    <row r="3189" spans="1:15" x14ac:dyDescent="0.3">
      <c r="A3189">
        <v>203223</v>
      </c>
      <c r="B3189">
        <v>116</v>
      </c>
      <c r="C3189" t="s">
        <v>568</v>
      </c>
      <c r="D3189" t="s">
        <v>2284</v>
      </c>
      <c r="E3189" t="s">
        <v>3093</v>
      </c>
      <c r="F3189" s="452">
        <v>46041</v>
      </c>
      <c r="G3189">
        <v>19297</v>
      </c>
      <c r="H3189" t="s">
        <v>3949</v>
      </c>
      <c r="I3189" t="s">
        <v>3469</v>
      </c>
      <c r="J3189">
        <v>7.6</v>
      </c>
      <c r="K3189" t="s">
        <v>3892</v>
      </c>
      <c r="L3189">
        <v>539.45000000000005</v>
      </c>
      <c r="M3189">
        <v>70.980262999999994</v>
      </c>
      <c r="N3189" t="s">
        <v>3469</v>
      </c>
      <c r="O3189" t="s">
        <v>461</v>
      </c>
    </row>
    <row r="3190" spans="1:15" x14ac:dyDescent="0.3">
      <c r="A3190">
        <v>203223</v>
      </c>
      <c r="B3190">
        <v>116</v>
      </c>
      <c r="C3190" t="s">
        <v>568</v>
      </c>
      <c r="D3190" t="s">
        <v>2284</v>
      </c>
      <c r="E3190" t="s">
        <v>3093</v>
      </c>
      <c r="F3190" s="452">
        <v>46041</v>
      </c>
      <c r="G3190">
        <v>22721</v>
      </c>
      <c r="H3190" t="s">
        <v>4221</v>
      </c>
      <c r="I3190" t="s">
        <v>3469</v>
      </c>
      <c r="J3190">
        <v>5</v>
      </c>
      <c r="K3190" t="s">
        <v>3892</v>
      </c>
      <c r="L3190">
        <v>141.5</v>
      </c>
      <c r="M3190">
        <v>28.3</v>
      </c>
      <c r="N3190" t="s">
        <v>3469</v>
      </c>
      <c r="O3190" t="s">
        <v>461</v>
      </c>
    </row>
    <row r="3191" spans="1:15" x14ac:dyDescent="0.3">
      <c r="A3191">
        <v>203223</v>
      </c>
      <c r="B3191">
        <v>116</v>
      </c>
      <c r="C3191" t="s">
        <v>568</v>
      </c>
      <c r="D3191" t="s">
        <v>2284</v>
      </c>
      <c r="E3191" t="s">
        <v>3093</v>
      </c>
      <c r="F3191" s="452">
        <v>46041</v>
      </c>
      <c r="G3191">
        <v>20395</v>
      </c>
      <c r="H3191" t="s">
        <v>4057</v>
      </c>
      <c r="I3191" t="s">
        <v>3469</v>
      </c>
      <c r="J3191">
        <v>1</v>
      </c>
      <c r="K3191" t="s">
        <v>3872</v>
      </c>
      <c r="L3191">
        <v>26.81</v>
      </c>
      <c r="M3191">
        <v>26.81</v>
      </c>
      <c r="N3191" t="s">
        <v>3469</v>
      </c>
      <c r="O3191" t="s">
        <v>461</v>
      </c>
    </row>
    <row r="3192" spans="1:15" x14ac:dyDescent="0.3">
      <c r="A3192">
        <v>203221</v>
      </c>
      <c r="B3192">
        <v>116</v>
      </c>
      <c r="C3192" t="s">
        <v>568</v>
      </c>
      <c r="D3192" t="s">
        <v>3010</v>
      </c>
      <c r="E3192" t="s">
        <v>3094</v>
      </c>
      <c r="F3192" s="452">
        <v>46048</v>
      </c>
      <c r="G3192">
        <v>24497</v>
      </c>
      <c r="H3192" t="s">
        <v>4214</v>
      </c>
      <c r="I3192" t="s">
        <v>4215</v>
      </c>
      <c r="J3192">
        <v>2</v>
      </c>
      <c r="K3192" t="s">
        <v>3872</v>
      </c>
      <c r="L3192">
        <v>269.10000000000002</v>
      </c>
      <c r="M3192">
        <v>134.55000000000001</v>
      </c>
      <c r="N3192" t="s">
        <v>4239</v>
      </c>
      <c r="O3192" t="s">
        <v>461</v>
      </c>
    </row>
    <row r="3193" spans="1:15" x14ac:dyDescent="0.3">
      <c r="A3193">
        <v>203221</v>
      </c>
      <c r="B3193">
        <v>116</v>
      </c>
      <c r="C3193" t="s">
        <v>568</v>
      </c>
      <c r="D3193" t="s">
        <v>3010</v>
      </c>
      <c r="E3193" t="s">
        <v>3094</v>
      </c>
      <c r="F3193" s="452">
        <v>46048</v>
      </c>
      <c r="G3193">
        <v>25518</v>
      </c>
      <c r="H3193" t="s">
        <v>4238</v>
      </c>
      <c r="I3193" t="s">
        <v>4215</v>
      </c>
      <c r="J3193">
        <v>1</v>
      </c>
      <c r="K3193" t="s">
        <v>3872</v>
      </c>
      <c r="L3193">
        <v>110.4</v>
      </c>
      <c r="M3193">
        <v>110.4</v>
      </c>
      <c r="N3193" t="s">
        <v>4239</v>
      </c>
      <c r="O3193" t="s">
        <v>461</v>
      </c>
    </row>
    <row r="3194" spans="1:15" x14ac:dyDescent="0.3">
      <c r="A3194">
        <v>203216</v>
      </c>
      <c r="B3194">
        <v>116</v>
      </c>
      <c r="C3194" t="s">
        <v>568</v>
      </c>
      <c r="D3194" t="s">
        <v>2277</v>
      </c>
      <c r="E3194" t="s">
        <v>3095</v>
      </c>
      <c r="F3194" s="452">
        <v>46042</v>
      </c>
      <c r="G3194">
        <v>20729</v>
      </c>
      <c r="H3194" t="s">
        <v>3965</v>
      </c>
      <c r="I3194" t="s">
        <v>3469</v>
      </c>
      <c r="J3194">
        <v>3</v>
      </c>
      <c r="K3194" t="s">
        <v>3966</v>
      </c>
      <c r="L3194">
        <v>197.64</v>
      </c>
      <c r="M3194">
        <v>65.88</v>
      </c>
      <c r="N3194" t="s">
        <v>3469</v>
      </c>
      <c r="O3194" t="s">
        <v>461</v>
      </c>
    </row>
    <row r="3195" spans="1:15" x14ac:dyDescent="0.3">
      <c r="A3195">
        <v>203216</v>
      </c>
      <c r="B3195">
        <v>116</v>
      </c>
      <c r="C3195" t="s">
        <v>568</v>
      </c>
      <c r="D3195" t="s">
        <v>2277</v>
      </c>
      <c r="E3195" t="s">
        <v>3095</v>
      </c>
      <c r="F3195" s="452">
        <v>46042</v>
      </c>
      <c r="G3195">
        <v>21093</v>
      </c>
      <c r="H3195" t="s">
        <v>3903</v>
      </c>
      <c r="I3195" t="s">
        <v>3469</v>
      </c>
      <c r="J3195">
        <v>10</v>
      </c>
      <c r="K3195" t="s">
        <v>3872</v>
      </c>
      <c r="L3195">
        <v>46.9</v>
      </c>
      <c r="M3195">
        <v>4.6900000000000004</v>
      </c>
      <c r="N3195" t="s">
        <v>3469</v>
      </c>
      <c r="O3195" t="s">
        <v>461</v>
      </c>
    </row>
    <row r="3196" spans="1:15" x14ac:dyDescent="0.3">
      <c r="A3196">
        <v>203216</v>
      </c>
      <c r="B3196">
        <v>116</v>
      </c>
      <c r="C3196" t="s">
        <v>568</v>
      </c>
      <c r="D3196" t="s">
        <v>2277</v>
      </c>
      <c r="E3196" t="s">
        <v>3095</v>
      </c>
      <c r="F3196" s="452">
        <v>46042</v>
      </c>
      <c r="G3196">
        <v>20832</v>
      </c>
      <c r="H3196" t="s">
        <v>4060</v>
      </c>
      <c r="I3196" t="s">
        <v>3469</v>
      </c>
      <c r="J3196">
        <v>1</v>
      </c>
      <c r="K3196" t="s">
        <v>3886</v>
      </c>
      <c r="L3196">
        <v>41.23</v>
      </c>
      <c r="M3196">
        <v>41.23</v>
      </c>
      <c r="N3196" t="s">
        <v>3469</v>
      </c>
      <c r="O3196" t="s">
        <v>461</v>
      </c>
    </row>
    <row r="3197" spans="1:15" x14ac:dyDescent="0.3">
      <c r="A3197">
        <v>203216</v>
      </c>
      <c r="B3197">
        <v>116</v>
      </c>
      <c r="C3197" t="s">
        <v>568</v>
      </c>
      <c r="D3197" t="s">
        <v>2277</v>
      </c>
      <c r="E3197" t="s">
        <v>3095</v>
      </c>
      <c r="F3197" s="452">
        <v>46042</v>
      </c>
      <c r="G3197">
        <v>20326</v>
      </c>
      <c r="H3197" t="s">
        <v>3953</v>
      </c>
      <c r="I3197" t="s">
        <v>3469</v>
      </c>
      <c r="J3197">
        <v>5</v>
      </c>
      <c r="K3197" t="s">
        <v>3892</v>
      </c>
      <c r="L3197">
        <v>30</v>
      </c>
      <c r="M3197">
        <v>6</v>
      </c>
      <c r="N3197" t="s">
        <v>3469</v>
      </c>
      <c r="O3197" t="s">
        <v>461</v>
      </c>
    </row>
    <row r="3198" spans="1:15" x14ac:dyDescent="0.3">
      <c r="A3198">
        <v>203210</v>
      </c>
      <c r="B3198">
        <v>116</v>
      </c>
      <c r="C3198" t="s">
        <v>568</v>
      </c>
      <c r="D3198" t="s">
        <v>3096</v>
      </c>
      <c r="E3198" t="s">
        <v>3097</v>
      </c>
      <c r="F3198" s="452">
        <v>46038</v>
      </c>
      <c r="G3198">
        <v>28562</v>
      </c>
      <c r="H3198" t="s">
        <v>4400</v>
      </c>
      <c r="I3198" t="s">
        <v>4202</v>
      </c>
      <c r="J3198">
        <v>2</v>
      </c>
      <c r="K3198" t="s">
        <v>4203</v>
      </c>
      <c r="L3198">
        <v>596</v>
      </c>
      <c r="M3198">
        <v>298</v>
      </c>
      <c r="N3198" t="s">
        <v>4396</v>
      </c>
      <c r="O3198" t="s">
        <v>461</v>
      </c>
    </row>
    <row r="3199" spans="1:15" x14ac:dyDescent="0.3">
      <c r="A3199">
        <v>203207</v>
      </c>
      <c r="B3199">
        <v>116</v>
      </c>
      <c r="C3199" t="s">
        <v>568</v>
      </c>
      <c r="D3199" t="s">
        <v>2429</v>
      </c>
      <c r="E3199" t="s">
        <v>3098</v>
      </c>
      <c r="F3199" s="452">
        <v>46050</v>
      </c>
      <c r="G3199">
        <v>19139</v>
      </c>
      <c r="H3199" t="s">
        <v>3887</v>
      </c>
      <c r="I3199" t="s">
        <v>3469</v>
      </c>
      <c r="J3199">
        <v>33</v>
      </c>
      <c r="K3199" t="s">
        <v>3888</v>
      </c>
      <c r="L3199">
        <v>326.7</v>
      </c>
      <c r="M3199">
        <v>9.9</v>
      </c>
      <c r="N3199" t="s">
        <v>4240</v>
      </c>
      <c r="O3199" t="s">
        <v>461</v>
      </c>
    </row>
    <row r="3200" spans="1:15" x14ac:dyDescent="0.3">
      <c r="A3200">
        <v>203204</v>
      </c>
      <c r="B3200">
        <v>116</v>
      </c>
      <c r="C3200" t="s">
        <v>568</v>
      </c>
      <c r="D3200" t="s">
        <v>2308</v>
      </c>
      <c r="E3200" t="s">
        <v>3099</v>
      </c>
      <c r="F3200" s="452">
        <v>46041</v>
      </c>
      <c r="G3200">
        <v>18832</v>
      </c>
      <c r="H3200" t="s">
        <v>3900</v>
      </c>
      <c r="I3200" t="s">
        <v>3469</v>
      </c>
      <c r="J3200">
        <v>20</v>
      </c>
      <c r="K3200" t="s">
        <v>3892</v>
      </c>
      <c r="L3200">
        <v>798</v>
      </c>
      <c r="M3200">
        <v>39.9</v>
      </c>
      <c r="N3200" t="s">
        <v>4240</v>
      </c>
      <c r="O3200" t="s">
        <v>461</v>
      </c>
    </row>
    <row r="3201" spans="1:15" x14ac:dyDescent="0.3">
      <c r="A3201">
        <v>203204</v>
      </c>
      <c r="B3201">
        <v>116</v>
      </c>
      <c r="C3201" t="s">
        <v>568</v>
      </c>
      <c r="D3201" t="s">
        <v>2308</v>
      </c>
      <c r="E3201" t="s">
        <v>3099</v>
      </c>
      <c r="F3201" s="452">
        <v>46041</v>
      </c>
      <c r="G3201">
        <v>27312</v>
      </c>
      <c r="H3201" t="s">
        <v>3927</v>
      </c>
      <c r="I3201" t="s">
        <v>3469</v>
      </c>
      <c r="J3201">
        <v>16.440000000000001</v>
      </c>
      <c r="K3201" t="s">
        <v>3892</v>
      </c>
      <c r="L3201">
        <v>802.27</v>
      </c>
      <c r="M3201">
        <v>48.799878</v>
      </c>
      <c r="N3201" t="s">
        <v>4240</v>
      </c>
      <c r="O3201" t="s">
        <v>461</v>
      </c>
    </row>
    <row r="3202" spans="1:15" x14ac:dyDescent="0.3">
      <c r="A3202">
        <v>203201</v>
      </c>
      <c r="B3202">
        <v>116</v>
      </c>
      <c r="C3202" t="s">
        <v>568</v>
      </c>
      <c r="D3202" t="s">
        <v>2314</v>
      </c>
      <c r="E3202" t="s">
        <v>3100</v>
      </c>
      <c r="F3202" s="452">
        <v>46043</v>
      </c>
      <c r="G3202">
        <v>22118</v>
      </c>
      <c r="H3202" t="s">
        <v>3880</v>
      </c>
      <c r="I3202" t="s">
        <v>3497</v>
      </c>
      <c r="J3202">
        <v>5</v>
      </c>
      <c r="K3202" t="s">
        <v>3872</v>
      </c>
      <c r="L3202">
        <v>127.65</v>
      </c>
      <c r="M3202">
        <v>25.53</v>
      </c>
      <c r="N3202" t="s">
        <v>4276</v>
      </c>
      <c r="O3202" t="s">
        <v>461</v>
      </c>
    </row>
    <row r="3203" spans="1:15" x14ac:dyDescent="0.3">
      <c r="A3203">
        <v>203200</v>
      </c>
      <c r="B3203">
        <v>116</v>
      </c>
      <c r="C3203" t="s">
        <v>568</v>
      </c>
      <c r="D3203" t="s">
        <v>3101</v>
      </c>
      <c r="E3203" t="s">
        <v>3102</v>
      </c>
      <c r="F3203" s="452">
        <v>46036</v>
      </c>
      <c r="G3203">
        <v>17551</v>
      </c>
      <c r="H3203" t="s">
        <v>4401</v>
      </c>
      <c r="I3203" t="s">
        <v>4199</v>
      </c>
      <c r="J3203">
        <v>10000</v>
      </c>
      <c r="K3203" t="s">
        <v>3872</v>
      </c>
      <c r="L3203">
        <v>2900</v>
      </c>
      <c r="M3203">
        <v>0.28999999999999998</v>
      </c>
      <c r="N3203" t="s">
        <v>4256</v>
      </c>
      <c r="O3203" t="s">
        <v>461</v>
      </c>
    </row>
    <row r="3204" spans="1:15" x14ac:dyDescent="0.3">
      <c r="A3204">
        <v>203199</v>
      </c>
      <c r="B3204">
        <v>116</v>
      </c>
      <c r="C3204" t="s">
        <v>568</v>
      </c>
      <c r="D3204" t="s">
        <v>2528</v>
      </c>
      <c r="E3204" t="s">
        <v>3103</v>
      </c>
      <c r="F3204" s="452">
        <v>46036</v>
      </c>
      <c r="G3204">
        <v>24602</v>
      </c>
      <c r="H3204" t="s">
        <v>4186</v>
      </c>
      <c r="I3204" t="s">
        <v>3469</v>
      </c>
      <c r="J3204">
        <v>45</v>
      </c>
      <c r="K3204" t="s">
        <v>3872</v>
      </c>
      <c r="L3204">
        <v>477</v>
      </c>
      <c r="M3204">
        <v>10.6</v>
      </c>
      <c r="N3204" t="s">
        <v>3469</v>
      </c>
      <c r="O3204" t="s">
        <v>461</v>
      </c>
    </row>
    <row r="3205" spans="1:15" x14ac:dyDescent="0.3">
      <c r="A3205">
        <v>203199</v>
      </c>
      <c r="B3205">
        <v>116</v>
      </c>
      <c r="C3205" t="s">
        <v>568</v>
      </c>
      <c r="D3205" t="s">
        <v>2528</v>
      </c>
      <c r="E3205" t="s">
        <v>3103</v>
      </c>
      <c r="F3205" s="452">
        <v>46036</v>
      </c>
      <c r="G3205">
        <v>27711</v>
      </c>
      <c r="H3205" t="s">
        <v>3913</v>
      </c>
      <c r="I3205" t="s">
        <v>3469</v>
      </c>
      <c r="J3205">
        <v>12</v>
      </c>
      <c r="K3205" t="s">
        <v>3978</v>
      </c>
      <c r="L3205">
        <v>410.4</v>
      </c>
      <c r="M3205">
        <v>34.200000000000003</v>
      </c>
      <c r="N3205" t="s">
        <v>3469</v>
      </c>
      <c r="O3205" t="s">
        <v>461</v>
      </c>
    </row>
    <row r="3206" spans="1:15" x14ac:dyDescent="0.3">
      <c r="A3206">
        <v>203199</v>
      </c>
      <c r="B3206">
        <v>116</v>
      </c>
      <c r="C3206" t="s">
        <v>568</v>
      </c>
      <c r="D3206" t="s">
        <v>2528</v>
      </c>
      <c r="E3206" t="s">
        <v>3103</v>
      </c>
      <c r="F3206" s="452">
        <v>46036</v>
      </c>
      <c r="G3206">
        <v>25197</v>
      </c>
      <c r="H3206" t="s">
        <v>4143</v>
      </c>
      <c r="I3206" t="s">
        <v>3469</v>
      </c>
      <c r="J3206">
        <v>90</v>
      </c>
      <c r="L3206">
        <v>855</v>
      </c>
      <c r="M3206">
        <v>9.5</v>
      </c>
      <c r="N3206" t="s">
        <v>3469</v>
      </c>
      <c r="O3206" t="s">
        <v>461</v>
      </c>
    </row>
    <row r="3207" spans="1:15" x14ac:dyDescent="0.3">
      <c r="A3207">
        <v>203199</v>
      </c>
      <c r="B3207">
        <v>116</v>
      </c>
      <c r="C3207" t="s">
        <v>568</v>
      </c>
      <c r="D3207" t="s">
        <v>2528</v>
      </c>
      <c r="E3207" t="s">
        <v>3103</v>
      </c>
      <c r="F3207" s="452">
        <v>46036</v>
      </c>
      <c r="G3207">
        <v>28549</v>
      </c>
      <c r="H3207" t="s">
        <v>4402</v>
      </c>
      <c r="I3207" t="s">
        <v>3469</v>
      </c>
      <c r="J3207">
        <v>36</v>
      </c>
      <c r="L3207">
        <v>205.2</v>
      </c>
      <c r="M3207">
        <v>5.7</v>
      </c>
      <c r="N3207" t="s">
        <v>3469</v>
      </c>
      <c r="O3207" t="s">
        <v>461</v>
      </c>
    </row>
    <row r="3208" spans="1:15" x14ac:dyDescent="0.3">
      <c r="A3208">
        <v>203199</v>
      </c>
      <c r="B3208">
        <v>116</v>
      </c>
      <c r="C3208" t="s">
        <v>568</v>
      </c>
      <c r="D3208" t="s">
        <v>2528</v>
      </c>
      <c r="E3208" t="s">
        <v>3103</v>
      </c>
      <c r="F3208" s="452">
        <v>46036</v>
      </c>
      <c r="G3208">
        <v>28537</v>
      </c>
      <c r="H3208" t="s">
        <v>4159</v>
      </c>
      <c r="I3208" t="s">
        <v>4202</v>
      </c>
      <c r="J3208">
        <v>6</v>
      </c>
      <c r="L3208">
        <v>231</v>
      </c>
      <c r="M3208">
        <v>38.5</v>
      </c>
      <c r="N3208" t="s">
        <v>3469</v>
      </c>
      <c r="O3208" t="s">
        <v>461</v>
      </c>
    </row>
    <row r="3209" spans="1:15" x14ac:dyDescent="0.3">
      <c r="A3209">
        <v>203196</v>
      </c>
      <c r="B3209">
        <v>116</v>
      </c>
      <c r="C3209" t="s">
        <v>568</v>
      </c>
      <c r="D3209" t="s">
        <v>2262</v>
      </c>
      <c r="E3209" t="s">
        <v>3104</v>
      </c>
      <c r="F3209" s="452">
        <v>46042</v>
      </c>
      <c r="G3209">
        <v>24259</v>
      </c>
      <c r="H3209" t="s">
        <v>3895</v>
      </c>
      <c r="I3209" t="s">
        <v>3469</v>
      </c>
      <c r="J3209">
        <v>16</v>
      </c>
      <c r="K3209" t="s">
        <v>3892</v>
      </c>
      <c r="L3209">
        <v>1247.8399999999999</v>
      </c>
      <c r="M3209">
        <v>77.989999999999995</v>
      </c>
      <c r="N3209" t="s">
        <v>4240</v>
      </c>
      <c r="O3209" t="s">
        <v>461</v>
      </c>
    </row>
    <row r="3210" spans="1:15" x14ac:dyDescent="0.3">
      <c r="A3210">
        <v>203196</v>
      </c>
      <c r="B3210">
        <v>116</v>
      </c>
      <c r="C3210" t="s">
        <v>568</v>
      </c>
      <c r="D3210" t="s">
        <v>2262</v>
      </c>
      <c r="E3210" t="s">
        <v>3104</v>
      </c>
      <c r="F3210" s="452">
        <v>46042</v>
      </c>
      <c r="G3210">
        <v>18818</v>
      </c>
      <c r="H3210" t="s">
        <v>3916</v>
      </c>
      <c r="I3210" t="s">
        <v>3469</v>
      </c>
      <c r="J3210">
        <v>10.7</v>
      </c>
      <c r="K3210" t="s">
        <v>3892</v>
      </c>
      <c r="L3210">
        <v>350.96</v>
      </c>
      <c r="M3210">
        <v>32.799999999999997</v>
      </c>
      <c r="N3210" t="s">
        <v>4240</v>
      </c>
      <c r="O3210" t="s">
        <v>461</v>
      </c>
    </row>
    <row r="3211" spans="1:15" x14ac:dyDescent="0.3">
      <c r="A3211">
        <v>203196</v>
      </c>
      <c r="B3211">
        <v>116</v>
      </c>
      <c r="C3211" t="s">
        <v>568</v>
      </c>
      <c r="D3211" t="s">
        <v>2262</v>
      </c>
      <c r="E3211" t="s">
        <v>3104</v>
      </c>
      <c r="F3211" s="452">
        <v>46042</v>
      </c>
      <c r="G3211">
        <v>18996</v>
      </c>
      <c r="H3211" t="s">
        <v>3946</v>
      </c>
      <c r="I3211" t="s">
        <v>3469</v>
      </c>
      <c r="J3211">
        <v>6</v>
      </c>
      <c r="K3211" t="s">
        <v>3892</v>
      </c>
      <c r="L3211">
        <v>101.94</v>
      </c>
      <c r="M3211">
        <v>16.989999999999998</v>
      </c>
      <c r="N3211" t="s">
        <v>4240</v>
      </c>
      <c r="O3211" t="s">
        <v>461</v>
      </c>
    </row>
    <row r="3212" spans="1:15" x14ac:dyDescent="0.3">
      <c r="A3212">
        <v>203196</v>
      </c>
      <c r="B3212">
        <v>116</v>
      </c>
      <c r="C3212" t="s">
        <v>568</v>
      </c>
      <c r="D3212" t="s">
        <v>2262</v>
      </c>
      <c r="E3212" t="s">
        <v>3104</v>
      </c>
      <c r="F3212" s="452">
        <v>46042</v>
      </c>
      <c r="G3212">
        <v>24343</v>
      </c>
      <c r="H3212" t="s">
        <v>3990</v>
      </c>
      <c r="I3212" t="s">
        <v>3469</v>
      </c>
      <c r="J3212">
        <v>7.5</v>
      </c>
      <c r="K3212" t="s">
        <v>3892</v>
      </c>
      <c r="L3212">
        <v>186</v>
      </c>
      <c r="M3212">
        <v>24.8</v>
      </c>
      <c r="N3212" t="s">
        <v>4240</v>
      </c>
      <c r="O3212" t="s">
        <v>461</v>
      </c>
    </row>
    <row r="3213" spans="1:15" x14ac:dyDescent="0.3">
      <c r="A3213">
        <v>203194</v>
      </c>
      <c r="B3213">
        <v>116</v>
      </c>
      <c r="C3213" t="s">
        <v>568</v>
      </c>
      <c r="D3213" t="s">
        <v>2262</v>
      </c>
      <c r="E3213" t="s">
        <v>3105</v>
      </c>
      <c r="F3213" s="452">
        <v>46037</v>
      </c>
      <c r="G3213">
        <v>24343</v>
      </c>
      <c r="H3213" t="s">
        <v>3990</v>
      </c>
      <c r="I3213" t="s">
        <v>3469</v>
      </c>
      <c r="J3213">
        <v>5.2</v>
      </c>
      <c r="K3213" t="s">
        <v>3892</v>
      </c>
      <c r="L3213">
        <v>134.16</v>
      </c>
      <c r="M3213">
        <v>25.8</v>
      </c>
      <c r="N3213" t="s">
        <v>4240</v>
      </c>
      <c r="O3213" t="s">
        <v>461</v>
      </c>
    </row>
    <row r="3214" spans="1:15" x14ac:dyDescent="0.3">
      <c r="A3214">
        <v>203192</v>
      </c>
      <c r="B3214">
        <v>116</v>
      </c>
      <c r="C3214" t="s">
        <v>568</v>
      </c>
      <c r="D3214" t="s">
        <v>2262</v>
      </c>
      <c r="E3214" t="s">
        <v>3106</v>
      </c>
      <c r="F3214" s="452">
        <v>46035</v>
      </c>
      <c r="G3214">
        <v>24259</v>
      </c>
      <c r="H3214" t="s">
        <v>3895</v>
      </c>
      <c r="I3214" t="s">
        <v>3469</v>
      </c>
      <c r="J3214">
        <v>16.5</v>
      </c>
      <c r="K3214" t="s">
        <v>3892</v>
      </c>
      <c r="L3214">
        <v>1301.8499999999999</v>
      </c>
      <c r="M3214">
        <v>78.900000000000006</v>
      </c>
      <c r="N3214" t="s">
        <v>4240</v>
      </c>
      <c r="O3214" t="s">
        <v>461</v>
      </c>
    </row>
    <row r="3215" spans="1:15" x14ac:dyDescent="0.3">
      <c r="A3215">
        <v>203192</v>
      </c>
      <c r="B3215">
        <v>116</v>
      </c>
      <c r="C3215" t="s">
        <v>568</v>
      </c>
      <c r="D3215" t="s">
        <v>2262</v>
      </c>
      <c r="E3215" t="s">
        <v>3106</v>
      </c>
      <c r="F3215" s="452">
        <v>46035</v>
      </c>
      <c r="G3215">
        <v>18818</v>
      </c>
      <c r="H3215" t="s">
        <v>3916</v>
      </c>
      <c r="I3215" t="s">
        <v>3469</v>
      </c>
      <c r="J3215">
        <v>10.199999999999999</v>
      </c>
      <c r="K3215" t="s">
        <v>3892</v>
      </c>
      <c r="L3215">
        <v>334.56</v>
      </c>
      <c r="M3215">
        <v>32.799999999999997</v>
      </c>
      <c r="N3215" t="s">
        <v>4240</v>
      </c>
      <c r="O3215" t="s">
        <v>461</v>
      </c>
    </row>
    <row r="3216" spans="1:15" x14ac:dyDescent="0.3">
      <c r="A3216">
        <v>203192</v>
      </c>
      <c r="B3216">
        <v>116</v>
      </c>
      <c r="C3216" t="s">
        <v>568</v>
      </c>
      <c r="D3216" t="s">
        <v>2262</v>
      </c>
      <c r="E3216" t="s">
        <v>3106</v>
      </c>
      <c r="F3216" s="452">
        <v>46035</v>
      </c>
      <c r="G3216">
        <v>24388</v>
      </c>
      <c r="H3216" t="s">
        <v>3915</v>
      </c>
      <c r="I3216" t="s">
        <v>3469</v>
      </c>
      <c r="J3216">
        <v>5.4</v>
      </c>
      <c r="K3216" t="s">
        <v>3892</v>
      </c>
      <c r="L3216">
        <v>161.46</v>
      </c>
      <c r="M3216">
        <v>29.9</v>
      </c>
      <c r="N3216" t="s">
        <v>4240</v>
      </c>
      <c r="O3216" t="s">
        <v>461</v>
      </c>
    </row>
    <row r="3217" spans="1:15" x14ac:dyDescent="0.3">
      <c r="A3217">
        <v>203192</v>
      </c>
      <c r="B3217">
        <v>116</v>
      </c>
      <c r="C3217" t="s">
        <v>568</v>
      </c>
      <c r="D3217" t="s">
        <v>2262</v>
      </c>
      <c r="E3217" t="s">
        <v>3106</v>
      </c>
      <c r="F3217" s="452">
        <v>46035</v>
      </c>
      <c r="G3217">
        <v>24320</v>
      </c>
      <c r="H3217" t="s">
        <v>4160</v>
      </c>
      <c r="I3217" t="s">
        <v>3469</v>
      </c>
      <c r="J3217">
        <v>15.4</v>
      </c>
      <c r="K3217" t="s">
        <v>3892</v>
      </c>
      <c r="L3217">
        <v>520.52</v>
      </c>
      <c r="M3217">
        <v>33.799999999999997</v>
      </c>
      <c r="N3217" t="s">
        <v>4240</v>
      </c>
      <c r="O3217" t="s">
        <v>461</v>
      </c>
    </row>
    <row r="3218" spans="1:15" x14ac:dyDescent="0.3">
      <c r="A3218">
        <v>203190</v>
      </c>
      <c r="B3218">
        <v>116</v>
      </c>
      <c r="C3218" t="s">
        <v>568</v>
      </c>
      <c r="D3218" t="s">
        <v>2286</v>
      </c>
      <c r="E3218" t="s">
        <v>3107</v>
      </c>
      <c r="F3218" s="452">
        <v>46048</v>
      </c>
      <c r="G3218">
        <v>19787</v>
      </c>
      <c r="H3218" t="s">
        <v>3940</v>
      </c>
      <c r="I3218" t="s">
        <v>3469</v>
      </c>
      <c r="J3218">
        <v>4.5</v>
      </c>
      <c r="K3218" t="s">
        <v>3892</v>
      </c>
      <c r="L3218">
        <v>22.05</v>
      </c>
      <c r="M3218">
        <v>4.9000000000000004</v>
      </c>
      <c r="N3218" t="s">
        <v>4240</v>
      </c>
      <c r="O3218" t="s">
        <v>461</v>
      </c>
    </row>
    <row r="3219" spans="1:15" x14ac:dyDescent="0.3">
      <c r="A3219">
        <v>203190</v>
      </c>
      <c r="B3219">
        <v>116</v>
      </c>
      <c r="C3219" t="s">
        <v>568</v>
      </c>
      <c r="D3219" t="s">
        <v>2286</v>
      </c>
      <c r="E3219" t="s">
        <v>3107</v>
      </c>
      <c r="F3219" s="452">
        <v>46048</v>
      </c>
      <c r="G3219">
        <v>24083</v>
      </c>
      <c r="H3219" t="s">
        <v>3898</v>
      </c>
      <c r="I3219" t="s">
        <v>3469</v>
      </c>
      <c r="J3219">
        <v>15</v>
      </c>
      <c r="K3219" t="s">
        <v>3892</v>
      </c>
      <c r="L3219">
        <v>63</v>
      </c>
      <c r="M3219">
        <v>4.2</v>
      </c>
      <c r="N3219" t="s">
        <v>4240</v>
      </c>
      <c r="O3219" t="s">
        <v>461</v>
      </c>
    </row>
    <row r="3220" spans="1:15" x14ac:dyDescent="0.3">
      <c r="A3220">
        <v>203190</v>
      </c>
      <c r="B3220">
        <v>116</v>
      </c>
      <c r="C3220" t="s">
        <v>568</v>
      </c>
      <c r="D3220" t="s">
        <v>2286</v>
      </c>
      <c r="E3220" t="s">
        <v>3107</v>
      </c>
      <c r="F3220" s="452">
        <v>46048</v>
      </c>
      <c r="G3220">
        <v>19505</v>
      </c>
      <c r="H3220" t="s">
        <v>4101</v>
      </c>
      <c r="I3220" t="s">
        <v>3469</v>
      </c>
      <c r="J3220">
        <v>1</v>
      </c>
      <c r="K3220" t="s">
        <v>3892</v>
      </c>
      <c r="L3220">
        <v>12.8</v>
      </c>
      <c r="M3220">
        <v>12.8</v>
      </c>
      <c r="N3220" t="s">
        <v>4240</v>
      </c>
      <c r="O3220" t="s">
        <v>461</v>
      </c>
    </row>
    <row r="3221" spans="1:15" x14ac:dyDescent="0.3">
      <c r="A3221">
        <v>203190</v>
      </c>
      <c r="B3221">
        <v>116</v>
      </c>
      <c r="C3221" t="s">
        <v>568</v>
      </c>
      <c r="D3221" t="s">
        <v>2286</v>
      </c>
      <c r="E3221" t="s">
        <v>3107</v>
      </c>
      <c r="F3221" s="452">
        <v>46048</v>
      </c>
      <c r="G3221">
        <v>19589</v>
      </c>
      <c r="H3221" t="s">
        <v>4153</v>
      </c>
      <c r="I3221" t="s">
        <v>3469</v>
      </c>
      <c r="J3221">
        <v>2</v>
      </c>
      <c r="K3221" t="s">
        <v>3892</v>
      </c>
      <c r="L3221">
        <v>15</v>
      </c>
      <c r="M3221">
        <v>7.5</v>
      </c>
      <c r="N3221" t="s">
        <v>4240</v>
      </c>
      <c r="O3221" t="s">
        <v>461</v>
      </c>
    </row>
    <row r="3222" spans="1:15" x14ac:dyDescent="0.3">
      <c r="A3222">
        <v>203190</v>
      </c>
      <c r="B3222">
        <v>116</v>
      </c>
      <c r="C3222" t="s">
        <v>568</v>
      </c>
      <c r="D3222" t="s">
        <v>2286</v>
      </c>
      <c r="E3222" t="s">
        <v>3107</v>
      </c>
      <c r="F3222" s="452">
        <v>46048</v>
      </c>
      <c r="G3222">
        <v>19506</v>
      </c>
      <c r="H3222" t="s">
        <v>4112</v>
      </c>
      <c r="I3222" t="s">
        <v>3469</v>
      </c>
      <c r="J3222">
        <v>0.2</v>
      </c>
      <c r="K3222" t="s">
        <v>3892</v>
      </c>
      <c r="L3222">
        <v>8</v>
      </c>
      <c r="M3222">
        <v>40</v>
      </c>
      <c r="N3222" t="s">
        <v>4240</v>
      </c>
      <c r="O3222" t="s">
        <v>461</v>
      </c>
    </row>
    <row r="3223" spans="1:15" x14ac:dyDescent="0.3">
      <c r="A3223">
        <v>203190</v>
      </c>
      <c r="B3223">
        <v>116</v>
      </c>
      <c r="C3223" t="s">
        <v>568</v>
      </c>
      <c r="D3223" t="s">
        <v>2286</v>
      </c>
      <c r="E3223" t="s">
        <v>3107</v>
      </c>
      <c r="F3223" s="452">
        <v>46048</v>
      </c>
      <c r="G3223">
        <v>24509</v>
      </c>
      <c r="H3223" t="s">
        <v>3906</v>
      </c>
      <c r="I3223" t="s">
        <v>3469</v>
      </c>
      <c r="J3223">
        <v>10</v>
      </c>
      <c r="K3223" t="s">
        <v>3892</v>
      </c>
      <c r="L3223">
        <v>18</v>
      </c>
      <c r="M3223">
        <v>1.8</v>
      </c>
      <c r="N3223" t="s">
        <v>4240</v>
      </c>
      <c r="O3223" t="s">
        <v>461</v>
      </c>
    </row>
    <row r="3224" spans="1:15" x14ac:dyDescent="0.3">
      <c r="A3224">
        <v>203190</v>
      </c>
      <c r="B3224">
        <v>116</v>
      </c>
      <c r="C3224" t="s">
        <v>568</v>
      </c>
      <c r="D3224" t="s">
        <v>2286</v>
      </c>
      <c r="E3224" t="s">
        <v>3107</v>
      </c>
      <c r="F3224" s="452">
        <v>46048</v>
      </c>
      <c r="G3224">
        <v>19465</v>
      </c>
      <c r="H3224" t="s">
        <v>4080</v>
      </c>
      <c r="I3224" t="s">
        <v>3469</v>
      </c>
      <c r="J3224">
        <v>1</v>
      </c>
      <c r="K3224" t="s">
        <v>3892</v>
      </c>
      <c r="L3224">
        <v>4.5</v>
      </c>
      <c r="M3224">
        <v>4.5</v>
      </c>
      <c r="N3224" t="s">
        <v>4240</v>
      </c>
      <c r="O3224" t="s">
        <v>461</v>
      </c>
    </row>
    <row r="3225" spans="1:15" x14ac:dyDescent="0.3">
      <c r="A3225">
        <v>203190</v>
      </c>
      <c r="B3225">
        <v>116</v>
      </c>
      <c r="C3225" t="s">
        <v>568</v>
      </c>
      <c r="D3225" t="s">
        <v>2286</v>
      </c>
      <c r="E3225" t="s">
        <v>3107</v>
      </c>
      <c r="F3225" s="452">
        <v>46048</v>
      </c>
      <c r="G3225">
        <v>19553</v>
      </c>
      <c r="H3225" t="s">
        <v>4078</v>
      </c>
      <c r="I3225" t="s">
        <v>3469</v>
      </c>
      <c r="J3225">
        <v>1.5</v>
      </c>
      <c r="K3225" t="s">
        <v>3892</v>
      </c>
      <c r="L3225">
        <v>4.5</v>
      </c>
      <c r="M3225">
        <v>3</v>
      </c>
      <c r="N3225" t="s">
        <v>4240</v>
      </c>
      <c r="O3225" t="s">
        <v>461</v>
      </c>
    </row>
    <row r="3226" spans="1:15" x14ac:dyDescent="0.3">
      <c r="A3226">
        <v>203190</v>
      </c>
      <c r="B3226">
        <v>116</v>
      </c>
      <c r="C3226" t="s">
        <v>568</v>
      </c>
      <c r="D3226" t="s">
        <v>2286</v>
      </c>
      <c r="E3226" t="s">
        <v>3107</v>
      </c>
      <c r="F3226" s="452">
        <v>46048</v>
      </c>
      <c r="G3226">
        <v>19488</v>
      </c>
      <c r="H3226" t="s">
        <v>4070</v>
      </c>
      <c r="I3226" t="s">
        <v>3469</v>
      </c>
      <c r="J3226">
        <v>0.3</v>
      </c>
      <c r="K3226" t="s">
        <v>3892</v>
      </c>
      <c r="L3226">
        <v>3.6</v>
      </c>
      <c r="M3226">
        <v>12</v>
      </c>
      <c r="N3226" t="s">
        <v>4240</v>
      </c>
      <c r="O3226" t="s">
        <v>461</v>
      </c>
    </row>
    <row r="3227" spans="1:15" x14ac:dyDescent="0.3">
      <c r="A3227">
        <v>203190</v>
      </c>
      <c r="B3227">
        <v>116</v>
      </c>
      <c r="C3227" t="s">
        <v>568</v>
      </c>
      <c r="D3227" t="s">
        <v>2286</v>
      </c>
      <c r="E3227" t="s">
        <v>3107</v>
      </c>
      <c r="F3227" s="452">
        <v>46048</v>
      </c>
      <c r="G3227">
        <v>19647</v>
      </c>
      <c r="H3227" t="s">
        <v>4066</v>
      </c>
      <c r="I3227" t="s">
        <v>3469</v>
      </c>
      <c r="J3227">
        <v>1</v>
      </c>
      <c r="K3227" t="s">
        <v>3892</v>
      </c>
      <c r="L3227">
        <v>10</v>
      </c>
      <c r="M3227">
        <v>10</v>
      </c>
      <c r="N3227" t="s">
        <v>4240</v>
      </c>
      <c r="O3227" t="s">
        <v>461</v>
      </c>
    </row>
    <row r="3228" spans="1:15" x14ac:dyDescent="0.3">
      <c r="A3228">
        <v>203190</v>
      </c>
      <c r="B3228">
        <v>116</v>
      </c>
      <c r="C3228" t="s">
        <v>568</v>
      </c>
      <c r="D3228" t="s">
        <v>2286</v>
      </c>
      <c r="E3228" t="s">
        <v>3107</v>
      </c>
      <c r="F3228" s="452">
        <v>46048</v>
      </c>
      <c r="G3228">
        <v>19558</v>
      </c>
      <c r="H3228" t="s">
        <v>4183</v>
      </c>
      <c r="I3228" t="s">
        <v>3469</v>
      </c>
      <c r="J3228">
        <v>1</v>
      </c>
      <c r="K3228" t="s">
        <v>3892</v>
      </c>
      <c r="L3228">
        <v>18</v>
      </c>
      <c r="M3228">
        <v>18</v>
      </c>
      <c r="N3228" t="s">
        <v>4240</v>
      </c>
      <c r="O3228" t="s">
        <v>461</v>
      </c>
    </row>
    <row r="3229" spans="1:15" x14ac:dyDescent="0.3">
      <c r="A3229">
        <v>203190</v>
      </c>
      <c r="B3229">
        <v>116</v>
      </c>
      <c r="C3229" t="s">
        <v>568</v>
      </c>
      <c r="D3229" t="s">
        <v>2286</v>
      </c>
      <c r="E3229" t="s">
        <v>3107</v>
      </c>
      <c r="F3229" s="452">
        <v>46048</v>
      </c>
      <c r="G3229">
        <v>23171</v>
      </c>
      <c r="H3229" t="s">
        <v>4132</v>
      </c>
      <c r="I3229" t="s">
        <v>3469</v>
      </c>
      <c r="J3229">
        <v>3</v>
      </c>
      <c r="K3229" t="s">
        <v>3892</v>
      </c>
      <c r="L3229">
        <v>25.5</v>
      </c>
      <c r="M3229">
        <v>8.5</v>
      </c>
      <c r="N3229" t="s">
        <v>4240</v>
      </c>
      <c r="O3229" t="s">
        <v>461</v>
      </c>
    </row>
    <row r="3230" spans="1:15" x14ac:dyDescent="0.3">
      <c r="A3230">
        <v>203190</v>
      </c>
      <c r="B3230">
        <v>116</v>
      </c>
      <c r="C3230" t="s">
        <v>568</v>
      </c>
      <c r="D3230" t="s">
        <v>2286</v>
      </c>
      <c r="E3230" t="s">
        <v>3107</v>
      </c>
      <c r="F3230" s="452">
        <v>46048</v>
      </c>
      <c r="G3230">
        <v>23120</v>
      </c>
      <c r="H3230" t="s">
        <v>4111</v>
      </c>
      <c r="I3230" t="s">
        <v>3469</v>
      </c>
      <c r="J3230">
        <v>0.2</v>
      </c>
      <c r="K3230" t="s">
        <v>3892</v>
      </c>
      <c r="L3230">
        <v>13</v>
      </c>
      <c r="M3230">
        <v>65</v>
      </c>
      <c r="N3230" t="s">
        <v>4240</v>
      </c>
      <c r="O3230" t="s">
        <v>461</v>
      </c>
    </row>
    <row r="3231" spans="1:15" x14ac:dyDescent="0.3">
      <c r="A3231">
        <v>203190</v>
      </c>
      <c r="B3231">
        <v>116</v>
      </c>
      <c r="C3231" t="s">
        <v>568</v>
      </c>
      <c r="D3231" t="s">
        <v>2286</v>
      </c>
      <c r="E3231" t="s">
        <v>3107</v>
      </c>
      <c r="F3231" s="452">
        <v>46048</v>
      </c>
      <c r="G3231">
        <v>23361</v>
      </c>
      <c r="H3231" t="s">
        <v>4220</v>
      </c>
      <c r="I3231" t="s">
        <v>3469</v>
      </c>
      <c r="J3231">
        <v>18</v>
      </c>
      <c r="K3231" t="s">
        <v>3892</v>
      </c>
      <c r="L3231">
        <v>55.8</v>
      </c>
      <c r="M3231">
        <v>3.1</v>
      </c>
      <c r="N3231" t="s">
        <v>4240</v>
      </c>
      <c r="O3231" t="s">
        <v>461</v>
      </c>
    </row>
    <row r="3232" spans="1:15" x14ac:dyDescent="0.3">
      <c r="A3232">
        <v>203190</v>
      </c>
      <c r="B3232">
        <v>116</v>
      </c>
      <c r="C3232" t="s">
        <v>568</v>
      </c>
      <c r="D3232" t="s">
        <v>2286</v>
      </c>
      <c r="E3232" t="s">
        <v>3107</v>
      </c>
      <c r="F3232" s="452">
        <v>46048</v>
      </c>
      <c r="G3232">
        <v>25162</v>
      </c>
      <c r="H3232" t="s">
        <v>4288</v>
      </c>
      <c r="I3232" t="s">
        <v>3469</v>
      </c>
      <c r="J3232">
        <v>2</v>
      </c>
      <c r="K3232" t="s">
        <v>3892</v>
      </c>
      <c r="L3232">
        <v>15</v>
      </c>
      <c r="M3232">
        <v>7.5</v>
      </c>
      <c r="N3232" t="s">
        <v>4240</v>
      </c>
      <c r="O3232" t="s">
        <v>461</v>
      </c>
    </row>
    <row r="3233" spans="1:15" x14ac:dyDescent="0.3">
      <c r="A3233">
        <v>203190</v>
      </c>
      <c r="B3233">
        <v>116</v>
      </c>
      <c r="C3233" t="s">
        <v>568</v>
      </c>
      <c r="D3233" t="s">
        <v>2286</v>
      </c>
      <c r="E3233" t="s">
        <v>3107</v>
      </c>
      <c r="F3233" s="452">
        <v>46048</v>
      </c>
      <c r="G3233">
        <v>23236</v>
      </c>
      <c r="H3233" t="s">
        <v>4017</v>
      </c>
      <c r="I3233" t="s">
        <v>3469</v>
      </c>
      <c r="J3233">
        <v>3</v>
      </c>
      <c r="K3233" t="s">
        <v>3892</v>
      </c>
      <c r="L3233">
        <v>15</v>
      </c>
      <c r="M3233">
        <v>5</v>
      </c>
      <c r="N3233" t="s">
        <v>4240</v>
      </c>
      <c r="O3233" t="s">
        <v>461</v>
      </c>
    </row>
    <row r="3234" spans="1:15" x14ac:dyDescent="0.3">
      <c r="A3234">
        <v>203190</v>
      </c>
      <c r="B3234">
        <v>116</v>
      </c>
      <c r="C3234" t="s">
        <v>568</v>
      </c>
      <c r="D3234" t="s">
        <v>2286</v>
      </c>
      <c r="E3234" t="s">
        <v>3107</v>
      </c>
      <c r="F3234" s="452">
        <v>46048</v>
      </c>
      <c r="G3234">
        <v>23095</v>
      </c>
      <c r="H3234" t="s">
        <v>3882</v>
      </c>
      <c r="I3234" t="s">
        <v>3469</v>
      </c>
      <c r="J3234">
        <v>60</v>
      </c>
      <c r="K3234" t="s">
        <v>3872</v>
      </c>
      <c r="L3234">
        <v>56.4</v>
      </c>
      <c r="M3234">
        <v>0.94</v>
      </c>
      <c r="N3234" t="s">
        <v>4240</v>
      </c>
      <c r="O3234" t="s">
        <v>461</v>
      </c>
    </row>
    <row r="3235" spans="1:15" x14ac:dyDescent="0.3">
      <c r="A3235">
        <v>203190</v>
      </c>
      <c r="B3235">
        <v>116</v>
      </c>
      <c r="C3235" t="s">
        <v>568</v>
      </c>
      <c r="D3235" t="s">
        <v>2286</v>
      </c>
      <c r="E3235" t="s">
        <v>3107</v>
      </c>
      <c r="F3235" s="452">
        <v>46048</v>
      </c>
      <c r="G3235">
        <v>23142</v>
      </c>
      <c r="H3235" t="s">
        <v>4151</v>
      </c>
      <c r="I3235" t="s">
        <v>3469</v>
      </c>
      <c r="J3235">
        <v>1</v>
      </c>
      <c r="K3235" t="s">
        <v>3892</v>
      </c>
      <c r="L3235">
        <v>27</v>
      </c>
      <c r="M3235">
        <v>27</v>
      </c>
      <c r="N3235" t="s">
        <v>4240</v>
      </c>
      <c r="O3235" t="s">
        <v>461</v>
      </c>
    </row>
    <row r="3236" spans="1:15" x14ac:dyDescent="0.3">
      <c r="A3236">
        <v>203190</v>
      </c>
      <c r="B3236">
        <v>116</v>
      </c>
      <c r="C3236" t="s">
        <v>568</v>
      </c>
      <c r="D3236" t="s">
        <v>2286</v>
      </c>
      <c r="E3236" t="s">
        <v>3107</v>
      </c>
      <c r="F3236" s="452">
        <v>46048</v>
      </c>
      <c r="G3236">
        <v>23389</v>
      </c>
      <c r="H3236" t="s">
        <v>4016</v>
      </c>
      <c r="I3236" t="s">
        <v>3469</v>
      </c>
      <c r="J3236">
        <v>5</v>
      </c>
      <c r="K3236" t="s">
        <v>3892</v>
      </c>
      <c r="L3236">
        <v>26.5</v>
      </c>
      <c r="M3236">
        <v>5.3</v>
      </c>
      <c r="N3236" t="s">
        <v>4240</v>
      </c>
      <c r="O3236" t="s">
        <v>461</v>
      </c>
    </row>
    <row r="3237" spans="1:15" x14ac:dyDescent="0.3">
      <c r="A3237">
        <v>203190</v>
      </c>
      <c r="B3237">
        <v>116</v>
      </c>
      <c r="C3237" t="s">
        <v>568</v>
      </c>
      <c r="D3237" t="s">
        <v>2286</v>
      </c>
      <c r="E3237" t="s">
        <v>3107</v>
      </c>
      <c r="F3237" s="452">
        <v>46048</v>
      </c>
      <c r="G3237">
        <v>19539</v>
      </c>
      <c r="H3237" t="s">
        <v>4133</v>
      </c>
      <c r="I3237" t="s">
        <v>3469</v>
      </c>
      <c r="J3237">
        <v>18</v>
      </c>
      <c r="K3237" t="s">
        <v>3892</v>
      </c>
      <c r="L3237">
        <v>108</v>
      </c>
      <c r="M3237">
        <v>6</v>
      </c>
      <c r="N3237" t="s">
        <v>4240</v>
      </c>
      <c r="O3237" t="s">
        <v>461</v>
      </c>
    </row>
    <row r="3238" spans="1:15" x14ac:dyDescent="0.3">
      <c r="A3238">
        <v>203190</v>
      </c>
      <c r="B3238">
        <v>116</v>
      </c>
      <c r="C3238" t="s">
        <v>568</v>
      </c>
      <c r="D3238" t="s">
        <v>2286</v>
      </c>
      <c r="E3238" t="s">
        <v>3107</v>
      </c>
      <c r="F3238" s="452">
        <v>46048</v>
      </c>
      <c r="G3238">
        <v>24037</v>
      </c>
      <c r="H3238" t="s">
        <v>4104</v>
      </c>
      <c r="I3238" t="s">
        <v>3469</v>
      </c>
      <c r="J3238">
        <v>2</v>
      </c>
      <c r="K3238" t="s">
        <v>3892</v>
      </c>
      <c r="L3238">
        <v>41</v>
      </c>
      <c r="M3238">
        <v>20.5</v>
      </c>
      <c r="N3238" t="s">
        <v>4240</v>
      </c>
      <c r="O3238" t="s">
        <v>461</v>
      </c>
    </row>
    <row r="3239" spans="1:15" x14ac:dyDescent="0.3">
      <c r="A3239">
        <v>203188</v>
      </c>
      <c r="B3239">
        <v>116</v>
      </c>
      <c r="C3239" t="s">
        <v>568</v>
      </c>
      <c r="D3239" t="s">
        <v>2332</v>
      </c>
      <c r="E3239" t="s">
        <v>3108</v>
      </c>
      <c r="F3239" s="452">
        <v>46050</v>
      </c>
      <c r="G3239">
        <v>18545</v>
      </c>
      <c r="H3239" t="s">
        <v>4099</v>
      </c>
      <c r="I3239" t="s">
        <v>3497</v>
      </c>
      <c r="J3239">
        <v>2</v>
      </c>
      <c r="K3239" t="s">
        <v>3878</v>
      </c>
      <c r="L3239">
        <v>91.8</v>
      </c>
      <c r="M3239">
        <v>45.9</v>
      </c>
      <c r="N3239" t="s">
        <v>3497</v>
      </c>
      <c r="O3239" t="s">
        <v>461</v>
      </c>
    </row>
    <row r="3240" spans="1:15" x14ac:dyDescent="0.3">
      <c r="A3240">
        <v>203188</v>
      </c>
      <c r="B3240">
        <v>116</v>
      </c>
      <c r="C3240" t="s">
        <v>568</v>
      </c>
      <c r="D3240" t="s">
        <v>2332</v>
      </c>
      <c r="E3240" t="s">
        <v>3108</v>
      </c>
      <c r="F3240" s="452">
        <v>46050</v>
      </c>
      <c r="G3240">
        <v>18447</v>
      </c>
      <c r="H3240" t="s">
        <v>4027</v>
      </c>
      <c r="I3240" t="s">
        <v>3497</v>
      </c>
      <c r="J3240">
        <v>6</v>
      </c>
      <c r="K3240" t="s">
        <v>3878</v>
      </c>
      <c r="L3240">
        <v>74.94</v>
      </c>
      <c r="M3240">
        <v>12.49</v>
      </c>
      <c r="N3240" t="s">
        <v>3497</v>
      </c>
      <c r="O3240" t="s">
        <v>461</v>
      </c>
    </row>
    <row r="3241" spans="1:15" x14ac:dyDescent="0.3">
      <c r="A3241">
        <v>203186</v>
      </c>
      <c r="B3241">
        <v>116</v>
      </c>
      <c r="C3241" t="s">
        <v>568</v>
      </c>
      <c r="D3241" t="s">
        <v>2340</v>
      </c>
      <c r="E3241" t="s">
        <v>3109</v>
      </c>
      <c r="F3241" s="452">
        <v>46041</v>
      </c>
      <c r="G3241">
        <v>20501</v>
      </c>
      <c r="H3241" t="s">
        <v>4219</v>
      </c>
      <c r="I3241" t="s">
        <v>3469</v>
      </c>
      <c r="J3241">
        <v>5</v>
      </c>
      <c r="K3241" t="s">
        <v>3892</v>
      </c>
      <c r="L3241">
        <v>105</v>
      </c>
      <c r="M3241">
        <v>21</v>
      </c>
      <c r="N3241" t="s">
        <v>4240</v>
      </c>
      <c r="O3241" t="s">
        <v>461</v>
      </c>
    </row>
    <row r="3242" spans="1:15" x14ac:dyDescent="0.3">
      <c r="A3242">
        <v>203184</v>
      </c>
      <c r="B3242">
        <v>116</v>
      </c>
      <c r="C3242" t="s">
        <v>568</v>
      </c>
      <c r="D3242" t="s">
        <v>2340</v>
      </c>
      <c r="E3242" t="s">
        <v>3110</v>
      </c>
      <c r="F3242" s="452">
        <v>46041</v>
      </c>
      <c r="G3242">
        <v>24331</v>
      </c>
      <c r="H3242" t="s">
        <v>3960</v>
      </c>
      <c r="I3242" t="s">
        <v>3469</v>
      </c>
      <c r="J3242">
        <v>5</v>
      </c>
      <c r="K3242" t="s">
        <v>3892</v>
      </c>
      <c r="L3242">
        <v>110.6</v>
      </c>
      <c r="M3242">
        <v>22.12</v>
      </c>
      <c r="N3242" t="s">
        <v>3469</v>
      </c>
      <c r="O3242" t="s">
        <v>461</v>
      </c>
    </row>
    <row r="3243" spans="1:15" x14ac:dyDescent="0.3">
      <c r="A3243">
        <v>203184</v>
      </c>
      <c r="B3243">
        <v>116</v>
      </c>
      <c r="C3243" t="s">
        <v>568</v>
      </c>
      <c r="D3243" t="s">
        <v>2340</v>
      </c>
      <c r="E3243" t="s">
        <v>3110</v>
      </c>
      <c r="F3243" s="452">
        <v>46041</v>
      </c>
      <c r="G3243">
        <v>19324</v>
      </c>
      <c r="H3243" t="s">
        <v>3937</v>
      </c>
      <c r="I3243" t="s">
        <v>3469</v>
      </c>
      <c r="J3243">
        <v>8.1199999999999992</v>
      </c>
      <c r="K3243" t="s">
        <v>3892</v>
      </c>
      <c r="L3243">
        <v>239.7</v>
      </c>
      <c r="M3243">
        <v>29.519704000000001</v>
      </c>
      <c r="N3243" t="s">
        <v>3469</v>
      </c>
      <c r="O3243" t="s">
        <v>461</v>
      </c>
    </row>
    <row r="3244" spans="1:15" x14ac:dyDescent="0.3">
      <c r="A3244">
        <v>203184</v>
      </c>
      <c r="B3244">
        <v>116</v>
      </c>
      <c r="C3244" t="s">
        <v>568</v>
      </c>
      <c r="D3244" t="s">
        <v>2340</v>
      </c>
      <c r="E3244" t="s">
        <v>3110</v>
      </c>
      <c r="F3244" s="452">
        <v>46041</v>
      </c>
      <c r="G3244">
        <v>20661</v>
      </c>
      <c r="H3244" t="s">
        <v>3919</v>
      </c>
      <c r="I3244" t="s">
        <v>3469</v>
      </c>
      <c r="J3244">
        <v>6</v>
      </c>
      <c r="K3244" t="s">
        <v>3872</v>
      </c>
      <c r="L3244">
        <v>52.68</v>
      </c>
      <c r="M3244">
        <v>8.7799999999999994</v>
      </c>
      <c r="N3244" t="s">
        <v>3469</v>
      </c>
      <c r="O3244" t="s">
        <v>461</v>
      </c>
    </row>
    <row r="3245" spans="1:15" x14ac:dyDescent="0.3">
      <c r="A3245">
        <v>203184</v>
      </c>
      <c r="B3245">
        <v>116</v>
      </c>
      <c r="C3245" t="s">
        <v>568</v>
      </c>
      <c r="D3245" t="s">
        <v>2340</v>
      </c>
      <c r="E3245" t="s">
        <v>3110</v>
      </c>
      <c r="F3245" s="452">
        <v>46041</v>
      </c>
      <c r="G3245">
        <v>19346</v>
      </c>
      <c r="H3245" t="s">
        <v>3948</v>
      </c>
      <c r="I3245" t="s">
        <v>3469</v>
      </c>
      <c r="J3245">
        <v>2.9</v>
      </c>
      <c r="K3245" t="s">
        <v>3892</v>
      </c>
      <c r="L3245">
        <v>153.63999999999999</v>
      </c>
      <c r="M3245">
        <v>52.979309999999998</v>
      </c>
      <c r="N3245" t="s">
        <v>3469</v>
      </c>
      <c r="O3245" t="s">
        <v>461</v>
      </c>
    </row>
    <row r="3246" spans="1:15" x14ac:dyDescent="0.3">
      <c r="A3246">
        <v>203184</v>
      </c>
      <c r="B3246">
        <v>116</v>
      </c>
      <c r="C3246" t="s">
        <v>568</v>
      </c>
      <c r="D3246" t="s">
        <v>2340</v>
      </c>
      <c r="E3246" t="s">
        <v>3110</v>
      </c>
      <c r="F3246" s="452">
        <v>46041</v>
      </c>
      <c r="G3246">
        <v>20752</v>
      </c>
      <c r="H3246" t="s">
        <v>3964</v>
      </c>
      <c r="I3246" t="s">
        <v>3469</v>
      </c>
      <c r="J3246">
        <v>3</v>
      </c>
      <c r="K3246" t="s">
        <v>3886</v>
      </c>
      <c r="L3246">
        <v>323.7</v>
      </c>
      <c r="M3246">
        <v>107.9</v>
      </c>
      <c r="N3246" t="s">
        <v>3469</v>
      </c>
      <c r="O3246" t="s">
        <v>461</v>
      </c>
    </row>
    <row r="3247" spans="1:15" x14ac:dyDescent="0.3">
      <c r="A3247">
        <v>203184</v>
      </c>
      <c r="B3247">
        <v>116</v>
      </c>
      <c r="C3247" t="s">
        <v>568</v>
      </c>
      <c r="D3247" t="s">
        <v>2340</v>
      </c>
      <c r="E3247" t="s">
        <v>3110</v>
      </c>
      <c r="F3247" s="452">
        <v>46041</v>
      </c>
      <c r="G3247">
        <v>20246</v>
      </c>
      <c r="H3247" t="s">
        <v>3911</v>
      </c>
      <c r="I3247" t="s">
        <v>3469</v>
      </c>
      <c r="J3247">
        <v>10</v>
      </c>
      <c r="K3247" t="s">
        <v>3872</v>
      </c>
      <c r="L3247">
        <v>68.5</v>
      </c>
      <c r="M3247">
        <v>6.85</v>
      </c>
      <c r="N3247" t="s">
        <v>3469</v>
      </c>
      <c r="O3247" t="s">
        <v>461</v>
      </c>
    </row>
    <row r="3248" spans="1:15" x14ac:dyDescent="0.3">
      <c r="A3248">
        <v>203184</v>
      </c>
      <c r="B3248">
        <v>116</v>
      </c>
      <c r="C3248" t="s">
        <v>568</v>
      </c>
      <c r="D3248" t="s">
        <v>2340</v>
      </c>
      <c r="E3248" t="s">
        <v>3110</v>
      </c>
      <c r="F3248" s="452">
        <v>46041</v>
      </c>
      <c r="G3248">
        <v>24339</v>
      </c>
      <c r="H3248" t="s">
        <v>4119</v>
      </c>
      <c r="I3248" t="s">
        <v>3469</v>
      </c>
      <c r="J3248">
        <v>2.5</v>
      </c>
      <c r="K3248" t="s">
        <v>3892</v>
      </c>
      <c r="L3248">
        <v>59.75</v>
      </c>
      <c r="M3248">
        <v>23.9</v>
      </c>
      <c r="N3248" t="s">
        <v>3469</v>
      </c>
      <c r="O3248" t="s">
        <v>461</v>
      </c>
    </row>
    <row r="3249" spans="1:15" x14ac:dyDescent="0.3">
      <c r="A3249">
        <v>203182</v>
      </c>
      <c r="B3249">
        <v>116</v>
      </c>
      <c r="C3249" t="s">
        <v>568</v>
      </c>
      <c r="D3249" t="s">
        <v>2342</v>
      </c>
      <c r="E3249" t="s">
        <v>3111</v>
      </c>
      <c r="F3249" s="452">
        <v>46049</v>
      </c>
      <c r="G3249">
        <v>24351</v>
      </c>
      <c r="H3249" t="s">
        <v>3912</v>
      </c>
      <c r="I3249" t="s">
        <v>3469</v>
      </c>
      <c r="J3249">
        <v>30</v>
      </c>
      <c r="K3249" t="s">
        <v>3892</v>
      </c>
      <c r="L3249">
        <v>360</v>
      </c>
      <c r="M3249">
        <v>12</v>
      </c>
      <c r="N3249" t="s">
        <v>3469</v>
      </c>
      <c r="O3249" t="s">
        <v>461</v>
      </c>
    </row>
    <row r="3250" spans="1:15" x14ac:dyDescent="0.3">
      <c r="A3250">
        <v>203178</v>
      </c>
      <c r="B3250">
        <v>116</v>
      </c>
      <c r="C3250" t="s">
        <v>568</v>
      </c>
      <c r="D3250" t="s">
        <v>2922</v>
      </c>
      <c r="E3250" t="s">
        <v>3112</v>
      </c>
      <c r="F3250" s="452">
        <v>46041</v>
      </c>
      <c r="G3250">
        <v>19642</v>
      </c>
      <c r="H3250" t="s">
        <v>4067</v>
      </c>
      <c r="I3250" t="s">
        <v>3469</v>
      </c>
      <c r="J3250">
        <v>1</v>
      </c>
      <c r="K3250" t="s">
        <v>3892</v>
      </c>
      <c r="L3250">
        <v>5.63</v>
      </c>
      <c r="M3250">
        <v>5.63</v>
      </c>
      <c r="N3250" t="s">
        <v>4240</v>
      </c>
      <c r="O3250" t="s">
        <v>461</v>
      </c>
    </row>
    <row r="3251" spans="1:15" x14ac:dyDescent="0.3">
      <c r="A3251">
        <v>203178</v>
      </c>
      <c r="B3251">
        <v>116</v>
      </c>
      <c r="C3251" t="s">
        <v>568</v>
      </c>
      <c r="D3251" t="s">
        <v>2922</v>
      </c>
      <c r="E3251" t="s">
        <v>3112</v>
      </c>
      <c r="F3251" s="452">
        <v>46041</v>
      </c>
      <c r="G3251">
        <v>19555</v>
      </c>
      <c r="H3251" t="s">
        <v>4109</v>
      </c>
      <c r="I3251" t="s">
        <v>3469</v>
      </c>
      <c r="J3251">
        <v>0.5</v>
      </c>
      <c r="K3251" t="s">
        <v>3892</v>
      </c>
      <c r="L3251">
        <v>12.5</v>
      </c>
      <c r="M3251">
        <v>25</v>
      </c>
      <c r="N3251" t="s">
        <v>4240</v>
      </c>
      <c r="O3251" t="s">
        <v>461</v>
      </c>
    </row>
    <row r="3252" spans="1:15" x14ac:dyDescent="0.3">
      <c r="A3252">
        <v>203178</v>
      </c>
      <c r="B3252">
        <v>116</v>
      </c>
      <c r="C3252" t="s">
        <v>568</v>
      </c>
      <c r="D3252" t="s">
        <v>2922</v>
      </c>
      <c r="E3252" t="s">
        <v>3112</v>
      </c>
      <c r="F3252" s="452">
        <v>46041</v>
      </c>
      <c r="G3252">
        <v>19572</v>
      </c>
      <c r="H3252" t="s">
        <v>4023</v>
      </c>
      <c r="I3252" t="s">
        <v>3469</v>
      </c>
      <c r="J3252">
        <v>1</v>
      </c>
      <c r="K3252" t="s">
        <v>3892</v>
      </c>
      <c r="L3252">
        <v>15</v>
      </c>
      <c r="M3252">
        <v>15</v>
      </c>
      <c r="N3252" t="s">
        <v>4240</v>
      </c>
      <c r="O3252" t="s">
        <v>461</v>
      </c>
    </row>
    <row r="3253" spans="1:15" x14ac:dyDescent="0.3">
      <c r="A3253">
        <v>203178</v>
      </c>
      <c r="B3253">
        <v>116</v>
      </c>
      <c r="C3253" t="s">
        <v>568</v>
      </c>
      <c r="D3253" t="s">
        <v>2922</v>
      </c>
      <c r="E3253" t="s">
        <v>3112</v>
      </c>
      <c r="F3253" s="452">
        <v>46041</v>
      </c>
      <c r="G3253">
        <v>19742</v>
      </c>
      <c r="H3253" t="s">
        <v>4074</v>
      </c>
      <c r="I3253" t="s">
        <v>3469</v>
      </c>
      <c r="J3253">
        <v>1.6</v>
      </c>
      <c r="K3253" t="s">
        <v>3892</v>
      </c>
      <c r="L3253">
        <v>18</v>
      </c>
      <c r="M3253">
        <v>11.25</v>
      </c>
      <c r="N3253" t="s">
        <v>4240</v>
      </c>
      <c r="O3253" t="s">
        <v>461</v>
      </c>
    </row>
    <row r="3254" spans="1:15" x14ac:dyDescent="0.3">
      <c r="A3254">
        <v>203178</v>
      </c>
      <c r="B3254">
        <v>116</v>
      </c>
      <c r="C3254" t="s">
        <v>568</v>
      </c>
      <c r="D3254" t="s">
        <v>2922</v>
      </c>
      <c r="E3254" t="s">
        <v>3112</v>
      </c>
      <c r="F3254" s="452">
        <v>46041</v>
      </c>
      <c r="G3254">
        <v>19494</v>
      </c>
      <c r="H3254" t="s">
        <v>4126</v>
      </c>
      <c r="I3254" t="s">
        <v>3469</v>
      </c>
      <c r="J3254">
        <v>2.7</v>
      </c>
      <c r="K3254" t="s">
        <v>3892</v>
      </c>
      <c r="L3254">
        <v>70.31</v>
      </c>
      <c r="M3254">
        <v>26.040741000000001</v>
      </c>
      <c r="N3254" t="s">
        <v>4240</v>
      </c>
      <c r="O3254" t="s">
        <v>461</v>
      </c>
    </row>
    <row r="3255" spans="1:15" x14ac:dyDescent="0.3">
      <c r="A3255">
        <v>203178</v>
      </c>
      <c r="B3255">
        <v>116</v>
      </c>
      <c r="C3255" t="s">
        <v>568</v>
      </c>
      <c r="D3255" t="s">
        <v>2922</v>
      </c>
      <c r="E3255" t="s">
        <v>3112</v>
      </c>
      <c r="F3255" s="452">
        <v>46041</v>
      </c>
      <c r="G3255">
        <v>19617</v>
      </c>
      <c r="H3255" t="s">
        <v>4110</v>
      </c>
      <c r="I3255" t="s">
        <v>3469</v>
      </c>
      <c r="J3255">
        <v>0.3</v>
      </c>
      <c r="K3255" t="s">
        <v>3892</v>
      </c>
      <c r="L3255">
        <v>8.0299999999999994</v>
      </c>
      <c r="M3255">
        <v>26.766667000000002</v>
      </c>
      <c r="N3255" t="s">
        <v>4240</v>
      </c>
      <c r="O3255" t="s">
        <v>461</v>
      </c>
    </row>
    <row r="3256" spans="1:15" x14ac:dyDescent="0.3">
      <c r="A3256">
        <v>203178</v>
      </c>
      <c r="B3256">
        <v>116</v>
      </c>
      <c r="C3256" t="s">
        <v>568</v>
      </c>
      <c r="D3256" t="s">
        <v>2922</v>
      </c>
      <c r="E3256" t="s">
        <v>3112</v>
      </c>
      <c r="F3256" s="452">
        <v>46041</v>
      </c>
      <c r="G3256">
        <v>23234</v>
      </c>
      <c r="H3256" t="s">
        <v>4018</v>
      </c>
      <c r="I3256" t="s">
        <v>3469</v>
      </c>
      <c r="J3256">
        <v>2</v>
      </c>
      <c r="K3256" t="s">
        <v>3892</v>
      </c>
      <c r="L3256">
        <v>46</v>
      </c>
      <c r="M3256">
        <v>23</v>
      </c>
      <c r="N3256" t="s">
        <v>4240</v>
      </c>
      <c r="O3256" t="s">
        <v>461</v>
      </c>
    </row>
    <row r="3257" spans="1:15" x14ac:dyDescent="0.3">
      <c r="A3257">
        <v>203174</v>
      </c>
      <c r="B3257">
        <v>116</v>
      </c>
      <c r="C3257" t="s">
        <v>568</v>
      </c>
      <c r="D3257" t="s">
        <v>2922</v>
      </c>
      <c r="E3257" t="s">
        <v>3113</v>
      </c>
      <c r="F3257" s="452">
        <v>46037</v>
      </c>
      <c r="G3257">
        <v>19623</v>
      </c>
      <c r="H3257" t="s">
        <v>3984</v>
      </c>
      <c r="I3257" t="s">
        <v>3469</v>
      </c>
      <c r="J3257">
        <v>3</v>
      </c>
      <c r="K3257" t="s">
        <v>3892</v>
      </c>
      <c r="L3257">
        <v>12</v>
      </c>
      <c r="M3257">
        <v>4</v>
      </c>
      <c r="N3257" t="s">
        <v>4240</v>
      </c>
      <c r="O3257" t="s">
        <v>461</v>
      </c>
    </row>
    <row r="3258" spans="1:15" x14ac:dyDescent="0.3">
      <c r="A3258">
        <v>203174</v>
      </c>
      <c r="B3258">
        <v>116</v>
      </c>
      <c r="C3258" t="s">
        <v>568</v>
      </c>
      <c r="D3258" t="s">
        <v>2922</v>
      </c>
      <c r="E3258" t="s">
        <v>3113</v>
      </c>
      <c r="F3258" s="452">
        <v>46037</v>
      </c>
      <c r="G3258">
        <v>24509</v>
      </c>
      <c r="H3258" t="s">
        <v>3906</v>
      </c>
      <c r="I3258" t="s">
        <v>3469</v>
      </c>
      <c r="J3258">
        <v>20</v>
      </c>
      <c r="K3258" t="s">
        <v>3892</v>
      </c>
      <c r="L3258">
        <v>37.6</v>
      </c>
      <c r="M3258">
        <v>1.88</v>
      </c>
      <c r="N3258" t="s">
        <v>4240</v>
      </c>
      <c r="O3258" t="s">
        <v>461</v>
      </c>
    </row>
    <row r="3259" spans="1:15" x14ac:dyDescent="0.3">
      <c r="A3259">
        <v>203174</v>
      </c>
      <c r="B3259">
        <v>116</v>
      </c>
      <c r="C3259" t="s">
        <v>568</v>
      </c>
      <c r="D3259" t="s">
        <v>2922</v>
      </c>
      <c r="E3259" t="s">
        <v>3113</v>
      </c>
      <c r="F3259" s="452">
        <v>46037</v>
      </c>
      <c r="G3259">
        <v>19478</v>
      </c>
      <c r="H3259" t="s">
        <v>4072</v>
      </c>
      <c r="I3259" t="s">
        <v>3469</v>
      </c>
      <c r="J3259">
        <v>1</v>
      </c>
      <c r="K3259" t="s">
        <v>3892</v>
      </c>
      <c r="L3259">
        <v>72.91</v>
      </c>
      <c r="M3259">
        <v>72.91</v>
      </c>
      <c r="N3259" t="s">
        <v>4240</v>
      </c>
      <c r="O3259" t="s">
        <v>461</v>
      </c>
    </row>
    <row r="3260" spans="1:15" x14ac:dyDescent="0.3">
      <c r="A3260">
        <v>203174</v>
      </c>
      <c r="B3260">
        <v>116</v>
      </c>
      <c r="C3260" t="s">
        <v>568</v>
      </c>
      <c r="D3260" t="s">
        <v>2922</v>
      </c>
      <c r="E3260" t="s">
        <v>3113</v>
      </c>
      <c r="F3260" s="452">
        <v>46037</v>
      </c>
      <c r="G3260">
        <v>19555</v>
      </c>
      <c r="H3260" t="s">
        <v>4109</v>
      </c>
      <c r="I3260" t="s">
        <v>3469</v>
      </c>
      <c r="J3260">
        <v>0.5</v>
      </c>
      <c r="K3260" t="s">
        <v>3892</v>
      </c>
      <c r="L3260">
        <v>12.5</v>
      </c>
      <c r="M3260">
        <v>25</v>
      </c>
      <c r="N3260" t="s">
        <v>4240</v>
      </c>
      <c r="O3260" t="s">
        <v>461</v>
      </c>
    </row>
    <row r="3261" spans="1:15" x14ac:dyDescent="0.3">
      <c r="A3261">
        <v>203174</v>
      </c>
      <c r="B3261">
        <v>116</v>
      </c>
      <c r="C3261" t="s">
        <v>568</v>
      </c>
      <c r="D3261" t="s">
        <v>2922</v>
      </c>
      <c r="E3261" t="s">
        <v>3113</v>
      </c>
      <c r="F3261" s="452">
        <v>46037</v>
      </c>
      <c r="G3261">
        <v>24484</v>
      </c>
      <c r="H3261" t="s">
        <v>4154</v>
      </c>
      <c r="I3261" t="s">
        <v>3469</v>
      </c>
      <c r="J3261">
        <v>0.5</v>
      </c>
      <c r="K3261" t="s">
        <v>3892</v>
      </c>
      <c r="L3261">
        <v>4.38</v>
      </c>
      <c r="M3261">
        <v>8.76</v>
      </c>
      <c r="N3261" t="s">
        <v>4240</v>
      </c>
      <c r="O3261" t="s">
        <v>461</v>
      </c>
    </row>
    <row r="3262" spans="1:15" x14ac:dyDescent="0.3">
      <c r="A3262">
        <v>203174</v>
      </c>
      <c r="B3262">
        <v>116</v>
      </c>
      <c r="C3262" t="s">
        <v>568</v>
      </c>
      <c r="D3262" t="s">
        <v>2922</v>
      </c>
      <c r="E3262" t="s">
        <v>3113</v>
      </c>
      <c r="F3262" s="452">
        <v>46037</v>
      </c>
      <c r="G3262">
        <v>19763</v>
      </c>
      <c r="H3262" t="s">
        <v>4187</v>
      </c>
      <c r="I3262" t="s">
        <v>3469</v>
      </c>
      <c r="J3262">
        <v>1</v>
      </c>
      <c r="K3262" t="s">
        <v>3892</v>
      </c>
      <c r="L3262">
        <v>19.5</v>
      </c>
      <c r="M3262">
        <v>19.5</v>
      </c>
      <c r="N3262" t="s">
        <v>4240</v>
      </c>
      <c r="O3262" t="s">
        <v>461</v>
      </c>
    </row>
    <row r="3263" spans="1:15" x14ac:dyDescent="0.3">
      <c r="A3263">
        <v>203174</v>
      </c>
      <c r="B3263">
        <v>116</v>
      </c>
      <c r="C3263" t="s">
        <v>568</v>
      </c>
      <c r="D3263" t="s">
        <v>2922</v>
      </c>
      <c r="E3263" t="s">
        <v>3113</v>
      </c>
      <c r="F3263" s="452">
        <v>46037</v>
      </c>
      <c r="G3263">
        <v>19617</v>
      </c>
      <c r="H3263" t="s">
        <v>4110</v>
      </c>
      <c r="I3263" t="s">
        <v>3469</v>
      </c>
      <c r="J3263">
        <v>0.3</v>
      </c>
      <c r="K3263" t="s">
        <v>3892</v>
      </c>
      <c r="L3263">
        <v>8.0299999999999994</v>
      </c>
      <c r="M3263">
        <v>26.766667000000002</v>
      </c>
      <c r="N3263" t="s">
        <v>4240</v>
      </c>
      <c r="O3263" t="s">
        <v>461</v>
      </c>
    </row>
    <row r="3264" spans="1:15" x14ac:dyDescent="0.3">
      <c r="A3264">
        <v>203174</v>
      </c>
      <c r="B3264">
        <v>116</v>
      </c>
      <c r="C3264" t="s">
        <v>568</v>
      </c>
      <c r="D3264" t="s">
        <v>2922</v>
      </c>
      <c r="E3264" t="s">
        <v>3113</v>
      </c>
      <c r="F3264" s="452">
        <v>46037</v>
      </c>
      <c r="G3264">
        <v>23096</v>
      </c>
      <c r="H3264" t="s">
        <v>3876</v>
      </c>
      <c r="I3264" t="s">
        <v>3469</v>
      </c>
      <c r="J3264">
        <v>60</v>
      </c>
      <c r="K3264" t="s">
        <v>3872</v>
      </c>
      <c r="L3264">
        <v>30</v>
      </c>
      <c r="M3264">
        <v>0.5</v>
      </c>
      <c r="N3264" t="s">
        <v>4240</v>
      </c>
      <c r="O3264" t="s">
        <v>461</v>
      </c>
    </row>
    <row r="3265" spans="1:15" x14ac:dyDescent="0.3">
      <c r="A3265">
        <v>203174</v>
      </c>
      <c r="B3265">
        <v>116</v>
      </c>
      <c r="C3265" t="s">
        <v>568</v>
      </c>
      <c r="D3265" t="s">
        <v>2922</v>
      </c>
      <c r="E3265" t="s">
        <v>3113</v>
      </c>
      <c r="F3265" s="452">
        <v>46037</v>
      </c>
      <c r="G3265">
        <v>23142</v>
      </c>
      <c r="H3265" t="s">
        <v>4151</v>
      </c>
      <c r="I3265" t="s">
        <v>3469</v>
      </c>
      <c r="J3265">
        <v>1</v>
      </c>
      <c r="K3265" t="s">
        <v>3892</v>
      </c>
      <c r="L3265">
        <v>31.25</v>
      </c>
      <c r="M3265">
        <v>31.25</v>
      </c>
      <c r="N3265" t="s">
        <v>4240</v>
      </c>
      <c r="O3265" t="s">
        <v>461</v>
      </c>
    </row>
    <row r="3266" spans="1:15" x14ac:dyDescent="0.3">
      <c r="A3266">
        <v>203174</v>
      </c>
      <c r="B3266">
        <v>116</v>
      </c>
      <c r="C3266" t="s">
        <v>568</v>
      </c>
      <c r="D3266" t="s">
        <v>2922</v>
      </c>
      <c r="E3266" t="s">
        <v>3113</v>
      </c>
      <c r="F3266" s="452">
        <v>46037</v>
      </c>
      <c r="G3266">
        <v>19672</v>
      </c>
      <c r="H3266" t="s">
        <v>4024</v>
      </c>
      <c r="I3266" t="s">
        <v>3469</v>
      </c>
      <c r="J3266">
        <v>2.2000000000000002</v>
      </c>
      <c r="K3266" t="s">
        <v>3892</v>
      </c>
      <c r="L3266">
        <v>46.75</v>
      </c>
      <c r="M3266">
        <v>21.25</v>
      </c>
      <c r="N3266" t="s">
        <v>4240</v>
      </c>
      <c r="O3266" t="s">
        <v>461</v>
      </c>
    </row>
    <row r="3267" spans="1:15" x14ac:dyDescent="0.3">
      <c r="A3267">
        <v>203172</v>
      </c>
      <c r="B3267">
        <v>116</v>
      </c>
      <c r="C3267" t="s">
        <v>568</v>
      </c>
      <c r="D3267" t="s">
        <v>2922</v>
      </c>
      <c r="E3267" t="s">
        <v>3114</v>
      </c>
      <c r="F3267" s="452">
        <v>46044</v>
      </c>
      <c r="G3267">
        <v>19787</v>
      </c>
      <c r="H3267" t="s">
        <v>3940</v>
      </c>
      <c r="I3267" t="s">
        <v>3469</v>
      </c>
      <c r="J3267">
        <v>8.8000000000000007</v>
      </c>
      <c r="K3267" t="s">
        <v>3892</v>
      </c>
      <c r="L3267">
        <v>44</v>
      </c>
      <c r="M3267">
        <v>5</v>
      </c>
      <c r="N3267" t="s">
        <v>3469</v>
      </c>
      <c r="O3267" t="s">
        <v>461</v>
      </c>
    </row>
    <row r="3268" spans="1:15" x14ac:dyDescent="0.3">
      <c r="A3268">
        <v>203172</v>
      </c>
      <c r="B3268">
        <v>116</v>
      </c>
      <c r="C3268" t="s">
        <v>568</v>
      </c>
      <c r="D3268" t="s">
        <v>2922</v>
      </c>
      <c r="E3268" t="s">
        <v>3114</v>
      </c>
      <c r="F3268" s="452">
        <v>46044</v>
      </c>
      <c r="G3268">
        <v>19555</v>
      </c>
      <c r="H3268" t="s">
        <v>4109</v>
      </c>
      <c r="I3268" t="s">
        <v>3469</v>
      </c>
      <c r="J3268">
        <v>0.85</v>
      </c>
      <c r="K3268" t="s">
        <v>3892</v>
      </c>
      <c r="L3268">
        <v>21.25</v>
      </c>
      <c r="M3268">
        <v>25</v>
      </c>
      <c r="N3268" t="s">
        <v>3469</v>
      </c>
      <c r="O3268" t="s">
        <v>461</v>
      </c>
    </row>
    <row r="3269" spans="1:15" x14ac:dyDescent="0.3">
      <c r="A3269">
        <v>203172</v>
      </c>
      <c r="B3269">
        <v>116</v>
      </c>
      <c r="C3269" t="s">
        <v>568</v>
      </c>
      <c r="D3269" t="s">
        <v>2922</v>
      </c>
      <c r="E3269" t="s">
        <v>3114</v>
      </c>
      <c r="F3269" s="452">
        <v>46044</v>
      </c>
      <c r="G3269">
        <v>19740</v>
      </c>
      <c r="H3269" t="s">
        <v>3933</v>
      </c>
      <c r="I3269" t="s">
        <v>3469</v>
      </c>
      <c r="J3269">
        <v>5</v>
      </c>
      <c r="K3269" t="s">
        <v>3892</v>
      </c>
      <c r="L3269">
        <v>40.65</v>
      </c>
      <c r="M3269">
        <v>8.1300000000000008</v>
      </c>
      <c r="N3269" t="s">
        <v>3469</v>
      </c>
      <c r="O3269" t="s">
        <v>461</v>
      </c>
    </row>
    <row r="3270" spans="1:15" x14ac:dyDescent="0.3">
      <c r="A3270">
        <v>203172</v>
      </c>
      <c r="B3270">
        <v>116</v>
      </c>
      <c r="C3270" t="s">
        <v>568</v>
      </c>
      <c r="D3270" t="s">
        <v>2922</v>
      </c>
      <c r="E3270" t="s">
        <v>3114</v>
      </c>
      <c r="F3270" s="452">
        <v>46044</v>
      </c>
      <c r="G3270">
        <v>19752</v>
      </c>
      <c r="H3270" t="s">
        <v>4042</v>
      </c>
      <c r="I3270" t="s">
        <v>3469</v>
      </c>
      <c r="J3270">
        <v>2</v>
      </c>
      <c r="K3270" t="s">
        <v>3892</v>
      </c>
      <c r="L3270">
        <v>40</v>
      </c>
      <c r="M3270">
        <v>20</v>
      </c>
      <c r="N3270" t="s">
        <v>3469</v>
      </c>
      <c r="O3270" t="s">
        <v>461</v>
      </c>
    </row>
    <row r="3271" spans="1:15" x14ac:dyDescent="0.3">
      <c r="A3271">
        <v>203172</v>
      </c>
      <c r="B3271">
        <v>116</v>
      </c>
      <c r="C3271" t="s">
        <v>568</v>
      </c>
      <c r="D3271" t="s">
        <v>2922</v>
      </c>
      <c r="E3271" t="s">
        <v>3114</v>
      </c>
      <c r="F3271" s="452">
        <v>46044</v>
      </c>
      <c r="G3271">
        <v>23096</v>
      </c>
      <c r="H3271" t="s">
        <v>3876</v>
      </c>
      <c r="I3271" t="s">
        <v>3469</v>
      </c>
      <c r="J3271">
        <v>60</v>
      </c>
      <c r="K3271" t="s">
        <v>3872</v>
      </c>
      <c r="L3271">
        <v>30</v>
      </c>
      <c r="M3271">
        <v>0.5</v>
      </c>
      <c r="N3271" t="s">
        <v>3469</v>
      </c>
      <c r="O3271" t="s">
        <v>461</v>
      </c>
    </row>
    <row r="3272" spans="1:15" x14ac:dyDescent="0.3">
      <c r="A3272">
        <v>203172</v>
      </c>
      <c r="B3272">
        <v>116</v>
      </c>
      <c r="C3272" t="s">
        <v>568</v>
      </c>
      <c r="D3272" t="s">
        <v>2922</v>
      </c>
      <c r="E3272" t="s">
        <v>3114</v>
      </c>
      <c r="F3272" s="452">
        <v>46044</v>
      </c>
      <c r="G3272">
        <v>23359</v>
      </c>
      <c r="H3272" t="s">
        <v>3932</v>
      </c>
      <c r="I3272" t="s">
        <v>3469</v>
      </c>
      <c r="J3272">
        <v>10</v>
      </c>
      <c r="K3272" t="s">
        <v>3892</v>
      </c>
      <c r="L3272">
        <v>25</v>
      </c>
      <c r="M3272">
        <v>2.5</v>
      </c>
      <c r="N3272" t="s">
        <v>3469</v>
      </c>
      <c r="O3272" t="s">
        <v>461</v>
      </c>
    </row>
    <row r="3273" spans="1:15" x14ac:dyDescent="0.3">
      <c r="A3273">
        <v>203169</v>
      </c>
      <c r="B3273">
        <v>116</v>
      </c>
      <c r="C3273" t="s">
        <v>568</v>
      </c>
      <c r="D3273" t="s">
        <v>2260</v>
      </c>
      <c r="E3273" t="s">
        <v>3115</v>
      </c>
      <c r="F3273" s="452">
        <v>46050</v>
      </c>
      <c r="G3273">
        <v>18685</v>
      </c>
      <c r="H3273" t="s">
        <v>3945</v>
      </c>
      <c r="I3273" t="s">
        <v>3469</v>
      </c>
      <c r="J3273">
        <v>6.9</v>
      </c>
      <c r="K3273" t="s">
        <v>4197</v>
      </c>
      <c r="L3273">
        <v>269.10000000000002</v>
      </c>
      <c r="M3273">
        <v>39</v>
      </c>
      <c r="N3273" t="s">
        <v>4403</v>
      </c>
      <c r="O3273" t="s">
        <v>461</v>
      </c>
    </row>
    <row r="3274" spans="1:15" x14ac:dyDescent="0.3">
      <c r="A3274">
        <v>203169</v>
      </c>
      <c r="B3274">
        <v>116</v>
      </c>
      <c r="C3274" t="s">
        <v>568</v>
      </c>
      <c r="D3274" t="s">
        <v>2260</v>
      </c>
      <c r="E3274" t="s">
        <v>3115</v>
      </c>
      <c r="F3274" s="452">
        <v>46050</v>
      </c>
      <c r="G3274">
        <v>18684</v>
      </c>
      <c r="H3274" t="s">
        <v>3925</v>
      </c>
      <c r="I3274" t="s">
        <v>3469</v>
      </c>
      <c r="J3274">
        <v>10.5</v>
      </c>
      <c r="K3274" t="s">
        <v>3892</v>
      </c>
      <c r="L3274">
        <v>378</v>
      </c>
      <c r="M3274">
        <v>36</v>
      </c>
      <c r="N3274" t="s">
        <v>4403</v>
      </c>
      <c r="O3274" t="s">
        <v>461</v>
      </c>
    </row>
    <row r="3275" spans="1:15" x14ac:dyDescent="0.3">
      <c r="A3275">
        <v>203169</v>
      </c>
      <c r="B3275">
        <v>116</v>
      </c>
      <c r="C3275" t="s">
        <v>568</v>
      </c>
      <c r="D3275" t="s">
        <v>2260</v>
      </c>
      <c r="E3275" t="s">
        <v>3115</v>
      </c>
      <c r="F3275" s="452">
        <v>46050</v>
      </c>
      <c r="G3275">
        <v>20458</v>
      </c>
      <c r="H3275" t="s">
        <v>4121</v>
      </c>
      <c r="I3275" t="s">
        <v>3469</v>
      </c>
      <c r="J3275">
        <v>3.3</v>
      </c>
      <c r="K3275" t="s">
        <v>3892</v>
      </c>
      <c r="L3275">
        <v>108.57</v>
      </c>
      <c r="M3275">
        <v>32.9</v>
      </c>
      <c r="N3275" t="s">
        <v>4403</v>
      </c>
      <c r="O3275" t="s">
        <v>461</v>
      </c>
    </row>
    <row r="3276" spans="1:15" x14ac:dyDescent="0.3">
      <c r="A3276">
        <v>203169</v>
      </c>
      <c r="B3276">
        <v>116</v>
      </c>
      <c r="C3276" t="s">
        <v>568</v>
      </c>
      <c r="D3276" t="s">
        <v>2260</v>
      </c>
      <c r="E3276" t="s">
        <v>3115</v>
      </c>
      <c r="F3276" s="452">
        <v>46050</v>
      </c>
      <c r="G3276">
        <v>20466</v>
      </c>
      <c r="H3276" t="s">
        <v>4098</v>
      </c>
      <c r="I3276" t="s">
        <v>3469</v>
      </c>
      <c r="J3276">
        <v>1.4</v>
      </c>
      <c r="K3276" t="s">
        <v>3892</v>
      </c>
      <c r="L3276">
        <v>95.2</v>
      </c>
      <c r="M3276">
        <v>68</v>
      </c>
      <c r="N3276" t="s">
        <v>4403</v>
      </c>
      <c r="O3276" t="s">
        <v>461</v>
      </c>
    </row>
    <row r="3277" spans="1:15" x14ac:dyDescent="0.3">
      <c r="A3277">
        <v>203169</v>
      </c>
      <c r="B3277">
        <v>116</v>
      </c>
      <c r="C3277" t="s">
        <v>568</v>
      </c>
      <c r="D3277" t="s">
        <v>2260</v>
      </c>
      <c r="E3277" t="s">
        <v>3115</v>
      </c>
      <c r="F3277" s="452">
        <v>46050</v>
      </c>
      <c r="G3277">
        <v>20555</v>
      </c>
      <c r="H3277" t="s">
        <v>3959</v>
      </c>
      <c r="I3277" t="s">
        <v>3469</v>
      </c>
      <c r="J3277">
        <v>4.5999999999999996</v>
      </c>
      <c r="K3277" t="s">
        <v>3892</v>
      </c>
      <c r="L3277">
        <v>363.4</v>
      </c>
      <c r="M3277">
        <v>79</v>
      </c>
      <c r="N3277" t="s">
        <v>4403</v>
      </c>
      <c r="O3277" t="s">
        <v>461</v>
      </c>
    </row>
    <row r="3278" spans="1:15" x14ac:dyDescent="0.3">
      <c r="A3278">
        <v>203169</v>
      </c>
      <c r="B3278">
        <v>116</v>
      </c>
      <c r="C3278" t="s">
        <v>568</v>
      </c>
      <c r="D3278" t="s">
        <v>2260</v>
      </c>
      <c r="E3278" t="s">
        <v>3115</v>
      </c>
      <c r="F3278" s="452">
        <v>46050</v>
      </c>
      <c r="G3278">
        <v>24200</v>
      </c>
      <c r="H3278" t="s">
        <v>3975</v>
      </c>
      <c r="I3278" t="s">
        <v>3469</v>
      </c>
      <c r="J3278">
        <v>5.0999999999999996</v>
      </c>
      <c r="K3278" t="s">
        <v>3892</v>
      </c>
      <c r="L3278">
        <v>167.79</v>
      </c>
      <c r="M3278">
        <v>32.9</v>
      </c>
      <c r="N3278" t="s">
        <v>4403</v>
      </c>
      <c r="O3278" t="s">
        <v>461</v>
      </c>
    </row>
    <row r="3279" spans="1:15" x14ac:dyDescent="0.3">
      <c r="A3279">
        <v>203169</v>
      </c>
      <c r="B3279">
        <v>116</v>
      </c>
      <c r="C3279" t="s">
        <v>568</v>
      </c>
      <c r="D3279" t="s">
        <v>2260</v>
      </c>
      <c r="E3279" t="s">
        <v>3115</v>
      </c>
      <c r="F3279" s="452">
        <v>46050</v>
      </c>
      <c r="G3279">
        <v>22734</v>
      </c>
      <c r="H3279" t="s">
        <v>3955</v>
      </c>
      <c r="I3279" t="s">
        <v>3469</v>
      </c>
      <c r="J3279">
        <v>10</v>
      </c>
      <c r="K3279" t="s">
        <v>3892</v>
      </c>
      <c r="L3279">
        <v>990</v>
      </c>
      <c r="M3279">
        <v>99</v>
      </c>
      <c r="N3279" t="s">
        <v>4403</v>
      </c>
      <c r="O3279" t="s">
        <v>461</v>
      </c>
    </row>
    <row r="3280" spans="1:15" x14ac:dyDescent="0.3">
      <c r="A3280">
        <v>203169</v>
      </c>
      <c r="B3280">
        <v>116</v>
      </c>
      <c r="C3280" t="s">
        <v>568</v>
      </c>
      <c r="D3280" t="s">
        <v>2260</v>
      </c>
      <c r="E3280" t="s">
        <v>3115</v>
      </c>
      <c r="F3280" s="452">
        <v>46050</v>
      </c>
      <c r="G3280">
        <v>27884</v>
      </c>
      <c r="H3280" t="s">
        <v>3910</v>
      </c>
      <c r="I3280" t="s">
        <v>3469</v>
      </c>
      <c r="J3280">
        <v>10.199999999999999</v>
      </c>
      <c r="K3280" t="s">
        <v>3892</v>
      </c>
      <c r="L3280">
        <v>663</v>
      </c>
      <c r="M3280">
        <v>65</v>
      </c>
      <c r="N3280" t="s">
        <v>4403</v>
      </c>
      <c r="O3280" t="s">
        <v>461</v>
      </c>
    </row>
    <row r="3281" spans="1:15" x14ac:dyDescent="0.3">
      <c r="A3281">
        <v>203167</v>
      </c>
      <c r="B3281">
        <v>116</v>
      </c>
      <c r="C3281" t="s">
        <v>568</v>
      </c>
      <c r="D3281" t="s">
        <v>2267</v>
      </c>
      <c r="E3281" t="s">
        <v>3116</v>
      </c>
      <c r="F3281" s="452">
        <v>46042</v>
      </c>
      <c r="G3281">
        <v>24403</v>
      </c>
      <c r="H3281" t="s">
        <v>3992</v>
      </c>
      <c r="I3281" t="s">
        <v>3469</v>
      </c>
      <c r="J3281">
        <v>3</v>
      </c>
      <c r="K3281" t="s">
        <v>3892</v>
      </c>
      <c r="L3281">
        <v>38.97</v>
      </c>
      <c r="M3281">
        <v>12.99</v>
      </c>
      <c r="N3281" t="s">
        <v>4240</v>
      </c>
      <c r="O3281" t="s">
        <v>461</v>
      </c>
    </row>
    <row r="3282" spans="1:15" x14ac:dyDescent="0.3">
      <c r="A3282">
        <v>203167</v>
      </c>
      <c r="B3282">
        <v>116</v>
      </c>
      <c r="C3282" t="s">
        <v>568</v>
      </c>
      <c r="D3282" t="s">
        <v>2267</v>
      </c>
      <c r="E3282" t="s">
        <v>3116</v>
      </c>
      <c r="F3282" s="452">
        <v>46042</v>
      </c>
      <c r="G3282">
        <v>24517</v>
      </c>
      <c r="H3282" t="s">
        <v>3991</v>
      </c>
      <c r="I3282" t="s">
        <v>3469</v>
      </c>
      <c r="J3282">
        <v>9.4</v>
      </c>
      <c r="K3282" t="s">
        <v>3892</v>
      </c>
      <c r="L3282">
        <v>263.11</v>
      </c>
      <c r="M3282">
        <v>27.990425999999999</v>
      </c>
      <c r="N3282" t="s">
        <v>4240</v>
      </c>
      <c r="O3282" t="s">
        <v>461</v>
      </c>
    </row>
    <row r="3283" spans="1:15" x14ac:dyDescent="0.3">
      <c r="A3283">
        <v>203167</v>
      </c>
      <c r="B3283">
        <v>116</v>
      </c>
      <c r="C3283" t="s">
        <v>568</v>
      </c>
      <c r="D3283" t="s">
        <v>2267</v>
      </c>
      <c r="E3283" t="s">
        <v>3116</v>
      </c>
      <c r="F3283" s="452">
        <v>46042</v>
      </c>
      <c r="G3283">
        <v>24393</v>
      </c>
      <c r="H3283" t="s">
        <v>4039</v>
      </c>
      <c r="I3283" t="s">
        <v>3469</v>
      </c>
      <c r="J3283">
        <v>3.3</v>
      </c>
      <c r="K3283" t="s">
        <v>3892</v>
      </c>
      <c r="L3283">
        <v>46.17</v>
      </c>
      <c r="M3283">
        <v>13.990909</v>
      </c>
      <c r="N3283" t="s">
        <v>4240</v>
      </c>
      <c r="O3283" t="s">
        <v>461</v>
      </c>
    </row>
    <row r="3284" spans="1:15" x14ac:dyDescent="0.3">
      <c r="A3284">
        <v>203167</v>
      </c>
      <c r="B3284">
        <v>116</v>
      </c>
      <c r="C3284" t="s">
        <v>568</v>
      </c>
      <c r="D3284" t="s">
        <v>2267</v>
      </c>
      <c r="E3284" t="s">
        <v>3116</v>
      </c>
      <c r="F3284" s="452">
        <v>46042</v>
      </c>
      <c r="G3284">
        <v>18666</v>
      </c>
      <c r="H3284" t="s">
        <v>4003</v>
      </c>
      <c r="I3284" t="s">
        <v>3469</v>
      </c>
      <c r="J3284">
        <v>3.5</v>
      </c>
      <c r="K3284" t="s">
        <v>3892</v>
      </c>
      <c r="L3284">
        <v>83.96</v>
      </c>
      <c r="M3284">
        <v>23.988571</v>
      </c>
      <c r="N3284" t="s">
        <v>4240</v>
      </c>
      <c r="O3284" t="s">
        <v>461</v>
      </c>
    </row>
    <row r="3285" spans="1:15" x14ac:dyDescent="0.3">
      <c r="A3285">
        <v>203167</v>
      </c>
      <c r="B3285">
        <v>116</v>
      </c>
      <c r="C3285" t="s">
        <v>568</v>
      </c>
      <c r="D3285" t="s">
        <v>2267</v>
      </c>
      <c r="E3285" t="s">
        <v>3116</v>
      </c>
      <c r="F3285" s="452">
        <v>46042</v>
      </c>
      <c r="G3285">
        <v>18682</v>
      </c>
      <c r="H3285" t="s">
        <v>4025</v>
      </c>
      <c r="I3285" t="s">
        <v>3469</v>
      </c>
      <c r="J3285">
        <v>6</v>
      </c>
      <c r="K3285" t="s">
        <v>3892</v>
      </c>
      <c r="L3285">
        <v>167.94</v>
      </c>
      <c r="M3285">
        <v>27.99</v>
      </c>
      <c r="N3285" t="s">
        <v>4240</v>
      </c>
      <c r="O3285" t="s">
        <v>461</v>
      </c>
    </row>
    <row r="3286" spans="1:15" x14ac:dyDescent="0.3">
      <c r="A3286">
        <v>203167</v>
      </c>
      <c r="B3286">
        <v>116</v>
      </c>
      <c r="C3286" t="s">
        <v>568</v>
      </c>
      <c r="D3286" t="s">
        <v>2267</v>
      </c>
      <c r="E3286" t="s">
        <v>3116</v>
      </c>
      <c r="F3286" s="452">
        <v>46042</v>
      </c>
      <c r="G3286">
        <v>18696</v>
      </c>
      <c r="H3286" t="s">
        <v>3956</v>
      </c>
      <c r="I3286" t="s">
        <v>3469</v>
      </c>
      <c r="J3286">
        <v>5.7</v>
      </c>
      <c r="K3286" t="s">
        <v>3892</v>
      </c>
      <c r="L3286">
        <v>102.54</v>
      </c>
      <c r="M3286">
        <v>17.989474000000001</v>
      </c>
      <c r="N3286" t="s">
        <v>4240</v>
      </c>
      <c r="O3286" t="s">
        <v>461</v>
      </c>
    </row>
    <row r="3287" spans="1:15" x14ac:dyDescent="0.3">
      <c r="A3287">
        <v>203167</v>
      </c>
      <c r="B3287">
        <v>116</v>
      </c>
      <c r="C3287" t="s">
        <v>568</v>
      </c>
      <c r="D3287" t="s">
        <v>2267</v>
      </c>
      <c r="E3287" t="s">
        <v>3116</v>
      </c>
      <c r="F3287" s="452">
        <v>46042</v>
      </c>
      <c r="G3287">
        <v>20549</v>
      </c>
      <c r="H3287" t="s">
        <v>4007</v>
      </c>
      <c r="I3287" t="s">
        <v>3469</v>
      </c>
      <c r="J3287">
        <v>7.6</v>
      </c>
      <c r="K3287" t="s">
        <v>3892</v>
      </c>
      <c r="L3287">
        <v>151.91999999999999</v>
      </c>
      <c r="M3287">
        <v>19.989474000000001</v>
      </c>
      <c r="N3287" t="s">
        <v>4240</v>
      </c>
      <c r="O3287" t="s">
        <v>461</v>
      </c>
    </row>
    <row r="3288" spans="1:15" x14ac:dyDescent="0.3">
      <c r="A3288">
        <v>203164</v>
      </c>
      <c r="B3288">
        <v>116</v>
      </c>
      <c r="C3288" t="s">
        <v>568</v>
      </c>
      <c r="D3288" t="s">
        <v>2267</v>
      </c>
      <c r="E3288" t="s">
        <v>3117</v>
      </c>
      <c r="F3288" s="452">
        <v>46048</v>
      </c>
      <c r="G3288">
        <v>24517</v>
      </c>
      <c r="H3288" t="s">
        <v>3991</v>
      </c>
      <c r="I3288" t="s">
        <v>3469</v>
      </c>
      <c r="J3288">
        <v>15</v>
      </c>
      <c r="K3288" t="s">
        <v>3892</v>
      </c>
      <c r="L3288">
        <v>419.85</v>
      </c>
      <c r="M3288">
        <v>27.99</v>
      </c>
      <c r="N3288" t="s">
        <v>4240</v>
      </c>
      <c r="O3288" t="s">
        <v>461</v>
      </c>
    </row>
    <row r="3289" spans="1:15" x14ac:dyDescent="0.3">
      <c r="A3289">
        <v>203163</v>
      </c>
      <c r="B3289">
        <v>116</v>
      </c>
      <c r="C3289" t="s">
        <v>568</v>
      </c>
      <c r="D3289" t="s">
        <v>2361</v>
      </c>
      <c r="E3289" t="s">
        <v>3118</v>
      </c>
      <c r="F3289" s="452">
        <v>46049</v>
      </c>
      <c r="G3289">
        <v>26627</v>
      </c>
      <c r="H3289" t="s">
        <v>4237</v>
      </c>
      <c r="I3289" t="s">
        <v>3469</v>
      </c>
      <c r="J3289">
        <v>20</v>
      </c>
      <c r="K3289" t="s">
        <v>3892</v>
      </c>
      <c r="L3289">
        <v>158</v>
      </c>
      <c r="M3289">
        <v>7.9</v>
      </c>
      <c r="N3289" t="s">
        <v>4404</v>
      </c>
      <c r="O3289" t="s">
        <v>461</v>
      </c>
    </row>
    <row r="3290" spans="1:15" x14ac:dyDescent="0.3">
      <c r="A3290">
        <v>203162</v>
      </c>
      <c r="B3290">
        <v>116</v>
      </c>
      <c r="C3290" t="s">
        <v>568</v>
      </c>
      <c r="D3290" t="s">
        <v>2265</v>
      </c>
      <c r="E3290" t="s">
        <v>3119</v>
      </c>
      <c r="F3290" s="452">
        <v>46049</v>
      </c>
      <c r="G3290">
        <v>17437</v>
      </c>
      <c r="H3290" t="s">
        <v>4198</v>
      </c>
      <c r="I3290" t="s">
        <v>4199</v>
      </c>
      <c r="J3290">
        <v>10</v>
      </c>
      <c r="K3290" t="s">
        <v>3872</v>
      </c>
      <c r="L3290">
        <v>25</v>
      </c>
      <c r="M3290">
        <v>2.5</v>
      </c>
      <c r="N3290" t="s">
        <v>2176</v>
      </c>
      <c r="O3290" t="s">
        <v>461</v>
      </c>
    </row>
    <row r="3291" spans="1:15" x14ac:dyDescent="0.3">
      <c r="A3291">
        <v>203162</v>
      </c>
      <c r="B3291">
        <v>116</v>
      </c>
      <c r="C3291" t="s">
        <v>568</v>
      </c>
      <c r="D3291" t="s">
        <v>2265</v>
      </c>
      <c r="E3291" t="s">
        <v>3119</v>
      </c>
      <c r="F3291" s="452">
        <v>46049</v>
      </c>
      <c r="G3291">
        <v>17342</v>
      </c>
      <c r="H3291" t="s">
        <v>4208</v>
      </c>
      <c r="I3291" t="s">
        <v>4199</v>
      </c>
      <c r="J3291">
        <v>1</v>
      </c>
      <c r="K3291" t="s">
        <v>3931</v>
      </c>
      <c r="L3291">
        <v>34.229999999999997</v>
      </c>
      <c r="M3291">
        <v>34.229999999999997</v>
      </c>
      <c r="N3291" t="s">
        <v>2176</v>
      </c>
      <c r="O3291" t="s">
        <v>461</v>
      </c>
    </row>
    <row r="3292" spans="1:15" x14ac:dyDescent="0.3">
      <c r="A3292">
        <v>203162</v>
      </c>
      <c r="B3292">
        <v>116</v>
      </c>
      <c r="C3292" t="s">
        <v>568</v>
      </c>
      <c r="D3292" t="s">
        <v>2265</v>
      </c>
      <c r="E3292" t="s">
        <v>3119</v>
      </c>
      <c r="F3292" s="452">
        <v>46049</v>
      </c>
      <c r="G3292">
        <v>17215</v>
      </c>
      <c r="H3292" t="s">
        <v>4283</v>
      </c>
      <c r="I3292" t="s">
        <v>4199</v>
      </c>
      <c r="J3292">
        <v>5</v>
      </c>
      <c r="K3292" t="s">
        <v>3978</v>
      </c>
      <c r="L3292">
        <v>100</v>
      </c>
      <c r="M3292">
        <v>20</v>
      </c>
      <c r="N3292" t="s">
        <v>2176</v>
      </c>
      <c r="O3292" t="s">
        <v>461</v>
      </c>
    </row>
    <row r="3293" spans="1:15" x14ac:dyDescent="0.3">
      <c r="A3293">
        <v>203162</v>
      </c>
      <c r="B3293">
        <v>116</v>
      </c>
      <c r="C3293" t="s">
        <v>568</v>
      </c>
      <c r="D3293" t="s">
        <v>2265</v>
      </c>
      <c r="E3293" t="s">
        <v>3119</v>
      </c>
      <c r="F3293" s="452">
        <v>46049</v>
      </c>
      <c r="G3293">
        <v>17304</v>
      </c>
      <c r="H3293" t="s">
        <v>4206</v>
      </c>
      <c r="I3293" t="s">
        <v>4199</v>
      </c>
      <c r="J3293">
        <v>1</v>
      </c>
      <c r="K3293" t="s">
        <v>3978</v>
      </c>
      <c r="L3293">
        <v>7.1</v>
      </c>
      <c r="M3293">
        <v>7.1</v>
      </c>
      <c r="N3293" t="s">
        <v>2176</v>
      </c>
      <c r="O3293" t="s">
        <v>461</v>
      </c>
    </row>
    <row r="3294" spans="1:15" x14ac:dyDescent="0.3">
      <c r="A3294">
        <v>203162</v>
      </c>
      <c r="B3294">
        <v>116</v>
      </c>
      <c r="C3294" t="s">
        <v>568</v>
      </c>
      <c r="D3294" t="s">
        <v>2265</v>
      </c>
      <c r="E3294" t="s">
        <v>3119</v>
      </c>
      <c r="F3294" s="452">
        <v>46049</v>
      </c>
      <c r="G3294">
        <v>17416</v>
      </c>
      <c r="H3294" t="s">
        <v>4205</v>
      </c>
      <c r="I3294" t="s">
        <v>4199</v>
      </c>
      <c r="J3294">
        <v>2</v>
      </c>
      <c r="K3294" t="s">
        <v>3881</v>
      </c>
      <c r="L3294">
        <v>97.16</v>
      </c>
      <c r="M3294">
        <v>48.58</v>
      </c>
      <c r="N3294" t="s">
        <v>2176</v>
      </c>
      <c r="O3294" t="s">
        <v>461</v>
      </c>
    </row>
    <row r="3295" spans="1:15" x14ac:dyDescent="0.3">
      <c r="A3295">
        <v>203161</v>
      </c>
      <c r="B3295">
        <v>116</v>
      </c>
      <c r="C3295" t="s">
        <v>568</v>
      </c>
      <c r="D3295" t="s">
        <v>2265</v>
      </c>
      <c r="E3295" t="s">
        <v>3120</v>
      </c>
      <c r="F3295" s="452">
        <v>46050</v>
      </c>
      <c r="G3295">
        <v>28386</v>
      </c>
      <c r="H3295" t="s">
        <v>4245</v>
      </c>
      <c r="I3295" t="s">
        <v>4199</v>
      </c>
      <c r="J3295">
        <v>1</v>
      </c>
      <c r="K3295" t="s">
        <v>4203</v>
      </c>
      <c r="L3295">
        <v>45</v>
      </c>
      <c r="M3295">
        <v>45</v>
      </c>
      <c r="N3295" t="s">
        <v>2176</v>
      </c>
      <c r="O3295" t="s">
        <v>461</v>
      </c>
    </row>
    <row r="3296" spans="1:15" x14ac:dyDescent="0.3">
      <c r="A3296">
        <v>203159</v>
      </c>
      <c r="B3296">
        <v>116</v>
      </c>
      <c r="C3296" t="s">
        <v>568</v>
      </c>
      <c r="D3296" t="s">
        <v>2271</v>
      </c>
      <c r="E3296" t="s">
        <v>3121</v>
      </c>
      <c r="F3296" s="452">
        <v>46036</v>
      </c>
      <c r="G3296">
        <v>18295</v>
      </c>
      <c r="H3296" t="s">
        <v>4030</v>
      </c>
      <c r="I3296" t="s">
        <v>3497</v>
      </c>
      <c r="J3296">
        <v>1</v>
      </c>
      <c r="K3296" t="s">
        <v>3878</v>
      </c>
      <c r="L3296">
        <v>123.4</v>
      </c>
      <c r="M3296">
        <v>123.4</v>
      </c>
      <c r="N3296" t="s">
        <v>4276</v>
      </c>
      <c r="O3296" t="s">
        <v>461</v>
      </c>
    </row>
    <row r="3297" spans="1:15" x14ac:dyDescent="0.3">
      <c r="A3297">
        <v>203159</v>
      </c>
      <c r="B3297">
        <v>116</v>
      </c>
      <c r="C3297" t="s">
        <v>568</v>
      </c>
      <c r="D3297" t="s">
        <v>2271</v>
      </c>
      <c r="E3297" t="s">
        <v>3121</v>
      </c>
      <c r="F3297" s="452">
        <v>46036</v>
      </c>
      <c r="G3297">
        <v>18172</v>
      </c>
      <c r="H3297" t="s">
        <v>3923</v>
      </c>
      <c r="I3297" t="s">
        <v>3497</v>
      </c>
      <c r="J3297">
        <v>6</v>
      </c>
      <c r="K3297" t="s">
        <v>3878</v>
      </c>
      <c r="L3297">
        <v>188.4</v>
      </c>
      <c r="M3297">
        <v>31.4</v>
      </c>
      <c r="N3297" t="s">
        <v>4276</v>
      </c>
      <c r="O3297" t="s">
        <v>461</v>
      </c>
    </row>
    <row r="3298" spans="1:15" x14ac:dyDescent="0.3">
      <c r="A3298">
        <v>203156</v>
      </c>
      <c r="B3298">
        <v>116</v>
      </c>
      <c r="C3298" t="s">
        <v>568</v>
      </c>
      <c r="D3298" t="s">
        <v>3122</v>
      </c>
      <c r="E3298" t="s">
        <v>3123</v>
      </c>
      <c r="F3298" s="452">
        <v>46049</v>
      </c>
      <c r="G3298">
        <v>17129</v>
      </c>
      <c r="H3298" t="s">
        <v>4200</v>
      </c>
      <c r="I3298" t="s">
        <v>4199</v>
      </c>
      <c r="J3298">
        <v>1</v>
      </c>
      <c r="K3298" t="s">
        <v>3888</v>
      </c>
      <c r="L3298">
        <v>27.9</v>
      </c>
      <c r="M3298">
        <v>27.9</v>
      </c>
      <c r="N3298" t="s">
        <v>4405</v>
      </c>
      <c r="O3298" t="s">
        <v>461</v>
      </c>
    </row>
    <row r="3299" spans="1:15" x14ac:dyDescent="0.3">
      <c r="A3299">
        <v>203156</v>
      </c>
      <c r="B3299">
        <v>116</v>
      </c>
      <c r="C3299" t="s">
        <v>568</v>
      </c>
      <c r="D3299" t="s">
        <v>3122</v>
      </c>
      <c r="E3299" t="s">
        <v>3123</v>
      </c>
      <c r="F3299" s="452">
        <v>46049</v>
      </c>
      <c r="G3299">
        <v>17185</v>
      </c>
      <c r="H3299" t="s">
        <v>4210</v>
      </c>
      <c r="I3299" t="s">
        <v>4199</v>
      </c>
      <c r="J3299">
        <v>1</v>
      </c>
      <c r="K3299" t="s">
        <v>3978</v>
      </c>
      <c r="L3299">
        <v>15.1</v>
      </c>
      <c r="M3299">
        <v>15.1</v>
      </c>
      <c r="N3299" t="s">
        <v>4405</v>
      </c>
      <c r="O3299" t="s">
        <v>461</v>
      </c>
    </row>
    <row r="3300" spans="1:15" x14ac:dyDescent="0.3">
      <c r="A3300">
        <v>203156</v>
      </c>
      <c r="B3300">
        <v>116</v>
      </c>
      <c r="C3300" t="s">
        <v>568</v>
      </c>
      <c r="D3300" t="s">
        <v>3122</v>
      </c>
      <c r="E3300" t="s">
        <v>3123</v>
      </c>
      <c r="F3300" s="452">
        <v>46049</v>
      </c>
      <c r="G3300">
        <v>17190</v>
      </c>
      <c r="H3300" t="s">
        <v>4271</v>
      </c>
      <c r="I3300" t="s">
        <v>4199</v>
      </c>
      <c r="J3300">
        <v>4</v>
      </c>
      <c r="K3300" t="s">
        <v>3888</v>
      </c>
      <c r="L3300">
        <v>32.24</v>
      </c>
      <c r="M3300">
        <v>8.06</v>
      </c>
      <c r="N3300" t="s">
        <v>4405</v>
      </c>
      <c r="O3300" t="s">
        <v>461</v>
      </c>
    </row>
    <row r="3301" spans="1:15" x14ac:dyDescent="0.3">
      <c r="A3301">
        <v>203156</v>
      </c>
      <c r="B3301">
        <v>116</v>
      </c>
      <c r="C3301" t="s">
        <v>568</v>
      </c>
      <c r="D3301" t="s">
        <v>3122</v>
      </c>
      <c r="E3301" t="s">
        <v>3123</v>
      </c>
      <c r="F3301" s="452">
        <v>46049</v>
      </c>
      <c r="G3301">
        <v>17314</v>
      </c>
      <c r="H3301" t="s">
        <v>4204</v>
      </c>
      <c r="I3301" t="s">
        <v>4199</v>
      </c>
      <c r="J3301">
        <v>2</v>
      </c>
      <c r="K3301" t="s">
        <v>3978</v>
      </c>
      <c r="L3301">
        <v>12.98</v>
      </c>
      <c r="M3301">
        <v>6.49</v>
      </c>
      <c r="N3301" t="s">
        <v>4405</v>
      </c>
      <c r="O3301" t="s">
        <v>461</v>
      </c>
    </row>
    <row r="3302" spans="1:15" x14ac:dyDescent="0.3">
      <c r="A3302">
        <v>203156</v>
      </c>
      <c r="B3302">
        <v>116</v>
      </c>
      <c r="C3302" t="s">
        <v>568</v>
      </c>
      <c r="D3302" t="s">
        <v>3122</v>
      </c>
      <c r="E3302" t="s">
        <v>3123</v>
      </c>
      <c r="F3302" s="452">
        <v>46049</v>
      </c>
      <c r="G3302">
        <v>17017</v>
      </c>
      <c r="H3302" t="s">
        <v>4230</v>
      </c>
      <c r="I3302" t="s">
        <v>4199</v>
      </c>
      <c r="J3302">
        <v>2</v>
      </c>
      <c r="K3302" t="s">
        <v>3888</v>
      </c>
      <c r="L3302">
        <v>5.9</v>
      </c>
      <c r="M3302">
        <v>2.95</v>
      </c>
      <c r="N3302" t="s">
        <v>4405</v>
      </c>
      <c r="O3302" t="s">
        <v>461</v>
      </c>
    </row>
    <row r="3303" spans="1:15" x14ac:dyDescent="0.3">
      <c r="A3303">
        <v>203156</v>
      </c>
      <c r="B3303">
        <v>116</v>
      </c>
      <c r="C3303" t="s">
        <v>568</v>
      </c>
      <c r="D3303" t="s">
        <v>3122</v>
      </c>
      <c r="E3303" t="s">
        <v>3123</v>
      </c>
      <c r="F3303" s="452">
        <v>46049</v>
      </c>
      <c r="G3303">
        <v>21783</v>
      </c>
      <c r="H3303" t="s">
        <v>4228</v>
      </c>
      <c r="I3303" t="s">
        <v>4202</v>
      </c>
      <c r="J3303">
        <v>2</v>
      </c>
      <c r="K3303" t="s">
        <v>3872</v>
      </c>
      <c r="L3303">
        <v>21.9</v>
      </c>
      <c r="M3303">
        <v>10.95</v>
      </c>
      <c r="N3303" t="s">
        <v>4405</v>
      </c>
      <c r="O3303" t="s">
        <v>461</v>
      </c>
    </row>
    <row r="3304" spans="1:15" x14ac:dyDescent="0.3">
      <c r="A3304">
        <v>203156</v>
      </c>
      <c r="B3304">
        <v>116</v>
      </c>
      <c r="C3304" t="s">
        <v>568</v>
      </c>
      <c r="D3304" t="s">
        <v>3122</v>
      </c>
      <c r="E3304" t="s">
        <v>3123</v>
      </c>
      <c r="F3304" s="452">
        <v>46049</v>
      </c>
      <c r="G3304">
        <v>17444</v>
      </c>
      <c r="H3304" t="s">
        <v>4211</v>
      </c>
      <c r="I3304" t="s">
        <v>4199</v>
      </c>
      <c r="J3304">
        <v>1</v>
      </c>
      <c r="K3304" t="s">
        <v>3888</v>
      </c>
      <c r="L3304">
        <v>15.1</v>
      </c>
      <c r="M3304">
        <v>15.1</v>
      </c>
      <c r="N3304" t="s">
        <v>4405</v>
      </c>
      <c r="O3304" t="s">
        <v>461</v>
      </c>
    </row>
    <row r="3305" spans="1:15" x14ac:dyDescent="0.3">
      <c r="A3305">
        <v>203156</v>
      </c>
      <c r="B3305">
        <v>116</v>
      </c>
      <c r="C3305" t="s">
        <v>568</v>
      </c>
      <c r="D3305" t="s">
        <v>3122</v>
      </c>
      <c r="E3305" t="s">
        <v>3123</v>
      </c>
      <c r="F3305" s="452">
        <v>46049</v>
      </c>
      <c r="G3305">
        <v>17391</v>
      </c>
      <c r="H3305" t="s">
        <v>4406</v>
      </c>
      <c r="I3305" t="s">
        <v>4199</v>
      </c>
      <c r="J3305">
        <v>1</v>
      </c>
      <c r="K3305" t="s">
        <v>3888</v>
      </c>
      <c r="L3305">
        <v>63.9</v>
      </c>
      <c r="M3305">
        <v>63.9</v>
      </c>
      <c r="N3305" t="s">
        <v>4405</v>
      </c>
      <c r="O3305" t="s">
        <v>461</v>
      </c>
    </row>
    <row r="3306" spans="1:15" x14ac:dyDescent="0.3">
      <c r="A3306">
        <v>198842</v>
      </c>
      <c r="B3306">
        <v>116</v>
      </c>
      <c r="C3306" t="s">
        <v>568</v>
      </c>
      <c r="D3306" t="s">
        <v>2277</v>
      </c>
      <c r="E3306" t="s">
        <v>3124</v>
      </c>
      <c r="F3306" s="452">
        <v>46023</v>
      </c>
      <c r="G3306">
        <v>20976</v>
      </c>
      <c r="H3306" t="s">
        <v>4062</v>
      </c>
      <c r="I3306" t="s">
        <v>3469</v>
      </c>
      <c r="J3306">
        <v>1</v>
      </c>
      <c r="K3306" t="s">
        <v>4291</v>
      </c>
      <c r="L3306">
        <v>189.88</v>
      </c>
      <c r="M3306">
        <v>189.88</v>
      </c>
      <c r="N3306" t="s">
        <v>4407</v>
      </c>
      <c r="O3306" t="s">
        <v>461</v>
      </c>
    </row>
    <row r="3307" spans="1:15" x14ac:dyDescent="0.3">
      <c r="A3307">
        <v>198842</v>
      </c>
      <c r="B3307">
        <v>116</v>
      </c>
      <c r="C3307" t="s">
        <v>568</v>
      </c>
      <c r="D3307" t="s">
        <v>2277</v>
      </c>
      <c r="E3307" t="s">
        <v>3124</v>
      </c>
      <c r="F3307" s="452">
        <v>46023</v>
      </c>
      <c r="G3307">
        <v>21024</v>
      </c>
      <c r="H3307" t="s">
        <v>4180</v>
      </c>
      <c r="I3307" t="s">
        <v>3469</v>
      </c>
      <c r="J3307">
        <v>2</v>
      </c>
      <c r="K3307" t="s">
        <v>3966</v>
      </c>
      <c r="L3307">
        <v>353</v>
      </c>
      <c r="M3307">
        <v>176.5</v>
      </c>
      <c r="N3307" t="s">
        <v>4407</v>
      </c>
      <c r="O3307" t="s">
        <v>461</v>
      </c>
    </row>
    <row r="3308" spans="1:15" x14ac:dyDescent="0.3">
      <c r="A3308">
        <v>198108</v>
      </c>
      <c r="B3308">
        <v>116</v>
      </c>
      <c r="C3308" t="s">
        <v>568</v>
      </c>
      <c r="D3308" t="s">
        <v>2286</v>
      </c>
      <c r="E3308" t="s">
        <v>3125</v>
      </c>
      <c r="F3308" s="452">
        <v>46044</v>
      </c>
      <c r="G3308">
        <v>24083</v>
      </c>
      <c r="H3308" t="s">
        <v>3898</v>
      </c>
      <c r="I3308" t="s">
        <v>3469</v>
      </c>
      <c r="J3308">
        <v>25</v>
      </c>
      <c r="K3308" t="s">
        <v>3892</v>
      </c>
      <c r="L3308">
        <v>99.75</v>
      </c>
      <c r="M3308">
        <v>3.99</v>
      </c>
      <c r="N3308" t="s">
        <v>3469</v>
      </c>
      <c r="O3308" t="s">
        <v>461</v>
      </c>
    </row>
    <row r="3309" spans="1:15" x14ac:dyDescent="0.3">
      <c r="A3309">
        <v>198108</v>
      </c>
      <c r="B3309">
        <v>116</v>
      </c>
      <c r="C3309" t="s">
        <v>568</v>
      </c>
      <c r="D3309" t="s">
        <v>2286</v>
      </c>
      <c r="E3309" t="s">
        <v>3125</v>
      </c>
      <c r="F3309" s="452">
        <v>46044</v>
      </c>
      <c r="G3309">
        <v>19623</v>
      </c>
      <c r="H3309" t="s">
        <v>3984</v>
      </c>
      <c r="I3309" t="s">
        <v>3469</v>
      </c>
      <c r="J3309">
        <v>3</v>
      </c>
      <c r="K3309" t="s">
        <v>3892</v>
      </c>
      <c r="L3309">
        <v>10.95</v>
      </c>
      <c r="M3309">
        <v>3.65</v>
      </c>
      <c r="N3309" t="s">
        <v>3469</v>
      </c>
      <c r="O3309" t="s">
        <v>461</v>
      </c>
    </row>
    <row r="3310" spans="1:15" x14ac:dyDescent="0.3">
      <c r="A3310">
        <v>198108</v>
      </c>
      <c r="B3310">
        <v>116</v>
      </c>
      <c r="C3310" t="s">
        <v>568</v>
      </c>
      <c r="D3310" t="s">
        <v>2286</v>
      </c>
      <c r="E3310" t="s">
        <v>3125</v>
      </c>
      <c r="F3310" s="452">
        <v>46044</v>
      </c>
      <c r="G3310">
        <v>19506</v>
      </c>
      <c r="H3310" t="s">
        <v>4112</v>
      </c>
      <c r="I3310" t="s">
        <v>3469</v>
      </c>
      <c r="J3310">
        <v>0.2</v>
      </c>
      <c r="K3310" t="s">
        <v>3892</v>
      </c>
      <c r="L3310">
        <v>8</v>
      </c>
      <c r="M3310">
        <v>40</v>
      </c>
      <c r="N3310" t="s">
        <v>3469</v>
      </c>
      <c r="O3310" t="s">
        <v>461</v>
      </c>
    </row>
    <row r="3311" spans="1:15" x14ac:dyDescent="0.3">
      <c r="A3311">
        <v>198108</v>
      </c>
      <c r="B3311">
        <v>116</v>
      </c>
      <c r="C3311" t="s">
        <v>568</v>
      </c>
      <c r="D3311" t="s">
        <v>2286</v>
      </c>
      <c r="E3311" t="s">
        <v>3125</v>
      </c>
      <c r="F3311" s="452">
        <v>46044</v>
      </c>
      <c r="G3311">
        <v>24509</v>
      </c>
      <c r="H3311" t="s">
        <v>3906</v>
      </c>
      <c r="I3311" t="s">
        <v>3469</v>
      </c>
      <c r="J3311">
        <v>10</v>
      </c>
      <c r="K3311" t="s">
        <v>3892</v>
      </c>
      <c r="L3311">
        <v>18</v>
      </c>
      <c r="M3311">
        <v>1.8</v>
      </c>
      <c r="N3311" t="s">
        <v>3469</v>
      </c>
      <c r="O3311" t="s">
        <v>461</v>
      </c>
    </row>
    <row r="3312" spans="1:15" x14ac:dyDescent="0.3">
      <c r="A3312">
        <v>198108</v>
      </c>
      <c r="B3312">
        <v>116</v>
      </c>
      <c r="C3312" t="s">
        <v>568</v>
      </c>
      <c r="D3312" t="s">
        <v>2286</v>
      </c>
      <c r="E3312" t="s">
        <v>3125</v>
      </c>
      <c r="F3312" s="452">
        <v>46044</v>
      </c>
      <c r="G3312">
        <v>19505</v>
      </c>
      <c r="H3312" t="s">
        <v>4101</v>
      </c>
      <c r="I3312" t="s">
        <v>3469</v>
      </c>
      <c r="J3312">
        <v>1</v>
      </c>
      <c r="K3312" t="s">
        <v>3892</v>
      </c>
      <c r="L3312">
        <v>12</v>
      </c>
      <c r="M3312">
        <v>12</v>
      </c>
      <c r="N3312" t="s">
        <v>3469</v>
      </c>
      <c r="O3312" t="s">
        <v>461</v>
      </c>
    </row>
    <row r="3313" spans="1:15" x14ac:dyDescent="0.3">
      <c r="A3313">
        <v>198108</v>
      </c>
      <c r="B3313">
        <v>116</v>
      </c>
      <c r="C3313" t="s">
        <v>568</v>
      </c>
      <c r="D3313" t="s">
        <v>2286</v>
      </c>
      <c r="E3313" t="s">
        <v>3125</v>
      </c>
      <c r="F3313" s="452">
        <v>46044</v>
      </c>
      <c r="G3313">
        <v>19553</v>
      </c>
      <c r="H3313" t="s">
        <v>4078</v>
      </c>
      <c r="I3313" t="s">
        <v>3469</v>
      </c>
      <c r="J3313">
        <v>1.5</v>
      </c>
      <c r="K3313" t="s">
        <v>3892</v>
      </c>
      <c r="L3313">
        <v>4.8</v>
      </c>
      <c r="M3313">
        <v>3.2</v>
      </c>
      <c r="N3313" t="s">
        <v>3469</v>
      </c>
      <c r="O3313" t="s">
        <v>461</v>
      </c>
    </row>
    <row r="3314" spans="1:15" x14ac:dyDescent="0.3">
      <c r="A3314">
        <v>198108</v>
      </c>
      <c r="B3314">
        <v>116</v>
      </c>
      <c r="C3314" t="s">
        <v>568</v>
      </c>
      <c r="D3314" t="s">
        <v>2286</v>
      </c>
      <c r="E3314" t="s">
        <v>3125</v>
      </c>
      <c r="F3314" s="452">
        <v>46044</v>
      </c>
      <c r="G3314">
        <v>19742</v>
      </c>
      <c r="H3314" t="s">
        <v>4074</v>
      </c>
      <c r="I3314" t="s">
        <v>3469</v>
      </c>
      <c r="J3314">
        <v>1</v>
      </c>
      <c r="K3314" t="s">
        <v>3892</v>
      </c>
      <c r="L3314">
        <v>9</v>
      </c>
      <c r="M3314">
        <v>9</v>
      </c>
      <c r="N3314" t="s">
        <v>3469</v>
      </c>
      <c r="O3314" t="s">
        <v>461</v>
      </c>
    </row>
    <row r="3315" spans="1:15" x14ac:dyDescent="0.3">
      <c r="A3315">
        <v>198108</v>
      </c>
      <c r="B3315">
        <v>116</v>
      </c>
      <c r="C3315" t="s">
        <v>568</v>
      </c>
      <c r="D3315" t="s">
        <v>2286</v>
      </c>
      <c r="E3315" t="s">
        <v>3125</v>
      </c>
      <c r="F3315" s="452">
        <v>46044</v>
      </c>
      <c r="G3315">
        <v>19499</v>
      </c>
      <c r="H3315" t="s">
        <v>4408</v>
      </c>
      <c r="I3315" t="s">
        <v>3469</v>
      </c>
      <c r="J3315">
        <v>1</v>
      </c>
      <c r="K3315" t="s">
        <v>3892</v>
      </c>
      <c r="L3315">
        <v>15</v>
      </c>
      <c r="M3315">
        <v>15</v>
      </c>
      <c r="N3315" t="s">
        <v>3469</v>
      </c>
      <c r="O3315" t="s">
        <v>461</v>
      </c>
    </row>
    <row r="3316" spans="1:15" x14ac:dyDescent="0.3">
      <c r="A3316">
        <v>198108</v>
      </c>
      <c r="B3316">
        <v>116</v>
      </c>
      <c r="C3316" t="s">
        <v>568</v>
      </c>
      <c r="D3316" t="s">
        <v>2286</v>
      </c>
      <c r="E3316" t="s">
        <v>3125</v>
      </c>
      <c r="F3316" s="452">
        <v>46044</v>
      </c>
      <c r="G3316">
        <v>23113</v>
      </c>
      <c r="H3316" t="s">
        <v>4079</v>
      </c>
      <c r="I3316" t="s">
        <v>3469</v>
      </c>
      <c r="J3316">
        <v>1.5</v>
      </c>
      <c r="K3316" t="s">
        <v>3892</v>
      </c>
      <c r="L3316">
        <v>13.5</v>
      </c>
      <c r="M3316">
        <v>9</v>
      </c>
      <c r="N3316" t="s">
        <v>3469</v>
      </c>
      <c r="O3316" t="s">
        <v>461</v>
      </c>
    </row>
    <row r="3317" spans="1:15" x14ac:dyDescent="0.3">
      <c r="A3317">
        <v>198108</v>
      </c>
      <c r="B3317">
        <v>116</v>
      </c>
      <c r="C3317" t="s">
        <v>568</v>
      </c>
      <c r="D3317" t="s">
        <v>2286</v>
      </c>
      <c r="E3317" t="s">
        <v>3125</v>
      </c>
      <c r="F3317" s="452">
        <v>46044</v>
      </c>
      <c r="G3317">
        <v>23120</v>
      </c>
      <c r="H3317" t="s">
        <v>4111</v>
      </c>
      <c r="I3317" t="s">
        <v>3469</v>
      </c>
      <c r="J3317">
        <v>0.2</v>
      </c>
      <c r="K3317" t="s">
        <v>3892</v>
      </c>
      <c r="L3317">
        <v>13</v>
      </c>
      <c r="M3317">
        <v>65</v>
      </c>
      <c r="N3317" t="s">
        <v>3469</v>
      </c>
      <c r="O3317" t="s">
        <v>461</v>
      </c>
    </row>
    <row r="3318" spans="1:15" x14ac:dyDescent="0.3">
      <c r="A3318">
        <v>198108</v>
      </c>
      <c r="B3318">
        <v>116</v>
      </c>
      <c r="C3318" t="s">
        <v>568</v>
      </c>
      <c r="D3318" t="s">
        <v>2286</v>
      </c>
      <c r="E3318" t="s">
        <v>3125</v>
      </c>
      <c r="F3318" s="452">
        <v>46044</v>
      </c>
      <c r="G3318">
        <v>23171</v>
      </c>
      <c r="H3318" t="s">
        <v>4132</v>
      </c>
      <c r="I3318" t="s">
        <v>3469</v>
      </c>
      <c r="J3318">
        <v>3</v>
      </c>
      <c r="K3318" t="s">
        <v>3892</v>
      </c>
      <c r="L3318">
        <v>18</v>
      </c>
      <c r="M3318">
        <v>6</v>
      </c>
      <c r="N3318" t="s">
        <v>3469</v>
      </c>
      <c r="O3318" t="s">
        <v>461</v>
      </c>
    </row>
    <row r="3319" spans="1:15" x14ac:dyDescent="0.3">
      <c r="A3319">
        <v>198108</v>
      </c>
      <c r="B3319">
        <v>116</v>
      </c>
      <c r="C3319" t="s">
        <v>568</v>
      </c>
      <c r="D3319" t="s">
        <v>2286</v>
      </c>
      <c r="E3319" t="s">
        <v>3125</v>
      </c>
      <c r="F3319" s="452">
        <v>46044</v>
      </c>
      <c r="G3319">
        <v>23198</v>
      </c>
      <c r="H3319" t="s">
        <v>4167</v>
      </c>
      <c r="I3319" t="s">
        <v>3469</v>
      </c>
      <c r="J3319">
        <v>1</v>
      </c>
      <c r="K3319" t="s">
        <v>3892</v>
      </c>
      <c r="L3319">
        <v>8.5</v>
      </c>
      <c r="M3319">
        <v>8.5</v>
      </c>
      <c r="N3319" t="s">
        <v>3469</v>
      </c>
      <c r="O3319" t="s">
        <v>461</v>
      </c>
    </row>
    <row r="3320" spans="1:15" x14ac:dyDescent="0.3">
      <c r="A3320">
        <v>198108</v>
      </c>
      <c r="B3320">
        <v>116</v>
      </c>
      <c r="C3320" t="s">
        <v>568</v>
      </c>
      <c r="D3320" t="s">
        <v>2286</v>
      </c>
      <c r="E3320" t="s">
        <v>3125</v>
      </c>
      <c r="F3320" s="452">
        <v>46044</v>
      </c>
      <c r="G3320">
        <v>23236</v>
      </c>
      <c r="H3320" t="s">
        <v>4017</v>
      </c>
      <c r="I3320" t="s">
        <v>3469</v>
      </c>
      <c r="J3320">
        <v>4</v>
      </c>
      <c r="K3320" t="s">
        <v>3892</v>
      </c>
      <c r="L3320">
        <v>22</v>
      </c>
      <c r="M3320">
        <v>5.5</v>
      </c>
      <c r="N3320" t="s">
        <v>3469</v>
      </c>
      <c r="O3320" t="s">
        <v>461</v>
      </c>
    </row>
    <row r="3321" spans="1:15" x14ac:dyDescent="0.3">
      <c r="A3321">
        <v>198108</v>
      </c>
      <c r="B3321">
        <v>116</v>
      </c>
      <c r="C3321" t="s">
        <v>568</v>
      </c>
      <c r="D3321" t="s">
        <v>2286</v>
      </c>
      <c r="E3321" t="s">
        <v>3125</v>
      </c>
      <c r="F3321" s="452">
        <v>46044</v>
      </c>
      <c r="G3321">
        <v>23389</v>
      </c>
      <c r="H3321" t="s">
        <v>4016</v>
      </c>
      <c r="I3321" t="s">
        <v>3469</v>
      </c>
      <c r="J3321">
        <v>6</v>
      </c>
      <c r="K3321" t="s">
        <v>3892</v>
      </c>
      <c r="L3321">
        <v>30.6</v>
      </c>
      <c r="M3321">
        <v>5.0999999999999996</v>
      </c>
      <c r="N3321" t="s">
        <v>3469</v>
      </c>
      <c r="O3321" t="s">
        <v>461</v>
      </c>
    </row>
    <row r="3322" spans="1:15" x14ac:dyDescent="0.3">
      <c r="A3322">
        <v>198108</v>
      </c>
      <c r="B3322">
        <v>116</v>
      </c>
      <c r="C3322" t="s">
        <v>568</v>
      </c>
      <c r="D3322" t="s">
        <v>2286</v>
      </c>
      <c r="E3322" t="s">
        <v>3125</v>
      </c>
      <c r="F3322" s="452">
        <v>46044</v>
      </c>
      <c r="G3322">
        <v>23095</v>
      </c>
      <c r="H3322" t="s">
        <v>3882</v>
      </c>
      <c r="I3322" t="s">
        <v>3469</v>
      </c>
      <c r="J3322">
        <v>60</v>
      </c>
      <c r="K3322" t="s">
        <v>3872</v>
      </c>
      <c r="L3322">
        <v>55.8</v>
      </c>
      <c r="M3322">
        <v>0.93</v>
      </c>
      <c r="N3322" t="s">
        <v>3469</v>
      </c>
      <c r="O3322" t="s">
        <v>461</v>
      </c>
    </row>
    <row r="3323" spans="1:15" x14ac:dyDescent="0.3">
      <c r="A3323">
        <v>198108</v>
      </c>
      <c r="B3323">
        <v>116</v>
      </c>
      <c r="C3323" t="s">
        <v>568</v>
      </c>
      <c r="D3323" t="s">
        <v>2286</v>
      </c>
      <c r="E3323" t="s">
        <v>3125</v>
      </c>
      <c r="F3323" s="452">
        <v>46044</v>
      </c>
      <c r="G3323">
        <v>23361</v>
      </c>
      <c r="H3323" t="s">
        <v>4220</v>
      </c>
      <c r="I3323" t="s">
        <v>3469</v>
      </c>
      <c r="J3323">
        <v>18</v>
      </c>
      <c r="K3323" t="s">
        <v>3892</v>
      </c>
      <c r="L3323">
        <v>55.8</v>
      </c>
      <c r="M3323">
        <v>3.1</v>
      </c>
      <c r="N3323" t="s">
        <v>3469</v>
      </c>
      <c r="O3323" t="s">
        <v>461</v>
      </c>
    </row>
    <row r="3324" spans="1:15" x14ac:dyDescent="0.3">
      <c r="A3324">
        <v>198108</v>
      </c>
      <c r="B3324">
        <v>116</v>
      </c>
      <c r="C3324" t="s">
        <v>568</v>
      </c>
      <c r="D3324" t="s">
        <v>2286</v>
      </c>
      <c r="E3324" t="s">
        <v>3125</v>
      </c>
      <c r="F3324" s="452">
        <v>46044</v>
      </c>
      <c r="G3324">
        <v>24037</v>
      </c>
      <c r="H3324" t="s">
        <v>4104</v>
      </c>
      <c r="I3324" t="s">
        <v>3469</v>
      </c>
      <c r="J3324">
        <v>2</v>
      </c>
      <c r="K3324" t="s">
        <v>3892</v>
      </c>
      <c r="L3324">
        <v>41</v>
      </c>
      <c r="M3324">
        <v>20.5</v>
      </c>
      <c r="N3324" t="s">
        <v>3469</v>
      </c>
      <c r="O3324" t="s">
        <v>461</v>
      </c>
    </row>
    <row r="3325" spans="1:15" x14ac:dyDescent="0.3">
      <c r="A3325">
        <v>198108</v>
      </c>
      <c r="B3325">
        <v>116</v>
      </c>
      <c r="C3325" t="s">
        <v>568</v>
      </c>
      <c r="D3325" t="s">
        <v>2286</v>
      </c>
      <c r="E3325" t="s">
        <v>3125</v>
      </c>
      <c r="F3325" s="452">
        <v>46044</v>
      </c>
      <c r="G3325">
        <v>23142</v>
      </c>
      <c r="H3325" t="s">
        <v>4151</v>
      </c>
      <c r="I3325" t="s">
        <v>3469</v>
      </c>
      <c r="J3325">
        <v>1</v>
      </c>
      <c r="K3325" t="s">
        <v>3892</v>
      </c>
      <c r="L3325">
        <v>17</v>
      </c>
      <c r="M3325">
        <v>17</v>
      </c>
      <c r="N3325" t="s">
        <v>3469</v>
      </c>
      <c r="O3325" t="s">
        <v>461</v>
      </c>
    </row>
    <row r="3326" spans="1:15" x14ac:dyDescent="0.3">
      <c r="A3326">
        <v>197038</v>
      </c>
      <c r="B3326">
        <v>116</v>
      </c>
      <c r="C3326" t="s">
        <v>568</v>
      </c>
      <c r="D3326" t="s">
        <v>2260</v>
      </c>
      <c r="E3326" t="s">
        <v>3126</v>
      </c>
      <c r="F3326" s="452">
        <v>46041</v>
      </c>
      <c r="G3326">
        <v>24200</v>
      </c>
      <c r="H3326" t="s">
        <v>3975</v>
      </c>
      <c r="I3326" t="s">
        <v>3469</v>
      </c>
      <c r="J3326">
        <v>5.2</v>
      </c>
      <c r="K3326" t="s">
        <v>3892</v>
      </c>
      <c r="L3326">
        <v>171.08</v>
      </c>
      <c r="M3326">
        <v>32.9</v>
      </c>
      <c r="N3326" t="s">
        <v>3469</v>
      </c>
      <c r="O3326" t="s">
        <v>461</v>
      </c>
    </row>
    <row r="3327" spans="1:15" x14ac:dyDescent="0.3">
      <c r="A3327">
        <v>197038</v>
      </c>
      <c r="B3327">
        <v>116</v>
      </c>
      <c r="C3327" t="s">
        <v>568</v>
      </c>
      <c r="D3327" t="s">
        <v>2260</v>
      </c>
      <c r="E3327" t="s">
        <v>3126</v>
      </c>
      <c r="F3327" s="452">
        <v>46041</v>
      </c>
      <c r="G3327">
        <v>24072</v>
      </c>
      <c r="H3327" t="s">
        <v>4002</v>
      </c>
      <c r="I3327" t="s">
        <v>3469</v>
      </c>
      <c r="J3327">
        <v>3.2</v>
      </c>
      <c r="K3327" t="s">
        <v>3892</v>
      </c>
      <c r="L3327">
        <v>636.79999999999995</v>
      </c>
      <c r="M3327">
        <v>199</v>
      </c>
      <c r="N3327" t="s">
        <v>3469</v>
      </c>
      <c r="O3327" t="s">
        <v>461</v>
      </c>
    </row>
    <row r="3328" spans="1:15" x14ac:dyDescent="0.3">
      <c r="A3328">
        <v>197038</v>
      </c>
      <c r="B3328">
        <v>116</v>
      </c>
      <c r="C3328" t="s">
        <v>568</v>
      </c>
      <c r="D3328" t="s">
        <v>2260</v>
      </c>
      <c r="E3328" t="s">
        <v>3126</v>
      </c>
      <c r="F3328" s="452">
        <v>46041</v>
      </c>
      <c r="G3328">
        <v>22734</v>
      </c>
      <c r="H3328" t="s">
        <v>3955</v>
      </c>
      <c r="I3328" t="s">
        <v>3469</v>
      </c>
      <c r="J3328">
        <v>5.0999999999999996</v>
      </c>
      <c r="K3328" t="s">
        <v>3892</v>
      </c>
      <c r="L3328">
        <v>402.9</v>
      </c>
      <c r="M3328">
        <v>79</v>
      </c>
      <c r="N3328" t="s">
        <v>3469</v>
      </c>
      <c r="O3328" t="s">
        <v>461</v>
      </c>
    </row>
    <row r="3329" spans="1:15" x14ac:dyDescent="0.3">
      <c r="A3329">
        <v>197037</v>
      </c>
      <c r="B3329">
        <v>116</v>
      </c>
      <c r="C3329" t="s">
        <v>568</v>
      </c>
      <c r="D3329" t="s">
        <v>2260</v>
      </c>
      <c r="E3329" t="s">
        <v>3126</v>
      </c>
      <c r="F3329" s="452">
        <v>46041</v>
      </c>
      <c r="G3329">
        <v>24200</v>
      </c>
      <c r="H3329" t="s">
        <v>3975</v>
      </c>
      <c r="I3329" t="s">
        <v>3469</v>
      </c>
      <c r="J3329">
        <v>5.2</v>
      </c>
      <c r="K3329" t="s">
        <v>3892</v>
      </c>
      <c r="L3329">
        <v>171.08</v>
      </c>
      <c r="M3329">
        <v>32.9</v>
      </c>
      <c r="N3329" t="s">
        <v>3469</v>
      </c>
      <c r="O3329" t="s">
        <v>461</v>
      </c>
    </row>
    <row r="3330" spans="1:15" x14ac:dyDescent="0.3">
      <c r="A3330">
        <v>197037</v>
      </c>
      <c r="B3330">
        <v>116</v>
      </c>
      <c r="C3330" t="s">
        <v>568</v>
      </c>
      <c r="D3330" t="s">
        <v>2260</v>
      </c>
      <c r="E3330" t="s">
        <v>3126</v>
      </c>
      <c r="F3330" s="452">
        <v>46041</v>
      </c>
      <c r="G3330">
        <v>24072</v>
      </c>
      <c r="H3330" t="s">
        <v>4002</v>
      </c>
      <c r="I3330" t="s">
        <v>3469</v>
      </c>
      <c r="J3330">
        <v>3.2</v>
      </c>
      <c r="K3330" t="s">
        <v>3892</v>
      </c>
      <c r="L3330">
        <v>636.79999999999995</v>
      </c>
      <c r="M3330">
        <v>199</v>
      </c>
      <c r="N3330" t="s">
        <v>3469</v>
      </c>
      <c r="O3330" t="s">
        <v>461</v>
      </c>
    </row>
    <row r="3331" spans="1:15" x14ac:dyDescent="0.3">
      <c r="A3331">
        <v>197037</v>
      </c>
      <c r="B3331">
        <v>116</v>
      </c>
      <c r="C3331" t="s">
        <v>568</v>
      </c>
      <c r="D3331" t="s">
        <v>2260</v>
      </c>
      <c r="E3331" t="s">
        <v>3126</v>
      </c>
      <c r="F3331" s="452">
        <v>46041</v>
      </c>
      <c r="G3331">
        <v>22734</v>
      </c>
      <c r="H3331" t="s">
        <v>3955</v>
      </c>
      <c r="I3331" t="s">
        <v>3469</v>
      </c>
      <c r="J3331">
        <v>5.0999999999999996</v>
      </c>
      <c r="K3331" t="s">
        <v>3892</v>
      </c>
      <c r="L3331">
        <v>402.9</v>
      </c>
      <c r="M3331">
        <v>79</v>
      </c>
      <c r="N3331" t="s">
        <v>3469</v>
      </c>
      <c r="O3331" t="s">
        <v>461</v>
      </c>
    </row>
    <row r="3332" spans="1:15" x14ac:dyDescent="0.3">
      <c r="A3332">
        <v>197036</v>
      </c>
      <c r="B3332">
        <v>116</v>
      </c>
      <c r="C3332" t="s">
        <v>568</v>
      </c>
      <c r="D3332" t="s">
        <v>2260</v>
      </c>
      <c r="E3332" t="s">
        <v>3126</v>
      </c>
      <c r="F3332" s="452">
        <v>46041</v>
      </c>
      <c r="G3332">
        <v>24200</v>
      </c>
      <c r="H3332" t="s">
        <v>3975</v>
      </c>
      <c r="I3332" t="s">
        <v>3469</v>
      </c>
      <c r="J3332">
        <v>5.2</v>
      </c>
      <c r="K3332" t="s">
        <v>3892</v>
      </c>
      <c r="L3332">
        <v>171.08</v>
      </c>
      <c r="M3332">
        <v>32.9</v>
      </c>
      <c r="N3332" t="s">
        <v>3469</v>
      </c>
      <c r="O3332" t="s">
        <v>461</v>
      </c>
    </row>
    <row r="3333" spans="1:15" x14ac:dyDescent="0.3">
      <c r="A3333">
        <v>197036</v>
      </c>
      <c r="B3333">
        <v>116</v>
      </c>
      <c r="C3333" t="s">
        <v>568</v>
      </c>
      <c r="D3333" t="s">
        <v>2260</v>
      </c>
      <c r="E3333" t="s">
        <v>3126</v>
      </c>
      <c r="F3333" s="452">
        <v>46041</v>
      </c>
      <c r="G3333">
        <v>24072</v>
      </c>
      <c r="H3333" t="s">
        <v>4002</v>
      </c>
      <c r="I3333" t="s">
        <v>3469</v>
      </c>
      <c r="J3333">
        <v>3.2</v>
      </c>
      <c r="K3333" t="s">
        <v>3892</v>
      </c>
      <c r="L3333">
        <v>636.79999999999995</v>
      </c>
      <c r="M3333">
        <v>199</v>
      </c>
      <c r="N3333" t="s">
        <v>3469</v>
      </c>
      <c r="O3333" t="s">
        <v>461</v>
      </c>
    </row>
    <row r="3334" spans="1:15" x14ac:dyDescent="0.3">
      <c r="A3334">
        <v>197036</v>
      </c>
      <c r="B3334">
        <v>116</v>
      </c>
      <c r="C3334" t="s">
        <v>568</v>
      </c>
      <c r="D3334" t="s">
        <v>2260</v>
      </c>
      <c r="E3334" t="s">
        <v>3126</v>
      </c>
      <c r="F3334" s="452">
        <v>46041</v>
      </c>
      <c r="G3334">
        <v>22734</v>
      </c>
      <c r="H3334" t="s">
        <v>3955</v>
      </c>
      <c r="I3334" t="s">
        <v>3469</v>
      </c>
      <c r="J3334">
        <v>5.0999999999999996</v>
      </c>
      <c r="K3334" t="s">
        <v>3892</v>
      </c>
      <c r="L3334">
        <v>402.9</v>
      </c>
      <c r="M3334">
        <v>79</v>
      </c>
      <c r="N3334" t="s">
        <v>3469</v>
      </c>
      <c r="O3334" t="s">
        <v>461</v>
      </c>
    </row>
    <row r="3335" spans="1:15" x14ac:dyDescent="0.3">
      <c r="A3335">
        <v>197035</v>
      </c>
      <c r="B3335">
        <v>116</v>
      </c>
      <c r="C3335" t="s">
        <v>568</v>
      </c>
      <c r="D3335" t="s">
        <v>2260</v>
      </c>
      <c r="E3335" t="s">
        <v>3126</v>
      </c>
      <c r="F3335" s="452">
        <v>46041</v>
      </c>
      <c r="G3335">
        <v>24200</v>
      </c>
      <c r="H3335" t="s">
        <v>3975</v>
      </c>
      <c r="I3335" t="s">
        <v>3469</v>
      </c>
      <c r="J3335">
        <v>5.2</v>
      </c>
      <c r="K3335" t="s">
        <v>3892</v>
      </c>
      <c r="L3335">
        <v>171.08</v>
      </c>
      <c r="M3335">
        <v>32.9</v>
      </c>
      <c r="N3335" t="s">
        <v>3469</v>
      </c>
      <c r="O3335" t="s">
        <v>461</v>
      </c>
    </row>
    <row r="3336" spans="1:15" x14ac:dyDescent="0.3">
      <c r="A3336">
        <v>197035</v>
      </c>
      <c r="B3336">
        <v>116</v>
      </c>
      <c r="C3336" t="s">
        <v>568</v>
      </c>
      <c r="D3336" t="s">
        <v>2260</v>
      </c>
      <c r="E3336" t="s">
        <v>3126</v>
      </c>
      <c r="F3336" s="452">
        <v>46041</v>
      </c>
      <c r="G3336">
        <v>24072</v>
      </c>
      <c r="H3336" t="s">
        <v>4002</v>
      </c>
      <c r="I3336" t="s">
        <v>3469</v>
      </c>
      <c r="J3336">
        <v>3.2</v>
      </c>
      <c r="K3336" t="s">
        <v>3892</v>
      </c>
      <c r="L3336">
        <v>636.79999999999995</v>
      </c>
      <c r="M3336">
        <v>199</v>
      </c>
      <c r="N3336" t="s">
        <v>3469</v>
      </c>
      <c r="O3336" t="s">
        <v>461</v>
      </c>
    </row>
    <row r="3337" spans="1:15" x14ac:dyDescent="0.3">
      <c r="A3337">
        <v>197035</v>
      </c>
      <c r="B3337">
        <v>116</v>
      </c>
      <c r="C3337" t="s">
        <v>568</v>
      </c>
      <c r="D3337" t="s">
        <v>2260</v>
      </c>
      <c r="E3337" t="s">
        <v>3126</v>
      </c>
      <c r="F3337" s="452">
        <v>46041</v>
      </c>
      <c r="G3337">
        <v>22734</v>
      </c>
      <c r="H3337" t="s">
        <v>3955</v>
      </c>
      <c r="I3337" t="s">
        <v>3469</v>
      </c>
      <c r="J3337">
        <v>5.0999999999999996</v>
      </c>
      <c r="K3337" t="s">
        <v>3892</v>
      </c>
      <c r="L3337">
        <v>402.9</v>
      </c>
      <c r="M3337">
        <v>79</v>
      </c>
      <c r="N3337" t="s">
        <v>3469</v>
      </c>
      <c r="O3337" t="s">
        <v>461</v>
      </c>
    </row>
    <row r="3338" spans="1:15" x14ac:dyDescent="0.3">
      <c r="A3338">
        <v>197034</v>
      </c>
      <c r="B3338">
        <v>116</v>
      </c>
      <c r="C3338" t="s">
        <v>568</v>
      </c>
      <c r="D3338" t="s">
        <v>2260</v>
      </c>
      <c r="E3338" t="s">
        <v>3126</v>
      </c>
      <c r="F3338" s="452">
        <v>46041</v>
      </c>
      <c r="G3338">
        <v>24200</v>
      </c>
      <c r="H3338" t="s">
        <v>3975</v>
      </c>
      <c r="I3338" t="s">
        <v>3469</v>
      </c>
      <c r="J3338">
        <v>5.2</v>
      </c>
      <c r="K3338" t="s">
        <v>3892</v>
      </c>
      <c r="L3338">
        <v>171.08</v>
      </c>
      <c r="M3338">
        <v>32.9</v>
      </c>
      <c r="N3338" t="s">
        <v>3469</v>
      </c>
      <c r="O3338" t="s">
        <v>461</v>
      </c>
    </row>
    <row r="3339" spans="1:15" x14ac:dyDescent="0.3">
      <c r="A3339">
        <v>197034</v>
      </c>
      <c r="B3339">
        <v>116</v>
      </c>
      <c r="C3339" t="s">
        <v>568</v>
      </c>
      <c r="D3339" t="s">
        <v>2260</v>
      </c>
      <c r="E3339" t="s">
        <v>3126</v>
      </c>
      <c r="F3339" s="452">
        <v>46041</v>
      </c>
      <c r="G3339">
        <v>24072</v>
      </c>
      <c r="H3339" t="s">
        <v>4002</v>
      </c>
      <c r="I3339" t="s">
        <v>3469</v>
      </c>
      <c r="J3339">
        <v>3.2</v>
      </c>
      <c r="K3339" t="s">
        <v>3892</v>
      </c>
      <c r="L3339">
        <v>636.79999999999995</v>
      </c>
      <c r="M3339">
        <v>199</v>
      </c>
      <c r="N3339" t="s">
        <v>3469</v>
      </c>
      <c r="O3339" t="s">
        <v>461</v>
      </c>
    </row>
    <row r="3340" spans="1:15" x14ac:dyDescent="0.3">
      <c r="A3340">
        <v>197034</v>
      </c>
      <c r="B3340">
        <v>116</v>
      </c>
      <c r="C3340" t="s">
        <v>568</v>
      </c>
      <c r="D3340" t="s">
        <v>2260</v>
      </c>
      <c r="E3340" t="s">
        <v>3126</v>
      </c>
      <c r="F3340" s="452">
        <v>46041</v>
      </c>
      <c r="G3340">
        <v>22734</v>
      </c>
      <c r="H3340" t="s">
        <v>3955</v>
      </c>
      <c r="I3340" t="s">
        <v>3469</v>
      </c>
      <c r="J3340">
        <v>5.0999999999999996</v>
      </c>
      <c r="K3340" t="s">
        <v>3892</v>
      </c>
      <c r="L3340">
        <v>402.9</v>
      </c>
      <c r="M3340">
        <v>79</v>
      </c>
      <c r="N3340" t="s">
        <v>3469</v>
      </c>
      <c r="O3340" t="s">
        <v>461</v>
      </c>
    </row>
    <row r="3341" spans="1:15" x14ac:dyDescent="0.3">
      <c r="A3341">
        <v>197033</v>
      </c>
      <c r="B3341">
        <v>116</v>
      </c>
      <c r="C3341" t="s">
        <v>568</v>
      </c>
      <c r="D3341" t="s">
        <v>2922</v>
      </c>
      <c r="E3341" t="s">
        <v>3127</v>
      </c>
      <c r="F3341" s="452">
        <v>46034</v>
      </c>
      <c r="G3341">
        <v>19642</v>
      </c>
      <c r="H3341" t="s">
        <v>4067</v>
      </c>
      <c r="I3341" t="s">
        <v>3469</v>
      </c>
      <c r="J3341">
        <v>1</v>
      </c>
      <c r="K3341" t="s">
        <v>3892</v>
      </c>
      <c r="L3341">
        <v>5.63</v>
      </c>
      <c r="M3341">
        <v>5.63</v>
      </c>
      <c r="N3341" t="s">
        <v>4240</v>
      </c>
      <c r="O3341" t="s">
        <v>461</v>
      </c>
    </row>
    <row r="3342" spans="1:15" x14ac:dyDescent="0.3">
      <c r="A3342">
        <v>197033</v>
      </c>
      <c r="B3342">
        <v>116</v>
      </c>
      <c r="C3342" t="s">
        <v>568</v>
      </c>
      <c r="D3342" t="s">
        <v>2922</v>
      </c>
      <c r="E3342" t="s">
        <v>3127</v>
      </c>
      <c r="F3342" s="452">
        <v>46034</v>
      </c>
      <c r="G3342">
        <v>19740</v>
      </c>
      <c r="H3342" t="s">
        <v>3933</v>
      </c>
      <c r="I3342" t="s">
        <v>3469</v>
      </c>
      <c r="J3342">
        <v>6</v>
      </c>
      <c r="K3342" t="s">
        <v>3892</v>
      </c>
      <c r="L3342">
        <v>90</v>
      </c>
      <c r="M3342">
        <v>15</v>
      </c>
      <c r="N3342" t="s">
        <v>4240</v>
      </c>
      <c r="O3342" t="s">
        <v>461</v>
      </c>
    </row>
    <row r="3343" spans="1:15" x14ac:dyDescent="0.3">
      <c r="A3343">
        <v>197033</v>
      </c>
      <c r="B3343">
        <v>116</v>
      </c>
      <c r="C3343" t="s">
        <v>568</v>
      </c>
      <c r="D3343" t="s">
        <v>2922</v>
      </c>
      <c r="E3343" t="s">
        <v>3127</v>
      </c>
      <c r="F3343" s="452">
        <v>46034</v>
      </c>
      <c r="G3343">
        <v>19742</v>
      </c>
      <c r="H3343" t="s">
        <v>4074</v>
      </c>
      <c r="I3343" t="s">
        <v>3469</v>
      </c>
      <c r="J3343">
        <v>1.2</v>
      </c>
      <c r="K3343" t="s">
        <v>3892</v>
      </c>
      <c r="L3343">
        <v>13.5</v>
      </c>
      <c r="M3343">
        <v>11.25</v>
      </c>
      <c r="N3343" t="s">
        <v>4240</v>
      </c>
      <c r="O3343" t="s">
        <v>461</v>
      </c>
    </row>
    <row r="3344" spans="1:15" x14ac:dyDescent="0.3">
      <c r="A3344">
        <v>197033</v>
      </c>
      <c r="B3344">
        <v>116</v>
      </c>
      <c r="C3344" t="s">
        <v>568</v>
      </c>
      <c r="D3344" t="s">
        <v>2922</v>
      </c>
      <c r="E3344" t="s">
        <v>3127</v>
      </c>
      <c r="F3344" s="452">
        <v>46034</v>
      </c>
      <c r="G3344">
        <v>19743</v>
      </c>
      <c r="H3344" t="s">
        <v>4152</v>
      </c>
      <c r="I3344" t="s">
        <v>3469</v>
      </c>
      <c r="J3344">
        <v>3</v>
      </c>
      <c r="K3344" t="s">
        <v>3892</v>
      </c>
      <c r="L3344">
        <v>41.25</v>
      </c>
      <c r="M3344">
        <v>13.75</v>
      </c>
      <c r="N3344" t="s">
        <v>4240</v>
      </c>
      <c r="O3344" t="s">
        <v>461</v>
      </c>
    </row>
    <row r="3345" spans="1:15" x14ac:dyDescent="0.3">
      <c r="A3345">
        <v>197033</v>
      </c>
      <c r="B3345">
        <v>116</v>
      </c>
      <c r="C3345" t="s">
        <v>568</v>
      </c>
      <c r="D3345" t="s">
        <v>2922</v>
      </c>
      <c r="E3345" t="s">
        <v>3127</v>
      </c>
      <c r="F3345" s="452">
        <v>46034</v>
      </c>
      <c r="G3345">
        <v>19555</v>
      </c>
      <c r="H3345" t="s">
        <v>4109</v>
      </c>
      <c r="I3345" t="s">
        <v>3469</v>
      </c>
      <c r="J3345">
        <v>0.6</v>
      </c>
      <c r="K3345" t="s">
        <v>3892</v>
      </c>
      <c r="L3345">
        <v>15</v>
      </c>
      <c r="M3345">
        <v>25</v>
      </c>
      <c r="N3345" t="s">
        <v>4240</v>
      </c>
      <c r="O3345" t="s">
        <v>461</v>
      </c>
    </row>
    <row r="3346" spans="1:15" x14ac:dyDescent="0.3">
      <c r="A3346">
        <v>197033</v>
      </c>
      <c r="B3346">
        <v>116</v>
      </c>
      <c r="C3346" t="s">
        <v>568</v>
      </c>
      <c r="D3346" t="s">
        <v>2922</v>
      </c>
      <c r="E3346" t="s">
        <v>3127</v>
      </c>
      <c r="F3346" s="452">
        <v>46034</v>
      </c>
      <c r="G3346">
        <v>23359</v>
      </c>
      <c r="H3346" t="s">
        <v>3932</v>
      </c>
      <c r="I3346" t="s">
        <v>3469</v>
      </c>
      <c r="J3346">
        <v>10</v>
      </c>
      <c r="K3346" t="s">
        <v>3892</v>
      </c>
      <c r="L3346">
        <v>31.3</v>
      </c>
      <c r="M3346">
        <v>3.13</v>
      </c>
      <c r="N3346" t="s">
        <v>4240</v>
      </c>
      <c r="O3346" t="s">
        <v>461</v>
      </c>
    </row>
    <row r="3347" spans="1:15" x14ac:dyDescent="0.3">
      <c r="A3347">
        <v>197033</v>
      </c>
      <c r="B3347">
        <v>116</v>
      </c>
      <c r="C3347" t="s">
        <v>568</v>
      </c>
      <c r="D3347" t="s">
        <v>2922</v>
      </c>
      <c r="E3347" t="s">
        <v>3127</v>
      </c>
      <c r="F3347" s="452">
        <v>46034</v>
      </c>
      <c r="G3347">
        <v>23361</v>
      </c>
      <c r="H3347" t="s">
        <v>4220</v>
      </c>
      <c r="I3347" t="s">
        <v>3469</v>
      </c>
      <c r="J3347">
        <v>20</v>
      </c>
      <c r="K3347" t="s">
        <v>3892</v>
      </c>
      <c r="L3347">
        <v>62.6</v>
      </c>
      <c r="M3347">
        <v>3.13</v>
      </c>
      <c r="N3347" t="s">
        <v>4240</v>
      </c>
      <c r="O3347" t="s">
        <v>461</v>
      </c>
    </row>
    <row r="3348" spans="1:15" x14ac:dyDescent="0.3">
      <c r="A3348">
        <v>197032</v>
      </c>
      <c r="B3348">
        <v>116</v>
      </c>
      <c r="C3348" t="s">
        <v>568</v>
      </c>
      <c r="D3348" t="s">
        <v>2922</v>
      </c>
      <c r="E3348" t="s">
        <v>3128</v>
      </c>
      <c r="F3348" s="452">
        <v>46030</v>
      </c>
      <c r="G3348">
        <v>24083</v>
      </c>
      <c r="H3348" t="s">
        <v>3898</v>
      </c>
      <c r="I3348" t="s">
        <v>3469</v>
      </c>
      <c r="J3348">
        <v>25</v>
      </c>
      <c r="K3348" t="s">
        <v>3892</v>
      </c>
      <c r="L3348">
        <v>78.25</v>
      </c>
      <c r="M3348">
        <v>3.13</v>
      </c>
      <c r="N3348" t="s">
        <v>4240</v>
      </c>
      <c r="O3348" t="s">
        <v>461</v>
      </c>
    </row>
    <row r="3349" spans="1:15" x14ac:dyDescent="0.3">
      <c r="A3349">
        <v>197032</v>
      </c>
      <c r="B3349">
        <v>116</v>
      </c>
      <c r="C3349" t="s">
        <v>568</v>
      </c>
      <c r="D3349" t="s">
        <v>2922</v>
      </c>
      <c r="E3349" t="s">
        <v>3128</v>
      </c>
      <c r="F3349" s="452">
        <v>46030</v>
      </c>
      <c r="G3349">
        <v>24598</v>
      </c>
      <c r="H3349" t="s">
        <v>4166</v>
      </c>
      <c r="I3349" t="s">
        <v>3469</v>
      </c>
      <c r="J3349">
        <v>1.8</v>
      </c>
      <c r="K3349" t="s">
        <v>3892</v>
      </c>
      <c r="L3349">
        <v>22.5</v>
      </c>
      <c r="M3349">
        <v>12.5</v>
      </c>
      <c r="N3349" t="s">
        <v>4240</v>
      </c>
      <c r="O3349" t="s">
        <v>461</v>
      </c>
    </row>
    <row r="3350" spans="1:15" x14ac:dyDescent="0.3">
      <c r="A3350">
        <v>197032</v>
      </c>
      <c r="B3350">
        <v>116</v>
      </c>
      <c r="C3350" t="s">
        <v>568</v>
      </c>
      <c r="D3350" t="s">
        <v>2922</v>
      </c>
      <c r="E3350" t="s">
        <v>3128</v>
      </c>
      <c r="F3350" s="452">
        <v>46030</v>
      </c>
      <c r="G3350">
        <v>19555</v>
      </c>
      <c r="H3350" t="s">
        <v>4109</v>
      </c>
      <c r="I3350" t="s">
        <v>3469</v>
      </c>
      <c r="J3350">
        <v>0.5</v>
      </c>
      <c r="K3350" t="s">
        <v>3892</v>
      </c>
      <c r="L3350">
        <v>11.25</v>
      </c>
      <c r="M3350">
        <v>22.5</v>
      </c>
      <c r="N3350" t="s">
        <v>4240</v>
      </c>
      <c r="O3350" t="s">
        <v>461</v>
      </c>
    </row>
    <row r="3351" spans="1:15" x14ac:dyDescent="0.3">
      <c r="A3351">
        <v>197032</v>
      </c>
      <c r="B3351">
        <v>116</v>
      </c>
      <c r="C3351" t="s">
        <v>568</v>
      </c>
      <c r="D3351" t="s">
        <v>2922</v>
      </c>
      <c r="E3351" t="s">
        <v>3128</v>
      </c>
      <c r="F3351" s="452">
        <v>46030</v>
      </c>
      <c r="G3351">
        <v>19572</v>
      </c>
      <c r="H3351" t="s">
        <v>4023</v>
      </c>
      <c r="I3351" t="s">
        <v>3469</v>
      </c>
      <c r="J3351">
        <v>1</v>
      </c>
      <c r="K3351" t="s">
        <v>3892</v>
      </c>
      <c r="L3351">
        <v>20</v>
      </c>
      <c r="M3351">
        <v>20</v>
      </c>
      <c r="N3351" t="s">
        <v>4240</v>
      </c>
      <c r="O3351" t="s">
        <v>461</v>
      </c>
    </row>
    <row r="3352" spans="1:15" x14ac:dyDescent="0.3">
      <c r="A3352">
        <v>197032</v>
      </c>
      <c r="B3352">
        <v>116</v>
      </c>
      <c r="C3352" t="s">
        <v>568</v>
      </c>
      <c r="D3352" t="s">
        <v>2922</v>
      </c>
      <c r="E3352" t="s">
        <v>3128</v>
      </c>
      <c r="F3352" s="452">
        <v>46030</v>
      </c>
      <c r="G3352">
        <v>23198</v>
      </c>
      <c r="H3352" t="s">
        <v>4167</v>
      </c>
      <c r="I3352" t="s">
        <v>3469</v>
      </c>
      <c r="J3352">
        <v>1</v>
      </c>
      <c r="K3352" t="s">
        <v>3892</v>
      </c>
      <c r="L3352">
        <v>12.5</v>
      </c>
      <c r="M3352">
        <v>12.5</v>
      </c>
      <c r="N3352" t="s">
        <v>4240</v>
      </c>
      <c r="O3352" t="s">
        <v>461</v>
      </c>
    </row>
    <row r="3353" spans="1:15" x14ac:dyDescent="0.3">
      <c r="A3353">
        <v>197032</v>
      </c>
      <c r="B3353">
        <v>116</v>
      </c>
      <c r="C3353" t="s">
        <v>568</v>
      </c>
      <c r="D3353" t="s">
        <v>2922</v>
      </c>
      <c r="E3353" t="s">
        <v>3128</v>
      </c>
      <c r="F3353" s="452">
        <v>46030</v>
      </c>
      <c r="G3353">
        <v>23234</v>
      </c>
      <c r="H3353" t="s">
        <v>4018</v>
      </c>
      <c r="I3353" t="s">
        <v>3469</v>
      </c>
      <c r="J3353">
        <v>2</v>
      </c>
      <c r="K3353" t="s">
        <v>3892</v>
      </c>
      <c r="L3353">
        <v>46</v>
      </c>
      <c r="M3353">
        <v>23</v>
      </c>
      <c r="N3353" t="s">
        <v>4240</v>
      </c>
      <c r="O3353" t="s">
        <v>461</v>
      </c>
    </row>
    <row r="3354" spans="1:15" x14ac:dyDescent="0.3">
      <c r="A3354">
        <v>197032</v>
      </c>
      <c r="B3354">
        <v>116</v>
      </c>
      <c r="C3354" t="s">
        <v>568</v>
      </c>
      <c r="D3354" t="s">
        <v>2922</v>
      </c>
      <c r="E3354" t="s">
        <v>3128</v>
      </c>
      <c r="F3354" s="452">
        <v>46030</v>
      </c>
      <c r="G3354">
        <v>23142</v>
      </c>
      <c r="H3354" t="s">
        <v>4151</v>
      </c>
      <c r="I3354" t="s">
        <v>3469</v>
      </c>
      <c r="J3354">
        <v>1</v>
      </c>
      <c r="K3354" t="s">
        <v>3892</v>
      </c>
      <c r="L3354">
        <v>20.83</v>
      </c>
      <c r="M3354">
        <v>20.83</v>
      </c>
      <c r="N3354" t="s">
        <v>4240</v>
      </c>
      <c r="O3354" t="s">
        <v>461</v>
      </c>
    </row>
    <row r="3355" spans="1:15" x14ac:dyDescent="0.3">
      <c r="A3355">
        <v>197032</v>
      </c>
      <c r="B3355">
        <v>116</v>
      </c>
      <c r="C3355" t="s">
        <v>568</v>
      </c>
      <c r="D3355" t="s">
        <v>2922</v>
      </c>
      <c r="E3355" t="s">
        <v>3128</v>
      </c>
      <c r="F3355" s="452">
        <v>46030</v>
      </c>
      <c r="G3355">
        <v>17066</v>
      </c>
      <c r="H3355" t="s">
        <v>4155</v>
      </c>
      <c r="I3355" t="s">
        <v>3469</v>
      </c>
      <c r="J3355">
        <v>1</v>
      </c>
      <c r="K3355" t="s">
        <v>3892</v>
      </c>
      <c r="L3355">
        <v>21.25</v>
      </c>
      <c r="M3355">
        <v>21.25</v>
      </c>
      <c r="N3355" t="s">
        <v>4240</v>
      </c>
      <c r="O3355" t="s">
        <v>461</v>
      </c>
    </row>
    <row r="3356" spans="1:15" x14ac:dyDescent="0.3">
      <c r="A3356">
        <v>197031</v>
      </c>
      <c r="B3356">
        <v>116</v>
      </c>
      <c r="C3356" t="s">
        <v>568</v>
      </c>
      <c r="D3356" t="s">
        <v>2357</v>
      </c>
      <c r="E3356" t="s">
        <v>3129</v>
      </c>
      <c r="F3356" s="452">
        <v>46041</v>
      </c>
      <c r="G3356">
        <v>20278</v>
      </c>
      <c r="H3356" t="s">
        <v>3939</v>
      </c>
      <c r="I3356" t="s">
        <v>3469</v>
      </c>
      <c r="J3356">
        <v>10</v>
      </c>
      <c r="K3356" t="s">
        <v>3872</v>
      </c>
      <c r="L3356">
        <v>332.7</v>
      </c>
      <c r="M3356">
        <v>33.270000000000003</v>
      </c>
      <c r="N3356" t="s">
        <v>3469</v>
      </c>
      <c r="O3356" t="s">
        <v>461</v>
      </c>
    </row>
    <row r="3357" spans="1:15" x14ac:dyDescent="0.3">
      <c r="A3357">
        <v>197030</v>
      </c>
      <c r="B3357">
        <v>116</v>
      </c>
      <c r="C3357" t="s">
        <v>568</v>
      </c>
      <c r="D3357" t="s">
        <v>2357</v>
      </c>
      <c r="E3357" t="s">
        <v>3129</v>
      </c>
      <c r="F3357" s="452">
        <v>46041</v>
      </c>
      <c r="G3357">
        <v>20278</v>
      </c>
      <c r="H3357" t="s">
        <v>3939</v>
      </c>
      <c r="I3357" t="s">
        <v>3469</v>
      </c>
      <c r="J3357">
        <v>10</v>
      </c>
      <c r="K3357" t="s">
        <v>3872</v>
      </c>
      <c r="L3357">
        <v>332.7</v>
      </c>
      <c r="M3357">
        <v>33.270000000000003</v>
      </c>
      <c r="N3357" t="s">
        <v>4409</v>
      </c>
      <c r="O3357" t="s">
        <v>461</v>
      </c>
    </row>
    <row r="3358" spans="1:15" x14ac:dyDescent="0.3">
      <c r="A3358">
        <v>197029</v>
      </c>
      <c r="B3358">
        <v>116</v>
      </c>
      <c r="C3358" t="s">
        <v>568</v>
      </c>
      <c r="D3358" t="s">
        <v>2357</v>
      </c>
      <c r="E3358" t="s">
        <v>3129</v>
      </c>
      <c r="F3358" s="452">
        <v>46041</v>
      </c>
      <c r="G3358">
        <v>20278</v>
      </c>
      <c r="H3358" t="s">
        <v>3939</v>
      </c>
      <c r="I3358" t="s">
        <v>3469</v>
      </c>
      <c r="J3358">
        <v>10</v>
      </c>
      <c r="K3358" t="s">
        <v>3872</v>
      </c>
      <c r="L3358">
        <v>332.7</v>
      </c>
      <c r="M3358">
        <v>33.270000000000003</v>
      </c>
      <c r="N3358" t="s">
        <v>3469</v>
      </c>
      <c r="O3358" t="s">
        <v>461</v>
      </c>
    </row>
    <row r="3359" spans="1:15" x14ac:dyDescent="0.3">
      <c r="A3359">
        <v>197028</v>
      </c>
      <c r="B3359">
        <v>116</v>
      </c>
      <c r="C3359" t="s">
        <v>568</v>
      </c>
      <c r="D3359" t="s">
        <v>2357</v>
      </c>
      <c r="E3359" t="s">
        <v>3129</v>
      </c>
      <c r="F3359" s="452">
        <v>46041</v>
      </c>
      <c r="G3359">
        <v>20278</v>
      </c>
      <c r="H3359" t="s">
        <v>3939</v>
      </c>
      <c r="I3359" t="s">
        <v>3469</v>
      </c>
      <c r="J3359">
        <v>10</v>
      </c>
      <c r="K3359" t="s">
        <v>3872</v>
      </c>
      <c r="L3359">
        <v>332.7</v>
      </c>
      <c r="M3359">
        <v>33.270000000000003</v>
      </c>
      <c r="N3359" t="s">
        <v>3469</v>
      </c>
      <c r="O3359" t="s">
        <v>461</v>
      </c>
    </row>
    <row r="3360" spans="1:15" x14ac:dyDescent="0.3">
      <c r="A3360">
        <v>197027</v>
      </c>
      <c r="B3360">
        <v>116</v>
      </c>
      <c r="C3360" t="s">
        <v>568</v>
      </c>
      <c r="D3360" t="s">
        <v>2342</v>
      </c>
      <c r="E3360" t="s">
        <v>3130</v>
      </c>
      <c r="F3360" s="452">
        <v>46035</v>
      </c>
      <c r="G3360">
        <v>24351</v>
      </c>
      <c r="H3360" t="s">
        <v>3912</v>
      </c>
      <c r="I3360" t="s">
        <v>3469</v>
      </c>
      <c r="J3360">
        <v>30</v>
      </c>
      <c r="K3360" t="s">
        <v>3892</v>
      </c>
      <c r="L3360">
        <v>360</v>
      </c>
      <c r="M3360">
        <v>12</v>
      </c>
      <c r="N3360" t="s">
        <v>4240</v>
      </c>
      <c r="O3360" t="s">
        <v>461</v>
      </c>
    </row>
    <row r="3361" spans="1:15" x14ac:dyDescent="0.3">
      <c r="A3361">
        <v>197026</v>
      </c>
      <c r="B3361">
        <v>116</v>
      </c>
      <c r="C3361" t="s">
        <v>568</v>
      </c>
      <c r="D3361" t="s">
        <v>2260</v>
      </c>
      <c r="E3361" t="s">
        <v>3131</v>
      </c>
      <c r="F3361" s="452">
        <v>46041</v>
      </c>
      <c r="G3361">
        <v>20555</v>
      </c>
      <c r="H3361" t="s">
        <v>3959</v>
      </c>
      <c r="I3361" t="s">
        <v>3469</v>
      </c>
      <c r="J3361">
        <v>4</v>
      </c>
      <c r="K3361" t="s">
        <v>3892</v>
      </c>
      <c r="L3361">
        <v>316</v>
      </c>
      <c r="M3361">
        <v>79</v>
      </c>
      <c r="N3361" t="s">
        <v>3469</v>
      </c>
      <c r="O3361" t="s">
        <v>461</v>
      </c>
    </row>
    <row r="3362" spans="1:15" x14ac:dyDescent="0.3">
      <c r="A3362">
        <v>197025</v>
      </c>
      <c r="B3362">
        <v>116</v>
      </c>
      <c r="C3362" t="s">
        <v>568</v>
      </c>
      <c r="D3362" t="s">
        <v>2260</v>
      </c>
      <c r="E3362" t="s">
        <v>3132</v>
      </c>
      <c r="F3362" s="452">
        <v>46041</v>
      </c>
      <c r="G3362">
        <v>28212</v>
      </c>
      <c r="H3362" t="s">
        <v>4156</v>
      </c>
      <c r="I3362" t="s">
        <v>3469</v>
      </c>
      <c r="J3362">
        <v>5.4</v>
      </c>
      <c r="K3362" t="s">
        <v>3892</v>
      </c>
      <c r="L3362">
        <v>237.6</v>
      </c>
      <c r="M3362">
        <v>44</v>
      </c>
      <c r="N3362" t="s">
        <v>4240</v>
      </c>
      <c r="O3362" t="s">
        <v>461</v>
      </c>
    </row>
    <row r="3363" spans="1:15" x14ac:dyDescent="0.3">
      <c r="A3363">
        <v>197024</v>
      </c>
      <c r="B3363">
        <v>116</v>
      </c>
      <c r="C3363" t="s">
        <v>568</v>
      </c>
      <c r="D3363" t="s">
        <v>2267</v>
      </c>
      <c r="E3363" t="s">
        <v>3133</v>
      </c>
      <c r="F3363" s="452">
        <v>46036</v>
      </c>
      <c r="G3363">
        <v>24517</v>
      </c>
      <c r="H3363" t="s">
        <v>3991</v>
      </c>
      <c r="I3363" t="s">
        <v>3469</v>
      </c>
      <c r="J3363">
        <v>10</v>
      </c>
      <c r="K3363" t="s">
        <v>3892</v>
      </c>
      <c r="L3363">
        <v>279.89999999999998</v>
      </c>
      <c r="M3363">
        <v>27.99</v>
      </c>
      <c r="N3363" t="s">
        <v>4240</v>
      </c>
      <c r="O3363" t="s">
        <v>461</v>
      </c>
    </row>
    <row r="3364" spans="1:15" x14ac:dyDescent="0.3">
      <c r="A3364">
        <v>197024</v>
      </c>
      <c r="B3364">
        <v>116</v>
      </c>
      <c r="C3364" t="s">
        <v>568</v>
      </c>
      <c r="D3364" t="s">
        <v>2267</v>
      </c>
      <c r="E3364" t="s">
        <v>3133</v>
      </c>
      <c r="F3364" s="452">
        <v>46036</v>
      </c>
      <c r="G3364">
        <v>18682</v>
      </c>
      <c r="H3364" t="s">
        <v>4025</v>
      </c>
      <c r="I3364" t="s">
        <v>3469</v>
      </c>
      <c r="J3364">
        <v>6.45</v>
      </c>
      <c r="K3364" t="s">
        <v>3892</v>
      </c>
      <c r="L3364">
        <v>180.54</v>
      </c>
      <c r="M3364">
        <v>27.990697999999998</v>
      </c>
      <c r="N3364" t="s">
        <v>4240</v>
      </c>
      <c r="O3364" t="s">
        <v>461</v>
      </c>
    </row>
    <row r="3365" spans="1:15" x14ac:dyDescent="0.3">
      <c r="A3365">
        <v>197024</v>
      </c>
      <c r="B3365">
        <v>116</v>
      </c>
      <c r="C3365" t="s">
        <v>568</v>
      </c>
      <c r="D3365" t="s">
        <v>2267</v>
      </c>
      <c r="E3365" t="s">
        <v>3133</v>
      </c>
      <c r="F3365" s="452">
        <v>46036</v>
      </c>
      <c r="G3365">
        <v>20549</v>
      </c>
      <c r="H3365" t="s">
        <v>4007</v>
      </c>
      <c r="I3365" t="s">
        <v>3469</v>
      </c>
      <c r="J3365">
        <v>11.4</v>
      </c>
      <c r="K3365" t="s">
        <v>3892</v>
      </c>
      <c r="L3365">
        <v>227.89</v>
      </c>
      <c r="M3365">
        <v>19.990351</v>
      </c>
      <c r="N3365" t="s">
        <v>4240</v>
      </c>
      <c r="O3365" t="s">
        <v>461</v>
      </c>
    </row>
    <row r="3366" spans="1:15" x14ac:dyDescent="0.3">
      <c r="A3366">
        <v>197022</v>
      </c>
      <c r="B3366">
        <v>116</v>
      </c>
      <c r="C3366" t="s">
        <v>568</v>
      </c>
      <c r="D3366" t="s">
        <v>2265</v>
      </c>
      <c r="E3366" t="s">
        <v>3134</v>
      </c>
      <c r="F3366" s="452">
        <v>46041</v>
      </c>
      <c r="G3366">
        <v>17129</v>
      </c>
      <c r="H3366" t="s">
        <v>4200</v>
      </c>
      <c r="I3366" t="s">
        <v>4199</v>
      </c>
      <c r="J3366">
        <v>1</v>
      </c>
      <c r="K3366" t="s">
        <v>3888</v>
      </c>
      <c r="L3366">
        <v>29.9</v>
      </c>
      <c r="M3366">
        <v>29.9</v>
      </c>
      <c r="N3366" t="s">
        <v>2176</v>
      </c>
      <c r="O3366" t="s">
        <v>461</v>
      </c>
    </row>
    <row r="3367" spans="1:15" x14ac:dyDescent="0.3">
      <c r="A3367">
        <v>197022</v>
      </c>
      <c r="B3367">
        <v>116</v>
      </c>
      <c r="C3367" t="s">
        <v>568</v>
      </c>
      <c r="D3367" t="s">
        <v>2265</v>
      </c>
      <c r="E3367" t="s">
        <v>3134</v>
      </c>
      <c r="F3367" s="452">
        <v>46041</v>
      </c>
      <c r="G3367">
        <v>17437</v>
      </c>
      <c r="H3367" t="s">
        <v>4198</v>
      </c>
      <c r="I3367" t="s">
        <v>4199</v>
      </c>
      <c r="J3367">
        <v>10</v>
      </c>
      <c r="K3367" t="s">
        <v>3872</v>
      </c>
      <c r="L3367">
        <v>25</v>
      </c>
      <c r="M3367">
        <v>2.5</v>
      </c>
      <c r="N3367" t="s">
        <v>2176</v>
      </c>
      <c r="O3367" t="s">
        <v>461</v>
      </c>
    </row>
    <row r="3368" spans="1:15" x14ac:dyDescent="0.3">
      <c r="A3368">
        <v>197022</v>
      </c>
      <c r="B3368">
        <v>116</v>
      </c>
      <c r="C3368" t="s">
        <v>568</v>
      </c>
      <c r="D3368" t="s">
        <v>2265</v>
      </c>
      <c r="E3368" t="s">
        <v>3134</v>
      </c>
      <c r="F3368" s="452">
        <v>46041</v>
      </c>
      <c r="G3368">
        <v>17455</v>
      </c>
      <c r="H3368" t="s">
        <v>4231</v>
      </c>
      <c r="I3368" t="s">
        <v>4199</v>
      </c>
      <c r="J3368">
        <v>2</v>
      </c>
      <c r="K3368" t="s">
        <v>3872</v>
      </c>
      <c r="L3368">
        <v>76</v>
      </c>
      <c r="M3368">
        <v>38</v>
      </c>
      <c r="N3368" t="s">
        <v>2176</v>
      </c>
      <c r="O3368" t="s">
        <v>461</v>
      </c>
    </row>
    <row r="3369" spans="1:15" x14ac:dyDescent="0.3">
      <c r="A3369">
        <v>197022</v>
      </c>
      <c r="B3369">
        <v>116</v>
      </c>
      <c r="C3369" t="s">
        <v>568</v>
      </c>
      <c r="D3369" t="s">
        <v>2265</v>
      </c>
      <c r="E3369" t="s">
        <v>3134</v>
      </c>
      <c r="F3369" s="452">
        <v>46041</v>
      </c>
      <c r="G3369">
        <v>17314</v>
      </c>
      <c r="H3369" t="s">
        <v>4204</v>
      </c>
      <c r="I3369" t="s">
        <v>4199</v>
      </c>
      <c r="J3369">
        <v>2</v>
      </c>
      <c r="K3369" t="s">
        <v>3978</v>
      </c>
      <c r="L3369">
        <v>12.2</v>
      </c>
      <c r="M3369">
        <v>6.1</v>
      </c>
      <c r="N3369" t="s">
        <v>2176</v>
      </c>
      <c r="O3369" t="s">
        <v>461</v>
      </c>
    </row>
    <row r="3370" spans="1:15" x14ac:dyDescent="0.3">
      <c r="A3370">
        <v>197022</v>
      </c>
      <c r="B3370">
        <v>116</v>
      </c>
      <c r="C3370" t="s">
        <v>568</v>
      </c>
      <c r="D3370" t="s">
        <v>2265</v>
      </c>
      <c r="E3370" t="s">
        <v>3134</v>
      </c>
      <c r="F3370" s="452">
        <v>46041</v>
      </c>
      <c r="G3370">
        <v>17215</v>
      </c>
      <c r="H3370" t="s">
        <v>4283</v>
      </c>
      <c r="I3370" t="s">
        <v>4199</v>
      </c>
      <c r="J3370">
        <v>3</v>
      </c>
      <c r="K3370" t="s">
        <v>3978</v>
      </c>
      <c r="L3370">
        <v>60</v>
      </c>
      <c r="M3370">
        <v>20</v>
      </c>
      <c r="N3370" t="s">
        <v>2176</v>
      </c>
      <c r="O3370" t="s">
        <v>461</v>
      </c>
    </row>
    <row r="3371" spans="1:15" x14ac:dyDescent="0.3">
      <c r="A3371">
        <v>197022</v>
      </c>
      <c r="B3371">
        <v>116</v>
      </c>
      <c r="C3371" t="s">
        <v>568</v>
      </c>
      <c r="D3371" t="s">
        <v>2265</v>
      </c>
      <c r="E3371" t="s">
        <v>3134</v>
      </c>
      <c r="F3371" s="452">
        <v>46041</v>
      </c>
      <c r="G3371">
        <v>17304</v>
      </c>
      <c r="H3371" t="s">
        <v>4206</v>
      </c>
      <c r="I3371" t="s">
        <v>4199</v>
      </c>
      <c r="J3371">
        <v>1</v>
      </c>
      <c r="K3371" t="s">
        <v>3978</v>
      </c>
      <c r="L3371">
        <v>7.1</v>
      </c>
      <c r="M3371">
        <v>7.1</v>
      </c>
      <c r="N3371" t="s">
        <v>2176</v>
      </c>
      <c r="O3371" t="s">
        <v>461</v>
      </c>
    </row>
    <row r="3372" spans="1:15" x14ac:dyDescent="0.3">
      <c r="A3372">
        <v>197022</v>
      </c>
      <c r="B3372">
        <v>116</v>
      </c>
      <c r="C3372" t="s">
        <v>568</v>
      </c>
      <c r="D3372" t="s">
        <v>2265</v>
      </c>
      <c r="E3372" t="s">
        <v>3134</v>
      </c>
      <c r="F3372" s="452">
        <v>46041</v>
      </c>
      <c r="G3372">
        <v>17474</v>
      </c>
      <c r="H3372" t="s">
        <v>4273</v>
      </c>
      <c r="I3372" t="s">
        <v>4199</v>
      </c>
      <c r="J3372">
        <v>1</v>
      </c>
      <c r="K3372" t="s">
        <v>3881</v>
      </c>
      <c r="L3372">
        <v>78</v>
      </c>
      <c r="M3372">
        <v>78</v>
      </c>
      <c r="N3372" t="s">
        <v>2176</v>
      </c>
      <c r="O3372" t="s">
        <v>461</v>
      </c>
    </row>
    <row r="3373" spans="1:15" x14ac:dyDescent="0.3">
      <c r="A3373">
        <v>197022</v>
      </c>
      <c r="B3373">
        <v>116</v>
      </c>
      <c r="C3373" t="s">
        <v>568</v>
      </c>
      <c r="D3373" t="s">
        <v>2265</v>
      </c>
      <c r="E3373" t="s">
        <v>3134</v>
      </c>
      <c r="F3373" s="452">
        <v>46041</v>
      </c>
      <c r="G3373">
        <v>17230</v>
      </c>
      <c r="H3373" t="s">
        <v>4281</v>
      </c>
      <c r="I3373" t="s">
        <v>4199</v>
      </c>
      <c r="J3373">
        <v>1</v>
      </c>
      <c r="K3373" t="s">
        <v>3872</v>
      </c>
      <c r="L3373">
        <v>42</v>
      </c>
      <c r="M3373">
        <v>42</v>
      </c>
      <c r="N3373" t="s">
        <v>2176</v>
      </c>
      <c r="O3373" t="s">
        <v>461</v>
      </c>
    </row>
    <row r="3374" spans="1:15" x14ac:dyDescent="0.3">
      <c r="A3374">
        <v>197022</v>
      </c>
      <c r="B3374">
        <v>116</v>
      </c>
      <c r="C3374" t="s">
        <v>568</v>
      </c>
      <c r="D3374" t="s">
        <v>2265</v>
      </c>
      <c r="E3374" t="s">
        <v>3134</v>
      </c>
      <c r="F3374" s="452">
        <v>46041</v>
      </c>
      <c r="G3374">
        <v>26623</v>
      </c>
      <c r="H3374" t="s">
        <v>4410</v>
      </c>
      <c r="I3374" t="s">
        <v>4202</v>
      </c>
      <c r="J3374">
        <v>1</v>
      </c>
      <c r="K3374" t="s">
        <v>3872</v>
      </c>
      <c r="L3374">
        <v>198</v>
      </c>
      <c r="M3374">
        <v>198</v>
      </c>
      <c r="N3374" t="s">
        <v>2176</v>
      </c>
      <c r="O3374" t="s">
        <v>461</v>
      </c>
    </row>
    <row r="3375" spans="1:15" x14ac:dyDescent="0.3">
      <c r="A3375">
        <v>197022</v>
      </c>
      <c r="B3375">
        <v>116</v>
      </c>
      <c r="C3375" t="s">
        <v>568</v>
      </c>
      <c r="D3375" t="s">
        <v>2265</v>
      </c>
      <c r="E3375" t="s">
        <v>3134</v>
      </c>
      <c r="F3375" s="452">
        <v>46041</v>
      </c>
      <c r="G3375">
        <v>24843</v>
      </c>
      <c r="H3375" t="s">
        <v>4392</v>
      </c>
      <c r="I3375" t="s">
        <v>4199</v>
      </c>
      <c r="J3375">
        <v>1</v>
      </c>
      <c r="K3375" t="s">
        <v>3881</v>
      </c>
      <c r="L3375">
        <v>58.9</v>
      </c>
      <c r="M3375">
        <v>58.9</v>
      </c>
      <c r="N3375" t="s">
        <v>2176</v>
      </c>
      <c r="O3375" t="s">
        <v>461</v>
      </c>
    </row>
    <row r="3376" spans="1:15" x14ac:dyDescent="0.3">
      <c r="A3376">
        <v>197022</v>
      </c>
      <c r="B3376">
        <v>116</v>
      </c>
      <c r="C3376" t="s">
        <v>568</v>
      </c>
      <c r="D3376" t="s">
        <v>2265</v>
      </c>
      <c r="E3376" t="s">
        <v>3134</v>
      </c>
      <c r="F3376" s="452">
        <v>46041</v>
      </c>
      <c r="G3376">
        <v>17416</v>
      </c>
      <c r="H3376" t="s">
        <v>4205</v>
      </c>
      <c r="I3376" t="s">
        <v>4199</v>
      </c>
      <c r="J3376">
        <v>3</v>
      </c>
      <c r="K3376" t="s">
        <v>3881</v>
      </c>
      <c r="L3376">
        <v>145.74</v>
      </c>
      <c r="M3376">
        <v>48.58</v>
      </c>
      <c r="N3376" t="s">
        <v>2176</v>
      </c>
      <c r="O3376" t="s">
        <v>461</v>
      </c>
    </row>
    <row r="3377" spans="1:15" x14ac:dyDescent="0.3">
      <c r="A3377">
        <v>197021</v>
      </c>
      <c r="B3377">
        <v>116</v>
      </c>
      <c r="C3377" t="s">
        <v>568</v>
      </c>
      <c r="D3377" t="s">
        <v>2286</v>
      </c>
      <c r="E3377" t="s">
        <v>3135</v>
      </c>
      <c r="F3377" s="452">
        <v>46042</v>
      </c>
      <c r="G3377">
        <v>19787</v>
      </c>
      <c r="H3377" t="s">
        <v>3940</v>
      </c>
      <c r="I3377" t="s">
        <v>3469</v>
      </c>
      <c r="J3377">
        <v>4.5</v>
      </c>
      <c r="K3377" t="s">
        <v>3892</v>
      </c>
      <c r="L3377">
        <v>22.05</v>
      </c>
      <c r="M3377">
        <v>4.9000000000000004</v>
      </c>
      <c r="N3377" t="s">
        <v>3469</v>
      </c>
      <c r="O3377" t="s">
        <v>461</v>
      </c>
    </row>
    <row r="3378" spans="1:15" x14ac:dyDescent="0.3">
      <c r="A3378">
        <v>197021</v>
      </c>
      <c r="B3378">
        <v>116</v>
      </c>
      <c r="C3378" t="s">
        <v>568</v>
      </c>
      <c r="D3378" t="s">
        <v>2286</v>
      </c>
      <c r="E3378" t="s">
        <v>3135</v>
      </c>
      <c r="F3378" s="452">
        <v>46042</v>
      </c>
      <c r="G3378">
        <v>19621</v>
      </c>
      <c r="H3378" t="s">
        <v>4125</v>
      </c>
      <c r="I3378" t="s">
        <v>3469</v>
      </c>
      <c r="J3378">
        <v>2</v>
      </c>
      <c r="K3378" t="s">
        <v>3892</v>
      </c>
      <c r="L3378">
        <v>5.6</v>
      </c>
      <c r="M3378">
        <v>2.8</v>
      </c>
      <c r="N3378" t="s">
        <v>3469</v>
      </c>
      <c r="O3378" t="s">
        <v>461</v>
      </c>
    </row>
    <row r="3379" spans="1:15" x14ac:dyDescent="0.3">
      <c r="A3379">
        <v>197021</v>
      </c>
      <c r="B3379">
        <v>116</v>
      </c>
      <c r="C3379" t="s">
        <v>568</v>
      </c>
      <c r="D3379" t="s">
        <v>2286</v>
      </c>
      <c r="E3379" t="s">
        <v>3135</v>
      </c>
      <c r="F3379" s="452">
        <v>46042</v>
      </c>
      <c r="G3379">
        <v>19589</v>
      </c>
      <c r="H3379" t="s">
        <v>4153</v>
      </c>
      <c r="I3379" t="s">
        <v>3469</v>
      </c>
      <c r="J3379">
        <v>2</v>
      </c>
      <c r="K3379" t="s">
        <v>3892</v>
      </c>
      <c r="L3379">
        <v>23</v>
      </c>
      <c r="M3379">
        <v>11.5</v>
      </c>
      <c r="N3379" t="s">
        <v>3469</v>
      </c>
      <c r="O3379" t="s">
        <v>461</v>
      </c>
    </row>
    <row r="3380" spans="1:15" x14ac:dyDescent="0.3">
      <c r="A3380">
        <v>197021</v>
      </c>
      <c r="B3380">
        <v>116</v>
      </c>
      <c r="C3380" t="s">
        <v>568</v>
      </c>
      <c r="D3380" t="s">
        <v>2286</v>
      </c>
      <c r="E3380" t="s">
        <v>3135</v>
      </c>
      <c r="F3380" s="452">
        <v>46042</v>
      </c>
      <c r="G3380">
        <v>19506</v>
      </c>
      <c r="H3380" t="s">
        <v>4112</v>
      </c>
      <c r="I3380" t="s">
        <v>3469</v>
      </c>
      <c r="J3380">
        <v>0.2</v>
      </c>
      <c r="K3380" t="s">
        <v>3892</v>
      </c>
      <c r="L3380">
        <v>8</v>
      </c>
      <c r="M3380">
        <v>40</v>
      </c>
      <c r="N3380" t="s">
        <v>3469</v>
      </c>
      <c r="O3380" t="s">
        <v>461</v>
      </c>
    </row>
    <row r="3381" spans="1:15" x14ac:dyDescent="0.3">
      <c r="A3381">
        <v>197021</v>
      </c>
      <c r="B3381">
        <v>116</v>
      </c>
      <c r="C3381" t="s">
        <v>568</v>
      </c>
      <c r="D3381" t="s">
        <v>2286</v>
      </c>
      <c r="E3381" t="s">
        <v>3135</v>
      </c>
      <c r="F3381" s="452">
        <v>46042</v>
      </c>
      <c r="G3381">
        <v>19505</v>
      </c>
      <c r="H3381" t="s">
        <v>4101</v>
      </c>
      <c r="I3381" t="s">
        <v>3469</v>
      </c>
      <c r="J3381">
        <v>1</v>
      </c>
      <c r="K3381" t="s">
        <v>3892</v>
      </c>
      <c r="L3381">
        <v>11.5</v>
      </c>
      <c r="M3381">
        <v>11.5</v>
      </c>
      <c r="N3381" t="s">
        <v>3469</v>
      </c>
      <c r="O3381" t="s">
        <v>461</v>
      </c>
    </row>
    <row r="3382" spans="1:15" x14ac:dyDescent="0.3">
      <c r="A3382">
        <v>197021</v>
      </c>
      <c r="B3382">
        <v>116</v>
      </c>
      <c r="C3382" t="s">
        <v>568</v>
      </c>
      <c r="D3382" t="s">
        <v>2286</v>
      </c>
      <c r="E3382" t="s">
        <v>3135</v>
      </c>
      <c r="F3382" s="452">
        <v>46042</v>
      </c>
      <c r="G3382">
        <v>24083</v>
      </c>
      <c r="H3382" t="s">
        <v>3898</v>
      </c>
      <c r="I3382" t="s">
        <v>3469</v>
      </c>
      <c r="J3382">
        <v>15</v>
      </c>
      <c r="K3382" t="s">
        <v>3892</v>
      </c>
      <c r="L3382">
        <v>63</v>
      </c>
      <c r="M3382">
        <v>4.2</v>
      </c>
      <c r="N3382" t="s">
        <v>3469</v>
      </c>
      <c r="O3382" t="s">
        <v>461</v>
      </c>
    </row>
    <row r="3383" spans="1:15" x14ac:dyDescent="0.3">
      <c r="A3383">
        <v>197021</v>
      </c>
      <c r="B3383">
        <v>116</v>
      </c>
      <c r="C3383" t="s">
        <v>568</v>
      </c>
      <c r="D3383" t="s">
        <v>2286</v>
      </c>
      <c r="E3383" t="s">
        <v>3135</v>
      </c>
      <c r="F3383" s="452">
        <v>46042</v>
      </c>
      <c r="G3383">
        <v>19465</v>
      </c>
      <c r="H3383" t="s">
        <v>4080</v>
      </c>
      <c r="I3383" t="s">
        <v>3469</v>
      </c>
      <c r="J3383">
        <v>1</v>
      </c>
      <c r="K3383" t="s">
        <v>3892</v>
      </c>
      <c r="L3383">
        <v>4.5</v>
      </c>
      <c r="M3383">
        <v>4.5</v>
      </c>
      <c r="N3383" t="s">
        <v>3469</v>
      </c>
      <c r="O3383" t="s">
        <v>461</v>
      </c>
    </row>
    <row r="3384" spans="1:15" x14ac:dyDescent="0.3">
      <c r="A3384">
        <v>197021</v>
      </c>
      <c r="B3384">
        <v>116</v>
      </c>
      <c r="C3384" t="s">
        <v>568</v>
      </c>
      <c r="D3384" t="s">
        <v>2286</v>
      </c>
      <c r="E3384" t="s">
        <v>3135</v>
      </c>
      <c r="F3384" s="452">
        <v>46042</v>
      </c>
      <c r="G3384">
        <v>19480</v>
      </c>
      <c r="H3384" t="s">
        <v>4113</v>
      </c>
      <c r="I3384" t="s">
        <v>3469</v>
      </c>
      <c r="J3384">
        <v>0.2</v>
      </c>
      <c r="K3384" t="s">
        <v>3892</v>
      </c>
      <c r="L3384">
        <v>2.5</v>
      </c>
      <c r="M3384">
        <v>12.5</v>
      </c>
      <c r="N3384" t="s">
        <v>3469</v>
      </c>
      <c r="O3384" t="s">
        <v>461</v>
      </c>
    </row>
    <row r="3385" spans="1:15" x14ac:dyDescent="0.3">
      <c r="A3385">
        <v>197021</v>
      </c>
      <c r="B3385">
        <v>116</v>
      </c>
      <c r="C3385" t="s">
        <v>568</v>
      </c>
      <c r="D3385" t="s">
        <v>2286</v>
      </c>
      <c r="E3385" t="s">
        <v>3135</v>
      </c>
      <c r="F3385" s="452">
        <v>46042</v>
      </c>
      <c r="G3385">
        <v>19488</v>
      </c>
      <c r="H3385" t="s">
        <v>4070</v>
      </c>
      <c r="I3385" t="s">
        <v>3469</v>
      </c>
      <c r="J3385">
        <v>0.3</v>
      </c>
      <c r="K3385" t="s">
        <v>3892</v>
      </c>
      <c r="L3385">
        <v>3.45</v>
      </c>
      <c r="M3385">
        <v>11.5</v>
      </c>
      <c r="N3385" t="s">
        <v>3469</v>
      </c>
      <c r="O3385" t="s">
        <v>461</v>
      </c>
    </row>
    <row r="3386" spans="1:15" x14ac:dyDescent="0.3">
      <c r="A3386">
        <v>197021</v>
      </c>
      <c r="B3386">
        <v>116</v>
      </c>
      <c r="C3386" t="s">
        <v>568</v>
      </c>
      <c r="D3386" t="s">
        <v>2286</v>
      </c>
      <c r="E3386" t="s">
        <v>3135</v>
      </c>
      <c r="F3386" s="452">
        <v>46042</v>
      </c>
      <c r="G3386">
        <v>19498</v>
      </c>
      <c r="H3386" t="s">
        <v>4065</v>
      </c>
      <c r="I3386" t="s">
        <v>3469</v>
      </c>
      <c r="J3386">
        <v>1</v>
      </c>
      <c r="K3386" t="s">
        <v>3892</v>
      </c>
      <c r="L3386">
        <v>13</v>
      </c>
      <c r="M3386">
        <v>13</v>
      </c>
      <c r="N3386" t="s">
        <v>3469</v>
      </c>
      <c r="O3386" t="s">
        <v>461</v>
      </c>
    </row>
    <row r="3387" spans="1:15" x14ac:dyDescent="0.3">
      <c r="A3387">
        <v>197021</v>
      </c>
      <c r="B3387">
        <v>116</v>
      </c>
      <c r="C3387" t="s">
        <v>568</v>
      </c>
      <c r="D3387" t="s">
        <v>2286</v>
      </c>
      <c r="E3387" t="s">
        <v>3135</v>
      </c>
      <c r="F3387" s="452">
        <v>46042</v>
      </c>
      <c r="G3387">
        <v>19553</v>
      </c>
      <c r="H3387" t="s">
        <v>4078</v>
      </c>
      <c r="I3387" t="s">
        <v>3469</v>
      </c>
      <c r="J3387">
        <v>1</v>
      </c>
      <c r="K3387" t="s">
        <v>3892</v>
      </c>
      <c r="L3387">
        <v>2.7</v>
      </c>
      <c r="M3387">
        <v>2.7</v>
      </c>
      <c r="N3387" t="s">
        <v>3469</v>
      </c>
      <c r="O3387" t="s">
        <v>461</v>
      </c>
    </row>
    <row r="3388" spans="1:15" x14ac:dyDescent="0.3">
      <c r="A3388">
        <v>197021</v>
      </c>
      <c r="B3388">
        <v>116</v>
      </c>
      <c r="C3388" t="s">
        <v>568</v>
      </c>
      <c r="D3388" t="s">
        <v>2286</v>
      </c>
      <c r="E3388" t="s">
        <v>3135</v>
      </c>
      <c r="F3388" s="452">
        <v>46042</v>
      </c>
      <c r="G3388">
        <v>19647</v>
      </c>
      <c r="H3388" t="s">
        <v>4066</v>
      </c>
      <c r="I3388" t="s">
        <v>3469</v>
      </c>
      <c r="J3388">
        <v>1</v>
      </c>
      <c r="K3388" t="s">
        <v>3892</v>
      </c>
      <c r="L3388">
        <v>9.5</v>
      </c>
      <c r="M3388">
        <v>9.5</v>
      </c>
      <c r="N3388" t="s">
        <v>3469</v>
      </c>
      <c r="O3388" t="s">
        <v>461</v>
      </c>
    </row>
    <row r="3389" spans="1:15" x14ac:dyDescent="0.3">
      <c r="A3389">
        <v>197021</v>
      </c>
      <c r="B3389">
        <v>116</v>
      </c>
      <c r="C3389" t="s">
        <v>568</v>
      </c>
      <c r="D3389" t="s">
        <v>2286</v>
      </c>
      <c r="E3389" t="s">
        <v>3135</v>
      </c>
      <c r="F3389" s="452">
        <v>46042</v>
      </c>
      <c r="G3389">
        <v>19740</v>
      </c>
      <c r="H3389" t="s">
        <v>3933</v>
      </c>
      <c r="I3389" t="s">
        <v>3469</v>
      </c>
      <c r="J3389">
        <v>6</v>
      </c>
      <c r="K3389" t="s">
        <v>3892</v>
      </c>
      <c r="L3389">
        <v>57</v>
      </c>
      <c r="M3389">
        <v>9.5</v>
      </c>
      <c r="N3389" t="s">
        <v>3469</v>
      </c>
      <c r="O3389" t="s">
        <v>461</v>
      </c>
    </row>
    <row r="3390" spans="1:15" x14ac:dyDescent="0.3">
      <c r="A3390">
        <v>197021</v>
      </c>
      <c r="B3390">
        <v>116</v>
      </c>
      <c r="C3390" t="s">
        <v>568</v>
      </c>
      <c r="D3390" t="s">
        <v>2286</v>
      </c>
      <c r="E3390" t="s">
        <v>3135</v>
      </c>
      <c r="F3390" s="452">
        <v>46042</v>
      </c>
      <c r="G3390">
        <v>19458</v>
      </c>
      <c r="H3390" t="s">
        <v>4212</v>
      </c>
      <c r="I3390" t="s">
        <v>3469</v>
      </c>
      <c r="J3390">
        <v>1</v>
      </c>
      <c r="K3390" t="s">
        <v>3892</v>
      </c>
      <c r="L3390">
        <v>11</v>
      </c>
      <c r="M3390">
        <v>11</v>
      </c>
      <c r="N3390" t="s">
        <v>3469</v>
      </c>
      <c r="O3390" t="s">
        <v>461</v>
      </c>
    </row>
    <row r="3391" spans="1:15" x14ac:dyDescent="0.3">
      <c r="A3391">
        <v>197021</v>
      </c>
      <c r="B3391">
        <v>116</v>
      </c>
      <c r="C3391" t="s">
        <v>568</v>
      </c>
      <c r="D3391" t="s">
        <v>2286</v>
      </c>
      <c r="E3391" t="s">
        <v>3135</v>
      </c>
      <c r="F3391" s="452">
        <v>46042</v>
      </c>
      <c r="G3391">
        <v>23113</v>
      </c>
      <c r="H3391" t="s">
        <v>4079</v>
      </c>
      <c r="I3391" t="s">
        <v>3469</v>
      </c>
      <c r="J3391">
        <v>1</v>
      </c>
      <c r="K3391" t="s">
        <v>3892</v>
      </c>
      <c r="L3391">
        <v>11.5</v>
      </c>
      <c r="M3391">
        <v>11.5</v>
      </c>
      <c r="N3391" t="s">
        <v>3469</v>
      </c>
      <c r="O3391" t="s">
        <v>461</v>
      </c>
    </row>
    <row r="3392" spans="1:15" x14ac:dyDescent="0.3">
      <c r="A3392">
        <v>197021</v>
      </c>
      <c r="B3392">
        <v>116</v>
      </c>
      <c r="C3392" t="s">
        <v>568</v>
      </c>
      <c r="D3392" t="s">
        <v>2286</v>
      </c>
      <c r="E3392" t="s">
        <v>3135</v>
      </c>
      <c r="F3392" s="452">
        <v>46042</v>
      </c>
      <c r="G3392">
        <v>23120</v>
      </c>
      <c r="H3392" t="s">
        <v>4111</v>
      </c>
      <c r="I3392" t="s">
        <v>3469</v>
      </c>
      <c r="J3392">
        <v>0.2</v>
      </c>
      <c r="K3392" t="s">
        <v>3892</v>
      </c>
      <c r="L3392">
        <v>13</v>
      </c>
      <c r="M3392">
        <v>65</v>
      </c>
      <c r="N3392" t="s">
        <v>3469</v>
      </c>
      <c r="O3392" t="s">
        <v>461</v>
      </c>
    </row>
    <row r="3393" spans="1:15" x14ac:dyDescent="0.3">
      <c r="A3393">
        <v>197021</v>
      </c>
      <c r="B3393">
        <v>116</v>
      </c>
      <c r="C3393" t="s">
        <v>568</v>
      </c>
      <c r="D3393" t="s">
        <v>2286</v>
      </c>
      <c r="E3393" t="s">
        <v>3135</v>
      </c>
      <c r="F3393" s="452">
        <v>46042</v>
      </c>
      <c r="G3393">
        <v>23236</v>
      </c>
      <c r="H3393" t="s">
        <v>4017</v>
      </c>
      <c r="I3393" t="s">
        <v>3469</v>
      </c>
      <c r="J3393">
        <v>3</v>
      </c>
      <c r="K3393" t="s">
        <v>3892</v>
      </c>
      <c r="L3393">
        <v>17.100000000000001</v>
      </c>
      <c r="M3393">
        <v>5.7</v>
      </c>
      <c r="N3393" t="s">
        <v>3469</v>
      </c>
      <c r="O3393" t="s">
        <v>461</v>
      </c>
    </row>
    <row r="3394" spans="1:15" x14ac:dyDescent="0.3">
      <c r="A3394">
        <v>197021</v>
      </c>
      <c r="B3394">
        <v>116</v>
      </c>
      <c r="C3394" t="s">
        <v>568</v>
      </c>
      <c r="D3394" t="s">
        <v>2286</v>
      </c>
      <c r="E3394" t="s">
        <v>3135</v>
      </c>
      <c r="F3394" s="452">
        <v>46042</v>
      </c>
      <c r="G3394">
        <v>23359</v>
      </c>
      <c r="H3394" t="s">
        <v>3932</v>
      </c>
      <c r="I3394" t="s">
        <v>3469</v>
      </c>
      <c r="J3394">
        <v>10</v>
      </c>
      <c r="K3394" t="s">
        <v>3892</v>
      </c>
      <c r="L3394">
        <v>27.5</v>
      </c>
      <c r="M3394">
        <v>2.75</v>
      </c>
      <c r="N3394" t="s">
        <v>3469</v>
      </c>
      <c r="O3394" t="s">
        <v>461</v>
      </c>
    </row>
    <row r="3395" spans="1:15" x14ac:dyDescent="0.3">
      <c r="A3395">
        <v>197021</v>
      </c>
      <c r="B3395">
        <v>116</v>
      </c>
      <c r="C3395" t="s">
        <v>568</v>
      </c>
      <c r="D3395" t="s">
        <v>2286</v>
      </c>
      <c r="E3395" t="s">
        <v>3135</v>
      </c>
      <c r="F3395" s="452">
        <v>46042</v>
      </c>
      <c r="G3395">
        <v>23361</v>
      </c>
      <c r="H3395" t="s">
        <v>4220</v>
      </c>
      <c r="I3395" t="s">
        <v>3469</v>
      </c>
      <c r="J3395">
        <v>18</v>
      </c>
      <c r="K3395" t="s">
        <v>3892</v>
      </c>
      <c r="L3395">
        <v>55.8</v>
      </c>
      <c r="M3395">
        <v>3.1</v>
      </c>
      <c r="N3395" t="s">
        <v>3469</v>
      </c>
      <c r="O3395" t="s">
        <v>461</v>
      </c>
    </row>
    <row r="3396" spans="1:15" x14ac:dyDescent="0.3">
      <c r="A3396">
        <v>197021</v>
      </c>
      <c r="B3396">
        <v>116</v>
      </c>
      <c r="C3396" t="s">
        <v>568</v>
      </c>
      <c r="D3396" t="s">
        <v>2286</v>
      </c>
      <c r="E3396" t="s">
        <v>3135</v>
      </c>
      <c r="F3396" s="452">
        <v>46042</v>
      </c>
      <c r="G3396">
        <v>23095</v>
      </c>
      <c r="H3396" t="s">
        <v>3882</v>
      </c>
      <c r="I3396" t="s">
        <v>3469</v>
      </c>
      <c r="J3396">
        <v>60</v>
      </c>
      <c r="K3396" t="s">
        <v>3872</v>
      </c>
      <c r="L3396">
        <v>57</v>
      </c>
      <c r="M3396">
        <v>0.95</v>
      </c>
      <c r="N3396" t="s">
        <v>3469</v>
      </c>
      <c r="O3396" t="s">
        <v>461</v>
      </c>
    </row>
    <row r="3397" spans="1:15" x14ac:dyDescent="0.3">
      <c r="A3397">
        <v>197021</v>
      </c>
      <c r="B3397">
        <v>116</v>
      </c>
      <c r="C3397" t="s">
        <v>568</v>
      </c>
      <c r="D3397" t="s">
        <v>2286</v>
      </c>
      <c r="E3397" t="s">
        <v>3135</v>
      </c>
      <c r="F3397" s="452">
        <v>46042</v>
      </c>
      <c r="G3397">
        <v>24037</v>
      </c>
      <c r="H3397" t="s">
        <v>4104</v>
      </c>
      <c r="I3397" t="s">
        <v>3469</v>
      </c>
      <c r="J3397">
        <v>2</v>
      </c>
      <c r="K3397" t="s">
        <v>3892</v>
      </c>
      <c r="L3397">
        <v>41</v>
      </c>
      <c r="M3397">
        <v>20.5</v>
      </c>
      <c r="N3397" t="s">
        <v>3469</v>
      </c>
      <c r="O3397" t="s">
        <v>461</v>
      </c>
    </row>
    <row r="3398" spans="1:15" x14ac:dyDescent="0.3">
      <c r="A3398">
        <v>197013</v>
      </c>
      <c r="B3398">
        <v>116</v>
      </c>
      <c r="C3398" t="s">
        <v>568</v>
      </c>
      <c r="D3398" t="s">
        <v>2262</v>
      </c>
      <c r="E3398" t="s">
        <v>3136</v>
      </c>
      <c r="F3398" s="452">
        <v>46031</v>
      </c>
      <c r="G3398">
        <v>24402</v>
      </c>
      <c r="H3398" t="s">
        <v>3896</v>
      </c>
      <c r="I3398" t="s">
        <v>3469</v>
      </c>
      <c r="J3398">
        <v>9.5</v>
      </c>
      <c r="K3398" t="s">
        <v>3892</v>
      </c>
      <c r="L3398">
        <v>353.4</v>
      </c>
      <c r="M3398">
        <v>37.200000000000003</v>
      </c>
      <c r="N3398" t="s">
        <v>4240</v>
      </c>
      <c r="O3398" t="s">
        <v>461</v>
      </c>
    </row>
    <row r="3399" spans="1:15" x14ac:dyDescent="0.3">
      <c r="A3399">
        <v>197012</v>
      </c>
      <c r="B3399">
        <v>116</v>
      </c>
      <c r="C3399" t="s">
        <v>568</v>
      </c>
      <c r="D3399" t="s">
        <v>2314</v>
      </c>
      <c r="E3399" t="s">
        <v>3137</v>
      </c>
      <c r="F3399" s="452">
        <v>46031</v>
      </c>
      <c r="G3399">
        <v>17895</v>
      </c>
      <c r="H3399" t="s">
        <v>4137</v>
      </c>
      <c r="I3399" t="s">
        <v>3497</v>
      </c>
      <c r="J3399">
        <v>5</v>
      </c>
      <c r="K3399" t="s">
        <v>3888</v>
      </c>
      <c r="L3399">
        <v>141.6</v>
      </c>
      <c r="M3399">
        <v>28.32</v>
      </c>
      <c r="N3399" t="s">
        <v>4309</v>
      </c>
      <c r="O3399" t="s">
        <v>461</v>
      </c>
    </row>
    <row r="3400" spans="1:15" x14ac:dyDescent="0.3">
      <c r="A3400">
        <v>197012</v>
      </c>
      <c r="B3400">
        <v>116</v>
      </c>
      <c r="C3400" t="s">
        <v>568</v>
      </c>
      <c r="D3400" t="s">
        <v>2314</v>
      </c>
      <c r="E3400" t="s">
        <v>3137</v>
      </c>
      <c r="F3400" s="452">
        <v>46031</v>
      </c>
      <c r="G3400">
        <v>17886</v>
      </c>
      <c r="H3400" t="s">
        <v>3935</v>
      </c>
      <c r="I3400" t="s">
        <v>3497</v>
      </c>
      <c r="J3400">
        <v>10</v>
      </c>
      <c r="K3400" t="s">
        <v>3888</v>
      </c>
      <c r="L3400">
        <v>283.2</v>
      </c>
      <c r="M3400">
        <v>28.32</v>
      </c>
      <c r="N3400" t="s">
        <v>4309</v>
      </c>
      <c r="O3400" t="s">
        <v>461</v>
      </c>
    </row>
    <row r="3401" spans="1:15" x14ac:dyDescent="0.3">
      <c r="A3401">
        <v>197012</v>
      </c>
      <c r="B3401">
        <v>116</v>
      </c>
      <c r="C3401" t="s">
        <v>568</v>
      </c>
      <c r="D3401" t="s">
        <v>2314</v>
      </c>
      <c r="E3401" t="s">
        <v>3137</v>
      </c>
      <c r="F3401" s="452">
        <v>46031</v>
      </c>
      <c r="G3401">
        <v>17896</v>
      </c>
      <c r="H3401" t="s">
        <v>3972</v>
      </c>
      <c r="I3401" t="s">
        <v>3497</v>
      </c>
      <c r="J3401">
        <v>2</v>
      </c>
      <c r="K3401" t="s">
        <v>3888</v>
      </c>
      <c r="L3401">
        <v>80.58</v>
      </c>
      <c r="M3401">
        <v>40.29</v>
      </c>
      <c r="N3401" t="s">
        <v>4309</v>
      </c>
      <c r="O3401" t="s">
        <v>461</v>
      </c>
    </row>
    <row r="3402" spans="1:15" x14ac:dyDescent="0.3">
      <c r="A3402">
        <v>197012</v>
      </c>
      <c r="B3402">
        <v>116</v>
      </c>
      <c r="C3402" t="s">
        <v>568</v>
      </c>
      <c r="D3402" t="s">
        <v>2314</v>
      </c>
      <c r="E3402" t="s">
        <v>3137</v>
      </c>
      <c r="F3402" s="452">
        <v>46031</v>
      </c>
      <c r="G3402">
        <v>17897</v>
      </c>
      <c r="H3402" t="s">
        <v>4094</v>
      </c>
      <c r="I3402" t="s">
        <v>3497</v>
      </c>
      <c r="J3402">
        <v>1</v>
      </c>
      <c r="K3402" t="s">
        <v>3888</v>
      </c>
      <c r="L3402">
        <v>40.29</v>
      </c>
      <c r="M3402">
        <v>40.29</v>
      </c>
      <c r="N3402" t="s">
        <v>4309</v>
      </c>
      <c r="O3402" t="s">
        <v>461</v>
      </c>
    </row>
    <row r="3403" spans="1:15" x14ac:dyDescent="0.3">
      <c r="A3403">
        <v>196540</v>
      </c>
      <c r="B3403">
        <v>116</v>
      </c>
      <c r="C3403" t="s">
        <v>568</v>
      </c>
      <c r="D3403" t="s">
        <v>2357</v>
      </c>
      <c r="E3403" t="s">
        <v>3138</v>
      </c>
      <c r="F3403" s="452">
        <v>46027</v>
      </c>
      <c r="G3403">
        <v>20278</v>
      </c>
      <c r="H3403" t="s">
        <v>3939</v>
      </c>
      <c r="I3403" t="s">
        <v>3469</v>
      </c>
      <c r="J3403">
        <v>10</v>
      </c>
      <c r="K3403" t="s">
        <v>3872</v>
      </c>
      <c r="L3403">
        <v>332.7</v>
      </c>
      <c r="M3403">
        <v>33.270000000000003</v>
      </c>
      <c r="N3403" t="s">
        <v>3469</v>
      </c>
      <c r="O3403" t="s">
        <v>461</v>
      </c>
    </row>
    <row r="3404" spans="1:15" x14ac:dyDescent="0.3">
      <c r="A3404">
        <v>195573</v>
      </c>
      <c r="B3404">
        <v>116</v>
      </c>
      <c r="C3404" t="s">
        <v>568</v>
      </c>
      <c r="D3404" t="s">
        <v>2260</v>
      </c>
      <c r="E3404" t="s">
        <v>3139</v>
      </c>
      <c r="F3404" s="452">
        <v>46035</v>
      </c>
      <c r="G3404">
        <v>18685</v>
      </c>
      <c r="H3404" t="s">
        <v>3945</v>
      </c>
      <c r="I3404" t="s">
        <v>3469</v>
      </c>
      <c r="J3404">
        <v>6.1</v>
      </c>
      <c r="K3404" t="s">
        <v>4197</v>
      </c>
      <c r="L3404">
        <v>237.9</v>
      </c>
      <c r="M3404">
        <v>39</v>
      </c>
      <c r="N3404" t="s">
        <v>4240</v>
      </c>
      <c r="O3404" t="s">
        <v>461</v>
      </c>
    </row>
    <row r="3405" spans="1:15" x14ac:dyDescent="0.3">
      <c r="A3405">
        <v>195573</v>
      </c>
      <c r="B3405">
        <v>116</v>
      </c>
      <c r="C3405" t="s">
        <v>568</v>
      </c>
      <c r="D3405" t="s">
        <v>2260</v>
      </c>
      <c r="E3405" t="s">
        <v>3139</v>
      </c>
      <c r="F3405" s="452">
        <v>46035</v>
      </c>
      <c r="G3405">
        <v>24200</v>
      </c>
      <c r="H3405" t="s">
        <v>3975</v>
      </c>
      <c r="I3405" t="s">
        <v>3469</v>
      </c>
      <c r="J3405">
        <v>5.0999999999999996</v>
      </c>
      <c r="K3405" t="s">
        <v>3892</v>
      </c>
      <c r="L3405">
        <v>167.79</v>
      </c>
      <c r="M3405">
        <v>32.9</v>
      </c>
      <c r="N3405" t="s">
        <v>4240</v>
      </c>
      <c r="O3405" t="s">
        <v>461</v>
      </c>
    </row>
    <row r="3406" spans="1:15" x14ac:dyDescent="0.3">
      <c r="A3406">
        <v>195573</v>
      </c>
      <c r="B3406">
        <v>116</v>
      </c>
      <c r="C3406" t="s">
        <v>568</v>
      </c>
      <c r="D3406" t="s">
        <v>2260</v>
      </c>
      <c r="E3406" t="s">
        <v>3139</v>
      </c>
      <c r="F3406" s="452">
        <v>46035</v>
      </c>
      <c r="G3406">
        <v>24072</v>
      </c>
      <c r="H3406" t="s">
        <v>4002</v>
      </c>
      <c r="I3406" t="s">
        <v>3469</v>
      </c>
      <c r="J3406">
        <v>3.4</v>
      </c>
      <c r="K3406" t="s">
        <v>3892</v>
      </c>
      <c r="L3406">
        <v>748</v>
      </c>
      <c r="M3406">
        <v>220</v>
      </c>
      <c r="N3406" t="s">
        <v>4240</v>
      </c>
      <c r="O3406" t="s">
        <v>461</v>
      </c>
    </row>
    <row r="3407" spans="1:15" x14ac:dyDescent="0.3">
      <c r="A3407">
        <v>195573</v>
      </c>
      <c r="B3407">
        <v>116</v>
      </c>
      <c r="C3407" t="s">
        <v>568</v>
      </c>
      <c r="D3407" t="s">
        <v>2260</v>
      </c>
      <c r="E3407" t="s">
        <v>3139</v>
      </c>
      <c r="F3407" s="452">
        <v>46035</v>
      </c>
      <c r="G3407">
        <v>22734</v>
      </c>
      <c r="H3407" t="s">
        <v>3955</v>
      </c>
      <c r="I3407" t="s">
        <v>3469</v>
      </c>
      <c r="J3407">
        <v>10.1</v>
      </c>
      <c r="K3407" t="s">
        <v>3892</v>
      </c>
      <c r="L3407">
        <v>999.9</v>
      </c>
      <c r="M3407">
        <v>99</v>
      </c>
      <c r="N3407" t="s">
        <v>4240</v>
      </c>
      <c r="O3407" t="s">
        <v>461</v>
      </c>
    </row>
    <row r="3408" spans="1:15" x14ac:dyDescent="0.3">
      <c r="A3408">
        <v>195561</v>
      </c>
      <c r="B3408">
        <v>116</v>
      </c>
      <c r="C3408" t="s">
        <v>568</v>
      </c>
      <c r="D3408" t="s">
        <v>2314</v>
      </c>
      <c r="E3408" t="s">
        <v>3140</v>
      </c>
      <c r="F3408" s="452">
        <v>46031</v>
      </c>
      <c r="G3408">
        <v>18636</v>
      </c>
      <c r="H3408" t="s">
        <v>3921</v>
      </c>
      <c r="I3408" t="s">
        <v>3497</v>
      </c>
      <c r="J3408">
        <v>20</v>
      </c>
      <c r="K3408" t="s">
        <v>3922</v>
      </c>
      <c r="L3408">
        <v>9656</v>
      </c>
      <c r="M3408">
        <v>482.8</v>
      </c>
      <c r="N3408" t="s">
        <v>3497</v>
      </c>
      <c r="O3408" t="s">
        <v>461</v>
      </c>
    </row>
    <row r="3409" spans="1:15" x14ac:dyDescent="0.3">
      <c r="A3409">
        <v>195561</v>
      </c>
      <c r="B3409">
        <v>116</v>
      </c>
      <c r="C3409" t="s">
        <v>568</v>
      </c>
      <c r="D3409" t="s">
        <v>2314</v>
      </c>
      <c r="E3409" t="s">
        <v>3140</v>
      </c>
      <c r="F3409" s="452">
        <v>46031</v>
      </c>
      <c r="G3409">
        <v>17895</v>
      </c>
      <c r="H3409" t="s">
        <v>4137</v>
      </c>
      <c r="I3409" t="s">
        <v>3497</v>
      </c>
      <c r="J3409">
        <v>5</v>
      </c>
      <c r="K3409" t="s">
        <v>3888</v>
      </c>
      <c r="L3409">
        <v>0</v>
      </c>
      <c r="M3409">
        <v>0</v>
      </c>
      <c r="N3409" t="s">
        <v>3497</v>
      </c>
      <c r="O3409" t="s">
        <v>461</v>
      </c>
    </row>
    <row r="3410" spans="1:15" x14ac:dyDescent="0.3">
      <c r="A3410">
        <v>195561</v>
      </c>
      <c r="B3410">
        <v>116</v>
      </c>
      <c r="C3410" t="s">
        <v>568</v>
      </c>
      <c r="D3410" t="s">
        <v>2314</v>
      </c>
      <c r="E3410" t="s">
        <v>3140</v>
      </c>
      <c r="F3410" s="452">
        <v>46031</v>
      </c>
      <c r="G3410">
        <v>17886</v>
      </c>
      <c r="H3410" t="s">
        <v>3935</v>
      </c>
      <c r="I3410" t="s">
        <v>3497</v>
      </c>
      <c r="J3410">
        <v>10</v>
      </c>
      <c r="K3410" t="s">
        <v>3888</v>
      </c>
      <c r="L3410">
        <v>0</v>
      </c>
      <c r="M3410">
        <v>0</v>
      </c>
      <c r="N3410" t="s">
        <v>3497</v>
      </c>
      <c r="O3410" t="s">
        <v>461</v>
      </c>
    </row>
    <row r="3411" spans="1:15" x14ac:dyDescent="0.3">
      <c r="A3411">
        <v>195561</v>
      </c>
      <c r="B3411">
        <v>116</v>
      </c>
      <c r="C3411" t="s">
        <v>568</v>
      </c>
      <c r="D3411" t="s">
        <v>2314</v>
      </c>
      <c r="E3411" t="s">
        <v>3140</v>
      </c>
      <c r="F3411" s="452">
        <v>46031</v>
      </c>
      <c r="G3411">
        <v>17896</v>
      </c>
      <c r="H3411" t="s">
        <v>3972</v>
      </c>
      <c r="I3411" t="s">
        <v>3497</v>
      </c>
      <c r="J3411">
        <v>2</v>
      </c>
      <c r="K3411" t="s">
        <v>3888</v>
      </c>
      <c r="L3411">
        <v>80.58</v>
      </c>
      <c r="M3411">
        <v>40.29</v>
      </c>
      <c r="N3411" t="s">
        <v>3497</v>
      </c>
      <c r="O3411" t="s">
        <v>461</v>
      </c>
    </row>
    <row r="3412" spans="1:15" x14ac:dyDescent="0.3">
      <c r="A3412">
        <v>195561</v>
      </c>
      <c r="B3412">
        <v>116</v>
      </c>
      <c r="C3412" t="s">
        <v>568</v>
      </c>
      <c r="D3412" t="s">
        <v>2314</v>
      </c>
      <c r="E3412" t="s">
        <v>3140</v>
      </c>
      <c r="F3412" s="452">
        <v>46031</v>
      </c>
      <c r="G3412">
        <v>17897</v>
      </c>
      <c r="H3412" t="s">
        <v>4094</v>
      </c>
      <c r="I3412" t="s">
        <v>3497</v>
      </c>
      <c r="J3412">
        <v>1</v>
      </c>
      <c r="K3412" t="s">
        <v>3888</v>
      </c>
      <c r="L3412">
        <v>40.29</v>
      </c>
      <c r="M3412">
        <v>40.29</v>
      </c>
      <c r="N3412" t="s">
        <v>3497</v>
      </c>
      <c r="O3412" t="s">
        <v>461</v>
      </c>
    </row>
    <row r="3413" spans="1:15" x14ac:dyDescent="0.3">
      <c r="A3413">
        <v>195557</v>
      </c>
      <c r="B3413">
        <v>116</v>
      </c>
      <c r="C3413" t="s">
        <v>568</v>
      </c>
      <c r="D3413" t="s">
        <v>2314</v>
      </c>
      <c r="E3413" t="s">
        <v>3141</v>
      </c>
      <c r="F3413" s="452">
        <v>46035</v>
      </c>
      <c r="G3413">
        <v>17895</v>
      </c>
      <c r="H3413" t="s">
        <v>4137</v>
      </c>
      <c r="I3413" t="s">
        <v>3497</v>
      </c>
      <c r="J3413">
        <v>10</v>
      </c>
      <c r="K3413" t="s">
        <v>3888</v>
      </c>
      <c r="L3413">
        <v>0</v>
      </c>
      <c r="M3413">
        <v>0</v>
      </c>
      <c r="N3413" t="s">
        <v>4276</v>
      </c>
      <c r="O3413" t="s">
        <v>461</v>
      </c>
    </row>
    <row r="3414" spans="1:15" x14ac:dyDescent="0.3">
      <c r="A3414">
        <v>195557</v>
      </c>
      <c r="B3414">
        <v>116</v>
      </c>
      <c r="C3414" t="s">
        <v>568</v>
      </c>
      <c r="D3414" t="s">
        <v>2314</v>
      </c>
      <c r="E3414" t="s">
        <v>3141</v>
      </c>
      <c r="F3414" s="452">
        <v>46035</v>
      </c>
      <c r="G3414">
        <v>17886</v>
      </c>
      <c r="H3414" t="s">
        <v>3935</v>
      </c>
      <c r="I3414" t="s">
        <v>3497</v>
      </c>
      <c r="J3414">
        <v>6</v>
      </c>
      <c r="K3414" t="s">
        <v>3888</v>
      </c>
      <c r="L3414">
        <v>0</v>
      </c>
      <c r="M3414">
        <v>0</v>
      </c>
      <c r="N3414" t="s">
        <v>4276</v>
      </c>
      <c r="O3414" t="s">
        <v>461</v>
      </c>
    </row>
    <row r="3415" spans="1:15" x14ac:dyDescent="0.3">
      <c r="A3415">
        <v>195557</v>
      </c>
      <c r="B3415">
        <v>116</v>
      </c>
      <c r="C3415" t="s">
        <v>568</v>
      </c>
      <c r="D3415" t="s">
        <v>2314</v>
      </c>
      <c r="E3415" t="s">
        <v>3141</v>
      </c>
      <c r="F3415" s="452">
        <v>46035</v>
      </c>
      <c r="G3415">
        <v>17903</v>
      </c>
      <c r="H3415" t="s">
        <v>3971</v>
      </c>
      <c r="I3415" t="s">
        <v>3497</v>
      </c>
      <c r="J3415">
        <v>6</v>
      </c>
      <c r="K3415" t="s">
        <v>3888</v>
      </c>
      <c r="L3415">
        <v>0</v>
      </c>
      <c r="M3415">
        <v>0</v>
      </c>
      <c r="N3415" t="s">
        <v>4276</v>
      </c>
      <c r="O3415" t="s">
        <v>461</v>
      </c>
    </row>
    <row r="3416" spans="1:15" x14ac:dyDescent="0.3">
      <c r="A3416">
        <v>195557</v>
      </c>
      <c r="B3416">
        <v>116</v>
      </c>
      <c r="C3416" t="s">
        <v>568</v>
      </c>
      <c r="D3416" t="s">
        <v>2314</v>
      </c>
      <c r="E3416" t="s">
        <v>3141</v>
      </c>
      <c r="F3416" s="452">
        <v>46035</v>
      </c>
      <c r="G3416">
        <v>17914</v>
      </c>
      <c r="H3416" t="s">
        <v>3997</v>
      </c>
      <c r="I3416" t="s">
        <v>3497</v>
      </c>
      <c r="J3416">
        <v>3</v>
      </c>
      <c r="K3416" t="s">
        <v>3888</v>
      </c>
      <c r="L3416">
        <v>96.72</v>
      </c>
      <c r="M3416">
        <v>32.24</v>
      </c>
      <c r="N3416" t="s">
        <v>4276</v>
      </c>
      <c r="O3416" t="s">
        <v>461</v>
      </c>
    </row>
    <row r="3417" spans="1:15" x14ac:dyDescent="0.3">
      <c r="A3417">
        <v>195554</v>
      </c>
      <c r="B3417">
        <v>116</v>
      </c>
      <c r="C3417" t="s">
        <v>568</v>
      </c>
      <c r="D3417" t="s">
        <v>2314</v>
      </c>
      <c r="E3417" t="s">
        <v>3142</v>
      </c>
      <c r="F3417" s="452">
        <v>46035</v>
      </c>
      <c r="G3417">
        <v>18636</v>
      </c>
      <c r="H3417" t="s">
        <v>3921</v>
      </c>
      <c r="I3417" t="s">
        <v>3497</v>
      </c>
      <c r="J3417">
        <v>6</v>
      </c>
      <c r="K3417" t="s">
        <v>3922</v>
      </c>
      <c r="L3417">
        <v>2896.8</v>
      </c>
      <c r="M3417">
        <v>482.8</v>
      </c>
      <c r="N3417" t="s">
        <v>4276</v>
      </c>
      <c r="O3417" t="s">
        <v>461</v>
      </c>
    </row>
    <row r="3418" spans="1:15" x14ac:dyDescent="0.3">
      <c r="A3418">
        <v>195551</v>
      </c>
      <c r="B3418">
        <v>116</v>
      </c>
      <c r="C3418" t="s">
        <v>568</v>
      </c>
      <c r="D3418" t="s">
        <v>2314</v>
      </c>
      <c r="E3418" t="s">
        <v>3143</v>
      </c>
      <c r="F3418" s="452">
        <v>46037</v>
      </c>
      <c r="G3418">
        <v>18636</v>
      </c>
      <c r="H3418" t="s">
        <v>3921</v>
      </c>
      <c r="I3418" t="s">
        <v>3497</v>
      </c>
      <c r="J3418">
        <v>1</v>
      </c>
      <c r="K3418" t="s">
        <v>3922</v>
      </c>
      <c r="L3418">
        <v>482.8</v>
      </c>
      <c r="M3418">
        <v>482.8</v>
      </c>
      <c r="N3418" t="s">
        <v>3497</v>
      </c>
      <c r="O3418" t="s">
        <v>461</v>
      </c>
    </row>
    <row r="3419" spans="1:15" x14ac:dyDescent="0.3">
      <c r="A3419">
        <v>195549</v>
      </c>
      <c r="B3419">
        <v>116</v>
      </c>
      <c r="C3419" t="s">
        <v>568</v>
      </c>
      <c r="D3419" t="s">
        <v>2314</v>
      </c>
      <c r="E3419" t="s">
        <v>3144</v>
      </c>
      <c r="F3419" s="452">
        <v>46037</v>
      </c>
      <c r="G3419">
        <v>18640</v>
      </c>
      <c r="H3419" t="s">
        <v>3994</v>
      </c>
      <c r="I3419" t="s">
        <v>3497</v>
      </c>
      <c r="J3419">
        <v>3</v>
      </c>
      <c r="K3419" t="s">
        <v>3922</v>
      </c>
      <c r="L3419">
        <v>918</v>
      </c>
      <c r="M3419">
        <v>306</v>
      </c>
      <c r="N3419" t="s">
        <v>4276</v>
      </c>
      <c r="O3419" t="s">
        <v>461</v>
      </c>
    </row>
    <row r="3420" spans="1:15" x14ac:dyDescent="0.3">
      <c r="A3420">
        <v>195543</v>
      </c>
      <c r="B3420">
        <v>116</v>
      </c>
      <c r="C3420" t="s">
        <v>568</v>
      </c>
      <c r="D3420" t="s">
        <v>2310</v>
      </c>
      <c r="E3420" t="s">
        <v>3145</v>
      </c>
      <c r="F3420" s="452">
        <v>46035</v>
      </c>
      <c r="G3420">
        <v>17397</v>
      </c>
      <c r="H3420" t="s">
        <v>4223</v>
      </c>
      <c r="I3420" t="s">
        <v>4199</v>
      </c>
      <c r="J3420">
        <v>1</v>
      </c>
      <c r="K3420" t="s">
        <v>4224</v>
      </c>
      <c r="L3420">
        <v>31.82</v>
      </c>
      <c r="M3420">
        <v>31.82</v>
      </c>
      <c r="N3420" t="s">
        <v>2176</v>
      </c>
      <c r="O3420" t="s">
        <v>461</v>
      </c>
    </row>
    <row r="3421" spans="1:15" x14ac:dyDescent="0.3">
      <c r="A3421">
        <v>195543</v>
      </c>
      <c r="B3421">
        <v>116</v>
      </c>
      <c r="C3421" t="s">
        <v>568</v>
      </c>
      <c r="D3421" t="s">
        <v>2310</v>
      </c>
      <c r="E3421" t="s">
        <v>3145</v>
      </c>
      <c r="F3421" s="452">
        <v>46035</v>
      </c>
      <c r="G3421">
        <v>21423</v>
      </c>
      <c r="H3421" t="s">
        <v>4225</v>
      </c>
      <c r="I3421" t="s">
        <v>4199</v>
      </c>
      <c r="J3421">
        <v>1</v>
      </c>
      <c r="K3421" t="s">
        <v>4224</v>
      </c>
      <c r="L3421">
        <v>31.82</v>
      </c>
      <c r="M3421">
        <v>31.82</v>
      </c>
      <c r="N3421" t="s">
        <v>2176</v>
      </c>
      <c r="O3421" t="s">
        <v>461</v>
      </c>
    </row>
    <row r="3422" spans="1:15" x14ac:dyDescent="0.3">
      <c r="A3422">
        <v>195540</v>
      </c>
      <c r="B3422">
        <v>116</v>
      </c>
      <c r="C3422" t="s">
        <v>568</v>
      </c>
      <c r="D3422" t="s">
        <v>2310</v>
      </c>
      <c r="E3422" t="s">
        <v>3146</v>
      </c>
      <c r="F3422" s="452">
        <v>46036</v>
      </c>
      <c r="G3422">
        <v>20702</v>
      </c>
      <c r="H3422" t="s">
        <v>4006</v>
      </c>
      <c r="I3422" t="s">
        <v>3469</v>
      </c>
      <c r="J3422">
        <v>2</v>
      </c>
      <c r="K3422" t="s">
        <v>3966</v>
      </c>
      <c r="L3422">
        <v>85.8</v>
      </c>
      <c r="M3422">
        <v>42.9</v>
      </c>
      <c r="N3422" t="s">
        <v>4240</v>
      </c>
      <c r="O3422" t="s">
        <v>461</v>
      </c>
    </row>
    <row r="3423" spans="1:15" x14ac:dyDescent="0.3">
      <c r="A3423">
        <v>195540</v>
      </c>
      <c r="B3423">
        <v>116</v>
      </c>
      <c r="C3423" t="s">
        <v>568</v>
      </c>
      <c r="D3423" t="s">
        <v>2310</v>
      </c>
      <c r="E3423" t="s">
        <v>3146</v>
      </c>
      <c r="F3423" s="452">
        <v>46036</v>
      </c>
      <c r="G3423">
        <v>20234</v>
      </c>
      <c r="H3423" t="s">
        <v>3979</v>
      </c>
      <c r="I3423" t="s">
        <v>3469</v>
      </c>
      <c r="J3423">
        <v>5</v>
      </c>
      <c r="K3423" t="s">
        <v>3892</v>
      </c>
      <c r="L3423">
        <v>104.5</v>
      </c>
      <c r="M3423">
        <v>20.9</v>
      </c>
      <c r="N3423" t="s">
        <v>4240</v>
      </c>
      <c r="O3423" t="s">
        <v>461</v>
      </c>
    </row>
    <row r="3424" spans="1:15" x14ac:dyDescent="0.3">
      <c r="A3424">
        <v>195540</v>
      </c>
      <c r="B3424">
        <v>116</v>
      </c>
      <c r="C3424" t="s">
        <v>568</v>
      </c>
      <c r="D3424" t="s">
        <v>2310</v>
      </c>
      <c r="E3424" t="s">
        <v>3146</v>
      </c>
      <c r="F3424" s="452">
        <v>46036</v>
      </c>
      <c r="G3424">
        <v>19416</v>
      </c>
      <c r="H3424" t="s">
        <v>4411</v>
      </c>
      <c r="I3424" t="s">
        <v>3469</v>
      </c>
      <c r="J3424">
        <v>2</v>
      </c>
      <c r="K3424" t="s">
        <v>3872</v>
      </c>
      <c r="L3424">
        <v>27.98</v>
      </c>
      <c r="M3424">
        <v>13.99</v>
      </c>
      <c r="N3424" t="s">
        <v>4240</v>
      </c>
      <c r="O3424" t="s">
        <v>461</v>
      </c>
    </row>
    <row r="3425" spans="1:15" x14ac:dyDescent="0.3">
      <c r="A3425">
        <v>195537</v>
      </c>
      <c r="B3425">
        <v>116</v>
      </c>
      <c r="C3425" t="s">
        <v>568</v>
      </c>
      <c r="D3425" t="s">
        <v>2776</v>
      </c>
      <c r="E3425" t="s">
        <v>3147</v>
      </c>
      <c r="F3425" s="452">
        <v>46035</v>
      </c>
      <c r="G3425">
        <v>18315</v>
      </c>
      <c r="H3425" t="s">
        <v>4088</v>
      </c>
      <c r="I3425" t="s">
        <v>3497</v>
      </c>
      <c r="J3425">
        <v>2</v>
      </c>
      <c r="K3425" t="s">
        <v>3878</v>
      </c>
      <c r="L3425">
        <v>248</v>
      </c>
      <c r="M3425">
        <v>124</v>
      </c>
      <c r="N3425" t="s">
        <v>4276</v>
      </c>
      <c r="O3425" t="s">
        <v>461</v>
      </c>
    </row>
    <row r="3426" spans="1:15" x14ac:dyDescent="0.3">
      <c r="A3426">
        <v>195537</v>
      </c>
      <c r="B3426">
        <v>116</v>
      </c>
      <c r="C3426" t="s">
        <v>568</v>
      </c>
      <c r="D3426" t="s">
        <v>2776</v>
      </c>
      <c r="E3426" t="s">
        <v>3147</v>
      </c>
      <c r="F3426" s="452">
        <v>46035</v>
      </c>
      <c r="G3426">
        <v>18233</v>
      </c>
      <c r="H3426" t="s">
        <v>4090</v>
      </c>
      <c r="I3426" t="s">
        <v>3497</v>
      </c>
      <c r="J3426">
        <v>1</v>
      </c>
      <c r="K3426" t="s">
        <v>3878</v>
      </c>
      <c r="L3426">
        <v>98</v>
      </c>
      <c r="M3426">
        <v>98</v>
      </c>
      <c r="N3426" t="s">
        <v>4276</v>
      </c>
      <c r="O3426" t="s">
        <v>461</v>
      </c>
    </row>
    <row r="3427" spans="1:15" x14ac:dyDescent="0.3">
      <c r="A3427">
        <v>195536</v>
      </c>
      <c r="B3427">
        <v>116</v>
      </c>
      <c r="C3427" t="s">
        <v>568</v>
      </c>
      <c r="D3427" t="s">
        <v>2308</v>
      </c>
      <c r="E3427" t="s">
        <v>3148</v>
      </c>
      <c r="F3427" s="452">
        <v>46029</v>
      </c>
      <c r="G3427">
        <v>18832</v>
      </c>
      <c r="H3427" t="s">
        <v>3900</v>
      </c>
      <c r="I3427" t="s">
        <v>3469</v>
      </c>
      <c r="J3427">
        <v>20</v>
      </c>
      <c r="K3427" t="s">
        <v>3892</v>
      </c>
      <c r="L3427">
        <v>798</v>
      </c>
      <c r="M3427">
        <v>39.9</v>
      </c>
      <c r="N3427" t="s">
        <v>4240</v>
      </c>
      <c r="O3427" t="s">
        <v>461</v>
      </c>
    </row>
    <row r="3428" spans="1:15" x14ac:dyDescent="0.3">
      <c r="A3428">
        <v>195536</v>
      </c>
      <c r="B3428">
        <v>116</v>
      </c>
      <c r="C3428" t="s">
        <v>568</v>
      </c>
      <c r="D3428" t="s">
        <v>2308</v>
      </c>
      <c r="E3428" t="s">
        <v>3148</v>
      </c>
      <c r="F3428" s="452">
        <v>46029</v>
      </c>
      <c r="G3428">
        <v>27312</v>
      </c>
      <c r="H3428" t="s">
        <v>3927</v>
      </c>
      <c r="I3428" t="s">
        <v>3469</v>
      </c>
      <c r="J3428">
        <v>16.3</v>
      </c>
      <c r="K3428" t="s">
        <v>3892</v>
      </c>
      <c r="L3428">
        <v>795.44</v>
      </c>
      <c r="M3428">
        <v>48.8</v>
      </c>
      <c r="N3428" t="s">
        <v>4240</v>
      </c>
      <c r="O3428" t="s">
        <v>461</v>
      </c>
    </row>
    <row r="3429" spans="1:15" x14ac:dyDescent="0.3">
      <c r="A3429">
        <v>195533</v>
      </c>
      <c r="B3429">
        <v>116</v>
      </c>
      <c r="C3429" t="s">
        <v>568</v>
      </c>
      <c r="D3429" t="s">
        <v>2308</v>
      </c>
      <c r="E3429" t="s">
        <v>3149</v>
      </c>
      <c r="F3429" s="452">
        <v>46029</v>
      </c>
      <c r="G3429">
        <v>27901</v>
      </c>
      <c r="H3429" t="s">
        <v>3942</v>
      </c>
      <c r="I3429" t="s">
        <v>3469</v>
      </c>
      <c r="J3429">
        <v>10.38</v>
      </c>
      <c r="K3429" t="s">
        <v>3892</v>
      </c>
      <c r="L3429">
        <v>1307.8800000000001</v>
      </c>
      <c r="M3429">
        <v>126</v>
      </c>
      <c r="N3429" t="s">
        <v>4240</v>
      </c>
      <c r="O3429" t="s">
        <v>461</v>
      </c>
    </row>
    <row r="3430" spans="1:15" x14ac:dyDescent="0.3">
      <c r="A3430">
        <v>195532</v>
      </c>
      <c r="B3430">
        <v>116</v>
      </c>
      <c r="C3430" t="s">
        <v>568</v>
      </c>
      <c r="D3430" t="s">
        <v>2308</v>
      </c>
      <c r="E3430" t="s">
        <v>3150</v>
      </c>
      <c r="F3430" s="452">
        <v>46036</v>
      </c>
      <c r="G3430">
        <v>18832</v>
      </c>
      <c r="H3430" t="s">
        <v>3900</v>
      </c>
      <c r="I3430" t="s">
        <v>3469</v>
      </c>
      <c r="J3430">
        <v>25</v>
      </c>
      <c r="K3430" t="s">
        <v>3892</v>
      </c>
      <c r="L3430">
        <v>997.5</v>
      </c>
      <c r="M3430">
        <v>39.9</v>
      </c>
      <c r="N3430" t="s">
        <v>4240</v>
      </c>
      <c r="O3430" t="s">
        <v>461</v>
      </c>
    </row>
    <row r="3431" spans="1:15" x14ac:dyDescent="0.3">
      <c r="A3431">
        <v>195502</v>
      </c>
      <c r="B3431">
        <v>116</v>
      </c>
      <c r="C3431" t="s">
        <v>568</v>
      </c>
      <c r="D3431" t="s">
        <v>2537</v>
      </c>
      <c r="E3431" t="s">
        <v>3151</v>
      </c>
      <c r="F3431" s="452">
        <v>46029</v>
      </c>
      <c r="G3431">
        <v>26437</v>
      </c>
      <c r="H3431" t="s">
        <v>4412</v>
      </c>
      <c r="I3431" t="s">
        <v>4199</v>
      </c>
      <c r="J3431">
        <v>4</v>
      </c>
      <c r="K3431" t="s">
        <v>3881</v>
      </c>
      <c r="L3431">
        <v>1188</v>
      </c>
      <c r="M3431">
        <v>297</v>
      </c>
      <c r="N3431" t="s">
        <v>4294</v>
      </c>
      <c r="O3431" t="s">
        <v>461</v>
      </c>
    </row>
    <row r="3432" spans="1:15" x14ac:dyDescent="0.3">
      <c r="A3432">
        <v>195486</v>
      </c>
      <c r="B3432">
        <v>116</v>
      </c>
      <c r="C3432" t="s">
        <v>568</v>
      </c>
      <c r="D3432" t="s">
        <v>2429</v>
      </c>
      <c r="E3432" t="s">
        <v>3152</v>
      </c>
      <c r="F3432" s="452">
        <v>46035</v>
      </c>
      <c r="G3432">
        <v>19139</v>
      </c>
      <c r="H3432" t="s">
        <v>3887</v>
      </c>
      <c r="I3432" t="s">
        <v>3469</v>
      </c>
      <c r="J3432">
        <v>20</v>
      </c>
      <c r="K3432" t="s">
        <v>3888</v>
      </c>
      <c r="L3432">
        <v>182</v>
      </c>
      <c r="M3432">
        <v>9.1</v>
      </c>
      <c r="N3432" t="s">
        <v>4240</v>
      </c>
      <c r="O3432" t="s">
        <v>461</v>
      </c>
    </row>
    <row r="3433" spans="1:15" x14ac:dyDescent="0.3">
      <c r="A3433">
        <v>195483</v>
      </c>
      <c r="B3433">
        <v>116</v>
      </c>
      <c r="C3433" t="s">
        <v>568</v>
      </c>
      <c r="D3433" t="s">
        <v>2429</v>
      </c>
      <c r="E3433" t="s">
        <v>3153</v>
      </c>
      <c r="F3433" s="452">
        <v>46038</v>
      </c>
      <c r="G3433">
        <v>19415</v>
      </c>
      <c r="H3433" t="s">
        <v>3941</v>
      </c>
      <c r="I3433" t="s">
        <v>3469</v>
      </c>
      <c r="J3433">
        <v>12</v>
      </c>
      <c r="K3433" t="s">
        <v>3872</v>
      </c>
      <c r="L3433">
        <v>99.96</v>
      </c>
      <c r="M3433">
        <v>8.33</v>
      </c>
      <c r="N3433" t="s">
        <v>4240</v>
      </c>
      <c r="O3433" t="s">
        <v>461</v>
      </c>
    </row>
    <row r="3434" spans="1:15" x14ac:dyDescent="0.3">
      <c r="A3434">
        <v>195483</v>
      </c>
      <c r="B3434">
        <v>116</v>
      </c>
      <c r="C3434" t="s">
        <v>568</v>
      </c>
      <c r="D3434" t="s">
        <v>2429</v>
      </c>
      <c r="E3434" t="s">
        <v>3153</v>
      </c>
      <c r="F3434" s="452">
        <v>46038</v>
      </c>
      <c r="G3434">
        <v>20809</v>
      </c>
      <c r="H3434" t="s">
        <v>4005</v>
      </c>
      <c r="I3434" t="s">
        <v>3469</v>
      </c>
      <c r="J3434">
        <v>2</v>
      </c>
      <c r="L3434">
        <v>75</v>
      </c>
      <c r="M3434">
        <v>37.5</v>
      </c>
      <c r="N3434" t="s">
        <v>4240</v>
      </c>
      <c r="O3434" t="s">
        <v>461</v>
      </c>
    </row>
    <row r="3435" spans="1:15" x14ac:dyDescent="0.3">
      <c r="A3435">
        <v>195483</v>
      </c>
      <c r="B3435">
        <v>116</v>
      </c>
      <c r="C3435" t="s">
        <v>568</v>
      </c>
      <c r="D3435" t="s">
        <v>2429</v>
      </c>
      <c r="E3435" t="s">
        <v>3153</v>
      </c>
      <c r="F3435" s="452">
        <v>46038</v>
      </c>
      <c r="G3435">
        <v>19139</v>
      </c>
      <c r="H3435" t="s">
        <v>3887</v>
      </c>
      <c r="I3435" t="s">
        <v>3469</v>
      </c>
      <c r="J3435">
        <v>10</v>
      </c>
      <c r="L3435">
        <v>91</v>
      </c>
      <c r="M3435">
        <v>9.1</v>
      </c>
      <c r="N3435" t="s">
        <v>4240</v>
      </c>
      <c r="O3435" t="s">
        <v>461</v>
      </c>
    </row>
    <row r="3436" spans="1:15" x14ac:dyDescent="0.3">
      <c r="A3436">
        <v>195483</v>
      </c>
      <c r="B3436">
        <v>116</v>
      </c>
      <c r="C3436" t="s">
        <v>568</v>
      </c>
      <c r="D3436" t="s">
        <v>2429</v>
      </c>
      <c r="E3436" t="s">
        <v>3153</v>
      </c>
      <c r="F3436" s="452">
        <v>46038</v>
      </c>
      <c r="G3436">
        <v>19421</v>
      </c>
      <c r="H3436" t="s">
        <v>4275</v>
      </c>
      <c r="I3436" t="s">
        <v>3469</v>
      </c>
      <c r="J3436">
        <v>1</v>
      </c>
      <c r="L3436">
        <v>53</v>
      </c>
      <c r="M3436">
        <v>53</v>
      </c>
      <c r="N3436" t="s">
        <v>4240</v>
      </c>
      <c r="O3436" t="s">
        <v>461</v>
      </c>
    </row>
    <row r="3437" spans="1:15" x14ac:dyDescent="0.3">
      <c r="A3437">
        <v>195481</v>
      </c>
      <c r="B3437">
        <v>116</v>
      </c>
      <c r="C3437" t="s">
        <v>568</v>
      </c>
      <c r="D3437" t="s">
        <v>2277</v>
      </c>
      <c r="E3437" t="s">
        <v>3154</v>
      </c>
      <c r="F3437" s="452">
        <v>46035</v>
      </c>
      <c r="G3437">
        <v>20304</v>
      </c>
      <c r="H3437" t="s">
        <v>3938</v>
      </c>
      <c r="I3437" t="s">
        <v>3469</v>
      </c>
      <c r="J3437">
        <v>6</v>
      </c>
      <c r="K3437" t="s">
        <v>3888</v>
      </c>
      <c r="L3437">
        <v>207</v>
      </c>
      <c r="M3437">
        <v>34.5</v>
      </c>
      <c r="N3437" t="s">
        <v>4240</v>
      </c>
      <c r="O3437" t="s">
        <v>461</v>
      </c>
    </row>
    <row r="3438" spans="1:15" x14ac:dyDescent="0.3">
      <c r="A3438">
        <v>195480</v>
      </c>
      <c r="B3438">
        <v>116</v>
      </c>
      <c r="C3438" t="s">
        <v>568</v>
      </c>
      <c r="D3438" t="s">
        <v>2277</v>
      </c>
      <c r="E3438" t="s">
        <v>3155</v>
      </c>
      <c r="F3438" s="452">
        <v>46037</v>
      </c>
      <c r="G3438">
        <v>20809</v>
      </c>
      <c r="H3438" t="s">
        <v>4005</v>
      </c>
      <c r="I3438" t="s">
        <v>3469</v>
      </c>
      <c r="J3438">
        <v>3</v>
      </c>
      <c r="K3438" t="s">
        <v>3888</v>
      </c>
      <c r="L3438">
        <v>101.64</v>
      </c>
      <c r="M3438">
        <v>33.880000000000003</v>
      </c>
      <c r="N3438" t="s">
        <v>4240</v>
      </c>
      <c r="O3438" t="s">
        <v>461</v>
      </c>
    </row>
    <row r="3439" spans="1:15" x14ac:dyDescent="0.3">
      <c r="A3439">
        <v>195480</v>
      </c>
      <c r="B3439">
        <v>116</v>
      </c>
      <c r="C3439" t="s">
        <v>568</v>
      </c>
      <c r="D3439" t="s">
        <v>2277</v>
      </c>
      <c r="E3439" t="s">
        <v>3155</v>
      </c>
      <c r="F3439" s="452">
        <v>46037</v>
      </c>
      <c r="G3439">
        <v>17878</v>
      </c>
      <c r="H3439" t="s">
        <v>4096</v>
      </c>
      <c r="I3439" t="s">
        <v>3497</v>
      </c>
      <c r="J3439">
        <v>1</v>
      </c>
      <c r="K3439" t="s">
        <v>3872</v>
      </c>
      <c r="L3439">
        <v>23.8</v>
      </c>
      <c r="M3439">
        <v>23.8</v>
      </c>
      <c r="N3439" t="s">
        <v>4240</v>
      </c>
      <c r="O3439" t="s">
        <v>461</v>
      </c>
    </row>
    <row r="3440" spans="1:15" x14ac:dyDescent="0.3">
      <c r="A3440">
        <v>195480</v>
      </c>
      <c r="B3440">
        <v>116</v>
      </c>
      <c r="C3440" t="s">
        <v>568</v>
      </c>
      <c r="D3440" t="s">
        <v>2277</v>
      </c>
      <c r="E3440" t="s">
        <v>3155</v>
      </c>
      <c r="F3440" s="452">
        <v>46037</v>
      </c>
      <c r="G3440">
        <v>20661</v>
      </c>
      <c r="H3440" t="s">
        <v>3919</v>
      </c>
      <c r="I3440" t="s">
        <v>3469</v>
      </c>
      <c r="J3440">
        <v>6</v>
      </c>
      <c r="K3440" t="s">
        <v>3872</v>
      </c>
      <c r="L3440">
        <v>53.28</v>
      </c>
      <c r="M3440">
        <v>8.8800000000000008</v>
      </c>
      <c r="N3440" t="s">
        <v>4240</v>
      </c>
      <c r="O3440" t="s">
        <v>461</v>
      </c>
    </row>
    <row r="3441" spans="1:15" x14ac:dyDescent="0.3">
      <c r="A3441">
        <v>195480</v>
      </c>
      <c r="B3441">
        <v>116</v>
      </c>
      <c r="C3441" t="s">
        <v>568</v>
      </c>
      <c r="D3441" t="s">
        <v>2277</v>
      </c>
      <c r="E3441" t="s">
        <v>3155</v>
      </c>
      <c r="F3441" s="452">
        <v>46037</v>
      </c>
      <c r="G3441">
        <v>20729</v>
      </c>
      <c r="H3441" t="s">
        <v>3965</v>
      </c>
      <c r="I3441" t="s">
        <v>3469</v>
      </c>
      <c r="J3441">
        <v>3</v>
      </c>
      <c r="K3441" t="s">
        <v>3966</v>
      </c>
      <c r="L3441">
        <v>197.64</v>
      </c>
      <c r="M3441">
        <v>65.88</v>
      </c>
      <c r="N3441" t="s">
        <v>4240</v>
      </c>
      <c r="O3441" t="s">
        <v>461</v>
      </c>
    </row>
    <row r="3442" spans="1:15" x14ac:dyDescent="0.3">
      <c r="A3442">
        <v>195480</v>
      </c>
      <c r="B3442">
        <v>116</v>
      </c>
      <c r="C3442" t="s">
        <v>568</v>
      </c>
      <c r="D3442" t="s">
        <v>2277</v>
      </c>
      <c r="E3442" t="s">
        <v>3155</v>
      </c>
      <c r="F3442" s="452">
        <v>46037</v>
      </c>
      <c r="G3442">
        <v>21093</v>
      </c>
      <c r="H3442" t="s">
        <v>3903</v>
      </c>
      <c r="I3442" t="s">
        <v>3469</v>
      </c>
      <c r="J3442">
        <v>10</v>
      </c>
      <c r="K3442" t="s">
        <v>3872</v>
      </c>
      <c r="L3442">
        <v>46.9</v>
      </c>
      <c r="M3442">
        <v>4.6900000000000004</v>
      </c>
      <c r="N3442" t="s">
        <v>4240</v>
      </c>
      <c r="O3442" t="s">
        <v>461</v>
      </c>
    </row>
    <row r="3443" spans="1:15" x14ac:dyDescent="0.3">
      <c r="A3443">
        <v>195480</v>
      </c>
      <c r="B3443">
        <v>116</v>
      </c>
      <c r="C3443" t="s">
        <v>568</v>
      </c>
      <c r="D3443" t="s">
        <v>2277</v>
      </c>
      <c r="E3443" t="s">
        <v>3155</v>
      </c>
      <c r="F3443" s="452">
        <v>46037</v>
      </c>
      <c r="G3443">
        <v>21024</v>
      </c>
      <c r="H3443" t="s">
        <v>4180</v>
      </c>
      <c r="I3443" t="s">
        <v>3469</v>
      </c>
      <c r="J3443">
        <v>2</v>
      </c>
      <c r="K3443" t="s">
        <v>3966</v>
      </c>
      <c r="L3443">
        <v>351.54</v>
      </c>
      <c r="M3443">
        <v>175.77</v>
      </c>
      <c r="N3443" t="s">
        <v>4240</v>
      </c>
      <c r="O3443" t="s">
        <v>461</v>
      </c>
    </row>
    <row r="3444" spans="1:15" x14ac:dyDescent="0.3">
      <c r="A3444">
        <v>195480</v>
      </c>
      <c r="B3444">
        <v>116</v>
      </c>
      <c r="C3444" t="s">
        <v>568</v>
      </c>
      <c r="D3444" t="s">
        <v>2277</v>
      </c>
      <c r="E3444" t="s">
        <v>3155</v>
      </c>
      <c r="F3444" s="452">
        <v>46037</v>
      </c>
      <c r="G3444">
        <v>20304</v>
      </c>
      <c r="H3444" t="s">
        <v>3938</v>
      </c>
      <c r="I3444" t="s">
        <v>3469</v>
      </c>
      <c r="J3444">
        <v>6</v>
      </c>
      <c r="K3444" t="s">
        <v>3888</v>
      </c>
      <c r="L3444">
        <v>207</v>
      </c>
      <c r="M3444">
        <v>34.5</v>
      </c>
      <c r="N3444" t="s">
        <v>4240</v>
      </c>
      <c r="O3444" t="s">
        <v>461</v>
      </c>
    </row>
    <row r="3445" spans="1:15" x14ac:dyDescent="0.3">
      <c r="A3445">
        <v>195480</v>
      </c>
      <c r="B3445">
        <v>116</v>
      </c>
      <c r="C3445" t="s">
        <v>568</v>
      </c>
      <c r="D3445" t="s">
        <v>2277</v>
      </c>
      <c r="E3445" t="s">
        <v>3155</v>
      </c>
      <c r="F3445" s="452">
        <v>46037</v>
      </c>
      <c r="G3445">
        <v>19297</v>
      </c>
      <c r="H3445" t="s">
        <v>3949</v>
      </c>
      <c r="I3445" t="s">
        <v>3469</v>
      </c>
      <c r="J3445">
        <v>15</v>
      </c>
      <c r="K3445" t="s">
        <v>3892</v>
      </c>
      <c r="L3445">
        <v>1183.5</v>
      </c>
      <c r="M3445">
        <v>78.900000000000006</v>
      </c>
      <c r="N3445" t="s">
        <v>4240</v>
      </c>
      <c r="O3445" t="s">
        <v>461</v>
      </c>
    </row>
    <row r="3446" spans="1:15" x14ac:dyDescent="0.3">
      <c r="A3446">
        <v>195480</v>
      </c>
      <c r="B3446">
        <v>116</v>
      </c>
      <c r="C3446" t="s">
        <v>568</v>
      </c>
      <c r="D3446" t="s">
        <v>2277</v>
      </c>
      <c r="E3446" t="s">
        <v>3155</v>
      </c>
      <c r="F3446" s="452">
        <v>46037</v>
      </c>
      <c r="G3446">
        <v>26020</v>
      </c>
      <c r="H3446" t="s">
        <v>4413</v>
      </c>
      <c r="I3446" t="s">
        <v>3469</v>
      </c>
      <c r="J3446">
        <v>6</v>
      </c>
      <c r="K3446" t="s">
        <v>3872</v>
      </c>
      <c r="L3446">
        <v>86.28</v>
      </c>
      <c r="M3446">
        <v>14.38</v>
      </c>
      <c r="N3446" t="s">
        <v>4240</v>
      </c>
      <c r="O3446" t="s">
        <v>461</v>
      </c>
    </row>
    <row r="3447" spans="1:15" x14ac:dyDescent="0.3">
      <c r="A3447">
        <v>195480</v>
      </c>
      <c r="B3447">
        <v>116</v>
      </c>
      <c r="C3447" t="s">
        <v>568</v>
      </c>
      <c r="D3447" t="s">
        <v>2277</v>
      </c>
      <c r="E3447" t="s">
        <v>3155</v>
      </c>
      <c r="F3447" s="452">
        <v>46037</v>
      </c>
      <c r="G3447">
        <v>24212</v>
      </c>
      <c r="H3447" t="s">
        <v>4056</v>
      </c>
      <c r="I3447" t="s">
        <v>3469</v>
      </c>
      <c r="J3447">
        <v>2</v>
      </c>
      <c r="K3447" t="s">
        <v>3892</v>
      </c>
      <c r="L3447">
        <v>21.96</v>
      </c>
      <c r="M3447">
        <v>10.98</v>
      </c>
      <c r="N3447" t="s">
        <v>4240</v>
      </c>
      <c r="O3447" t="s">
        <v>461</v>
      </c>
    </row>
    <row r="3448" spans="1:15" x14ac:dyDescent="0.3">
      <c r="A3448">
        <v>195480</v>
      </c>
      <c r="B3448">
        <v>116</v>
      </c>
      <c r="C3448" t="s">
        <v>568</v>
      </c>
      <c r="D3448" t="s">
        <v>2277</v>
      </c>
      <c r="E3448" t="s">
        <v>3155</v>
      </c>
      <c r="F3448" s="452">
        <v>46037</v>
      </c>
      <c r="G3448">
        <v>19421</v>
      </c>
      <c r="H3448" t="s">
        <v>4275</v>
      </c>
      <c r="I3448" t="s">
        <v>3469</v>
      </c>
      <c r="J3448">
        <v>1</v>
      </c>
      <c r="K3448" t="s">
        <v>3881</v>
      </c>
      <c r="L3448">
        <v>52.98</v>
      </c>
      <c r="M3448">
        <v>52.98</v>
      </c>
      <c r="N3448" t="s">
        <v>4240</v>
      </c>
      <c r="O3448" t="s">
        <v>461</v>
      </c>
    </row>
    <row r="3449" spans="1:15" x14ac:dyDescent="0.3">
      <c r="A3449">
        <v>195480</v>
      </c>
      <c r="B3449">
        <v>116</v>
      </c>
      <c r="C3449" t="s">
        <v>568</v>
      </c>
      <c r="D3449" t="s">
        <v>2277</v>
      </c>
      <c r="E3449" t="s">
        <v>3155</v>
      </c>
      <c r="F3449" s="452">
        <v>46037</v>
      </c>
      <c r="G3449">
        <v>24331</v>
      </c>
      <c r="H3449" t="s">
        <v>3960</v>
      </c>
      <c r="I3449" t="s">
        <v>3469</v>
      </c>
      <c r="J3449">
        <v>5</v>
      </c>
      <c r="K3449" t="s">
        <v>3892</v>
      </c>
      <c r="L3449">
        <v>109.25</v>
      </c>
      <c r="M3449">
        <v>21.85</v>
      </c>
      <c r="N3449" t="s">
        <v>4240</v>
      </c>
      <c r="O3449" t="s">
        <v>461</v>
      </c>
    </row>
    <row r="3450" spans="1:15" x14ac:dyDescent="0.3">
      <c r="A3450">
        <v>195480</v>
      </c>
      <c r="B3450">
        <v>116</v>
      </c>
      <c r="C3450" t="s">
        <v>568</v>
      </c>
      <c r="D3450" t="s">
        <v>2277</v>
      </c>
      <c r="E3450" t="s">
        <v>3155</v>
      </c>
      <c r="F3450" s="452">
        <v>46037</v>
      </c>
      <c r="G3450">
        <v>20057</v>
      </c>
      <c r="H3450" t="s">
        <v>3967</v>
      </c>
      <c r="I3450" t="s">
        <v>3469</v>
      </c>
      <c r="J3450">
        <v>2</v>
      </c>
      <c r="K3450" t="s">
        <v>3978</v>
      </c>
      <c r="L3450">
        <v>83.98</v>
      </c>
      <c r="M3450">
        <v>41.99</v>
      </c>
      <c r="N3450" t="s">
        <v>4240</v>
      </c>
      <c r="O3450" t="s">
        <v>461</v>
      </c>
    </row>
    <row r="3451" spans="1:15" x14ac:dyDescent="0.3">
      <c r="A3451">
        <v>195480</v>
      </c>
      <c r="B3451">
        <v>116</v>
      </c>
      <c r="C3451" t="s">
        <v>568</v>
      </c>
      <c r="D3451" t="s">
        <v>2277</v>
      </c>
      <c r="E3451" t="s">
        <v>3155</v>
      </c>
      <c r="F3451" s="452">
        <v>46037</v>
      </c>
      <c r="G3451">
        <v>19967</v>
      </c>
      <c r="H3451" t="s">
        <v>3930</v>
      </c>
      <c r="I3451" t="s">
        <v>3469</v>
      </c>
      <c r="J3451">
        <v>2</v>
      </c>
      <c r="K3451" t="s">
        <v>3978</v>
      </c>
      <c r="L3451">
        <v>99.76</v>
      </c>
      <c r="M3451">
        <v>49.88</v>
      </c>
      <c r="N3451" t="s">
        <v>4240</v>
      </c>
      <c r="O3451" t="s">
        <v>461</v>
      </c>
    </row>
    <row r="3452" spans="1:15" x14ac:dyDescent="0.3">
      <c r="A3452">
        <v>195469</v>
      </c>
      <c r="B3452">
        <v>116</v>
      </c>
      <c r="C3452" t="s">
        <v>568</v>
      </c>
      <c r="D3452" t="s">
        <v>2275</v>
      </c>
      <c r="E3452" t="s">
        <v>3156</v>
      </c>
      <c r="F3452" s="452">
        <v>46035</v>
      </c>
      <c r="G3452">
        <v>17958</v>
      </c>
      <c r="H3452" t="s">
        <v>4141</v>
      </c>
      <c r="I3452" t="s">
        <v>3497</v>
      </c>
      <c r="J3452">
        <v>20</v>
      </c>
      <c r="K3452" t="s">
        <v>3888</v>
      </c>
      <c r="L3452">
        <v>354</v>
      </c>
      <c r="M3452">
        <v>17.7</v>
      </c>
      <c r="N3452" t="s">
        <v>4276</v>
      </c>
      <c r="O3452" t="s">
        <v>461</v>
      </c>
    </row>
    <row r="3453" spans="1:15" x14ac:dyDescent="0.3">
      <c r="A3453">
        <v>195469</v>
      </c>
      <c r="B3453">
        <v>116</v>
      </c>
      <c r="C3453" t="s">
        <v>568</v>
      </c>
      <c r="D3453" t="s">
        <v>2275</v>
      </c>
      <c r="E3453" t="s">
        <v>3156</v>
      </c>
      <c r="F3453" s="452">
        <v>46035</v>
      </c>
      <c r="G3453">
        <v>17950</v>
      </c>
      <c r="H3453" t="s">
        <v>4170</v>
      </c>
      <c r="I3453" t="s">
        <v>3497</v>
      </c>
      <c r="J3453">
        <v>15</v>
      </c>
      <c r="K3453" t="s">
        <v>3888</v>
      </c>
      <c r="L3453">
        <v>280.5</v>
      </c>
      <c r="M3453">
        <v>18.7</v>
      </c>
      <c r="N3453" t="s">
        <v>4276</v>
      </c>
      <c r="O3453" t="s">
        <v>461</v>
      </c>
    </row>
    <row r="3454" spans="1:15" x14ac:dyDescent="0.3">
      <c r="A3454">
        <v>195466</v>
      </c>
      <c r="B3454">
        <v>116</v>
      </c>
      <c r="C3454" t="s">
        <v>568</v>
      </c>
      <c r="D3454" t="s">
        <v>2273</v>
      </c>
      <c r="E3454" t="s">
        <v>3157</v>
      </c>
      <c r="F3454" s="452">
        <v>46030</v>
      </c>
      <c r="G3454">
        <v>19751</v>
      </c>
      <c r="H3454" t="s">
        <v>4019</v>
      </c>
      <c r="I3454" t="s">
        <v>3469</v>
      </c>
      <c r="J3454">
        <v>2.2000000000000002</v>
      </c>
      <c r="K3454" t="s">
        <v>3892</v>
      </c>
      <c r="L3454">
        <v>22.97</v>
      </c>
      <c r="M3454">
        <v>10.440909</v>
      </c>
      <c r="N3454" t="s">
        <v>4240</v>
      </c>
      <c r="O3454" t="s">
        <v>461</v>
      </c>
    </row>
    <row r="3455" spans="1:15" x14ac:dyDescent="0.3">
      <c r="A3455">
        <v>195466</v>
      </c>
      <c r="B3455">
        <v>116</v>
      </c>
      <c r="C3455" t="s">
        <v>568</v>
      </c>
      <c r="D3455" t="s">
        <v>2273</v>
      </c>
      <c r="E3455" t="s">
        <v>3157</v>
      </c>
      <c r="F3455" s="452">
        <v>46030</v>
      </c>
      <c r="G3455">
        <v>19765</v>
      </c>
      <c r="H3455" t="s">
        <v>4071</v>
      </c>
      <c r="I3455" t="s">
        <v>3469</v>
      </c>
      <c r="J3455">
        <v>1</v>
      </c>
      <c r="K3455" t="s">
        <v>3892</v>
      </c>
      <c r="L3455">
        <v>34.08</v>
      </c>
      <c r="M3455">
        <v>34.08</v>
      </c>
      <c r="N3455" t="s">
        <v>4240</v>
      </c>
      <c r="O3455" t="s">
        <v>461</v>
      </c>
    </row>
    <row r="3456" spans="1:15" x14ac:dyDescent="0.3">
      <c r="A3456">
        <v>195466</v>
      </c>
      <c r="B3456">
        <v>116</v>
      </c>
      <c r="C3456" t="s">
        <v>568</v>
      </c>
      <c r="D3456" t="s">
        <v>2273</v>
      </c>
      <c r="E3456" t="s">
        <v>3157</v>
      </c>
      <c r="F3456" s="452">
        <v>46030</v>
      </c>
      <c r="G3456">
        <v>19740</v>
      </c>
      <c r="H3456" t="s">
        <v>3933</v>
      </c>
      <c r="I3456" t="s">
        <v>3469</v>
      </c>
      <c r="J3456">
        <v>8.8000000000000007</v>
      </c>
      <c r="K3456" t="s">
        <v>3892</v>
      </c>
      <c r="L3456">
        <v>140.36000000000001</v>
      </c>
      <c r="M3456">
        <v>15.95</v>
      </c>
      <c r="N3456" t="s">
        <v>4240</v>
      </c>
      <c r="O3456" t="s">
        <v>461</v>
      </c>
    </row>
    <row r="3457" spans="1:15" x14ac:dyDescent="0.3">
      <c r="A3457">
        <v>195466</v>
      </c>
      <c r="B3457">
        <v>116</v>
      </c>
      <c r="C3457" t="s">
        <v>568</v>
      </c>
      <c r="D3457" t="s">
        <v>2273</v>
      </c>
      <c r="E3457" t="s">
        <v>3157</v>
      </c>
      <c r="F3457" s="452">
        <v>46030</v>
      </c>
      <c r="G3457">
        <v>23171</v>
      </c>
      <c r="H3457" t="s">
        <v>4132</v>
      </c>
      <c r="I3457" t="s">
        <v>3469</v>
      </c>
      <c r="J3457">
        <v>4.5</v>
      </c>
      <c r="K3457" t="s">
        <v>3892</v>
      </c>
      <c r="L3457">
        <v>29.03</v>
      </c>
      <c r="M3457">
        <v>6.451111</v>
      </c>
      <c r="N3457" t="s">
        <v>4240</v>
      </c>
      <c r="O3457" t="s">
        <v>461</v>
      </c>
    </row>
    <row r="3458" spans="1:15" x14ac:dyDescent="0.3">
      <c r="A3458">
        <v>195466</v>
      </c>
      <c r="B3458">
        <v>116</v>
      </c>
      <c r="C3458" t="s">
        <v>568</v>
      </c>
      <c r="D3458" t="s">
        <v>2273</v>
      </c>
      <c r="E3458" t="s">
        <v>3157</v>
      </c>
      <c r="F3458" s="452">
        <v>46030</v>
      </c>
      <c r="G3458">
        <v>23389</v>
      </c>
      <c r="H3458" t="s">
        <v>4016</v>
      </c>
      <c r="I3458" t="s">
        <v>3469</v>
      </c>
      <c r="J3458">
        <v>6.8</v>
      </c>
      <c r="K3458" t="s">
        <v>3892</v>
      </c>
      <c r="L3458">
        <v>35.29</v>
      </c>
      <c r="M3458">
        <v>5.1897060000000002</v>
      </c>
      <c r="N3458" t="s">
        <v>4240</v>
      </c>
      <c r="O3458" t="s">
        <v>461</v>
      </c>
    </row>
    <row r="3459" spans="1:15" x14ac:dyDescent="0.3">
      <c r="A3459">
        <v>195464</v>
      </c>
      <c r="B3459">
        <v>116</v>
      </c>
      <c r="C3459" t="s">
        <v>568</v>
      </c>
      <c r="D3459" t="s">
        <v>2273</v>
      </c>
      <c r="E3459" t="s">
        <v>3158</v>
      </c>
      <c r="F3459" s="452">
        <v>46034</v>
      </c>
      <c r="G3459">
        <v>19558</v>
      </c>
      <c r="H3459" t="s">
        <v>4183</v>
      </c>
      <c r="I3459" t="s">
        <v>3469</v>
      </c>
      <c r="J3459">
        <v>1</v>
      </c>
      <c r="K3459" t="s">
        <v>3892</v>
      </c>
      <c r="L3459">
        <v>12.4</v>
      </c>
      <c r="M3459">
        <v>12.4</v>
      </c>
      <c r="N3459" t="s">
        <v>4240</v>
      </c>
      <c r="O3459" t="s">
        <v>461</v>
      </c>
    </row>
    <row r="3460" spans="1:15" x14ac:dyDescent="0.3">
      <c r="A3460">
        <v>195464</v>
      </c>
      <c r="B3460">
        <v>116</v>
      </c>
      <c r="C3460" t="s">
        <v>568</v>
      </c>
      <c r="D3460" t="s">
        <v>2273</v>
      </c>
      <c r="E3460" t="s">
        <v>3158</v>
      </c>
      <c r="F3460" s="452">
        <v>46034</v>
      </c>
      <c r="G3460">
        <v>19751</v>
      </c>
      <c r="H3460" t="s">
        <v>4019</v>
      </c>
      <c r="I3460" t="s">
        <v>3469</v>
      </c>
      <c r="J3460">
        <v>2</v>
      </c>
      <c r="K3460" t="s">
        <v>3892</v>
      </c>
      <c r="L3460">
        <v>25.96</v>
      </c>
      <c r="M3460">
        <v>12.98</v>
      </c>
      <c r="N3460" t="s">
        <v>4240</v>
      </c>
      <c r="O3460" t="s">
        <v>461</v>
      </c>
    </row>
    <row r="3461" spans="1:15" x14ac:dyDescent="0.3">
      <c r="A3461">
        <v>195464</v>
      </c>
      <c r="B3461">
        <v>116</v>
      </c>
      <c r="C3461" t="s">
        <v>568</v>
      </c>
      <c r="D3461" t="s">
        <v>2273</v>
      </c>
      <c r="E3461" t="s">
        <v>3158</v>
      </c>
      <c r="F3461" s="452">
        <v>46034</v>
      </c>
      <c r="G3461">
        <v>23171</v>
      </c>
      <c r="H3461" t="s">
        <v>4132</v>
      </c>
      <c r="I3461" t="s">
        <v>3469</v>
      </c>
      <c r="J3461">
        <v>3.3</v>
      </c>
      <c r="K3461" t="s">
        <v>3892</v>
      </c>
      <c r="L3461">
        <v>20.329999999999998</v>
      </c>
      <c r="M3461">
        <v>6.1606059999999996</v>
      </c>
      <c r="N3461" t="s">
        <v>4240</v>
      </c>
      <c r="O3461" t="s">
        <v>461</v>
      </c>
    </row>
    <row r="3462" spans="1:15" x14ac:dyDescent="0.3">
      <c r="A3462">
        <v>195456</v>
      </c>
      <c r="B3462">
        <v>116</v>
      </c>
      <c r="C3462" t="s">
        <v>568</v>
      </c>
      <c r="D3462" t="s">
        <v>2284</v>
      </c>
      <c r="E3462" t="s">
        <v>3159</v>
      </c>
      <c r="F3462" s="452">
        <v>46036</v>
      </c>
      <c r="G3462">
        <v>20242</v>
      </c>
      <c r="H3462" t="s">
        <v>4120</v>
      </c>
      <c r="I3462" t="s">
        <v>3469</v>
      </c>
      <c r="J3462">
        <v>5</v>
      </c>
      <c r="K3462" t="s">
        <v>3888</v>
      </c>
      <c r="L3462">
        <v>71</v>
      </c>
      <c r="M3462">
        <v>14.2</v>
      </c>
      <c r="N3462" t="s">
        <v>4240</v>
      </c>
      <c r="O3462" t="s">
        <v>461</v>
      </c>
    </row>
    <row r="3463" spans="1:15" x14ac:dyDescent="0.3">
      <c r="A3463">
        <v>195456</v>
      </c>
      <c r="B3463">
        <v>116</v>
      </c>
      <c r="C3463" t="s">
        <v>568</v>
      </c>
      <c r="D3463" t="s">
        <v>2284</v>
      </c>
      <c r="E3463" t="s">
        <v>3159</v>
      </c>
      <c r="F3463" s="452">
        <v>46036</v>
      </c>
      <c r="G3463">
        <v>20227</v>
      </c>
      <c r="H3463" t="s">
        <v>3968</v>
      </c>
      <c r="I3463" t="s">
        <v>3469</v>
      </c>
      <c r="J3463">
        <v>5</v>
      </c>
      <c r="K3463" t="s">
        <v>3888</v>
      </c>
      <c r="L3463">
        <v>50</v>
      </c>
      <c r="M3463">
        <v>10</v>
      </c>
      <c r="N3463" t="s">
        <v>4240</v>
      </c>
      <c r="O3463" t="s">
        <v>461</v>
      </c>
    </row>
    <row r="3464" spans="1:15" x14ac:dyDescent="0.3">
      <c r="A3464">
        <v>195456</v>
      </c>
      <c r="B3464">
        <v>116</v>
      </c>
      <c r="C3464" t="s">
        <v>568</v>
      </c>
      <c r="D3464" t="s">
        <v>2284</v>
      </c>
      <c r="E3464" t="s">
        <v>3159</v>
      </c>
      <c r="F3464" s="452">
        <v>46036</v>
      </c>
      <c r="G3464">
        <v>19324</v>
      </c>
      <c r="H3464" t="s">
        <v>3937</v>
      </c>
      <c r="I3464" t="s">
        <v>3469</v>
      </c>
      <c r="J3464">
        <v>8.2200000000000006</v>
      </c>
      <c r="K3464" t="s">
        <v>3892</v>
      </c>
      <c r="L3464">
        <v>276.19</v>
      </c>
      <c r="M3464">
        <v>33.599756999999997</v>
      </c>
      <c r="N3464" t="s">
        <v>4240</v>
      </c>
      <c r="O3464" t="s">
        <v>461</v>
      </c>
    </row>
    <row r="3465" spans="1:15" x14ac:dyDescent="0.3">
      <c r="A3465">
        <v>195456</v>
      </c>
      <c r="B3465">
        <v>116</v>
      </c>
      <c r="C3465" t="s">
        <v>568</v>
      </c>
      <c r="D3465" t="s">
        <v>2284</v>
      </c>
      <c r="E3465" t="s">
        <v>3159</v>
      </c>
      <c r="F3465" s="452">
        <v>46036</v>
      </c>
      <c r="G3465">
        <v>20250</v>
      </c>
      <c r="H3465" t="s">
        <v>4008</v>
      </c>
      <c r="I3465" t="s">
        <v>3469</v>
      </c>
      <c r="J3465">
        <v>2</v>
      </c>
      <c r="K3465" t="s">
        <v>3888</v>
      </c>
      <c r="L3465">
        <v>81.48</v>
      </c>
      <c r="M3465">
        <v>40.74</v>
      </c>
      <c r="N3465" t="s">
        <v>4240</v>
      </c>
      <c r="O3465" t="s">
        <v>461</v>
      </c>
    </row>
    <row r="3466" spans="1:15" x14ac:dyDescent="0.3">
      <c r="A3466">
        <v>195456</v>
      </c>
      <c r="B3466">
        <v>116</v>
      </c>
      <c r="C3466" t="s">
        <v>568</v>
      </c>
      <c r="D3466" t="s">
        <v>2284</v>
      </c>
      <c r="E3466" t="s">
        <v>3159</v>
      </c>
      <c r="F3466" s="452">
        <v>46036</v>
      </c>
      <c r="G3466">
        <v>19346</v>
      </c>
      <c r="H3466" t="s">
        <v>3948</v>
      </c>
      <c r="I3466" t="s">
        <v>3469</v>
      </c>
      <c r="J3466">
        <v>5.64</v>
      </c>
      <c r="K3466" t="s">
        <v>3892</v>
      </c>
      <c r="L3466">
        <v>325.43</v>
      </c>
      <c r="M3466">
        <v>57.700355000000002</v>
      </c>
      <c r="N3466" t="s">
        <v>4240</v>
      </c>
      <c r="O3466" t="s">
        <v>461</v>
      </c>
    </row>
    <row r="3467" spans="1:15" x14ac:dyDescent="0.3">
      <c r="A3467">
        <v>195456</v>
      </c>
      <c r="B3467">
        <v>116</v>
      </c>
      <c r="C3467" t="s">
        <v>568</v>
      </c>
      <c r="D3467" t="s">
        <v>2284</v>
      </c>
      <c r="E3467" t="s">
        <v>3159</v>
      </c>
      <c r="F3467" s="452">
        <v>46036</v>
      </c>
      <c r="G3467">
        <v>24302</v>
      </c>
      <c r="H3467" t="s">
        <v>4399</v>
      </c>
      <c r="I3467" t="s">
        <v>3469</v>
      </c>
      <c r="J3467">
        <v>2</v>
      </c>
      <c r="K3467" t="s">
        <v>3892</v>
      </c>
      <c r="L3467">
        <v>31.74</v>
      </c>
      <c r="M3467">
        <v>15.87</v>
      </c>
      <c r="N3467" t="s">
        <v>4240</v>
      </c>
      <c r="O3467" t="s">
        <v>461</v>
      </c>
    </row>
    <row r="3468" spans="1:15" x14ac:dyDescent="0.3">
      <c r="A3468">
        <v>195456</v>
      </c>
      <c r="B3468">
        <v>116</v>
      </c>
      <c r="C3468" t="s">
        <v>568</v>
      </c>
      <c r="D3468" t="s">
        <v>2284</v>
      </c>
      <c r="E3468" t="s">
        <v>3159</v>
      </c>
      <c r="F3468" s="452">
        <v>46036</v>
      </c>
      <c r="G3468">
        <v>19287</v>
      </c>
      <c r="H3468" t="s">
        <v>3974</v>
      </c>
      <c r="I3468" t="s">
        <v>3469</v>
      </c>
      <c r="J3468">
        <v>3.3</v>
      </c>
      <c r="K3468" t="s">
        <v>3892</v>
      </c>
      <c r="L3468">
        <v>126.72</v>
      </c>
      <c r="M3468">
        <v>38.4</v>
      </c>
      <c r="N3468" t="s">
        <v>4240</v>
      </c>
      <c r="O3468" t="s">
        <v>461</v>
      </c>
    </row>
    <row r="3469" spans="1:15" x14ac:dyDescent="0.3">
      <c r="A3469">
        <v>195456</v>
      </c>
      <c r="B3469">
        <v>116</v>
      </c>
      <c r="C3469" t="s">
        <v>568</v>
      </c>
      <c r="D3469" t="s">
        <v>2284</v>
      </c>
      <c r="E3469" t="s">
        <v>3159</v>
      </c>
      <c r="F3469" s="452">
        <v>46036</v>
      </c>
      <c r="G3469">
        <v>20752</v>
      </c>
      <c r="H3469" t="s">
        <v>3964</v>
      </c>
      <c r="I3469" t="s">
        <v>3469</v>
      </c>
      <c r="J3469">
        <v>4</v>
      </c>
      <c r="K3469" t="s">
        <v>3886</v>
      </c>
      <c r="L3469">
        <v>435.2</v>
      </c>
      <c r="M3469">
        <v>108.8</v>
      </c>
      <c r="N3469" t="s">
        <v>4240</v>
      </c>
      <c r="O3469" t="s">
        <v>461</v>
      </c>
    </row>
    <row r="3470" spans="1:15" x14ac:dyDescent="0.3">
      <c r="A3470">
        <v>195456</v>
      </c>
      <c r="B3470">
        <v>116</v>
      </c>
      <c r="C3470" t="s">
        <v>568</v>
      </c>
      <c r="D3470" t="s">
        <v>2284</v>
      </c>
      <c r="E3470" t="s">
        <v>3159</v>
      </c>
      <c r="F3470" s="452">
        <v>46036</v>
      </c>
      <c r="G3470">
        <v>20717</v>
      </c>
      <c r="H3470" t="s">
        <v>4055</v>
      </c>
      <c r="I3470" t="s">
        <v>3469</v>
      </c>
      <c r="J3470">
        <v>1</v>
      </c>
      <c r="K3470" t="s">
        <v>3872</v>
      </c>
      <c r="L3470">
        <v>43.4</v>
      </c>
      <c r="M3470">
        <v>43.4</v>
      </c>
      <c r="N3470" t="s">
        <v>4240</v>
      </c>
      <c r="O3470" t="s">
        <v>461</v>
      </c>
    </row>
    <row r="3471" spans="1:15" x14ac:dyDescent="0.3">
      <c r="A3471">
        <v>195456</v>
      </c>
      <c r="B3471">
        <v>116</v>
      </c>
      <c r="C3471" t="s">
        <v>568</v>
      </c>
      <c r="D3471" t="s">
        <v>2284</v>
      </c>
      <c r="E3471" t="s">
        <v>3159</v>
      </c>
      <c r="F3471" s="452">
        <v>46036</v>
      </c>
      <c r="G3471">
        <v>20624</v>
      </c>
      <c r="H3471" t="s">
        <v>3982</v>
      </c>
      <c r="I3471" t="s">
        <v>3469</v>
      </c>
      <c r="J3471">
        <v>1</v>
      </c>
      <c r="K3471" t="s">
        <v>3872</v>
      </c>
      <c r="L3471">
        <v>68.3</v>
      </c>
      <c r="M3471">
        <v>68.3</v>
      </c>
      <c r="N3471" t="s">
        <v>4240</v>
      </c>
      <c r="O3471" t="s">
        <v>461</v>
      </c>
    </row>
    <row r="3472" spans="1:15" x14ac:dyDescent="0.3">
      <c r="A3472">
        <v>195456</v>
      </c>
      <c r="B3472">
        <v>116</v>
      </c>
      <c r="C3472" t="s">
        <v>568</v>
      </c>
      <c r="D3472" t="s">
        <v>2284</v>
      </c>
      <c r="E3472" t="s">
        <v>3159</v>
      </c>
      <c r="F3472" s="452">
        <v>46036</v>
      </c>
      <c r="G3472">
        <v>23622</v>
      </c>
      <c r="H3472" t="s">
        <v>4150</v>
      </c>
      <c r="I3472" t="s">
        <v>3469</v>
      </c>
      <c r="J3472">
        <v>1</v>
      </c>
      <c r="K3472" t="s">
        <v>3892</v>
      </c>
      <c r="L3472">
        <v>21.6</v>
      </c>
      <c r="M3472">
        <v>21.6</v>
      </c>
      <c r="N3472" t="s">
        <v>4240</v>
      </c>
      <c r="O3472" t="s">
        <v>461</v>
      </c>
    </row>
    <row r="3473" spans="1:15" x14ac:dyDescent="0.3">
      <c r="A3473">
        <v>195456</v>
      </c>
      <c r="B3473">
        <v>116</v>
      </c>
      <c r="C3473" t="s">
        <v>568</v>
      </c>
      <c r="D3473" t="s">
        <v>2284</v>
      </c>
      <c r="E3473" t="s">
        <v>3159</v>
      </c>
      <c r="F3473" s="452">
        <v>46036</v>
      </c>
      <c r="G3473">
        <v>20984</v>
      </c>
      <c r="H3473" t="s">
        <v>4235</v>
      </c>
      <c r="I3473" t="s">
        <v>3469</v>
      </c>
      <c r="J3473">
        <v>12</v>
      </c>
      <c r="K3473" t="s">
        <v>3931</v>
      </c>
      <c r="L3473">
        <v>109.2</v>
      </c>
      <c r="M3473">
        <v>9.1</v>
      </c>
      <c r="N3473" t="s">
        <v>4240</v>
      </c>
      <c r="O3473" t="s">
        <v>461</v>
      </c>
    </row>
    <row r="3474" spans="1:15" x14ac:dyDescent="0.3">
      <c r="A3474">
        <v>195450</v>
      </c>
      <c r="B3474">
        <v>116</v>
      </c>
      <c r="C3474" t="s">
        <v>568</v>
      </c>
      <c r="D3474" t="s">
        <v>2284</v>
      </c>
      <c r="E3474" t="s">
        <v>3160</v>
      </c>
      <c r="F3474" s="452">
        <v>46035</v>
      </c>
      <c r="G3474">
        <v>18538</v>
      </c>
      <c r="H3474" t="s">
        <v>4026</v>
      </c>
      <c r="I3474" t="s">
        <v>3497</v>
      </c>
      <c r="J3474">
        <v>3</v>
      </c>
      <c r="K3474" t="s">
        <v>3878</v>
      </c>
      <c r="L3474">
        <v>314.7</v>
      </c>
      <c r="M3474">
        <v>104.9</v>
      </c>
      <c r="N3474" t="s">
        <v>4276</v>
      </c>
      <c r="O3474" t="s">
        <v>461</v>
      </c>
    </row>
    <row r="3475" spans="1:15" x14ac:dyDescent="0.3">
      <c r="A3475">
        <v>195449</v>
      </c>
      <c r="B3475">
        <v>116</v>
      </c>
      <c r="C3475" t="s">
        <v>568</v>
      </c>
      <c r="D3475" t="s">
        <v>2271</v>
      </c>
      <c r="E3475" t="s">
        <v>3161</v>
      </c>
      <c r="F3475" s="452">
        <v>46029</v>
      </c>
      <c r="G3475">
        <v>18295</v>
      </c>
      <c r="H3475" t="s">
        <v>4030</v>
      </c>
      <c r="I3475" t="s">
        <v>3497</v>
      </c>
      <c r="J3475">
        <v>2</v>
      </c>
      <c r="K3475" t="s">
        <v>3878</v>
      </c>
      <c r="L3475">
        <v>246.8</v>
      </c>
      <c r="M3475">
        <v>123.4</v>
      </c>
      <c r="N3475" t="s">
        <v>3497</v>
      </c>
      <c r="O3475" t="s">
        <v>461</v>
      </c>
    </row>
    <row r="3476" spans="1:15" x14ac:dyDescent="0.3">
      <c r="A3476">
        <v>195448</v>
      </c>
      <c r="B3476">
        <v>116</v>
      </c>
      <c r="C3476" t="s">
        <v>568</v>
      </c>
      <c r="D3476" t="s">
        <v>2260</v>
      </c>
      <c r="E3476" t="s">
        <v>3162</v>
      </c>
      <c r="F3476" s="452">
        <v>46037</v>
      </c>
      <c r="G3476">
        <v>27884</v>
      </c>
      <c r="H3476" t="s">
        <v>3910</v>
      </c>
      <c r="I3476" t="s">
        <v>3469</v>
      </c>
      <c r="J3476">
        <v>15.4</v>
      </c>
      <c r="K3476" t="s">
        <v>3892</v>
      </c>
      <c r="L3476">
        <v>1001</v>
      </c>
      <c r="M3476">
        <v>65</v>
      </c>
      <c r="N3476" t="s">
        <v>4240</v>
      </c>
      <c r="O3476" t="s">
        <v>461</v>
      </c>
    </row>
    <row r="3477" spans="1:15" x14ac:dyDescent="0.3">
      <c r="A3477">
        <v>195445</v>
      </c>
      <c r="B3477">
        <v>116</v>
      </c>
      <c r="C3477" t="s">
        <v>568</v>
      </c>
      <c r="D3477" t="s">
        <v>2314</v>
      </c>
      <c r="E3477" t="s">
        <v>3163</v>
      </c>
      <c r="F3477" s="452">
        <v>46016</v>
      </c>
      <c r="G3477">
        <v>24599</v>
      </c>
      <c r="H3477" t="s">
        <v>3897</v>
      </c>
      <c r="I3477" t="s">
        <v>3497</v>
      </c>
      <c r="J3477">
        <v>1</v>
      </c>
      <c r="K3477" t="s">
        <v>3881</v>
      </c>
      <c r="L3477">
        <v>103.1</v>
      </c>
      <c r="M3477">
        <v>103.1</v>
      </c>
      <c r="N3477" t="s">
        <v>3497</v>
      </c>
      <c r="O3477" t="s">
        <v>460</v>
      </c>
    </row>
    <row r="3478" spans="1:15" x14ac:dyDescent="0.3">
      <c r="A3478">
        <v>195445</v>
      </c>
      <c r="B3478">
        <v>116</v>
      </c>
      <c r="C3478" t="s">
        <v>568</v>
      </c>
      <c r="D3478" t="s">
        <v>2314</v>
      </c>
      <c r="E3478" t="s">
        <v>3163</v>
      </c>
      <c r="F3478" s="452">
        <v>46016</v>
      </c>
      <c r="G3478">
        <v>17881</v>
      </c>
      <c r="H3478" t="s">
        <v>4095</v>
      </c>
      <c r="I3478" t="s">
        <v>3497</v>
      </c>
      <c r="J3478">
        <v>5</v>
      </c>
      <c r="K3478" t="s">
        <v>3888</v>
      </c>
      <c r="L3478">
        <v>101.1</v>
      </c>
      <c r="M3478">
        <v>20.22</v>
      </c>
      <c r="N3478" t="s">
        <v>3497</v>
      </c>
      <c r="O3478" t="s">
        <v>460</v>
      </c>
    </row>
    <row r="3479" spans="1:15" x14ac:dyDescent="0.3">
      <c r="A3479">
        <v>195445</v>
      </c>
      <c r="B3479">
        <v>116</v>
      </c>
      <c r="C3479" t="s">
        <v>568</v>
      </c>
      <c r="D3479" t="s">
        <v>2314</v>
      </c>
      <c r="E3479" t="s">
        <v>3163</v>
      </c>
      <c r="F3479" s="452">
        <v>46016</v>
      </c>
      <c r="G3479">
        <v>17896</v>
      </c>
      <c r="H3479" t="s">
        <v>3972</v>
      </c>
      <c r="I3479" t="s">
        <v>3497</v>
      </c>
      <c r="J3479">
        <v>2</v>
      </c>
      <c r="K3479" t="s">
        <v>3888</v>
      </c>
      <c r="L3479">
        <v>70.819999999999993</v>
      </c>
      <c r="M3479">
        <v>35.409999999999997</v>
      </c>
      <c r="N3479" t="s">
        <v>3497</v>
      </c>
      <c r="O3479" t="s">
        <v>460</v>
      </c>
    </row>
    <row r="3480" spans="1:15" x14ac:dyDescent="0.3">
      <c r="A3480">
        <v>195445</v>
      </c>
      <c r="B3480">
        <v>116</v>
      </c>
      <c r="C3480" t="s">
        <v>568</v>
      </c>
      <c r="D3480" t="s">
        <v>2314</v>
      </c>
      <c r="E3480" t="s">
        <v>3163</v>
      </c>
      <c r="F3480" s="452">
        <v>46016</v>
      </c>
      <c r="G3480">
        <v>17916</v>
      </c>
      <c r="H3480" t="s">
        <v>4191</v>
      </c>
      <c r="I3480" t="s">
        <v>3497</v>
      </c>
      <c r="J3480">
        <v>1</v>
      </c>
      <c r="K3480" t="s">
        <v>3888</v>
      </c>
      <c r="L3480">
        <v>30.42</v>
      </c>
      <c r="M3480">
        <v>30.42</v>
      </c>
      <c r="N3480" t="s">
        <v>3497</v>
      </c>
      <c r="O3480" t="s">
        <v>460</v>
      </c>
    </row>
    <row r="3481" spans="1:15" x14ac:dyDescent="0.3">
      <c r="A3481">
        <v>195445</v>
      </c>
      <c r="B3481">
        <v>116</v>
      </c>
      <c r="C3481" t="s">
        <v>568</v>
      </c>
      <c r="D3481" t="s">
        <v>2314</v>
      </c>
      <c r="E3481" t="s">
        <v>3163</v>
      </c>
      <c r="F3481" s="452">
        <v>46016</v>
      </c>
      <c r="G3481">
        <v>17918</v>
      </c>
      <c r="H3481" t="s">
        <v>4034</v>
      </c>
      <c r="I3481" t="s">
        <v>3497</v>
      </c>
      <c r="J3481">
        <v>2</v>
      </c>
      <c r="K3481" t="s">
        <v>3888</v>
      </c>
      <c r="L3481">
        <v>78.680000000000007</v>
      </c>
      <c r="M3481">
        <v>39.340000000000003</v>
      </c>
      <c r="N3481" t="s">
        <v>3497</v>
      </c>
      <c r="O3481" t="s">
        <v>460</v>
      </c>
    </row>
    <row r="3482" spans="1:15" x14ac:dyDescent="0.3">
      <c r="A3482">
        <v>195438</v>
      </c>
      <c r="B3482">
        <v>116</v>
      </c>
      <c r="C3482" t="s">
        <v>568</v>
      </c>
      <c r="D3482" t="s">
        <v>2260</v>
      </c>
      <c r="E3482" t="s">
        <v>3164</v>
      </c>
      <c r="F3482" s="452">
        <v>46037</v>
      </c>
      <c r="G3482">
        <v>23718</v>
      </c>
      <c r="H3482" t="s">
        <v>4414</v>
      </c>
      <c r="I3482" t="s">
        <v>3469</v>
      </c>
      <c r="J3482">
        <v>2.4</v>
      </c>
      <c r="K3482" t="s">
        <v>3892</v>
      </c>
      <c r="L3482">
        <v>93.6</v>
      </c>
      <c r="M3482">
        <v>39</v>
      </c>
      <c r="N3482" t="s">
        <v>3469</v>
      </c>
      <c r="O3482" t="s">
        <v>461</v>
      </c>
    </row>
    <row r="3483" spans="1:15" x14ac:dyDescent="0.3">
      <c r="A3483">
        <v>195438</v>
      </c>
      <c r="B3483">
        <v>116</v>
      </c>
      <c r="C3483" t="s">
        <v>568</v>
      </c>
      <c r="D3483" t="s">
        <v>2260</v>
      </c>
      <c r="E3483" t="s">
        <v>3164</v>
      </c>
      <c r="F3483" s="452">
        <v>46037</v>
      </c>
      <c r="G3483">
        <v>28212</v>
      </c>
      <c r="H3483" t="s">
        <v>4156</v>
      </c>
      <c r="I3483" t="s">
        <v>3469</v>
      </c>
      <c r="J3483">
        <v>5.0999999999999996</v>
      </c>
      <c r="L3483">
        <v>224.4</v>
      </c>
      <c r="M3483">
        <v>44</v>
      </c>
      <c r="N3483" t="s">
        <v>3469</v>
      </c>
      <c r="O3483" t="s">
        <v>461</v>
      </c>
    </row>
    <row r="3484" spans="1:15" x14ac:dyDescent="0.3">
      <c r="A3484">
        <v>195405</v>
      </c>
      <c r="B3484">
        <v>116</v>
      </c>
      <c r="C3484" t="s">
        <v>568</v>
      </c>
      <c r="D3484" t="s">
        <v>3053</v>
      </c>
      <c r="E3484" t="s">
        <v>3165</v>
      </c>
      <c r="F3484" s="452">
        <v>46039</v>
      </c>
      <c r="G3484">
        <v>17006</v>
      </c>
      <c r="H3484" t="s">
        <v>4128</v>
      </c>
      <c r="I3484" t="s">
        <v>3469</v>
      </c>
      <c r="J3484">
        <v>13.85</v>
      </c>
      <c r="K3484" t="s">
        <v>3892</v>
      </c>
      <c r="L3484">
        <v>180.05</v>
      </c>
      <c r="M3484">
        <v>13</v>
      </c>
      <c r="N3484" t="s">
        <v>3469</v>
      </c>
      <c r="O3484" t="s">
        <v>461</v>
      </c>
    </row>
    <row r="3485" spans="1:15" x14ac:dyDescent="0.3">
      <c r="A3485">
        <v>195380</v>
      </c>
      <c r="B3485">
        <v>116</v>
      </c>
      <c r="C3485" t="s">
        <v>568</v>
      </c>
      <c r="D3485" t="s">
        <v>2286</v>
      </c>
      <c r="E3485" t="s">
        <v>3166</v>
      </c>
      <c r="F3485" s="452">
        <v>46037</v>
      </c>
      <c r="G3485">
        <v>19787</v>
      </c>
      <c r="H3485" t="s">
        <v>3940</v>
      </c>
      <c r="I3485" t="s">
        <v>3469</v>
      </c>
      <c r="J3485">
        <v>6</v>
      </c>
      <c r="K3485" t="s">
        <v>3892</v>
      </c>
      <c r="L3485">
        <v>29.4</v>
      </c>
      <c r="M3485">
        <v>4.9000000000000004</v>
      </c>
      <c r="N3485" t="s">
        <v>4240</v>
      </c>
      <c r="O3485" t="s">
        <v>461</v>
      </c>
    </row>
    <row r="3486" spans="1:15" x14ac:dyDescent="0.3">
      <c r="A3486">
        <v>195380</v>
      </c>
      <c r="B3486">
        <v>116</v>
      </c>
      <c r="C3486" t="s">
        <v>568</v>
      </c>
      <c r="D3486" t="s">
        <v>2286</v>
      </c>
      <c r="E3486" t="s">
        <v>3166</v>
      </c>
      <c r="F3486" s="452">
        <v>46037</v>
      </c>
      <c r="G3486">
        <v>19634</v>
      </c>
      <c r="H3486" t="s">
        <v>4068</v>
      </c>
      <c r="I3486" t="s">
        <v>3469</v>
      </c>
      <c r="J3486">
        <v>2</v>
      </c>
      <c r="K3486" t="s">
        <v>3892</v>
      </c>
      <c r="L3486">
        <v>15</v>
      </c>
      <c r="M3486">
        <v>7.5</v>
      </c>
      <c r="N3486" t="s">
        <v>4240</v>
      </c>
      <c r="O3486" t="s">
        <v>461</v>
      </c>
    </row>
    <row r="3487" spans="1:15" x14ac:dyDescent="0.3">
      <c r="A3487">
        <v>195380</v>
      </c>
      <c r="B3487">
        <v>116</v>
      </c>
      <c r="C3487" t="s">
        <v>568</v>
      </c>
      <c r="D3487" t="s">
        <v>2286</v>
      </c>
      <c r="E3487" t="s">
        <v>3166</v>
      </c>
      <c r="F3487" s="452">
        <v>46037</v>
      </c>
      <c r="G3487">
        <v>24083</v>
      </c>
      <c r="H3487" t="s">
        <v>3898</v>
      </c>
      <c r="I3487" t="s">
        <v>3469</v>
      </c>
      <c r="J3487">
        <v>25</v>
      </c>
      <c r="K3487" t="s">
        <v>3892</v>
      </c>
      <c r="L3487">
        <v>105</v>
      </c>
      <c r="M3487">
        <v>4.2</v>
      </c>
      <c r="N3487" t="s">
        <v>4240</v>
      </c>
      <c r="O3487" t="s">
        <v>461</v>
      </c>
    </row>
    <row r="3488" spans="1:15" x14ac:dyDescent="0.3">
      <c r="A3488">
        <v>195380</v>
      </c>
      <c r="B3488">
        <v>116</v>
      </c>
      <c r="C3488" t="s">
        <v>568</v>
      </c>
      <c r="D3488" t="s">
        <v>2286</v>
      </c>
      <c r="E3488" t="s">
        <v>3166</v>
      </c>
      <c r="F3488" s="452">
        <v>46037</v>
      </c>
      <c r="G3488">
        <v>19506</v>
      </c>
      <c r="H3488" t="s">
        <v>4112</v>
      </c>
      <c r="I3488" t="s">
        <v>3469</v>
      </c>
      <c r="J3488">
        <v>0.2</v>
      </c>
      <c r="K3488" t="s">
        <v>3892</v>
      </c>
      <c r="L3488">
        <v>8</v>
      </c>
      <c r="M3488">
        <v>40</v>
      </c>
      <c r="N3488" t="s">
        <v>4240</v>
      </c>
      <c r="O3488" t="s">
        <v>461</v>
      </c>
    </row>
    <row r="3489" spans="1:15" x14ac:dyDescent="0.3">
      <c r="A3489">
        <v>195380</v>
      </c>
      <c r="B3489">
        <v>116</v>
      </c>
      <c r="C3489" t="s">
        <v>568</v>
      </c>
      <c r="D3489" t="s">
        <v>2286</v>
      </c>
      <c r="E3489" t="s">
        <v>3166</v>
      </c>
      <c r="F3489" s="452">
        <v>46037</v>
      </c>
      <c r="G3489">
        <v>19505</v>
      </c>
      <c r="H3489" t="s">
        <v>4101</v>
      </c>
      <c r="I3489" t="s">
        <v>3469</v>
      </c>
      <c r="J3489">
        <v>1</v>
      </c>
      <c r="K3489" t="s">
        <v>3892</v>
      </c>
      <c r="L3489">
        <v>12</v>
      </c>
      <c r="M3489">
        <v>12</v>
      </c>
      <c r="N3489" t="s">
        <v>4240</v>
      </c>
      <c r="O3489" t="s">
        <v>461</v>
      </c>
    </row>
    <row r="3490" spans="1:15" x14ac:dyDescent="0.3">
      <c r="A3490">
        <v>195380</v>
      </c>
      <c r="B3490">
        <v>116</v>
      </c>
      <c r="C3490" t="s">
        <v>568</v>
      </c>
      <c r="D3490" t="s">
        <v>2286</v>
      </c>
      <c r="E3490" t="s">
        <v>3166</v>
      </c>
      <c r="F3490" s="452">
        <v>46037</v>
      </c>
      <c r="G3490">
        <v>19498</v>
      </c>
      <c r="H3490" t="s">
        <v>4065</v>
      </c>
      <c r="I3490" t="s">
        <v>3469</v>
      </c>
      <c r="J3490">
        <v>1</v>
      </c>
      <c r="K3490" t="s">
        <v>3892</v>
      </c>
      <c r="L3490">
        <v>13</v>
      </c>
      <c r="M3490">
        <v>13</v>
      </c>
      <c r="N3490" t="s">
        <v>4240</v>
      </c>
      <c r="O3490" t="s">
        <v>461</v>
      </c>
    </row>
    <row r="3491" spans="1:15" x14ac:dyDescent="0.3">
      <c r="A3491">
        <v>195380</v>
      </c>
      <c r="B3491">
        <v>116</v>
      </c>
      <c r="C3491" t="s">
        <v>568</v>
      </c>
      <c r="D3491" t="s">
        <v>2286</v>
      </c>
      <c r="E3491" t="s">
        <v>3166</v>
      </c>
      <c r="F3491" s="452">
        <v>46037</v>
      </c>
      <c r="G3491">
        <v>19480</v>
      </c>
      <c r="H3491" t="s">
        <v>4113</v>
      </c>
      <c r="I3491" t="s">
        <v>3469</v>
      </c>
      <c r="J3491">
        <v>0.2</v>
      </c>
      <c r="K3491" t="s">
        <v>3892</v>
      </c>
      <c r="L3491">
        <v>2.6</v>
      </c>
      <c r="M3491">
        <v>13</v>
      </c>
      <c r="N3491" t="s">
        <v>4240</v>
      </c>
      <c r="O3491" t="s">
        <v>461</v>
      </c>
    </row>
    <row r="3492" spans="1:15" x14ac:dyDescent="0.3">
      <c r="A3492">
        <v>195380</v>
      </c>
      <c r="B3492">
        <v>116</v>
      </c>
      <c r="C3492" t="s">
        <v>568</v>
      </c>
      <c r="D3492" t="s">
        <v>2286</v>
      </c>
      <c r="E3492" t="s">
        <v>3166</v>
      </c>
      <c r="F3492" s="452">
        <v>46037</v>
      </c>
      <c r="G3492">
        <v>19740</v>
      </c>
      <c r="H3492" t="s">
        <v>3933</v>
      </c>
      <c r="I3492" t="s">
        <v>3469</v>
      </c>
      <c r="J3492">
        <v>8</v>
      </c>
      <c r="K3492" t="s">
        <v>3892</v>
      </c>
      <c r="L3492">
        <v>68</v>
      </c>
      <c r="M3492">
        <v>8.5</v>
      </c>
      <c r="N3492" t="s">
        <v>4240</v>
      </c>
      <c r="O3492" t="s">
        <v>461</v>
      </c>
    </row>
    <row r="3493" spans="1:15" x14ac:dyDescent="0.3">
      <c r="A3493">
        <v>195380</v>
      </c>
      <c r="B3493">
        <v>116</v>
      </c>
      <c r="C3493" t="s">
        <v>568</v>
      </c>
      <c r="D3493" t="s">
        <v>2286</v>
      </c>
      <c r="E3493" t="s">
        <v>3166</v>
      </c>
      <c r="F3493" s="452">
        <v>46037</v>
      </c>
      <c r="G3493">
        <v>19751</v>
      </c>
      <c r="H3493" t="s">
        <v>4019</v>
      </c>
      <c r="I3493" t="s">
        <v>3469</v>
      </c>
      <c r="J3493">
        <v>2</v>
      </c>
      <c r="K3493" t="s">
        <v>3892</v>
      </c>
      <c r="L3493">
        <v>35.6</v>
      </c>
      <c r="M3493">
        <v>17.8</v>
      </c>
      <c r="N3493" t="s">
        <v>4240</v>
      </c>
      <c r="O3493" t="s">
        <v>461</v>
      </c>
    </row>
    <row r="3494" spans="1:15" x14ac:dyDescent="0.3">
      <c r="A3494">
        <v>195380</v>
      </c>
      <c r="B3494">
        <v>116</v>
      </c>
      <c r="C3494" t="s">
        <v>568</v>
      </c>
      <c r="D3494" t="s">
        <v>2286</v>
      </c>
      <c r="E3494" t="s">
        <v>3166</v>
      </c>
      <c r="F3494" s="452">
        <v>46037</v>
      </c>
      <c r="G3494">
        <v>24598</v>
      </c>
      <c r="H3494" t="s">
        <v>4166</v>
      </c>
      <c r="I3494" t="s">
        <v>3469</v>
      </c>
      <c r="J3494">
        <v>1</v>
      </c>
      <c r="K3494" t="s">
        <v>3892</v>
      </c>
      <c r="L3494">
        <v>14</v>
      </c>
      <c r="M3494">
        <v>14</v>
      </c>
      <c r="N3494" t="s">
        <v>4240</v>
      </c>
      <c r="O3494" t="s">
        <v>461</v>
      </c>
    </row>
    <row r="3495" spans="1:15" x14ac:dyDescent="0.3">
      <c r="A3495">
        <v>195380</v>
      </c>
      <c r="B3495">
        <v>116</v>
      </c>
      <c r="C3495" t="s">
        <v>568</v>
      </c>
      <c r="D3495" t="s">
        <v>2286</v>
      </c>
      <c r="E3495" t="s">
        <v>3166</v>
      </c>
      <c r="F3495" s="452">
        <v>46037</v>
      </c>
      <c r="G3495">
        <v>19773</v>
      </c>
      <c r="H3495" t="s">
        <v>4168</v>
      </c>
      <c r="I3495" t="s">
        <v>3469</v>
      </c>
      <c r="J3495">
        <v>1</v>
      </c>
      <c r="K3495" t="s">
        <v>3892</v>
      </c>
      <c r="L3495">
        <v>20</v>
      </c>
      <c r="M3495">
        <v>20</v>
      </c>
      <c r="N3495" t="s">
        <v>4240</v>
      </c>
      <c r="O3495" t="s">
        <v>461</v>
      </c>
    </row>
    <row r="3496" spans="1:15" x14ac:dyDescent="0.3">
      <c r="A3496">
        <v>195380</v>
      </c>
      <c r="B3496">
        <v>116</v>
      </c>
      <c r="C3496" t="s">
        <v>568</v>
      </c>
      <c r="D3496" t="s">
        <v>2286</v>
      </c>
      <c r="E3496" t="s">
        <v>3166</v>
      </c>
      <c r="F3496" s="452">
        <v>46037</v>
      </c>
      <c r="G3496">
        <v>23113</v>
      </c>
      <c r="H3496" t="s">
        <v>4079</v>
      </c>
      <c r="I3496" t="s">
        <v>3469</v>
      </c>
      <c r="J3496">
        <v>1.5</v>
      </c>
      <c r="K3496" t="s">
        <v>3892</v>
      </c>
      <c r="L3496">
        <v>18.75</v>
      </c>
      <c r="M3496">
        <v>12.5</v>
      </c>
      <c r="N3496" t="s">
        <v>4240</v>
      </c>
      <c r="O3496" t="s">
        <v>461</v>
      </c>
    </row>
    <row r="3497" spans="1:15" x14ac:dyDescent="0.3">
      <c r="A3497">
        <v>195380</v>
      </c>
      <c r="B3497">
        <v>116</v>
      </c>
      <c r="C3497" t="s">
        <v>568</v>
      </c>
      <c r="D3497" t="s">
        <v>2286</v>
      </c>
      <c r="E3497" t="s">
        <v>3166</v>
      </c>
      <c r="F3497" s="452">
        <v>46037</v>
      </c>
      <c r="G3497">
        <v>23198</v>
      </c>
      <c r="H3497" t="s">
        <v>4167</v>
      </c>
      <c r="I3497" t="s">
        <v>3469</v>
      </c>
      <c r="J3497">
        <v>1</v>
      </c>
      <c r="K3497" t="s">
        <v>3892</v>
      </c>
      <c r="L3497">
        <v>7.5</v>
      </c>
      <c r="M3497">
        <v>7.5</v>
      </c>
      <c r="N3497" t="s">
        <v>4240</v>
      </c>
      <c r="O3497" t="s">
        <v>461</v>
      </c>
    </row>
    <row r="3498" spans="1:15" x14ac:dyDescent="0.3">
      <c r="A3498">
        <v>195380</v>
      </c>
      <c r="B3498">
        <v>116</v>
      </c>
      <c r="C3498" t="s">
        <v>568</v>
      </c>
      <c r="D3498" t="s">
        <v>2286</v>
      </c>
      <c r="E3498" t="s">
        <v>3166</v>
      </c>
      <c r="F3498" s="452">
        <v>46037</v>
      </c>
      <c r="G3498">
        <v>23236</v>
      </c>
      <c r="H3498" t="s">
        <v>4017</v>
      </c>
      <c r="I3498" t="s">
        <v>3469</v>
      </c>
      <c r="J3498">
        <v>3</v>
      </c>
      <c r="K3498" t="s">
        <v>3892</v>
      </c>
      <c r="L3498">
        <v>18</v>
      </c>
      <c r="M3498">
        <v>6</v>
      </c>
      <c r="N3498" t="s">
        <v>4240</v>
      </c>
      <c r="O3498" t="s">
        <v>461</v>
      </c>
    </row>
    <row r="3499" spans="1:15" x14ac:dyDescent="0.3">
      <c r="A3499">
        <v>195380</v>
      </c>
      <c r="B3499">
        <v>116</v>
      </c>
      <c r="C3499" t="s">
        <v>568</v>
      </c>
      <c r="D3499" t="s">
        <v>2286</v>
      </c>
      <c r="E3499" t="s">
        <v>3166</v>
      </c>
      <c r="F3499" s="452">
        <v>46037</v>
      </c>
      <c r="G3499">
        <v>23120</v>
      </c>
      <c r="H3499" t="s">
        <v>4111</v>
      </c>
      <c r="I3499" t="s">
        <v>3469</v>
      </c>
      <c r="J3499">
        <v>0.2</v>
      </c>
      <c r="K3499" t="s">
        <v>3892</v>
      </c>
      <c r="L3499">
        <v>13.6</v>
      </c>
      <c r="M3499">
        <v>68</v>
      </c>
      <c r="N3499" t="s">
        <v>4240</v>
      </c>
      <c r="O3499" t="s">
        <v>461</v>
      </c>
    </row>
    <row r="3500" spans="1:15" x14ac:dyDescent="0.3">
      <c r="A3500">
        <v>195380</v>
      </c>
      <c r="B3500">
        <v>116</v>
      </c>
      <c r="C3500" t="s">
        <v>568</v>
      </c>
      <c r="D3500" t="s">
        <v>2286</v>
      </c>
      <c r="E3500" t="s">
        <v>3166</v>
      </c>
      <c r="F3500" s="452">
        <v>46037</v>
      </c>
      <c r="G3500">
        <v>23171</v>
      </c>
      <c r="H3500" t="s">
        <v>4132</v>
      </c>
      <c r="I3500" t="s">
        <v>3469</v>
      </c>
      <c r="J3500">
        <v>3</v>
      </c>
      <c r="K3500" t="s">
        <v>3892</v>
      </c>
      <c r="L3500">
        <v>29.4</v>
      </c>
      <c r="M3500">
        <v>9.8000000000000007</v>
      </c>
      <c r="N3500" t="s">
        <v>4240</v>
      </c>
      <c r="O3500" t="s">
        <v>461</v>
      </c>
    </row>
    <row r="3501" spans="1:15" x14ac:dyDescent="0.3">
      <c r="A3501">
        <v>195380</v>
      </c>
      <c r="B3501">
        <v>116</v>
      </c>
      <c r="C3501" t="s">
        <v>568</v>
      </c>
      <c r="D3501" t="s">
        <v>2286</v>
      </c>
      <c r="E3501" t="s">
        <v>3166</v>
      </c>
      <c r="F3501" s="452">
        <v>46037</v>
      </c>
      <c r="G3501">
        <v>23359</v>
      </c>
      <c r="H3501" t="s">
        <v>3932</v>
      </c>
      <c r="I3501" t="s">
        <v>3469</v>
      </c>
      <c r="J3501">
        <v>10</v>
      </c>
      <c r="K3501" t="s">
        <v>3892</v>
      </c>
      <c r="L3501">
        <v>27.5</v>
      </c>
      <c r="M3501">
        <v>2.75</v>
      </c>
      <c r="N3501" t="s">
        <v>4240</v>
      </c>
      <c r="O3501" t="s">
        <v>461</v>
      </c>
    </row>
    <row r="3502" spans="1:15" x14ac:dyDescent="0.3">
      <c r="A3502">
        <v>195380</v>
      </c>
      <c r="B3502">
        <v>116</v>
      </c>
      <c r="C3502" t="s">
        <v>568</v>
      </c>
      <c r="D3502" t="s">
        <v>2286</v>
      </c>
      <c r="E3502" t="s">
        <v>3166</v>
      </c>
      <c r="F3502" s="452">
        <v>46037</v>
      </c>
      <c r="G3502">
        <v>23361</v>
      </c>
      <c r="H3502" t="s">
        <v>4220</v>
      </c>
      <c r="I3502" t="s">
        <v>3469</v>
      </c>
      <c r="J3502">
        <v>36</v>
      </c>
      <c r="K3502" t="s">
        <v>3892</v>
      </c>
      <c r="L3502">
        <v>111.6</v>
      </c>
      <c r="M3502">
        <v>3.1</v>
      </c>
      <c r="N3502" t="s">
        <v>4240</v>
      </c>
      <c r="O3502" t="s">
        <v>461</v>
      </c>
    </row>
    <row r="3503" spans="1:15" x14ac:dyDescent="0.3">
      <c r="A3503">
        <v>195380</v>
      </c>
      <c r="B3503">
        <v>116</v>
      </c>
      <c r="C3503" t="s">
        <v>568</v>
      </c>
      <c r="D3503" t="s">
        <v>2286</v>
      </c>
      <c r="E3503" t="s">
        <v>3166</v>
      </c>
      <c r="F3503" s="452">
        <v>46037</v>
      </c>
      <c r="G3503">
        <v>23389</v>
      </c>
      <c r="H3503" t="s">
        <v>4016</v>
      </c>
      <c r="I3503" t="s">
        <v>3469</v>
      </c>
      <c r="J3503">
        <v>6</v>
      </c>
      <c r="K3503" t="s">
        <v>3892</v>
      </c>
      <c r="L3503">
        <v>36</v>
      </c>
      <c r="M3503">
        <v>6</v>
      </c>
      <c r="N3503" t="s">
        <v>4240</v>
      </c>
      <c r="O3503" t="s">
        <v>461</v>
      </c>
    </row>
    <row r="3504" spans="1:15" x14ac:dyDescent="0.3">
      <c r="A3504">
        <v>195380</v>
      </c>
      <c r="B3504">
        <v>116</v>
      </c>
      <c r="C3504" t="s">
        <v>568</v>
      </c>
      <c r="D3504" t="s">
        <v>2286</v>
      </c>
      <c r="E3504" t="s">
        <v>3166</v>
      </c>
      <c r="F3504" s="452">
        <v>46037</v>
      </c>
      <c r="G3504">
        <v>23095</v>
      </c>
      <c r="H3504" t="s">
        <v>3882</v>
      </c>
      <c r="I3504" t="s">
        <v>3469</v>
      </c>
      <c r="J3504">
        <v>60</v>
      </c>
      <c r="K3504" t="s">
        <v>3872</v>
      </c>
      <c r="L3504">
        <v>58.2</v>
      </c>
      <c r="M3504">
        <v>0.97</v>
      </c>
      <c r="N3504" t="s">
        <v>4240</v>
      </c>
      <c r="O3504" t="s">
        <v>461</v>
      </c>
    </row>
    <row r="3505" spans="1:15" x14ac:dyDescent="0.3">
      <c r="A3505">
        <v>195380</v>
      </c>
      <c r="B3505">
        <v>116</v>
      </c>
      <c r="C3505" t="s">
        <v>568</v>
      </c>
      <c r="D3505" t="s">
        <v>2286</v>
      </c>
      <c r="E3505" t="s">
        <v>3166</v>
      </c>
      <c r="F3505" s="452">
        <v>46037</v>
      </c>
      <c r="G3505">
        <v>24037</v>
      </c>
      <c r="H3505" t="s">
        <v>4104</v>
      </c>
      <c r="I3505" t="s">
        <v>3469</v>
      </c>
      <c r="J3505">
        <v>2</v>
      </c>
      <c r="K3505" t="s">
        <v>3892</v>
      </c>
      <c r="L3505">
        <v>41</v>
      </c>
      <c r="M3505">
        <v>20.5</v>
      </c>
      <c r="N3505" t="s">
        <v>4240</v>
      </c>
      <c r="O3505" t="s">
        <v>461</v>
      </c>
    </row>
    <row r="3506" spans="1:15" x14ac:dyDescent="0.3">
      <c r="A3506">
        <v>193821</v>
      </c>
      <c r="B3506">
        <v>116</v>
      </c>
      <c r="C3506" t="s">
        <v>568</v>
      </c>
      <c r="D3506" t="s">
        <v>2320</v>
      </c>
      <c r="E3506" t="s">
        <v>3167</v>
      </c>
      <c r="F3506" s="452">
        <v>46035</v>
      </c>
      <c r="G3506">
        <v>22857</v>
      </c>
      <c r="H3506" t="s">
        <v>4130</v>
      </c>
      <c r="I3506" t="s">
        <v>3469</v>
      </c>
      <c r="J3506">
        <v>17.149999999999999</v>
      </c>
      <c r="K3506" t="s">
        <v>3892</v>
      </c>
      <c r="L3506">
        <v>1200.33</v>
      </c>
      <c r="M3506">
        <v>69.990087000000003</v>
      </c>
      <c r="N3506" t="s">
        <v>4240</v>
      </c>
      <c r="O3506" t="s">
        <v>461</v>
      </c>
    </row>
    <row r="3507" spans="1:15" x14ac:dyDescent="0.3">
      <c r="A3507">
        <v>193820</v>
      </c>
      <c r="B3507">
        <v>116</v>
      </c>
      <c r="C3507" t="s">
        <v>568</v>
      </c>
      <c r="D3507" t="s">
        <v>2320</v>
      </c>
      <c r="E3507" t="s">
        <v>3167</v>
      </c>
      <c r="F3507" s="452">
        <v>46035</v>
      </c>
      <c r="G3507">
        <v>22857</v>
      </c>
      <c r="H3507" t="s">
        <v>4130</v>
      </c>
      <c r="I3507" t="s">
        <v>3469</v>
      </c>
      <c r="J3507">
        <v>17.149999999999999</v>
      </c>
      <c r="K3507" t="s">
        <v>3892</v>
      </c>
      <c r="L3507">
        <v>1200.33</v>
      </c>
      <c r="M3507">
        <v>69.990087000000003</v>
      </c>
      <c r="N3507" t="s">
        <v>4240</v>
      </c>
      <c r="O3507" t="s">
        <v>461</v>
      </c>
    </row>
    <row r="3508" spans="1:15" x14ac:dyDescent="0.3">
      <c r="A3508">
        <v>193818</v>
      </c>
      <c r="B3508">
        <v>116</v>
      </c>
      <c r="C3508" t="s">
        <v>568</v>
      </c>
      <c r="D3508" t="s">
        <v>2323</v>
      </c>
      <c r="E3508" t="s">
        <v>3168</v>
      </c>
      <c r="F3508" s="452">
        <v>46034</v>
      </c>
      <c r="G3508">
        <v>24402</v>
      </c>
      <c r="H3508" t="s">
        <v>3896</v>
      </c>
      <c r="I3508" t="s">
        <v>3469</v>
      </c>
      <c r="J3508">
        <v>18.8</v>
      </c>
      <c r="K3508" t="s">
        <v>3892</v>
      </c>
      <c r="L3508">
        <v>686.2</v>
      </c>
      <c r="M3508">
        <v>36.5</v>
      </c>
      <c r="N3508" t="s">
        <v>4240</v>
      </c>
      <c r="O3508" t="s">
        <v>461</v>
      </c>
    </row>
    <row r="3509" spans="1:15" x14ac:dyDescent="0.3">
      <c r="A3509">
        <v>193815</v>
      </c>
      <c r="B3509">
        <v>116</v>
      </c>
      <c r="C3509" t="s">
        <v>568</v>
      </c>
      <c r="D3509" t="s">
        <v>2265</v>
      </c>
      <c r="E3509" t="s">
        <v>3169</v>
      </c>
      <c r="F3509" s="452">
        <v>46035</v>
      </c>
      <c r="G3509">
        <v>17405</v>
      </c>
      <c r="H3509" t="s">
        <v>4251</v>
      </c>
      <c r="I3509" t="s">
        <v>4199</v>
      </c>
      <c r="J3509">
        <v>1</v>
      </c>
      <c r="K3509" t="s">
        <v>3872</v>
      </c>
      <c r="L3509">
        <v>10</v>
      </c>
      <c r="M3509">
        <v>10</v>
      </c>
      <c r="N3509" t="s">
        <v>2176</v>
      </c>
      <c r="O3509" t="s">
        <v>461</v>
      </c>
    </row>
    <row r="3510" spans="1:15" x14ac:dyDescent="0.3">
      <c r="A3510">
        <v>193815</v>
      </c>
      <c r="B3510">
        <v>116</v>
      </c>
      <c r="C3510" t="s">
        <v>568</v>
      </c>
      <c r="D3510" t="s">
        <v>2265</v>
      </c>
      <c r="E3510" t="s">
        <v>3169</v>
      </c>
      <c r="F3510" s="452">
        <v>46035</v>
      </c>
      <c r="G3510">
        <v>17129</v>
      </c>
      <c r="H3510" t="s">
        <v>4200</v>
      </c>
      <c r="I3510" t="s">
        <v>4199</v>
      </c>
      <c r="J3510">
        <v>1</v>
      </c>
      <c r="K3510" t="s">
        <v>3888</v>
      </c>
      <c r="L3510">
        <v>29.9</v>
      </c>
      <c r="M3510">
        <v>29.9</v>
      </c>
      <c r="N3510" t="s">
        <v>2176</v>
      </c>
      <c r="O3510" t="s">
        <v>461</v>
      </c>
    </row>
    <row r="3511" spans="1:15" x14ac:dyDescent="0.3">
      <c r="A3511">
        <v>193815</v>
      </c>
      <c r="B3511">
        <v>116</v>
      </c>
      <c r="C3511" t="s">
        <v>568</v>
      </c>
      <c r="D3511" t="s">
        <v>2265</v>
      </c>
      <c r="E3511" t="s">
        <v>3169</v>
      </c>
      <c r="F3511" s="452">
        <v>46035</v>
      </c>
      <c r="G3511">
        <v>17437</v>
      </c>
      <c r="H3511" t="s">
        <v>4198</v>
      </c>
      <c r="I3511" t="s">
        <v>4199</v>
      </c>
      <c r="J3511">
        <v>10</v>
      </c>
      <c r="K3511" t="s">
        <v>3872</v>
      </c>
      <c r="L3511">
        <v>25</v>
      </c>
      <c r="M3511">
        <v>2.5</v>
      </c>
      <c r="N3511" t="s">
        <v>2176</v>
      </c>
      <c r="O3511" t="s">
        <v>461</v>
      </c>
    </row>
    <row r="3512" spans="1:15" x14ac:dyDescent="0.3">
      <c r="A3512">
        <v>193815</v>
      </c>
      <c r="B3512">
        <v>116</v>
      </c>
      <c r="C3512" t="s">
        <v>568</v>
      </c>
      <c r="D3512" t="s">
        <v>2265</v>
      </c>
      <c r="E3512" t="s">
        <v>3169</v>
      </c>
      <c r="F3512" s="452">
        <v>46035</v>
      </c>
      <c r="G3512">
        <v>17314</v>
      </c>
      <c r="H3512" t="s">
        <v>4204</v>
      </c>
      <c r="I3512" t="s">
        <v>4199</v>
      </c>
      <c r="J3512">
        <v>3</v>
      </c>
      <c r="K3512" t="s">
        <v>3978</v>
      </c>
      <c r="L3512">
        <v>18.3</v>
      </c>
      <c r="M3512">
        <v>6.1</v>
      </c>
      <c r="N3512" t="s">
        <v>2176</v>
      </c>
      <c r="O3512" t="s">
        <v>461</v>
      </c>
    </row>
    <row r="3513" spans="1:15" x14ac:dyDescent="0.3">
      <c r="A3513">
        <v>193815</v>
      </c>
      <c r="B3513">
        <v>116</v>
      </c>
      <c r="C3513" t="s">
        <v>568</v>
      </c>
      <c r="D3513" t="s">
        <v>2265</v>
      </c>
      <c r="E3513" t="s">
        <v>3169</v>
      </c>
      <c r="F3513" s="452">
        <v>46035</v>
      </c>
      <c r="G3513">
        <v>17455</v>
      </c>
      <c r="H3513" t="s">
        <v>4231</v>
      </c>
      <c r="I3513" t="s">
        <v>4199</v>
      </c>
      <c r="J3513">
        <v>2</v>
      </c>
      <c r="K3513" t="s">
        <v>3872</v>
      </c>
      <c r="L3513">
        <v>76</v>
      </c>
      <c r="M3513">
        <v>38</v>
      </c>
      <c r="N3513" t="s">
        <v>2176</v>
      </c>
      <c r="O3513" t="s">
        <v>461</v>
      </c>
    </row>
    <row r="3514" spans="1:15" x14ac:dyDescent="0.3">
      <c r="A3514">
        <v>193815</v>
      </c>
      <c r="B3514">
        <v>116</v>
      </c>
      <c r="C3514" t="s">
        <v>568</v>
      </c>
      <c r="D3514" t="s">
        <v>2265</v>
      </c>
      <c r="E3514" t="s">
        <v>3169</v>
      </c>
      <c r="F3514" s="452">
        <v>46035</v>
      </c>
      <c r="G3514">
        <v>17342</v>
      </c>
      <c r="H3514" t="s">
        <v>4208</v>
      </c>
      <c r="I3514" t="s">
        <v>4199</v>
      </c>
      <c r="J3514">
        <v>1</v>
      </c>
      <c r="K3514" t="s">
        <v>3931</v>
      </c>
      <c r="L3514">
        <v>34.229999999999997</v>
      </c>
      <c r="M3514">
        <v>34.229999999999997</v>
      </c>
      <c r="N3514" t="s">
        <v>2176</v>
      </c>
      <c r="O3514" t="s">
        <v>461</v>
      </c>
    </row>
    <row r="3515" spans="1:15" x14ac:dyDescent="0.3">
      <c r="A3515">
        <v>193815</v>
      </c>
      <c r="B3515">
        <v>116</v>
      </c>
      <c r="C3515" t="s">
        <v>568</v>
      </c>
      <c r="D3515" t="s">
        <v>2265</v>
      </c>
      <c r="E3515" t="s">
        <v>3169</v>
      </c>
      <c r="F3515" s="452">
        <v>46035</v>
      </c>
      <c r="G3515">
        <v>17404</v>
      </c>
      <c r="H3515" t="s">
        <v>4282</v>
      </c>
      <c r="I3515" t="s">
        <v>4199</v>
      </c>
      <c r="J3515">
        <v>1</v>
      </c>
      <c r="K3515" t="s">
        <v>3872</v>
      </c>
      <c r="L3515">
        <v>19.899999999999999</v>
      </c>
      <c r="M3515">
        <v>19.899999999999999</v>
      </c>
      <c r="N3515" t="s">
        <v>2176</v>
      </c>
      <c r="O3515" t="s">
        <v>461</v>
      </c>
    </row>
    <row r="3516" spans="1:15" x14ac:dyDescent="0.3">
      <c r="A3516">
        <v>193815</v>
      </c>
      <c r="B3516">
        <v>116</v>
      </c>
      <c r="C3516" t="s">
        <v>568</v>
      </c>
      <c r="D3516" t="s">
        <v>2265</v>
      </c>
      <c r="E3516" t="s">
        <v>3169</v>
      </c>
      <c r="F3516" s="452">
        <v>46035</v>
      </c>
      <c r="G3516">
        <v>17196</v>
      </c>
      <c r="H3516" t="s">
        <v>4415</v>
      </c>
      <c r="I3516" t="s">
        <v>4199</v>
      </c>
      <c r="J3516">
        <v>3</v>
      </c>
      <c r="K3516" t="s">
        <v>3888</v>
      </c>
      <c r="L3516">
        <v>26.7</v>
      </c>
      <c r="M3516">
        <v>8.9</v>
      </c>
      <c r="N3516" t="s">
        <v>2176</v>
      </c>
      <c r="O3516" t="s">
        <v>461</v>
      </c>
    </row>
    <row r="3517" spans="1:15" x14ac:dyDescent="0.3">
      <c r="A3517">
        <v>193815</v>
      </c>
      <c r="B3517">
        <v>116</v>
      </c>
      <c r="C3517" t="s">
        <v>568</v>
      </c>
      <c r="D3517" t="s">
        <v>2265</v>
      </c>
      <c r="E3517" t="s">
        <v>3169</v>
      </c>
      <c r="F3517" s="452">
        <v>46035</v>
      </c>
      <c r="G3517">
        <v>17215</v>
      </c>
      <c r="H3517" t="s">
        <v>4283</v>
      </c>
      <c r="I3517" t="s">
        <v>4199</v>
      </c>
      <c r="J3517">
        <v>3</v>
      </c>
      <c r="K3517" t="s">
        <v>3978</v>
      </c>
      <c r="L3517">
        <v>62.7</v>
      </c>
      <c r="M3517">
        <v>20.9</v>
      </c>
      <c r="N3517" t="s">
        <v>2176</v>
      </c>
      <c r="O3517" t="s">
        <v>461</v>
      </c>
    </row>
    <row r="3518" spans="1:15" x14ac:dyDescent="0.3">
      <c r="A3518">
        <v>193815</v>
      </c>
      <c r="B3518">
        <v>116</v>
      </c>
      <c r="C3518" t="s">
        <v>568</v>
      </c>
      <c r="D3518" t="s">
        <v>2265</v>
      </c>
      <c r="E3518" t="s">
        <v>3169</v>
      </c>
      <c r="F3518" s="452">
        <v>46035</v>
      </c>
      <c r="G3518">
        <v>17017</v>
      </c>
      <c r="H3518" t="s">
        <v>4230</v>
      </c>
      <c r="I3518" t="s">
        <v>4199</v>
      </c>
      <c r="J3518">
        <v>2</v>
      </c>
      <c r="K3518" t="s">
        <v>3888</v>
      </c>
      <c r="L3518">
        <v>7</v>
      </c>
      <c r="M3518">
        <v>3.5</v>
      </c>
      <c r="N3518" t="s">
        <v>2176</v>
      </c>
      <c r="O3518" t="s">
        <v>461</v>
      </c>
    </row>
    <row r="3519" spans="1:15" x14ac:dyDescent="0.3">
      <c r="A3519">
        <v>193815</v>
      </c>
      <c r="B3519">
        <v>116</v>
      </c>
      <c r="C3519" t="s">
        <v>568</v>
      </c>
      <c r="D3519" t="s">
        <v>2265</v>
      </c>
      <c r="E3519" t="s">
        <v>3169</v>
      </c>
      <c r="F3519" s="452">
        <v>46035</v>
      </c>
      <c r="G3519">
        <v>17381</v>
      </c>
      <c r="H3519" t="s">
        <v>4247</v>
      </c>
      <c r="I3519" t="s">
        <v>4199</v>
      </c>
      <c r="J3519">
        <v>1</v>
      </c>
      <c r="K3519" t="s">
        <v>3872</v>
      </c>
      <c r="L3519">
        <v>42</v>
      </c>
      <c r="M3519">
        <v>42</v>
      </c>
      <c r="N3519" t="s">
        <v>2176</v>
      </c>
      <c r="O3519" t="s">
        <v>461</v>
      </c>
    </row>
    <row r="3520" spans="1:15" x14ac:dyDescent="0.3">
      <c r="A3520">
        <v>193815</v>
      </c>
      <c r="B3520">
        <v>116</v>
      </c>
      <c r="C3520" t="s">
        <v>568</v>
      </c>
      <c r="D3520" t="s">
        <v>2265</v>
      </c>
      <c r="E3520" t="s">
        <v>3169</v>
      </c>
      <c r="F3520" s="452">
        <v>46035</v>
      </c>
      <c r="G3520">
        <v>17230</v>
      </c>
      <c r="H3520" t="s">
        <v>4281</v>
      </c>
      <c r="I3520" t="s">
        <v>4199</v>
      </c>
      <c r="J3520">
        <v>1</v>
      </c>
      <c r="K3520" t="s">
        <v>3872</v>
      </c>
      <c r="L3520">
        <v>42</v>
      </c>
      <c r="M3520">
        <v>42</v>
      </c>
      <c r="N3520" t="s">
        <v>2176</v>
      </c>
      <c r="O3520" t="s">
        <v>461</v>
      </c>
    </row>
    <row r="3521" spans="1:15" x14ac:dyDescent="0.3">
      <c r="A3521">
        <v>193815</v>
      </c>
      <c r="B3521">
        <v>116</v>
      </c>
      <c r="C3521" t="s">
        <v>568</v>
      </c>
      <c r="D3521" t="s">
        <v>2265</v>
      </c>
      <c r="E3521" t="s">
        <v>3169</v>
      </c>
      <c r="F3521" s="452">
        <v>46035</v>
      </c>
      <c r="G3521">
        <v>17444</v>
      </c>
      <c r="H3521" t="s">
        <v>4211</v>
      </c>
      <c r="I3521" t="s">
        <v>4199</v>
      </c>
      <c r="J3521">
        <v>1</v>
      </c>
      <c r="K3521" t="s">
        <v>3888</v>
      </c>
      <c r="L3521">
        <v>10.5</v>
      </c>
      <c r="M3521">
        <v>10.5</v>
      </c>
      <c r="N3521" t="s">
        <v>2176</v>
      </c>
      <c r="O3521" t="s">
        <v>461</v>
      </c>
    </row>
    <row r="3522" spans="1:15" x14ac:dyDescent="0.3">
      <c r="A3522">
        <v>193815</v>
      </c>
      <c r="B3522">
        <v>116</v>
      </c>
      <c r="C3522" t="s">
        <v>568</v>
      </c>
      <c r="D3522" t="s">
        <v>2265</v>
      </c>
      <c r="E3522" t="s">
        <v>3169</v>
      </c>
      <c r="F3522" s="452">
        <v>46035</v>
      </c>
      <c r="G3522">
        <v>17416</v>
      </c>
      <c r="H3522" t="s">
        <v>4205</v>
      </c>
      <c r="I3522" t="s">
        <v>4199</v>
      </c>
      <c r="J3522">
        <v>2</v>
      </c>
      <c r="K3522" t="s">
        <v>3881</v>
      </c>
      <c r="L3522">
        <v>97.16</v>
      </c>
      <c r="M3522">
        <v>48.58</v>
      </c>
      <c r="N3522" t="s">
        <v>2176</v>
      </c>
      <c r="O3522" t="s">
        <v>461</v>
      </c>
    </row>
    <row r="3523" spans="1:15" x14ac:dyDescent="0.3">
      <c r="A3523">
        <v>193810</v>
      </c>
      <c r="B3523">
        <v>116</v>
      </c>
      <c r="C3523" t="s">
        <v>568</v>
      </c>
      <c r="D3523" t="s">
        <v>2429</v>
      </c>
      <c r="E3523" t="s">
        <v>3170</v>
      </c>
      <c r="F3523" s="452">
        <v>46034</v>
      </c>
      <c r="G3523">
        <v>20809</v>
      </c>
      <c r="H3523" t="s">
        <v>4005</v>
      </c>
      <c r="I3523" t="s">
        <v>3469</v>
      </c>
      <c r="J3523">
        <v>3</v>
      </c>
      <c r="K3523" t="s">
        <v>3888</v>
      </c>
      <c r="L3523">
        <v>99</v>
      </c>
      <c r="M3523">
        <v>33</v>
      </c>
      <c r="N3523" t="s">
        <v>3469</v>
      </c>
      <c r="O3523" t="s">
        <v>461</v>
      </c>
    </row>
    <row r="3524" spans="1:15" x14ac:dyDescent="0.3">
      <c r="A3524">
        <v>193810</v>
      </c>
      <c r="B3524">
        <v>116</v>
      </c>
      <c r="C3524" t="s">
        <v>568</v>
      </c>
      <c r="D3524" t="s">
        <v>2429</v>
      </c>
      <c r="E3524" t="s">
        <v>3170</v>
      </c>
      <c r="F3524" s="452">
        <v>46034</v>
      </c>
      <c r="G3524">
        <v>19139</v>
      </c>
      <c r="H3524" t="s">
        <v>3887</v>
      </c>
      <c r="I3524" t="s">
        <v>3469</v>
      </c>
      <c r="J3524">
        <v>20</v>
      </c>
      <c r="K3524" t="s">
        <v>3888</v>
      </c>
      <c r="L3524">
        <v>182</v>
      </c>
      <c r="M3524">
        <v>9.1</v>
      </c>
      <c r="N3524" t="s">
        <v>3469</v>
      </c>
      <c r="O3524" t="s">
        <v>461</v>
      </c>
    </row>
    <row r="3525" spans="1:15" x14ac:dyDescent="0.3">
      <c r="A3525">
        <v>193810</v>
      </c>
      <c r="B3525">
        <v>116</v>
      </c>
      <c r="C3525" t="s">
        <v>568</v>
      </c>
      <c r="D3525" t="s">
        <v>2429</v>
      </c>
      <c r="E3525" t="s">
        <v>3170</v>
      </c>
      <c r="F3525" s="452">
        <v>46034</v>
      </c>
      <c r="G3525">
        <v>20304</v>
      </c>
      <c r="H3525" t="s">
        <v>3938</v>
      </c>
      <c r="I3525" t="s">
        <v>3469</v>
      </c>
      <c r="J3525">
        <v>6</v>
      </c>
      <c r="K3525" t="s">
        <v>3888</v>
      </c>
      <c r="L3525">
        <v>0</v>
      </c>
      <c r="M3525">
        <v>0</v>
      </c>
      <c r="N3525" t="s">
        <v>3469</v>
      </c>
      <c r="O3525" t="s">
        <v>461</v>
      </c>
    </row>
    <row r="3526" spans="1:15" x14ac:dyDescent="0.3">
      <c r="A3526">
        <v>193810</v>
      </c>
      <c r="B3526">
        <v>116</v>
      </c>
      <c r="C3526" t="s">
        <v>568</v>
      </c>
      <c r="D3526" t="s">
        <v>2429</v>
      </c>
      <c r="E3526" t="s">
        <v>3170</v>
      </c>
      <c r="F3526" s="452">
        <v>46034</v>
      </c>
      <c r="G3526">
        <v>19421</v>
      </c>
      <c r="H3526" t="s">
        <v>4275</v>
      </c>
      <c r="I3526" t="s">
        <v>3469</v>
      </c>
      <c r="J3526">
        <v>1</v>
      </c>
      <c r="K3526" t="s">
        <v>3881</v>
      </c>
      <c r="L3526">
        <v>53</v>
      </c>
      <c r="M3526">
        <v>53</v>
      </c>
      <c r="N3526" t="s">
        <v>3469</v>
      </c>
      <c r="O3526" t="s">
        <v>461</v>
      </c>
    </row>
    <row r="3527" spans="1:15" x14ac:dyDescent="0.3">
      <c r="A3527">
        <v>193805</v>
      </c>
      <c r="B3527">
        <v>116</v>
      </c>
      <c r="C3527" t="s">
        <v>568</v>
      </c>
      <c r="D3527" t="s">
        <v>3010</v>
      </c>
      <c r="E3527" t="s">
        <v>3171</v>
      </c>
      <c r="F3527" s="452">
        <v>46034</v>
      </c>
      <c r="G3527">
        <v>24497</v>
      </c>
      <c r="H3527" t="s">
        <v>4214</v>
      </c>
      <c r="I3527" t="s">
        <v>4215</v>
      </c>
      <c r="J3527">
        <v>2</v>
      </c>
      <c r="K3527" t="s">
        <v>3872</v>
      </c>
      <c r="L3527">
        <v>269.10000000000002</v>
      </c>
      <c r="M3527">
        <v>134.55000000000001</v>
      </c>
      <c r="N3527" t="s">
        <v>4332</v>
      </c>
      <c r="O3527" t="s">
        <v>461</v>
      </c>
    </row>
    <row r="3528" spans="1:15" x14ac:dyDescent="0.3">
      <c r="A3528">
        <v>193805</v>
      </c>
      <c r="B3528">
        <v>116</v>
      </c>
      <c r="C3528" t="s">
        <v>568</v>
      </c>
      <c r="D3528" t="s">
        <v>3010</v>
      </c>
      <c r="E3528" t="s">
        <v>3171</v>
      </c>
      <c r="F3528" s="452">
        <v>46034</v>
      </c>
      <c r="G3528">
        <v>23972</v>
      </c>
      <c r="H3528" t="s">
        <v>4416</v>
      </c>
      <c r="I3528" t="s">
        <v>4215</v>
      </c>
      <c r="J3528">
        <v>1</v>
      </c>
      <c r="K3528" t="s">
        <v>3872</v>
      </c>
      <c r="L3528">
        <v>110.4</v>
      </c>
      <c r="M3528">
        <v>110.4</v>
      </c>
      <c r="N3528" t="s">
        <v>4332</v>
      </c>
      <c r="O3528" t="s">
        <v>461</v>
      </c>
    </row>
    <row r="3529" spans="1:15" x14ac:dyDescent="0.3">
      <c r="A3529">
        <v>193801</v>
      </c>
      <c r="B3529">
        <v>116</v>
      </c>
      <c r="C3529" t="s">
        <v>568</v>
      </c>
      <c r="D3529" t="s">
        <v>2286</v>
      </c>
      <c r="E3529" t="s">
        <v>3172</v>
      </c>
      <c r="F3529" s="452">
        <v>46034</v>
      </c>
      <c r="G3529">
        <v>19787</v>
      </c>
      <c r="H3529" t="s">
        <v>3940</v>
      </c>
      <c r="I3529" t="s">
        <v>3469</v>
      </c>
      <c r="J3529">
        <v>6</v>
      </c>
      <c r="K3529" t="s">
        <v>3892</v>
      </c>
      <c r="L3529">
        <v>29.4</v>
      </c>
      <c r="M3529">
        <v>4.9000000000000004</v>
      </c>
      <c r="N3529" t="s">
        <v>4240</v>
      </c>
      <c r="O3529" t="s">
        <v>461</v>
      </c>
    </row>
    <row r="3530" spans="1:15" x14ac:dyDescent="0.3">
      <c r="A3530">
        <v>193801</v>
      </c>
      <c r="B3530">
        <v>116</v>
      </c>
      <c r="C3530" t="s">
        <v>568</v>
      </c>
      <c r="D3530" t="s">
        <v>2286</v>
      </c>
      <c r="E3530" t="s">
        <v>3172</v>
      </c>
      <c r="F3530" s="452">
        <v>46034</v>
      </c>
      <c r="G3530">
        <v>19506</v>
      </c>
      <c r="H3530" t="s">
        <v>4112</v>
      </c>
      <c r="I3530" t="s">
        <v>3469</v>
      </c>
      <c r="J3530">
        <v>0.2</v>
      </c>
      <c r="K3530" t="s">
        <v>3892</v>
      </c>
      <c r="L3530">
        <v>8.4</v>
      </c>
      <c r="M3530">
        <v>42</v>
      </c>
      <c r="N3530" t="s">
        <v>4240</v>
      </c>
      <c r="O3530" t="s">
        <v>461</v>
      </c>
    </row>
    <row r="3531" spans="1:15" x14ac:dyDescent="0.3">
      <c r="A3531">
        <v>193801</v>
      </c>
      <c r="B3531">
        <v>116</v>
      </c>
      <c r="C3531" t="s">
        <v>568</v>
      </c>
      <c r="D3531" t="s">
        <v>2286</v>
      </c>
      <c r="E3531" t="s">
        <v>3172</v>
      </c>
      <c r="F3531" s="452">
        <v>46034</v>
      </c>
      <c r="G3531">
        <v>24083</v>
      </c>
      <c r="H3531" t="s">
        <v>3898</v>
      </c>
      <c r="I3531" t="s">
        <v>3469</v>
      </c>
      <c r="J3531">
        <v>15</v>
      </c>
      <c r="K3531" t="s">
        <v>3892</v>
      </c>
      <c r="L3531">
        <v>60</v>
      </c>
      <c r="M3531">
        <v>4</v>
      </c>
      <c r="N3531" t="s">
        <v>4240</v>
      </c>
      <c r="O3531" t="s">
        <v>461</v>
      </c>
    </row>
    <row r="3532" spans="1:15" x14ac:dyDescent="0.3">
      <c r="A3532">
        <v>193801</v>
      </c>
      <c r="B3532">
        <v>116</v>
      </c>
      <c r="C3532" t="s">
        <v>568</v>
      </c>
      <c r="D3532" t="s">
        <v>2286</v>
      </c>
      <c r="E3532" t="s">
        <v>3172</v>
      </c>
      <c r="F3532" s="452">
        <v>46034</v>
      </c>
      <c r="G3532">
        <v>19505</v>
      </c>
      <c r="H3532" t="s">
        <v>4101</v>
      </c>
      <c r="I3532" t="s">
        <v>3469</v>
      </c>
      <c r="J3532">
        <v>1</v>
      </c>
      <c r="K3532" t="s">
        <v>3892</v>
      </c>
      <c r="L3532">
        <v>12</v>
      </c>
      <c r="M3532">
        <v>12</v>
      </c>
      <c r="N3532" t="s">
        <v>4240</v>
      </c>
      <c r="O3532" t="s">
        <v>461</v>
      </c>
    </row>
    <row r="3533" spans="1:15" x14ac:dyDescent="0.3">
      <c r="A3533">
        <v>193801</v>
      </c>
      <c r="B3533">
        <v>116</v>
      </c>
      <c r="C3533" t="s">
        <v>568</v>
      </c>
      <c r="D3533" t="s">
        <v>2286</v>
      </c>
      <c r="E3533" t="s">
        <v>3172</v>
      </c>
      <c r="F3533" s="452">
        <v>46034</v>
      </c>
      <c r="G3533">
        <v>19498</v>
      </c>
      <c r="H3533" t="s">
        <v>4065</v>
      </c>
      <c r="I3533" t="s">
        <v>3469</v>
      </c>
      <c r="J3533">
        <v>1</v>
      </c>
      <c r="K3533" t="s">
        <v>3892</v>
      </c>
      <c r="L3533">
        <v>12.8</v>
      </c>
      <c r="M3533">
        <v>12.8</v>
      </c>
      <c r="N3533" t="s">
        <v>4240</v>
      </c>
      <c r="O3533" t="s">
        <v>461</v>
      </c>
    </row>
    <row r="3534" spans="1:15" x14ac:dyDescent="0.3">
      <c r="A3534">
        <v>193801</v>
      </c>
      <c r="B3534">
        <v>116</v>
      </c>
      <c r="C3534" t="s">
        <v>568</v>
      </c>
      <c r="D3534" t="s">
        <v>2286</v>
      </c>
      <c r="E3534" t="s">
        <v>3172</v>
      </c>
      <c r="F3534" s="452">
        <v>46034</v>
      </c>
      <c r="G3534">
        <v>19647</v>
      </c>
      <c r="H3534" t="s">
        <v>4066</v>
      </c>
      <c r="I3534" t="s">
        <v>3469</v>
      </c>
      <c r="J3534">
        <v>1</v>
      </c>
      <c r="K3534" t="s">
        <v>3892</v>
      </c>
      <c r="L3534">
        <v>11</v>
      </c>
      <c r="M3534">
        <v>11</v>
      </c>
      <c r="N3534" t="s">
        <v>4240</v>
      </c>
      <c r="O3534" t="s">
        <v>461</v>
      </c>
    </row>
    <row r="3535" spans="1:15" x14ac:dyDescent="0.3">
      <c r="A3535">
        <v>193801</v>
      </c>
      <c r="B3535">
        <v>116</v>
      </c>
      <c r="C3535" t="s">
        <v>568</v>
      </c>
      <c r="D3535" t="s">
        <v>2286</v>
      </c>
      <c r="E3535" t="s">
        <v>3172</v>
      </c>
      <c r="F3535" s="452">
        <v>46034</v>
      </c>
      <c r="G3535">
        <v>19617</v>
      </c>
      <c r="H3535" t="s">
        <v>4110</v>
      </c>
      <c r="I3535" t="s">
        <v>3469</v>
      </c>
      <c r="J3535">
        <v>0.3</v>
      </c>
      <c r="K3535" t="s">
        <v>3892</v>
      </c>
      <c r="L3535">
        <v>7.5</v>
      </c>
      <c r="M3535">
        <v>25</v>
      </c>
      <c r="N3535" t="s">
        <v>4240</v>
      </c>
      <c r="O3535" t="s">
        <v>461</v>
      </c>
    </row>
    <row r="3536" spans="1:15" x14ac:dyDescent="0.3">
      <c r="A3536">
        <v>193801</v>
      </c>
      <c r="B3536">
        <v>116</v>
      </c>
      <c r="C3536" t="s">
        <v>568</v>
      </c>
      <c r="D3536" t="s">
        <v>2286</v>
      </c>
      <c r="E3536" t="s">
        <v>3172</v>
      </c>
      <c r="F3536" s="452">
        <v>46034</v>
      </c>
      <c r="G3536">
        <v>23113</v>
      </c>
      <c r="H3536" t="s">
        <v>4079</v>
      </c>
      <c r="I3536" t="s">
        <v>3469</v>
      </c>
      <c r="J3536">
        <v>1.5</v>
      </c>
      <c r="K3536" t="s">
        <v>3892</v>
      </c>
      <c r="L3536">
        <v>16.5</v>
      </c>
      <c r="M3536">
        <v>11</v>
      </c>
      <c r="N3536" t="s">
        <v>4240</v>
      </c>
      <c r="O3536" t="s">
        <v>461</v>
      </c>
    </row>
    <row r="3537" spans="1:15" x14ac:dyDescent="0.3">
      <c r="A3537">
        <v>193801</v>
      </c>
      <c r="B3537">
        <v>116</v>
      </c>
      <c r="C3537" t="s">
        <v>568</v>
      </c>
      <c r="D3537" t="s">
        <v>2286</v>
      </c>
      <c r="E3537" t="s">
        <v>3172</v>
      </c>
      <c r="F3537" s="452">
        <v>46034</v>
      </c>
      <c r="G3537">
        <v>23120</v>
      </c>
      <c r="H3537" t="s">
        <v>4111</v>
      </c>
      <c r="I3537" t="s">
        <v>3469</v>
      </c>
      <c r="J3537">
        <v>0.2</v>
      </c>
      <c r="K3537" t="s">
        <v>3892</v>
      </c>
      <c r="L3537">
        <v>14</v>
      </c>
      <c r="M3537">
        <v>70</v>
      </c>
      <c r="N3537" t="s">
        <v>4240</v>
      </c>
      <c r="O3537" t="s">
        <v>461</v>
      </c>
    </row>
    <row r="3538" spans="1:15" x14ac:dyDescent="0.3">
      <c r="A3538">
        <v>193801</v>
      </c>
      <c r="B3538">
        <v>116</v>
      </c>
      <c r="C3538" t="s">
        <v>568</v>
      </c>
      <c r="D3538" t="s">
        <v>2286</v>
      </c>
      <c r="E3538" t="s">
        <v>3172</v>
      </c>
      <c r="F3538" s="452">
        <v>46034</v>
      </c>
      <c r="G3538">
        <v>23236</v>
      </c>
      <c r="H3538" t="s">
        <v>4017</v>
      </c>
      <c r="I3538" t="s">
        <v>3469</v>
      </c>
      <c r="J3538">
        <v>3</v>
      </c>
      <c r="K3538" t="s">
        <v>3892</v>
      </c>
      <c r="L3538">
        <v>18</v>
      </c>
      <c r="M3538">
        <v>6</v>
      </c>
      <c r="N3538" t="s">
        <v>4240</v>
      </c>
      <c r="O3538" t="s">
        <v>461</v>
      </c>
    </row>
    <row r="3539" spans="1:15" x14ac:dyDescent="0.3">
      <c r="A3539">
        <v>193801</v>
      </c>
      <c r="B3539">
        <v>116</v>
      </c>
      <c r="C3539" t="s">
        <v>568</v>
      </c>
      <c r="D3539" t="s">
        <v>2286</v>
      </c>
      <c r="E3539" t="s">
        <v>3172</v>
      </c>
      <c r="F3539" s="452">
        <v>46034</v>
      </c>
      <c r="G3539">
        <v>23389</v>
      </c>
      <c r="H3539" t="s">
        <v>4016</v>
      </c>
      <c r="I3539" t="s">
        <v>3469</v>
      </c>
      <c r="J3539">
        <v>5</v>
      </c>
      <c r="K3539" t="s">
        <v>3892</v>
      </c>
      <c r="L3539">
        <v>30</v>
      </c>
      <c r="M3539">
        <v>6</v>
      </c>
      <c r="N3539" t="s">
        <v>4240</v>
      </c>
      <c r="O3539" t="s">
        <v>461</v>
      </c>
    </row>
    <row r="3540" spans="1:15" x14ac:dyDescent="0.3">
      <c r="A3540">
        <v>193801</v>
      </c>
      <c r="B3540">
        <v>116</v>
      </c>
      <c r="C3540" t="s">
        <v>568</v>
      </c>
      <c r="D3540" t="s">
        <v>2286</v>
      </c>
      <c r="E3540" t="s">
        <v>3172</v>
      </c>
      <c r="F3540" s="452">
        <v>46034</v>
      </c>
      <c r="G3540">
        <v>23142</v>
      </c>
      <c r="H3540" t="s">
        <v>4151</v>
      </c>
      <c r="I3540" t="s">
        <v>3469</v>
      </c>
      <c r="J3540">
        <v>1</v>
      </c>
      <c r="K3540" t="s">
        <v>3892</v>
      </c>
      <c r="L3540">
        <v>20</v>
      </c>
      <c r="M3540">
        <v>20</v>
      </c>
      <c r="N3540" t="s">
        <v>4240</v>
      </c>
      <c r="O3540" t="s">
        <v>461</v>
      </c>
    </row>
    <row r="3541" spans="1:15" x14ac:dyDescent="0.3">
      <c r="A3541">
        <v>193801</v>
      </c>
      <c r="B3541">
        <v>116</v>
      </c>
      <c r="C3541" t="s">
        <v>568</v>
      </c>
      <c r="D3541" t="s">
        <v>2286</v>
      </c>
      <c r="E3541" t="s">
        <v>3172</v>
      </c>
      <c r="F3541" s="452">
        <v>46034</v>
      </c>
      <c r="G3541">
        <v>24037</v>
      </c>
      <c r="H3541" t="s">
        <v>4104</v>
      </c>
      <c r="I3541" t="s">
        <v>3469</v>
      </c>
      <c r="J3541">
        <v>2</v>
      </c>
      <c r="K3541" t="s">
        <v>3892</v>
      </c>
      <c r="L3541">
        <v>42</v>
      </c>
      <c r="M3541">
        <v>21</v>
      </c>
      <c r="N3541" t="s">
        <v>4240</v>
      </c>
      <c r="O3541" t="s">
        <v>461</v>
      </c>
    </row>
    <row r="3542" spans="1:15" x14ac:dyDescent="0.3">
      <c r="A3542">
        <v>193801</v>
      </c>
      <c r="B3542">
        <v>116</v>
      </c>
      <c r="C3542" t="s">
        <v>568</v>
      </c>
      <c r="D3542" t="s">
        <v>2286</v>
      </c>
      <c r="E3542" t="s">
        <v>3172</v>
      </c>
      <c r="F3542" s="452">
        <v>46034</v>
      </c>
      <c r="G3542">
        <v>23095</v>
      </c>
      <c r="H3542" t="s">
        <v>3882</v>
      </c>
      <c r="I3542" t="s">
        <v>3469</v>
      </c>
      <c r="J3542">
        <v>60</v>
      </c>
      <c r="K3542" t="s">
        <v>3872</v>
      </c>
      <c r="L3542">
        <v>56.4</v>
      </c>
      <c r="M3542">
        <v>0.94</v>
      </c>
      <c r="N3542" t="s">
        <v>4240</v>
      </c>
      <c r="O3542" t="s">
        <v>461</v>
      </c>
    </row>
    <row r="3543" spans="1:15" x14ac:dyDescent="0.3">
      <c r="A3543">
        <v>193614</v>
      </c>
      <c r="B3543">
        <v>116</v>
      </c>
      <c r="C3543" t="s">
        <v>568</v>
      </c>
      <c r="D3543" t="s">
        <v>2888</v>
      </c>
      <c r="E3543" t="s">
        <v>3173</v>
      </c>
      <c r="F3543" s="452">
        <v>46023</v>
      </c>
      <c r="G3543">
        <v>24971</v>
      </c>
      <c r="H3543" t="s">
        <v>4417</v>
      </c>
      <c r="I3543" t="s">
        <v>4202</v>
      </c>
      <c r="J3543">
        <v>24</v>
      </c>
      <c r="K3543" t="s">
        <v>4347</v>
      </c>
      <c r="L3543">
        <v>255.36</v>
      </c>
      <c r="M3543">
        <v>10.64</v>
      </c>
      <c r="N3543" t="s">
        <v>4256</v>
      </c>
      <c r="O3543" t="s">
        <v>461</v>
      </c>
    </row>
    <row r="3544" spans="1:15" x14ac:dyDescent="0.3">
      <c r="A3544">
        <v>191770</v>
      </c>
      <c r="B3544">
        <v>116</v>
      </c>
      <c r="C3544" t="s">
        <v>568</v>
      </c>
      <c r="D3544" t="s">
        <v>2267</v>
      </c>
      <c r="E3544" t="s">
        <v>1760</v>
      </c>
      <c r="F3544" s="452">
        <v>46031</v>
      </c>
      <c r="G3544">
        <v>20549</v>
      </c>
      <c r="H3544" t="s">
        <v>4007</v>
      </c>
      <c r="I3544" t="s">
        <v>3469</v>
      </c>
      <c r="J3544">
        <v>12.2</v>
      </c>
      <c r="K3544" t="s">
        <v>3892</v>
      </c>
      <c r="L3544">
        <v>243.88</v>
      </c>
      <c r="M3544">
        <v>19.990164</v>
      </c>
      <c r="N3544" t="s">
        <v>4289</v>
      </c>
      <c r="O3544" t="s">
        <v>461</v>
      </c>
    </row>
    <row r="3545" spans="1:15" x14ac:dyDescent="0.3">
      <c r="A3545">
        <v>191769</v>
      </c>
      <c r="B3545">
        <v>116</v>
      </c>
      <c r="C3545" t="s">
        <v>568</v>
      </c>
      <c r="D3545" t="s">
        <v>2320</v>
      </c>
      <c r="E3545" t="s">
        <v>3174</v>
      </c>
      <c r="F3545" s="452">
        <v>46032</v>
      </c>
      <c r="G3545">
        <v>22857</v>
      </c>
      <c r="H3545" t="s">
        <v>4130</v>
      </c>
      <c r="I3545" t="s">
        <v>3469</v>
      </c>
      <c r="J3545">
        <v>17.350000000000001</v>
      </c>
      <c r="K3545" t="s">
        <v>3892</v>
      </c>
      <c r="L3545">
        <v>1214.33</v>
      </c>
      <c r="M3545">
        <v>69.990201999999996</v>
      </c>
      <c r="N3545" t="s">
        <v>4240</v>
      </c>
      <c r="O3545" t="s">
        <v>461</v>
      </c>
    </row>
    <row r="3546" spans="1:15" x14ac:dyDescent="0.3">
      <c r="A3546">
        <v>191768</v>
      </c>
      <c r="B3546">
        <v>116</v>
      </c>
      <c r="C3546" t="s">
        <v>568</v>
      </c>
      <c r="D3546" t="s">
        <v>2359</v>
      </c>
      <c r="E3546" t="s">
        <v>3175</v>
      </c>
      <c r="F3546" s="452">
        <v>46029</v>
      </c>
      <c r="G3546">
        <v>18119</v>
      </c>
      <c r="H3546" t="s">
        <v>4093</v>
      </c>
      <c r="I3546" t="s">
        <v>3497</v>
      </c>
      <c r="J3546">
        <v>1</v>
      </c>
      <c r="K3546" t="s">
        <v>3878</v>
      </c>
      <c r="L3546">
        <v>181</v>
      </c>
      <c r="M3546">
        <v>181</v>
      </c>
      <c r="N3546" t="s">
        <v>3497</v>
      </c>
      <c r="O3546" t="s">
        <v>461</v>
      </c>
    </row>
    <row r="3547" spans="1:15" x14ac:dyDescent="0.3">
      <c r="A3547">
        <v>191767</v>
      </c>
      <c r="B3547">
        <v>116</v>
      </c>
      <c r="C3547" t="s">
        <v>568</v>
      </c>
      <c r="D3547" t="s">
        <v>2286</v>
      </c>
      <c r="E3547" t="s">
        <v>3176</v>
      </c>
      <c r="F3547" s="452">
        <v>46030</v>
      </c>
      <c r="G3547">
        <v>19787</v>
      </c>
      <c r="H3547" t="s">
        <v>3940</v>
      </c>
      <c r="I3547" t="s">
        <v>3469</v>
      </c>
      <c r="J3547">
        <v>6</v>
      </c>
      <c r="K3547" t="s">
        <v>3892</v>
      </c>
      <c r="L3547">
        <v>29.4</v>
      </c>
      <c r="M3547">
        <v>4.9000000000000004</v>
      </c>
      <c r="N3547" t="s">
        <v>4240</v>
      </c>
      <c r="O3547" t="s">
        <v>461</v>
      </c>
    </row>
    <row r="3548" spans="1:15" x14ac:dyDescent="0.3">
      <c r="A3548">
        <v>191767</v>
      </c>
      <c r="B3548">
        <v>116</v>
      </c>
      <c r="C3548" t="s">
        <v>568</v>
      </c>
      <c r="D3548" t="s">
        <v>2286</v>
      </c>
      <c r="E3548" t="s">
        <v>3176</v>
      </c>
      <c r="F3548" s="452">
        <v>46030</v>
      </c>
      <c r="G3548">
        <v>19480</v>
      </c>
      <c r="H3548" t="s">
        <v>4113</v>
      </c>
      <c r="I3548" t="s">
        <v>3469</v>
      </c>
      <c r="J3548">
        <v>0.2</v>
      </c>
      <c r="K3548" t="s">
        <v>3892</v>
      </c>
      <c r="L3548">
        <v>2.6</v>
      </c>
      <c r="M3548">
        <v>13</v>
      </c>
      <c r="N3548" t="s">
        <v>4240</v>
      </c>
      <c r="O3548" t="s">
        <v>461</v>
      </c>
    </row>
    <row r="3549" spans="1:15" x14ac:dyDescent="0.3">
      <c r="A3549">
        <v>191767</v>
      </c>
      <c r="B3549">
        <v>116</v>
      </c>
      <c r="C3549" t="s">
        <v>568</v>
      </c>
      <c r="D3549" t="s">
        <v>2286</v>
      </c>
      <c r="E3549" t="s">
        <v>3176</v>
      </c>
      <c r="F3549" s="452">
        <v>46030</v>
      </c>
      <c r="G3549">
        <v>19498</v>
      </c>
      <c r="H3549" t="s">
        <v>4065</v>
      </c>
      <c r="I3549" t="s">
        <v>3469</v>
      </c>
      <c r="J3549">
        <v>1</v>
      </c>
      <c r="K3549" t="s">
        <v>3892</v>
      </c>
      <c r="L3549">
        <v>8.5</v>
      </c>
      <c r="M3549">
        <v>8.5</v>
      </c>
      <c r="N3549" t="s">
        <v>4240</v>
      </c>
      <c r="O3549" t="s">
        <v>461</v>
      </c>
    </row>
    <row r="3550" spans="1:15" x14ac:dyDescent="0.3">
      <c r="A3550">
        <v>191767</v>
      </c>
      <c r="B3550">
        <v>116</v>
      </c>
      <c r="C3550" t="s">
        <v>568</v>
      </c>
      <c r="D3550" t="s">
        <v>2286</v>
      </c>
      <c r="E3550" t="s">
        <v>3176</v>
      </c>
      <c r="F3550" s="452">
        <v>46030</v>
      </c>
      <c r="G3550">
        <v>19553</v>
      </c>
      <c r="H3550" t="s">
        <v>4078</v>
      </c>
      <c r="I3550" t="s">
        <v>3469</v>
      </c>
      <c r="J3550">
        <v>1.5</v>
      </c>
      <c r="K3550" t="s">
        <v>3892</v>
      </c>
      <c r="L3550">
        <v>3.75</v>
      </c>
      <c r="M3550">
        <v>2.5</v>
      </c>
      <c r="N3550" t="s">
        <v>4240</v>
      </c>
      <c r="O3550" t="s">
        <v>461</v>
      </c>
    </row>
    <row r="3551" spans="1:15" x14ac:dyDescent="0.3">
      <c r="A3551">
        <v>191767</v>
      </c>
      <c r="B3551">
        <v>116</v>
      </c>
      <c r="C3551" t="s">
        <v>568</v>
      </c>
      <c r="D3551" t="s">
        <v>2286</v>
      </c>
      <c r="E3551" t="s">
        <v>3176</v>
      </c>
      <c r="F3551" s="452">
        <v>46030</v>
      </c>
      <c r="G3551">
        <v>19506</v>
      </c>
      <c r="H3551" t="s">
        <v>4112</v>
      </c>
      <c r="I3551" t="s">
        <v>3469</v>
      </c>
      <c r="J3551">
        <v>0.2</v>
      </c>
      <c r="K3551" t="s">
        <v>3892</v>
      </c>
      <c r="L3551">
        <v>8</v>
      </c>
      <c r="M3551">
        <v>40</v>
      </c>
      <c r="N3551" t="s">
        <v>4240</v>
      </c>
      <c r="O3551" t="s">
        <v>461</v>
      </c>
    </row>
    <row r="3552" spans="1:15" x14ac:dyDescent="0.3">
      <c r="A3552">
        <v>191767</v>
      </c>
      <c r="B3552">
        <v>116</v>
      </c>
      <c r="C3552" t="s">
        <v>568</v>
      </c>
      <c r="D3552" t="s">
        <v>2286</v>
      </c>
      <c r="E3552" t="s">
        <v>3176</v>
      </c>
      <c r="F3552" s="452">
        <v>46030</v>
      </c>
      <c r="G3552">
        <v>19623</v>
      </c>
      <c r="H3552" t="s">
        <v>3984</v>
      </c>
      <c r="I3552" t="s">
        <v>3469</v>
      </c>
      <c r="J3552">
        <v>3</v>
      </c>
      <c r="K3552" t="s">
        <v>3892</v>
      </c>
      <c r="L3552">
        <v>13.8</v>
      </c>
      <c r="M3552">
        <v>4.5999999999999996</v>
      </c>
      <c r="N3552" t="s">
        <v>4240</v>
      </c>
      <c r="O3552" t="s">
        <v>461</v>
      </c>
    </row>
    <row r="3553" spans="1:15" x14ac:dyDescent="0.3">
      <c r="A3553">
        <v>191767</v>
      </c>
      <c r="B3553">
        <v>116</v>
      </c>
      <c r="C3553" t="s">
        <v>568</v>
      </c>
      <c r="D3553" t="s">
        <v>2286</v>
      </c>
      <c r="E3553" t="s">
        <v>3176</v>
      </c>
      <c r="F3553" s="452">
        <v>46030</v>
      </c>
      <c r="G3553">
        <v>19505</v>
      </c>
      <c r="H3553" t="s">
        <v>4101</v>
      </c>
      <c r="I3553" t="s">
        <v>3469</v>
      </c>
      <c r="J3553">
        <v>1</v>
      </c>
      <c r="K3553" t="s">
        <v>3892</v>
      </c>
      <c r="L3553">
        <v>8.5</v>
      </c>
      <c r="M3553">
        <v>8.5</v>
      </c>
      <c r="N3553" t="s">
        <v>4240</v>
      </c>
      <c r="O3553" t="s">
        <v>461</v>
      </c>
    </row>
    <row r="3554" spans="1:15" x14ac:dyDescent="0.3">
      <c r="A3554">
        <v>191767</v>
      </c>
      <c r="B3554">
        <v>116</v>
      </c>
      <c r="C3554" t="s">
        <v>568</v>
      </c>
      <c r="D3554" t="s">
        <v>2286</v>
      </c>
      <c r="E3554" t="s">
        <v>3176</v>
      </c>
      <c r="F3554" s="452">
        <v>46030</v>
      </c>
      <c r="G3554">
        <v>24509</v>
      </c>
      <c r="H3554" t="s">
        <v>3906</v>
      </c>
      <c r="I3554" t="s">
        <v>3469</v>
      </c>
      <c r="J3554">
        <v>20</v>
      </c>
      <c r="K3554" t="s">
        <v>3892</v>
      </c>
      <c r="L3554">
        <v>35</v>
      </c>
      <c r="M3554">
        <v>1.75</v>
      </c>
      <c r="N3554" t="s">
        <v>4240</v>
      </c>
      <c r="O3554" t="s">
        <v>461</v>
      </c>
    </row>
    <row r="3555" spans="1:15" x14ac:dyDescent="0.3">
      <c r="A3555">
        <v>191767</v>
      </c>
      <c r="B3555">
        <v>116</v>
      </c>
      <c r="C3555" t="s">
        <v>568</v>
      </c>
      <c r="D3555" t="s">
        <v>2286</v>
      </c>
      <c r="E3555" t="s">
        <v>3176</v>
      </c>
      <c r="F3555" s="452">
        <v>46030</v>
      </c>
      <c r="G3555">
        <v>23096</v>
      </c>
      <c r="H3555" t="s">
        <v>3876</v>
      </c>
      <c r="I3555" t="s">
        <v>3469</v>
      </c>
      <c r="J3555">
        <v>60</v>
      </c>
      <c r="K3555" t="s">
        <v>3872</v>
      </c>
      <c r="L3555">
        <v>30.6</v>
      </c>
      <c r="M3555">
        <v>0.51</v>
      </c>
      <c r="N3555" t="s">
        <v>4240</v>
      </c>
      <c r="O3555" t="s">
        <v>461</v>
      </c>
    </row>
    <row r="3556" spans="1:15" x14ac:dyDescent="0.3">
      <c r="A3556">
        <v>191767</v>
      </c>
      <c r="B3556">
        <v>116</v>
      </c>
      <c r="C3556" t="s">
        <v>568</v>
      </c>
      <c r="D3556" t="s">
        <v>2286</v>
      </c>
      <c r="E3556" t="s">
        <v>3176</v>
      </c>
      <c r="F3556" s="452">
        <v>46030</v>
      </c>
      <c r="G3556">
        <v>23236</v>
      </c>
      <c r="H3556" t="s">
        <v>4017</v>
      </c>
      <c r="I3556" t="s">
        <v>3469</v>
      </c>
      <c r="J3556">
        <v>3</v>
      </c>
      <c r="K3556" t="s">
        <v>3892</v>
      </c>
      <c r="L3556">
        <v>16.5</v>
      </c>
      <c r="M3556">
        <v>5.5</v>
      </c>
      <c r="N3556" t="s">
        <v>4240</v>
      </c>
      <c r="O3556" t="s">
        <v>461</v>
      </c>
    </row>
    <row r="3557" spans="1:15" x14ac:dyDescent="0.3">
      <c r="A3557">
        <v>191767</v>
      </c>
      <c r="B3557">
        <v>116</v>
      </c>
      <c r="C3557" t="s">
        <v>568</v>
      </c>
      <c r="D3557" t="s">
        <v>2286</v>
      </c>
      <c r="E3557" t="s">
        <v>3176</v>
      </c>
      <c r="F3557" s="452">
        <v>46030</v>
      </c>
      <c r="G3557">
        <v>23359</v>
      </c>
      <c r="H3557" t="s">
        <v>3932</v>
      </c>
      <c r="I3557" t="s">
        <v>3469</v>
      </c>
      <c r="J3557">
        <v>10</v>
      </c>
      <c r="K3557" t="s">
        <v>3892</v>
      </c>
      <c r="L3557">
        <v>32</v>
      </c>
      <c r="M3557">
        <v>3.2</v>
      </c>
      <c r="N3557" t="s">
        <v>4240</v>
      </c>
      <c r="O3557" t="s">
        <v>461</v>
      </c>
    </row>
    <row r="3558" spans="1:15" x14ac:dyDescent="0.3">
      <c r="A3558">
        <v>191767</v>
      </c>
      <c r="B3558">
        <v>116</v>
      </c>
      <c r="C3558" t="s">
        <v>568</v>
      </c>
      <c r="D3558" t="s">
        <v>2286</v>
      </c>
      <c r="E3558" t="s">
        <v>3176</v>
      </c>
      <c r="F3558" s="452">
        <v>46030</v>
      </c>
      <c r="G3558">
        <v>23349</v>
      </c>
      <c r="H3558" t="s">
        <v>4173</v>
      </c>
      <c r="I3558" t="s">
        <v>3469</v>
      </c>
      <c r="J3558">
        <v>3</v>
      </c>
      <c r="K3558" t="s">
        <v>3892</v>
      </c>
      <c r="L3558">
        <v>42</v>
      </c>
      <c r="M3558">
        <v>14</v>
      </c>
      <c r="N3558" t="s">
        <v>4240</v>
      </c>
      <c r="O3558" t="s">
        <v>461</v>
      </c>
    </row>
    <row r="3559" spans="1:15" x14ac:dyDescent="0.3">
      <c r="A3559">
        <v>191767</v>
      </c>
      <c r="B3559">
        <v>116</v>
      </c>
      <c r="C3559" t="s">
        <v>568</v>
      </c>
      <c r="D3559" t="s">
        <v>2286</v>
      </c>
      <c r="E3559" t="s">
        <v>3176</v>
      </c>
      <c r="F3559" s="452">
        <v>46030</v>
      </c>
      <c r="G3559">
        <v>23113</v>
      </c>
      <c r="H3559" t="s">
        <v>4079</v>
      </c>
      <c r="I3559" t="s">
        <v>3469</v>
      </c>
      <c r="J3559">
        <v>1.5</v>
      </c>
      <c r="K3559" t="s">
        <v>3892</v>
      </c>
      <c r="L3559">
        <v>16.5</v>
      </c>
      <c r="M3559">
        <v>11</v>
      </c>
      <c r="N3559" t="s">
        <v>4240</v>
      </c>
      <c r="O3559" t="s">
        <v>461</v>
      </c>
    </row>
    <row r="3560" spans="1:15" x14ac:dyDescent="0.3">
      <c r="A3560">
        <v>191767</v>
      </c>
      <c r="B3560">
        <v>116</v>
      </c>
      <c r="C3560" t="s">
        <v>568</v>
      </c>
      <c r="D3560" t="s">
        <v>2286</v>
      </c>
      <c r="E3560" t="s">
        <v>3176</v>
      </c>
      <c r="F3560" s="452">
        <v>46030</v>
      </c>
      <c r="G3560">
        <v>23120</v>
      </c>
      <c r="H3560" t="s">
        <v>4111</v>
      </c>
      <c r="I3560" t="s">
        <v>3469</v>
      </c>
      <c r="J3560">
        <v>0.2</v>
      </c>
      <c r="K3560" t="s">
        <v>3892</v>
      </c>
      <c r="L3560">
        <v>15</v>
      </c>
      <c r="M3560">
        <v>75</v>
      </c>
      <c r="N3560" t="s">
        <v>4240</v>
      </c>
      <c r="O3560" t="s">
        <v>461</v>
      </c>
    </row>
    <row r="3561" spans="1:15" x14ac:dyDescent="0.3">
      <c r="A3561">
        <v>191767</v>
      </c>
      <c r="B3561">
        <v>116</v>
      </c>
      <c r="C3561" t="s">
        <v>568</v>
      </c>
      <c r="D3561" t="s">
        <v>2286</v>
      </c>
      <c r="E3561" t="s">
        <v>3176</v>
      </c>
      <c r="F3561" s="452">
        <v>46030</v>
      </c>
      <c r="G3561">
        <v>23095</v>
      </c>
      <c r="H3561" t="s">
        <v>3882</v>
      </c>
      <c r="I3561" t="s">
        <v>3469</v>
      </c>
      <c r="J3561">
        <v>60</v>
      </c>
      <c r="K3561" t="s">
        <v>3872</v>
      </c>
      <c r="L3561">
        <v>56.4</v>
      </c>
      <c r="M3561">
        <v>0.94</v>
      </c>
      <c r="N3561" t="s">
        <v>4240</v>
      </c>
      <c r="O3561" t="s">
        <v>461</v>
      </c>
    </row>
    <row r="3562" spans="1:15" x14ac:dyDescent="0.3">
      <c r="A3562">
        <v>191767</v>
      </c>
      <c r="B3562">
        <v>116</v>
      </c>
      <c r="C3562" t="s">
        <v>568</v>
      </c>
      <c r="D3562" t="s">
        <v>2286</v>
      </c>
      <c r="E3562" t="s">
        <v>3176</v>
      </c>
      <c r="F3562" s="452">
        <v>46030</v>
      </c>
      <c r="G3562">
        <v>19583</v>
      </c>
      <c r="H3562" t="s">
        <v>4076</v>
      </c>
      <c r="I3562" t="s">
        <v>3469</v>
      </c>
      <c r="J3562">
        <v>1</v>
      </c>
      <c r="K3562" t="s">
        <v>3892</v>
      </c>
      <c r="L3562">
        <v>42</v>
      </c>
      <c r="M3562">
        <v>42</v>
      </c>
      <c r="N3562" t="s">
        <v>4240</v>
      </c>
      <c r="O3562" t="s">
        <v>461</v>
      </c>
    </row>
    <row r="3563" spans="1:15" x14ac:dyDescent="0.3">
      <c r="A3563">
        <v>191767</v>
      </c>
      <c r="B3563">
        <v>116</v>
      </c>
      <c r="C3563" t="s">
        <v>568</v>
      </c>
      <c r="D3563" t="s">
        <v>2286</v>
      </c>
      <c r="E3563" t="s">
        <v>3176</v>
      </c>
      <c r="F3563" s="452">
        <v>46030</v>
      </c>
      <c r="G3563">
        <v>24037</v>
      </c>
      <c r="H3563" t="s">
        <v>4104</v>
      </c>
      <c r="I3563" t="s">
        <v>3469</v>
      </c>
      <c r="J3563">
        <v>3</v>
      </c>
      <c r="K3563" t="s">
        <v>3892</v>
      </c>
      <c r="L3563">
        <v>63</v>
      </c>
      <c r="M3563">
        <v>21</v>
      </c>
      <c r="N3563" t="s">
        <v>4240</v>
      </c>
      <c r="O3563" t="s">
        <v>461</v>
      </c>
    </row>
    <row r="3564" spans="1:15" x14ac:dyDescent="0.3">
      <c r="A3564">
        <v>191767</v>
      </c>
      <c r="B3564">
        <v>116</v>
      </c>
      <c r="C3564" t="s">
        <v>568</v>
      </c>
      <c r="D3564" t="s">
        <v>2286</v>
      </c>
      <c r="E3564" t="s">
        <v>3176</v>
      </c>
      <c r="F3564" s="452">
        <v>46030</v>
      </c>
      <c r="G3564">
        <v>23361</v>
      </c>
      <c r="H3564" t="s">
        <v>4220</v>
      </c>
      <c r="I3564" t="s">
        <v>3469</v>
      </c>
      <c r="J3564">
        <v>36</v>
      </c>
      <c r="K3564" t="s">
        <v>3892</v>
      </c>
      <c r="L3564">
        <v>111.6</v>
      </c>
      <c r="M3564">
        <v>3.1</v>
      </c>
      <c r="N3564" t="s">
        <v>4240</v>
      </c>
      <c r="O3564" t="s">
        <v>461</v>
      </c>
    </row>
    <row r="3565" spans="1:15" x14ac:dyDescent="0.3">
      <c r="A3565">
        <v>191767</v>
      </c>
      <c r="B3565">
        <v>116</v>
      </c>
      <c r="C3565" t="s">
        <v>568</v>
      </c>
      <c r="D3565" t="s">
        <v>2286</v>
      </c>
      <c r="E3565" t="s">
        <v>3176</v>
      </c>
      <c r="F3565" s="452">
        <v>46030</v>
      </c>
      <c r="G3565">
        <v>23385</v>
      </c>
      <c r="H3565" t="s">
        <v>4069</v>
      </c>
      <c r="I3565" t="s">
        <v>3469</v>
      </c>
      <c r="J3565">
        <v>1</v>
      </c>
      <c r="K3565" t="s">
        <v>3892</v>
      </c>
      <c r="L3565">
        <v>35</v>
      </c>
      <c r="M3565">
        <v>35</v>
      </c>
      <c r="N3565" t="s">
        <v>4240</v>
      </c>
      <c r="O3565" t="s">
        <v>461</v>
      </c>
    </row>
    <row r="3566" spans="1:15" x14ac:dyDescent="0.3">
      <c r="A3566">
        <v>191767</v>
      </c>
      <c r="B3566">
        <v>116</v>
      </c>
      <c r="C3566" t="s">
        <v>568</v>
      </c>
      <c r="D3566" t="s">
        <v>2286</v>
      </c>
      <c r="E3566" t="s">
        <v>3176</v>
      </c>
      <c r="F3566" s="452">
        <v>46030</v>
      </c>
      <c r="G3566">
        <v>19672</v>
      </c>
      <c r="H3566" t="s">
        <v>4024</v>
      </c>
      <c r="I3566" t="s">
        <v>3469</v>
      </c>
      <c r="J3566">
        <v>3</v>
      </c>
      <c r="K3566" t="s">
        <v>3892</v>
      </c>
      <c r="L3566">
        <v>60</v>
      </c>
      <c r="M3566">
        <v>20</v>
      </c>
      <c r="N3566" t="s">
        <v>4240</v>
      </c>
      <c r="O3566" t="s">
        <v>461</v>
      </c>
    </row>
    <row r="3567" spans="1:15" x14ac:dyDescent="0.3">
      <c r="A3567">
        <v>191766</v>
      </c>
      <c r="B3567">
        <v>116</v>
      </c>
      <c r="C3567" t="s">
        <v>568</v>
      </c>
      <c r="D3567" t="s">
        <v>3177</v>
      </c>
      <c r="E3567" t="s">
        <v>3178</v>
      </c>
      <c r="F3567" s="452">
        <v>46031</v>
      </c>
      <c r="G3567">
        <v>24278</v>
      </c>
      <c r="H3567" t="s">
        <v>4418</v>
      </c>
      <c r="I3567" t="s">
        <v>3469</v>
      </c>
      <c r="J3567">
        <v>8.3000000000000007</v>
      </c>
      <c r="K3567" t="s">
        <v>3892</v>
      </c>
      <c r="L3567">
        <v>106.24</v>
      </c>
      <c r="M3567">
        <v>12.8</v>
      </c>
      <c r="N3567" t="s">
        <v>4240</v>
      </c>
      <c r="O3567" t="s">
        <v>461</v>
      </c>
    </row>
    <row r="3568" spans="1:15" x14ac:dyDescent="0.3">
      <c r="A3568">
        <v>191123</v>
      </c>
      <c r="B3568">
        <v>116</v>
      </c>
      <c r="C3568" t="s">
        <v>568</v>
      </c>
      <c r="D3568" t="s">
        <v>3179</v>
      </c>
      <c r="E3568" t="s">
        <v>3180</v>
      </c>
      <c r="F3568" s="452">
        <v>46027</v>
      </c>
      <c r="G3568">
        <v>19555</v>
      </c>
      <c r="H3568" t="s">
        <v>4109</v>
      </c>
      <c r="I3568" t="s">
        <v>3469</v>
      </c>
      <c r="J3568">
        <v>0.6</v>
      </c>
      <c r="K3568" t="s">
        <v>3892</v>
      </c>
      <c r="L3568">
        <v>13.5</v>
      </c>
      <c r="M3568">
        <v>22.5</v>
      </c>
      <c r="N3568" t="s">
        <v>4240</v>
      </c>
      <c r="O3568" t="s">
        <v>461</v>
      </c>
    </row>
    <row r="3569" spans="1:15" x14ac:dyDescent="0.3">
      <c r="A3569">
        <v>191123</v>
      </c>
      <c r="B3569">
        <v>116</v>
      </c>
      <c r="C3569" t="s">
        <v>568</v>
      </c>
      <c r="D3569" t="s">
        <v>3179</v>
      </c>
      <c r="E3569" t="s">
        <v>3180</v>
      </c>
      <c r="F3569" s="452">
        <v>46027</v>
      </c>
      <c r="G3569">
        <v>19742</v>
      </c>
      <c r="H3569" t="s">
        <v>4074</v>
      </c>
      <c r="I3569" t="s">
        <v>3469</v>
      </c>
      <c r="J3569">
        <v>1</v>
      </c>
      <c r="K3569" t="s">
        <v>3892</v>
      </c>
      <c r="L3569">
        <v>11.25</v>
      </c>
      <c r="M3569">
        <v>11.25</v>
      </c>
      <c r="N3569" t="s">
        <v>4240</v>
      </c>
      <c r="O3569" t="s">
        <v>461</v>
      </c>
    </row>
    <row r="3570" spans="1:15" x14ac:dyDescent="0.3">
      <c r="A3570">
        <v>191123</v>
      </c>
      <c r="B3570">
        <v>116</v>
      </c>
      <c r="C3570" t="s">
        <v>568</v>
      </c>
      <c r="D3570" t="s">
        <v>3179</v>
      </c>
      <c r="E3570" t="s">
        <v>3180</v>
      </c>
      <c r="F3570" s="452">
        <v>46027</v>
      </c>
      <c r="G3570">
        <v>23335</v>
      </c>
      <c r="H3570" t="s">
        <v>4075</v>
      </c>
      <c r="I3570" t="s">
        <v>3469</v>
      </c>
      <c r="J3570">
        <v>1.2</v>
      </c>
      <c r="K3570" t="s">
        <v>3892</v>
      </c>
      <c r="L3570">
        <v>24.76</v>
      </c>
      <c r="M3570">
        <v>20.633333</v>
      </c>
      <c r="N3570" t="s">
        <v>4240</v>
      </c>
      <c r="O3570" t="s">
        <v>461</v>
      </c>
    </row>
    <row r="3571" spans="1:15" x14ac:dyDescent="0.3">
      <c r="A3571">
        <v>191123</v>
      </c>
      <c r="B3571">
        <v>116</v>
      </c>
      <c r="C3571" t="s">
        <v>568</v>
      </c>
      <c r="D3571" t="s">
        <v>3179</v>
      </c>
      <c r="E3571" t="s">
        <v>3180</v>
      </c>
      <c r="F3571" s="452">
        <v>46027</v>
      </c>
      <c r="G3571">
        <v>23361</v>
      </c>
      <c r="H3571" t="s">
        <v>4220</v>
      </c>
      <c r="I3571" t="s">
        <v>3469</v>
      </c>
      <c r="J3571">
        <v>18</v>
      </c>
      <c r="K3571" t="s">
        <v>3892</v>
      </c>
      <c r="L3571">
        <v>56.34</v>
      </c>
      <c r="M3571">
        <v>3.13</v>
      </c>
      <c r="N3571" t="s">
        <v>4240</v>
      </c>
      <c r="O3571" t="s">
        <v>461</v>
      </c>
    </row>
    <row r="3572" spans="1:15" x14ac:dyDescent="0.3">
      <c r="A3572">
        <v>191121</v>
      </c>
      <c r="B3572">
        <v>116</v>
      </c>
      <c r="C3572" t="s">
        <v>568</v>
      </c>
      <c r="D3572" t="s">
        <v>3179</v>
      </c>
      <c r="E3572" t="s">
        <v>3181</v>
      </c>
      <c r="F3572" s="452">
        <v>46024</v>
      </c>
      <c r="G3572">
        <v>19623</v>
      </c>
      <c r="H3572" t="s">
        <v>3984</v>
      </c>
      <c r="I3572" t="s">
        <v>3469</v>
      </c>
      <c r="J3572">
        <v>3</v>
      </c>
      <c r="K3572" t="s">
        <v>3892</v>
      </c>
      <c r="L3572">
        <v>13.32</v>
      </c>
      <c r="M3572">
        <v>4.4400000000000004</v>
      </c>
      <c r="N3572" t="s">
        <v>4240</v>
      </c>
      <c r="O3572" t="s">
        <v>461</v>
      </c>
    </row>
    <row r="3573" spans="1:15" x14ac:dyDescent="0.3">
      <c r="A3573">
        <v>191121</v>
      </c>
      <c r="B3573">
        <v>116</v>
      </c>
      <c r="C3573" t="s">
        <v>568</v>
      </c>
      <c r="D3573" t="s">
        <v>3179</v>
      </c>
      <c r="E3573" t="s">
        <v>3181</v>
      </c>
      <c r="F3573" s="452">
        <v>46024</v>
      </c>
      <c r="G3573">
        <v>19498</v>
      </c>
      <c r="H3573" t="s">
        <v>4065</v>
      </c>
      <c r="I3573" t="s">
        <v>3469</v>
      </c>
      <c r="J3573">
        <v>1</v>
      </c>
      <c r="K3573" t="s">
        <v>3892</v>
      </c>
      <c r="L3573">
        <v>12</v>
      </c>
      <c r="M3573">
        <v>12</v>
      </c>
      <c r="N3573" t="s">
        <v>4240</v>
      </c>
      <c r="O3573" t="s">
        <v>461</v>
      </c>
    </row>
    <row r="3574" spans="1:15" x14ac:dyDescent="0.3">
      <c r="A3574">
        <v>191121</v>
      </c>
      <c r="B3574">
        <v>116</v>
      </c>
      <c r="C3574" t="s">
        <v>568</v>
      </c>
      <c r="D3574" t="s">
        <v>3179</v>
      </c>
      <c r="E3574" t="s">
        <v>3181</v>
      </c>
      <c r="F3574" s="452">
        <v>46024</v>
      </c>
      <c r="G3574">
        <v>19555</v>
      </c>
      <c r="H3574" t="s">
        <v>4109</v>
      </c>
      <c r="I3574" t="s">
        <v>3469</v>
      </c>
      <c r="J3574">
        <v>0.5</v>
      </c>
      <c r="K3574" t="s">
        <v>3892</v>
      </c>
      <c r="L3574">
        <v>10.8</v>
      </c>
      <c r="M3574">
        <v>21.6</v>
      </c>
      <c r="N3574" t="s">
        <v>4240</v>
      </c>
      <c r="O3574" t="s">
        <v>461</v>
      </c>
    </row>
    <row r="3575" spans="1:15" x14ac:dyDescent="0.3">
      <c r="A3575">
        <v>191121</v>
      </c>
      <c r="B3575">
        <v>116</v>
      </c>
      <c r="C3575" t="s">
        <v>568</v>
      </c>
      <c r="D3575" t="s">
        <v>3179</v>
      </c>
      <c r="E3575" t="s">
        <v>3181</v>
      </c>
      <c r="F3575" s="452">
        <v>46024</v>
      </c>
      <c r="G3575">
        <v>19647</v>
      </c>
      <c r="H3575" t="s">
        <v>4066</v>
      </c>
      <c r="I3575" t="s">
        <v>3469</v>
      </c>
      <c r="J3575">
        <v>1</v>
      </c>
      <c r="K3575" t="s">
        <v>3892</v>
      </c>
      <c r="L3575">
        <v>13.4</v>
      </c>
      <c r="M3575">
        <v>13.4</v>
      </c>
      <c r="N3575" t="s">
        <v>4240</v>
      </c>
      <c r="O3575" t="s">
        <v>461</v>
      </c>
    </row>
    <row r="3576" spans="1:15" x14ac:dyDescent="0.3">
      <c r="A3576">
        <v>191121</v>
      </c>
      <c r="B3576">
        <v>116</v>
      </c>
      <c r="C3576" t="s">
        <v>568</v>
      </c>
      <c r="D3576" t="s">
        <v>3179</v>
      </c>
      <c r="E3576" t="s">
        <v>3181</v>
      </c>
      <c r="F3576" s="452">
        <v>46024</v>
      </c>
      <c r="G3576">
        <v>19751</v>
      </c>
      <c r="H3576" t="s">
        <v>4019</v>
      </c>
      <c r="I3576" t="s">
        <v>3469</v>
      </c>
      <c r="J3576">
        <v>2</v>
      </c>
      <c r="K3576" t="s">
        <v>3892</v>
      </c>
      <c r="L3576">
        <v>33.6</v>
      </c>
      <c r="M3576">
        <v>16.8</v>
      </c>
      <c r="N3576" t="s">
        <v>4240</v>
      </c>
      <c r="O3576" t="s">
        <v>461</v>
      </c>
    </row>
    <row r="3577" spans="1:15" x14ac:dyDescent="0.3">
      <c r="A3577">
        <v>191121</v>
      </c>
      <c r="B3577">
        <v>116</v>
      </c>
      <c r="C3577" t="s">
        <v>568</v>
      </c>
      <c r="D3577" t="s">
        <v>3179</v>
      </c>
      <c r="E3577" t="s">
        <v>3181</v>
      </c>
      <c r="F3577" s="452">
        <v>46024</v>
      </c>
      <c r="G3577">
        <v>19672</v>
      </c>
      <c r="H3577" t="s">
        <v>4024</v>
      </c>
      <c r="I3577" t="s">
        <v>3469</v>
      </c>
      <c r="J3577">
        <v>2</v>
      </c>
      <c r="K3577" t="s">
        <v>3892</v>
      </c>
      <c r="L3577">
        <v>28.8</v>
      </c>
      <c r="M3577">
        <v>14.4</v>
      </c>
      <c r="N3577" t="s">
        <v>4240</v>
      </c>
      <c r="O3577" t="s">
        <v>461</v>
      </c>
    </row>
    <row r="3578" spans="1:15" x14ac:dyDescent="0.3">
      <c r="A3578">
        <v>191121</v>
      </c>
      <c r="B3578">
        <v>116</v>
      </c>
      <c r="C3578" t="s">
        <v>568</v>
      </c>
      <c r="D3578" t="s">
        <v>3179</v>
      </c>
      <c r="E3578" t="s">
        <v>3181</v>
      </c>
      <c r="F3578" s="452">
        <v>46024</v>
      </c>
      <c r="G3578">
        <v>23113</v>
      </c>
      <c r="H3578" t="s">
        <v>4079</v>
      </c>
      <c r="I3578" t="s">
        <v>3469</v>
      </c>
      <c r="J3578">
        <v>1.5</v>
      </c>
      <c r="K3578" t="s">
        <v>3892</v>
      </c>
      <c r="L3578">
        <v>22.5</v>
      </c>
      <c r="M3578">
        <v>15</v>
      </c>
      <c r="N3578" t="s">
        <v>4240</v>
      </c>
      <c r="O3578" t="s">
        <v>461</v>
      </c>
    </row>
    <row r="3579" spans="1:15" x14ac:dyDescent="0.3">
      <c r="A3579">
        <v>191121</v>
      </c>
      <c r="B3579">
        <v>116</v>
      </c>
      <c r="C3579" t="s">
        <v>568</v>
      </c>
      <c r="D3579" t="s">
        <v>3179</v>
      </c>
      <c r="E3579" t="s">
        <v>3181</v>
      </c>
      <c r="F3579" s="452">
        <v>46024</v>
      </c>
      <c r="G3579">
        <v>23171</v>
      </c>
      <c r="H3579" t="s">
        <v>4132</v>
      </c>
      <c r="I3579" t="s">
        <v>3469</v>
      </c>
      <c r="J3579">
        <v>4</v>
      </c>
      <c r="K3579" t="s">
        <v>3892</v>
      </c>
      <c r="L3579">
        <v>36</v>
      </c>
      <c r="M3579">
        <v>9</v>
      </c>
      <c r="N3579" t="s">
        <v>4240</v>
      </c>
      <c r="O3579" t="s">
        <v>461</v>
      </c>
    </row>
    <row r="3580" spans="1:15" x14ac:dyDescent="0.3">
      <c r="A3580">
        <v>191121</v>
      </c>
      <c r="B3580">
        <v>116</v>
      </c>
      <c r="C3580" t="s">
        <v>568</v>
      </c>
      <c r="D3580" t="s">
        <v>3179</v>
      </c>
      <c r="E3580" t="s">
        <v>3181</v>
      </c>
      <c r="F3580" s="452">
        <v>46024</v>
      </c>
      <c r="G3580">
        <v>23198</v>
      </c>
      <c r="H3580" t="s">
        <v>4167</v>
      </c>
      <c r="I3580" t="s">
        <v>3469</v>
      </c>
      <c r="J3580">
        <v>1.3</v>
      </c>
      <c r="K3580" t="s">
        <v>3892</v>
      </c>
      <c r="L3580">
        <v>15.6</v>
      </c>
      <c r="M3580">
        <v>12</v>
      </c>
      <c r="N3580" t="s">
        <v>4240</v>
      </c>
      <c r="O3580" t="s">
        <v>461</v>
      </c>
    </row>
    <row r="3581" spans="1:15" x14ac:dyDescent="0.3">
      <c r="A3581">
        <v>191121</v>
      </c>
      <c r="B3581">
        <v>116</v>
      </c>
      <c r="C3581" t="s">
        <v>568</v>
      </c>
      <c r="D3581" t="s">
        <v>3179</v>
      </c>
      <c r="E3581" t="s">
        <v>3181</v>
      </c>
      <c r="F3581" s="452">
        <v>46024</v>
      </c>
      <c r="G3581">
        <v>19617</v>
      </c>
      <c r="H3581" t="s">
        <v>4110</v>
      </c>
      <c r="I3581" t="s">
        <v>3469</v>
      </c>
      <c r="J3581">
        <v>0.5</v>
      </c>
      <c r="K3581" t="s">
        <v>3892</v>
      </c>
      <c r="L3581">
        <v>12.85</v>
      </c>
      <c r="M3581">
        <v>25.7</v>
      </c>
      <c r="N3581" t="s">
        <v>4240</v>
      </c>
      <c r="O3581" t="s">
        <v>461</v>
      </c>
    </row>
    <row r="3582" spans="1:15" x14ac:dyDescent="0.3">
      <c r="A3582">
        <v>191118</v>
      </c>
      <c r="B3582">
        <v>116</v>
      </c>
      <c r="C3582" t="s">
        <v>568</v>
      </c>
      <c r="D3582" t="s">
        <v>3053</v>
      </c>
      <c r="E3582" t="s">
        <v>3182</v>
      </c>
      <c r="F3582" s="452">
        <v>46030</v>
      </c>
      <c r="G3582">
        <v>17006</v>
      </c>
      <c r="H3582" t="s">
        <v>4128</v>
      </c>
      <c r="I3582" t="s">
        <v>3469</v>
      </c>
      <c r="J3582">
        <v>13.78</v>
      </c>
      <c r="K3582" t="s">
        <v>3892</v>
      </c>
      <c r="L3582">
        <v>179.14</v>
      </c>
      <c r="M3582">
        <v>13</v>
      </c>
      <c r="N3582" t="s">
        <v>4240</v>
      </c>
      <c r="O3582" t="s">
        <v>461</v>
      </c>
    </row>
    <row r="3583" spans="1:15" x14ac:dyDescent="0.3">
      <c r="A3583">
        <v>191116</v>
      </c>
      <c r="B3583">
        <v>116</v>
      </c>
      <c r="C3583" t="s">
        <v>568</v>
      </c>
      <c r="D3583" t="s">
        <v>2286</v>
      </c>
      <c r="E3583" t="s">
        <v>3183</v>
      </c>
      <c r="F3583" s="452">
        <v>46027</v>
      </c>
      <c r="G3583">
        <v>19787</v>
      </c>
      <c r="H3583" t="s">
        <v>3940</v>
      </c>
      <c r="I3583" t="s">
        <v>3469</v>
      </c>
      <c r="J3583">
        <v>4.5</v>
      </c>
      <c r="K3583" t="s">
        <v>3892</v>
      </c>
      <c r="L3583">
        <v>24.75</v>
      </c>
      <c r="M3583">
        <v>5.5</v>
      </c>
      <c r="N3583" t="s">
        <v>4240</v>
      </c>
      <c r="O3583" t="s">
        <v>461</v>
      </c>
    </row>
    <row r="3584" spans="1:15" x14ac:dyDescent="0.3">
      <c r="A3584">
        <v>191116</v>
      </c>
      <c r="B3584">
        <v>116</v>
      </c>
      <c r="C3584" t="s">
        <v>568</v>
      </c>
      <c r="D3584" t="s">
        <v>2286</v>
      </c>
      <c r="E3584" t="s">
        <v>3183</v>
      </c>
      <c r="F3584" s="452">
        <v>46027</v>
      </c>
      <c r="G3584">
        <v>19506</v>
      </c>
      <c r="H3584" t="s">
        <v>4112</v>
      </c>
      <c r="I3584" t="s">
        <v>3469</v>
      </c>
      <c r="J3584">
        <v>0.2</v>
      </c>
      <c r="K3584" t="s">
        <v>3892</v>
      </c>
      <c r="L3584">
        <v>9</v>
      </c>
      <c r="M3584">
        <v>45</v>
      </c>
      <c r="N3584" t="s">
        <v>4240</v>
      </c>
      <c r="O3584" t="s">
        <v>461</v>
      </c>
    </row>
    <row r="3585" spans="1:15" x14ac:dyDescent="0.3">
      <c r="A3585">
        <v>191116</v>
      </c>
      <c r="B3585">
        <v>116</v>
      </c>
      <c r="C3585" t="s">
        <v>568</v>
      </c>
      <c r="D3585" t="s">
        <v>2286</v>
      </c>
      <c r="E3585" t="s">
        <v>3183</v>
      </c>
      <c r="F3585" s="452">
        <v>46027</v>
      </c>
      <c r="G3585">
        <v>19505</v>
      </c>
      <c r="H3585" t="s">
        <v>4101</v>
      </c>
      <c r="I3585" t="s">
        <v>3469</v>
      </c>
      <c r="J3585">
        <v>1.5</v>
      </c>
      <c r="K3585" t="s">
        <v>3892</v>
      </c>
      <c r="L3585">
        <v>12.75</v>
      </c>
      <c r="M3585">
        <v>8.5</v>
      </c>
      <c r="N3585" t="s">
        <v>4240</v>
      </c>
      <c r="O3585" t="s">
        <v>461</v>
      </c>
    </row>
    <row r="3586" spans="1:15" x14ac:dyDescent="0.3">
      <c r="A3586">
        <v>191116</v>
      </c>
      <c r="B3586">
        <v>116</v>
      </c>
      <c r="C3586" t="s">
        <v>568</v>
      </c>
      <c r="D3586" t="s">
        <v>2286</v>
      </c>
      <c r="E3586" t="s">
        <v>3183</v>
      </c>
      <c r="F3586" s="452">
        <v>46027</v>
      </c>
      <c r="G3586">
        <v>24509</v>
      </c>
      <c r="H3586" t="s">
        <v>3906</v>
      </c>
      <c r="I3586" t="s">
        <v>3469</v>
      </c>
      <c r="J3586">
        <v>10</v>
      </c>
      <c r="K3586" t="s">
        <v>3892</v>
      </c>
      <c r="L3586">
        <v>17.5</v>
      </c>
      <c r="M3586">
        <v>1.75</v>
      </c>
      <c r="N3586" t="s">
        <v>4240</v>
      </c>
      <c r="O3586" t="s">
        <v>461</v>
      </c>
    </row>
    <row r="3587" spans="1:15" x14ac:dyDescent="0.3">
      <c r="A3587">
        <v>191116</v>
      </c>
      <c r="B3587">
        <v>116</v>
      </c>
      <c r="C3587" t="s">
        <v>568</v>
      </c>
      <c r="D3587" t="s">
        <v>2286</v>
      </c>
      <c r="E3587" t="s">
        <v>3183</v>
      </c>
      <c r="F3587" s="452">
        <v>46027</v>
      </c>
      <c r="G3587">
        <v>19498</v>
      </c>
      <c r="H3587" t="s">
        <v>4065</v>
      </c>
      <c r="I3587" t="s">
        <v>3469</v>
      </c>
      <c r="J3587">
        <v>1</v>
      </c>
      <c r="K3587" t="s">
        <v>3892</v>
      </c>
      <c r="L3587">
        <v>8.5</v>
      </c>
      <c r="M3587">
        <v>8.5</v>
      </c>
      <c r="N3587" t="s">
        <v>4240</v>
      </c>
      <c r="O3587" t="s">
        <v>461</v>
      </c>
    </row>
    <row r="3588" spans="1:15" x14ac:dyDescent="0.3">
      <c r="A3588">
        <v>191116</v>
      </c>
      <c r="B3588">
        <v>116</v>
      </c>
      <c r="C3588" t="s">
        <v>568</v>
      </c>
      <c r="D3588" t="s">
        <v>2286</v>
      </c>
      <c r="E3588" t="s">
        <v>3183</v>
      </c>
      <c r="F3588" s="452">
        <v>46027</v>
      </c>
      <c r="G3588">
        <v>19458</v>
      </c>
      <c r="H3588" t="s">
        <v>4212</v>
      </c>
      <c r="I3588" t="s">
        <v>3469</v>
      </c>
      <c r="J3588">
        <v>1</v>
      </c>
      <c r="K3588" t="s">
        <v>3892</v>
      </c>
      <c r="L3588">
        <v>13</v>
      </c>
      <c r="M3588">
        <v>13</v>
      </c>
      <c r="N3588" t="s">
        <v>4240</v>
      </c>
      <c r="O3588" t="s">
        <v>461</v>
      </c>
    </row>
    <row r="3589" spans="1:15" x14ac:dyDescent="0.3">
      <c r="A3589">
        <v>191116</v>
      </c>
      <c r="B3589">
        <v>116</v>
      </c>
      <c r="C3589" t="s">
        <v>568</v>
      </c>
      <c r="D3589" t="s">
        <v>2286</v>
      </c>
      <c r="E3589" t="s">
        <v>3183</v>
      </c>
      <c r="F3589" s="452">
        <v>46027</v>
      </c>
      <c r="G3589">
        <v>23236</v>
      </c>
      <c r="H3589" t="s">
        <v>4017</v>
      </c>
      <c r="I3589" t="s">
        <v>3469</v>
      </c>
      <c r="J3589">
        <v>3</v>
      </c>
      <c r="K3589" t="s">
        <v>3892</v>
      </c>
      <c r="L3589">
        <v>18</v>
      </c>
      <c r="M3589">
        <v>6</v>
      </c>
      <c r="N3589" t="s">
        <v>4240</v>
      </c>
      <c r="O3589" t="s">
        <v>461</v>
      </c>
    </row>
    <row r="3590" spans="1:15" x14ac:dyDescent="0.3">
      <c r="A3590">
        <v>191116</v>
      </c>
      <c r="B3590">
        <v>116</v>
      </c>
      <c r="C3590" t="s">
        <v>568</v>
      </c>
      <c r="D3590" t="s">
        <v>2286</v>
      </c>
      <c r="E3590" t="s">
        <v>3183</v>
      </c>
      <c r="F3590" s="452">
        <v>46027</v>
      </c>
      <c r="G3590">
        <v>23095</v>
      </c>
      <c r="H3590" t="s">
        <v>3882</v>
      </c>
      <c r="I3590" t="s">
        <v>3469</v>
      </c>
      <c r="J3590">
        <v>60</v>
      </c>
      <c r="K3590" t="s">
        <v>3872</v>
      </c>
      <c r="L3590">
        <v>56.4</v>
      </c>
      <c r="M3590">
        <v>0.94</v>
      </c>
      <c r="N3590" t="s">
        <v>4240</v>
      </c>
      <c r="O3590" t="s">
        <v>461</v>
      </c>
    </row>
    <row r="3591" spans="1:15" x14ac:dyDescent="0.3">
      <c r="A3591">
        <v>191116</v>
      </c>
      <c r="B3591">
        <v>116</v>
      </c>
      <c r="C3591" t="s">
        <v>568</v>
      </c>
      <c r="D3591" t="s">
        <v>2286</v>
      </c>
      <c r="E3591" t="s">
        <v>3183</v>
      </c>
      <c r="F3591" s="452">
        <v>46027</v>
      </c>
      <c r="G3591">
        <v>24037</v>
      </c>
      <c r="H3591" t="s">
        <v>4104</v>
      </c>
      <c r="I3591" t="s">
        <v>3469</v>
      </c>
      <c r="J3591">
        <v>2</v>
      </c>
      <c r="K3591" t="s">
        <v>3892</v>
      </c>
      <c r="L3591">
        <v>42</v>
      </c>
      <c r="M3591">
        <v>21</v>
      </c>
      <c r="N3591" t="s">
        <v>4240</v>
      </c>
      <c r="O3591" t="s">
        <v>461</v>
      </c>
    </row>
    <row r="3592" spans="1:15" x14ac:dyDescent="0.3">
      <c r="A3592">
        <v>191116</v>
      </c>
      <c r="B3592">
        <v>116</v>
      </c>
      <c r="C3592" t="s">
        <v>568</v>
      </c>
      <c r="D3592" t="s">
        <v>2286</v>
      </c>
      <c r="E3592" t="s">
        <v>3183</v>
      </c>
      <c r="F3592" s="452">
        <v>46027</v>
      </c>
      <c r="G3592">
        <v>19539</v>
      </c>
      <c r="H3592" t="s">
        <v>4133</v>
      </c>
      <c r="I3592" t="s">
        <v>3469</v>
      </c>
      <c r="J3592">
        <v>18</v>
      </c>
      <c r="K3592" t="s">
        <v>3892</v>
      </c>
      <c r="L3592">
        <v>86.4</v>
      </c>
      <c r="M3592">
        <v>4.8</v>
      </c>
      <c r="N3592" t="s">
        <v>4240</v>
      </c>
      <c r="O3592" t="s">
        <v>461</v>
      </c>
    </row>
    <row r="3593" spans="1:15" x14ac:dyDescent="0.3">
      <c r="A3593">
        <v>191112</v>
      </c>
      <c r="B3593">
        <v>116</v>
      </c>
      <c r="C3593" t="s">
        <v>568</v>
      </c>
      <c r="D3593" t="s">
        <v>2284</v>
      </c>
      <c r="E3593" t="s">
        <v>3184</v>
      </c>
      <c r="F3593" s="452">
        <v>46028</v>
      </c>
      <c r="G3593">
        <v>19973</v>
      </c>
      <c r="H3593" t="s">
        <v>3981</v>
      </c>
      <c r="I3593" t="s">
        <v>3469</v>
      </c>
      <c r="J3593">
        <v>2</v>
      </c>
      <c r="K3593" t="s">
        <v>3931</v>
      </c>
      <c r="L3593">
        <v>30.4</v>
      </c>
      <c r="M3593">
        <v>15.2</v>
      </c>
      <c r="N3593" t="s">
        <v>4240</v>
      </c>
      <c r="O3593" t="s">
        <v>461</v>
      </c>
    </row>
    <row r="3594" spans="1:15" x14ac:dyDescent="0.3">
      <c r="A3594">
        <v>191112</v>
      </c>
      <c r="B3594">
        <v>116</v>
      </c>
      <c r="C3594" t="s">
        <v>568</v>
      </c>
      <c r="D3594" t="s">
        <v>2284</v>
      </c>
      <c r="E3594" t="s">
        <v>3184</v>
      </c>
      <c r="F3594" s="452">
        <v>46028</v>
      </c>
      <c r="G3594">
        <v>20007</v>
      </c>
      <c r="H3594" t="s">
        <v>4009</v>
      </c>
      <c r="I3594" t="s">
        <v>3469</v>
      </c>
      <c r="J3594">
        <v>3</v>
      </c>
      <c r="K3594" t="s">
        <v>3966</v>
      </c>
      <c r="L3594">
        <v>143.69999999999999</v>
      </c>
      <c r="M3594">
        <v>47.9</v>
      </c>
      <c r="N3594" t="s">
        <v>4240</v>
      </c>
      <c r="O3594" t="s">
        <v>461</v>
      </c>
    </row>
    <row r="3595" spans="1:15" x14ac:dyDescent="0.3">
      <c r="A3595">
        <v>191112</v>
      </c>
      <c r="B3595">
        <v>116</v>
      </c>
      <c r="C3595" t="s">
        <v>568</v>
      </c>
      <c r="D3595" t="s">
        <v>2284</v>
      </c>
      <c r="E3595" t="s">
        <v>3184</v>
      </c>
      <c r="F3595" s="452">
        <v>46028</v>
      </c>
      <c r="G3595">
        <v>19415</v>
      </c>
      <c r="H3595" t="s">
        <v>3941</v>
      </c>
      <c r="I3595" t="s">
        <v>3469</v>
      </c>
      <c r="J3595">
        <v>4</v>
      </c>
      <c r="K3595" t="s">
        <v>3872</v>
      </c>
      <c r="L3595">
        <v>31.6</v>
      </c>
      <c r="M3595">
        <v>7.9</v>
      </c>
      <c r="N3595" t="s">
        <v>4240</v>
      </c>
      <c r="O3595" t="s">
        <v>461</v>
      </c>
    </row>
    <row r="3596" spans="1:15" x14ac:dyDescent="0.3">
      <c r="A3596">
        <v>191112</v>
      </c>
      <c r="B3596">
        <v>116</v>
      </c>
      <c r="C3596" t="s">
        <v>568</v>
      </c>
      <c r="D3596" t="s">
        <v>2284</v>
      </c>
      <c r="E3596" t="s">
        <v>3184</v>
      </c>
      <c r="F3596" s="452">
        <v>46028</v>
      </c>
      <c r="G3596">
        <v>21093</v>
      </c>
      <c r="H3596" t="s">
        <v>3903</v>
      </c>
      <c r="I3596" t="s">
        <v>3469</v>
      </c>
      <c r="J3596">
        <v>10</v>
      </c>
      <c r="K3596" t="s">
        <v>3872</v>
      </c>
      <c r="L3596">
        <v>47</v>
      </c>
      <c r="M3596">
        <v>4.7</v>
      </c>
      <c r="N3596" t="s">
        <v>4240</v>
      </c>
      <c r="O3596" t="s">
        <v>461</v>
      </c>
    </row>
    <row r="3597" spans="1:15" x14ac:dyDescent="0.3">
      <c r="A3597">
        <v>191112</v>
      </c>
      <c r="B3597">
        <v>116</v>
      </c>
      <c r="C3597" t="s">
        <v>568</v>
      </c>
      <c r="D3597" t="s">
        <v>2284</v>
      </c>
      <c r="E3597" t="s">
        <v>3184</v>
      </c>
      <c r="F3597" s="452">
        <v>46028</v>
      </c>
      <c r="G3597">
        <v>20395</v>
      </c>
      <c r="H3597" t="s">
        <v>4057</v>
      </c>
      <c r="I3597" t="s">
        <v>3469</v>
      </c>
      <c r="J3597">
        <v>1</v>
      </c>
      <c r="K3597" t="s">
        <v>3872</v>
      </c>
      <c r="L3597">
        <v>26.81</v>
      </c>
      <c r="M3597">
        <v>26.81</v>
      </c>
      <c r="N3597" t="s">
        <v>4240</v>
      </c>
      <c r="O3597" t="s">
        <v>461</v>
      </c>
    </row>
    <row r="3598" spans="1:15" x14ac:dyDescent="0.3">
      <c r="A3598">
        <v>191112</v>
      </c>
      <c r="B3598">
        <v>116</v>
      </c>
      <c r="C3598" t="s">
        <v>568</v>
      </c>
      <c r="D3598" t="s">
        <v>2284</v>
      </c>
      <c r="E3598" t="s">
        <v>3184</v>
      </c>
      <c r="F3598" s="452">
        <v>46028</v>
      </c>
      <c r="G3598">
        <v>22721</v>
      </c>
      <c r="H3598" t="s">
        <v>4221</v>
      </c>
      <c r="I3598" t="s">
        <v>3469</v>
      </c>
      <c r="J3598">
        <v>3.22</v>
      </c>
      <c r="K3598" t="s">
        <v>3892</v>
      </c>
      <c r="L3598">
        <v>91.13</v>
      </c>
      <c r="M3598">
        <v>28.301241999999998</v>
      </c>
      <c r="N3598" t="s">
        <v>4240</v>
      </c>
      <c r="O3598" t="s">
        <v>461</v>
      </c>
    </row>
    <row r="3599" spans="1:15" x14ac:dyDescent="0.3">
      <c r="A3599">
        <v>191112</v>
      </c>
      <c r="B3599">
        <v>116</v>
      </c>
      <c r="C3599" t="s">
        <v>568</v>
      </c>
      <c r="D3599" t="s">
        <v>2284</v>
      </c>
      <c r="E3599" t="s">
        <v>3184</v>
      </c>
      <c r="F3599" s="452">
        <v>46028</v>
      </c>
      <c r="G3599">
        <v>25769</v>
      </c>
      <c r="H3599" t="s">
        <v>4013</v>
      </c>
      <c r="I3599" t="s">
        <v>3469</v>
      </c>
      <c r="J3599">
        <v>1</v>
      </c>
      <c r="K3599" t="s">
        <v>3892</v>
      </c>
      <c r="L3599">
        <v>13.9</v>
      </c>
      <c r="M3599">
        <v>13.9</v>
      </c>
      <c r="N3599" t="s">
        <v>4240</v>
      </c>
      <c r="O3599" t="s">
        <v>461</v>
      </c>
    </row>
    <row r="3600" spans="1:15" x14ac:dyDescent="0.3">
      <c r="A3600">
        <v>191112</v>
      </c>
      <c r="B3600">
        <v>116</v>
      </c>
      <c r="C3600" t="s">
        <v>568</v>
      </c>
      <c r="D3600" t="s">
        <v>2284</v>
      </c>
      <c r="E3600" t="s">
        <v>3184</v>
      </c>
      <c r="F3600" s="452">
        <v>46028</v>
      </c>
      <c r="G3600">
        <v>23503</v>
      </c>
      <c r="H3600" t="s">
        <v>4041</v>
      </c>
      <c r="I3600" t="s">
        <v>3469</v>
      </c>
      <c r="J3600">
        <v>1</v>
      </c>
      <c r="K3600" t="s">
        <v>3892</v>
      </c>
      <c r="L3600">
        <v>24.2</v>
      </c>
      <c r="M3600">
        <v>24.2</v>
      </c>
      <c r="N3600" t="s">
        <v>4240</v>
      </c>
      <c r="O3600" t="s">
        <v>461</v>
      </c>
    </row>
    <row r="3601" spans="1:15" x14ac:dyDescent="0.3">
      <c r="A3601">
        <v>191112</v>
      </c>
      <c r="B3601">
        <v>116</v>
      </c>
      <c r="C3601" t="s">
        <v>568</v>
      </c>
      <c r="D3601" t="s">
        <v>2284</v>
      </c>
      <c r="E3601" t="s">
        <v>3184</v>
      </c>
      <c r="F3601" s="452">
        <v>46028</v>
      </c>
      <c r="G3601">
        <v>24400</v>
      </c>
      <c r="H3601" t="s">
        <v>4149</v>
      </c>
      <c r="I3601" t="s">
        <v>3469</v>
      </c>
      <c r="J3601">
        <v>1</v>
      </c>
      <c r="K3601" t="s">
        <v>3892</v>
      </c>
      <c r="L3601">
        <v>14.5</v>
      </c>
      <c r="M3601">
        <v>14.5</v>
      </c>
      <c r="N3601" t="s">
        <v>4240</v>
      </c>
      <c r="O3601" t="s">
        <v>461</v>
      </c>
    </row>
    <row r="3602" spans="1:15" x14ac:dyDescent="0.3">
      <c r="A3602">
        <v>191109</v>
      </c>
      <c r="B3602">
        <v>116</v>
      </c>
      <c r="C3602" t="s">
        <v>568</v>
      </c>
      <c r="D3602" t="s">
        <v>2284</v>
      </c>
      <c r="E3602" t="s">
        <v>3185</v>
      </c>
      <c r="F3602" s="452">
        <v>46028</v>
      </c>
      <c r="G3602">
        <v>18538</v>
      </c>
      <c r="H3602" t="s">
        <v>4026</v>
      </c>
      <c r="I3602" t="s">
        <v>3497</v>
      </c>
      <c r="J3602">
        <v>2</v>
      </c>
      <c r="K3602" t="s">
        <v>3878</v>
      </c>
      <c r="L3602">
        <v>209.8</v>
      </c>
      <c r="M3602">
        <v>104.9</v>
      </c>
      <c r="N3602" t="s">
        <v>4276</v>
      </c>
      <c r="O3602" t="s">
        <v>461</v>
      </c>
    </row>
    <row r="3603" spans="1:15" x14ac:dyDescent="0.3">
      <c r="A3603">
        <v>191105</v>
      </c>
      <c r="B3603">
        <v>116</v>
      </c>
      <c r="C3603" t="s">
        <v>568</v>
      </c>
      <c r="D3603" t="s">
        <v>2284</v>
      </c>
      <c r="E3603" t="s">
        <v>3186</v>
      </c>
      <c r="F3603" s="452">
        <v>46027</v>
      </c>
      <c r="G3603">
        <v>20358</v>
      </c>
      <c r="H3603" t="s">
        <v>3952</v>
      </c>
      <c r="I3603" t="s">
        <v>3469</v>
      </c>
      <c r="J3603">
        <v>3</v>
      </c>
      <c r="K3603" t="s">
        <v>3888</v>
      </c>
      <c r="L3603">
        <v>42.9</v>
      </c>
      <c r="M3603">
        <v>14.3</v>
      </c>
      <c r="N3603" t="s">
        <v>4419</v>
      </c>
      <c r="O3603" t="s">
        <v>461</v>
      </c>
    </row>
    <row r="3604" spans="1:15" x14ac:dyDescent="0.3">
      <c r="A3604">
        <v>191105</v>
      </c>
      <c r="B3604">
        <v>116</v>
      </c>
      <c r="C3604" t="s">
        <v>568</v>
      </c>
      <c r="D3604" t="s">
        <v>2284</v>
      </c>
      <c r="E3604" t="s">
        <v>3186</v>
      </c>
      <c r="F3604" s="452">
        <v>46027</v>
      </c>
      <c r="G3604">
        <v>20702</v>
      </c>
      <c r="H3604" t="s">
        <v>4006</v>
      </c>
      <c r="I3604" t="s">
        <v>3469</v>
      </c>
      <c r="J3604">
        <v>1</v>
      </c>
      <c r="K3604" t="s">
        <v>3966</v>
      </c>
      <c r="L3604">
        <v>53.9</v>
      </c>
      <c r="M3604">
        <v>53.9</v>
      </c>
      <c r="N3604" t="s">
        <v>4419</v>
      </c>
      <c r="O3604" t="s">
        <v>461</v>
      </c>
    </row>
    <row r="3605" spans="1:15" x14ac:dyDescent="0.3">
      <c r="A3605">
        <v>191105</v>
      </c>
      <c r="B3605">
        <v>116</v>
      </c>
      <c r="C3605" t="s">
        <v>568</v>
      </c>
      <c r="D3605" t="s">
        <v>2284</v>
      </c>
      <c r="E3605" t="s">
        <v>3186</v>
      </c>
      <c r="F3605" s="452">
        <v>46027</v>
      </c>
      <c r="G3605">
        <v>19324</v>
      </c>
      <c r="H3605" t="s">
        <v>3937</v>
      </c>
      <c r="I3605" t="s">
        <v>3469</v>
      </c>
      <c r="J3605">
        <v>8.08</v>
      </c>
      <c r="K3605" t="s">
        <v>3892</v>
      </c>
      <c r="L3605">
        <v>269.06</v>
      </c>
      <c r="M3605">
        <v>33.299505000000003</v>
      </c>
      <c r="N3605" t="s">
        <v>4419</v>
      </c>
      <c r="O3605" t="s">
        <v>461</v>
      </c>
    </row>
    <row r="3606" spans="1:15" x14ac:dyDescent="0.3">
      <c r="A3606">
        <v>191105</v>
      </c>
      <c r="B3606">
        <v>116</v>
      </c>
      <c r="C3606" t="s">
        <v>568</v>
      </c>
      <c r="D3606" t="s">
        <v>2284</v>
      </c>
      <c r="E3606" t="s">
        <v>3186</v>
      </c>
      <c r="F3606" s="452">
        <v>46027</v>
      </c>
      <c r="G3606">
        <v>20077</v>
      </c>
      <c r="H3606" t="s">
        <v>4054</v>
      </c>
      <c r="I3606" t="s">
        <v>3469</v>
      </c>
      <c r="J3606">
        <v>1</v>
      </c>
      <c r="K3606" t="s">
        <v>4268</v>
      </c>
      <c r="L3606">
        <v>16.32</v>
      </c>
      <c r="M3606">
        <v>16.32</v>
      </c>
      <c r="N3606" t="s">
        <v>4419</v>
      </c>
      <c r="O3606" t="s">
        <v>461</v>
      </c>
    </row>
    <row r="3607" spans="1:15" x14ac:dyDescent="0.3">
      <c r="A3607">
        <v>191105</v>
      </c>
      <c r="B3607">
        <v>116</v>
      </c>
      <c r="C3607" t="s">
        <v>568</v>
      </c>
      <c r="D3607" t="s">
        <v>2284</v>
      </c>
      <c r="E3607" t="s">
        <v>3186</v>
      </c>
      <c r="F3607" s="452">
        <v>46027</v>
      </c>
      <c r="G3607">
        <v>19973</v>
      </c>
      <c r="H3607" t="s">
        <v>3981</v>
      </c>
      <c r="I3607" t="s">
        <v>3469</v>
      </c>
      <c r="J3607">
        <v>2</v>
      </c>
      <c r="K3607" t="s">
        <v>3931</v>
      </c>
      <c r="L3607">
        <v>30.4</v>
      </c>
      <c r="M3607">
        <v>15.2</v>
      </c>
      <c r="N3607" t="s">
        <v>4419</v>
      </c>
      <c r="O3607" t="s">
        <v>461</v>
      </c>
    </row>
    <row r="3608" spans="1:15" x14ac:dyDescent="0.3">
      <c r="A3608">
        <v>191105</v>
      </c>
      <c r="B3608">
        <v>116</v>
      </c>
      <c r="C3608" t="s">
        <v>568</v>
      </c>
      <c r="D3608" t="s">
        <v>2284</v>
      </c>
      <c r="E3608" t="s">
        <v>3186</v>
      </c>
      <c r="F3608" s="452">
        <v>46027</v>
      </c>
      <c r="G3608">
        <v>20729</v>
      </c>
      <c r="H3608" t="s">
        <v>3965</v>
      </c>
      <c r="I3608" t="s">
        <v>3469</v>
      </c>
      <c r="J3608">
        <v>2</v>
      </c>
      <c r="K3608" t="s">
        <v>3966</v>
      </c>
      <c r="L3608">
        <v>131.80000000000001</v>
      </c>
      <c r="M3608">
        <v>65.900000000000006</v>
      </c>
      <c r="N3608" t="s">
        <v>4419</v>
      </c>
      <c r="O3608" t="s">
        <v>461</v>
      </c>
    </row>
    <row r="3609" spans="1:15" x14ac:dyDescent="0.3">
      <c r="A3609">
        <v>191105</v>
      </c>
      <c r="B3609">
        <v>116</v>
      </c>
      <c r="C3609" t="s">
        <v>568</v>
      </c>
      <c r="D3609" t="s">
        <v>2284</v>
      </c>
      <c r="E3609" t="s">
        <v>3186</v>
      </c>
      <c r="F3609" s="452">
        <v>46027</v>
      </c>
      <c r="G3609">
        <v>20007</v>
      </c>
      <c r="H3609" t="s">
        <v>4009</v>
      </c>
      <c r="I3609" t="s">
        <v>3469</v>
      </c>
      <c r="J3609">
        <v>3</v>
      </c>
      <c r="K3609" t="s">
        <v>3966</v>
      </c>
      <c r="L3609">
        <v>143.4</v>
      </c>
      <c r="M3609">
        <v>47.8</v>
      </c>
      <c r="N3609" t="s">
        <v>4419</v>
      </c>
      <c r="O3609" t="s">
        <v>461</v>
      </c>
    </row>
    <row r="3610" spans="1:15" x14ac:dyDescent="0.3">
      <c r="A3610">
        <v>191105</v>
      </c>
      <c r="B3610">
        <v>116</v>
      </c>
      <c r="C3610" t="s">
        <v>568</v>
      </c>
      <c r="D3610" t="s">
        <v>2284</v>
      </c>
      <c r="E3610" t="s">
        <v>3186</v>
      </c>
      <c r="F3610" s="452">
        <v>46027</v>
      </c>
      <c r="G3610">
        <v>19346</v>
      </c>
      <c r="H3610" t="s">
        <v>3948</v>
      </c>
      <c r="I3610" t="s">
        <v>3469</v>
      </c>
      <c r="J3610">
        <v>3</v>
      </c>
      <c r="K3610" t="s">
        <v>3892</v>
      </c>
      <c r="L3610">
        <v>149.69999999999999</v>
      </c>
      <c r="M3610">
        <v>49.9</v>
      </c>
      <c r="N3610" t="s">
        <v>4419</v>
      </c>
      <c r="O3610" t="s">
        <v>461</v>
      </c>
    </row>
    <row r="3611" spans="1:15" x14ac:dyDescent="0.3">
      <c r="A3611">
        <v>191105</v>
      </c>
      <c r="B3611">
        <v>116</v>
      </c>
      <c r="C3611" t="s">
        <v>568</v>
      </c>
      <c r="D3611" t="s">
        <v>2284</v>
      </c>
      <c r="E3611" t="s">
        <v>3186</v>
      </c>
      <c r="F3611" s="452">
        <v>46027</v>
      </c>
      <c r="G3611">
        <v>21030</v>
      </c>
      <c r="H3611" t="s">
        <v>3890</v>
      </c>
      <c r="I3611" t="s">
        <v>3469</v>
      </c>
      <c r="J3611">
        <v>6</v>
      </c>
      <c r="K3611" t="s">
        <v>3872</v>
      </c>
      <c r="L3611">
        <v>116.1</v>
      </c>
      <c r="M3611">
        <v>19.350000000000001</v>
      </c>
      <c r="N3611" t="s">
        <v>4419</v>
      </c>
      <c r="O3611" t="s">
        <v>461</v>
      </c>
    </row>
    <row r="3612" spans="1:15" x14ac:dyDescent="0.3">
      <c r="A3612">
        <v>191105</v>
      </c>
      <c r="B3612">
        <v>116</v>
      </c>
      <c r="C3612" t="s">
        <v>568</v>
      </c>
      <c r="D3612" t="s">
        <v>2284</v>
      </c>
      <c r="E3612" t="s">
        <v>3186</v>
      </c>
      <c r="F3612" s="452">
        <v>46027</v>
      </c>
      <c r="G3612">
        <v>20685</v>
      </c>
      <c r="H3612" t="s">
        <v>4122</v>
      </c>
      <c r="I3612" t="s">
        <v>3469</v>
      </c>
      <c r="J3612">
        <v>6</v>
      </c>
      <c r="K3612" t="s">
        <v>3872</v>
      </c>
      <c r="L3612">
        <v>21.3</v>
      </c>
      <c r="M3612">
        <v>3.55</v>
      </c>
      <c r="N3612" t="s">
        <v>4419</v>
      </c>
      <c r="O3612" t="s">
        <v>461</v>
      </c>
    </row>
    <row r="3613" spans="1:15" x14ac:dyDescent="0.3">
      <c r="A3613">
        <v>191105</v>
      </c>
      <c r="B3613">
        <v>116</v>
      </c>
      <c r="C3613" t="s">
        <v>568</v>
      </c>
      <c r="D3613" t="s">
        <v>2284</v>
      </c>
      <c r="E3613" t="s">
        <v>3186</v>
      </c>
      <c r="F3613" s="452">
        <v>46027</v>
      </c>
      <c r="G3613">
        <v>25769</v>
      </c>
      <c r="H3613" t="s">
        <v>4013</v>
      </c>
      <c r="I3613" t="s">
        <v>3469</v>
      </c>
      <c r="J3613">
        <v>1</v>
      </c>
      <c r="K3613" t="s">
        <v>3892</v>
      </c>
      <c r="L3613">
        <v>12.2</v>
      </c>
      <c r="M3613">
        <v>12.2</v>
      </c>
      <c r="N3613" t="s">
        <v>4419</v>
      </c>
      <c r="O3613" t="s">
        <v>461</v>
      </c>
    </row>
    <row r="3614" spans="1:15" x14ac:dyDescent="0.3">
      <c r="A3614">
        <v>191105</v>
      </c>
      <c r="B3614">
        <v>116</v>
      </c>
      <c r="C3614" t="s">
        <v>568</v>
      </c>
      <c r="D3614" t="s">
        <v>2284</v>
      </c>
      <c r="E3614" t="s">
        <v>3186</v>
      </c>
      <c r="F3614" s="452">
        <v>46027</v>
      </c>
      <c r="G3614">
        <v>19287</v>
      </c>
      <c r="H3614" t="s">
        <v>3974</v>
      </c>
      <c r="I3614" t="s">
        <v>3469</v>
      </c>
      <c r="J3614">
        <v>3.26</v>
      </c>
      <c r="K3614" t="s">
        <v>3892</v>
      </c>
      <c r="L3614">
        <v>124.53</v>
      </c>
      <c r="M3614">
        <v>38.199387000000002</v>
      </c>
      <c r="N3614" t="s">
        <v>4419</v>
      </c>
      <c r="O3614" t="s">
        <v>461</v>
      </c>
    </row>
    <row r="3615" spans="1:15" x14ac:dyDescent="0.3">
      <c r="A3615">
        <v>191105</v>
      </c>
      <c r="B3615">
        <v>116</v>
      </c>
      <c r="C3615" t="s">
        <v>568</v>
      </c>
      <c r="D3615" t="s">
        <v>2284</v>
      </c>
      <c r="E3615" t="s">
        <v>3186</v>
      </c>
      <c r="F3615" s="452">
        <v>46027</v>
      </c>
      <c r="G3615">
        <v>19932</v>
      </c>
      <c r="H3615" t="s">
        <v>4011</v>
      </c>
      <c r="I3615" t="s">
        <v>3469</v>
      </c>
      <c r="J3615">
        <v>1</v>
      </c>
      <c r="K3615" t="s">
        <v>3872</v>
      </c>
      <c r="L3615">
        <v>7.3</v>
      </c>
      <c r="M3615">
        <v>7.3</v>
      </c>
      <c r="N3615" t="s">
        <v>4419</v>
      </c>
      <c r="O3615" t="s">
        <v>461</v>
      </c>
    </row>
    <row r="3616" spans="1:15" x14ac:dyDescent="0.3">
      <c r="A3616">
        <v>191105</v>
      </c>
      <c r="B3616">
        <v>116</v>
      </c>
      <c r="C3616" t="s">
        <v>568</v>
      </c>
      <c r="D3616" t="s">
        <v>2284</v>
      </c>
      <c r="E3616" t="s">
        <v>3186</v>
      </c>
      <c r="F3616" s="452">
        <v>46027</v>
      </c>
      <c r="G3616">
        <v>23897</v>
      </c>
      <c r="H3616" t="s">
        <v>4058</v>
      </c>
      <c r="I3616" t="s">
        <v>3469</v>
      </c>
      <c r="J3616">
        <v>2</v>
      </c>
      <c r="K3616" t="s">
        <v>4291</v>
      </c>
      <c r="L3616">
        <v>351.8</v>
      </c>
      <c r="M3616">
        <v>175.9</v>
      </c>
      <c r="N3616" t="s">
        <v>4419</v>
      </c>
      <c r="O3616" t="s">
        <v>461</v>
      </c>
    </row>
    <row r="3617" spans="1:15" x14ac:dyDescent="0.3">
      <c r="A3617">
        <v>191105</v>
      </c>
      <c r="B3617">
        <v>116</v>
      </c>
      <c r="C3617" t="s">
        <v>568</v>
      </c>
      <c r="D3617" t="s">
        <v>2284</v>
      </c>
      <c r="E3617" t="s">
        <v>3186</v>
      </c>
      <c r="F3617" s="452">
        <v>46027</v>
      </c>
      <c r="G3617">
        <v>20597</v>
      </c>
      <c r="H3617" t="s">
        <v>4157</v>
      </c>
      <c r="I3617" t="s">
        <v>3469</v>
      </c>
      <c r="J3617">
        <v>1</v>
      </c>
      <c r="K3617" t="s">
        <v>3872</v>
      </c>
      <c r="L3617">
        <v>24.8</v>
      </c>
      <c r="M3617">
        <v>24.8</v>
      </c>
      <c r="N3617" t="s">
        <v>4419</v>
      </c>
      <c r="O3617" t="s">
        <v>461</v>
      </c>
    </row>
    <row r="3618" spans="1:15" x14ac:dyDescent="0.3">
      <c r="A3618">
        <v>191105</v>
      </c>
      <c r="B3618">
        <v>116</v>
      </c>
      <c r="C3618" t="s">
        <v>568</v>
      </c>
      <c r="D3618" t="s">
        <v>2284</v>
      </c>
      <c r="E3618" t="s">
        <v>3186</v>
      </c>
      <c r="F3618" s="452">
        <v>46027</v>
      </c>
      <c r="G3618">
        <v>20988</v>
      </c>
      <c r="H3618" t="s">
        <v>4117</v>
      </c>
      <c r="I3618" t="s">
        <v>3469</v>
      </c>
      <c r="J3618">
        <v>20</v>
      </c>
      <c r="K3618" t="s">
        <v>3872</v>
      </c>
      <c r="L3618">
        <v>168</v>
      </c>
      <c r="M3618">
        <v>8.4</v>
      </c>
      <c r="N3618" t="s">
        <v>4419</v>
      </c>
      <c r="O3618" t="s">
        <v>461</v>
      </c>
    </row>
    <row r="3619" spans="1:15" x14ac:dyDescent="0.3">
      <c r="A3619">
        <v>191105</v>
      </c>
      <c r="B3619">
        <v>116</v>
      </c>
      <c r="C3619" t="s">
        <v>568</v>
      </c>
      <c r="D3619" t="s">
        <v>2284</v>
      </c>
      <c r="E3619" t="s">
        <v>3186</v>
      </c>
      <c r="F3619" s="452">
        <v>46027</v>
      </c>
      <c r="G3619">
        <v>22721</v>
      </c>
      <c r="H3619" t="s">
        <v>4221</v>
      </c>
      <c r="I3619" t="s">
        <v>3469</v>
      </c>
      <c r="J3619">
        <v>4.9000000000000004</v>
      </c>
      <c r="K3619" t="s">
        <v>3892</v>
      </c>
      <c r="L3619">
        <v>138.66999999999999</v>
      </c>
      <c r="M3619">
        <v>28.3</v>
      </c>
      <c r="N3619" t="s">
        <v>4419</v>
      </c>
      <c r="O3619" t="s">
        <v>461</v>
      </c>
    </row>
    <row r="3620" spans="1:15" x14ac:dyDescent="0.3">
      <c r="A3620">
        <v>191105</v>
      </c>
      <c r="B3620">
        <v>116</v>
      </c>
      <c r="C3620" t="s">
        <v>568</v>
      </c>
      <c r="D3620" t="s">
        <v>2284</v>
      </c>
      <c r="E3620" t="s">
        <v>3186</v>
      </c>
      <c r="F3620" s="452">
        <v>46027</v>
      </c>
      <c r="G3620">
        <v>20624</v>
      </c>
      <c r="H3620" t="s">
        <v>3982</v>
      </c>
      <c r="I3620" t="s">
        <v>3469</v>
      </c>
      <c r="J3620">
        <v>2</v>
      </c>
      <c r="K3620" t="s">
        <v>3872</v>
      </c>
      <c r="L3620">
        <v>136.4</v>
      </c>
      <c r="M3620">
        <v>68.2</v>
      </c>
      <c r="N3620" t="s">
        <v>4419</v>
      </c>
      <c r="O3620" t="s">
        <v>461</v>
      </c>
    </row>
    <row r="3621" spans="1:15" x14ac:dyDescent="0.3">
      <c r="A3621">
        <v>191105</v>
      </c>
      <c r="B3621">
        <v>116</v>
      </c>
      <c r="C3621" t="s">
        <v>568</v>
      </c>
      <c r="D3621" t="s">
        <v>2284</v>
      </c>
      <c r="E3621" t="s">
        <v>3186</v>
      </c>
      <c r="F3621" s="452">
        <v>46027</v>
      </c>
      <c r="G3621">
        <v>23982</v>
      </c>
      <c r="H3621" t="s">
        <v>3977</v>
      </c>
      <c r="I3621" t="s">
        <v>3469</v>
      </c>
      <c r="J3621">
        <v>1</v>
      </c>
      <c r="K3621" t="s">
        <v>3978</v>
      </c>
      <c r="L3621">
        <v>240.5</v>
      </c>
      <c r="M3621">
        <v>240.5</v>
      </c>
      <c r="N3621" t="s">
        <v>4419</v>
      </c>
      <c r="O3621" t="s">
        <v>461</v>
      </c>
    </row>
    <row r="3622" spans="1:15" x14ac:dyDescent="0.3">
      <c r="A3622">
        <v>191105</v>
      </c>
      <c r="B3622">
        <v>116</v>
      </c>
      <c r="C3622" t="s">
        <v>568</v>
      </c>
      <c r="D3622" t="s">
        <v>2284</v>
      </c>
      <c r="E3622" t="s">
        <v>3186</v>
      </c>
      <c r="F3622" s="452">
        <v>46027</v>
      </c>
      <c r="G3622">
        <v>19416</v>
      </c>
      <c r="H3622" t="s">
        <v>4411</v>
      </c>
      <c r="I3622" t="s">
        <v>3469</v>
      </c>
      <c r="J3622">
        <v>1</v>
      </c>
      <c r="K3622" t="s">
        <v>3872</v>
      </c>
      <c r="L3622">
        <v>7.9</v>
      </c>
      <c r="M3622">
        <v>7.9</v>
      </c>
      <c r="N3622" t="s">
        <v>4419</v>
      </c>
      <c r="O3622" t="s">
        <v>461</v>
      </c>
    </row>
    <row r="3623" spans="1:15" x14ac:dyDescent="0.3">
      <c r="A3623">
        <v>191102</v>
      </c>
      <c r="B3623">
        <v>116</v>
      </c>
      <c r="C3623" t="s">
        <v>568</v>
      </c>
      <c r="D3623" t="s">
        <v>2284</v>
      </c>
      <c r="E3623" t="s">
        <v>3187</v>
      </c>
      <c r="F3623" s="452">
        <v>46021</v>
      </c>
      <c r="G3623">
        <v>20358</v>
      </c>
      <c r="H3623" t="s">
        <v>3952</v>
      </c>
      <c r="I3623" t="s">
        <v>3469</v>
      </c>
      <c r="J3623">
        <v>3</v>
      </c>
      <c r="K3623" t="s">
        <v>3888</v>
      </c>
      <c r="L3623">
        <v>42.9</v>
      </c>
      <c r="M3623">
        <v>14.3</v>
      </c>
      <c r="N3623" t="s">
        <v>4240</v>
      </c>
      <c r="O3623" t="s">
        <v>460</v>
      </c>
    </row>
    <row r="3624" spans="1:15" x14ac:dyDescent="0.3">
      <c r="A3624">
        <v>191102</v>
      </c>
      <c r="B3624">
        <v>116</v>
      </c>
      <c r="C3624" t="s">
        <v>568</v>
      </c>
      <c r="D3624" t="s">
        <v>2284</v>
      </c>
      <c r="E3624" t="s">
        <v>3187</v>
      </c>
      <c r="F3624" s="452">
        <v>46021</v>
      </c>
      <c r="G3624">
        <v>20702</v>
      </c>
      <c r="H3624" t="s">
        <v>4006</v>
      </c>
      <c r="I3624" t="s">
        <v>3469</v>
      </c>
      <c r="J3624">
        <v>1</v>
      </c>
      <c r="K3624" t="s">
        <v>3966</v>
      </c>
      <c r="L3624">
        <v>53.9</v>
      </c>
      <c r="M3624">
        <v>53.9</v>
      </c>
      <c r="N3624" t="s">
        <v>4240</v>
      </c>
      <c r="O3624" t="s">
        <v>460</v>
      </c>
    </row>
    <row r="3625" spans="1:15" x14ac:dyDescent="0.3">
      <c r="A3625">
        <v>191102</v>
      </c>
      <c r="B3625">
        <v>116</v>
      </c>
      <c r="C3625" t="s">
        <v>568</v>
      </c>
      <c r="D3625" t="s">
        <v>2284</v>
      </c>
      <c r="E3625" t="s">
        <v>3187</v>
      </c>
      <c r="F3625" s="452">
        <v>46021</v>
      </c>
      <c r="G3625">
        <v>19324</v>
      </c>
      <c r="H3625" t="s">
        <v>3937</v>
      </c>
      <c r="I3625" t="s">
        <v>3469</v>
      </c>
      <c r="J3625">
        <v>8.08</v>
      </c>
      <c r="K3625" t="s">
        <v>3892</v>
      </c>
      <c r="L3625">
        <v>269.06</v>
      </c>
      <c r="M3625">
        <v>33.299505000000003</v>
      </c>
      <c r="N3625" t="s">
        <v>4240</v>
      </c>
      <c r="O3625" t="s">
        <v>460</v>
      </c>
    </row>
    <row r="3626" spans="1:15" x14ac:dyDescent="0.3">
      <c r="A3626">
        <v>191102</v>
      </c>
      <c r="B3626">
        <v>116</v>
      </c>
      <c r="C3626" t="s">
        <v>568</v>
      </c>
      <c r="D3626" t="s">
        <v>2284</v>
      </c>
      <c r="E3626" t="s">
        <v>3187</v>
      </c>
      <c r="F3626" s="452">
        <v>46021</v>
      </c>
      <c r="G3626">
        <v>20077</v>
      </c>
      <c r="H3626" t="s">
        <v>4054</v>
      </c>
      <c r="I3626" t="s">
        <v>3469</v>
      </c>
      <c r="J3626">
        <v>1</v>
      </c>
      <c r="K3626" t="s">
        <v>4268</v>
      </c>
      <c r="L3626">
        <v>16.32</v>
      </c>
      <c r="M3626">
        <v>16.32</v>
      </c>
      <c r="N3626" t="s">
        <v>4240</v>
      </c>
      <c r="O3626" t="s">
        <v>460</v>
      </c>
    </row>
    <row r="3627" spans="1:15" x14ac:dyDescent="0.3">
      <c r="A3627">
        <v>191102</v>
      </c>
      <c r="B3627">
        <v>116</v>
      </c>
      <c r="C3627" t="s">
        <v>568</v>
      </c>
      <c r="D3627" t="s">
        <v>2284</v>
      </c>
      <c r="E3627" t="s">
        <v>3187</v>
      </c>
      <c r="F3627" s="452">
        <v>46021</v>
      </c>
      <c r="G3627">
        <v>19973</v>
      </c>
      <c r="H3627" t="s">
        <v>3981</v>
      </c>
      <c r="I3627" t="s">
        <v>3469</v>
      </c>
      <c r="J3627">
        <v>2</v>
      </c>
      <c r="K3627" t="s">
        <v>3931</v>
      </c>
      <c r="L3627">
        <v>30.4</v>
      </c>
      <c r="M3627">
        <v>15.2</v>
      </c>
      <c r="N3627" t="s">
        <v>4240</v>
      </c>
      <c r="O3627" t="s">
        <v>460</v>
      </c>
    </row>
    <row r="3628" spans="1:15" x14ac:dyDescent="0.3">
      <c r="A3628">
        <v>191102</v>
      </c>
      <c r="B3628">
        <v>116</v>
      </c>
      <c r="C3628" t="s">
        <v>568</v>
      </c>
      <c r="D3628" t="s">
        <v>2284</v>
      </c>
      <c r="E3628" t="s">
        <v>3187</v>
      </c>
      <c r="F3628" s="452">
        <v>46021</v>
      </c>
      <c r="G3628">
        <v>20729</v>
      </c>
      <c r="H3628" t="s">
        <v>3965</v>
      </c>
      <c r="I3628" t="s">
        <v>3469</v>
      </c>
      <c r="J3628">
        <v>2</v>
      </c>
      <c r="K3628" t="s">
        <v>3966</v>
      </c>
      <c r="L3628">
        <v>131.80000000000001</v>
      </c>
      <c r="M3628">
        <v>65.900000000000006</v>
      </c>
      <c r="N3628" t="s">
        <v>4240</v>
      </c>
      <c r="O3628" t="s">
        <v>460</v>
      </c>
    </row>
    <row r="3629" spans="1:15" x14ac:dyDescent="0.3">
      <c r="A3629">
        <v>191102</v>
      </c>
      <c r="B3629">
        <v>116</v>
      </c>
      <c r="C3629" t="s">
        <v>568</v>
      </c>
      <c r="D3629" t="s">
        <v>2284</v>
      </c>
      <c r="E3629" t="s">
        <v>3187</v>
      </c>
      <c r="F3629" s="452">
        <v>46021</v>
      </c>
      <c r="G3629">
        <v>20007</v>
      </c>
      <c r="H3629" t="s">
        <v>4009</v>
      </c>
      <c r="I3629" t="s">
        <v>3469</v>
      </c>
      <c r="J3629">
        <v>3</v>
      </c>
      <c r="K3629" t="s">
        <v>3966</v>
      </c>
      <c r="L3629">
        <v>143.4</v>
      </c>
      <c r="M3629">
        <v>47.8</v>
      </c>
      <c r="N3629" t="s">
        <v>4240</v>
      </c>
      <c r="O3629" t="s">
        <v>460</v>
      </c>
    </row>
    <row r="3630" spans="1:15" x14ac:dyDescent="0.3">
      <c r="A3630">
        <v>191102</v>
      </c>
      <c r="B3630">
        <v>116</v>
      </c>
      <c r="C3630" t="s">
        <v>568</v>
      </c>
      <c r="D3630" t="s">
        <v>2284</v>
      </c>
      <c r="E3630" t="s">
        <v>3187</v>
      </c>
      <c r="F3630" s="452">
        <v>46021</v>
      </c>
      <c r="G3630">
        <v>19346</v>
      </c>
      <c r="H3630" t="s">
        <v>3948</v>
      </c>
      <c r="I3630" t="s">
        <v>3469</v>
      </c>
      <c r="J3630">
        <v>3</v>
      </c>
      <c r="K3630" t="s">
        <v>3892</v>
      </c>
      <c r="L3630">
        <v>149.69999999999999</v>
      </c>
      <c r="M3630">
        <v>49.9</v>
      </c>
      <c r="N3630" t="s">
        <v>4240</v>
      </c>
      <c r="O3630" t="s">
        <v>460</v>
      </c>
    </row>
    <row r="3631" spans="1:15" x14ac:dyDescent="0.3">
      <c r="A3631">
        <v>191102</v>
      </c>
      <c r="B3631">
        <v>116</v>
      </c>
      <c r="C3631" t="s">
        <v>568</v>
      </c>
      <c r="D3631" t="s">
        <v>2284</v>
      </c>
      <c r="E3631" t="s">
        <v>3187</v>
      </c>
      <c r="F3631" s="452">
        <v>46021</v>
      </c>
      <c r="G3631">
        <v>21030</v>
      </c>
      <c r="H3631" t="s">
        <v>3890</v>
      </c>
      <c r="I3631" t="s">
        <v>3469</v>
      </c>
      <c r="J3631">
        <v>6</v>
      </c>
      <c r="K3631" t="s">
        <v>3872</v>
      </c>
      <c r="L3631">
        <v>116.1</v>
      </c>
      <c r="M3631">
        <v>19.350000000000001</v>
      </c>
      <c r="N3631" t="s">
        <v>4240</v>
      </c>
      <c r="O3631" t="s">
        <v>460</v>
      </c>
    </row>
    <row r="3632" spans="1:15" x14ac:dyDescent="0.3">
      <c r="A3632">
        <v>191102</v>
      </c>
      <c r="B3632">
        <v>116</v>
      </c>
      <c r="C3632" t="s">
        <v>568</v>
      </c>
      <c r="D3632" t="s">
        <v>2284</v>
      </c>
      <c r="E3632" t="s">
        <v>3187</v>
      </c>
      <c r="F3632" s="452">
        <v>46021</v>
      </c>
      <c r="G3632">
        <v>20685</v>
      </c>
      <c r="H3632" t="s">
        <v>4122</v>
      </c>
      <c r="I3632" t="s">
        <v>3469</v>
      </c>
      <c r="J3632">
        <v>6</v>
      </c>
      <c r="K3632" t="s">
        <v>3872</v>
      </c>
      <c r="L3632">
        <v>21.3</v>
      </c>
      <c r="M3632">
        <v>3.55</v>
      </c>
      <c r="N3632" t="s">
        <v>4240</v>
      </c>
      <c r="O3632" t="s">
        <v>460</v>
      </c>
    </row>
    <row r="3633" spans="1:15" x14ac:dyDescent="0.3">
      <c r="A3633">
        <v>191102</v>
      </c>
      <c r="B3633">
        <v>116</v>
      </c>
      <c r="C3633" t="s">
        <v>568</v>
      </c>
      <c r="D3633" t="s">
        <v>2284</v>
      </c>
      <c r="E3633" t="s">
        <v>3187</v>
      </c>
      <c r="F3633" s="452">
        <v>46021</v>
      </c>
      <c r="G3633">
        <v>25769</v>
      </c>
      <c r="H3633" t="s">
        <v>4013</v>
      </c>
      <c r="I3633" t="s">
        <v>3469</v>
      </c>
      <c r="J3633">
        <v>1</v>
      </c>
      <c r="K3633" t="s">
        <v>3892</v>
      </c>
      <c r="L3633">
        <v>12.2</v>
      </c>
      <c r="M3633">
        <v>12.2</v>
      </c>
      <c r="N3633" t="s">
        <v>4240</v>
      </c>
      <c r="O3633" t="s">
        <v>460</v>
      </c>
    </row>
    <row r="3634" spans="1:15" x14ac:dyDescent="0.3">
      <c r="A3634">
        <v>191102</v>
      </c>
      <c r="B3634">
        <v>116</v>
      </c>
      <c r="C3634" t="s">
        <v>568</v>
      </c>
      <c r="D3634" t="s">
        <v>2284</v>
      </c>
      <c r="E3634" t="s">
        <v>3187</v>
      </c>
      <c r="F3634" s="452">
        <v>46021</v>
      </c>
      <c r="G3634">
        <v>19287</v>
      </c>
      <c r="H3634" t="s">
        <v>3974</v>
      </c>
      <c r="I3634" t="s">
        <v>3469</v>
      </c>
      <c r="J3634">
        <v>3.26</v>
      </c>
      <c r="K3634" t="s">
        <v>3892</v>
      </c>
      <c r="L3634">
        <v>124.53</v>
      </c>
      <c r="M3634">
        <v>38.199387000000002</v>
      </c>
      <c r="N3634" t="s">
        <v>4240</v>
      </c>
      <c r="O3634" t="s">
        <v>460</v>
      </c>
    </row>
    <row r="3635" spans="1:15" x14ac:dyDescent="0.3">
      <c r="A3635">
        <v>191102</v>
      </c>
      <c r="B3635">
        <v>116</v>
      </c>
      <c r="C3635" t="s">
        <v>568</v>
      </c>
      <c r="D3635" t="s">
        <v>2284</v>
      </c>
      <c r="E3635" t="s">
        <v>3187</v>
      </c>
      <c r="F3635" s="452">
        <v>46021</v>
      </c>
      <c r="G3635">
        <v>19932</v>
      </c>
      <c r="H3635" t="s">
        <v>4011</v>
      </c>
      <c r="I3635" t="s">
        <v>3469</v>
      </c>
      <c r="J3635">
        <v>1</v>
      </c>
      <c r="K3635" t="s">
        <v>3872</v>
      </c>
      <c r="L3635">
        <v>7.3</v>
      </c>
      <c r="M3635">
        <v>7.3</v>
      </c>
      <c r="N3635" t="s">
        <v>4240</v>
      </c>
      <c r="O3635" t="s">
        <v>460</v>
      </c>
    </row>
    <row r="3636" spans="1:15" x14ac:dyDescent="0.3">
      <c r="A3636">
        <v>191102</v>
      </c>
      <c r="B3636">
        <v>116</v>
      </c>
      <c r="C3636" t="s">
        <v>568</v>
      </c>
      <c r="D3636" t="s">
        <v>2284</v>
      </c>
      <c r="E3636" t="s">
        <v>3187</v>
      </c>
      <c r="F3636" s="452">
        <v>46021</v>
      </c>
      <c r="G3636">
        <v>23897</v>
      </c>
      <c r="H3636" t="s">
        <v>4058</v>
      </c>
      <c r="I3636" t="s">
        <v>3469</v>
      </c>
      <c r="J3636">
        <v>2</v>
      </c>
      <c r="K3636" t="s">
        <v>4291</v>
      </c>
      <c r="L3636">
        <v>351.8</v>
      </c>
      <c r="M3636">
        <v>175.9</v>
      </c>
      <c r="N3636" t="s">
        <v>4240</v>
      </c>
      <c r="O3636" t="s">
        <v>460</v>
      </c>
    </row>
    <row r="3637" spans="1:15" x14ac:dyDescent="0.3">
      <c r="A3637">
        <v>191102</v>
      </c>
      <c r="B3637">
        <v>116</v>
      </c>
      <c r="C3637" t="s">
        <v>568</v>
      </c>
      <c r="D3637" t="s">
        <v>2284</v>
      </c>
      <c r="E3637" t="s">
        <v>3187</v>
      </c>
      <c r="F3637" s="452">
        <v>46021</v>
      </c>
      <c r="G3637">
        <v>20597</v>
      </c>
      <c r="H3637" t="s">
        <v>4157</v>
      </c>
      <c r="I3637" t="s">
        <v>3469</v>
      </c>
      <c r="J3637">
        <v>1</v>
      </c>
      <c r="K3637" t="s">
        <v>3872</v>
      </c>
      <c r="L3637">
        <v>24.8</v>
      </c>
      <c r="M3637">
        <v>24.8</v>
      </c>
      <c r="N3637" t="s">
        <v>4240</v>
      </c>
      <c r="O3637" t="s">
        <v>460</v>
      </c>
    </row>
    <row r="3638" spans="1:15" x14ac:dyDescent="0.3">
      <c r="A3638">
        <v>191102</v>
      </c>
      <c r="B3638">
        <v>116</v>
      </c>
      <c r="C3638" t="s">
        <v>568</v>
      </c>
      <c r="D3638" t="s">
        <v>2284</v>
      </c>
      <c r="E3638" t="s">
        <v>3187</v>
      </c>
      <c r="F3638" s="452">
        <v>46021</v>
      </c>
      <c r="G3638">
        <v>20988</v>
      </c>
      <c r="H3638" t="s">
        <v>4117</v>
      </c>
      <c r="I3638" t="s">
        <v>3469</v>
      </c>
      <c r="J3638">
        <v>20</v>
      </c>
      <c r="K3638" t="s">
        <v>3872</v>
      </c>
      <c r="L3638">
        <v>168</v>
      </c>
      <c r="M3638">
        <v>8.4</v>
      </c>
      <c r="N3638" t="s">
        <v>4240</v>
      </c>
      <c r="O3638" t="s">
        <v>460</v>
      </c>
    </row>
    <row r="3639" spans="1:15" x14ac:dyDescent="0.3">
      <c r="A3639">
        <v>191102</v>
      </c>
      <c r="B3639">
        <v>116</v>
      </c>
      <c r="C3639" t="s">
        <v>568</v>
      </c>
      <c r="D3639" t="s">
        <v>2284</v>
      </c>
      <c r="E3639" t="s">
        <v>3187</v>
      </c>
      <c r="F3639" s="452">
        <v>46021</v>
      </c>
      <c r="G3639">
        <v>22721</v>
      </c>
      <c r="H3639" t="s">
        <v>4221</v>
      </c>
      <c r="I3639" t="s">
        <v>3469</v>
      </c>
      <c r="J3639">
        <v>4.9000000000000004</v>
      </c>
      <c r="K3639" t="s">
        <v>3892</v>
      </c>
      <c r="L3639">
        <v>138.66999999999999</v>
      </c>
      <c r="M3639">
        <v>28.3</v>
      </c>
      <c r="N3639" t="s">
        <v>4240</v>
      </c>
      <c r="O3639" t="s">
        <v>460</v>
      </c>
    </row>
    <row r="3640" spans="1:15" x14ac:dyDescent="0.3">
      <c r="A3640">
        <v>191102</v>
      </c>
      <c r="B3640">
        <v>116</v>
      </c>
      <c r="C3640" t="s">
        <v>568</v>
      </c>
      <c r="D3640" t="s">
        <v>2284</v>
      </c>
      <c r="E3640" t="s">
        <v>3187</v>
      </c>
      <c r="F3640" s="452">
        <v>46021</v>
      </c>
      <c r="G3640">
        <v>20624</v>
      </c>
      <c r="H3640" t="s">
        <v>3982</v>
      </c>
      <c r="I3640" t="s">
        <v>3469</v>
      </c>
      <c r="J3640">
        <v>2</v>
      </c>
      <c r="K3640" t="s">
        <v>3872</v>
      </c>
      <c r="L3640">
        <v>136.4</v>
      </c>
      <c r="M3640">
        <v>68.2</v>
      </c>
      <c r="N3640" t="s">
        <v>4240</v>
      </c>
      <c r="O3640" t="s">
        <v>460</v>
      </c>
    </row>
    <row r="3641" spans="1:15" x14ac:dyDescent="0.3">
      <c r="A3641">
        <v>191102</v>
      </c>
      <c r="B3641">
        <v>116</v>
      </c>
      <c r="C3641" t="s">
        <v>568</v>
      </c>
      <c r="D3641" t="s">
        <v>2284</v>
      </c>
      <c r="E3641" t="s">
        <v>3187</v>
      </c>
      <c r="F3641" s="452">
        <v>46021</v>
      </c>
      <c r="G3641">
        <v>23982</v>
      </c>
      <c r="H3641" t="s">
        <v>3977</v>
      </c>
      <c r="I3641" t="s">
        <v>3469</v>
      </c>
      <c r="J3641">
        <v>1</v>
      </c>
      <c r="K3641" t="s">
        <v>3978</v>
      </c>
      <c r="L3641">
        <v>240.5</v>
      </c>
      <c r="M3641">
        <v>240.5</v>
      </c>
      <c r="N3641" t="s">
        <v>4240</v>
      </c>
      <c r="O3641" t="s">
        <v>460</v>
      </c>
    </row>
    <row r="3642" spans="1:15" x14ac:dyDescent="0.3">
      <c r="A3642">
        <v>191102</v>
      </c>
      <c r="B3642">
        <v>116</v>
      </c>
      <c r="C3642" t="s">
        <v>568</v>
      </c>
      <c r="D3642" t="s">
        <v>2284</v>
      </c>
      <c r="E3642" t="s">
        <v>3187</v>
      </c>
      <c r="F3642" s="452">
        <v>46021</v>
      </c>
      <c r="G3642">
        <v>19416</v>
      </c>
      <c r="H3642" t="s">
        <v>4411</v>
      </c>
      <c r="I3642" t="s">
        <v>3469</v>
      </c>
      <c r="J3642">
        <v>1</v>
      </c>
      <c r="K3642" t="s">
        <v>3872</v>
      </c>
      <c r="L3642">
        <v>7.9</v>
      </c>
      <c r="M3642">
        <v>7.9</v>
      </c>
      <c r="N3642" t="s">
        <v>4240</v>
      </c>
      <c r="O3642" t="s">
        <v>460</v>
      </c>
    </row>
    <row r="3643" spans="1:15" x14ac:dyDescent="0.3">
      <c r="A3643">
        <v>191101</v>
      </c>
      <c r="B3643">
        <v>116</v>
      </c>
      <c r="C3643" t="s">
        <v>568</v>
      </c>
      <c r="D3643" t="s">
        <v>2273</v>
      </c>
      <c r="E3643" t="s">
        <v>3188</v>
      </c>
      <c r="F3643" s="452">
        <v>46027</v>
      </c>
      <c r="G3643">
        <v>24083</v>
      </c>
      <c r="H3643" t="s">
        <v>3898</v>
      </c>
      <c r="I3643" t="s">
        <v>3469</v>
      </c>
      <c r="J3643">
        <v>15</v>
      </c>
      <c r="K3643" t="s">
        <v>3892</v>
      </c>
      <c r="L3643">
        <v>60.9</v>
      </c>
      <c r="M3643">
        <v>4.0599999999999996</v>
      </c>
      <c r="N3643" t="s">
        <v>4240</v>
      </c>
      <c r="O3643" t="s">
        <v>461</v>
      </c>
    </row>
    <row r="3644" spans="1:15" x14ac:dyDescent="0.3">
      <c r="A3644">
        <v>191101</v>
      </c>
      <c r="B3644">
        <v>116</v>
      </c>
      <c r="C3644" t="s">
        <v>568</v>
      </c>
      <c r="D3644" t="s">
        <v>2273</v>
      </c>
      <c r="E3644" t="s">
        <v>3188</v>
      </c>
      <c r="F3644" s="452">
        <v>46027</v>
      </c>
      <c r="G3644">
        <v>19740</v>
      </c>
      <c r="H3644" t="s">
        <v>3933</v>
      </c>
      <c r="I3644" t="s">
        <v>3469</v>
      </c>
      <c r="J3644">
        <v>6</v>
      </c>
      <c r="K3644" t="s">
        <v>3892</v>
      </c>
      <c r="L3644">
        <v>95.7</v>
      </c>
      <c r="M3644">
        <v>15.95</v>
      </c>
      <c r="N3644" t="s">
        <v>4240</v>
      </c>
      <c r="O3644" t="s">
        <v>461</v>
      </c>
    </row>
    <row r="3645" spans="1:15" x14ac:dyDescent="0.3">
      <c r="A3645">
        <v>191101</v>
      </c>
      <c r="B3645">
        <v>116</v>
      </c>
      <c r="C3645" t="s">
        <v>568</v>
      </c>
      <c r="D3645" t="s">
        <v>2273</v>
      </c>
      <c r="E3645" t="s">
        <v>3188</v>
      </c>
      <c r="F3645" s="452">
        <v>46027</v>
      </c>
      <c r="G3645">
        <v>19558</v>
      </c>
      <c r="H3645" t="s">
        <v>4183</v>
      </c>
      <c r="I3645" t="s">
        <v>3469</v>
      </c>
      <c r="J3645">
        <v>1.1299999999999999</v>
      </c>
      <c r="K3645" t="s">
        <v>3892</v>
      </c>
      <c r="L3645">
        <v>14.01</v>
      </c>
      <c r="M3645">
        <v>12.39823</v>
      </c>
      <c r="N3645" t="s">
        <v>4240</v>
      </c>
      <c r="O3645" t="s">
        <v>461</v>
      </c>
    </row>
    <row r="3646" spans="1:15" x14ac:dyDescent="0.3">
      <c r="A3646">
        <v>191101</v>
      </c>
      <c r="B3646">
        <v>116</v>
      </c>
      <c r="C3646" t="s">
        <v>568</v>
      </c>
      <c r="D3646" t="s">
        <v>2273</v>
      </c>
      <c r="E3646" t="s">
        <v>3188</v>
      </c>
      <c r="F3646" s="452">
        <v>46027</v>
      </c>
      <c r="G3646">
        <v>24484</v>
      </c>
      <c r="H3646" t="s">
        <v>4154</v>
      </c>
      <c r="I3646" t="s">
        <v>3469</v>
      </c>
      <c r="J3646">
        <v>0.51</v>
      </c>
      <c r="K3646" t="s">
        <v>3892</v>
      </c>
      <c r="L3646">
        <v>5.55</v>
      </c>
      <c r="M3646">
        <v>10.882353</v>
      </c>
      <c r="N3646" t="s">
        <v>4240</v>
      </c>
      <c r="O3646" t="s">
        <v>461</v>
      </c>
    </row>
    <row r="3647" spans="1:15" x14ac:dyDescent="0.3">
      <c r="A3647">
        <v>191101</v>
      </c>
      <c r="B3647">
        <v>116</v>
      </c>
      <c r="C3647" t="s">
        <v>568</v>
      </c>
      <c r="D3647" t="s">
        <v>2273</v>
      </c>
      <c r="E3647" t="s">
        <v>3188</v>
      </c>
      <c r="F3647" s="452">
        <v>46027</v>
      </c>
      <c r="G3647">
        <v>19751</v>
      </c>
      <c r="H3647" t="s">
        <v>4019</v>
      </c>
      <c r="I3647" t="s">
        <v>3469</v>
      </c>
      <c r="J3647">
        <v>2.0499999999999998</v>
      </c>
      <c r="K3647" t="s">
        <v>3892</v>
      </c>
      <c r="L3647">
        <v>21.4</v>
      </c>
      <c r="M3647">
        <v>10.439024</v>
      </c>
      <c r="N3647" t="s">
        <v>4240</v>
      </c>
      <c r="O3647" t="s">
        <v>461</v>
      </c>
    </row>
    <row r="3648" spans="1:15" x14ac:dyDescent="0.3">
      <c r="A3648">
        <v>191101</v>
      </c>
      <c r="B3648">
        <v>116</v>
      </c>
      <c r="C3648" t="s">
        <v>568</v>
      </c>
      <c r="D3648" t="s">
        <v>2273</v>
      </c>
      <c r="E3648" t="s">
        <v>3188</v>
      </c>
      <c r="F3648" s="452">
        <v>46027</v>
      </c>
      <c r="G3648">
        <v>19494</v>
      </c>
      <c r="H3648" t="s">
        <v>4126</v>
      </c>
      <c r="I3648" t="s">
        <v>3469</v>
      </c>
      <c r="J3648">
        <v>2.71</v>
      </c>
      <c r="K3648" t="s">
        <v>3892</v>
      </c>
      <c r="L3648">
        <v>33.39</v>
      </c>
      <c r="M3648">
        <v>12.321033</v>
      </c>
      <c r="N3648" t="s">
        <v>4240</v>
      </c>
      <c r="O3648" t="s">
        <v>461</v>
      </c>
    </row>
    <row r="3649" spans="1:15" x14ac:dyDescent="0.3">
      <c r="A3649">
        <v>191101</v>
      </c>
      <c r="B3649">
        <v>116</v>
      </c>
      <c r="C3649" t="s">
        <v>568</v>
      </c>
      <c r="D3649" t="s">
        <v>2273</v>
      </c>
      <c r="E3649" t="s">
        <v>3188</v>
      </c>
      <c r="F3649" s="452">
        <v>46027</v>
      </c>
      <c r="G3649">
        <v>23113</v>
      </c>
      <c r="H3649" t="s">
        <v>4079</v>
      </c>
      <c r="I3649" t="s">
        <v>3469</v>
      </c>
      <c r="J3649">
        <v>1.07</v>
      </c>
      <c r="K3649" t="s">
        <v>3892</v>
      </c>
      <c r="L3649">
        <v>14.74</v>
      </c>
      <c r="M3649">
        <v>13.775701</v>
      </c>
      <c r="N3649" t="s">
        <v>4240</v>
      </c>
      <c r="O3649" t="s">
        <v>461</v>
      </c>
    </row>
    <row r="3650" spans="1:15" x14ac:dyDescent="0.3">
      <c r="A3650">
        <v>191101</v>
      </c>
      <c r="B3650">
        <v>116</v>
      </c>
      <c r="C3650" t="s">
        <v>568</v>
      </c>
      <c r="D3650" t="s">
        <v>2273</v>
      </c>
      <c r="E3650" t="s">
        <v>3188</v>
      </c>
      <c r="F3650" s="452">
        <v>46027</v>
      </c>
      <c r="G3650">
        <v>23120</v>
      </c>
      <c r="H3650" t="s">
        <v>4111</v>
      </c>
      <c r="I3650" t="s">
        <v>3469</v>
      </c>
      <c r="J3650">
        <v>0.3</v>
      </c>
      <c r="K3650" t="s">
        <v>3892</v>
      </c>
      <c r="L3650">
        <v>22.18</v>
      </c>
      <c r="M3650">
        <v>73.933333000000005</v>
      </c>
      <c r="N3650" t="s">
        <v>4240</v>
      </c>
      <c r="O3650" t="s">
        <v>461</v>
      </c>
    </row>
    <row r="3651" spans="1:15" x14ac:dyDescent="0.3">
      <c r="A3651">
        <v>191101</v>
      </c>
      <c r="B3651">
        <v>116</v>
      </c>
      <c r="C3651" t="s">
        <v>568</v>
      </c>
      <c r="D3651" t="s">
        <v>2273</v>
      </c>
      <c r="E3651" t="s">
        <v>3188</v>
      </c>
      <c r="F3651" s="452">
        <v>46027</v>
      </c>
      <c r="G3651">
        <v>23171</v>
      </c>
      <c r="H3651" t="s">
        <v>4132</v>
      </c>
      <c r="I3651" t="s">
        <v>3469</v>
      </c>
      <c r="J3651">
        <v>3.06</v>
      </c>
      <c r="K3651" t="s">
        <v>3892</v>
      </c>
      <c r="L3651">
        <v>19.739999999999998</v>
      </c>
      <c r="M3651">
        <v>6.4509800000000004</v>
      </c>
      <c r="N3651" t="s">
        <v>4240</v>
      </c>
      <c r="O3651" t="s">
        <v>461</v>
      </c>
    </row>
    <row r="3652" spans="1:15" x14ac:dyDescent="0.3">
      <c r="A3652">
        <v>191101</v>
      </c>
      <c r="B3652">
        <v>116</v>
      </c>
      <c r="C3652" t="s">
        <v>568</v>
      </c>
      <c r="D3652" t="s">
        <v>2273</v>
      </c>
      <c r="E3652" t="s">
        <v>3188</v>
      </c>
      <c r="F3652" s="452">
        <v>46027</v>
      </c>
      <c r="G3652">
        <v>23359</v>
      </c>
      <c r="H3652" t="s">
        <v>3932</v>
      </c>
      <c r="I3652" t="s">
        <v>3469</v>
      </c>
      <c r="J3652">
        <v>10</v>
      </c>
      <c r="K3652" t="s">
        <v>3892</v>
      </c>
      <c r="L3652">
        <v>36.299999999999997</v>
      </c>
      <c r="M3652">
        <v>3.63</v>
      </c>
      <c r="N3652" t="s">
        <v>4240</v>
      </c>
      <c r="O3652" t="s">
        <v>461</v>
      </c>
    </row>
    <row r="3653" spans="1:15" x14ac:dyDescent="0.3">
      <c r="A3653">
        <v>191101</v>
      </c>
      <c r="B3653">
        <v>116</v>
      </c>
      <c r="C3653" t="s">
        <v>568</v>
      </c>
      <c r="D3653" t="s">
        <v>2273</v>
      </c>
      <c r="E3653" t="s">
        <v>3188</v>
      </c>
      <c r="F3653" s="452">
        <v>46027</v>
      </c>
      <c r="G3653">
        <v>23389</v>
      </c>
      <c r="H3653" t="s">
        <v>4016</v>
      </c>
      <c r="I3653" t="s">
        <v>3469</v>
      </c>
      <c r="J3653">
        <v>5</v>
      </c>
      <c r="K3653" t="s">
        <v>3892</v>
      </c>
      <c r="L3653">
        <v>25.95</v>
      </c>
      <c r="M3653">
        <v>5.19</v>
      </c>
      <c r="N3653" t="s">
        <v>4240</v>
      </c>
      <c r="O3653" t="s">
        <v>461</v>
      </c>
    </row>
    <row r="3654" spans="1:15" x14ac:dyDescent="0.3">
      <c r="A3654">
        <v>191101</v>
      </c>
      <c r="B3654">
        <v>116</v>
      </c>
      <c r="C3654" t="s">
        <v>568</v>
      </c>
      <c r="D3654" t="s">
        <v>2273</v>
      </c>
      <c r="E3654" t="s">
        <v>3188</v>
      </c>
      <c r="F3654" s="452">
        <v>46027</v>
      </c>
      <c r="G3654">
        <v>17066</v>
      </c>
      <c r="H3654" t="s">
        <v>4155</v>
      </c>
      <c r="I3654" t="s">
        <v>3469</v>
      </c>
      <c r="J3654">
        <v>1</v>
      </c>
      <c r="K3654" t="s">
        <v>3892</v>
      </c>
      <c r="L3654">
        <v>23.93</v>
      </c>
      <c r="M3654">
        <v>23.93</v>
      </c>
      <c r="N3654" t="s">
        <v>4240</v>
      </c>
      <c r="O3654" t="s">
        <v>461</v>
      </c>
    </row>
    <row r="3655" spans="1:15" x14ac:dyDescent="0.3">
      <c r="A3655">
        <v>191085</v>
      </c>
      <c r="B3655">
        <v>116</v>
      </c>
      <c r="C3655" t="s">
        <v>568</v>
      </c>
      <c r="D3655" t="s">
        <v>2277</v>
      </c>
      <c r="E3655" t="s">
        <v>3189</v>
      </c>
      <c r="F3655" s="452">
        <v>46029</v>
      </c>
      <c r="G3655">
        <v>20621</v>
      </c>
      <c r="H3655" t="s">
        <v>3885</v>
      </c>
      <c r="I3655" t="s">
        <v>3469</v>
      </c>
      <c r="J3655">
        <v>10</v>
      </c>
      <c r="K3655" t="s">
        <v>3872</v>
      </c>
      <c r="L3655">
        <v>260</v>
      </c>
      <c r="M3655">
        <v>26</v>
      </c>
      <c r="N3655" t="s">
        <v>4240</v>
      </c>
      <c r="O3655" t="s">
        <v>461</v>
      </c>
    </row>
    <row r="3656" spans="1:15" x14ac:dyDescent="0.3">
      <c r="A3656">
        <v>191084</v>
      </c>
      <c r="B3656">
        <v>116</v>
      </c>
      <c r="C3656" t="s">
        <v>568</v>
      </c>
      <c r="D3656" t="s">
        <v>2277</v>
      </c>
      <c r="E3656" t="s">
        <v>3190</v>
      </c>
      <c r="F3656" s="452">
        <v>46029</v>
      </c>
      <c r="G3656">
        <v>20358</v>
      </c>
      <c r="H3656" t="s">
        <v>3952</v>
      </c>
      <c r="I3656" t="s">
        <v>3469</v>
      </c>
      <c r="J3656">
        <v>2</v>
      </c>
      <c r="K3656" t="s">
        <v>3888</v>
      </c>
      <c r="L3656">
        <v>28.6</v>
      </c>
      <c r="M3656">
        <v>14.3</v>
      </c>
      <c r="N3656" t="s">
        <v>3469</v>
      </c>
      <c r="O3656" t="s">
        <v>461</v>
      </c>
    </row>
    <row r="3657" spans="1:15" x14ac:dyDescent="0.3">
      <c r="A3657">
        <v>191084</v>
      </c>
      <c r="B3657">
        <v>116</v>
      </c>
      <c r="C3657" t="s">
        <v>568</v>
      </c>
      <c r="D3657" t="s">
        <v>2277</v>
      </c>
      <c r="E3657" t="s">
        <v>3190</v>
      </c>
      <c r="F3657" s="452">
        <v>46029</v>
      </c>
      <c r="G3657">
        <v>20661</v>
      </c>
      <c r="H3657" t="s">
        <v>3919</v>
      </c>
      <c r="I3657" t="s">
        <v>3469</v>
      </c>
      <c r="J3657">
        <v>6</v>
      </c>
      <c r="K3657" t="s">
        <v>3872</v>
      </c>
      <c r="L3657">
        <v>52.74</v>
      </c>
      <c r="M3657">
        <v>8.7899999999999991</v>
      </c>
      <c r="N3657" t="s">
        <v>3469</v>
      </c>
      <c r="O3657" t="s">
        <v>461</v>
      </c>
    </row>
    <row r="3658" spans="1:15" x14ac:dyDescent="0.3">
      <c r="A3658">
        <v>191084</v>
      </c>
      <c r="B3658">
        <v>116</v>
      </c>
      <c r="C3658" t="s">
        <v>568</v>
      </c>
      <c r="D3658" t="s">
        <v>2277</v>
      </c>
      <c r="E3658" t="s">
        <v>3190</v>
      </c>
      <c r="F3658" s="452">
        <v>46029</v>
      </c>
      <c r="G3658">
        <v>20729</v>
      </c>
      <c r="H3658" t="s">
        <v>3965</v>
      </c>
      <c r="I3658" t="s">
        <v>3469</v>
      </c>
      <c r="J3658">
        <v>3</v>
      </c>
      <c r="K3658" t="s">
        <v>3966</v>
      </c>
      <c r="L3658">
        <v>197.64</v>
      </c>
      <c r="M3658">
        <v>65.88</v>
      </c>
      <c r="N3658" t="s">
        <v>3469</v>
      </c>
      <c r="O3658" t="s">
        <v>461</v>
      </c>
    </row>
    <row r="3659" spans="1:15" x14ac:dyDescent="0.3">
      <c r="A3659">
        <v>191084</v>
      </c>
      <c r="B3659">
        <v>116</v>
      </c>
      <c r="C3659" t="s">
        <v>568</v>
      </c>
      <c r="D3659" t="s">
        <v>2277</v>
      </c>
      <c r="E3659" t="s">
        <v>3190</v>
      </c>
      <c r="F3659" s="452">
        <v>46029</v>
      </c>
      <c r="G3659">
        <v>21024</v>
      </c>
      <c r="H3659" t="s">
        <v>4180</v>
      </c>
      <c r="I3659" t="s">
        <v>3469</v>
      </c>
      <c r="J3659">
        <v>2</v>
      </c>
      <c r="K3659" t="s">
        <v>3966</v>
      </c>
      <c r="L3659">
        <v>351.54</v>
      </c>
      <c r="M3659">
        <v>175.77</v>
      </c>
      <c r="N3659" t="s">
        <v>3469</v>
      </c>
      <c r="O3659" t="s">
        <v>461</v>
      </c>
    </row>
    <row r="3660" spans="1:15" x14ac:dyDescent="0.3">
      <c r="A3660">
        <v>191084</v>
      </c>
      <c r="B3660">
        <v>116</v>
      </c>
      <c r="C3660" t="s">
        <v>568</v>
      </c>
      <c r="D3660" t="s">
        <v>2277</v>
      </c>
      <c r="E3660" t="s">
        <v>3190</v>
      </c>
      <c r="F3660" s="452">
        <v>46029</v>
      </c>
      <c r="G3660">
        <v>20287</v>
      </c>
      <c r="H3660" t="s">
        <v>4053</v>
      </c>
      <c r="I3660" t="s">
        <v>3469</v>
      </c>
      <c r="J3660">
        <v>1</v>
      </c>
      <c r="K3660" t="s">
        <v>4197</v>
      </c>
      <c r="L3660">
        <v>24.85</v>
      </c>
      <c r="M3660">
        <v>24.85</v>
      </c>
      <c r="N3660" t="s">
        <v>3469</v>
      </c>
      <c r="O3660" t="s">
        <v>461</v>
      </c>
    </row>
    <row r="3661" spans="1:15" x14ac:dyDescent="0.3">
      <c r="A3661">
        <v>191084</v>
      </c>
      <c r="B3661">
        <v>116</v>
      </c>
      <c r="C3661" t="s">
        <v>568</v>
      </c>
      <c r="D3661" t="s">
        <v>2277</v>
      </c>
      <c r="E3661" t="s">
        <v>3190</v>
      </c>
      <c r="F3661" s="452">
        <v>46029</v>
      </c>
      <c r="G3661">
        <v>21030</v>
      </c>
      <c r="H3661" t="s">
        <v>3890</v>
      </c>
      <c r="I3661" t="s">
        <v>3469</v>
      </c>
      <c r="J3661">
        <v>6</v>
      </c>
      <c r="K3661" t="s">
        <v>3872</v>
      </c>
      <c r="L3661">
        <v>115.8</v>
      </c>
      <c r="M3661">
        <v>19.3</v>
      </c>
      <c r="N3661" t="s">
        <v>3469</v>
      </c>
      <c r="O3661" t="s">
        <v>461</v>
      </c>
    </row>
    <row r="3662" spans="1:15" x14ac:dyDescent="0.3">
      <c r="A3662">
        <v>191084</v>
      </c>
      <c r="B3662">
        <v>116</v>
      </c>
      <c r="C3662" t="s">
        <v>568</v>
      </c>
      <c r="D3662" t="s">
        <v>2277</v>
      </c>
      <c r="E3662" t="s">
        <v>3190</v>
      </c>
      <c r="F3662" s="452">
        <v>46029</v>
      </c>
      <c r="G3662">
        <v>19297</v>
      </c>
      <c r="H3662" t="s">
        <v>3949</v>
      </c>
      <c r="I3662" t="s">
        <v>3469</v>
      </c>
      <c r="J3662">
        <v>7.5</v>
      </c>
      <c r="K3662" t="s">
        <v>3892</v>
      </c>
      <c r="L3662">
        <v>591.75</v>
      </c>
      <c r="M3662">
        <v>78.900000000000006</v>
      </c>
      <c r="N3662" t="s">
        <v>3469</v>
      </c>
      <c r="O3662" t="s">
        <v>461</v>
      </c>
    </row>
    <row r="3663" spans="1:15" x14ac:dyDescent="0.3">
      <c r="A3663">
        <v>191084</v>
      </c>
      <c r="B3663">
        <v>116</v>
      </c>
      <c r="C3663" t="s">
        <v>568</v>
      </c>
      <c r="D3663" t="s">
        <v>2277</v>
      </c>
      <c r="E3663" t="s">
        <v>3190</v>
      </c>
      <c r="F3663" s="452">
        <v>46029</v>
      </c>
      <c r="G3663">
        <v>20752</v>
      </c>
      <c r="H3663" t="s">
        <v>3964</v>
      </c>
      <c r="I3663" t="s">
        <v>3469</v>
      </c>
      <c r="J3663">
        <v>2</v>
      </c>
      <c r="K3663" t="s">
        <v>3886</v>
      </c>
      <c r="L3663">
        <v>217.6</v>
      </c>
      <c r="M3663">
        <v>108.8</v>
      </c>
      <c r="N3663" t="s">
        <v>3469</v>
      </c>
      <c r="O3663" t="s">
        <v>461</v>
      </c>
    </row>
    <row r="3664" spans="1:15" x14ac:dyDescent="0.3">
      <c r="A3664">
        <v>191084</v>
      </c>
      <c r="B3664">
        <v>116</v>
      </c>
      <c r="C3664" t="s">
        <v>568</v>
      </c>
      <c r="D3664" t="s">
        <v>2277</v>
      </c>
      <c r="E3664" t="s">
        <v>3190</v>
      </c>
      <c r="F3664" s="452">
        <v>46029</v>
      </c>
      <c r="G3664">
        <v>24185</v>
      </c>
      <c r="H3664" t="s">
        <v>4040</v>
      </c>
      <c r="I3664" t="s">
        <v>3469</v>
      </c>
      <c r="J3664">
        <v>2</v>
      </c>
      <c r="K3664" t="s">
        <v>3892</v>
      </c>
      <c r="L3664">
        <v>46.2</v>
      </c>
      <c r="M3664">
        <v>23.1</v>
      </c>
      <c r="N3664" t="s">
        <v>3469</v>
      </c>
      <c r="O3664" t="s">
        <v>461</v>
      </c>
    </row>
    <row r="3665" spans="1:15" x14ac:dyDescent="0.3">
      <c r="A3665">
        <v>191084</v>
      </c>
      <c r="B3665">
        <v>116</v>
      </c>
      <c r="C3665" t="s">
        <v>568</v>
      </c>
      <c r="D3665" t="s">
        <v>2277</v>
      </c>
      <c r="E3665" t="s">
        <v>3190</v>
      </c>
      <c r="F3665" s="452">
        <v>46029</v>
      </c>
      <c r="G3665">
        <v>27472</v>
      </c>
      <c r="H3665" t="s">
        <v>4146</v>
      </c>
      <c r="I3665" t="s">
        <v>3469</v>
      </c>
      <c r="J3665">
        <v>2</v>
      </c>
      <c r="K3665" t="s">
        <v>3872</v>
      </c>
      <c r="L3665">
        <v>33.44</v>
      </c>
      <c r="M3665">
        <v>16.72</v>
      </c>
      <c r="N3665" t="s">
        <v>3469</v>
      </c>
      <c r="O3665" t="s">
        <v>461</v>
      </c>
    </row>
    <row r="3666" spans="1:15" x14ac:dyDescent="0.3">
      <c r="A3666">
        <v>191084</v>
      </c>
      <c r="B3666">
        <v>116</v>
      </c>
      <c r="C3666" t="s">
        <v>568</v>
      </c>
      <c r="D3666" t="s">
        <v>2277</v>
      </c>
      <c r="E3666" t="s">
        <v>3190</v>
      </c>
      <c r="F3666" s="452">
        <v>46029</v>
      </c>
      <c r="G3666">
        <v>20984</v>
      </c>
      <c r="H3666" t="s">
        <v>4235</v>
      </c>
      <c r="I3666" t="s">
        <v>3469</v>
      </c>
      <c r="J3666">
        <v>12</v>
      </c>
      <c r="K3666" t="s">
        <v>3931</v>
      </c>
      <c r="L3666">
        <v>109.44</v>
      </c>
      <c r="M3666">
        <v>9.1199999999999992</v>
      </c>
      <c r="N3666" t="s">
        <v>3469</v>
      </c>
      <c r="O3666" t="s">
        <v>461</v>
      </c>
    </row>
    <row r="3667" spans="1:15" x14ac:dyDescent="0.3">
      <c r="A3667">
        <v>191084</v>
      </c>
      <c r="B3667">
        <v>116</v>
      </c>
      <c r="C3667" t="s">
        <v>568</v>
      </c>
      <c r="D3667" t="s">
        <v>2277</v>
      </c>
      <c r="E3667" t="s">
        <v>3190</v>
      </c>
      <c r="F3667" s="452">
        <v>46029</v>
      </c>
      <c r="G3667">
        <v>23982</v>
      </c>
      <c r="H3667" t="s">
        <v>3977</v>
      </c>
      <c r="I3667" t="s">
        <v>3469</v>
      </c>
      <c r="J3667">
        <v>2</v>
      </c>
      <c r="K3667" t="s">
        <v>3978</v>
      </c>
      <c r="L3667">
        <v>481.18</v>
      </c>
      <c r="M3667">
        <v>240.59</v>
      </c>
      <c r="N3667" t="s">
        <v>3469</v>
      </c>
      <c r="O3667" t="s">
        <v>461</v>
      </c>
    </row>
    <row r="3668" spans="1:15" x14ac:dyDescent="0.3">
      <c r="A3668">
        <v>191082</v>
      </c>
      <c r="B3668">
        <v>116</v>
      </c>
      <c r="C3668" t="s">
        <v>568</v>
      </c>
      <c r="D3668" t="s">
        <v>3010</v>
      </c>
      <c r="E3668" t="s">
        <v>3191</v>
      </c>
      <c r="F3668" s="452">
        <v>46028</v>
      </c>
      <c r="G3668">
        <v>24497</v>
      </c>
      <c r="H3668" t="s">
        <v>4214</v>
      </c>
      <c r="I3668" t="s">
        <v>4215</v>
      </c>
      <c r="J3668">
        <v>2</v>
      </c>
      <c r="K3668" t="s">
        <v>3872</v>
      </c>
      <c r="L3668">
        <v>269.10000000000002</v>
      </c>
      <c r="M3668">
        <v>134.55000000000001</v>
      </c>
      <c r="N3668" t="s">
        <v>4239</v>
      </c>
      <c r="O3668" t="s">
        <v>461</v>
      </c>
    </row>
    <row r="3669" spans="1:15" x14ac:dyDescent="0.3">
      <c r="A3669">
        <v>191080</v>
      </c>
      <c r="B3669">
        <v>116</v>
      </c>
      <c r="C3669" t="s">
        <v>568</v>
      </c>
      <c r="D3669" t="s">
        <v>2429</v>
      </c>
      <c r="E3669" t="s">
        <v>3192</v>
      </c>
      <c r="F3669" s="452">
        <v>46028</v>
      </c>
      <c r="G3669">
        <v>19139</v>
      </c>
      <c r="H3669" t="s">
        <v>3887</v>
      </c>
      <c r="I3669" t="s">
        <v>3469</v>
      </c>
      <c r="J3669">
        <v>20</v>
      </c>
      <c r="K3669" t="s">
        <v>3888</v>
      </c>
      <c r="L3669">
        <v>182</v>
      </c>
      <c r="M3669">
        <v>9.1</v>
      </c>
      <c r="N3669" t="s">
        <v>4240</v>
      </c>
      <c r="O3669" t="s">
        <v>461</v>
      </c>
    </row>
    <row r="3670" spans="1:15" x14ac:dyDescent="0.3">
      <c r="A3670">
        <v>191080</v>
      </c>
      <c r="B3670">
        <v>116</v>
      </c>
      <c r="C3670" t="s">
        <v>568</v>
      </c>
      <c r="D3670" t="s">
        <v>2429</v>
      </c>
      <c r="E3670" t="s">
        <v>3192</v>
      </c>
      <c r="F3670" s="452">
        <v>46028</v>
      </c>
      <c r="G3670">
        <v>19264</v>
      </c>
      <c r="H3670" t="s">
        <v>4082</v>
      </c>
      <c r="I3670" t="s">
        <v>3469</v>
      </c>
      <c r="J3670">
        <v>2</v>
      </c>
      <c r="K3670" t="s">
        <v>3888</v>
      </c>
      <c r="L3670">
        <v>152</v>
      </c>
      <c r="M3670">
        <v>76</v>
      </c>
      <c r="N3670" t="s">
        <v>4240</v>
      </c>
      <c r="O3670" t="s">
        <v>461</v>
      </c>
    </row>
    <row r="3671" spans="1:15" x14ac:dyDescent="0.3">
      <c r="A3671">
        <v>191079</v>
      </c>
      <c r="B3671">
        <v>116</v>
      </c>
      <c r="C3671" t="s">
        <v>568</v>
      </c>
      <c r="D3671" t="s">
        <v>2310</v>
      </c>
      <c r="E3671" t="s">
        <v>3193</v>
      </c>
      <c r="F3671" s="452">
        <v>46028</v>
      </c>
      <c r="G3671">
        <v>20117</v>
      </c>
      <c r="H3671" t="s">
        <v>4010</v>
      </c>
      <c r="I3671" t="s">
        <v>3469</v>
      </c>
      <c r="J3671">
        <v>2</v>
      </c>
      <c r="K3671" t="s">
        <v>3872</v>
      </c>
      <c r="L3671">
        <v>81.400000000000006</v>
      </c>
      <c r="M3671">
        <v>40.700000000000003</v>
      </c>
      <c r="N3671" t="s">
        <v>4240</v>
      </c>
      <c r="O3671" t="s">
        <v>461</v>
      </c>
    </row>
    <row r="3672" spans="1:15" x14ac:dyDescent="0.3">
      <c r="A3672">
        <v>191079</v>
      </c>
      <c r="B3672">
        <v>116</v>
      </c>
      <c r="C3672" t="s">
        <v>568</v>
      </c>
      <c r="D3672" t="s">
        <v>2310</v>
      </c>
      <c r="E3672" t="s">
        <v>3193</v>
      </c>
      <c r="F3672" s="452">
        <v>46028</v>
      </c>
      <c r="G3672">
        <v>20755</v>
      </c>
      <c r="H3672" t="s">
        <v>4052</v>
      </c>
      <c r="I3672" t="s">
        <v>3469</v>
      </c>
      <c r="J3672">
        <v>1</v>
      </c>
      <c r="K3672" t="s">
        <v>3966</v>
      </c>
      <c r="L3672">
        <v>115</v>
      </c>
      <c r="M3672">
        <v>115</v>
      </c>
      <c r="N3672" t="s">
        <v>4240</v>
      </c>
      <c r="O3672" t="s">
        <v>461</v>
      </c>
    </row>
    <row r="3673" spans="1:15" x14ac:dyDescent="0.3">
      <c r="A3673">
        <v>191078</v>
      </c>
      <c r="B3673">
        <v>116</v>
      </c>
      <c r="C3673" t="s">
        <v>568</v>
      </c>
      <c r="D3673" t="s">
        <v>2310</v>
      </c>
      <c r="E3673" t="s">
        <v>3194</v>
      </c>
      <c r="F3673" s="452">
        <v>46027</v>
      </c>
      <c r="G3673">
        <v>17397</v>
      </c>
      <c r="H3673" t="s">
        <v>4223</v>
      </c>
      <c r="I3673" t="s">
        <v>4199</v>
      </c>
      <c r="J3673">
        <v>1</v>
      </c>
      <c r="K3673" t="s">
        <v>4224</v>
      </c>
      <c r="L3673">
        <v>31.82</v>
      </c>
      <c r="M3673">
        <v>31.82</v>
      </c>
      <c r="N3673" t="s">
        <v>4405</v>
      </c>
      <c r="O3673" t="s">
        <v>461</v>
      </c>
    </row>
    <row r="3674" spans="1:15" x14ac:dyDescent="0.3">
      <c r="A3674">
        <v>191074</v>
      </c>
      <c r="B3674">
        <v>116</v>
      </c>
      <c r="C3674" t="s">
        <v>568</v>
      </c>
      <c r="D3674" t="s">
        <v>2262</v>
      </c>
      <c r="E3674" t="s">
        <v>3195</v>
      </c>
      <c r="F3674" s="452">
        <v>46029</v>
      </c>
      <c r="G3674">
        <v>24259</v>
      </c>
      <c r="H3674" t="s">
        <v>3895</v>
      </c>
      <c r="I3674" t="s">
        <v>3469</v>
      </c>
      <c r="J3674">
        <v>16.8</v>
      </c>
      <c r="K3674" t="s">
        <v>3892</v>
      </c>
      <c r="L3674">
        <v>1293.43</v>
      </c>
      <c r="M3674">
        <v>76.989880999999997</v>
      </c>
      <c r="N3674" t="s">
        <v>4289</v>
      </c>
      <c r="O3674" t="s">
        <v>461</v>
      </c>
    </row>
    <row r="3675" spans="1:15" x14ac:dyDescent="0.3">
      <c r="A3675">
        <v>191074</v>
      </c>
      <c r="B3675">
        <v>116</v>
      </c>
      <c r="C3675" t="s">
        <v>568</v>
      </c>
      <c r="D3675" t="s">
        <v>2262</v>
      </c>
      <c r="E3675" t="s">
        <v>3195</v>
      </c>
      <c r="F3675" s="452">
        <v>46029</v>
      </c>
      <c r="G3675">
        <v>18818</v>
      </c>
      <c r="H3675" t="s">
        <v>3916</v>
      </c>
      <c r="I3675" t="s">
        <v>3469</v>
      </c>
      <c r="J3675">
        <v>10.7</v>
      </c>
      <c r="K3675" t="s">
        <v>3892</v>
      </c>
      <c r="L3675">
        <v>350.96</v>
      </c>
      <c r="M3675">
        <v>32.799999999999997</v>
      </c>
      <c r="N3675" t="s">
        <v>4289</v>
      </c>
      <c r="O3675" t="s">
        <v>461</v>
      </c>
    </row>
    <row r="3676" spans="1:15" x14ac:dyDescent="0.3">
      <c r="A3676">
        <v>191074</v>
      </c>
      <c r="B3676">
        <v>116</v>
      </c>
      <c r="C3676" t="s">
        <v>568</v>
      </c>
      <c r="D3676" t="s">
        <v>2262</v>
      </c>
      <c r="E3676" t="s">
        <v>3195</v>
      </c>
      <c r="F3676" s="452">
        <v>46029</v>
      </c>
      <c r="G3676">
        <v>18996</v>
      </c>
      <c r="H3676" t="s">
        <v>3946</v>
      </c>
      <c r="I3676" t="s">
        <v>3469</v>
      </c>
      <c r="J3676">
        <v>5.6</v>
      </c>
      <c r="K3676" t="s">
        <v>3892</v>
      </c>
      <c r="L3676">
        <v>98</v>
      </c>
      <c r="M3676">
        <v>17.5</v>
      </c>
      <c r="N3676" t="s">
        <v>4289</v>
      </c>
      <c r="O3676" t="s">
        <v>461</v>
      </c>
    </row>
    <row r="3677" spans="1:15" x14ac:dyDescent="0.3">
      <c r="A3677">
        <v>191074</v>
      </c>
      <c r="B3677">
        <v>116</v>
      </c>
      <c r="C3677" t="s">
        <v>568</v>
      </c>
      <c r="D3677" t="s">
        <v>2262</v>
      </c>
      <c r="E3677" t="s">
        <v>3195</v>
      </c>
      <c r="F3677" s="452">
        <v>46029</v>
      </c>
      <c r="G3677">
        <v>24402</v>
      </c>
      <c r="H3677" t="s">
        <v>3896</v>
      </c>
      <c r="I3677" t="s">
        <v>3469</v>
      </c>
      <c r="J3677">
        <v>12</v>
      </c>
      <c r="K3677" t="s">
        <v>3892</v>
      </c>
      <c r="L3677">
        <v>446.4</v>
      </c>
      <c r="M3677">
        <v>37.200000000000003</v>
      </c>
      <c r="N3677" t="s">
        <v>4289</v>
      </c>
      <c r="O3677" t="s">
        <v>461</v>
      </c>
    </row>
    <row r="3678" spans="1:15" x14ac:dyDescent="0.3">
      <c r="A3678">
        <v>191074</v>
      </c>
      <c r="B3678">
        <v>116</v>
      </c>
      <c r="C3678" t="s">
        <v>568</v>
      </c>
      <c r="D3678" t="s">
        <v>2262</v>
      </c>
      <c r="E3678" t="s">
        <v>3195</v>
      </c>
      <c r="F3678" s="452">
        <v>46029</v>
      </c>
      <c r="G3678">
        <v>24388</v>
      </c>
      <c r="H3678" t="s">
        <v>3915</v>
      </c>
      <c r="I3678" t="s">
        <v>3469</v>
      </c>
      <c r="J3678">
        <v>6.4</v>
      </c>
      <c r="K3678" t="s">
        <v>3892</v>
      </c>
      <c r="L3678">
        <v>191.36</v>
      </c>
      <c r="M3678">
        <v>29.9</v>
      </c>
      <c r="N3678" t="s">
        <v>4289</v>
      </c>
      <c r="O3678" t="s">
        <v>461</v>
      </c>
    </row>
    <row r="3679" spans="1:15" x14ac:dyDescent="0.3">
      <c r="A3679">
        <v>191074</v>
      </c>
      <c r="B3679">
        <v>116</v>
      </c>
      <c r="C3679" t="s">
        <v>568</v>
      </c>
      <c r="D3679" t="s">
        <v>2262</v>
      </c>
      <c r="E3679" t="s">
        <v>3195</v>
      </c>
      <c r="F3679" s="452">
        <v>46029</v>
      </c>
      <c r="G3679">
        <v>20501</v>
      </c>
      <c r="H3679" t="s">
        <v>4219</v>
      </c>
      <c r="I3679" t="s">
        <v>3469</v>
      </c>
      <c r="J3679">
        <v>5</v>
      </c>
      <c r="K3679" t="s">
        <v>3892</v>
      </c>
      <c r="L3679">
        <v>109.5</v>
      </c>
      <c r="M3679">
        <v>21.9</v>
      </c>
      <c r="N3679" t="s">
        <v>4289</v>
      </c>
      <c r="O3679" t="s">
        <v>461</v>
      </c>
    </row>
    <row r="3680" spans="1:15" x14ac:dyDescent="0.3">
      <c r="A3680">
        <v>191072</v>
      </c>
      <c r="B3680">
        <v>116</v>
      </c>
      <c r="C3680" t="s">
        <v>568</v>
      </c>
      <c r="D3680" t="s">
        <v>3122</v>
      </c>
      <c r="E3680" t="s">
        <v>3196</v>
      </c>
      <c r="F3680" s="452">
        <v>46028</v>
      </c>
      <c r="G3680">
        <v>17129</v>
      </c>
      <c r="H3680" t="s">
        <v>4200</v>
      </c>
      <c r="I3680" t="s">
        <v>4199</v>
      </c>
      <c r="J3680">
        <v>1</v>
      </c>
      <c r="K3680" t="s">
        <v>3888</v>
      </c>
      <c r="L3680">
        <v>27.9</v>
      </c>
      <c r="M3680">
        <v>27.9</v>
      </c>
      <c r="N3680" t="s">
        <v>2176</v>
      </c>
      <c r="O3680" t="s">
        <v>461</v>
      </c>
    </row>
    <row r="3681" spans="1:15" x14ac:dyDescent="0.3">
      <c r="A3681">
        <v>191072</v>
      </c>
      <c r="B3681">
        <v>116</v>
      </c>
      <c r="C3681" t="s">
        <v>568</v>
      </c>
      <c r="D3681" t="s">
        <v>3122</v>
      </c>
      <c r="E3681" t="s">
        <v>3196</v>
      </c>
      <c r="F3681" s="452">
        <v>46028</v>
      </c>
      <c r="G3681">
        <v>17190</v>
      </c>
      <c r="H3681" t="s">
        <v>4271</v>
      </c>
      <c r="I3681" t="s">
        <v>4199</v>
      </c>
      <c r="J3681">
        <v>5</v>
      </c>
      <c r="K3681" t="s">
        <v>3888</v>
      </c>
      <c r="L3681">
        <v>38</v>
      </c>
      <c r="M3681">
        <v>7.6</v>
      </c>
      <c r="N3681" t="s">
        <v>2176</v>
      </c>
      <c r="O3681" t="s">
        <v>461</v>
      </c>
    </row>
    <row r="3682" spans="1:15" x14ac:dyDescent="0.3">
      <c r="A3682">
        <v>191072</v>
      </c>
      <c r="B3682">
        <v>116</v>
      </c>
      <c r="C3682" t="s">
        <v>568</v>
      </c>
      <c r="D3682" t="s">
        <v>3122</v>
      </c>
      <c r="E3682" t="s">
        <v>3196</v>
      </c>
      <c r="F3682" s="452">
        <v>46028</v>
      </c>
      <c r="G3682">
        <v>17215</v>
      </c>
      <c r="H3682" t="s">
        <v>4283</v>
      </c>
      <c r="I3682" t="s">
        <v>4199</v>
      </c>
      <c r="J3682">
        <v>4</v>
      </c>
      <c r="K3682" t="s">
        <v>3978</v>
      </c>
      <c r="L3682">
        <v>87.6</v>
      </c>
      <c r="M3682">
        <v>21.9</v>
      </c>
      <c r="N3682" t="s">
        <v>2176</v>
      </c>
      <c r="O3682" t="s">
        <v>461</v>
      </c>
    </row>
    <row r="3683" spans="1:15" x14ac:dyDescent="0.3">
      <c r="A3683">
        <v>191072</v>
      </c>
      <c r="B3683">
        <v>116</v>
      </c>
      <c r="C3683" t="s">
        <v>568</v>
      </c>
      <c r="D3683" t="s">
        <v>3122</v>
      </c>
      <c r="E3683" t="s">
        <v>3196</v>
      </c>
      <c r="F3683" s="452">
        <v>46028</v>
      </c>
      <c r="G3683">
        <v>17362</v>
      </c>
      <c r="H3683" t="s">
        <v>4278</v>
      </c>
      <c r="I3683" t="s">
        <v>4199</v>
      </c>
      <c r="J3683">
        <v>1</v>
      </c>
      <c r="K3683" t="s">
        <v>3888</v>
      </c>
      <c r="L3683">
        <v>31.9</v>
      </c>
      <c r="M3683">
        <v>31.9</v>
      </c>
      <c r="N3683" t="s">
        <v>2176</v>
      </c>
      <c r="O3683" t="s">
        <v>461</v>
      </c>
    </row>
    <row r="3684" spans="1:15" x14ac:dyDescent="0.3">
      <c r="A3684">
        <v>191072</v>
      </c>
      <c r="B3684">
        <v>116</v>
      </c>
      <c r="C3684" t="s">
        <v>568</v>
      </c>
      <c r="D3684" t="s">
        <v>3122</v>
      </c>
      <c r="E3684" t="s">
        <v>3196</v>
      </c>
      <c r="F3684" s="452">
        <v>46028</v>
      </c>
      <c r="G3684">
        <v>28367</v>
      </c>
      <c r="H3684" t="s">
        <v>4420</v>
      </c>
      <c r="I3684" t="s">
        <v>4199</v>
      </c>
      <c r="J3684">
        <v>1</v>
      </c>
      <c r="K3684" t="s">
        <v>4203</v>
      </c>
      <c r="L3684">
        <v>19.899999999999999</v>
      </c>
      <c r="M3684">
        <v>19.899999999999999</v>
      </c>
      <c r="N3684" t="s">
        <v>2176</v>
      </c>
      <c r="O3684" t="s">
        <v>461</v>
      </c>
    </row>
    <row r="3685" spans="1:15" x14ac:dyDescent="0.3">
      <c r="A3685">
        <v>191071</v>
      </c>
      <c r="B3685">
        <v>116</v>
      </c>
      <c r="C3685" t="s">
        <v>568</v>
      </c>
      <c r="D3685" t="s">
        <v>2265</v>
      </c>
      <c r="E3685" t="s">
        <v>3197</v>
      </c>
      <c r="F3685" s="452">
        <v>46029</v>
      </c>
      <c r="G3685">
        <v>17437</v>
      </c>
      <c r="H3685" t="s">
        <v>4198</v>
      </c>
      <c r="I3685" t="s">
        <v>4199</v>
      </c>
      <c r="J3685">
        <v>10</v>
      </c>
      <c r="K3685" t="s">
        <v>3872</v>
      </c>
      <c r="L3685">
        <v>25</v>
      </c>
      <c r="M3685">
        <v>2.5</v>
      </c>
      <c r="N3685" t="s">
        <v>2176</v>
      </c>
      <c r="O3685" t="s">
        <v>461</v>
      </c>
    </row>
    <row r="3686" spans="1:15" x14ac:dyDescent="0.3">
      <c r="A3686">
        <v>191071</v>
      </c>
      <c r="B3686">
        <v>116</v>
      </c>
      <c r="C3686" t="s">
        <v>568</v>
      </c>
      <c r="D3686" t="s">
        <v>2265</v>
      </c>
      <c r="E3686" t="s">
        <v>3197</v>
      </c>
      <c r="F3686" s="452">
        <v>46029</v>
      </c>
      <c r="G3686">
        <v>17162</v>
      </c>
      <c r="H3686" t="s">
        <v>4209</v>
      </c>
      <c r="I3686" t="s">
        <v>4199</v>
      </c>
      <c r="J3686">
        <v>1</v>
      </c>
      <c r="K3686" t="s">
        <v>3872</v>
      </c>
      <c r="L3686">
        <v>55</v>
      </c>
      <c r="M3686">
        <v>55</v>
      </c>
      <c r="N3686" t="s">
        <v>2176</v>
      </c>
      <c r="O3686" t="s">
        <v>461</v>
      </c>
    </row>
    <row r="3687" spans="1:15" x14ac:dyDescent="0.3">
      <c r="A3687">
        <v>191071</v>
      </c>
      <c r="B3687">
        <v>116</v>
      </c>
      <c r="C3687" t="s">
        <v>568</v>
      </c>
      <c r="D3687" t="s">
        <v>2265</v>
      </c>
      <c r="E3687" t="s">
        <v>3197</v>
      </c>
      <c r="F3687" s="452">
        <v>46029</v>
      </c>
      <c r="G3687">
        <v>17314</v>
      </c>
      <c r="H3687" t="s">
        <v>4204</v>
      </c>
      <c r="I3687" t="s">
        <v>4199</v>
      </c>
      <c r="J3687">
        <v>1</v>
      </c>
      <c r="K3687" t="s">
        <v>3978</v>
      </c>
      <c r="L3687">
        <v>6.1</v>
      </c>
      <c r="M3687">
        <v>6.1</v>
      </c>
      <c r="N3687" t="s">
        <v>2176</v>
      </c>
      <c r="O3687" t="s">
        <v>461</v>
      </c>
    </row>
    <row r="3688" spans="1:15" x14ac:dyDescent="0.3">
      <c r="A3688">
        <v>191071</v>
      </c>
      <c r="B3688">
        <v>116</v>
      </c>
      <c r="C3688" t="s">
        <v>568</v>
      </c>
      <c r="D3688" t="s">
        <v>2265</v>
      </c>
      <c r="E3688" t="s">
        <v>3197</v>
      </c>
      <c r="F3688" s="452">
        <v>46029</v>
      </c>
      <c r="G3688">
        <v>17304</v>
      </c>
      <c r="H3688" t="s">
        <v>4206</v>
      </c>
      <c r="I3688" t="s">
        <v>4199</v>
      </c>
      <c r="J3688">
        <v>1</v>
      </c>
      <c r="K3688" t="s">
        <v>3978</v>
      </c>
      <c r="L3688">
        <v>7.1</v>
      </c>
      <c r="M3688">
        <v>7.1</v>
      </c>
      <c r="N3688" t="s">
        <v>2176</v>
      </c>
      <c r="O3688" t="s">
        <v>461</v>
      </c>
    </row>
    <row r="3689" spans="1:15" x14ac:dyDescent="0.3">
      <c r="A3689">
        <v>191071</v>
      </c>
      <c r="B3689">
        <v>116</v>
      </c>
      <c r="C3689" t="s">
        <v>568</v>
      </c>
      <c r="D3689" t="s">
        <v>2265</v>
      </c>
      <c r="E3689" t="s">
        <v>3197</v>
      </c>
      <c r="F3689" s="452">
        <v>46029</v>
      </c>
      <c r="G3689">
        <v>17266</v>
      </c>
      <c r="H3689" t="s">
        <v>4229</v>
      </c>
      <c r="I3689" t="s">
        <v>4199</v>
      </c>
      <c r="J3689">
        <v>12</v>
      </c>
      <c r="K3689" t="s">
        <v>3872</v>
      </c>
      <c r="L3689">
        <v>60.96</v>
      </c>
      <c r="M3689">
        <v>5.08</v>
      </c>
      <c r="N3689" t="s">
        <v>2176</v>
      </c>
      <c r="O3689" t="s">
        <v>461</v>
      </c>
    </row>
    <row r="3690" spans="1:15" x14ac:dyDescent="0.3">
      <c r="A3690">
        <v>191071</v>
      </c>
      <c r="B3690">
        <v>116</v>
      </c>
      <c r="C3690" t="s">
        <v>568</v>
      </c>
      <c r="D3690" t="s">
        <v>2265</v>
      </c>
      <c r="E3690" t="s">
        <v>3197</v>
      </c>
      <c r="F3690" s="452">
        <v>46029</v>
      </c>
      <c r="G3690">
        <v>17498</v>
      </c>
      <c r="H3690" t="s">
        <v>4243</v>
      </c>
      <c r="I3690" t="s">
        <v>4199</v>
      </c>
      <c r="J3690">
        <v>1</v>
      </c>
      <c r="K3690" t="s">
        <v>3881</v>
      </c>
      <c r="L3690">
        <v>23.9</v>
      </c>
      <c r="M3690">
        <v>23.9</v>
      </c>
      <c r="N3690" t="s">
        <v>2176</v>
      </c>
      <c r="O3690" t="s">
        <v>461</v>
      </c>
    </row>
    <row r="3691" spans="1:15" x14ac:dyDescent="0.3">
      <c r="A3691">
        <v>191071</v>
      </c>
      <c r="B3691">
        <v>116</v>
      </c>
      <c r="C3691" t="s">
        <v>568</v>
      </c>
      <c r="D3691" t="s">
        <v>2265</v>
      </c>
      <c r="E3691" t="s">
        <v>3197</v>
      </c>
      <c r="F3691" s="452">
        <v>46029</v>
      </c>
      <c r="G3691">
        <v>17444</v>
      </c>
      <c r="H3691" t="s">
        <v>4211</v>
      </c>
      <c r="I3691" t="s">
        <v>4199</v>
      </c>
      <c r="J3691">
        <v>1</v>
      </c>
      <c r="K3691" t="s">
        <v>3888</v>
      </c>
      <c r="L3691">
        <v>10.5</v>
      </c>
      <c r="M3691">
        <v>10.5</v>
      </c>
      <c r="N3691" t="s">
        <v>2176</v>
      </c>
      <c r="O3691" t="s">
        <v>461</v>
      </c>
    </row>
    <row r="3692" spans="1:15" x14ac:dyDescent="0.3">
      <c r="A3692">
        <v>191071</v>
      </c>
      <c r="B3692">
        <v>116</v>
      </c>
      <c r="C3692" t="s">
        <v>568</v>
      </c>
      <c r="D3692" t="s">
        <v>2265</v>
      </c>
      <c r="E3692" t="s">
        <v>3197</v>
      </c>
      <c r="F3692" s="452">
        <v>46029</v>
      </c>
      <c r="G3692">
        <v>17425</v>
      </c>
      <c r="H3692" t="s">
        <v>4421</v>
      </c>
      <c r="I3692" t="s">
        <v>4199</v>
      </c>
      <c r="J3692">
        <v>4</v>
      </c>
      <c r="K3692" t="s">
        <v>3881</v>
      </c>
      <c r="L3692">
        <v>220</v>
      </c>
      <c r="M3692">
        <v>55</v>
      </c>
      <c r="N3692" t="s">
        <v>2176</v>
      </c>
      <c r="O3692" t="s">
        <v>461</v>
      </c>
    </row>
    <row r="3693" spans="1:15" x14ac:dyDescent="0.3">
      <c r="A3693">
        <v>191070</v>
      </c>
      <c r="B3693">
        <v>116</v>
      </c>
      <c r="C3693" t="s">
        <v>568</v>
      </c>
      <c r="D3693" t="s">
        <v>2265</v>
      </c>
      <c r="E3693" t="s">
        <v>3198</v>
      </c>
      <c r="F3693" s="452">
        <v>46027</v>
      </c>
      <c r="G3693">
        <v>17264</v>
      </c>
      <c r="H3693" t="s">
        <v>4248</v>
      </c>
      <c r="I3693" t="s">
        <v>4199</v>
      </c>
      <c r="J3693">
        <v>24</v>
      </c>
      <c r="K3693" t="s">
        <v>3872</v>
      </c>
      <c r="L3693">
        <v>143.76</v>
      </c>
      <c r="M3693">
        <v>5.99</v>
      </c>
      <c r="N3693" t="s">
        <v>4405</v>
      </c>
      <c r="O3693" t="s">
        <v>461</v>
      </c>
    </row>
    <row r="3694" spans="1:15" x14ac:dyDescent="0.3">
      <c r="A3694">
        <v>191067</v>
      </c>
      <c r="B3694">
        <v>116</v>
      </c>
      <c r="C3694" t="s">
        <v>568</v>
      </c>
      <c r="D3694" t="s">
        <v>2318</v>
      </c>
      <c r="E3694" t="s">
        <v>3199</v>
      </c>
      <c r="F3694" s="452">
        <v>46027</v>
      </c>
      <c r="G3694">
        <v>18764</v>
      </c>
      <c r="H3694" t="s">
        <v>3907</v>
      </c>
      <c r="I3694" t="s">
        <v>3469</v>
      </c>
      <c r="J3694">
        <v>12</v>
      </c>
      <c r="L3694">
        <v>958.8</v>
      </c>
      <c r="M3694">
        <v>79.900000000000006</v>
      </c>
      <c r="N3694" t="s">
        <v>4289</v>
      </c>
      <c r="O3694" t="s">
        <v>461</v>
      </c>
    </row>
    <row r="3695" spans="1:15" x14ac:dyDescent="0.3">
      <c r="A3695">
        <v>191059</v>
      </c>
      <c r="B3695">
        <v>116</v>
      </c>
      <c r="C3695" t="s">
        <v>568</v>
      </c>
      <c r="D3695" t="s">
        <v>2267</v>
      </c>
      <c r="E3695" t="s">
        <v>3200</v>
      </c>
      <c r="F3695" s="452">
        <v>46028</v>
      </c>
      <c r="G3695">
        <v>24517</v>
      </c>
      <c r="H3695" t="s">
        <v>3991</v>
      </c>
      <c r="I3695" t="s">
        <v>3469</v>
      </c>
      <c r="J3695">
        <v>12</v>
      </c>
      <c r="K3695" t="s">
        <v>3892</v>
      </c>
      <c r="L3695">
        <v>335.88</v>
      </c>
      <c r="M3695">
        <v>27.99</v>
      </c>
      <c r="N3695" t="s">
        <v>4240</v>
      </c>
      <c r="O3695" t="s">
        <v>461</v>
      </c>
    </row>
    <row r="3696" spans="1:15" x14ac:dyDescent="0.3">
      <c r="A3696">
        <v>191059</v>
      </c>
      <c r="B3696">
        <v>116</v>
      </c>
      <c r="C3696" t="s">
        <v>568</v>
      </c>
      <c r="D3696" t="s">
        <v>2267</v>
      </c>
      <c r="E3696" t="s">
        <v>3200</v>
      </c>
      <c r="F3696" s="452">
        <v>46028</v>
      </c>
      <c r="G3696">
        <v>18682</v>
      </c>
      <c r="H3696" t="s">
        <v>4025</v>
      </c>
      <c r="I3696" t="s">
        <v>3469</v>
      </c>
      <c r="J3696">
        <v>7</v>
      </c>
      <c r="K3696" t="s">
        <v>3892</v>
      </c>
      <c r="L3696">
        <v>195.93</v>
      </c>
      <c r="M3696">
        <v>27.99</v>
      </c>
      <c r="N3696" t="s">
        <v>4240</v>
      </c>
      <c r="O3696" t="s">
        <v>461</v>
      </c>
    </row>
    <row r="3697" spans="1:15" x14ac:dyDescent="0.3">
      <c r="A3697">
        <v>191059</v>
      </c>
      <c r="B3697">
        <v>116</v>
      </c>
      <c r="C3697" t="s">
        <v>568</v>
      </c>
      <c r="D3697" t="s">
        <v>2267</v>
      </c>
      <c r="E3697" t="s">
        <v>3200</v>
      </c>
      <c r="F3697" s="452">
        <v>46028</v>
      </c>
      <c r="G3697">
        <v>18696</v>
      </c>
      <c r="H3697" t="s">
        <v>3956</v>
      </c>
      <c r="I3697" t="s">
        <v>3469</v>
      </c>
      <c r="J3697">
        <v>5</v>
      </c>
      <c r="K3697" t="s">
        <v>3892</v>
      </c>
      <c r="L3697">
        <v>89.95</v>
      </c>
      <c r="M3697">
        <v>17.989999999999998</v>
      </c>
      <c r="N3697" t="s">
        <v>4240</v>
      </c>
      <c r="O3697" t="s">
        <v>461</v>
      </c>
    </row>
    <row r="3698" spans="1:15" x14ac:dyDescent="0.3">
      <c r="A3698">
        <v>191056</v>
      </c>
      <c r="B3698">
        <v>116</v>
      </c>
      <c r="C3698" t="s">
        <v>568</v>
      </c>
      <c r="D3698" t="s">
        <v>2267</v>
      </c>
      <c r="E3698" t="s">
        <v>3201</v>
      </c>
      <c r="F3698" s="452">
        <v>46024</v>
      </c>
      <c r="G3698">
        <v>18682</v>
      </c>
      <c r="H3698" t="s">
        <v>4025</v>
      </c>
      <c r="I3698" t="s">
        <v>3469</v>
      </c>
      <c r="J3698">
        <v>6</v>
      </c>
      <c r="K3698" t="s">
        <v>3892</v>
      </c>
      <c r="L3698">
        <v>167.94</v>
      </c>
      <c r="M3698">
        <v>27.99</v>
      </c>
      <c r="N3698" t="s">
        <v>4240</v>
      </c>
      <c r="O3698" t="s">
        <v>461</v>
      </c>
    </row>
    <row r="3699" spans="1:15" x14ac:dyDescent="0.3">
      <c r="A3699">
        <v>191056</v>
      </c>
      <c r="B3699">
        <v>116</v>
      </c>
      <c r="C3699" t="s">
        <v>568</v>
      </c>
      <c r="D3699" t="s">
        <v>2267</v>
      </c>
      <c r="E3699" t="s">
        <v>3201</v>
      </c>
      <c r="F3699" s="452">
        <v>46024</v>
      </c>
      <c r="G3699">
        <v>18696</v>
      </c>
      <c r="H3699" t="s">
        <v>3956</v>
      </c>
      <c r="I3699" t="s">
        <v>3469</v>
      </c>
      <c r="J3699">
        <v>6</v>
      </c>
      <c r="K3699" t="s">
        <v>3892</v>
      </c>
      <c r="L3699">
        <v>107.94</v>
      </c>
      <c r="M3699">
        <v>17.989999999999998</v>
      </c>
      <c r="N3699" t="s">
        <v>4240</v>
      </c>
      <c r="O3699" t="s">
        <v>461</v>
      </c>
    </row>
    <row r="3700" spans="1:15" x14ac:dyDescent="0.3">
      <c r="A3700">
        <v>191055</v>
      </c>
      <c r="B3700">
        <v>116</v>
      </c>
      <c r="C3700" t="s">
        <v>568</v>
      </c>
      <c r="D3700" t="s">
        <v>2260</v>
      </c>
      <c r="E3700" t="s">
        <v>3202</v>
      </c>
      <c r="F3700" s="452">
        <v>46028</v>
      </c>
      <c r="G3700">
        <v>24072</v>
      </c>
      <c r="H3700" t="s">
        <v>4002</v>
      </c>
      <c r="I3700" t="s">
        <v>3469</v>
      </c>
      <c r="J3700">
        <v>3.1</v>
      </c>
      <c r="K3700" t="s">
        <v>3892</v>
      </c>
      <c r="L3700">
        <v>682</v>
      </c>
      <c r="M3700">
        <v>220</v>
      </c>
      <c r="N3700" t="s">
        <v>3469</v>
      </c>
      <c r="O3700" t="s">
        <v>461</v>
      </c>
    </row>
    <row r="3701" spans="1:15" x14ac:dyDescent="0.3">
      <c r="A3701">
        <v>191055</v>
      </c>
      <c r="B3701">
        <v>116</v>
      </c>
      <c r="C3701" t="s">
        <v>568</v>
      </c>
      <c r="D3701" t="s">
        <v>2260</v>
      </c>
      <c r="E3701" t="s">
        <v>3202</v>
      </c>
      <c r="F3701" s="452">
        <v>46028</v>
      </c>
      <c r="G3701">
        <v>22734</v>
      </c>
      <c r="H3701" t="s">
        <v>3955</v>
      </c>
      <c r="I3701" t="s">
        <v>3469</v>
      </c>
      <c r="J3701">
        <v>10</v>
      </c>
      <c r="K3701" t="s">
        <v>3892</v>
      </c>
      <c r="L3701">
        <v>990</v>
      </c>
      <c r="M3701">
        <v>99</v>
      </c>
      <c r="N3701" t="s">
        <v>3469</v>
      </c>
      <c r="O3701" t="s">
        <v>461</v>
      </c>
    </row>
    <row r="3702" spans="1:15" x14ac:dyDescent="0.3">
      <c r="A3702">
        <v>191052</v>
      </c>
      <c r="B3702">
        <v>116</v>
      </c>
      <c r="C3702" t="s">
        <v>568</v>
      </c>
      <c r="D3702" t="s">
        <v>2260</v>
      </c>
      <c r="E3702" t="s">
        <v>3203</v>
      </c>
      <c r="F3702" s="452">
        <v>46028</v>
      </c>
      <c r="G3702">
        <v>18685</v>
      </c>
      <c r="H3702" t="s">
        <v>3945</v>
      </c>
      <c r="I3702" t="s">
        <v>3469</v>
      </c>
      <c r="J3702">
        <v>6.4</v>
      </c>
      <c r="K3702" t="s">
        <v>4197</v>
      </c>
      <c r="L3702">
        <v>249.6</v>
      </c>
      <c r="M3702">
        <v>39</v>
      </c>
      <c r="N3702" t="s">
        <v>4240</v>
      </c>
      <c r="O3702" t="s">
        <v>461</v>
      </c>
    </row>
    <row r="3703" spans="1:15" x14ac:dyDescent="0.3">
      <c r="A3703">
        <v>191052</v>
      </c>
      <c r="B3703">
        <v>116</v>
      </c>
      <c r="C3703" t="s">
        <v>568</v>
      </c>
      <c r="D3703" t="s">
        <v>2260</v>
      </c>
      <c r="E3703" t="s">
        <v>3203</v>
      </c>
      <c r="F3703" s="452">
        <v>46028</v>
      </c>
      <c r="G3703">
        <v>24200</v>
      </c>
      <c r="H3703" t="s">
        <v>3975</v>
      </c>
      <c r="I3703" t="s">
        <v>3469</v>
      </c>
      <c r="J3703">
        <v>5.7</v>
      </c>
      <c r="K3703" t="s">
        <v>3892</v>
      </c>
      <c r="L3703">
        <v>187.53</v>
      </c>
      <c r="M3703">
        <v>32.9</v>
      </c>
      <c r="N3703" t="s">
        <v>4240</v>
      </c>
      <c r="O3703" t="s">
        <v>461</v>
      </c>
    </row>
    <row r="3704" spans="1:15" x14ac:dyDescent="0.3">
      <c r="A3704">
        <v>191052</v>
      </c>
      <c r="B3704">
        <v>116</v>
      </c>
      <c r="C3704" t="s">
        <v>568</v>
      </c>
      <c r="D3704" t="s">
        <v>2260</v>
      </c>
      <c r="E3704" t="s">
        <v>3203</v>
      </c>
      <c r="F3704" s="452">
        <v>46028</v>
      </c>
      <c r="G3704">
        <v>27884</v>
      </c>
      <c r="H3704" t="s">
        <v>3910</v>
      </c>
      <c r="I3704" t="s">
        <v>3469</v>
      </c>
      <c r="J3704">
        <v>6.1</v>
      </c>
      <c r="K3704" t="s">
        <v>3892</v>
      </c>
      <c r="L3704">
        <v>396.5</v>
      </c>
      <c r="M3704">
        <v>65</v>
      </c>
      <c r="N3704" t="s">
        <v>4240</v>
      </c>
      <c r="O3704" t="s">
        <v>461</v>
      </c>
    </row>
    <row r="3705" spans="1:15" x14ac:dyDescent="0.3">
      <c r="A3705">
        <v>190536</v>
      </c>
      <c r="B3705">
        <v>116</v>
      </c>
      <c r="C3705" t="s">
        <v>568</v>
      </c>
      <c r="D3705" t="s">
        <v>2094</v>
      </c>
      <c r="E3705" t="s">
        <v>1864</v>
      </c>
      <c r="F3705" s="452">
        <v>46357</v>
      </c>
      <c r="G3705">
        <v>17093</v>
      </c>
      <c r="H3705" t="s">
        <v>3993</v>
      </c>
      <c r="I3705" t="s">
        <v>3497</v>
      </c>
      <c r="J3705">
        <v>58</v>
      </c>
      <c r="K3705" t="s">
        <v>3888</v>
      </c>
      <c r="L3705">
        <v>464</v>
      </c>
      <c r="M3705">
        <v>8</v>
      </c>
      <c r="N3705" t="s">
        <v>3469</v>
      </c>
      <c r="O3705" t="s">
        <v>472</v>
      </c>
    </row>
    <row r="3706" spans="1:15" x14ac:dyDescent="0.3">
      <c r="A3706">
        <v>190536</v>
      </c>
      <c r="B3706">
        <v>116</v>
      </c>
      <c r="C3706" t="s">
        <v>568</v>
      </c>
      <c r="D3706" t="s">
        <v>2094</v>
      </c>
      <c r="E3706" t="s">
        <v>1864</v>
      </c>
      <c r="F3706" s="452">
        <v>46357</v>
      </c>
      <c r="G3706">
        <v>17942</v>
      </c>
      <c r="H3706" t="s">
        <v>4035</v>
      </c>
      <c r="I3706" t="s">
        <v>3497</v>
      </c>
      <c r="J3706">
        <v>6</v>
      </c>
      <c r="K3706" t="s">
        <v>3872</v>
      </c>
      <c r="L3706">
        <v>78</v>
      </c>
      <c r="M3706">
        <v>13</v>
      </c>
      <c r="N3706" t="s">
        <v>3469</v>
      </c>
      <c r="O3706" t="s">
        <v>472</v>
      </c>
    </row>
    <row r="3707" spans="1:15" x14ac:dyDescent="0.3">
      <c r="A3707">
        <v>190294</v>
      </c>
      <c r="B3707">
        <v>116</v>
      </c>
      <c r="C3707" t="s">
        <v>568</v>
      </c>
      <c r="D3707" t="s">
        <v>2277</v>
      </c>
      <c r="E3707" t="s">
        <v>3204</v>
      </c>
      <c r="F3707" s="452">
        <v>46020</v>
      </c>
      <c r="G3707">
        <v>20809</v>
      </c>
      <c r="H3707" t="s">
        <v>4005</v>
      </c>
      <c r="I3707" t="s">
        <v>3469</v>
      </c>
      <c r="J3707">
        <v>3</v>
      </c>
      <c r="K3707" t="s">
        <v>3888</v>
      </c>
      <c r="L3707">
        <v>101.64</v>
      </c>
      <c r="M3707">
        <v>33.880000000000003</v>
      </c>
      <c r="N3707" t="s">
        <v>4240</v>
      </c>
      <c r="O3707" t="s">
        <v>460</v>
      </c>
    </row>
    <row r="3708" spans="1:15" x14ac:dyDescent="0.3">
      <c r="A3708">
        <v>190294</v>
      </c>
      <c r="B3708">
        <v>116</v>
      </c>
      <c r="C3708" t="s">
        <v>568</v>
      </c>
      <c r="D3708" t="s">
        <v>2277</v>
      </c>
      <c r="E3708" t="s">
        <v>3204</v>
      </c>
      <c r="F3708" s="452">
        <v>46020</v>
      </c>
      <c r="G3708">
        <v>20661</v>
      </c>
      <c r="H3708" t="s">
        <v>3919</v>
      </c>
      <c r="I3708" t="s">
        <v>3469</v>
      </c>
      <c r="J3708">
        <v>6</v>
      </c>
      <c r="K3708" t="s">
        <v>3872</v>
      </c>
      <c r="L3708">
        <v>52.44</v>
      </c>
      <c r="M3708">
        <v>8.74</v>
      </c>
      <c r="N3708" t="s">
        <v>4240</v>
      </c>
      <c r="O3708" t="s">
        <v>460</v>
      </c>
    </row>
    <row r="3709" spans="1:15" x14ac:dyDescent="0.3">
      <c r="A3709">
        <v>190294</v>
      </c>
      <c r="B3709">
        <v>116</v>
      </c>
      <c r="C3709" t="s">
        <v>568</v>
      </c>
      <c r="D3709" t="s">
        <v>2277</v>
      </c>
      <c r="E3709" t="s">
        <v>3204</v>
      </c>
      <c r="F3709" s="452">
        <v>46020</v>
      </c>
      <c r="G3709">
        <v>20304</v>
      </c>
      <c r="H3709" t="s">
        <v>3938</v>
      </c>
      <c r="I3709" t="s">
        <v>3469</v>
      </c>
      <c r="J3709">
        <v>6</v>
      </c>
      <c r="K3709" t="s">
        <v>3888</v>
      </c>
      <c r="L3709">
        <v>207</v>
      </c>
      <c r="M3709">
        <v>34.5</v>
      </c>
      <c r="N3709" t="s">
        <v>4240</v>
      </c>
      <c r="O3709" t="s">
        <v>460</v>
      </c>
    </row>
    <row r="3710" spans="1:15" x14ac:dyDescent="0.3">
      <c r="A3710">
        <v>190294</v>
      </c>
      <c r="B3710">
        <v>116</v>
      </c>
      <c r="C3710" t="s">
        <v>568</v>
      </c>
      <c r="D3710" t="s">
        <v>2277</v>
      </c>
      <c r="E3710" t="s">
        <v>3204</v>
      </c>
      <c r="F3710" s="452">
        <v>46020</v>
      </c>
      <c r="G3710">
        <v>20287</v>
      </c>
      <c r="H3710" t="s">
        <v>4053</v>
      </c>
      <c r="I3710" t="s">
        <v>3469</v>
      </c>
      <c r="J3710">
        <v>1</v>
      </c>
      <c r="K3710" t="s">
        <v>4197</v>
      </c>
      <c r="L3710">
        <v>24.85</v>
      </c>
      <c r="M3710">
        <v>24.85</v>
      </c>
      <c r="N3710" t="s">
        <v>4240</v>
      </c>
      <c r="O3710" t="s">
        <v>460</v>
      </c>
    </row>
    <row r="3711" spans="1:15" x14ac:dyDescent="0.3">
      <c r="A3711">
        <v>190294</v>
      </c>
      <c r="B3711">
        <v>116</v>
      </c>
      <c r="C3711" t="s">
        <v>568</v>
      </c>
      <c r="D3711" t="s">
        <v>2277</v>
      </c>
      <c r="E3711" t="s">
        <v>3204</v>
      </c>
      <c r="F3711" s="452">
        <v>46020</v>
      </c>
      <c r="G3711">
        <v>20682</v>
      </c>
      <c r="H3711" t="s">
        <v>3929</v>
      </c>
      <c r="I3711" t="s">
        <v>3469</v>
      </c>
      <c r="J3711">
        <v>12</v>
      </c>
      <c r="K3711" t="s">
        <v>3872</v>
      </c>
      <c r="L3711">
        <v>119.76</v>
      </c>
      <c r="M3711">
        <v>9.98</v>
      </c>
      <c r="N3711" t="s">
        <v>4240</v>
      </c>
      <c r="O3711" t="s">
        <v>460</v>
      </c>
    </row>
    <row r="3712" spans="1:15" x14ac:dyDescent="0.3">
      <c r="A3712">
        <v>190294</v>
      </c>
      <c r="B3712">
        <v>116</v>
      </c>
      <c r="C3712" t="s">
        <v>568</v>
      </c>
      <c r="D3712" t="s">
        <v>2277</v>
      </c>
      <c r="E3712" t="s">
        <v>3204</v>
      </c>
      <c r="F3712" s="452">
        <v>46020</v>
      </c>
      <c r="G3712">
        <v>20752</v>
      </c>
      <c r="H3712" t="s">
        <v>3964</v>
      </c>
      <c r="I3712" t="s">
        <v>3469</v>
      </c>
      <c r="J3712">
        <v>2</v>
      </c>
      <c r="K3712" t="s">
        <v>3886</v>
      </c>
      <c r="L3712">
        <v>217.4</v>
      </c>
      <c r="M3712">
        <v>108.7</v>
      </c>
      <c r="N3712" t="s">
        <v>4240</v>
      </c>
      <c r="O3712" t="s">
        <v>460</v>
      </c>
    </row>
    <row r="3713" spans="1:15" x14ac:dyDescent="0.3">
      <c r="A3713">
        <v>190294</v>
      </c>
      <c r="B3713">
        <v>116</v>
      </c>
      <c r="C3713" t="s">
        <v>568</v>
      </c>
      <c r="D3713" t="s">
        <v>2277</v>
      </c>
      <c r="E3713" t="s">
        <v>3204</v>
      </c>
      <c r="F3713" s="452">
        <v>46020</v>
      </c>
      <c r="G3713">
        <v>20984</v>
      </c>
      <c r="H3713" t="s">
        <v>4235</v>
      </c>
      <c r="I3713" t="s">
        <v>3469</v>
      </c>
      <c r="J3713">
        <v>12</v>
      </c>
      <c r="K3713" t="s">
        <v>3931</v>
      </c>
      <c r="L3713">
        <v>109.44</v>
      </c>
      <c r="M3713">
        <v>9.1199999999999992</v>
      </c>
      <c r="N3713" t="s">
        <v>4240</v>
      </c>
      <c r="O3713" t="s">
        <v>460</v>
      </c>
    </row>
    <row r="3714" spans="1:15" x14ac:dyDescent="0.3">
      <c r="A3714">
        <v>190292</v>
      </c>
      <c r="B3714">
        <v>116</v>
      </c>
      <c r="C3714" t="s">
        <v>568</v>
      </c>
      <c r="D3714" t="s">
        <v>2308</v>
      </c>
      <c r="E3714" t="s">
        <v>3205</v>
      </c>
      <c r="F3714" s="452">
        <v>46013</v>
      </c>
      <c r="G3714">
        <v>19034</v>
      </c>
      <c r="H3714" t="s">
        <v>3989</v>
      </c>
      <c r="I3714" t="s">
        <v>3469</v>
      </c>
      <c r="J3714">
        <v>5.5</v>
      </c>
      <c r="K3714" t="s">
        <v>3892</v>
      </c>
      <c r="L3714">
        <v>59.4</v>
      </c>
      <c r="M3714">
        <v>10.8</v>
      </c>
      <c r="N3714" t="s">
        <v>4240</v>
      </c>
      <c r="O3714" t="s">
        <v>460</v>
      </c>
    </row>
    <row r="3715" spans="1:15" x14ac:dyDescent="0.3">
      <c r="A3715">
        <v>190292</v>
      </c>
      <c r="B3715">
        <v>116</v>
      </c>
      <c r="C3715" t="s">
        <v>568</v>
      </c>
      <c r="D3715" t="s">
        <v>2308</v>
      </c>
      <c r="E3715" t="s">
        <v>3205</v>
      </c>
      <c r="F3715" s="452">
        <v>46013</v>
      </c>
      <c r="G3715">
        <v>18832</v>
      </c>
      <c r="H3715" t="s">
        <v>3900</v>
      </c>
      <c r="I3715" t="s">
        <v>3469</v>
      </c>
      <c r="J3715">
        <v>20</v>
      </c>
      <c r="K3715" t="s">
        <v>3892</v>
      </c>
      <c r="L3715">
        <v>798</v>
      </c>
      <c r="M3715">
        <v>39.9</v>
      </c>
      <c r="N3715" t="s">
        <v>4240</v>
      </c>
      <c r="O3715" t="s">
        <v>460</v>
      </c>
    </row>
    <row r="3716" spans="1:15" x14ac:dyDescent="0.3">
      <c r="A3716">
        <v>190292</v>
      </c>
      <c r="B3716">
        <v>116</v>
      </c>
      <c r="C3716" t="s">
        <v>568</v>
      </c>
      <c r="D3716" t="s">
        <v>2308</v>
      </c>
      <c r="E3716" t="s">
        <v>3205</v>
      </c>
      <c r="F3716" s="452">
        <v>46013</v>
      </c>
      <c r="G3716">
        <v>27312</v>
      </c>
      <c r="H3716" t="s">
        <v>3927</v>
      </c>
      <c r="I3716" t="s">
        <v>3469</v>
      </c>
      <c r="J3716">
        <v>16.100000000000001</v>
      </c>
      <c r="K3716" t="s">
        <v>3892</v>
      </c>
      <c r="L3716">
        <v>785.68</v>
      </c>
      <c r="M3716">
        <v>48.8</v>
      </c>
      <c r="N3716" t="s">
        <v>4240</v>
      </c>
      <c r="O3716" t="s">
        <v>460</v>
      </c>
    </row>
    <row r="3717" spans="1:15" x14ac:dyDescent="0.3">
      <c r="A3717">
        <v>190291</v>
      </c>
      <c r="B3717">
        <v>116</v>
      </c>
      <c r="C3717" t="s">
        <v>568</v>
      </c>
      <c r="D3717" t="s">
        <v>2308</v>
      </c>
      <c r="E3717" t="s">
        <v>3206</v>
      </c>
      <c r="F3717" s="452">
        <v>46021</v>
      </c>
      <c r="G3717">
        <v>27312</v>
      </c>
      <c r="H3717" t="s">
        <v>3927</v>
      </c>
      <c r="I3717" t="s">
        <v>3469</v>
      </c>
      <c r="J3717">
        <v>15.04</v>
      </c>
      <c r="K3717" t="s">
        <v>3892</v>
      </c>
      <c r="L3717">
        <v>733.95</v>
      </c>
      <c r="M3717">
        <v>48.799866999999999</v>
      </c>
      <c r="N3717" t="s">
        <v>4240</v>
      </c>
      <c r="O3717" t="s">
        <v>460</v>
      </c>
    </row>
    <row r="3718" spans="1:15" x14ac:dyDescent="0.3">
      <c r="A3718">
        <v>190289</v>
      </c>
      <c r="B3718">
        <v>116</v>
      </c>
      <c r="C3718" t="s">
        <v>568</v>
      </c>
      <c r="D3718" t="s">
        <v>2277</v>
      </c>
      <c r="E3718" t="s">
        <v>3207</v>
      </c>
      <c r="F3718" s="452">
        <v>46015</v>
      </c>
      <c r="G3718">
        <v>20242</v>
      </c>
      <c r="H3718" t="s">
        <v>4120</v>
      </c>
      <c r="I3718" t="s">
        <v>3469</v>
      </c>
      <c r="J3718">
        <v>5</v>
      </c>
      <c r="K3718" t="s">
        <v>3888</v>
      </c>
      <c r="L3718">
        <v>70.900000000000006</v>
      </c>
      <c r="M3718">
        <v>14.18</v>
      </c>
      <c r="N3718" t="s">
        <v>4240</v>
      </c>
      <c r="O3718" t="s">
        <v>460</v>
      </c>
    </row>
    <row r="3719" spans="1:15" x14ac:dyDescent="0.3">
      <c r="A3719">
        <v>190289</v>
      </c>
      <c r="B3719">
        <v>116</v>
      </c>
      <c r="C3719" t="s">
        <v>568</v>
      </c>
      <c r="D3719" t="s">
        <v>2277</v>
      </c>
      <c r="E3719" t="s">
        <v>3207</v>
      </c>
      <c r="F3719" s="452">
        <v>46015</v>
      </c>
      <c r="G3719">
        <v>20227</v>
      </c>
      <c r="H3719" t="s">
        <v>3968</v>
      </c>
      <c r="I3719" t="s">
        <v>3469</v>
      </c>
      <c r="J3719">
        <v>5</v>
      </c>
      <c r="K3719" t="s">
        <v>3888</v>
      </c>
      <c r="L3719">
        <v>49.9</v>
      </c>
      <c r="M3719">
        <v>9.98</v>
      </c>
      <c r="N3719" t="s">
        <v>4240</v>
      </c>
      <c r="O3719" t="s">
        <v>460</v>
      </c>
    </row>
    <row r="3720" spans="1:15" x14ac:dyDescent="0.3">
      <c r="A3720">
        <v>190289</v>
      </c>
      <c r="B3720">
        <v>116</v>
      </c>
      <c r="C3720" t="s">
        <v>568</v>
      </c>
      <c r="D3720" t="s">
        <v>2277</v>
      </c>
      <c r="E3720" t="s">
        <v>3207</v>
      </c>
      <c r="F3720" s="452">
        <v>46015</v>
      </c>
      <c r="G3720">
        <v>20809</v>
      </c>
      <c r="H3720" t="s">
        <v>4005</v>
      </c>
      <c r="I3720" t="s">
        <v>3469</v>
      </c>
      <c r="J3720">
        <v>3</v>
      </c>
      <c r="K3720" t="s">
        <v>3888</v>
      </c>
      <c r="L3720">
        <v>101.64</v>
      </c>
      <c r="M3720">
        <v>33.880000000000003</v>
      </c>
      <c r="N3720" t="s">
        <v>4240</v>
      </c>
      <c r="O3720" t="s">
        <v>460</v>
      </c>
    </row>
    <row r="3721" spans="1:15" x14ac:dyDescent="0.3">
      <c r="A3721">
        <v>190289</v>
      </c>
      <c r="B3721">
        <v>116</v>
      </c>
      <c r="C3721" t="s">
        <v>568</v>
      </c>
      <c r="D3721" t="s">
        <v>2277</v>
      </c>
      <c r="E3721" t="s">
        <v>3207</v>
      </c>
      <c r="F3721" s="452">
        <v>46015</v>
      </c>
      <c r="G3721">
        <v>21093</v>
      </c>
      <c r="H3721" t="s">
        <v>3903</v>
      </c>
      <c r="I3721" t="s">
        <v>3469</v>
      </c>
      <c r="J3721">
        <v>10</v>
      </c>
      <c r="K3721" t="s">
        <v>3872</v>
      </c>
      <c r="L3721">
        <v>47.6</v>
      </c>
      <c r="M3721">
        <v>4.76</v>
      </c>
      <c r="N3721" t="s">
        <v>4240</v>
      </c>
      <c r="O3721" t="s">
        <v>460</v>
      </c>
    </row>
    <row r="3722" spans="1:15" x14ac:dyDescent="0.3">
      <c r="A3722">
        <v>190289</v>
      </c>
      <c r="B3722">
        <v>116</v>
      </c>
      <c r="C3722" t="s">
        <v>568</v>
      </c>
      <c r="D3722" t="s">
        <v>2277</v>
      </c>
      <c r="E3722" t="s">
        <v>3207</v>
      </c>
      <c r="F3722" s="452">
        <v>46015</v>
      </c>
      <c r="G3722">
        <v>20752</v>
      </c>
      <c r="H3722" t="s">
        <v>3964</v>
      </c>
      <c r="I3722" t="s">
        <v>3469</v>
      </c>
      <c r="J3722">
        <v>3</v>
      </c>
      <c r="K3722" t="s">
        <v>3886</v>
      </c>
      <c r="L3722">
        <v>326.39999999999998</v>
      </c>
      <c r="M3722">
        <v>108.8</v>
      </c>
      <c r="N3722" t="s">
        <v>4240</v>
      </c>
      <c r="O3722" t="s">
        <v>460</v>
      </c>
    </row>
    <row r="3723" spans="1:15" x14ac:dyDescent="0.3">
      <c r="A3723">
        <v>190289</v>
      </c>
      <c r="B3723">
        <v>116</v>
      </c>
      <c r="C3723" t="s">
        <v>568</v>
      </c>
      <c r="D3723" t="s">
        <v>2277</v>
      </c>
      <c r="E3723" t="s">
        <v>3207</v>
      </c>
      <c r="F3723" s="452">
        <v>46015</v>
      </c>
      <c r="G3723">
        <v>19297</v>
      </c>
      <c r="H3723" t="s">
        <v>3949</v>
      </c>
      <c r="I3723" t="s">
        <v>3469</v>
      </c>
      <c r="J3723">
        <v>7.5</v>
      </c>
      <c r="K3723" t="s">
        <v>3892</v>
      </c>
      <c r="L3723">
        <v>591.75</v>
      </c>
      <c r="M3723">
        <v>78.900000000000006</v>
      </c>
      <c r="N3723" t="s">
        <v>4240</v>
      </c>
      <c r="O3723" t="s">
        <v>460</v>
      </c>
    </row>
    <row r="3724" spans="1:15" x14ac:dyDescent="0.3">
      <c r="A3724">
        <v>190289</v>
      </c>
      <c r="B3724">
        <v>116</v>
      </c>
      <c r="C3724" t="s">
        <v>568</v>
      </c>
      <c r="D3724" t="s">
        <v>2277</v>
      </c>
      <c r="E3724" t="s">
        <v>3207</v>
      </c>
      <c r="F3724" s="452">
        <v>46015</v>
      </c>
      <c r="G3724">
        <v>20365</v>
      </c>
      <c r="H3724" t="s">
        <v>4312</v>
      </c>
      <c r="I3724" t="s">
        <v>3469</v>
      </c>
      <c r="J3724">
        <v>10</v>
      </c>
      <c r="K3724" t="s">
        <v>3872</v>
      </c>
      <c r="L3724">
        <v>47</v>
      </c>
      <c r="M3724">
        <v>4.7</v>
      </c>
      <c r="N3724" t="s">
        <v>4240</v>
      </c>
      <c r="O3724" t="s">
        <v>460</v>
      </c>
    </row>
    <row r="3725" spans="1:15" x14ac:dyDescent="0.3">
      <c r="A3725">
        <v>190289</v>
      </c>
      <c r="B3725">
        <v>116</v>
      </c>
      <c r="C3725" t="s">
        <v>568</v>
      </c>
      <c r="D3725" t="s">
        <v>2277</v>
      </c>
      <c r="E3725" t="s">
        <v>3207</v>
      </c>
      <c r="F3725" s="452">
        <v>46015</v>
      </c>
      <c r="G3725">
        <v>19571</v>
      </c>
      <c r="H3725" t="s">
        <v>4422</v>
      </c>
      <c r="I3725" t="s">
        <v>3469</v>
      </c>
      <c r="J3725">
        <v>1</v>
      </c>
      <c r="K3725" t="s">
        <v>3892</v>
      </c>
      <c r="L3725">
        <v>85</v>
      </c>
      <c r="M3725">
        <v>85</v>
      </c>
      <c r="N3725" t="s">
        <v>4240</v>
      </c>
      <c r="O3725" t="s">
        <v>460</v>
      </c>
    </row>
    <row r="3726" spans="1:15" x14ac:dyDescent="0.3">
      <c r="A3726">
        <v>190289</v>
      </c>
      <c r="B3726">
        <v>116</v>
      </c>
      <c r="C3726" t="s">
        <v>568</v>
      </c>
      <c r="D3726" t="s">
        <v>2277</v>
      </c>
      <c r="E3726" t="s">
        <v>3207</v>
      </c>
      <c r="F3726" s="452">
        <v>46015</v>
      </c>
      <c r="G3726">
        <v>19421</v>
      </c>
      <c r="H3726" t="s">
        <v>4275</v>
      </c>
      <c r="I3726" t="s">
        <v>3469</v>
      </c>
      <c r="J3726">
        <v>1</v>
      </c>
      <c r="K3726" t="s">
        <v>3881</v>
      </c>
      <c r="L3726">
        <v>57.68</v>
      </c>
      <c r="M3726">
        <v>57.68</v>
      </c>
      <c r="N3726" t="s">
        <v>4240</v>
      </c>
      <c r="O3726" t="s">
        <v>460</v>
      </c>
    </row>
    <row r="3727" spans="1:15" x14ac:dyDescent="0.3">
      <c r="A3727">
        <v>190288</v>
      </c>
      <c r="B3727">
        <v>116</v>
      </c>
      <c r="C3727" t="s">
        <v>568</v>
      </c>
      <c r="D3727" t="s">
        <v>2275</v>
      </c>
      <c r="E3727" t="s">
        <v>3208</v>
      </c>
      <c r="F3727" s="452">
        <v>46021</v>
      </c>
      <c r="G3727">
        <v>17958</v>
      </c>
      <c r="H3727" t="s">
        <v>4141</v>
      </c>
      <c r="I3727" t="s">
        <v>3497</v>
      </c>
      <c r="J3727">
        <v>15</v>
      </c>
      <c r="K3727" t="s">
        <v>3888</v>
      </c>
      <c r="L3727">
        <v>238.5</v>
      </c>
      <c r="M3727">
        <v>15.9</v>
      </c>
      <c r="N3727" t="s">
        <v>4276</v>
      </c>
      <c r="O3727" t="s">
        <v>460</v>
      </c>
    </row>
    <row r="3728" spans="1:15" x14ac:dyDescent="0.3">
      <c r="A3728">
        <v>190288</v>
      </c>
      <c r="B3728">
        <v>116</v>
      </c>
      <c r="C3728" t="s">
        <v>568</v>
      </c>
      <c r="D3728" t="s">
        <v>2275</v>
      </c>
      <c r="E3728" t="s">
        <v>3208</v>
      </c>
      <c r="F3728" s="452">
        <v>46021</v>
      </c>
      <c r="G3728">
        <v>17950</v>
      </c>
      <c r="H3728" t="s">
        <v>4170</v>
      </c>
      <c r="I3728" t="s">
        <v>3497</v>
      </c>
      <c r="J3728">
        <v>10</v>
      </c>
      <c r="K3728" t="s">
        <v>3888</v>
      </c>
      <c r="L3728">
        <v>171</v>
      </c>
      <c r="M3728">
        <v>17.100000000000001</v>
      </c>
      <c r="N3728" t="s">
        <v>4276</v>
      </c>
      <c r="O3728" t="s">
        <v>460</v>
      </c>
    </row>
    <row r="3729" spans="1:15" x14ac:dyDescent="0.3">
      <c r="A3729">
        <v>190287</v>
      </c>
      <c r="B3729">
        <v>116</v>
      </c>
      <c r="C3729" t="s">
        <v>568</v>
      </c>
      <c r="D3729" t="s">
        <v>2273</v>
      </c>
      <c r="E3729" t="s">
        <v>3209</v>
      </c>
      <c r="F3729" s="452">
        <v>46013</v>
      </c>
      <c r="G3729">
        <v>24083</v>
      </c>
      <c r="H3729" t="s">
        <v>3898</v>
      </c>
      <c r="I3729" t="s">
        <v>3469</v>
      </c>
      <c r="J3729">
        <v>15</v>
      </c>
      <c r="K3729" t="s">
        <v>3892</v>
      </c>
      <c r="L3729">
        <v>51.45</v>
      </c>
      <c r="M3729">
        <v>3.43</v>
      </c>
      <c r="N3729" t="s">
        <v>4240</v>
      </c>
      <c r="O3729" t="s">
        <v>460</v>
      </c>
    </row>
    <row r="3730" spans="1:15" x14ac:dyDescent="0.3">
      <c r="A3730">
        <v>190287</v>
      </c>
      <c r="B3730">
        <v>116</v>
      </c>
      <c r="C3730" t="s">
        <v>568</v>
      </c>
      <c r="D3730" t="s">
        <v>2273</v>
      </c>
      <c r="E3730" t="s">
        <v>3209</v>
      </c>
      <c r="F3730" s="452">
        <v>46013</v>
      </c>
      <c r="G3730">
        <v>19751</v>
      </c>
      <c r="H3730" t="s">
        <v>4019</v>
      </c>
      <c r="I3730" t="s">
        <v>3469</v>
      </c>
      <c r="J3730">
        <v>2</v>
      </c>
      <c r="K3730" t="s">
        <v>3892</v>
      </c>
      <c r="L3730">
        <v>18.12</v>
      </c>
      <c r="M3730">
        <v>9.06</v>
      </c>
      <c r="N3730" t="s">
        <v>4240</v>
      </c>
      <c r="O3730" t="s">
        <v>460</v>
      </c>
    </row>
    <row r="3731" spans="1:15" x14ac:dyDescent="0.3">
      <c r="A3731">
        <v>190287</v>
      </c>
      <c r="B3731">
        <v>116</v>
      </c>
      <c r="C3731" t="s">
        <v>568</v>
      </c>
      <c r="D3731" t="s">
        <v>2273</v>
      </c>
      <c r="E3731" t="s">
        <v>3209</v>
      </c>
      <c r="F3731" s="452">
        <v>46013</v>
      </c>
      <c r="G3731">
        <v>19458</v>
      </c>
      <c r="H3731" t="s">
        <v>4212</v>
      </c>
      <c r="I3731" t="s">
        <v>3469</v>
      </c>
      <c r="J3731">
        <v>1.25</v>
      </c>
      <c r="K3731" t="s">
        <v>3892</v>
      </c>
      <c r="L3731">
        <v>10.51</v>
      </c>
      <c r="M3731">
        <v>8.4079999999999995</v>
      </c>
      <c r="N3731" t="s">
        <v>4240</v>
      </c>
      <c r="O3731" t="s">
        <v>460</v>
      </c>
    </row>
    <row r="3732" spans="1:15" x14ac:dyDescent="0.3">
      <c r="A3732">
        <v>190287</v>
      </c>
      <c r="B3732">
        <v>116</v>
      </c>
      <c r="C3732" t="s">
        <v>568</v>
      </c>
      <c r="D3732" t="s">
        <v>2273</v>
      </c>
      <c r="E3732" t="s">
        <v>3209</v>
      </c>
      <c r="F3732" s="452">
        <v>46013</v>
      </c>
      <c r="G3732">
        <v>19494</v>
      </c>
      <c r="H3732" t="s">
        <v>4126</v>
      </c>
      <c r="I3732" t="s">
        <v>3469</v>
      </c>
      <c r="J3732">
        <v>1.7</v>
      </c>
      <c r="K3732" t="s">
        <v>3892</v>
      </c>
      <c r="L3732">
        <v>20.94</v>
      </c>
      <c r="M3732">
        <v>12.317646999999999</v>
      </c>
      <c r="N3732" t="s">
        <v>4240</v>
      </c>
      <c r="O3732" t="s">
        <v>460</v>
      </c>
    </row>
    <row r="3733" spans="1:15" x14ac:dyDescent="0.3">
      <c r="A3733">
        <v>190287</v>
      </c>
      <c r="B3733">
        <v>116</v>
      </c>
      <c r="C3733" t="s">
        <v>568</v>
      </c>
      <c r="D3733" t="s">
        <v>2273</v>
      </c>
      <c r="E3733" t="s">
        <v>3209</v>
      </c>
      <c r="F3733" s="452">
        <v>46013</v>
      </c>
      <c r="G3733">
        <v>23171</v>
      </c>
      <c r="H3733" t="s">
        <v>4132</v>
      </c>
      <c r="I3733" t="s">
        <v>3469</v>
      </c>
      <c r="J3733">
        <v>4</v>
      </c>
      <c r="K3733" t="s">
        <v>3892</v>
      </c>
      <c r="L3733">
        <v>25.8</v>
      </c>
      <c r="M3733">
        <v>6.45</v>
      </c>
      <c r="N3733" t="s">
        <v>4240</v>
      </c>
      <c r="O3733" t="s">
        <v>460</v>
      </c>
    </row>
    <row r="3734" spans="1:15" x14ac:dyDescent="0.3">
      <c r="A3734">
        <v>190287</v>
      </c>
      <c r="B3734">
        <v>116</v>
      </c>
      <c r="C3734" t="s">
        <v>568</v>
      </c>
      <c r="D3734" t="s">
        <v>2273</v>
      </c>
      <c r="E3734" t="s">
        <v>3209</v>
      </c>
      <c r="F3734" s="452">
        <v>46013</v>
      </c>
      <c r="G3734">
        <v>23113</v>
      </c>
      <c r="H3734" t="s">
        <v>4079</v>
      </c>
      <c r="I3734" t="s">
        <v>3469</v>
      </c>
      <c r="J3734">
        <v>1.5</v>
      </c>
      <c r="K3734" t="s">
        <v>3892</v>
      </c>
      <c r="L3734">
        <v>15.23</v>
      </c>
      <c r="M3734">
        <v>10.153333</v>
      </c>
      <c r="N3734" t="s">
        <v>4240</v>
      </c>
      <c r="O3734" t="s">
        <v>460</v>
      </c>
    </row>
    <row r="3735" spans="1:15" x14ac:dyDescent="0.3">
      <c r="A3735">
        <v>190287</v>
      </c>
      <c r="B3735">
        <v>116</v>
      </c>
      <c r="C3735" t="s">
        <v>568</v>
      </c>
      <c r="D3735" t="s">
        <v>2273</v>
      </c>
      <c r="E3735" t="s">
        <v>3209</v>
      </c>
      <c r="F3735" s="452">
        <v>46013</v>
      </c>
      <c r="G3735">
        <v>17066</v>
      </c>
      <c r="H3735" t="s">
        <v>4155</v>
      </c>
      <c r="I3735" t="s">
        <v>3469</v>
      </c>
      <c r="J3735">
        <v>1</v>
      </c>
      <c r="K3735" t="s">
        <v>3892</v>
      </c>
      <c r="L3735">
        <v>17.98</v>
      </c>
      <c r="M3735">
        <v>17.98</v>
      </c>
      <c r="N3735" t="s">
        <v>4240</v>
      </c>
      <c r="O3735" t="s">
        <v>460</v>
      </c>
    </row>
    <row r="3736" spans="1:15" x14ac:dyDescent="0.3">
      <c r="A3736">
        <v>190287</v>
      </c>
      <c r="B3736">
        <v>116</v>
      </c>
      <c r="C3736" t="s">
        <v>568</v>
      </c>
      <c r="D3736" t="s">
        <v>2273</v>
      </c>
      <c r="E3736" t="s">
        <v>3209</v>
      </c>
      <c r="F3736" s="452">
        <v>46013</v>
      </c>
      <c r="G3736">
        <v>23389</v>
      </c>
      <c r="H3736" t="s">
        <v>4016</v>
      </c>
      <c r="I3736" t="s">
        <v>3469</v>
      </c>
      <c r="J3736">
        <v>4.7</v>
      </c>
      <c r="K3736" t="s">
        <v>3892</v>
      </c>
      <c r="L3736">
        <v>24.39</v>
      </c>
      <c r="M3736">
        <v>5.189362</v>
      </c>
      <c r="N3736" t="s">
        <v>4240</v>
      </c>
      <c r="O3736" t="s">
        <v>460</v>
      </c>
    </row>
    <row r="3737" spans="1:15" x14ac:dyDescent="0.3">
      <c r="A3737">
        <v>190286</v>
      </c>
      <c r="B3737">
        <v>116</v>
      </c>
      <c r="C3737" t="s">
        <v>568</v>
      </c>
      <c r="D3737" t="s">
        <v>2273</v>
      </c>
      <c r="E3737" t="s">
        <v>3210</v>
      </c>
      <c r="F3737" s="452">
        <v>46014</v>
      </c>
      <c r="G3737">
        <v>24083</v>
      </c>
      <c r="H3737" t="s">
        <v>3898</v>
      </c>
      <c r="I3737" t="s">
        <v>3469</v>
      </c>
      <c r="J3737">
        <v>25</v>
      </c>
      <c r="K3737" t="s">
        <v>3892</v>
      </c>
      <c r="L3737">
        <v>85.75</v>
      </c>
      <c r="M3737">
        <v>3.43</v>
      </c>
      <c r="N3737" t="s">
        <v>4289</v>
      </c>
      <c r="O3737" t="s">
        <v>460</v>
      </c>
    </row>
    <row r="3738" spans="1:15" x14ac:dyDescent="0.3">
      <c r="A3738">
        <v>190286</v>
      </c>
      <c r="B3738">
        <v>116</v>
      </c>
      <c r="C3738" t="s">
        <v>568</v>
      </c>
      <c r="D3738" t="s">
        <v>2273</v>
      </c>
      <c r="E3738" t="s">
        <v>3210</v>
      </c>
      <c r="F3738" s="452">
        <v>46014</v>
      </c>
      <c r="G3738">
        <v>19652</v>
      </c>
      <c r="H3738" t="s">
        <v>4014</v>
      </c>
      <c r="I3738" t="s">
        <v>3469</v>
      </c>
      <c r="J3738">
        <v>1.1000000000000001</v>
      </c>
      <c r="K3738" t="s">
        <v>3892</v>
      </c>
      <c r="L3738">
        <v>25.28</v>
      </c>
      <c r="M3738">
        <v>22.981818000000001</v>
      </c>
      <c r="N3738" t="s">
        <v>4289</v>
      </c>
      <c r="O3738" t="s">
        <v>460</v>
      </c>
    </row>
    <row r="3739" spans="1:15" x14ac:dyDescent="0.3">
      <c r="A3739">
        <v>190286</v>
      </c>
      <c r="B3739">
        <v>116</v>
      </c>
      <c r="C3739" t="s">
        <v>568</v>
      </c>
      <c r="D3739" t="s">
        <v>2273</v>
      </c>
      <c r="E3739" t="s">
        <v>3210</v>
      </c>
      <c r="F3739" s="452">
        <v>46014</v>
      </c>
      <c r="G3739">
        <v>23171</v>
      </c>
      <c r="H3739" t="s">
        <v>4132</v>
      </c>
      <c r="I3739" t="s">
        <v>3469</v>
      </c>
      <c r="J3739">
        <v>3.5</v>
      </c>
      <c r="K3739" t="s">
        <v>3892</v>
      </c>
      <c r="L3739">
        <v>22.57</v>
      </c>
      <c r="M3739">
        <v>6.4485710000000003</v>
      </c>
      <c r="N3739" t="s">
        <v>4289</v>
      </c>
      <c r="O3739" t="s">
        <v>460</v>
      </c>
    </row>
    <row r="3740" spans="1:15" x14ac:dyDescent="0.3">
      <c r="A3740">
        <v>190286</v>
      </c>
      <c r="B3740">
        <v>116</v>
      </c>
      <c r="C3740" t="s">
        <v>568</v>
      </c>
      <c r="D3740" t="s">
        <v>2273</v>
      </c>
      <c r="E3740" t="s">
        <v>3210</v>
      </c>
      <c r="F3740" s="452">
        <v>46014</v>
      </c>
      <c r="G3740">
        <v>23113</v>
      </c>
      <c r="H3740" t="s">
        <v>4079</v>
      </c>
      <c r="I3740" t="s">
        <v>3469</v>
      </c>
      <c r="J3740">
        <v>1.6</v>
      </c>
      <c r="K3740" t="s">
        <v>3892</v>
      </c>
      <c r="L3740">
        <v>16.239999999999998</v>
      </c>
      <c r="M3740">
        <v>10.15</v>
      </c>
      <c r="N3740" t="s">
        <v>4289</v>
      </c>
      <c r="O3740" t="s">
        <v>460</v>
      </c>
    </row>
    <row r="3741" spans="1:15" x14ac:dyDescent="0.3">
      <c r="A3741">
        <v>190285</v>
      </c>
      <c r="B3741">
        <v>116</v>
      </c>
      <c r="C3741" t="s">
        <v>568</v>
      </c>
      <c r="D3741" t="s">
        <v>2273</v>
      </c>
      <c r="E3741" t="s">
        <v>3211</v>
      </c>
      <c r="F3741" s="452">
        <v>46014</v>
      </c>
      <c r="G3741">
        <v>19572</v>
      </c>
      <c r="H3741" t="s">
        <v>4023</v>
      </c>
      <c r="I3741" t="s">
        <v>3469</v>
      </c>
      <c r="J3741">
        <v>1</v>
      </c>
      <c r="K3741" t="s">
        <v>3892</v>
      </c>
      <c r="L3741">
        <v>17.399999999999999</v>
      </c>
      <c r="M3741">
        <v>17.399999999999999</v>
      </c>
      <c r="N3741" t="s">
        <v>4240</v>
      </c>
      <c r="O3741" t="s">
        <v>460</v>
      </c>
    </row>
    <row r="3742" spans="1:15" x14ac:dyDescent="0.3">
      <c r="A3742">
        <v>190285</v>
      </c>
      <c r="B3742">
        <v>116</v>
      </c>
      <c r="C3742" t="s">
        <v>568</v>
      </c>
      <c r="D3742" t="s">
        <v>2273</v>
      </c>
      <c r="E3742" t="s">
        <v>3211</v>
      </c>
      <c r="F3742" s="452">
        <v>46014</v>
      </c>
      <c r="G3742">
        <v>19740</v>
      </c>
      <c r="H3742" t="s">
        <v>3933</v>
      </c>
      <c r="I3742" t="s">
        <v>3469</v>
      </c>
      <c r="J3742">
        <v>5</v>
      </c>
      <c r="K3742" t="s">
        <v>3892</v>
      </c>
      <c r="L3742">
        <v>79.75</v>
      </c>
      <c r="M3742">
        <v>15.95</v>
      </c>
      <c r="N3742" t="s">
        <v>4240</v>
      </c>
      <c r="O3742" t="s">
        <v>460</v>
      </c>
    </row>
    <row r="3743" spans="1:15" x14ac:dyDescent="0.3">
      <c r="A3743">
        <v>190285</v>
      </c>
      <c r="B3743">
        <v>116</v>
      </c>
      <c r="C3743" t="s">
        <v>568</v>
      </c>
      <c r="D3743" t="s">
        <v>2273</v>
      </c>
      <c r="E3743" t="s">
        <v>3211</v>
      </c>
      <c r="F3743" s="452">
        <v>46014</v>
      </c>
      <c r="G3743">
        <v>24598</v>
      </c>
      <c r="H3743" t="s">
        <v>4166</v>
      </c>
      <c r="I3743" t="s">
        <v>3469</v>
      </c>
      <c r="J3743">
        <v>1</v>
      </c>
      <c r="K3743" t="s">
        <v>3892</v>
      </c>
      <c r="L3743">
        <v>7.97</v>
      </c>
      <c r="M3743">
        <v>7.97</v>
      </c>
      <c r="N3743" t="s">
        <v>4240</v>
      </c>
      <c r="O3743" t="s">
        <v>460</v>
      </c>
    </row>
    <row r="3744" spans="1:15" x14ac:dyDescent="0.3">
      <c r="A3744">
        <v>190285</v>
      </c>
      <c r="B3744">
        <v>116</v>
      </c>
      <c r="C3744" t="s">
        <v>568</v>
      </c>
      <c r="D3744" t="s">
        <v>2273</v>
      </c>
      <c r="E3744" t="s">
        <v>3211</v>
      </c>
      <c r="F3744" s="452">
        <v>46014</v>
      </c>
      <c r="G3744">
        <v>23113</v>
      </c>
      <c r="H3744" t="s">
        <v>4079</v>
      </c>
      <c r="I3744" t="s">
        <v>3469</v>
      </c>
      <c r="J3744">
        <v>1.6</v>
      </c>
      <c r="K3744" t="s">
        <v>3892</v>
      </c>
      <c r="L3744">
        <v>16.239999999999998</v>
      </c>
      <c r="M3744">
        <v>10.15</v>
      </c>
      <c r="N3744" t="s">
        <v>4240</v>
      </c>
      <c r="O3744" t="s">
        <v>460</v>
      </c>
    </row>
    <row r="3745" spans="1:15" x14ac:dyDescent="0.3">
      <c r="A3745">
        <v>190285</v>
      </c>
      <c r="B3745">
        <v>116</v>
      </c>
      <c r="C3745" t="s">
        <v>568</v>
      </c>
      <c r="D3745" t="s">
        <v>2273</v>
      </c>
      <c r="E3745" t="s">
        <v>3211</v>
      </c>
      <c r="F3745" s="452">
        <v>46014</v>
      </c>
      <c r="G3745">
        <v>23389</v>
      </c>
      <c r="H3745" t="s">
        <v>4016</v>
      </c>
      <c r="I3745" t="s">
        <v>3469</v>
      </c>
      <c r="J3745">
        <v>6.4</v>
      </c>
      <c r="K3745" t="s">
        <v>3892</v>
      </c>
      <c r="L3745">
        <v>33.22</v>
      </c>
      <c r="M3745">
        <v>5.1906249999999998</v>
      </c>
      <c r="N3745" t="s">
        <v>4240</v>
      </c>
      <c r="O3745" t="s">
        <v>460</v>
      </c>
    </row>
    <row r="3746" spans="1:15" x14ac:dyDescent="0.3">
      <c r="A3746">
        <v>190285</v>
      </c>
      <c r="B3746">
        <v>116</v>
      </c>
      <c r="C3746" t="s">
        <v>568</v>
      </c>
      <c r="D3746" t="s">
        <v>2273</v>
      </c>
      <c r="E3746" t="s">
        <v>3211</v>
      </c>
      <c r="F3746" s="452">
        <v>46014</v>
      </c>
      <c r="G3746">
        <v>19751</v>
      </c>
      <c r="H3746" t="s">
        <v>4019</v>
      </c>
      <c r="I3746" t="s">
        <v>3469</v>
      </c>
      <c r="J3746">
        <v>2</v>
      </c>
      <c r="K3746" t="s">
        <v>3892</v>
      </c>
      <c r="L3746">
        <v>18.12</v>
      </c>
      <c r="M3746">
        <v>9.06</v>
      </c>
      <c r="N3746" t="s">
        <v>4240</v>
      </c>
      <c r="O3746" t="s">
        <v>460</v>
      </c>
    </row>
    <row r="3747" spans="1:15" x14ac:dyDescent="0.3">
      <c r="A3747">
        <v>190283</v>
      </c>
      <c r="B3747">
        <v>116</v>
      </c>
      <c r="C3747" t="s">
        <v>568</v>
      </c>
      <c r="D3747" t="s">
        <v>2284</v>
      </c>
      <c r="E3747" t="s">
        <v>3212</v>
      </c>
      <c r="F3747" s="452">
        <v>46020</v>
      </c>
      <c r="G3747">
        <v>20358</v>
      </c>
      <c r="H3747" t="s">
        <v>3952</v>
      </c>
      <c r="I3747" t="s">
        <v>3469</v>
      </c>
      <c r="J3747">
        <v>3</v>
      </c>
      <c r="K3747" t="s">
        <v>3888</v>
      </c>
      <c r="L3747">
        <v>42.9</v>
      </c>
      <c r="M3747">
        <v>14.3</v>
      </c>
      <c r="N3747" t="s">
        <v>4240</v>
      </c>
      <c r="O3747" t="s">
        <v>460</v>
      </c>
    </row>
    <row r="3748" spans="1:15" x14ac:dyDescent="0.3">
      <c r="A3748">
        <v>190283</v>
      </c>
      <c r="B3748">
        <v>116</v>
      </c>
      <c r="C3748" t="s">
        <v>568</v>
      </c>
      <c r="D3748" t="s">
        <v>2284</v>
      </c>
      <c r="E3748" t="s">
        <v>3212</v>
      </c>
      <c r="F3748" s="452">
        <v>46020</v>
      </c>
      <c r="G3748">
        <v>20724</v>
      </c>
      <c r="H3748" t="s">
        <v>4423</v>
      </c>
      <c r="I3748" t="s">
        <v>3469</v>
      </c>
      <c r="J3748">
        <v>2</v>
      </c>
      <c r="K3748" t="s">
        <v>3966</v>
      </c>
      <c r="L3748">
        <v>131.80000000000001</v>
      </c>
      <c r="M3748">
        <v>65.900000000000006</v>
      </c>
      <c r="N3748" t="s">
        <v>4240</v>
      </c>
      <c r="O3748" t="s">
        <v>460</v>
      </c>
    </row>
    <row r="3749" spans="1:15" x14ac:dyDescent="0.3">
      <c r="A3749">
        <v>190283</v>
      </c>
      <c r="B3749">
        <v>116</v>
      </c>
      <c r="C3749" t="s">
        <v>568</v>
      </c>
      <c r="D3749" t="s">
        <v>2284</v>
      </c>
      <c r="E3749" t="s">
        <v>3212</v>
      </c>
      <c r="F3749" s="452">
        <v>46020</v>
      </c>
      <c r="G3749">
        <v>19324</v>
      </c>
      <c r="H3749" t="s">
        <v>3937</v>
      </c>
      <c r="I3749" t="s">
        <v>3469</v>
      </c>
      <c r="J3749">
        <v>8.2200000000000006</v>
      </c>
      <c r="K3749" t="s">
        <v>3892</v>
      </c>
      <c r="L3749">
        <v>273.73</v>
      </c>
      <c r="M3749">
        <v>33.300486999999997</v>
      </c>
      <c r="N3749" t="s">
        <v>4240</v>
      </c>
      <c r="O3749" t="s">
        <v>460</v>
      </c>
    </row>
    <row r="3750" spans="1:15" x14ac:dyDescent="0.3">
      <c r="A3750">
        <v>190283</v>
      </c>
      <c r="B3750">
        <v>116</v>
      </c>
      <c r="C3750" t="s">
        <v>568</v>
      </c>
      <c r="D3750" t="s">
        <v>2284</v>
      </c>
      <c r="E3750" t="s">
        <v>3212</v>
      </c>
      <c r="F3750" s="452">
        <v>46020</v>
      </c>
      <c r="G3750">
        <v>20077</v>
      </c>
      <c r="H3750" t="s">
        <v>4054</v>
      </c>
      <c r="I3750" t="s">
        <v>3469</v>
      </c>
      <c r="J3750">
        <v>1</v>
      </c>
      <c r="K3750" t="s">
        <v>4268</v>
      </c>
      <c r="L3750">
        <v>16.32</v>
      </c>
      <c r="M3750">
        <v>16.32</v>
      </c>
      <c r="N3750" t="s">
        <v>4240</v>
      </c>
      <c r="O3750" t="s">
        <v>460</v>
      </c>
    </row>
    <row r="3751" spans="1:15" x14ac:dyDescent="0.3">
      <c r="A3751">
        <v>190283</v>
      </c>
      <c r="B3751">
        <v>116</v>
      </c>
      <c r="C3751" t="s">
        <v>568</v>
      </c>
      <c r="D3751" t="s">
        <v>2284</v>
      </c>
      <c r="E3751" t="s">
        <v>3212</v>
      </c>
      <c r="F3751" s="452">
        <v>46020</v>
      </c>
      <c r="G3751">
        <v>21024</v>
      </c>
      <c r="H3751" t="s">
        <v>4180</v>
      </c>
      <c r="I3751" t="s">
        <v>3469</v>
      </c>
      <c r="J3751">
        <v>2</v>
      </c>
      <c r="K3751" t="s">
        <v>3966</v>
      </c>
      <c r="L3751">
        <v>351.8</v>
      </c>
      <c r="M3751">
        <v>175.9</v>
      </c>
      <c r="N3751" t="s">
        <v>4240</v>
      </c>
      <c r="O3751" t="s">
        <v>460</v>
      </c>
    </row>
    <row r="3752" spans="1:15" x14ac:dyDescent="0.3">
      <c r="A3752">
        <v>190283</v>
      </c>
      <c r="B3752">
        <v>116</v>
      </c>
      <c r="C3752" t="s">
        <v>568</v>
      </c>
      <c r="D3752" t="s">
        <v>2284</v>
      </c>
      <c r="E3752" t="s">
        <v>3212</v>
      </c>
      <c r="F3752" s="452">
        <v>46020</v>
      </c>
      <c r="G3752">
        <v>19415</v>
      </c>
      <c r="H3752" t="s">
        <v>3941</v>
      </c>
      <c r="I3752" t="s">
        <v>3469</v>
      </c>
      <c r="J3752">
        <v>6</v>
      </c>
      <c r="K3752" t="s">
        <v>3872</v>
      </c>
      <c r="L3752">
        <v>47.4</v>
      </c>
      <c r="M3752">
        <v>7.9</v>
      </c>
      <c r="N3752" t="s">
        <v>4240</v>
      </c>
      <c r="O3752" t="s">
        <v>460</v>
      </c>
    </row>
    <row r="3753" spans="1:15" x14ac:dyDescent="0.3">
      <c r="A3753">
        <v>190283</v>
      </c>
      <c r="B3753">
        <v>116</v>
      </c>
      <c r="C3753" t="s">
        <v>568</v>
      </c>
      <c r="D3753" t="s">
        <v>2284</v>
      </c>
      <c r="E3753" t="s">
        <v>3212</v>
      </c>
      <c r="F3753" s="452">
        <v>46020</v>
      </c>
      <c r="G3753">
        <v>19346</v>
      </c>
      <c r="H3753" t="s">
        <v>3948</v>
      </c>
      <c r="I3753" t="s">
        <v>3469</v>
      </c>
      <c r="J3753">
        <v>3</v>
      </c>
      <c r="K3753" t="s">
        <v>3892</v>
      </c>
      <c r="L3753">
        <v>149.69999999999999</v>
      </c>
      <c r="M3753">
        <v>49.9</v>
      </c>
      <c r="N3753" t="s">
        <v>4240</v>
      </c>
      <c r="O3753" t="s">
        <v>460</v>
      </c>
    </row>
    <row r="3754" spans="1:15" x14ac:dyDescent="0.3">
      <c r="A3754">
        <v>190283</v>
      </c>
      <c r="B3754">
        <v>116</v>
      </c>
      <c r="C3754" t="s">
        <v>568</v>
      </c>
      <c r="D3754" t="s">
        <v>2284</v>
      </c>
      <c r="E3754" t="s">
        <v>3212</v>
      </c>
      <c r="F3754" s="452">
        <v>46020</v>
      </c>
      <c r="G3754">
        <v>19287</v>
      </c>
      <c r="H3754" t="s">
        <v>3974</v>
      </c>
      <c r="I3754" t="s">
        <v>3469</v>
      </c>
      <c r="J3754">
        <v>3.38</v>
      </c>
      <c r="K3754" t="s">
        <v>3892</v>
      </c>
      <c r="L3754">
        <v>129.12</v>
      </c>
      <c r="M3754">
        <v>38.201183</v>
      </c>
      <c r="N3754" t="s">
        <v>4240</v>
      </c>
      <c r="O3754" t="s">
        <v>460</v>
      </c>
    </row>
    <row r="3755" spans="1:15" x14ac:dyDescent="0.3">
      <c r="A3755">
        <v>190283</v>
      </c>
      <c r="B3755">
        <v>116</v>
      </c>
      <c r="C3755" t="s">
        <v>568</v>
      </c>
      <c r="D3755" t="s">
        <v>2284</v>
      </c>
      <c r="E3755" t="s">
        <v>3212</v>
      </c>
      <c r="F3755" s="452">
        <v>46020</v>
      </c>
      <c r="G3755">
        <v>20685</v>
      </c>
      <c r="H3755" t="s">
        <v>4122</v>
      </c>
      <c r="I3755" t="s">
        <v>3469</v>
      </c>
      <c r="J3755">
        <v>6</v>
      </c>
      <c r="K3755" t="s">
        <v>3872</v>
      </c>
      <c r="L3755">
        <v>21.3</v>
      </c>
      <c r="M3755">
        <v>3.55</v>
      </c>
      <c r="N3755" t="s">
        <v>4240</v>
      </c>
      <c r="O3755" t="s">
        <v>460</v>
      </c>
    </row>
    <row r="3756" spans="1:15" x14ac:dyDescent="0.3">
      <c r="A3756">
        <v>190283</v>
      </c>
      <c r="B3756">
        <v>116</v>
      </c>
      <c r="C3756" t="s">
        <v>568</v>
      </c>
      <c r="D3756" t="s">
        <v>2284</v>
      </c>
      <c r="E3756" t="s">
        <v>3212</v>
      </c>
      <c r="F3756" s="452">
        <v>46020</v>
      </c>
      <c r="G3756">
        <v>20988</v>
      </c>
      <c r="H3756" t="s">
        <v>4117</v>
      </c>
      <c r="I3756" t="s">
        <v>3469</v>
      </c>
      <c r="J3756">
        <v>20</v>
      </c>
      <c r="K3756" t="s">
        <v>3872</v>
      </c>
      <c r="L3756">
        <v>168</v>
      </c>
      <c r="M3756">
        <v>8.4</v>
      </c>
      <c r="N3756" t="s">
        <v>4240</v>
      </c>
      <c r="O3756" t="s">
        <v>460</v>
      </c>
    </row>
    <row r="3757" spans="1:15" x14ac:dyDescent="0.3">
      <c r="A3757">
        <v>190283</v>
      </c>
      <c r="B3757">
        <v>116</v>
      </c>
      <c r="C3757" t="s">
        <v>568</v>
      </c>
      <c r="D3757" t="s">
        <v>2284</v>
      </c>
      <c r="E3757" t="s">
        <v>3212</v>
      </c>
      <c r="F3757" s="452">
        <v>46020</v>
      </c>
      <c r="G3757">
        <v>21400</v>
      </c>
      <c r="H3757" t="s">
        <v>4165</v>
      </c>
      <c r="I3757" t="s">
        <v>3469</v>
      </c>
      <c r="J3757">
        <v>3.6</v>
      </c>
      <c r="K3757" t="s">
        <v>3892</v>
      </c>
      <c r="L3757">
        <v>103.5</v>
      </c>
      <c r="M3757">
        <v>28.75</v>
      </c>
      <c r="N3757" t="s">
        <v>4240</v>
      </c>
      <c r="O3757" t="s">
        <v>460</v>
      </c>
    </row>
    <row r="3758" spans="1:15" x14ac:dyDescent="0.3">
      <c r="A3758">
        <v>190283</v>
      </c>
      <c r="B3758">
        <v>116</v>
      </c>
      <c r="C3758" t="s">
        <v>568</v>
      </c>
      <c r="D3758" t="s">
        <v>2284</v>
      </c>
      <c r="E3758" t="s">
        <v>3212</v>
      </c>
      <c r="F3758" s="452">
        <v>46020</v>
      </c>
      <c r="G3758">
        <v>22721</v>
      </c>
      <c r="H3758" t="s">
        <v>4221</v>
      </c>
      <c r="I3758" t="s">
        <v>3469</v>
      </c>
      <c r="J3758">
        <v>4.28</v>
      </c>
      <c r="K3758" t="s">
        <v>3892</v>
      </c>
      <c r="L3758">
        <v>121.12</v>
      </c>
      <c r="M3758">
        <v>28.299064999999999</v>
      </c>
      <c r="N3758" t="s">
        <v>4240</v>
      </c>
      <c r="O3758" t="s">
        <v>460</v>
      </c>
    </row>
    <row r="3759" spans="1:15" x14ac:dyDescent="0.3">
      <c r="A3759">
        <v>190283</v>
      </c>
      <c r="B3759">
        <v>116</v>
      </c>
      <c r="C3759" t="s">
        <v>568</v>
      </c>
      <c r="D3759" t="s">
        <v>2284</v>
      </c>
      <c r="E3759" t="s">
        <v>3212</v>
      </c>
      <c r="F3759" s="452">
        <v>46020</v>
      </c>
      <c r="G3759">
        <v>20597</v>
      </c>
      <c r="H3759" t="s">
        <v>4157</v>
      </c>
      <c r="I3759" t="s">
        <v>3469</v>
      </c>
      <c r="J3759">
        <v>1</v>
      </c>
      <c r="K3759" t="s">
        <v>3872</v>
      </c>
      <c r="L3759">
        <v>24.8</v>
      </c>
      <c r="M3759">
        <v>24.8</v>
      </c>
      <c r="N3759" t="s">
        <v>4240</v>
      </c>
      <c r="O3759" t="s">
        <v>460</v>
      </c>
    </row>
    <row r="3760" spans="1:15" x14ac:dyDescent="0.3">
      <c r="A3760">
        <v>190283</v>
      </c>
      <c r="B3760">
        <v>116</v>
      </c>
      <c r="C3760" t="s">
        <v>568</v>
      </c>
      <c r="D3760" t="s">
        <v>2284</v>
      </c>
      <c r="E3760" t="s">
        <v>3212</v>
      </c>
      <c r="F3760" s="452">
        <v>46020</v>
      </c>
      <c r="G3760">
        <v>20624</v>
      </c>
      <c r="H3760" t="s">
        <v>3982</v>
      </c>
      <c r="I3760" t="s">
        <v>3469</v>
      </c>
      <c r="J3760">
        <v>1</v>
      </c>
      <c r="K3760" t="s">
        <v>3872</v>
      </c>
      <c r="L3760">
        <v>68.2</v>
      </c>
      <c r="M3760">
        <v>68.2</v>
      </c>
      <c r="N3760" t="s">
        <v>4240</v>
      </c>
      <c r="O3760" t="s">
        <v>460</v>
      </c>
    </row>
    <row r="3761" spans="1:15" x14ac:dyDescent="0.3">
      <c r="A3761">
        <v>190281</v>
      </c>
      <c r="B3761">
        <v>116</v>
      </c>
      <c r="C3761" t="s">
        <v>568</v>
      </c>
      <c r="D3761" t="s">
        <v>2271</v>
      </c>
      <c r="E3761" t="s">
        <v>3213</v>
      </c>
      <c r="F3761" s="452">
        <v>46013</v>
      </c>
      <c r="G3761">
        <v>18295</v>
      </c>
      <c r="H3761" t="s">
        <v>4030</v>
      </c>
      <c r="I3761" t="s">
        <v>3497</v>
      </c>
      <c r="J3761">
        <v>2</v>
      </c>
      <c r="K3761" t="s">
        <v>3878</v>
      </c>
      <c r="L3761">
        <v>249.08</v>
      </c>
      <c r="M3761">
        <v>124.54</v>
      </c>
      <c r="N3761" t="s">
        <v>3497</v>
      </c>
      <c r="O3761" t="s">
        <v>460</v>
      </c>
    </row>
    <row r="3762" spans="1:15" x14ac:dyDescent="0.3">
      <c r="A3762">
        <v>190281</v>
      </c>
      <c r="B3762">
        <v>116</v>
      </c>
      <c r="C3762" t="s">
        <v>568</v>
      </c>
      <c r="D3762" t="s">
        <v>2271</v>
      </c>
      <c r="E3762" t="s">
        <v>3213</v>
      </c>
      <c r="F3762" s="452">
        <v>46013</v>
      </c>
      <c r="G3762">
        <v>18172</v>
      </c>
      <c r="H3762" t="s">
        <v>3923</v>
      </c>
      <c r="I3762" t="s">
        <v>3497</v>
      </c>
      <c r="J3762">
        <v>6</v>
      </c>
      <c r="K3762" t="s">
        <v>3878</v>
      </c>
      <c r="L3762">
        <v>179.4</v>
      </c>
      <c r="M3762">
        <v>29.9</v>
      </c>
      <c r="N3762" t="s">
        <v>3497</v>
      </c>
      <c r="O3762" t="s">
        <v>460</v>
      </c>
    </row>
    <row r="3763" spans="1:15" x14ac:dyDescent="0.3">
      <c r="A3763">
        <v>190275</v>
      </c>
      <c r="B3763">
        <v>116</v>
      </c>
      <c r="C3763" t="s">
        <v>568</v>
      </c>
      <c r="D3763" t="s">
        <v>3179</v>
      </c>
      <c r="E3763" t="s">
        <v>3214</v>
      </c>
      <c r="F3763" s="452">
        <v>46013</v>
      </c>
      <c r="G3763">
        <v>19555</v>
      </c>
      <c r="H3763" t="s">
        <v>4109</v>
      </c>
      <c r="I3763" t="s">
        <v>3469</v>
      </c>
      <c r="J3763">
        <v>0.6</v>
      </c>
      <c r="K3763" t="s">
        <v>3892</v>
      </c>
      <c r="L3763">
        <v>10.08</v>
      </c>
      <c r="M3763">
        <v>16.8</v>
      </c>
      <c r="N3763" t="s">
        <v>4240</v>
      </c>
      <c r="O3763" t="s">
        <v>460</v>
      </c>
    </row>
    <row r="3764" spans="1:15" x14ac:dyDescent="0.3">
      <c r="A3764">
        <v>190275</v>
      </c>
      <c r="B3764">
        <v>116</v>
      </c>
      <c r="C3764" t="s">
        <v>568</v>
      </c>
      <c r="D3764" t="s">
        <v>3179</v>
      </c>
      <c r="E3764" t="s">
        <v>3214</v>
      </c>
      <c r="F3764" s="452">
        <v>46013</v>
      </c>
      <c r="G3764">
        <v>19743</v>
      </c>
      <c r="H3764" t="s">
        <v>4152</v>
      </c>
      <c r="I3764" t="s">
        <v>3469</v>
      </c>
      <c r="J3764">
        <v>3</v>
      </c>
      <c r="K3764" t="s">
        <v>3892</v>
      </c>
      <c r="L3764">
        <v>43.2</v>
      </c>
      <c r="M3764">
        <v>14.4</v>
      </c>
      <c r="N3764" t="s">
        <v>4240</v>
      </c>
      <c r="O3764" t="s">
        <v>460</v>
      </c>
    </row>
    <row r="3765" spans="1:15" x14ac:dyDescent="0.3">
      <c r="A3765">
        <v>190275</v>
      </c>
      <c r="B3765">
        <v>116</v>
      </c>
      <c r="C3765" t="s">
        <v>568</v>
      </c>
      <c r="D3765" t="s">
        <v>3179</v>
      </c>
      <c r="E3765" t="s">
        <v>3214</v>
      </c>
      <c r="F3765" s="452">
        <v>46013</v>
      </c>
      <c r="G3765">
        <v>23335</v>
      </c>
      <c r="H3765" t="s">
        <v>4075</v>
      </c>
      <c r="I3765" t="s">
        <v>3469</v>
      </c>
      <c r="J3765">
        <v>1.2</v>
      </c>
      <c r="K3765" t="s">
        <v>3892</v>
      </c>
      <c r="L3765">
        <v>38.880000000000003</v>
      </c>
      <c r="M3765">
        <v>32.4</v>
      </c>
      <c r="N3765" t="s">
        <v>4240</v>
      </c>
      <c r="O3765" t="s">
        <v>460</v>
      </c>
    </row>
    <row r="3766" spans="1:15" x14ac:dyDescent="0.3">
      <c r="A3766">
        <v>190275</v>
      </c>
      <c r="B3766">
        <v>116</v>
      </c>
      <c r="C3766" t="s">
        <v>568</v>
      </c>
      <c r="D3766" t="s">
        <v>3179</v>
      </c>
      <c r="E3766" t="s">
        <v>3214</v>
      </c>
      <c r="F3766" s="452">
        <v>46013</v>
      </c>
      <c r="G3766">
        <v>23184</v>
      </c>
      <c r="H3766" t="s">
        <v>3894</v>
      </c>
      <c r="I3766" t="s">
        <v>3469</v>
      </c>
      <c r="J3766">
        <v>0.5</v>
      </c>
      <c r="K3766" t="s">
        <v>3892</v>
      </c>
      <c r="L3766">
        <v>4.2</v>
      </c>
      <c r="M3766">
        <v>8.4</v>
      </c>
      <c r="N3766" t="s">
        <v>4240</v>
      </c>
      <c r="O3766" t="s">
        <v>460</v>
      </c>
    </row>
    <row r="3767" spans="1:15" x14ac:dyDescent="0.3">
      <c r="A3767">
        <v>190275</v>
      </c>
      <c r="B3767">
        <v>116</v>
      </c>
      <c r="C3767" t="s">
        <v>568</v>
      </c>
      <c r="D3767" t="s">
        <v>3179</v>
      </c>
      <c r="E3767" t="s">
        <v>3214</v>
      </c>
      <c r="F3767" s="452">
        <v>46013</v>
      </c>
      <c r="G3767">
        <v>19672</v>
      </c>
      <c r="H3767" t="s">
        <v>4024</v>
      </c>
      <c r="I3767" t="s">
        <v>3469</v>
      </c>
      <c r="J3767">
        <v>2</v>
      </c>
      <c r="K3767" t="s">
        <v>3892</v>
      </c>
      <c r="L3767">
        <v>28.8</v>
      </c>
      <c r="M3767">
        <v>14.4</v>
      </c>
      <c r="N3767" t="s">
        <v>4240</v>
      </c>
      <c r="O3767" t="s">
        <v>460</v>
      </c>
    </row>
    <row r="3768" spans="1:15" x14ac:dyDescent="0.3">
      <c r="A3768">
        <v>190274</v>
      </c>
      <c r="B3768">
        <v>116</v>
      </c>
      <c r="C3768" t="s">
        <v>568</v>
      </c>
      <c r="D3768" t="s">
        <v>3179</v>
      </c>
      <c r="E3768" t="s">
        <v>3215</v>
      </c>
      <c r="F3768" s="452">
        <v>46014</v>
      </c>
      <c r="G3768">
        <v>19787</v>
      </c>
      <c r="H3768" t="s">
        <v>3940</v>
      </c>
      <c r="I3768" t="s">
        <v>3469</v>
      </c>
      <c r="J3768">
        <v>4.5</v>
      </c>
      <c r="K3768" t="s">
        <v>3892</v>
      </c>
      <c r="L3768">
        <v>24.3</v>
      </c>
      <c r="M3768">
        <v>5.4</v>
      </c>
      <c r="N3768" t="s">
        <v>4404</v>
      </c>
      <c r="O3768" t="s">
        <v>460</v>
      </c>
    </row>
    <row r="3769" spans="1:15" x14ac:dyDescent="0.3">
      <c r="A3769">
        <v>190274</v>
      </c>
      <c r="B3769">
        <v>116</v>
      </c>
      <c r="C3769" t="s">
        <v>568</v>
      </c>
      <c r="D3769" t="s">
        <v>3179</v>
      </c>
      <c r="E3769" t="s">
        <v>3215</v>
      </c>
      <c r="F3769" s="452">
        <v>46014</v>
      </c>
      <c r="G3769">
        <v>24509</v>
      </c>
      <c r="H3769" t="s">
        <v>3906</v>
      </c>
      <c r="I3769" t="s">
        <v>3469</v>
      </c>
      <c r="J3769">
        <v>20</v>
      </c>
      <c r="K3769" t="s">
        <v>3892</v>
      </c>
      <c r="L3769">
        <v>36</v>
      </c>
      <c r="M3769">
        <v>1.8</v>
      </c>
      <c r="N3769" t="s">
        <v>4404</v>
      </c>
      <c r="O3769" t="s">
        <v>460</v>
      </c>
    </row>
    <row r="3770" spans="1:15" x14ac:dyDescent="0.3">
      <c r="A3770">
        <v>190274</v>
      </c>
      <c r="B3770">
        <v>116</v>
      </c>
      <c r="C3770" t="s">
        <v>568</v>
      </c>
      <c r="D3770" t="s">
        <v>3179</v>
      </c>
      <c r="E3770" t="s">
        <v>3215</v>
      </c>
      <c r="F3770" s="452">
        <v>46014</v>
      </c>
      <c r="G3770">
        <v>19555</v>
      </c>
      <c r="H3770" t="s">
        <v>4109</v>
      </c>
      <c r="I3770" t="s">
        <v>3469</v>
      </c>
      <c r="J3770">
        <v>0.6</v>
      </c>
      <c r="K3770" t="s">
        <v>3892</v>
      </c>
      <c r="L3770">
        <v>10.08</v>
      </c>
      <c r="M3770">
        <v>16.8</v>
      </c>
      <c r="N3770" t="s">
        <v>4404</v>
      </c>
      <c r="O3770" t="s">
        <v>460</v>
      </c>
    </row>
    <row r="3771" spans="1:15" x14ac:dyDescent="0.3">
      <c r="A3771">
        <v>190274</v>
      </c>
      <c r="B3771">
        <v>116</v>
      </c>
      <c r="C3771" t="s">
        <v>568</v>
      </c>
      <c r="D3771" t="s">
        <v>3179</v>
      </c>
      <c r="E3771" t="s">
        <v>3215</v>
      </c>
      <c r="F3771" s="452">
        <v>46014</v>
      </c>
      <c r="G3771">
        <v>23361</v>
      </c>
      <c r="H3771" t="s">
        <v>4220</v>
      </c>
      <c r="I3771" t="s">
        <v>3469</v>
      </c>
      <c r="J3771">
        <v>18</v>
      </c>
      <c r="K3771" t="s">
        <v>3892</v>
      </c>
      <c r="L3771">
        <v>54</v>
      </c>
      <c r="M3771">
        <v>3</v>
      </c>
      <c r="N3771" t="s">
        <v>4404</v>
      </c>
      <c r="O3771" t="s">
        <v>460</v>
      </c>
    </row>
    <row r="3772" spans="1:15" x14ac:dyDescent="0.3">
      <c r="A3772">
        <v>190274</v>
      </c>
      <c r="B3772">
        <v>116</v>
      </c>
      <c r="C3772" t="s">
        <v>568</v>
      </c>
      <c r="D3772" t="s">
        <v>3179</v>
      </c>
      <c r="E3772" t="s">
        <v>3215</v>
      </c>
      <c r="F3772" s="452">
        <v>46014</v>
      </c>
      <c r="G3772">
        <v>23385</v>
      </c>
      <c r="H3772" t="s">
        <v>4069</v>
      </c>
      <c r="I3772" t="s">
        <v>3469</v>
      </c>
      <c r="J3772">
        <v>1.2</v>
      </c>
      <c r="K3772" t="s">
        <v>3892</v>
      </c>
      <c r="L3772">
        <v>40.32</v>
      </c>
      <c r="M3772">
        <v>33.6</v>
      </c>
      <c r="N3772" t="s">
        <v>4404</v>
      </c>
      <c r="O3772" t="s">
        <v>460</v>
      </c>
    </row>
    <row r="3773" spans="1:15" x14ac:dyDescent="0.3">
      <c r="A3773">
        <v>190270</v>
      </c>
      <c r="B3773">
        <v>116</v>
      </c>
      <c r="C3773" t="s">
        <v>568</v>
      </c>
      <c r="D3773" t="s">
        <v>3179</v>
      </c>
      <c r="E3773" t="s">
        <v>3216</v>
      </c>
      <c r="F3773" s="452">
        <v>46020</v>
      </c>
      <c r="G3773">
        <v>19634</v>
      </c>
      <c r="H3773" t="s">
        <v>4068</v>
      </c>
      <c r="I3773" t="s">
        <v>3469</v>
      </c>
      <c r="J3773">
        <v>2</v>
      </c>
      <c r="K3773" t="s">
        <v>3892</v>
      </c>
      <c r="L3773">
        <v>12</v>
      </c>
      <c r="M3773">
        <v>6</v>
      </c>
      <c r="N3773" t="s">
        <v>4240</v>
      </c>
      <c r="O3773" t="s">
        <v>460</v>
      </c>
    </row>
    <row r="3774" spans="1:15" x14ac:dyDescent="0.3">
      <c r="A3774">
        <v>190270</v>
      </c>
      <c r="B3774">
        <v>116</v>
      </c>
      <c r="C3774" t="s">
        <v>568</v>
      </c>
      <c r="D3774" t="s">
        <v>3179</v>
      </c>
      <c r="E3774" t="s">
        <v>3216</v>
      </c>
      <c r="F3774" s="452">
        <v>46020</v>
      </c>
      <c r="G3774">
        <v>19752</v>
      </c>
      <c r="H3774" t="s">
        <v>4042</v>
      </c>
      <c r="I3774" t="s">
        <v>3469</v>
      </c>
      <c r="J3774">
        <v>1</v>
      </c>
      <c r="K3774" t="s">
        <v>3892</v>
      </c>
      <c r="L3774">
        <v>16.8</v>
      </c>
      <c r="M3774">
        <v>16.8</v>
      </c>
      <c r="N3774" t="s">
        <v>4240</v>
      </c>
      <c r="O3774" t="s">
        <v>460</v>
      </c>
    </row>
    <row r="3775" spans="1:15" x14ac:dyDescent="0.3">
      <c r="A3775">
        <v>190270</v>
      </c>
      <c r="B3775">
        <v>116</v>
      </c>
      <c r="C3775" t="s">
        <v>568</v>
      </c>
      <c r="D3775" t="s">
        <v>3179</v>
      </c>
      <c r="E3775" t="s">
        <v>3216</v>
      </c>
      <c r="F3775" s="452">
        <v>46020</v>
      </c>
      <c r="G3775">
        <v>19672</v>
      </c>
      <c r="H3775" t="s">
        <v>4024</v>
      </c>
      <c r="I3775" t="s">
        <v>3469</v>
      </c>
      <c r="J3775">
        <v>1</v>
      </c>
      <c r="K3775" t="s">
        <v>3892</v>
      </c>
      <c r="L3775">
        <v>14.4</v>
      </c>
      <c r="M3775">
        <v>14.4</v>
      </c>
      <c r="N3775" t="s">
        <v>4240</v>
      </c>
      <c r="O3775" t="s">
        <v>460</v>
      </c>
    </row>
    <row r="3776" spans="1:15" x14ac:dyDescent="0.3">
      <c r="A3776">
        <v>190270</v>
      </c>
      <c r="B3776">
        <v>116</v>
      </c>
      <c r="C3776" t="s">
        <v>568</v>
      </c>
      <c r="D3776" t="s">
        <v>3179</v>
      </c>
      <c r="E3776" t="s">
        <v>3216</v>
      </c>
      <c r="F3776" s="452">
        <v>46020</v>
      </c>
      <c r="G3776">
        <v>23113</v>
      </c>
      <c r="H3776" t="s">
        <v>4079</v>
      </c>
      <c r="I3776" t="s">
        <v>3469</v>
      </c>
      <c r="J3776">
        <v>1</v>
      </c>
      <c r="K3776" t="s">
        <v>3892</v>
      </c>
      <c r="L3776">
        <v>15</v>
      </c>
      <c r="M3776">
        <v>15</v>
      </c>
      <c r="N3776" t="s">
        <v>4240</v>
      </c>
      <c r="O3776" t="s">
        <v>460</v>
      </c>
    </row>
    <row r="3777" spans="1:15" x14ac:dyDescent="0.3">
      <c r="A3777">
        <v>190270</v>
      </c>
      <c r="B3777">
        <v>116</v>
      </c>
      <c r="C3777" t="s">
        <v>568</v>
      </c>
      <c r="D3777" t="s">
        <v>3179</v>
      </c>
      <c r="E3777" t="s">
        <v>3216</v>
      </c>
      <c r="F3777" s="452">
        <v>46020</v>
      </c>
      <c r="G3777">
        <v>23361</v>
      </c>
      <c r="H3777" t="s">
        <v>4220</v>
      </c>
      <c r="I3777" t="s">
        <v>3469</v>
      </c>
      <c r="J3777">
        <v>20</v>
      </c>
      <c r="K3777" t="s">
        <v>3892</v>
      </c>
      <c r="L3777">
        <v>60</v>
      </c>
      <c r="M3777">
        <v>3</v>
      </c>
      <c r="N3777" t="s">
        <v>4240</v>
      </c>
      <c r="O3777" t="s">
        <v>460</v>
      </c>
    </row>
    <row r="3778" spans="1:15" x14ac:dyDescent="0.3">
      <c r="A3778">
        <v>190269</v>
      </c>
      <c r="B3778">
        <v>116</v>
      </c>
      <c r="C3778" t="s">
        <v>568</v>
      </c>
      <c r="D3778" t="s">
        <v>2267</v>
      </c>
      <c r="E3778" t="s">
        <v>1253</v>
      </c>
      <c r="F3778" s="452">
        <v>46014</v>
      </c>
      <c r="G3778">
        <v>28468</v>
      </c>
      <c r="H3778" t="s">
        <v>4158</v>
      </c>
      <c r="I3778" t="s">
        <v>3469</v>
      </c>
      <c r="J3778">
        <v>48.8</v>
      </c>
      <c r="K3778" t="s">
        <v>3892</v>
      </c>
      <c r="L3778">
        <v>682.71</v>
      </c>
      <c r="M3778">
        <v>13.989959000000001</v>
      </c>
      <c r="N3778" t="s">
        <v>4240</v>
      </c>
      <c r="O3778" t="s">
        <v>460</v>
      </c>
    </row>
    <row r="3779" spans="1:15" x14ac:dyDescent="0.3">
      <c r="A3779">
        <v>190267</v>
      </c>
      <c r="B3779">
        <v>116</v>
      </c>
      <c r="C3779" t="s">
        <v>568</v>
      </c>
      <c r="D3779" t="s">
        <v>2262</v>
      </c>
      <c r="E3779" t="s">
        <v>3217</v>
      </c>
      <c r="F3779" s="452">
        <v>46014</v>
      </c>
      <c r="G3779">
        <v>24259</v>
      </c>
      <c r="H3779" t="s">
        <v>3895</v>
      </c>
      <c r="I3779" t="s">
        <v>3469</v>
      </c>
      <c r="J3779">
        <v>16.55</v>
      </c>
      <c r="K3779" t="s">
        <v>3892</v>
      </c>
      <c r="L3779">
        <v>1322.35</v>
      </c>
      <c r="M3779">
        <v>79.900301999999996</v>
      </c>
      <c r="N3779" t="s">
        <v>4424</v>
      </c>
      <c r="O3779" t="s">
        <v>460</v>
      </c>
    </row>
    <row r="3780" spans="1:15" x14ac:dyDescent="0.3">
      <c r="A3780">
        <v>190267</v>
      </c>
      <c r="B3780">
        <v>116</v>
      </c>
      <c r="C3780" t="s">
        <v>568</v>
      </c>
      <c r="D3780" t="s">
        <v>2262</v>
      </c>
      <c r="E3780" t="s">
        <v>3217</v>
      </c>
      <c r="F3780" s="452">
        <v>46014</v>
      </c>
      <c r="G3780">
        <v>24402</v>
      </c>
      <c r="H3780" t="s">
        <v>3896</v>
      </c>
      <c r="I3780" t="s">
        <v>3469</v>
      </c>
      <c r="J3780">
        <v>22.7</v>
      </c>
      <c r="K3780" t="s">
        <v>3892</v>
      </c>
      <c r="L3780">
        <v>844.44</v>
      </c>
      <c r="M3780">
        <v>37.200000000000003</v>
      </c>
      <c r="N3780" t="s">
        <v>4424</v>
      </c>
      <c r="O3780" t="s">
        <v>460</v>
      </c>
    </row>
    <row r="3781" spans="1:15" x14ac:dyDescent="0.3">
      <c r="A3781">
        <v>190267</v>
      </c>
      <c r="B3781">
        <v>116</v>
      </c>
      <c r="C3781" t="s">
        <v>568</v>
      </c>
      <c r="D3781" t="s">
        <v>2262</v>
      </c>
      <c r="E3781" t="s">
        <v>3217</v>
      </c>
      <c r="F3781" s="452">
        <v>46014</v>
      </c>
      <c r="G3781">
        <v>24389</v>
      </c>
      <c r="H3781" t="s">
        <v>4305</v>
      </c>
      <c r="I3781" t="s">
        <v>3469</v>
      </c>
      <c r="J3781">
        <v>5.5</v>
      </c>
      <c r="K3781" t="s">
        <v>3892</v>
      </c>
      <c r="L3781">
        <v>174.9</v>
      </c>
      <c r="M3781">
        <v>31.8</v>
      </c>
      <c r="N3781" t="s">
        <v>4424</v>
      </c>
      <c r="O3781" t="s">
        <v>460</v>
      </c>
    </row>
    <row r="3782" spans="1:15" x14ac:dyDescent="0.3">
      <c r="A3782">
        <v>190267</v>
      </c>
      <c r="B3782">
        <v>116</v>
      </c>
      <c r="C3782" t="s">
        <v>568</v>
      </c>
      <c r="D3782" t="s">
        <v>2262</v>
      </c>
      <c r="E3782" t="s">
        <v>3217</v>
      </c>
      <c r="F3782" s="452">
        <v>46014</v>
      </c>
      <c r="G3782">
        <v>20501</v>
      </c>
      <c r="H3782" t="s">
        <v>4219</v>
      </c>
      <c r="I3782" t="s">
        <v>3469</v>
      </c>
      <c r="J3782">
        <v>5</v>
      </c>
      <c r="K3782" t="s">
        <v>3892</v>
      </c>
      <c r="L3782">
        <v>109.5</v>
      </c>
      <c r="M3782">
        <v>21.9</v>
      </c>
      <c r="N3782" t="s">
        <v>4424</v>
      </c>
      <c r="O3782" t="s">
        <v>460</v>
      </c>
    </row>
    <row r="3783" spans="1:15" x14ac:dyDescent="0.3">
      <c r="A3783">
        <v>190265</v>
      </c>
      <c r="B3783">
        <v>116</v>
      </c>
      <c r="C3783" t="s">
        <v>568</v>
      </c>
      <c r="D3783" t="s">
        <v>2262</v>
      </c>
      <c r="E3783" t="s">
        <v>3218</v>
      </c>
      <c r="F3783" s="452">
        <v>46022</v>
      </c>
      <c r="G3783">
        <v>24339</v>
      </c>
      <c r="H3783" t="s">
        <v>4119</v>
      </c>
      <c r="I3783" t="s">
        <v>3469</v>
      </c>
      <c r="J3783">
        <v>2.5</v>
      </c>
      <c r="K3783" t="s">
        <v>3892</v>
      </c>
      <c r="L3783">
        <v>90</v>
      </c>
      <c r="M3783">
        <v>36</v>
      </c>
      <c r="N3783" t="s">
        <v>4425</v>
      </c>
      <c r="O3783" t="s">
        <v>460</v>
      </c>
    </row>
    <row r="3784" spans="1:15" x14ac:dyDescent="0.3">
      <c r="A3784">
        <v>190265</v>
      </c>
      <c r="B3784">
        <v>116</v>
      </c>
      <c r="C3784" t="s">
        <v>568</v>
      </c>
      <c r="D3784" t="s">
        <v>2262</v>
      </c>
      <c r="E3784" t="s">
        <v>3218</v>
      </c>
      <c r="F3784" s="452">
        <v>46022</v>
      </c>
      <c r="G3784">
        <v>24116</v>
      </c>
      <c r="H3784" t="s">
        <v>3963</v>
      </c>
      <c r="I3784" t="s">
        <v>3469</v>
      </c>
      <c r="J3784">
        <v>5</v>
      </c>
      <c r="K3784" t="s">
        <v>3892</v>
      </c>
      <c r="L3784">
        <v>209.5</v>
      </c>
      <c r="M3784">
        <v>41.9</v>
      </c>
      <c r="N3784" t="s">
        <v>4425</v>
      </c>
      <c r="O3784" t="s">
        <v>460</v>
      </c>
    </row>
    <row r="3785" spans="1:15" x14ac:dyDescent="0.3">
      <c r="A3785">
        <v>190265</v>
      </c>
      <c r="B3785">
        <v>116</v>
      </c>
      <c r="C3785" t="s">
        <v>568</v>
      </c>
      <c r="D3785" t="s">
        <v>2262</v>
      </c>
      <c r="E3785" t="s">
        <v>3218</v>
      </c>
      <c r="F3785" s="452">
        <v>46022</v>
      </c>
      <c r="G3785">
        <v>24331</v>
      </c>
      <c r="H3785" t="s">
        <v>3960</v>
      </c>
      <c r="I3785" t="s">
        <v>3469</v>
      </c>
      <c r="J3785">
        <v>5</v>
      </c>
      <c r="K3785" t="s">
        <v>3892</v>
      </c>
      <c r="L3785">
        <v>109.5</v>
      </c>
      <c r="M3785">
        <v>21.9</v>
      </c>
      <c r="N3785" t="s">
        <v>4425</v>
      </c>
      <c r="O3785" t="s">
        <v>460</v>
      </c>
    </row>
    <row r="3786" spans="1:15" x14ac:dyDescent="0.3">
      <c r="A3786">
        <v>190265</v>
      </c>
      <c r="B3786">
        <v>116</v>
      </c>
      <c r="C3786" t="s">
        <v>568</v>
      </c>
      <c r="D3786" t="s">
        <v>2262</v>
      </c>
      <c r="E3786" t="s">
        <v>3218</v>
      </c>
      <c r="F3786" s="452">
        <v>46022</v>
      </c>
      <c r="G3786">
        <v>24343</v>
      </c>
      <c r="H3786" t="s">
        <v>3990</v>
      </c>
      <c r="I3786" t="s">
        <v>3469</v>
      </c>
      <c r="J3786">
        <v>7.7</v>
      </c>
      <c r="K3786" t="s">
        <v>3892</v>
      </c>
      <c r="L3786">
        <v>198.66</v>
      </c>
      <c r="M3786">
        <v>25.8</v>
      </c>
      <c r="N3786" t="s">
        <v>4425</v>
      </c>
      <c r="O3786" t="s">
        <v>460</v>
      </c>
    </row>
    <row r="3787" spans="1:15" x14ac:dyDescent="0.3">
      <c r="A3787">
        <v>190225</v>
      </c>
      <c r="B3787">
        <v>116</v>
      </c>
      <c r="C3787" t="s">
        <v>568</v>
      </c>
      <c r="D3787" t="s">
        <v>2314</v>
      </c>
      <c r="E3787" t="s">
        <v>3219</v>
      </c>
      <c r="F3787" s="452">
        <v>46010</v>
      </c>
      <c r="G3787">
        <v>18636</v>
      </c>
      <c r="H3787" t="s">
        <v>3921</v>
      </c>
      <c r="I3787" t="s">
        <v>3497</v>
      </c>
      <c r="J3787">
        <v>10</v>
      </c>
      <c r="K3787" t="s">
        <v>3922</v>
      </c>
      <c r="L3787">
        <v>4828</v>
      </c>
      <c r="M3787">
        <v>482.8</v>
      </c>
      <c r="N3787" t="s">
        <v>4276</v>
      </c>
      <c r="O3787" t="s">
        <v>460</v>
      </c>
    </row>
    <row r="3788" spans="1:15" x14ac:dyDescent="0.3">
      <c r="A3788">
        <v>190225</v>
      </c>
      <c r="B3788">
        <v>116</v>
      </c>
      <c r="C3788" t="s">
        <v>568</v>
      </c>
      <c r="D3788" t="s">
        <v>2314</v>
      </c>
      <c r="E3788" t="s">
        <v>3219</v>
      </c>
      <c r="F3788" s="452">
        <v>46010</v>
      </c>
      <c r="G3788">
        <v>18640</v>
      </c>
      <c r="H3788" t="s">
        <v>3994</v>
      </c>
      <c r="I3788" t="s">
        <v>3497</v>
      </c>
      <c r="J3788">
        <v>1</v>
      </c>
      <c r="K3788" t="s">
        <v>3922</v>
      </c>
      <c r="L3788">
        <v>306</v>
      </c>
      <c r="M3788">
        <v>306</v>
      </c>
      <c r="N3788" t="s">
        <v>4276</v>
      </c>
      <c r="O3788" t="s">
        <v>460</v>
      </c>
    </row>
    <row r="3789" spans="1:15" x14ac:dyDescent="0.3">
      <c r="A3789">
        <v>190211</v>
      </c>
      <c r="B3789">
        <v>116</v>
      </c>
      <c r="C3789" t="s">
        <v>568</v>
      </c>
      <c r="D3789" t="s">
        <v>2314</v>
      </c>
      <c r="E3789" t="s">
        <v>3220</v>
      </c>
      <c r="F3789" s="452">
        <v>46014</v>
      </c>
      <c r="G3789">
        <v>18636</v>
      </c>
      <c r="H3789" t="s">
        <v>3921</v>
      </c>
      <c r="I3789" t="s">
        <v>3497</v>
      </c>
      <c r="J3789">
        <v>15</v>
      </c>
      <c r="K3789" t="s">
        <v>3922</v>
      </c>
      <c r="L3789">
        <v>7242</v>
      </c>
      <c r="M3789">
        <v>482.8</v>
      </c>
      <c r="N3789" t="s">
        <v>4276</v>
      </c>
      <c r="O3789" t="s">
        <v>460</v>
      </c>
    </row>
    <row r="3790" spans="1:15" x14ac:dyDescent="0.3">
      <c r="A3790">
        <v>190211</v>
      </c>
      <c r="B3790">
        <v>116</v>
      </c>
      <c r="C3790" t="s">
        <v>568</v>
      </c>
      <c r="D3790" t="s">
        <v>2314</v>
      </c>
      <c r="E3790" t="s">
        <v>3220</v>
      </c>
      <c r="F3790" s="452">
        <v>46014</v>
      </c>
      <c r="G3790">
        <v>17918</v>
      </c>
      <c r="H3790" t="s">
        <v>4034</v>
      </c>
      <c r="I3790" t="s">
        <v>3497</v>
      </c>
      <c r="J3790">
        <v>2</v>
      </c>
      <c r="K3790" t="s">
        <v>3888</v>
      </c>
      <c r="L3790">
        <v>86.4</v>
      </c>
      <c r="M3790">
        <v>43.2</v>
      </c>
      <c r="N3790" t="s">
        <v>4276</v>
      </c>
      <c r="O3790" t="s">
        <v>460</v>
      </c>
    </row>
    <row r="3791" spans="1:15" x14ac:dyDescent="0.3">
      <c r="A3791">
        <v>190211</v>
      </c>
      <c r="B3791">
        <v>116</v>
      </c>
      <c r="C3791" t="s">
        <v>568</v>
      </c>
      <c r="D3791" t="s">
        <v>2314</v>
      </c>
      <c r="E3791" t="s">
        <v>3220</v>
      </c>
      <c r="F3791" s="452">
        <v>46014</v>
      </c>
      <c r="G3791">
        <v>17896</v>
      </c>
      <c r="H3791" t="s">
        <v>3972</v>
      </c>
      <c r="I3791" t="s">
        <v>3497</v>
      </c>
      <c r="J3791">
        <v>2</v>
      </c>
      <c r="K3791" t="s">
        <v>3888</v>
      </c>
      <c r="L3791">
        <v>80.58</v>
      </c>
      <c r="M3791">
        <v>40.29</v>
      </c>
      <c r="N3791" t="s">
        <v>4276</v>
      </c>
      <c r="O3791" t="s">
        <v>460</v>
      </c>
    </row>
    <row r="3792" spans="1:15" x14ac:dyDescent="0.3">
      <c r="A3792">
        <v>190206</v>
      </c>
      <c r="B3792">
        <v>116</v>
      </c>
      <c r="C3792" t="s">
        <v>568</v>
      </c>
      <c r="D3792" t="s">
        <v>2314</v>
      </c>
      <c r="E3792" t="s">
        <v>3221</v>
      </c>
      <c r="F3792" s="452">
        <v>46018</v>
      </c>
      <c r="G3792">
        <v>18636</v>
      </c>
      <c r="H3792" t="s">
        <v>3921</v>
      </c>
      <c r="I3792" t="s">
        <v>3497</v>
      </c>
      <c r="J3792">
        <v>10</v>
      </c>
      <c r="K3792" t="s">
        <v>3922</v>
      </c>
      <c r="L3792">
        <v>4828</v>
      </c>
      <c r="M3792">
        <v>482.8</v>
      </c>
      <c r="N3792" t="s">
        <v>4276</v>
      </c>
      <c r="O3792" t="s">
        <v>460</v>
      </c>
    </row>
    <row r="3793" spans="1:15" x14ac:dyDescent="0.3">
      <c r="A3793">
        <v>190191</v>
      </c>
      <c r="B3793">
        <v>116</v>
      </c>
      <c r="C3793" t="s">
        <v>568</v>
      </c>
      <c r="D3793" t="s">
        <v>2314</v>
      </c>
      <c r="E3793" t="s">
        <v>3222</v>
      </c>
      <c r="F3793" s="452">
        <v>46021</v>
      </c>
      <c r="G3793">
        <v>18636</v>
      </c>
      <c r="H3793" t="s">
        <v>3921</v>
      </c>
      <c r="I3793" t="s">
        <v>3497</v>
      </c>
      <c r="J3793">
        <v>15</v>
      </c>
      <c r="K3793" t="s">
        <v>3922</v>
      </c>
      <c r="L3793">
        <v>7242</v>
      </c>
      <c r="M3793">
        <v>482.8</v>
      </c>
      <c r="N3793" t="s">
        <v>4276</v>
      </c>
      <c r="O3793" t="s">
        <v>460</v>
      </c>
    </row>
    <row r="3794" spans="1:15" x14ac:dyDescent="0.3">
      <c r="A3794">
        <v>189746</v>
      </c>
      <c r="B3794">
        <v>116</v>
      </c>
      <c r="C3794" t="s">
        <v>568</v>
      </c>
      <c r="D3794" t="s">
        <v>2361</v>
      </c>
      <c r="E3794" t="s">
        <v>3223</v>
      </c>
      <c r="F3794" s="452">
        <v>46014</v>
      </c>
      <c r="G3794">
        <v>20234</v>
      </c>
      <c r="H3794" t="s">
        <v>3979</v>
      </c>
      <c r="I3794" t="s">
        <v>3469</v>
      </c>
      <c r="J3794">
        <v>4</v>
      </c>
      <c r="K3794" t="s">
        <v>3892</v>
      </c>
      <c r="L3794">
        <v>36</v>
      </c>
      <c r="M3794">
        <v>9</v>
      </c>
      <c r="N3794" t="s">
        <v>4240</v>
      </c>
      <c r="O3794" t="s">
        <v>460</v>
      </c>
    </row>
    <row r="3795" spans="1:15" x14ac:dyDescent="0.3">
      <c r="A3795">
        <v>189727</v>
      </c>
      <c r="B3795">
        <v>116</v>
      </c>
      <c r="C3795" t="s">
        <v>568</v>
      </c>
      <c r="D3795" t="s">
        <v>2265</v>
      </c>
      <c r="E3795" t="s">
        <v>3224</v>
      </c>
      <c r="F3795" s="452">
        <v>46014</v>
      </c>
      <c r="G3795">
        <v>17437</v>
      </c>
      <c r="H3795" t="s">
        <v>4198</v>
      </c>
      <c r="I3795" t="s">
        <v>4199</v>
      </c>
      <c r="J3795">
        <v>10</v>
      </c>
      <c r="K3795" t="s">
        <v>3872</v>
      </c>
      <c r="L3795">
        <v>25</v>
      </c>
      <c r="M3795">
        <v>2.5</v>
      </c>
      <c r="N3795" t="s">
        <v>2176</v>
      </c>
      <c r="O3795" t="s">
        <v>460</v>
      </c>
    </row>
    <row r="3796" spans="1:15" x14ac:dyDescent="0.3">
      <c r="A3796">
        <v>189727</v>
      </c>
      <c r="B3796">
        <v>116</v>
      </c>
      <c r="C3796" t="s">
        <v>568</v>
      </c>
      <c r="D3796" t="s">
        <v>2265</v>
      </c>
      <c r="E3796" t="s">
        <v>3224</v>
      </c>
      <c r="F3796" s="452">
        <v>46014</v>
      </c>
      <c r="G3796">
        <v>17185</v>
      </c>
      <c r="H3796" t="s">
        <v>4210</v>
      </c>
      <c r="I3796" t="s">
        <v>4199</v>
      </c>
      <c r="J3796">
        <v>1</v>
      </c>
      <c r="K3796" t="s">
        <v>3978</v>
      </c>
      <c r="L3796">
        <v>18</v>
      </c>
      <c r="M3796">
        <v>18</v>
      </c>
      <c r="N3796" t="s">
        <v>2176</v>
      </c>
      <c r="O3796" t="s">
        <v>460</v>
      </c>
    </row>
    <row r="3797" spans="1:15" x14ac:dyDescent="0.3">
      <c r="A3797">
        <v>189727</v>
      </c>
      <c r="B3797">
        <v>116</v>
      </c>
      <c r="C3797" t="s">
        <v>568</v>
      </c>
      <c r="D3797" t="s">
        <v>2265</v>
      </c>
      <c r="E3797" t="s">
        <v>3224</v>
      </c>
      <c r="F3797" s="452">
        <v>46014</v>
      </c>
      <c r="G3797">
        <v>17341</v>
      </c>
      <c r="H3797" t="s">
        <v>4232</v>
      </c>
      <c r="I3797" t="s">
        <v>4199</v>
      </c>
      <c r="J3797">
        <v>1</v>
      </c>
      <c r="K3797" t="s">
        <v>3931</v>
      </c>
      <c r="L3797">
        <v>85</v>
      </c>
      <c r="M3797">
        <v>85</v>
      </c>
      <c r="N3797" t="s">
        <v>2176</v>
      </c>
      <c r="O3797" t="s">
        <v>460</v>
      </c>
    </row>
    <row r="3798" spans="1:15" x14ac:dyDescent="0.3">
      <c r="A3798">
        <v>189727</v>
      </c>
      <c r="B3798">
        <v>116</v>
      </c>
      <c r="C3798" t="s">
        <v>568</v>
      </c>
      <c r="D3798" t="s">
        <v>2265</v>
      </c>
      <c r="E3798" t="s">
        <v>3224</v>
      </c>
      <c r="F3798" s="452">
        <v>46014</v>
      </c>
      <c r="G3798">
        <v>17314</v>
      </c>
      <c r="H3798" t="s">
        <v>4204</v>
      </c>
      <c r="I3798" t="s">
        <v>4199</v>
      </c>
      <c r="J3798">
        <v>2</v>
      </c>
      <c r="K3798" t="s">
        <v>3978</v>
      </c>
      <c r="L3798">
        <v>12.2</v>
      </c>
      <c r="M3798">
        <v>6.1</v>
      </c>
      <c r="N3798" t="s">
        <v>2176</v>
      </c>
      <c r="O3798" t="s">
        <v>460</v>
      </c>
    </row>
    <row r="3799" spans="1:15" x14ac:dyDescent="0.3">
      <c r="A3799">
        <v>189727</v>
      </c>
      <c r="B3799">
        <v>116</v>
      </c>
      <c r="C3799" t="s">
        <v>568</v>
      </c>
      <c r="D3799" t="s">
        <v>2265</v>
      </c>
      <c r="E3799" t="s">
        <v>3224</v>
      </c>
      <c r="F3799" s="452">
        <v>46014</v>
      </c>
      <c r="G3799">
        <v>17573</v>
      </c>
      <c r="H3799" t="s">
        <v>4306</v>
      </c>
      <c r="I3799" t="s">
        <v>4199</v>
      </c>
      <c r="J3799">
        <v>1</v>
      </c>
      <c r="K3799" t="s">
        <v>3881</v>
      </c>
      <c r="L3799">
        <v>78</v>
      </c>
      <c r="M3799">
        <v>78</v>
      </c>
      <c r="N3799" t="s">
        <v>2176</v>
      </c>
      <c r="O3799" t="s">
        <v>460</v>
      </c>
    </row>
    <row r="3800" spans="1:15" x14ac:dyDescent="0.3">
      <c r="A3800">
        <v>189727</v>
      </c>
      <c r="B3800">
        <v>116</v>
      </c>
      <c r="C3800" t="s">
        <v>568</v>
      </c>
      <c r="D3800" t="s">
        <v>2265</v>
      </c>
      <c r="E3800" t="s">
        <v>3224</v>
      </c>
      <c r="F3800" s="452">
        <v>46014</v>
      </c>
      <c r="G3800">
        <v>17215</v>
      </c>
      <c r="H3800" t="s">
        <v>4283</v>
      </c>
      <c r="I3800" t="s">
        <v>4199</v>
      </c>
      <c r="J3800">
        <v>5</v>
      </c>
      <c r="K3800" t="s">
        <v>3978</v>
      </c>
      <c r="L3800">
        <v>100</v>
      </c>
      <c r="M3800">
        <v>20</v>
      </c>
      <c r="N3800" t="s">
        <v>2176</v>
      </c>
      <c r="O3800" t="s">
        <v>460</v>
      </c>
    </row>
    <row r="3801" spans="1:15" x14ac:dyDescent="0.3">
      <c r="A3801">
        <v>189727</v>
      </c>
      <c r="B3801">
        <v>116</v>
      </c>
      <c r="C3801" t="s">
        <v>568</v>
      </c>
      <c r="D3801" t="s">
        <v>2265</v>
      </c>
      <c r="E3801" t="s">
        <v>3224</v>
      </c>
      <c r="F3801" s="452">
        <v>46014</v>
      </c>
      <c r="G3801">
        <v>17266</v>
      </c>
      <c r="H3801" t="s">
        <v>4229</v>
      </c>
      <c r="I3801" t="s">
        <v>4199</v>
      </c>
      <c r="J3801">
        <v>12</v>
      </c>
      <c r="K3801" t="s">
        <v>3872</v>
      </c>
      <c r="L3801">
        <v>60.96</v>
      </c>
      <c r="M3801">
        <v>5.08</v>
      </c>
      <c r="N3801" t="s">
        <v>2176</v>
      </c>
      <c r="O3801" t="s">
        <v>460</v>
      </c>
    </row>
    <row r="3802" spans="1:15" x14ac:dyDescent="0.3">
      <c r="A3802">
        <v>189727</v>
      </c>
      <c r="B3802">
        <v>116</v>
      </c>
      <c r="C3802" t="s">
        <v>568</v>
      </c>
      <c r="D3802" t="s">
        <v>2265</v>
      </c>
      <c r="E3802" t="s">
        <v>3224</v>
      </c>
      <c r="F3802" s="452">
        <v>46014</v>
      </c>
      <c r="G3802">
        <v>24495</v>
      </c>
      <c r="H3802" t="s">
        <v>4274</v>
      </c>
      <c r="I3802" t="s">
        <v>4199</v>
      </c>
      <c r="J3802">
        <v>1</v>
      </c>
      <c r="K3802" t="s">
        <v>3872</v>
      </c>
      <c r="L3802">
        <v>42</v>
      </c>
      <c r="M3802">
        <v>42</v>
      </c>
      <c r="N3802" t="s">
        <v>2176</v>
      </c>
      <c r="O3802" t="s">
        <v>460</v>
      </c>
    </row>
    <row r="3803" spans="1:15" x14ac:dyDescent="0.3">
      <c r="A3803">
        <v>189727</v>
      </c>
      <c r="B3803">
        <v>116</v>
      </c>
      <c r="C3803" t="s">
        <v>568</v>
      </c>
      <c r="D3803" t="s">
        <v>2265</v>
      </c>
      <c r="E3803" t="s">
        <v>3224</v>
      </c>
      <c r="F3803" s="452">
        <v>46014</v>
      </c>
      <c r="G3803">
        <v>17425</v>
      </c>
      <c r="H3803" t="s">
        <v>4421</v>
      </c>
      <c r="I3803" t="s">
        <v>4199</v>
      </c>
      <c r="J3803">
        <v>5</v>
      </c>
      <c r="K3803" t="s">
        <v>3881</v>
      </c>
      <c r="L3803">
        <v>276</v>
      </c>
      <c r="M3803">
        <v>55.2</v>
      </c>
      <c r="N3803" t="s">
        <v>2176</v>
      </c>
      <c r="O3803" t="s">
        <v>460</v>
      </c>
    </row>
    <row r="3804" spans="1:15" x14ac:dyDescent="0.3">
      <c r="A3804">
        <v>189727</v>
      </c>
      <c r="B3804">
        <v>116</v>
      </c>
      <c r="C3804" t="s">
        <v>568</v>
      </c>
      <c r="D3804" t="s">
        <v>2265</v>
      </c>
      <c r="E3804" t="s">
        <v>3224</v>
      </c>
      <c r="F3804" s="452">
        <v>46014</v>
      </c>
      <c r="G3804">
        <v>24843</v>
      </c>
      <c r="H3804" t="s">
        <v>4392</v>
      </c>
      <c r="I3804" t="s">
        <v>4199</v>
      </c>
      <c r="J3804">
        <v>1</v>
      </c>
      <c r="K3804" t="s">
        <v>3881</v>
      </c>
      <c r="L3804">
        <v>62</v>
      </c>
      <c r="M3804">
        <v>62</v>
      </c>
      <c r="N3804" t="s">
        <v>2176</v>
      </c>
      <c r="O3804" t="s">
        <v>460</v>
      </c>
    </row>
    <row r="3805" spans="1:15" x14ac:dyDescent="0.3">
      <c r="A3805">
        <v>189726</v>
      </c>
      <c r="B3805">
        <v>116</v>
      </c>
      <c r="C3805" t="s">
        <v>568</v>
      </c>
      <c r="D3805" t="s">
        <v>3122</v>
      </c>
      <c r="E3805" t="s">
        <v>3225</v>
      </c>
      <c r="F3805" s="452">
        <v>46013</v>
      </c>
      <c r="G3805">
        <v>17129</v>
      </c>
      <c r="H3805" t="s">
        <v>4200</v>
      </c>
      <c r="I3805" t="s">
        <v>4199</v>
      </c>
      <c r="J3805">
        <v>1</v>
      </c>
      <c r="K3805" t="s">
        <v>3888</v>
      </c>
      <c r="L3805">
        <v>29.5</v>
      </c>
      <c r="M3805">
        <v>29.5</v>
      </c>
      <c r="N3805" t="s">
        <v>4405</v>
      </c>
      <c r="O3805" t="s">
        <v>460</v>
      </c>
    </row>
    <row r="3806" spans="1:15" x14ac:dyDescent="0.3">
      <c r="A3806">
        <v>189726</v>
      </c>
      <c r="B3806">
        <v>116</v>
      </c>
      <c r="C3806" t="s">
        <v>568</v>
      </c>
      <c r="D3806" t="s">
        <v>3122</v>
      </c>
      <c r="E3806" t="s">
        <v>3225</v>
      </c>
      <c r="F3806" s="452">
        <v>46013</v>
      </c>
      <c r="G3806">
        <v>17017</v>
      </c>
      <c r="H3806" t="s">
        <v>4230</v>
      </c>
      <c r="I3806" t="s">
        <v>4199</v>
      </c>
      <c r="J3806">
        <v>2</v>
      </c>
      <c r="K3806" t="s">
        <v>3888</v>
      </c>
      <c r="L3806">
        <v>5.9</v>
      </c>
      <c r="M3806">
        <v>2.95</v>
      </c>
      <c r="N3806" t="s">
        <v>4405</v>
      </c>
      <c r="O3806" t="s">
        <v>460</v>
      </c>
    </row>
    <row r="3807" spans="1:15" x14ac:dyDescent="0.3">
      <c r="A3807">
        <v>189726</v>
      </c>
      <c r="B3807">
        <v>116</v>
      </c>
      <c r="C3807" t="s">
        <v>568</v>
      </c>
      <c r="D3807" t="s">
        <v>3122</v>
      </c>
      <c r="E3807" t="s">
        <v>3225</v>
      </c>
      <c r="F3807" s="452">
        <v>46013</v>
      </c>
      <c r="G3807">
        <v>21783</v>
      </c>
      <c r="H3807" t="s">
        <v>4228</v>
      </c>
      <c r="I3807" t="s">
        <v>4202</v>
      </c>
      <c r="J3807">
        <v>2</v>
      </c>
      <c r="K3807" t="s">
        <v>3872</v>
      </c>
      <c r="L3807">
        <v>21.9</v>
      </c>
      <c r="M3807">
        <v>10.95</v>
      </c>
      <c r="N3807" t="s">
        <v>4405</v>
      </c>
      <c r="O3807" t="s">
        <v>460</v>
      </c>
    </row>
    <row r="3808" spans="1:15" x14ac:dyDescent="0.3">
      <c r="A3808">
        <v>189726</v>
      </c>
      <c r="B3808">
        <v>116</v>
      </c>
      <c r="C3808" t="s">
        <v>568</v>
      </c>
      <c r="D3808" t="s">
        <v>3122</v>
      </c>
      <c r="E3808" t="s">
        <v>3225</v>
      </c>
      <c r="F3808" s="452">
        <v>46013</v>
      </c>
      <c r="G3808">
        <v>17381</v>
      </c>
      <c r="H3808" t="s">
        <v>4247</v>
      </c>
      <c r="I3808" t="s">
        <v>4199</v>
      </c>
      <c r="J3808">
        <v>1</v>
      </c>
      <c r="K3808" t="s">
        <v>3872</v>
      </c>
      <c r="L3808">
        <v>32.9</v>
      </c>
      <c r="M3808">
        <v>32.9</v>
      </c>
      <c r="N3808" t="s">
        <v>4405</v>
      </c>
      <c r="O3808" t="s">
        <v>460</v>
      </c>
    </row>
    <row r="3809" spans="1:15" x14ac:dyDescent="0.3">
      <c r="A3809">
        <v>189726</v>
      </c>
      <c r="B3809">
        <v>116</v>
      </c>
      <c r="C3809" t="s">
        <v>568</v>
      </c>
      <c r="D3809" t="s">
        <v>3122</v>
      </c>
      <c r="E3809" t="s">
        <v>3225</v>
      </c>
      <c r="F3809" s="452">
        <v>46013</v>
      </c>
      <c r="G3809">
        <v>27080</v>
      </c>
      <c r="H3809" t="s">
        <v>4250</v>
      </c>
      <c r="I3809" t="s">
        <v>4199</v>
      </c>
      <c r="J3809">
        <v>5</v>
      </c>
      <c r="K3809" t="s">
        <v>3888</v>
      </c>
      <c r="L3809">
        <v>64.95</v>
      </c>
      <c r="M3809">
        <v>12.99</v>
      </c>
      <c r="N3809" t="s">
        <v>4405</v>
      </c>
      <c r="O3809" t="s">
        <v>460</v>
      </c>
    </row>
    <row r="3810" spans="1:15" x14ac:dyDescent="0.3">
      <c r="A3810">
        <v>189682</v>
      </c>
      <c r="B3810">
        <v>116</v>
      </c>
      <c r="C3810" t="s">
        <v>568</v>
      </c>
      <c r="D3810" t="s">
        <v>2499</v>
      </c>
      <c r="E3810" t="s">
        <v>3226</v>
      </c>
      <c r="F3810" s="452">
        <v>46021</v>
      </c>
      <c r="G3810">
        <v>20519</v>
      </c>
      <c r="H3810" t="s">
        <v>3902</v>
      </c>
      <c r="I3810" t="s">
        <v>3469</v>
      </c>
      <c r="J3810">
        <v>20.46</v>
      </c>
      <c r="K3810" t="s">
        <v>3892</v>
      </c>
      <c r="L3810">
        <v>1017.88</v>
      </c>
      <c r="M3810">
        <v>49.749755999999998</v>
      </c>
      <c r="N3810" t="s">
        <v>4240</v>
      </c>
      <c r="O3810" t="s">
        <v>460</v>
      </c>
    </row>
    <row r="3811" spans="1:15" x14ac:dyDescent="0.3">
      <c r="A3811">
        <v>189679</v>
      </c>
      <c r="B3811">
        <v>116</v>
      </c>
      <c r="C3811" t="s">
        <v>568</v>
      </c>
      <c r="D3811" t="s">
        <v>2286</v>
      </c>
      <c r="E3811" t="s">
        <v>3227</v>
      </c>
      <c r="F3811" s="452">
        <v>46024</v>
      </c>
      <c r="G3811">
        <v>19621</v>
      </c>
      <c r="H3811" t="s">
        <v>4125</v>
      </c>
      <c r="I3811" t="s">
        <v>3469</v>
      </c>
      <c r="J3811">
        <v>2</v>
      </c>
      <c r="K3811" t="s">
        <v>3892</v>
      </c>
      <c r="L3811">
        <v>7.6</v>
      </c>
      <c r="M3811">
        <v>3.8</v>
      </c>
      <c r="N3811" t="s">
        <v>4240</v>
      </c>
      <c r="O3811" t="s">
        <v>461</v>
      </c>
    </row>
    <row r="3812" spans="1:15" x14ac:dyDescent="0.3">
      <c r="A3812">
        <v>189679</v>
      </c>
      <c r="B3812">
        <v>116</v>
      </c>
      <c r="C3812" t="s">
        <v>568</v>
      </c>
      <c r="D3812" t="s">
        <v>2286</v>
      </c>
      <c r="E3812" t="s">
        <v>3227</v>
      </c>
      <c r="F3812" s="452">
        <v>46024</v>
      </c>
      <c r="G3812">
        <v>19787</v>
      </c>
      <c r="H3812" t="s">
        <v>3940</v>
      </c>
      <c r="I3812" t="s">
        <v>3469</v>
      </c>
      <c r="J3812">
        <v>4.5</v>
      </c>
      <c r="K3812" t="s">
        <v>3892</v>
      </c>
      <c r="L3812">
        <v>22.5</v>
      </c>
      <c r="M3812">
        <v>5</v>
      </c>
      <c r="N3812" t="s">
        <v>4240</v>
      </c>
      <c r="O3812" t="s">
        <v>461</v>
      </c>
    </row>
    <row r="3813" spans="1:15" x14ac:dyDescent="0.3">
      <c r="A3813">
        <v>189679</v>
      </c>
      <c r="B3813">
        <v>116</v>
      </c>
      <c r="C3813" t="s">
        <v>568</v>
      </c>
      <c r="D3813" t="s">
        <v>2286</v>
      </c>
      <c r="E3813" t="s">
        <v>3227</v>
      </c>
      <c r="F3813" s="452">
        <v>46024</v>
      </c>
      <c r="G3813">
        <v>24083</v>
      </c>
      <c r="H3813" t="s">
        <v>3898</v>
      </c>
      <c r="I3813" t="s">
        <v>3469</v>
      </c>
      <c r="J3813">
        <v>25</v>
      </c>
      <c r="K3813" t="s">
        <v>3892</v>
      </c>
      <c r="L3813">
        <v>97.5</v>
      </c>
      <c r="M3813">
        <v>3.9</v>
      </c>
      <c r="N3813" t="s">
        <v>4240</v>
      </c>
      <c r="O3813" t="s">
        <v>461</v>
      </c>
    </row>
    <row r="3814" spans="1:15" x14ac:dyDescent="0.3">
      <c r="A3814">
        <v>189679</v>
      </c>
      <c r="B3814">
        <v>116</v>
      </c>
      <c r="C3814" t="s">
        <v>568</v>
      </c>
      <c r="D3814" t="s">
        <v>2286</v>
      </c>
      <c r="E3814" t="s">
        <v>3227</v>
      </c>
      <c r="F3814" s="452">
        <v>46024</v>
      </c>
      <c r="G3814">
        <v>19506</v>
      </c>
      <c r="H3814" t="s">
        <v>4112</v>
      </c>
      <c r="I3814" t="s">
        <v>3469</v>
      </c>
      <c r="J3814">
        <v>0.2</v>
      </c>
      <c r="K3814" t="s">
        <v>3892</v>
      </c>
      <c r="L3814">
        <v>9</v>
      </c>
      <c r="M3814">
        <v>45</v>
      </c>
      <c r="N3814" t="s">
        <v>4240</v>
      </c>
      <c r="O3814" t="s">
        <v>461</v>
      </c>
    </row>
    <row r="3815" spans="1:15" x14ac:dyDescent="0.3">
      <c r="A3815">
        <v>189679</v>
      </c>
      <c r="B3815">
        <v>116</v>
      </c>
      <c r="C3815" t="s">
        <v>568</v>
      </c>
      <c r="D3815" t="s">
        <v>2286</v>
      </c>
      <c r="E3815" t="s">
        <v>3227</v>
      </c>
      <c r="F3815" s="452">
        <v>46024</v>
      </c>
      <c r="G3815">
        <v>19505</v>
      </c>
      <c r="H3815" t="s">
        <v>4101</v>
      </c>
      <c r="I3815" t="s">
        <v>3469</v>
      </c>
      <c r="J3815">
        <v>1</v>
      </c>
      <c r="K3815" t="s">
        <v>3892</v>
      </c>
      <c r="L3815">
        <v>9.8000000000000007</v>
      </c>
      <c r="M3815">
        <v>9.8000000000000007</v>
      </c>
      <c r="N3815" t="s">
        <v>4240</v>
      </c>
      <c r="O3815" t="s">
        <v>461</v>
      </c>
    </row>
    <row r="3816" spans="1:15" x14ac:dyDescent="0.3">
      <c r="A3816">
        <v>189679</v>
      </c>
      <c r="B3816">
        <v>116</v>
      </c>
      <c r="C3816" t="s">
        <v>568</v>
      </c>
      <c r="D3816" t="s">
        <v>2286</v>
      </c>
      <c r="E3816" t="s">
        <v>3227</v>
      </c>
      <c r="F3816" s="452">
        <v>46024</v>
      </c>
      <c r="G3816">
        <v>19465</v>
      </c>
      <c r="H3816" t="s">
        <v>4080</v>
      </c>
      <c r="I3816" t="s">
        <v>3469</v>
      </c>
      <c r="J3816">
        <v>1</v>
      </c>
      <c r="K3816" t="s">
        <v>3892</v>
      </c>
      <c r="L3816">
        <v>5.5</v>
      </c>
      <c r="M3816">
        <v>5.5</v>
      </c>
      <c r="N3816" t="s">
        <v>4240</v>
      </c>
      <c r="O3816" t="s">
        <v>461</v>
      </c>
    </row>
    <row r="3817" spans="1:15" x14ac:dyDescent="0.3">
      <c r="A3817">
        <v>189679</v>
      </c>
      <c r="B3817">
        <v>116</v>
      </c>
      <c r="C3817" t="s">
        <v>568</v>
      </c>
      <c r="D3817" t="s">
        <v>2286</v>
      </c>
      <c r="E3817" t="s">
        <v>3227</v>
      </c>
      <c r="F3817" s="452">
        <v>46024</v>
      </c>
      <c r="G3817">
        <v>19488</v>
      </c>
      <c r="H3817" t="s">
        <v>4070</v>
      </c>
      <c r="I3817" t="s">
        <v>3469</v>
      </c>
      <c r="J3817">
        <v>0.3</v>
      </c>
      <c r="K3817" t="s">
        <v>3892</v>
      </c>
      <c r="L3817">
        <v>3.9</v>
      </c>
      <c r="M3817">
        <v>13</v>
      </c>
      <c r="N3817" t="s">
        <v>4240</v>
      </c>
      <c r="O3817" t="s">
        <v>461</v>
      </c>
    </row>
    <row r="3818" spans="1:15" x14ac:dyDescent="0.3">
      <c r="A3818">
        <v>189679</v>
      </c>
      <c r="B3818">
        <v>116</v>
      </c>
      <c r="C3818" t="s">
        <v>568</v>
      </c>
      <c r="D3818" t="s">
        <v>2286</v>
      </c>
      <c r="E3818" t="s">
        <v>3227</v>
      </c>
      <c r="F3818" s="452">
        <v>46024</v>
      </c>
      <c r="G3818">
        <v>19642</v>
      </c>
      <c r="H3818" t="s">
        <v>4067</v>
      </c>
      <c r="I3818" t="s">
        <v>3469</v>
      </c>
      <c r="J3818">
        <v>1</v>
      </c>
      <c r="K3818" t="s">
        <v>3892</v>
      </c>
      <c r="L3818">
        <v>7.5</v>
      </c>
      <c r="M3818">
        <v>7.5</v>
      </c>
      <c r="N3818" t="s">
        <v>4240</v>
      </c>
      <c r="O3818" t="s">
        <v>461</v>
      </c>
    </row>
    <row r="3819" spans="1:15" x14ac:dyDescent="0.3">
      <c r="A3819">
        <v>189679</v>
      </c>
      <c r="B3819">
        <v>116</v>
      </c>
      <c r="C3819" t="s">
        <v>568</v>
      </c>
      <c r="D3819" t="s">
        <v>2286</v>
      </c>
      <c r="E3819" t="s">
        <v>3227</v>
      </c>
      <c r="F3819" s="452">
        <v>46024</v>
      </c>
      <c r="G3819">
        <v>23096</v>
      </c>
      <c r="H3819" t="s">
        <v>3876</v>
      </c>
      <c r="I3819" t="s">
        <v>3469</v>
      </c>
      <c r="J3819">
        <v>60</v>
      </c>
      <c r="K3819" t="s">
        <v>3872</v>
      </c>
      <c r="L3819">
        <v>30</v>
      </c>
      <c r="M3819">
        <v>0.5</v>
      </c>
      <c r="N3819" t="s">
        <v>4240</v>
      </c>
      <c r="O3819" t="s">
        <v>461</v>
      </c>
    </row>
    <row r="3820" spans="1:15" x14ac:dyDescent="0.3">
      <c r="A3820">
        <v>189679</v>
      </c>
      <c r="B3820">
        <v>116</v>
      </c>
      <c r="C3820" t="s">
        <v>568</v>
      </c>
      <c r="D3820" t="s">
        <v>2286</v>
      </c>
      <c r="E3820" t="s">
        <v>3227</v>
      </c>
      <c r="F3820" s="452">
        <v>46024</v>
      </c>
      <c r="G3820">
        <v>23120</v>
      </c>
      <c r="H3820" t="s">
        <v>4111</v>
      </c>
      <c r="I3820" t="s">
        <v>3469</v>
      </c>
      <c r="J3820">
        <v>0.2</v>
      </c>
      <c r="K3820" t="s">
        <v>3892</v>
      </c>
      <c r="L3820">
        <v>15</v>
      </c>
      <c r="M3820">
        <v>75</v>
      </c>
      <c r="N3820" t="s">
        <v>4240</v>
      </c>
      <c r="O3820" t="s">
        <v>461</v>
      </c>
    </row>
    <row r="3821" spans="1:15" x14ac:dyDescent="0.3">
      <c r="A3821">
        <v>189679</v>
      </c>
      <c r="B3821">
        <v>116</v>
      </c>
      <c r="C3821" t="s">
        <v>568</v>
      </c>
      <c r="D3821" t="s">
        <v>2286</v>
      </c>
      <c r="E3821" t="s">
        <v>3227</v>
      </c>
      <c r="F3821" s="452">
        <v>46024</v>
      </c>
      <c r="G3821">
        <v>24598</v>
      </c>
      <c r="H3821" t="s">
        <v>4166</v>
      </c>
      <c r="I3821" t="s">
        <v>3469</v>
      </c>
      <c r="J3821">
        <v>1</v>
      </c>
      <c r="K3821" t="s">
        <v>3892</v>
      </c>
      <c r="L3821">
        <v>10</v>
      </c>
      <c r="M3821">
        <v>10</v>
      </c>
      <c r="N3821" t="s">
        <v>4240</v>
      </c>
      <c r="O3821" t="s">
        <v>461</v>
      </c>
    </row>
    <row r="3822" spans="1:15" x14ac:dyDescent="0.3">
      <c r="A3822">
        <v>189679</v>
      </c>
      <c r="B3822">
        <v>116</v>
      </c>
      <c r="C3822" t="s">
        <v>568</v>
      </c>
      <c r="D3822" t="s">
        <v>2286</v>
      </c>
      <c r="E3822" t="s">
        <v>3227</v>
      </c>
      <c r="F3822" s="452">
        <v>46024</v>
      </c>
      <c r="G3822">
        <v>23389</v>
      </c>
      <c r="H3822" t="s">
        <v>4016</v>
      </c>
      <c r="I3822" t="s">
        <v>3469</v>
      </c>
      <c r="J3822">
        <v>5</v>
      </c>
      <c r="K3822" t="s">
        <v>3892</v>
      </c>
      <c r="L3822">
        <v>32.5</v>
      </c>
      <c r="M3822">
        <v>6.5</v>
      </c>
      <c r="N3822" t="s">
        <v>4240</v>
      </c>
      <c r="O3822" t="s">
        <v>461</v>
      </c>
    </row>
    <row r="3823" spans="1:15" x14ac:dyDescent="0.3">
      <c r="A3823">
        <v>189679</v>
      </c>
      <c r="B3823">
        <v>116</v>
      </c>
      <c r="C3823" t="s">
        <v>568</v>
      </c>
      <c r="D3823" t="s">
        <v>2286</v>
      </c>
      <c r="E3823" t="s">
        <v>3227</v>
      </c>
      <c r="F3823" s="452">
        <v>46024</v>
      </c>
      <c r="G3823">
        <v>23095</v>
      </c>
      <c r="H3823" t="s">
        <v>3882</v>
      </c>
      <c r="I3823" t="s">
        <v>3469</v>
      </c>
      <c r="J3823">
        <v>60</v>
      </c>
      <c r="K3823" t="s">
        <v>3872</v>
      </c>
      <c r="L3823">
        <v>56.4</v>
      </c>
      <c r="M3823">
        <v>0.94</v>
      </c>
      <c r="N3823" t="s">
        <v>4240</v>
      </c>
      <c r="O3823" t="s">
        <v>461</v>
      </c>
    </row>
    <row r="3824" spans="1:15" x14ac:dyDescent="0.3">
      <c r="A3824">
        <v>189679</v>
      </c>
      <c r="B3824">
        <v>116</v>
      </c>
      <c r="C3824" t="s">
        <v>568</v>
      </c>
      <c r="D3824" t="s">
        <v>2286</v>
      </c>
      <c r="E3824" t="s">
        <v>3227</v>
      </c>
      <c r="F3824" s="452">
        <v>46024</v>
      </c>
      <c r="G3824">
        <v>23236</v>
      </c>
      <c r="H3824" t="s">
        <v>4017</v>
      </c>
      <c r="I3824" t="s">
        <v>3469</v>
      </c>
      <c r="J3824">
        <v>4</v>
      </c>
      <c r="K3824" t="s">
        <v>3892</v>
      </c>
      <c r="L3824">
        <v>24</v>
      </c>
      <c r="M3824">
        <v>6</v>
      </c>
      <c r="N3824" t="s">
        <v>4240</v>
      </c>
      <c r="O3824" t="s">
        <v>461</v>
      </c>
    </row>
    <row r="3825" spans="1:15" x14ac:dyDescent="0.3">
      <c r="A3825">
        <v>189679</v>
      </c>
      <c r="B3825">
        <v>116</v>
      </c>
      <c r="C3825" t="s">
        <v>568</v>
      </c>
      <c r="D3825" t="s">
        <v>2286</v>
      </c>
      <c r="E3825" t="s">
        <v>3227</v>
      </c>
      <c r="F3825" s="452">
        <v>46024</v>
      </c>
      <c r="G3825">
        <v>23359</v>
      </c>
      <c r="H3825" t="s">
        <v>3932</v>
      </c>
      <c r="I3825" t="s">
        <v>3469</v>
      </c>
      <c r="J3825">
        <v>6</v>
      </c>
      <c r="K3825" t="s">
        <v>3892</v>
      </c>
      <c r="L3825">
        <v>19.2</v>
      </c>
      <c r="M3825">
        <v>3.2</v>
      </c>
      <c r="N3825" t="s">
        <v>4240</v>
      </c>
      <c r="O3825" t="s">
        <v>461</v>
      </c>
    </row>
    <row r="3826" spans="1:15" x14ac:dyDescent="0.3">
      <c r="A3826">
        <v>189677</v>
      </c>
      <c r="B3826">
        <v>116</v>
      </c>
      <c r="C3826" t="s">
        <v>568</v>
      </c>
      <c r="D3826" t="s">
        <v>2429</v>
      </c>
      <c r="E3826" t="s">
        <v>3228</v>
      </c>
      <c r="F3826" s="452">
        <v>46008</v>
      </c>
      <c r="G3826">
        <v>19139</v>
      </c>
      <c r="H3826" t="s">
        <v>3887</v>
      </c>
      <c r="I3826" t="s">
        <v>3469</v>
      </c>
      <c r="J3826">
        <v>12</v>
      </c>
      <c r="K3826" t="s">
        <v>3888</v>
      </c>
      <c r="L3826">
        <v>109.2</v>
      </c>
      <c r="M3826">
        <v>9.1</v>
      </c>
      <c r="N3826" t="s">
        <v>4240</v>
      </c>
      <c r="O3826" t="s">
        <v>460</v>
      </c>
    </row>
    <row r="3827" spans="1:15" x14ac:dyDescent="0.3">
      <c r="A3827">
        <v>189676</v>
      </c>
      <c r="B3827">
        <v>116</v>
      </c>
      <c r="C3827" t="s">
        <v>568</v>
      </c>
      <c r="D3827" t="s">
        <v>2463</v>
      </c>
      <c r="E3827" t="s">
        <v>3229</v>
      </c>
      <c r="F3827" s="452">
        <v>46028</v>
      </c>
      <c r="G3827">
        <v>19130</v>
      </c>
      <c r="H3827" t="s">
        <v>4284</v>
      </c>
      <c r="I3827" t="s">
        <v>3469</v>
      </c>
      <c r="J3827">
        <v>1006</v>
      </c>
      <c r="K3827" t="s">
        <v>3892</v>
      </c>
      <c r="L3827">
        <v>1056.3</v>
      </c>
      <c r="M3827">
        <v>1.05</v>
      </c>
      <c r="N3827" t="s">
        <v>4240</v>
      </c>
      <c r="O3827" t="s">
        <v>461</v>
      </c>
    </row>
    <row r="3828" spans="1:15" x14ac:dyDescent="0.3">
      <c r="A3828">
        <v>189676</v>
      </c>
      <c r="B3828">
        <v>116</v>
      </c>
      <c r="C3828" t="s">
        <v>568</v>
      </c>
      <c r="D3828" t="s">
        <v>2463</v>
      </c>
      <c r="E3828" t="s">
        <v>3229</v>
      </c>
      <c r="F3828" s="452">
        <v>46028</v>
      </c>
      <c r="G3828">
        <v>23687</v>
      </c>
      <c r="H3828" t="s">
        <v>4285</v>
      </c>
      <c r="I3828" t="s">
        <v>3469</v>
      </c>
      <c r="J3828">
        <v>31.75</v>
      </c>
      <c r="K3828" t="s">
        <v>3892</v>
      </c>
      <c r="L3828">
        <v>409.6</v>
      </c>
      <c r="M3828">
        <v>12.900786999999999</v>
      </c>
      <c r="N3828" t="s">
        <v>4240</v>
      </c>
      <c r="O3828" t="s">
        <v>461</v>
      </c>
    </row>
    <row r="3829" spans="1:15" x14ac:dyDescent="0.3">
      <c r="A3829">
        <v>189655</v>
      </c>
      <c r="B3829">
        <v>116</v>
      </c>
      <c r="C3829" t="s">
        <v>568</v>
      </c>
      <c r="D3829" t="s">
        <v>2314</v>
      </c>
      <c r="E3829" t="s">
        <v>3230</v>
      </c>
      <c r="F3829" s="452">
        <v>45996</v>
      </c>
      <c r="G3829">
        <v>18636</v>
      </c>
      <c r="H3829" t="s">
        <v>3921</v>
      </c>
      <c r="I3829" t="s">
        <v>3497</v>
      </c>
      <c r="J3829">
        <v>8</v>
      </c>
      <c r="K3829" t="s">
        <v>3922</v>
      </c>
      <c r="L3829">
        <v>3862.4</v>
      </c>
      <c r="M3829">
        <v>482.8</v>
      </c>
      <c r="N3829" t="s">
        <v>3497</v>
      </c>
      <c r="O3829" t="s">
        <v>460</v>
      </c>
    </row>
    <row r="3830" spans="1:15" x14ac:dyDescent="0.3">
      <c r="A3830">
        <v>189655</v>
      </c>
      <c r="B3830">
        <v>116</v>
      </c>
      <c r="C3830" t="s">
        <v>568</v>
      </c>
      <c r="D3830" t="s">
        <v>2314</v>
      </c>
      <c r="E3830" t="s">
        <v>3230</v>
      </c>
      <c r="F3830" s="452">
        <v>45996</v>
      </c>
      <c r="G3830">
        <v>18640</v>
      </c>
      <c r="H3830" t="s">
        <v>3994</v>
      </c>
      <c r="I3830" t="s">
        <v>3497</v>
      </c>
      <c r="J3830">
        <v>1</v>
      </c>
      <c r="K3830" t="s">
        <v>3922</v>
      </c>
      <c r="L3830">
        <v>306</v>
      </c>
      <c r="M3830">
        <v>306</v>
      </c>
      <c r="N3830" t="s">
        <v>3497</v>
      </c>
      <c r="O3830" t="s">
        <v>460</v>
      </c>
    </row>
    <row r="3831" spans="1:15" x14ac:dyDescent="0.3">
      <c r="A3831">
        <v>189414</v>
      </c>
      <c r="B3831">
        <v>116</v>
      </c>
      <c r="C3831" t="s">
        <v>568</v>
      </c>
      <c r="D3831" t="s">
        <v>2267</v>
      </c>
      <c r="E3831" t="s">
        <v>3231</v>
      </c>
      <c r="F3831" s="452">
        <v>46013</v>
      </c>
      <c r="G3831">
        <v>24517</v>
      </c>
      <c r="H3831" t="s">
        <v>3991</v>
      </c>
      <c r="I3831" t="s">
        <v>3469</v>
      </c>
      <c r="J3831">
        <v>11</v>
      </c>
      <c r="K3831" t="s">
        <v>3892</v>
      </c>
      <c r="L3831">
        <v>307.89</v>
      </c>
      <c r="M3831">
        <v>27.99</v>
      </c>
      <c r="N3831" t="s">
        <v>4240</v>
      </c>
      <c r="O3831" t="s">
        <v>460</v>
      </c>
    </row>
    <row r="3832" spans="1:15" x14ac:dyDescent="0.3">
      <c r="A3832">
        <v>189414</v>
      </c>
      <c r="B3832">
        <v>116</v>
      </c>
      <c r="C3832" t="s">
        <v>568</v>
      </c>
      <c r="D3832" t="s">
        <v>2267</v>
      </c>
      <c r="E3832" t="s">
        <v>3231</v>
      </c>
      <c r="F3832" s="452">
        <v>46013</v>
      </c>
      <c r="G3832">
        <v>18682</v>
      </c>
      <c r="H3832" t="s">
        <v>4025</v>
      </c>
      <c r="I3832" t="s">
        <v>3469</v>
      </c>
      <c r="J3832">
        <v>6.2</v>
      </c>
      <c r="K3832" t="s">
        <v>3892</v>
      </c>
      <c r="L3832">
        <v>173.54</v>
      </c>
      <c r="M3832">
        <v>27.990323</v>
      </c>
      <c r="N3832" t="s">
        <v>4240</v>
      </c>
      <c r="O3832" t="s">
        <v>460</v>
      </c>
    </row>
    <row r="3833" spans="1:15" x14ac:dyDescent="0.3">
      <c r="A3833">
        <v>189414</v>
      </c>
      <c r="B3833">
        <v>116</v>
      </c>
      <c r="C3833" t="s">
        <v>568</v>
      </c>
      <c r="D3833" t="s">
        <v>2267</v>
      </c>
      <c r="E3833" t="s">
        <v>3231</v>
      </c>
      <c r="F3833" s="452">
        <v>46013</v>
      </c>
      <c r="G3833">
        <v>20549</v>
      </c>
      <c r="H3833" t="s">
        <v>4007</v>
      </c>
      <c r="I3833" t="s">
        <v>3469</v>
      </c>
      <c r="J3833">
        <v>12</v>
      </c>
      <c r="K3833" t="s">
        <v>3892</v>
      </c>
      <c r="L3833">
        <v>239.88</v>
      </c>
      <c r="M3833">
        <v>19.989999999999998</v>
      </c>
      <c r="N3833" t="s">
        <v>4240</v>
      </c>
      <c r="O3833" t="s">
        <v>460</v>
      </c>
    </row>
    <row r="3834" spans="1:15" x14ac:dyDescent="0.3">
      <c r="A3834">
        <v>189413</v>
      </c>
      <c r="B3834">
        <v>116</v>
      </c>
      <c r="C3834" t="s">
        <v>568</v>
      </c>
      <c r="D3834" t="s">
        <v>2267</v>
      </c>
      <c r="E3834" t="s">
        <v>3232</v>
      </c>
      <c r="F3834" s="452">
        <v>46008</v>
      </c>
      <c r="G3834">
        <v>28468</v>
      </c>
      <c r="H3834" t="s">
        <v>4158</v>
      </c>
      <c r="I3834" t="s">
        <v>3469</v>
      </c>
      <c r="J3834">
        <v>27</v>
      </c>
      <c r="K3834" t="s">
        <v>3892</v>
      </c>
      <c r="L3834">
        <v>375.3</v>
      </c>
      <c r="M3834">
        <v>13.9</v>
      </c>
      <c r="N3834" t="s">
        <v>4240</v>
      </c>
      <c r="O3834" t="s">
        <v>460</v>
      </c>
    </row>
    <row r="3835" spans="1:15" x14ac:dyDescent="0.3">
      <c r="A3835">
        <v>189412</v>
      </c>
      <c r="B3835">
        <v>116</v>
      </c>
      <c r="C3835" t="s">
        <v>568</v>
      </c>
      <c r="D3835" t="s">
        <v>2361</v>
      </c>
      <c r="E3835" t="s">
        <v>3223</v>
      </c>
      <c r="F3835" s="452">
        <v>46014</v>
      </c>
      <c r="G3835">
        <v>26627</v>
      </c>
      <c r="H3835" t="s">
        <v>4237</v>
      </c>
      <c r="I3835" t="s">
        <v>3469</v>
      </c>
      <c r="J3835">
        <v>20</v>
      </c>
      <c r="K3835" t="s">
        <v>3892</v>
      </c>
      <c r="L3835">
        <v>158</v>
      </c>
      <c r="M3835">
        <v>7.9</v>
      </c>
      <c r="N3835" t="s">
        <v>4240</v>
      </c>
      <c r="O3835" t="s">
        <v>460</v>
      </c>
    </row>
    <row r="3836" spans="1:15" x14ac:dyDescent="0.3">
      <c r="A3836">
        <v>189411</v>
      </c>
      <c r="B3836">
        <v>116</v>
      </c>
      <c r="C3836" t="s">
        <v>568</v>
      </c>
      <c r="D3836" t="s">
        <v>2320</v>
      </c>
      <c r="E3836" t="s">
        <v>3233</v>
      </c>
      <c r="F3836" s="452">
        <v>46011</v>
      </c>
      <c r="G3836">
        <v>22857</v>
      </c>
      <c r="H3836" t="s">
        <v>4130</v>
      </c>
      <c r="I3836" t="s">
        <v>3469</v>
      </c>
      <c r="J3836">
        <v>18.91</v>
      </c>
      <c r="K3836" t="s">
        <v>3892</v>
      </c>
      <c r="L3836">
        <v>1321.81</v>
      </c>
      <c r="M3836">
        <v>69.900053</v>
      </c>
      <c r="N3836" t="s">
        <v>4240</v>
      </c>
      <c r="O3836" t="s">
        <v>460</v>
      </c>
    </row>
    <row r="3837" spans="1:15" x14ac:dyDescent="0.3">
      <c r="A3837">
        <v>189410</v>
      </c>
      <c r="B3837">
        <v>116</v>
      </c>
      <c r="C3837" t="s">
        <v>568</v>
      </c>
      <c r="D3837" t="s">
        <v>2320</v>
      </c>
      <c r="E3837" t="s">
        <v>3234</v>
      </c>
      <c r="F3837" s="452">
        <v>46014</v>
      </c>
      <c r="G3837">
        <v>18948</v>
      </c>
      <c r="H3837" t="s">
        <v>3961</v>
      </c>
      <c r="I3837" t="s">
        <v>3469</v>
      </c>
      <c r="J3837">
        <v>17.43</v>
      </c>
      <c r="K3837" t="s">
        <v>3892</v>
      </c>
      <c r="L3837">
        <v>1218.01</v>
      </c>
      <c r="M3837">
        <v>69.880092000000005</v>
      </c>
      <c r="N3837" t="s">
        <v>4240</v>
      </c>
      <c r="O3837" t="s">
        <v>460</v>
      </c>
    </row>
    <row r="3838" spans="1:15" x14ac:dyDescent="0.3">
      <c r="A3838">
        <v>189409</v>
      </c>
      <c r="B3838">
        <v>116</v>
      </c>
      <c r="C3838" t="s">
        <v>568</v>
      </c>
      <c r="D3838" t="s">
        <v>2318</v>
      </c>
      <c r="E3838" t="s">
        <v>3235</v>
      </c>
      <c r="F3838" s="452">
        <v>46009</v>
      </c>
      <c r="G3838">
        <v>18764</v>
      </c>
      <c r="H3838" t="s">
        <v>3907</v>
      </c>
      <c r="I3838" t="s">
        <v>3469</v>
      </c>
      <c r="J3838">
        <v>12</v>
      </c>
      <c r="L3838">
        <v>959.88</v>
      </c>
      <c r="M3838">
        <v>79.989999999999995</v>
      </c>
      <c r="N3838" t="s">
        <v>4240</v>
      </c>
      <c r="O3838" t="s">
        <v>460</v>
      </c>
    </row>
    <row r="3839" spans="1:15" x14ac:dyDescent="0.3">
      <c r="A3839">
        <v>189408</v>
      </c>
      <c r="B3839">
        <v>116</v>
      </c>
      <c r="C3839" t="s">
        <v>568</v>
      </c>
      <c r="D3839" t="s">
        <v>2323</v>
      </c>
      <c r="E3839" t="s">
        <v>3236</v>
      </c>
      <c r="F3839" s="452">
        <v>46013</v>
      </c>
      <c r="G3839">
        <v>18818</v>
      </c>
      <c r="H3839" t="s">
        <v>3916</v>
      </c>
      <c r="I3839" t="s">
        <v>3469</v>
      </c>
      <c r="J3839">
        <v>10.4</v>
      </c>
      <c r="K3839" t="s">
        <v>3892</v>
      </c>
      <c r="L3839">
        <v>275.60000000000002</v>
      </c>
      <c r="M3839">
        <v>26.5</v>
      </c>
      <c r="N3839" t="s">
        <v>4240</v>
      </c>
      <c r="O3839" t="s">
        <v>460</v>
      </c>
    </row>
    <row r="3840" spans="1:15" x14ac:dyDescent="0.3">
      <c r="A3840">
        <v>189407</v>
      </c>
      <c r="B3840">
        <v>116</v>
      </c>
      <c r="C3840" t="s">
        <v>568</v>
      </c>
      <c r="D3840" t="s">
        <v>2323</v>
      </c>
      <c r="E3840" t="s">
        <v>3237</v>
      </c>
      <c r="F3840" s="452">
        <v>46019</v>
      </c>
      <c r="G3840">
        <v>18832</v>
      </c>
      <c r="H3840" t="s">
        <v>3900</v>
      </c>
      <c r="I3840" t="s">
        <v>3469</v>
      </c>
      <c r="J3840">
        <v>30.2</v>
      </c>
      <c r="K3840" t="s">
        <v>3892</v>
      </c>
      <c r="L3840">
        <v>1132.5</v>
      </c>
      <c r="M3840">
        <v>37.5</v>
      </c>
      <c r="N3840" t="s">
        <v>4240</v>
      </c>
      <c r="O3840" t="s">
        <v>460</v>
      </c>
    </row>
    <row r="3841" spans="1:15" x14ac:dyDescent="0.3">
      <c r="A3841">
        <v>189407</v>
      </c>
      <c r="B3841">
        <v>116</v>
      </c>
      <c r="C3841" t="s">
        <v>568</v>
      </c>
      <c r="D3841" t="s">
        <v>2323</v>
      </c>
      <c r="E3841" t="s">
        <v>3237</v>
      </c>
      <c r="F3841" s="452">
        <v>46019</v>
      </c>
      <c r="G3841">
        <v>24402</v>
      </c>
      <c r="H3841" t="s">
        <v>3896</v>
      </c>
      <c r="I3841" t="s">
        <v>3469</v>
      </c>
      <c r="J3841">
        <v>16.100000000000001</v>
      </c>
      <c r="K3841" t="s">
        <v>3892</v>
      </c>
      <c r="L3841">
        <v>608.58000000000004</v>
      </c>
      <c r="M3841">
        <v>37.799999999999997</v>
      </c>
      <c r="N3841" t="s">
        <v>4240</v>
      </c>
      <c r="O3841" t="s">
        <v>460</v>
      </c>
    </row>
    <row r="3842" spans="1:15" x14ac:dyDescent="0.3">
      <c r="A3842">
        <v>189406</v>
      </c>
      <c r="B3842">
        <v>116</v>
      </c>
      <c r="C3842" t="s">
        <v>568</v>
      </c>
      <c r="D3842" t="s">
        <v>2265</v>
      </c>
      <c r="E3842" t="s">
        <v>3238</v>
      </c>
      <c r="F3842" s="452">
        <v>46020</v>
      </c>
      <c r="G3842">
        <v>17129</v>
      </c>
      <c r="H3842" t="s">
        <v>4200</v>
      </c>
      <c r="I3842" t="s">
        <v>4199</v>
      </c>
      <c r="J3842">
        <v>1</v>
      </c>
      <c r="K3842" t="s">
        <v>3888</v>
      </c>
      <c r="L3842">
        <v>29.5</v>
      </c>
      <c r="M3842">
        <v>29.5</v>
      </c>
      <c r="N3842" t="s">
        <v>2176</v>
      </c>
      <c r="O3842" t="s">
        <v>460</v>
      </c>
    </row>
    <row r="3843" spans="1:15" x14ac:dyDescent="0.3">
      <c r="A3843">
        <v>189406</v>
      </c>
      <c r="B3843">
        <v>116</v>
      </c>
      <c r="C3843" t="s">
        <v>568</v>
      </c>
      <c r="D3843" t="s">
        <v>2265</v>
      </c>
      <c r="E3843" t="s">
        <v>3238</v>
      </c>
      <c r="F3843" s="452">
        <v>46020</v>
      </c>
      <c r="G3843">
        <v>17437</v>
      </c>
      <c r="H3843" t="s">
        <v>4198</v>
      </c>
      <c r="I3843" t="s">
        <v>4199</v>
      </c>
      <c r="J3843">
        <v>10</v>
      </c>
      <c r="K3843" t="s">
        <v>3872</v>
      </c>
      <c r="L3843">
        <v>25</v>
      </c>
      <c r="M3843">
        <v>2.5</v>
      </c>
      <c r="N3843" t="s">
        <v>2176</v>
      </c>
      <c r="O3843" t="s">
        <v>460</v>
      </c>
    </row>
    <row r="3844" spans="1:15" x14ac:dyDescent="0.3">
      <c r="A3844">
        <v>189406</v>
      </c>
      <c r="B3844">
        <v>116</v>
      </c>
      <c r="C3844" t="s">
        <v>568</v>
      </c>
      <c r="D3844" t="s">
        <v>2265</v>
      </c>
      <c r="E3844" t="s">
        <v>3238</v>
      </c>
      <c r="F3844" s="452">
        <v>46020</v>
      </c>
      <c r="G3844">
        <v>17404</v>
      </c>
      <c r="H3844" t="s">
        <v>4282</v>
      </c>
      <c r="I3844" t="s">
        <v>4199</v>
      </c>
      <c r="J3844">
        <v>1</v>
      </c>
      <c r="K3844" t="s">
        <v>3872</v>
      </c>
      <c r="L3844">
        <v>19.899999999999999</v>
      </c>
      <c r="M3844">
        <v>19.899999999999999</v>
      </c>
      <c r="N3844" t="s">
        <v>2176</v>
      </c>
      <c r="O3844" t="s">
        <v>460</v>
      </c>
    </row>
    <row r="3845" spans="1:15" x14ac:dyDescent="0.3">
      <c r="A3845">
        <v>189406</v>
      </c>
      <c r="B3845">
        <v>116</v>
      </c>
      <c r="C3845" t="s">
        <v>568</v>
      </c>
      <c r="D3845" t="s">
        <v>2265</v>
      </c>
      <c r="E3845" t="s">
        <v>3238</v>
      </c>
      <c r="F3845" s="452">
        <v>46020</v>
      </c>
      <c r="G3845">
        <v>17314</v>
      </c>
      <c r="H3845" t="s">
        <v>4204</v>
      </c>
      <c r="I3845" t="s">
        <v>4199</v>
      </c>
      <c r="J3845">
        <v>2</v>
      </c>
      <c r="K3845" t="s">
        <v>3978</v>
      </c>
      <c r="L3845">
        <v>12.2</v>
      </c>
      <c r="M3845">
        <v>6.1</v>
      </c>
      <c r="N3845" t="s">
        <v>2176</v>
      </c>
      <c r="O3845" t="s">
        <v>460</v>
      </c>
    </row>
    <row r="3846" spans="1:15" x14ac:dyDescent="0.3">
      <c r="A3846">
        <v>189406</v>
      </c>
      <c r="B3846">
        <v>116</v>
      </c>
      <c r="C3846" t="s">
        <v>568</v>
      </c>
      <c r="D3846" t="s">
        <v>2265</v>
      </c>
      <c r="E3846" t="s">
        <v>3238</v>
      </c>
      <c r="F3846" s="452">
        <v>46020</v>
      </c>
      <c r="G3846">
        <v>17215</v>
      </c>
      <c r="H3846" t="s">
        <v>4283</v>
      </c>
      <c r="I3846" t="s">
        <v>4199</v>
      </c>
      <c r="J3846">
        <v>5</v>
      </c>
      <c r="K3846" t="s">
        <v>3978</v>
      </c>
      <c r="L3846">
        <v>110</v>
      </c>
      <c r="M3846">
        <v>22</v>
      </c>
      <c r="N3846" t="s">
        <v>2176</v>
      </c>
      <c r="O3846" t="s">
        <v>460</v>
      </c>
    </row>
    <row r="3847" spans="1:15" x14ac:dyDescent="0.3">
      <c r="A3847">
        <v>189406</v>
      </c>
      <c r="B3847">
        <v>116</v>
      </c>
      <c r="C3847" t="s">
        <v>568</v>
      </c>
      <c r="D3847" t="s">
        <v>2265</v>
      </c>
      <c r="E3847" t="s">
        <v>3238</v>
      </c>
      <c r="F3847" s="452">
        <v>46020</v>
      </c>
      <c r="G3847">
        <v>17017</v>
      </c>
      <c r="H3847" t="s">
        <v>4230</v>
      </c>
      <c r="I3847" t="s">
        <v>4199</v>
      </c>
      <c r="J3847">
        <v>2</v>
      </c>
      <c r="K3847" t="s">
        <v>3888</v>
      </c>
      <c r="L3847">
        <v>7</v>
      </c>
      <c r="M3847">
        <v>3.5</v>
      </c>
      <c r="N3847" t="s">
        <v>2176</v>
      </c>
      <c r="O3847" t="s">
        <v>460</v>
      </c>
    </row>
    <row r="3848" spans="1:15" x14ac:dyDescent="0.3">
      <c r="A3848">
        <v>189406</v>
      </c>
      <c r="B3848">
        <v>116</v>
      </c>
      <c r="C3848" t="s">
        <v>568</v>
      </c>
      <c r="D3848" t="s">
        <v>2265</v>
      </c>
      <c r="E3848" t="s">
        <v>3238</v>
      </c>
      <c r="F3848" s="452">
        <v>46020</v>
      </c>
      <c r="G3848">
        <v>17266</v>
      </c>
      <c r="H3848" t="s">
        <v>4229</v>
      </c>
      <c r="I3848" t="s">
        <v>4199</v>
      </c>
      <c r="J3848">
        <v>12</v>
      </c>
      <c r="K3848" t="s">
        <v>3872</v>
      </c>
      <c r="L3848">
        <v>60.96</v>
      </c>
      <c r="M3848">
        <v>5.08</v>
      </c>
      <c r="N3848" t="s">
        <v>2176</v>
      </c>
      <c r="O3848" t="s">
        <v>460</v>
      </c>
    </row>
    <row r="3849" spans="1:15" x14ac:dyDescent="0.3">
      <c r="A3849">
        <v>189406</v>
      </c>
      <c r="B3849">
        <v>116</v>
      </c>
      <c r="C3849" t="s">
        <v>568</v>
      </c>
      <c r="D3849" t="s">
        <v>2265</v>
      </c>
      <c r="E3849" t="s">
        <v>3238</v>
      </c>
      <c r="F3849" s="452">
        <v>46020</v>
      </c>
      <c r="G3849">
        <v>17381</v>
      </c>
      <c r="H3849" t="s">
        <v>4247</v>
      </c>
      <c r="I3849" t="s">
        <v>4199</v>
      </c>
      <c r="J3849">
        <v>1</v>
      </c>
      <c r="K3849" t="s">
        <v>3872</v>
      </c>
      <c r="L3849">
        <v>42</v>
      </c>
      <c r="M3849">
        <v>42</v>
      </c>
      <c r="N3849" t="s">
        <v>2176</v>
      </c>
      <c r="O3849" t="s">
        <v>460</v>
      </c>
    </row>
    <row r="3850" spans="1:15" x14ac:dyDescent="0.3">
      <c r="A3850">
        <v>189406</v>
      </c>
      <c r="B3850">
        <v>116</v>
      </c>
      <c r="C3850" t="s">
        <v>568</v>
      </c>
      <c r="D3850" t="s">
        <v>2265</v>
      </c>
      <c r="E3850" t="s">
        <v>3238</v>
      </c>
      <c r="F3850" s="452">
        <v>46020</v>
      </c>
      <c r="G3850">
        <v>17475</v>
      </c>
      <c r="H3850" t="s">
        <v>4426</v>
      </c>
      <c r="I3850" t="s">
        <v>4199</v>
      </c>
      <c r="J3850">
        <v>1</v>
      </c>
      <c r="K3850" t="s">
        <v>3881</v>
      </c>
      <c r="L3850">
        <v>110</v>
      </c>
      <c r="M3850">
        <v>110</v>
      </c>
      <c r="N3850" t="s">
        <v>2176</v>
      </c>
      <c r="O3850" t="s">
        <v>460</v>
      </c>
    </row>
    <row r="3851" spans="1:15" x14ac:dyDescent="0.3">
      <c r="A3851">
        <v>189406</v>
      </c>
      <c r="B3851">
        <v>116</v>
      </c>
      <c r="C3851" t="s">
        <v>568</v>
      </c>
      <c r="D3851" t="s">
        <v>2265</v>
      </c>
      <c r="E3851" t="s">
        <v>3238</v>
      </c>
      <c r="F3851" s="452">
        <v>46020</v>
      </c>
      <c r="G3851">
        <v>17425</v>
      </c>
      <c r="H3851" t="s">
        <v>4421</v>
      </c>
      <c r="I3851" t="s">
        <v>4199</v>
      </c>
      <c r="J3851">
        <v>3</v>
      </c>
      <c r="K3851" t="s">
        <v>3881</v>
      </c>
      <c r="L3851">
        <v>165</v>
      </c>
      <c r="M3851">
        <v>55</v>
      </c>
      <c r="N3851" t="s">
        <v>2176</v>
      </c>
      <c r="O3851" t="s">
        <v>460</v>
      </c>
    </row>
    <row r="3852" spans="1:15" x14ac:dyDescent="0.3">
      <c r="A3852">
        <v>189405</v>
      </c>
      <c r="B3852">
        <v>116</v>
      </c>
      <c r="C3852" t="s">
        <v>568</v>
      </c>
      <c r="D3852" t="s">
        <v>2918</v>
      </c>
      <c r="E3852" t="s">
        <v>3239</v>
      </c>
      <c r="F3852" s="452">
        <v>46008</v>
      </c>
      <c r="G3852">
        <v>26895</v>
      </c>
      <c r="H3852" t="s">
        <v>4427</v>
      </c>
      <c r="I3852" t="s">
        <v>4202</v>
      </c>
      <c r="J3852">
        <v>13.62</v>
      </c>
      <c r="K3852" t="s">
        <v>3872</v>
      </c>
      <c r="L3852">
        <v>1017.14</v>
      </c>
      <c r="M3852">
        <v>74.679883000000004</v>
      </c>
      <c r="N3852" t="s">
        <v>4428</v>
      </c>
      <c r="O3852" t="s">
        <v>460</v>
      </c>
    </row>
    <row r="3853" spans="1:15" x14ac:dyDescent="0.3">
      <c r="A3853">
        <v>189405</v>
      </c>
      <c r="B3853">
        <v>116</v>
      </c>
      <c r="C3853" t="s">
        <v>568</v>
      </c>
      <c r="D3853" t="s">
        <v>2918</v>
      </c>
      <c r="E3853" t="s">
        <v>3239</v>
      </c>
      <c r="F3853" s="452">
        <v>46008</v>
      </c>
      <c r="G3853">
        <v>28486</v>
      </c>
      <c r="H3853" t="s">
        <v>4429</v>
      </c>
      <c r="I3853" t="s">
        <v>4202</v>
      </c>
      <c r="J3853">
        <v>1</v>
      </c>
      <c r="K3853" t="s">
        <v>4203</v>
      </c>
      <c r="L3853">
        <v>2040</v>
      </c>
      <c r="M3853">
        <v>2040</v>
      </c>
      <c r="N3853" t="s">
        <v>4428</v>
      </c>
      <c r="O3853" t="s">
        <v>460</v>
      </c>
    </row>
    <row r="3854" spans="1:15" x14ac:dyDescent="0.3">
      <c r="A3854">
        <v>189404</v>
      </c>
      <c r="B3854">
        <v>116</v>
      </c>
      <c r="C3854" t="s">
        <v>568</v>
      </c>
      <c r="D3854" t="s">
        <v>2310</v>
      </c>
      <c r="E3854" t="s">
        <v>3240</v>
      </c>
      <c r="F3854" s="452">
        <v>46007</v>
      </c>
      <c r="G3854">
        <v>21423</v>
      </c>
      <c r="H3854" t="s">
        <v>4225</v>
      </c>
      <c r="I3854" t="s">
        <v>4199</v>
      </c>
      <c r="J3854">
        <v>2</v>
      </c>
      <c r="K3854" t="s">
        <v>4224</v>
      </c>
      <c r="L3854">
        <v>63.64</v>
      </c>
      <c r="M3854">
        <v>31.82</v>
      </c>
      <c r="N3854" t="s">
        <v>4378</v>
      </c>
      <c r="O3854" t="s">
        <v>460</v>
      </c>
    </row>
    <row r="3855" spans="1:15" x14ac:dyDescent="0.3">
      <c r="A3855">
        <v>189403</v>
      </c>
      <c r="B3855">
        <v>116</v>
      </c>
      <c r="C3855" t="s">
        <v>568</v>
      </c>
      <c r="D3855" t="s">
        <v>2310</v>
      </c>
      <c r="E3855" t="s">
        <v>3241</v>
      </c>
      <c r="F3855" s="452">
        <v>46007</v>
      </c>
      <c r="G3855">
        <v>19984</v>
      </c>
      <c r="H3855" t="s">
        <v>3904</v>
      </c>
      <c r="I3855" t="s">
        <v>3469</v>
      </c>
      <c r="J3855">
        <v>12</v>
      </c>
      <c r="K3855" t="s">
        <v>3872</v>
      </c>
      <c r="L3855">
        <v>237.6</v>
      </c>
      <c r="M3855">
        <v>19.8</v>
      </c>
      <c r="N3855" t="s">
        <v>4289</v>
      </c>
      <c r="O3855" t="s">
        <v>460</v>
      </c>
    </row>
    <row r="3856" spans="1:15" x14ac:dyDescent="0.3">
      <c r="A3856">
        <v>189403</v>
      </c>
      <c r="B3856">
        <v>116</v>
      </c>
      <c r="C3856" t="s">
        <v>568</v>
      </c>
      <c r="D3856" t="s">
        <v>2310</v>
      </c>
      <c r="E3856" t="s">
        <v>3241</v>
      </c>
      <c r="F3856" s="452">
        <v>46007</v>
      </c>
      <c r="G3856">
        <v>20624</v>
      </c>
      <c r="H3856" t="s">
        <v>3982</v>
      </c>
      <c r="I3856" t="s">
        <v>3469</v>
      </c>
      <c r="J3856">
        <v>1</v>
      </c>
      <c r="K3856" t="s">
        <v>3872</v>
      </c>
      <c r="L3856">
        <v>67.5</v>
      </c>
      <c r="M3856">
        <v>67.5</v>
      </c>
      <c r="N3856" t="s">
        <v>4289</v>
      </c>
      <c r="O3856" t="s">
        <v>460</v>
      </c>
    </row>
    <row r="3857" spans="1:15" x14ac:dyDescent="0.3">
      <c r="A3857">
        <v>189402</v>
      </c>
      <c r="B3857">
        <v>116</v>
      </c>
      <c r="C3857" t="s">
        <v>568</v>
      </c>
      <c r="D3857" t="s">
        <v>2310</v>
      </c>
      <c r="E3857" t="s">
        <v>3242</v>
      </c>
      <c r="F3857" s="452">
        <v>46013</v>
      </c>
      <c r="G3857">
        <v>17498</v>
      </c>
      <c r="H3857" t="s">
        <v>4243</v>
      </c>
      <c r="I3857" t="s">
        <v>4199</v>
      </c>
      <c r="J3857">
        <v>2</v>
      </c>
      <c r="K3857" t="s">
        <v>3881</v>
      </c>
      <c r="L3857">
        <v>45.4</v>
      </c>
      <c r="M3857">
        <v>22.7</v>
      </c>
      <c r="N3857" t="s">
        <v>2176</v>
      </c>
      <c r="O3857" t="s">
        <v>460</v>
      </c>
    </row>
    <row r="3858" spans="1:15" x14ac:dyDescent="0.3">
      <c r="A3858">
        <v>189399</v>
      </c>
      <c r="B3858">
        <v>116</v>
      </c>
      <c r="C3858" t="s">
        <v>568</v>
      </c>
      <c r="D3858" t="s">
        <v>2408</v>
      </c>
      <c r="E3858" t="s">
        <v>3243</v>
      </c>
      <c r="F3858" s="452">
        <v>46006</v>
      </c>
      <c r="G3858">
        <v>24550</v>
      </c>
      <c r="H3858" t="s">
        <v>4270</v>
      </c>
      <c r="I3858" t="s">
        <v>4202</v>
      </c>
      <c r="J3858">
        <v>360</v>
      </c>
      <c r="K3858" t="s">
        <v>3872</v>
      </c>
      <c r="L3858">
        <v>1616.4</v>
      </c>
      <c r="M3858">
        <v>4.49</v>
      </c>
      <c r="N3858" t="s">
        <v>4202</v>
      </c>
      <c r="O3858" t="s">
        <v>460</v>
      </c>
    </row>
    <row r="3859" spans="1:15" x14ac:dyDescent="0.3">
      <c r="A3859">
        <v>189397</v>
      </c>
      <c r="B3859">
        <v>116</v>
      </c>
      <c r="C3859" t="s">
        <v>568</v>
      </c>
      <c r="D3859" t="s">
        <v>2308</v>
      </c>
      <c r="E3859" t="s">
        <v>3244</v>
      </c>
      <c r="F3859" s="452">
        <v>46008</v>
      </c>
      <c r="G3859">
        <v>18832</v>
      </c>
      <c r="H3859" t="s">
        <v>3900</v>
      </c>
      <c r="I3859" t="s">
        <v>3469</v>
      </c>
      <c r="J3859">
        <v>20</v>
      </c>
      <c r="K3859" t="s">
        <v>3892</v>
      </c>
      <c r="L3859">
        <v>798</v>
      </c>
      <c r="M3859">
        <v>39.9</v>
      </c>
      <c r="N3859" t="s">
        <v>4240</v>
      </c>
      <c r="O3859" t="s">
        <v>460</v>
      </c>
    </row>
    <row r="3860" spans="1:15" x14ac:dyDescent="0.3">
      <c r="A3860">
        <v>189397</v>
      </c>
      <c r="B3860">
        <v>116</v>
      </c>
      <c r="C3860" t="s">
        <v>568</v>
      </c>
      <c r="D3860" t="s">
        <v>2308</v>
      </c>
      <c r="E3860" t="s">
        <v>3244</v>
      </c>
      <c r="F3860" s="452">
        <v>46008</v>
      </c>
      <c r="G3860">
        <v>27312</v>
      </c>
      <c r="H3860" t="s">
        <v>3927</v>
      </c>
      <c r="I3860" t="s">
        <v>3469</v>
      </c>
      <c r="J3860">
        <v>16.399999999999999</v>
      </c>
      <c r="K3860" t="s">
        <v>3892</v>
      </c>
      <c r="L3860">
        <v>800.32</v>
      </c>
      <c r="M3860">
        <v>48.8</v>
      </c>
      <c r="N3860" t="s">
        <v>4240</v>
      </c>
      <c r="O3860" t="s">
        <v>460</v>
      </c>
    </row>
    <row r="3861" spans="1:15" x14ac:dyDescent="0.3">
      <c r="A3861">
        <v>189397</v>
      </c>
      <c r="B3861">
        <v>116</v>
      </c>
      <c r="C3861" t="s">
        <v>568</v>
      </c>
      <c r="D3861" t="s">
        <v>2308</v>
      </c>
      <c r="E3861" t="s">
        <v>3244</v>
      </c>
      <c r="F3861" s="452">
        <v>46008</v>
      </c>
      <c r="G3861">
        <v>27432</v>
      </c>
      <c r="H3861" t="s">
        <v>4430</v>
      </c>
      <c r="I3861" t="s">
        <v>3469</v>
      </c>
      <c r="J3861">
        <v>10.5</v>
      </c>
      <c r="K3861" t="s">
        <v>3892</v>
      </c>
      <c r="L3861">
        <v>1323</v>
      </c>
      <c r="M3861">
        <v>126</v>
      </c>
      <c r="N3861" t="s">
        <v>4240</v>
      </c>
      <c r="O3861" t="s">
        <v>460</v>
      </c>
    </row>
    <row r="3862" spans="1:15" x14ac:dyDescent="0.3">
      <c r="A3862">
        <v>189388</v>
      </c>
      <c r="B3862">
        <v>116</v>
      </c>
      <c r="C3862" t="s">
        <v>568</v>
      </c>
      <c r="D3862" t="s">
        <v>2410</v>
      </c>
      <c r="E3862" t="s">
        <v>3245</v>
      </c>
      <c r="F3862" s="452">
        <v>46013</v>
      </c>
      <c r="G3862">
        <v>18475</v>
      </c>
      <c r="H3862" t="s">
        <v>3918</v>
      </c>
      <c r="I3862" t="s">
        <v>3497</v>
      </c>
      <c r="J3862">
        <v>24</v>
      </c>
      <c r="K3862" t="s">
        <v>3878</v>
      </c>
      <c r="L3862">
        <v>789.6</v>
      </c>
      <c r="M3862">
        <v>32.9</v>
      </c>
      <c r="N3862" t="s">
        <v>4276</v>
      </c>
      <c r="O3862" t="s">
        <v>460</v>
      </c>
    </row>
    <row r="3863" spans="1:15" x14ac:dyDescent="0.3">
      <c r="A3863">
        <v>189387</v>
      </c>
      <c r="B3863">
        <v>116</v>
      </c>
      <c r="C3863" t="s">
        <v>568</v>
      </c>
      <c r="D3863" t="s">
        <v>2683</v>
      </c>
      <c r="E3863" t="s">
        <v>3246</v>
      </c>
      <c r="F3863" s="452">
        <v>46021</v>
      </c>
      <c r="G3863">
        <v>24320</v>
      </c>
      <c r="H3863" t="s">
        <v>4160</v>
      </c>
      <c r="I3863" t="s">
        <v>3469</v>
      </c>
      <c r="J3863">
        <v>10.76</v>
      </c>
      <c r="K3863" t="s">
        <v>3892</v>
      </c>
      <c r="L3863">
        <v>644.52</v>
      </c>
      <c r="M3863">
        <v>59.899628</v>
      </c>
      <c r="N3863" t="s">
        <v>4240</v>
      </c>
      <c r="O3863" t="s">
        <v>460</v>
      </c>
    </row>
    <row r="3864" spans="1:15" x14ac:dyDescent="0.3">
      <c r="A3864">
        <v>189385</v>
      </c>
      <c r="B3864">
        <v>116</v>
      </c>
      <c r="C3864" t="s">
        <v>568</v>
      </c>
      <c r="D3864" t="s">
        <v>2429</v>
      </c>
      <c r="E3864" t="s">
        <v>3247</v>
      </c>
      <c r="F3864" s="452">
        <v>46017</v>
      </c>
      <c r="G3864">
        <v>19264</v>
      </c>
      <c r="H3864" t="s">
        <v>4082</v>
      </c>
      <c r="I3864" t="s">
        <v>3469</v>
      </c>
      <c r="J3864">
        <v>2</v>
      </c>
      <c r="K3864" t="s">
        <v>3888</v>
      </c>
      <c r="L3864">
        <v>139.80000000000001</v>
      </c>
      <c r="M3864">
        <v>69.900000000000006</v>
      </c>
      <c r="N3864" t="s">
        <v>3469</v>
      </c>
      <c r="O3864" t="s">
        <v>460</v>
      </c>
    </row>
    <row r="3865" spans="1:15" x14ac:dyDescent="0.3">
      <c r="A3865">
        <v>189385</v>
      </c>
      <c r="B3865">
        <v>116</v>
      </c>
      <c r="C3865" t="s">
        <v>568</v>
      </c>
      <c r="D3865" t="s">
        <v>2429</v>
      </c>
      <c r="E3865" t="s">
        <v>3247</v>
      </c>
      <c r="F3865" s="452">
        <v>46017</v>
      </c>
      <c r="G3865">
        <v>19139</v>
      </c>
      <c r="H3865" t="s">
        <v>3887</v>
      </c>
      <c r="I3865" t="s">
        <v>3469</v>
      </c>
      <c r="J3865">
        <v>20</v>
      </c>
      <c r="K3865" t="s">
        <v>3888</v>
      </c>
      <c r="L3865">
        <v>182</v>
      </c>
      <c r="M3865">
        <v>9.1</v>
      </c>
      <c r="N3865" t="s">
        <v>3469</v>
      </c>
      <c r="O3865" t="s">
        <v>460</v>
      </c>
    </row>
    <row r="3866" spans="1:15" x14ac:dyDescent="0.3">
      <c r="A3866">
        <v>189384</v>
      </c>
      <c r="B3866">
        <v>116</v>
      </c>
      <c r="C3866" t="s">
        <v>568</v>
      </c>
      <c r="D3866" t="s">
        <v>3010</v>
      </c>
      <c r="E3866" t="s">
        <v>3248</v>
      </c>
      <c r="F3866" s="452">
        <v>46014</v>
      </c>
      <c r="G3866">
        <v>24497</v>
      </c>
      <c r="H3866" t="s">
        <v>4214</v>
      </c>
      <c r="I3866" t="s">
        <v>4215</v>
      </c>
      <c r="J3866">
        <v>2</v>
      </c>
      <c r="K3866" t="s">
        <v>3872</v>
      </c>
      <c r="L3866">
        <v>269.10000000000002</v>
      </c>
      <c r="M3866">
        <v>134.55000000000001</v>
      </c>
      <c r="N3866" t="s">
        <v>4239</v>
      </c>
      <c r="O3866" t="s">
        <v>460</v>
      </c>
    </row>
    <row r="3867" spans="1:15" x14ac:dyDescent="0.3">
      <c r="A3867">
        <v>189383</v>
      </c>
      <c r="B3867">
        <v>116</v>
      </c>
      <c r="C3867" t="s">
        <v>568</v>
      </c>
      <c r="D3867" t="s">
        <v>3010</v>
      </c>
      <c r="E3867" t="s">
        <v>3249</v>
      </c>
      <c r="F3867" s="452">
        <v>46017</v>
      </c>
      <c r="G3867">
        <v>24497</v>
      </c>
      <c r="H3867" t="s">
        <v>4214</v>
      </c>
      <c r="I3867" t="s">
        <v>4215</v>
      </c>
      <c r="J3867">
        <v>2</v>
      </c>
      <c r="K3867" t="s">
        <v>3872</v>
      </c>
      <c r="L3867">
        <v>269.10000000000002</v>
      </c>
      <c r="M3867">
        <v>134.55000000000001</v>
      </c>
      <c r="N3867" t="s">
        <v>4239</v>
      </c>
      <c r="O3867" t="s">
        <v>460</v>
      </c>
    </row>
    <row r="3868" spans="1:15" x14ac:dyDescent="0.3">
      <c r="A3868">
        <v>189382</v>
      </c>
      <c r="B3868">
        <v>116</v>
      </c>
      <c r="C3868" t="s">
        <v>568</v>
      </c>
      <c r="D3868" t="s">
        <v>3010</v>
      </c>
      <c r="E3868" t="s">
        <v>3250</v>
      </c>
      <c r="F3868" s="452">
        <v>46021</v>
      </c>
      <c r="G3868">
        <v>24497</v>
      </c>
      <c r="H3868" t="s">
        <v>4214</v>
      </c>
      <c r="I3868" t="s">
        <v>4215</v>
      </c>
      <c r="J3868">
        <v>2</v>
      </c>
      <c r="K3868" t="s">
        <v>3872</v>
      </c>
      <c r="L3868">
        <v>269.10000000000002</v>
      </c>
      <c r="M3868">
        <v>134.55000000000001</v>
      </c>
      <c r="N3868" t="s">
        <v>4239</v>
      </c>
      <c r="O3868" t="s">
        <v>460</v>
      </c>
    </row>
    <row r="3869" spans="1:15" x14ac:dyDescent="0.3">
      <c r="A3869">
        <v>189381</v>
      </c>
      <c r="B3869">
        <v>116</v>
      </c>
      <c r="C3869" t="s">
        <v>568</v>
      </c>
      <c r="D3869" t="s">
        <v>2273</v>
      </c>
      <c r="E3869" t="s">
        <v>3251</v>
      </c>
      <c r="F3869" s="452">
        <v>46006</v>
      </c>
      <c r="G3869">
        <v>19642</v>
      </c>
      <c r="H3869" t="s">
        <v>4067</v>
      </c>
      <c r="I3869" t="s">
        <v>3469</v>
      </c>
      <c r="J3869">
        <v>1.2</v>
      </c>
      <c r="K3869" t="s">
        <v>3892</v>
      </c>
      <c r="L3869">
        <v>5.75</v>
      </c>
      <c r="M3869">
        <v>4.7916670000000003</v>
      </c>
      <c r="N3869" t="s">
        <v>4240</v>
      </c>
      <c r="O3869" t="s">
        <v>460</v>
      </c>
    </row>
    <row r="3870" spans="1:15" x14ac:dyDescent="0.3">
      <c r="A3870">
        <v>189381</v>
      </c>
      <c r="B3870">
        <v>116</v>
      </c>
      <c r="C3870" t="s">
        <v>568</v>
      </c>
      <c r="D3870" t="s">
        <v>2273</v>
      </c>
      <c r="E3870" t="s">
        <v>3251</v>
      </c>
      <c r="F3870" s="452">
        <v>46006</v>
      </c>
      <c r="G3870">
        <v>24083</v>
      </c>
      <c r="H3870" t="s">
        <v>3898</v>
      </c>
      <c r="I3870" t="s">
        <v>3469</v>
      </c>
      <c r="J3870">
        <v>15</v>
      </c>
      <c r="K3870" t="s">
        <v>3892</v>
      </c>
      <c r="L3870">
        <v>58.8</v>
      </c>
      <c r="M3870">
        <v>3.92</v>
      </c>
      <c r="N3870" t="s">
        <v>4240</v>
      </c>
      <c r="O3870" t="s">
        <v>460</v>
      </c>
    </row>
    <row r="3871" spans="1:15" x14ac:dyDescent="0.3">
      <c r="A3871">
        <v>189381</v>
      </c>
      <c r="B3871">
        <v>116</v>
      </c>
      <c r="C3871" t="s">
        <v>568</v>
      </c>
      <c r="D3871" t="s">
        <v>2273</v>
      </c>
      <c r="E3871" t="s">
        <v>3251</v>
      </c>
      <c r="F3871" s="452">
        <v>46006</v>
      </c>
      <c r="G3871">
        <v>19751</v>
      </c>
      <c r="H3871" t="s">
        <v>4019</v>
      </c>
      <c r="I3871" t="s">
        <v>3469</v>
      </c>
      <c r="J3871">
        <v>2.1</v>
      </c>
      <c r="K3871" t="s">
        <v>3892</v>
      </c>
      <c r="L3871">
        <v>19.03</v>
      </c>
      <c r="M3871">
        <v>9.0619049999999994</v>
      </c>
      <c r="N3871" t="s">
        <v>4240</v>
      </c>
      <c r="O3871" t="s">
        <v>460</v>
      </c>
    </row>
    <row r="3872" spans="1:15" x14ac:dyDescent="0.3">
      <c r="A3872">
        <v>189381</v>
      </c>
      <c r="B3872">
        <v>116</v>
      </c>
      <c r="C3872" t="s">
        <v>568</v>
      </c>
      <c r="D3872" t="s">
        <v>2273</v>
      </c>
      <c r="E3872" t="s">
        <v>3251</v>
      </c>
      <c r="F3872" s="452">
        <v>46006</v>
      </c>
      <c r="G3872">
        <v>19558</v>
      </c>
      <c r="H3872" t="s">
        <v>4183</v>
      </c>
      <c r="I3872" t="s">
        <v>3469</v>
      </c>
      <c r="J3872">
        <v>1.1000000000000001</v>
      </c>
      <c r="K3872" t="s">
        <v>3892</v>
      </c>
      <c r="L3872">
        <v>10.68</v>
      </c>
      <c r="M3872">
        <v>9.7090910000000008</v>
      </c>
      <c r="N3872" t="s">
        <v>4240</v>
      </c>
      <c r="O3872" t="s">
        <v>460</v>
      </c>
    </row>
    <row r="3873" spans="1:15" x14ac:dyDescent="0.3">
      <c r="A3873">
        <v>189381</v>
      </c>
      <c r="B3873">
        <v>116</v>
      </c>
      <c r="C3873" t="s">
        <v>568</v>
      </c>
      <c r="D3873" t="s">
        <v>2273</v>
      </c>
      <c r="E3873" t="s">
        <v>3251</v>
      </c>
      <c r="F3873" s="452">
        <v>46006</v>
      </c>
      <c r="G3873">
        <v>19458</v>
      </c>
      <c r="H3873" t="s">
        <v>4212</v>
      </c>
      <c r="I3873" t="s">
        <v>3469</v>
      </c>
      <c r="J3873">
        <v>1.1000000000000001</v>
      </c>
      <c r="K3873" t="s">
        <v>3892</v>
      </c>
      <c r="L3873">
        <v>9.31</v>
      </c>
      <c r="M3873">
        <v>8.4636359999999993</v>
      </c>
      <c r="N3873" t="s">
        <v>4240</v>
      </c>
      <c r="O3873" t="s">
        <v>460</v>
      </c>
    </row>
    <row r="3874" spans="1:15" x14ac:dyDescent="0.3">
      <c r="A3874">
        <v>189381</v>
      </c>
      <c r="B3874">
        <v>116</v>
      </c>
      <c r="C3874" t="s">
        <v>568</v>
      </c>
      <c r="D3874" t="s">
        <v>2273</v>
      </c>
      <c r="E3874" t="s">
        <v>3251</v>
      </c>
      <c r="F3874" s="452">
        <v>46006</v>
      </c>
      <c r="G3874">
        <v>19494</v>
      </c>
      <c r="H3874" t="s">
        <v>4126</v>
      </c>
      <c r="I3874" t="s">
        <v>3469</v>
      </c>
      <c r="J3874">
        <v>2.1</v>
      </c>
      <c r="K3874" t="s">
        <v>3892</v>
      </c>
      <c r="L3874">
        <v>25.87</v>
      </c>
      <c r="M3874">
        <v>12.319048</v>
      </c>
      <c r="N3874" t="s">
        <v>4240</v>
      </c>
      <c r="O3874" t="s">
        <v>460</v>
      </c>
    </row>
    <row r="3875" spans="1:15" x14ac:dyDescent="0.3">
      <c r="A3875">
        <v>189381</v>
      </c>
      <c r="B3875">
        <v>116</v>
      </c>
      <c r="C3875" t="s">
        <v>568</v>
      </c>
      <c r="D3875" t="s">
        <v>2273</v>
      </c>
      <c r="E3875" t="s">
        <v>3251</v>
      </c>
      <c r="F3875" s="452">
        <v>46006</v>
      </c>
      <c r="G3875">
        <v>23120</v>
      </c>
      <c r="H3875" t="s">
        <v>4111</v>
      </c>
      <c r="I3875" t="s">
        <v>3469</v>
      </c>
      <c r="J3875">
        <v>0.35</v>
      </c>
      <c r="K3875" t="s">
        <v>3892</v>
      </c>
      <c r="L3875">
        <v>25.88</v>
      </c>
      <c r="M3875">
        <v>73.942857000000004</v>
      </c>
      <c r="N3875" t="s">
        <v>4240</v>
      </c>
      <c r="O3875" t="s">
        <v>460</v>
      </c>
    </row>
    <row r="3876" spans="1:15" x14ac:dyDescent="0.3">
      <c r="A3876">
        <v>189380</v>
      </c>
      <c r="B3876">
        <v>116</v>
      </c>
      <c r="C3876" t="s">
        <v>568</v>
      </c>
      <c r="D3876" t="s">
        <v>2273</v>
      </c>
      <c r="E3876" t="s">
        <v>3252</v>
      </c>
      <c r="F3876" s="452">
        <v>46009</v>
      </c>
      <c r="G3876">
        <v>19572</v>
      </c>
      <c r="H3876" t="s">
        <v>4023</v>
      </c>
      <c r="I3876" t="s">
        <v>3469</v>
      </c>
      <c r="J3876">
        <v>1.1000000000000001</v>
      </c>
      <c r="K3876" t="s">
        <v>3892</v>
      </c>
      <c r="L3876">
        <v>19.14</v>
      </c>
      <c r="M3876">
        <v>17.399999999999999</v>
      </c>
      <c r="N3876" t="s">
        <v>4240</v>
      </c>
      <c r="O3876" t="s">
        <v>460</v>
      </c>
    </row>
    <row r="3877" spans="1:15" x14ac:dyDescent="0.3">
      <c r="A3877">
        <v>189380</v>
      </c>
      <c r="B3877">
        <v>116</v>
      </c>
      <c r="C3877" t="s">
        <v>568</v>
      </c>
      <c r="D3877" t="s">
        <v>2273</v>
      </c>
      <c r="E3877" t="s">
        <v>3252</v>
      </c>
      <c r="F3877" s="452">
        <v>46009</v>
      </c>
      <c r="G3877">
        <v>19558</v>
      </c>
      <c r="H3877" t="s">
        <v>4183</v>
      </c>
      <c r="I3877" t="s">
        <v>3469</v>
      </c>
      <c r="J3877">
        <v>1</v>
      </c>
      <c r="K3877" t="s">
        <v>3892</v>
      </c>
      <c r="L3877">
        <v>9.7100000000000009</v>
      </c>
      <c r="M3877">
        <v>9.7100000000000009</v>
      </c>
      <c r="N3877" t="s">
        <v>4240</v>
      </c>
      <c r="O3877" t="s">
        <v>460</v>
      </c>
    </row>
    <row r="3878" spans="1:15" x14ac:dyDescent="0.3">
      <c r="A3878">
        <v>189380</v>
      </c>
      <c r="B3878">
        <v>116</v>
      </c>
      <c r="C3878" t="s">
        <v>568</v>
      </c>
      <c r="D3878" t="s">
        <v>2273</v>
      </c>
      <c r="E3878" t="s">
        <v>3252</v>
      </c>
      <c r="F3878" s="452">
        <v>46009</v>
      </c>
      <c r="G3878">
        <v>24598</v>
      </c>
      <c r="H3878" t="s">
        <v>4166</v>
      </c>
      <c r="I3878" t="s">
        <v>3469</v>
      </c>
      <c r="J3878">
        <v>1.4</v>
      </c>
      <c r="K3878" t="s">
        <v>3892</v>
      </c>
      <c r="L3878">
        <v>11.16</v>
      </c>
      <c r="M3878">
        <v>7.9714289999999997</v>
      </c>
      <c r="N3878" t="s">
        <v>4240</v>
      </c>
      <c r="O3878" t="s">
        <v>460</v>
      </c>
    </row>
    <row r="3879" spans="1:15" x14ac:dyDescent="0.3">
      <c r="A3879">
        <v>189380</v>
      </c>
      <c r="B3879">
        <v>116</v>
      </c>
      <c r="C3879" t="s">
        <v>568</v>
      </c>
      <c r="D3879" t="s">
        <v>2273</v>
      </c>
      <c r="E3879" t="s">
        <v>3252</v>
      </c>
      <c r="F3879" s="452">
        <v>46009</v>
      </c>
      <c r="G3879">
        <v>23120</v>
      </c>
      <c r="H3879" t="s">
        <v>4111</v>
      </c>
      <c r="I3879" t="s">
        <v>3469</v>
      </c>
      <c r="J3879">
        <v>0.24</v>
      </c>
      <c r="K3879" t="s">
        <v>3892</v>
      </c>
      <c r="L3879">
        <v>17.75</v>
      </c>
      <c r="M3879">
        <v>73.958332999999996</v>
      </c>
      <c r="N3879" t="s">
        <v>4240</v>
      </c>
      <c r="O3879" t="s">
        <v>460</v>
      </c>
    </row>
    <row r="3880" spans="1:15" x14ac:dyDescent="0.3">
      <c r="A3880">
        <v>189379</v>
      </c>
      <c r="B3880">
        <v>116</v>
      </c>
      <c r="C3880" t="s">
        <v>568</v>
      </c>
      <c r="D3880" t="s">
        <v>2286</v>
      </c>
      <c r="E3880" t="s">
        <v>3253</v>
      </c>
      <c r="F3880" s="452">
        <v>46009</v>
      </c>
      <c r="G3880">
        <v>19787</v>
      </c>
      <c r="H3880" t="s">
        <v>3940</v>
      </c>
      <c r="I3880" t="s">
        <v>3469</v>
      </c>
      <c r="J3880">
        <v>4.5</v>
      </c>
      <c r="K3880" t="s">
        <v>3892</v>
      </c>
      <c r="L3880">
        <v>19.8</v>
      </c>
      <c r="M3880">
        <v>4.4000000000000004</v>
      </c>
      <c r="N3880" t="s">
        <v>3469</v>
      </c>
      <c r="O3880" t="s">
        <v>460</v>
      </c>
    </row>
    <row r="3881" spans="1:15" x14ac:dyDescent="0.3">
      <c r="A3881">
        <v>189379</v>
      </c>
      <c r="B3881">
        <v>116</v>
      </c>
      <c r="C3881" t="s">
        <v>568</v>
      </c>
      <c r="D3881" t="s">
        <v>2286</v>
      </c>
      <c r="E3881" t="s">
        <v>3253</v>
      </c>
      <c r="F3881" s="452">
        <v>46009</v>
      </c>
      <c r="G3881">
        <v>19634</v>
      </c>
      <c r="H3881" t="s">
        <v>4068</v>
      </c>
      <c r="I3881" t="s">
        <v>3469</v>
      </c>
      <c r="J3881">
        <v>2</v>
      </c>
      <c r="K3881" t="s">
        <v>3892</v>
      </c>
      <c r="L3881">
        <v>6</v>
      </c>
      <c r="M3881">
        <v>3</v>
      </c>
      <c r="N3881" t="s">
        <v>3469</v>
      </c>
      <c r="O3881" t="s">
        <v>460</v>
      </c>
    </row>
    <row r="3882" spans="1:15" x14ac:dyDescent="0.3">
      <c r="A3882">
        <v>189379</v>
      </c>
      <c r="B3882">
        <v>116</v>
      </c>
      <c r="C3882" t="s">
        <v>568</v>
      </c>
      <c r="D3882" t="s">
        <v>2286</v>
      </c>
      <c r="E3882" t="s">
        <v>3253</v>
      </c>
      <c r="F3882" s="452">
        <v>46009</v>
      </c>
      <c r="G3882">
        <v>19623</v>
      </c>
      <c r="H3882" t="s">
        <v>3984</v>
      </c>
      <c r="I3882" t="s">
        <v>3469</v>
      </c>
      <c r="J3882">
        <v>3</v>
      </c>
      <c r="K3882" t="s">
        <v>3892</v>
      </c>
      <c r="L3882">
        <v>16.5</v>
      </c>
      <c r="M3882">
        <v>5.5</v>
      </c>
      <c r="N3882" t="s">
        <v>3469</v>
      </c>
      <c r="O3882" t="s">
        <v>460</v>
      </c>
    </row>
    <row r="3883" spans="1:15" x14ac:dyDescent="0.3">
      <c r="A3883">
        <v>189379</v>
      </c>
      <c r="B3883">
        <v>116</v>
      </c>
      <c r="C3883" t="s">
        <v>568</v>
      </c>
      <c r="D3883" t="s">
        <v>2286</v>
      </c>
      <c r="E3883" t="s">
        <v>3253</v>
      </c>
      <c r="F3883" s="452">
        <v>46009</v>
      </c>
      <c r="G3883">
        <v>19621</v>
      </c>
      <c r="H3883" t="s">
        <v>4125</v>
      </c>
      <c r="I3883" t="s">
        <v>3469</v>
      </c>
      <c r="J3883">
        <v>2</v>
      </c>
      <c r="K3883" t="s">
        <v>3892</v>
      </c>
      <c r="L3883">
        <v>4.8</v>
      </c>
      <c r="M3883">
        <v>2.4</v>
      </c>
      <c r="N3883" t="s">
        <v>3469</v>
      </c>
      <c r="O3883" t="s">
        <v>460</v>
      </c>
    </row>
    <row r="3884" spans="1:15" x14ac:dyDescent="0.3">
      <c r="A3884">
        <v>189379</v>
      </c>
      <c r="B3884">
        <v>116</v>
      </c>
      <c r="C3884" t="s">
        <v>568</v>
      </c>
      <c r="D3884" t="s">
        <v>2286</v>
      </c>
      <c r="E3884" t="s">
        <v>3253</v>
      </c>
      <c r="F3884" s="452">
        <v>46009</v>
      </c>
      <c r="G3884">
        <v>24083</v>
      </c>
      <c r="H3884" t="s">
        <v>3898</v>
      </c>
      <c r="I3884" t="s">
        <v>3469</v>
      </c>
      <c r="J3884">
        <v>25</v>
      </c>
      <c r="K3884" t="s">
        <v>3892</v>
      </c>
      <c r="L3884">
        <v>90</v>
      </c>
      <c r="M3884">
        <v>3.6</v>
      </c>
      <c r="N3884" t="s">
        <v>3469</v>
      </c>
      <c r="O3884" t="s">
        <v>460</v>
      </c>
    </row>
    <row r="3885" spans="1:15" x14ac:dyDescent="0.3">
      <c r="A3885">
        <v>189379</v>
      </c>
      <c r="B3885">
        <v>116</v>
      </c>
      <c r="C3885" t="s">
        <v>568</v>
      </c>
      <c r="D3885" t="s">
        <v>2286</v>
      </c>
      <c r="E3885" t="s">
        <v>3253</v>
      </c>
      <c r="F3885" s="452">
        <v>46009</v>
      </c>
      <c r="G3885">
        <v>19506</v>
      </c>
      <c r="H3885" t="s">
        <v>4112</v>
      </c>
      <c r="I3885" t="s">
        <v>3469</v>
      </c>
      <c r="J3885">
        <v>0.2</v>
      </c>
      <c r="K3885" t="s">
        <v>3892</v>
      </c>
      <c r="L3885">
        <v>8</v>
      </c>
      <c r="M3885">
        <v>40</v>
      </c>
      <c r="N3885" t="s">
        <v>3469</v>
      </c>
      <c r="O3885" t="s">
        <v>460</v>
      </c>
    </row>
    <row r="3886" spans="1:15" x14ac:dyDescent="0.3">
      <c r="A3886">
        <v>189379</v>
      </c>
      <c r="B3886">
        <v>116</v>
      </c>
      <c r="C3886" t="s">
        <v>568</v>
      </c>
      <c r="D3886" t="s">
        <v>2286</v>
      </c>
      <c r="E3886" t="s">
        <v>3253</v>
      </c>
      <c r="F3886" s="452">
        <v>46009</v>
      </c>
      <c r="G3886">
        <v>19505</v>
      </c>
      <c r="H3886" t="s">
        <v>4101</v>
      </c>
      <c r="I3886" t="s">
        <v>3469</v>
      </c>
      <c r="J3886">
        <v>1.5</v>
      </c>
      <c r="K3886" t="s">
        <v>3892</v>
      </c>
      <c r="L3886">
        <v>9</v>
      </c>
      <c r="M3886">
        <v>6</v>
      </c>
      <c r="N3886" t="s">
        <v>3469</v>
      </c>
      <c r="O3886" t="s">
        <v>460</v>
      </c>
    </row>
    <row r="3887" spans="1:15" x14ac:dyDescent="0.3">
      <c r="A3887">
        <v>189379</v>
      </c>
      <c r="B3887">
        <v>116</v>
      </c>
      <c r="C3887" t="s">
        <v>568</v>
      </c>
      <c r="D3887" t="s">
        <v>2286</v>
      </c>
      <c r="E3887" t="s">
        <v>3253</v>
      </c>
      <c r="F3887" s="452">
        <v>46009</v>
      </c>
      <c r="G3887">
        <v>19465</v>
      </c>
      <c r="H3887" t="s">
        <v>4080</v>
      </c>
      <c r="I3887" t="s">
        <v>3469</v>
      </c>
      <c r="J3887">
        <v>1</v>
      </c>
      <c r="K3887" t="s">
        <v>3892</v>
      </c>
      <c r="L3887">
        <v>4</v>
      </c>
      <c r="M3887">
        <v>4</v>
      </c>
      <c r="N3887" t="s">
        <v>3469</v>
      </c>
      <c r="O3887" t="s">
        <v>460</v>
      </c>
    </row>
    <row r="3888" spans="1:15" x14ac:dyDescent="0.3">
      <c r="A3888">
        <v>189379</v>
      </c>
      <c r="B3888">
        <v>116</v>
      </c>
      <c r="C3888" t="s">
        <v>568</v>
      </c>
      <c r="D3888" t="s">
        <v>2286</v>
      </c>
      <c r="E3888" t="s">
        <v>3253</v>
      </c>
      <c r="F3888" s="452">
        <v>46009</v>
      </c>
      <c r="G3888">
        <v>19498</v>
      </c>
      <c r="H3888" t="s">
        <v>4065</v>
      </c>
      <c r="I3888" t="s">
        <v>3469</v>
      </c>
      <c r="J3888">
        <v>1</v>
      </c>
      <c r="K3888" t="s">
        <v>3892</v>
      </c>
      <c r="L3888">
        <v>8</v>
      </c>
      <c r="M3888">
        <v>8</v>
      </c>
      <c r="N3888" t="s">
        <v>3469</v>
      </c>
      <c r="O3888" t="s">
        <v>460</v>
      </c>
    </row>
    <row r="3889" spans="1:15" x14ac:dyDescent="0.3">
      <c r="A3889">
        <v>189379</v>
      </c>
      <c r="B3889">
        <v>116</v>
      </c>
      <c r="C3889" t="s">
        <v>568</v>
      </c>
      <c r="D3889" t="s">
        <v>2286</v>
      </c>
      <c r="E3889" t="s">
        <v>3253</v>
      </c>
      <c r="F3889" s="452">
        <v>46009</v>
      </c>
      <c r="G3889">
        <v>19480</v>
      </c>
      <c r="H3889" t="s">
        <v>4113</v>
      </c>
      <c r="I3889" t="s">
        <v>3469</v>
      </c>
      <c r="J3889">
        <v>0.2</v>
      </c>
      <c r="K3889" t="s">
        <v>3892</v>
      </c>
      <c r="L3889">
        <v>2.4</v>
      </c>
      <c r="M3889">
        <v>12</v>
      </c>
      <c r="N3889" t="s">
        <v>3469</v>
      </c>
      <c r="O3889" t="s">
        <v>460</v>
      </c>
    </row>
    <row r="3890" spans="1:15" x14ac:dyDescent="0.3">
      <c r="A3890">
        <v>189379</v>
      </c>
      <c r="B3890">
        <v>116</v>
      </c>
      <c r="C3890" t="s">
        <v>568</v>
      </c>
      <c r="D3890" t="s">
        <v>2286</v>
      </c>
      <c r="E3890" t="s">
        <v>3253</v>
      </c>
      <c r="F3890" s="452">
        <v>46009</v>
      </c>
      <c r="G3890">
        <v>19647</v>
      </c>
      <c r="H3890" t="s">
        <v>4066</v>
      </c>
      <c r="I3890" t="s">
        <v>3469</v>
      </c>
      <c r="J3890">
        <v>1</v>
      </c>
      <c r="K3890" t="s">
        <v>3892</v>
      </c>
      <c r="L3890">
        <v>6.5</v>
      </c>
      <c r="M3890">
        <v>6.5</v>
      </c>
      <c r="N3890" t="s">
        <v>3469</v>
      </c>
      <c r="O3890" t="s">
        <v>460</v>
      </c>
    </row>
    <row r="3891" spans="1:15" x14ac:dyDescent="0.3">
      <c r="A3891">
        <v>189379</v>
      </c>
      <c r="B3891">
        <v>116</v>
      </c>
      <c r="C3891" t="s">
        <v>568</v>
      </c>
      <c r="D3891" t="s">
        <v>2286</v>
      </c>
      <c r="E3891" t="s">
        <v>3253</v>
      </c>
      <c r="F3891" s="452">
        <v>46009</v>
      </c>
      <c r="G3891">
        <v>19752</v>
      </c>
      <c r="H3891" t="s">
        <v>4042</v>
      </c>
      <c r="I3891" t="s">
        <v>3469</v>
      </c>
      <c r="J3891">
        <v>1</v>
      </c>
      <c r="K3891" t="s">
        <v>3892</v>
      </c>
      <c r="L3891">
        <v>10</v>
      </c>
      <c r="M3891">
        <v>10</v>
      </c>
      <c r="N3891" t="s">
        <v>3469</v>
      </c>
      <c r="O3891" t="s">
        <v>460</v>
      </c>
    </row>
    <row r="3892" spans="1:15" x14ac:dyDescent="0.3">
      <c r="A3892">
        <v>189379</v>
      </c>
      <c r="B3892">
        <v>116</v>
      </c>
      <c r="C3892" t="s">
        <v>568</v>
      </c>
      <c r="D3892" t="s">
        <v>2286</v>
      </c>
      <c r="E3892" t="s">
        <v>3253</v>
      </c>
      <c r="F3892" s="452">
        <v>46009</v>
      </c>
      <c r="G3892">
        <v>23113</v>
      </c>
      <c r="H3892" t="s">
        <v>4079</v>
      </c>
      <c r="I3892" t="s">
        <v>3469</v>
      </c>
      <c r="J3892">
        <v>2</v>
      </c>
      <c r="K3892" t="s">
        <v>3892</v>
      </c>
      <c r="L3892">
        <v>17</v>
      </c>
      <c r="M3892">
        <v>8.5</v>
      </c>
      <c r="N3892" t="s">
        <v>3469</v>
      </c>
      <c r="O3892" t="s">
        <v>460</v>
      </c>
    </row>
    <row r="3893" spans="1:15" x14ac:dyDescent="0.3">
      <c r="A3893">
        <v>189379</v>
      </c>
      <c r="B3893">
        <v>116</v>
      </c>
      <c r="C3893" t="s">
        <v>568</v>
      </c>
      <c r="D3893" t="s">
        <v>2286</v>
      </c>
      <c r="E3893" t="s">
        <v>3253</v>
      </c>
      <c r="F3893" s="452">
        <v>46009</v>
      </c>
      <c r="G3893">
        <v>23171</v>
      </c>
      <c r="H3893" t="s">
        <v>4132</v>
      </c>
      <c r="I3893" t="s">
        <v>3469</v>
      </c>
      <c r="J3893">
        <v>4</v>
      </c>
      <c r="K3893" t="s">
        <v>3892</v>
      </c>
      <c r="L3893">
        <v>22</v>
      </c>
      <c r="M3893">
        <v>5.5</v>
      </c>
      <c r="N3893" t="s">
        <v>3469</v>
      </c>
      <c r="O3893" t="s">
        <v>460</v>
      </c>
    </row>
    <row r="3894" spans="1:15" x14ac:dyDescent="0.3">
      <c r="A3894">
        <v>189379</v>
      </c>
      <c r="B3894">
        <v>116</v>
      </c>
      <c r="C3894" t="s">
        <v>568</v>
      </c>
      <c r="D3894" t="s">
        <v>2286</v>
      </c>
      <c r="E3894" t="s">
        <v>3253</v>
      </c>
      <c r="F3894" s="452">
        <v>46009</v>
      </c>
      <c r="G3894">
        <v>23198</v>
      </c>
      <c r="H3894" t="s">
        <v>4167</v>
      </c>
      <c r="I3894" t="s">
        <v>3469</v>
      </c>
      <c r="J3894">
        <v>2</v>
      </c>
      <c r="K3894" t="s">
        <v>3892</v>
      </c>
      <c r="L3894">
        <v>28</v>
      </c>
      <c r="M3894">
        <v>14</v>
      </c>
      <c r="N3894" t="s">
        <v>3469</v>
      </c>
      <c r="O3894" t="s">
        <v>460</v>
      </c>
    </row>
    <row r="3895" spans="1:15" x14ac:dyDescent="0.3">
      <c r="A3895">
        <v>189379</v>
      </c>
      <c r="B3895">
        <v>116</v>
      </c>
      <c r="C3895" t="s">
        <v>568</v>
      </c>
      <c r="D3895" t="s">
        <v>2286</v>
      </c>
      <c r="E3895" t="s">
        <v>3253</v>
      </c>
      <c r="F3895" s="452">
        <v>46009</v>
      </c>
      <c r="G3895">
        <v>23236</v>
      </c>
      <c r="H3895" t="s">
        <v>4017</v>
      </c>
      <c r="I3895" t="s">
        <v>3469</v>
      </c>
      <c r="J3895">
        <v>4</v>
      </c>
      <c r="K3895" t="s">
        <v>3892</v>
      </c>
      <c r="L3895">
        <v>20</v>
      </c>
      <c r="M3895">
        <v>5</v>
      </c>
      <c r="N3895" t="s">
        <v>3469</v>
      </c>
      <c r="O3895" t="s">
        <v>460</v>
      </c>
    </row>
    <row r="3896" spans="1:15" x14ac:dyDescent="0.3">
      <c r="A3896">
        <v>189379</v>
      </c>
      <c r="B3896">
        <v>116</v>
      </c>
      <c r="C3896" t="s">
        <v>568</v>
      </c>
      <c r="D3896" t="s">
        <v>2286</v>
      </c>
      <c r="E3896" t="s">
        <v>3253</v>
      </c>
      <c r="F3896" s="452">
        <v>46009</v>
      </c>
      <c r="G3896">
        <v>23359</v>
      </c>
      <c r="H3896" t="s">
        <v>3932</v>
      </c>
      <c r="I3896" t="s">
        <v>3469</v>
      </c>
      <c r="J3896">
        <v>10</v>
      </c>
      <c r="K3896" t="s">
        <v>3892</v>
      </c>
      <c r="L3896">
        <v>30</v>
      </c>
      <c r="M3896">
        <v>3</v>
      </c>
      <c r="N3896" t="s">
        <v>3469</v>
      </c>
      <c r="O3896" t="s">
        <v>460</v>
      </c>
    </row>
    <row r="3897" spans="1:15" x14ac:dyDescent="0.3">
      <c r="A3897">
        <v>189379</v>
      </c>
      <c r="B3897">
        <v>116</v>
      </c>
      <c r="C3897" t="s">
        <v>568</v>
      </c>
      <c r="D3897" t="s">
        <v>2286</v>
      </c>
      <c r="E3897" t="s">
        <v>3253</v>
      </c>
      <c r="F3897" s="452">
        <v>46009</v>
      </c>
      <c r="G3897">
        <v>23361</v>
      </c>
      <c r="H3897" t="s">
        <v>4220</v>
      </c>
      <c r="I3897" t="s">
        <v>3469</v>
      </c>
      <c r="J3897">
        <v>18</v>
      </c>
      <c r="K3897" t="s">
        <v>3892</v>
      </c>
      <c r="L3897">
        <v>54</v>
      </c>
      <c r="M3897">
        <v>3</v>
      </c>
      <c r="N3897" t="s">
        <v>3469</v>
      </c>
      <c r="O3897" t="s">
        <v>460</v>
      </c>
    </row>
    <row r="3898" spans="1:15" x14ac:dyDescent="0.3">
      <c r="A3898">
        <v>189379</v>
      </c>
      <c r="B3898">
        <v>116</v>
      </c>
      <c r="C3898" t="s">
        <v>568</v>
      </c>
      <c r="D3898" t="s">
        <v>2286</v>
      </c>
      <c r="E3898" t="s">
        <v>3253</v>
      </c>
      <c r="F3898" s="452">
        <v>46009</v>
      </c>
      <c r="G3898">
        <v>23389</v>
      </c>
      <c r="H3898" t="s">
        <v>4016</v>
      </c>
      <c r="I3898" t="s">
        <v>3469</v>
      </c>
      <c r="J3898">
        <v>6</v>
      </c>
      <c r="K3898" t="s">
        <v>3892</v>
      </c>
      <c r="L3898">
        <v>36</v>
      </c>
      <c r="M3898">
        <v>6</v>
      </c>
      <c r="N3898" t="s">
        <v>3469</v>
      </c>
      <c r="O3898" t="s">
        <v>460</v>
      </c>
    </row>
    <row r="3899" spans="1:15" x14ac:dyDescent="0.3">
      <c r="A3899">
        <v>189379</v>
      </c>
      <c r="B3899">
        <v>116</v>
      </c>
      <c r="C3899" t="s">
        <v>568</v>
      </c>
      <c r="D3899" t="s">
        <v>2286</v>
      </c>
      <c r="E3899" t="s">
        <v>3253</v>
      </c>
      <c r="F3899" s="452">
        <v>46009</v>
      </c>
      <c r="G3899">
        <v>23095</v>
      </c>
      <c r="H3899" t="s">
        <v>3882</v>
      </c>
      <c r="I3899" t="s">
        <v>3469</v>
      </c>
      <c r="J3899">
        <v>60</v>
      </c>
      <c r="K3899" t="s">
        <v>3872</v>
      </c>
      <c r="L3899">
        <v>56.4</v>
      </c>
      <c r="M3899">
        <v>0.94</v>
      </c>
      <c r="N3899" t="s">
        <v>3469</v>
      </c>
      <c r="O3899" t="s">
        <v>460</v>
      </c>
    </row>
    <row r="3900" spans="1:15" x14ac:dyDescent="0.3">
      <c r="A3900">
        <v>189379</v>
      </c>
      <c r="B3900">
        <v>116</v>
      </c>
      <c r="C3900" t="s">
        <v>568</v>
      </c>
      <c r="D3900" t="s">
        <v>2286</v>
      </c>
      <c r="E3900" t="s">
        <v>3253</v>
      </c>
      <c r="F3900" s="452">
        <v>46009</v>
      </c>
      <c r="G3900">
        <v>24037</v>
      </c>
      <c r="H3900" t="s">
        <v>4104</v>
      </c>
      <c r="I3900" t="s">
        <v>3469</v>
      </c>
      <c r="J3900">
        <v>2</v>
      </c>
      <c r="K3900" t="s">
        <v>3892</v>
      </c>
      <c r="L3900">
        <v>40</v>
      </c>
      <c r="M3900">
        <v>20</v>
      </c>
      <c r="N3900" t="s">
        <v>3469</v>
      </c>
      <c r="O3900" t="s">
        <v>460</v>
      </c>
    </row>
    <row r="3901" spans="1:15" x14ac:dyDescent="0.3">
      <c r="A3901">
        <v>189379</v>
      </c>
      <c r="B3901">
        <v>116</v>
      </c>
      <c r="C3901" t="s">
        <v>568</v>
      </c>
      <c r="D3901" t="s">
        <v>2286</v>
      </c>
      <c r="E3901" t="s">
        <v>3253</v>
      </c>
      <c r="F3901" s="452">
        <v>46009</v>
      </c>
      <c r="G3901">
        <v>19539</v>
      </c>
      <c r="H3901" t="s">
        <v>4133</v>
      </c>
      <c r="I3901" t="s">
        <v>3469</v>
      </c>
      <c r="J3901">
        <v>18</v>
      </c>
      <c r="K3901" t="s">
        <v>3892</v>
      </c>
      <c r="L3901">
        <v>82.8</v>
      </c>
      <c r="M3901">
        <v>4.5999999999999996</v>
      </c>
      <c r="N3901" t="s">
        <v>3469</v>
      </c>
      <c r="O3901" t="s">
        <v>460</v>
      </c>
    </row>
    <row r="3902" spans="1:15" x14ac:dyDescent="0.3">
      <c r="A3902">
        <v>189378</v>
      </c>
      <c r="B3902">
        <v>116</v>
      </c>
      <c r="C3902" t="s">
        <v>568</v>
      </c>
      <c r="D3902" t="s">
        <v>2260</v>
      </c>
      <c r="E3902" t="s">
        <v>3254</v>
      </c>
      <c r="F3902" s="452">
        <v>46021</v>
      </c>
      <c r="G3902">
        <v>20555</v>
      </c>
      <c r="H3902" t="s">
        <v>3959</v>
      </c>
      <c r="I3902" t="s">
        <v>3469</v>
      </c>
      <c r="J3902">
        <v>5.0999999999999996</v>
      </c>
      <c r="K3902" t="s">
        <v>3892</v>
      </c>
      <c r="L3902">
        <v>402.9</v>
      </c>
      <c r="M3902">
        <v>79</v>
      </c>
      <c r="N3902" t="s">
        <v>3469</v>
      </c>
      <c r="O3902" t="s">
        <v>460</v>
      </c>
    </row>
    <row r="3903" spans="1:15" x14ac:dyDescent="0.3">
      <c r="A3903">
        <v>189377</v>
      </c>
      <c r="B3903">
        <v>116</v>
      </c>
      <c r="C3903" t="s">
        <v>568</v>
      </c>
      <c r="D3903" t="s">
        <v>2260</v>
      </c>
      <c r="E3903" t="s">
        <v>3255</v>
      </c>
      <c r="F3903" s="452">
        <v>46011</v>
      </c>
      <c r="G3903">
        <v>20456</v>
      </c>
      <c r="H3903" t="s">
        <v>4000</v>
      </c>
      <c r="I3903" t="s">
        <v>3469</v>
      </c>
      <c r="J3903">
        <v>2.8</v>
      </c>
      <c r="K3903" t="s">
        <v>3892</v>
      </c>
      <c r="L3903">
        <v>109.2</v>
      </c>
      <c r="M3903">
        <v>39</v>
      </c>
      <c r="N3903" t="s">
        <v>3469</v>
      </c>
      <c r="O3903" t="s">
        <v>460</v>
      </c>
    </row>
    <row r="3904" spans="1:15" x14ac:dyDescent="0.3">
      <c r="A3904">
        <v>189377</v>
      </c>
      <c r="B3904">
        <v>116</v>
      </c>
      <c r="C3904" t="s">
        <v>568</v>
      </c>
      <c r="D3904" t="s">
        <v>2260</v>
      </c>
      <c r="E3904" t="s">
        <v>3255</v>
      </c>
      <c r="F3904" s="452">
        <v>46011</v>
      </c>
      <c r="G3904">
        <v>20555</v>
      </c>
      <c r="H3904" t="s">
        <v>3959</v>
      </c>
      <c r="I3904" t="s">
        <v>3469</v>
      </c>
      <c r="J3904">
        <v>4.5999999999999996</v>
      </c>
      <c r="K3904" t="s">
        <v>3892</v>
      </c>
      <c r="L3904">
        <v>363.4</v>
      </c>
      <c r="M3904">
        <v>79</v>
      </c>
      <c r="N3904" t="s">
        <v>3469</v>
      </c>
      <c r="O3904" t="s">
        <v>460</v>
      </c>
    </row>
    <row r="3905" spans="1:15" x14ac:dyDescent="0.3">
      <c r="A3905">
        <v>189377</v>
      </c>
      <c r="B3905">
        <v>116</v>
      </c>
      <c r="C3905" t="s">
        <v>568</v>
      </c>
      <c r="D3905" t="s">
        <v>2260</v>
      </c>
      <c r="E3905" t="s">
        <v>3255</v>
      </c>
      <c r="F3905" s="452">
        <v>46011</v>
      </c>
      <c r="G3905">
        <v>22734</v>
      </c>
      <c r="H3905" t="s">
        <v>3955</v>
      </c>
      <c r="I3905" t="s">
        <v>3469</v>
      </c>
      <c r="J3905">
        <v>10</v>
      </c>
      <c r="K3905" t="s">
        <v>3892</v>
      </c>
      <c r="L3905">
        <v>990</v>
      </c>
      <c r="M3905">
        <v>99</v>
      </c>
      <c r="N3905" t="s">
        <v>3469</v>
      </c>
      <c r="O3905" t="s">
        <v>460</v>
      </c>
    </row>
    <row r="3906" spans="1:15" x14ac:dyDescent="0.3">
      <c r="A3906">
        <v>189376</v>
      </c>
      <c r="B3906">
        <v>116</v>
      </c>
      <c r="C3906" t="s">
        <v>568</v>
      </c>
      <c r="D3906" t="s">
        <v>2260</v>
      </c>
      <c r="E3906" t="s">
        <v>3256</v>
      </c>
      <c r="F3906" s="452">
        <v>46021</v>
      </c>
      <c r="G3906">
        <v>27884</v>
      </c>
      <c r="H3906" t="s">
        <v>3910</v>
      </c>
      <c r="I3906" t="s">
        <v>3469</v>
      </c>
      <c r="J3906">
        <v>10.6</v>
      </c>
      <c r="K3906" t="s">
        <v>3892</v>
      </c>
      <c r="L3906">
        <v>689</v>
      </c>
      <c r="M3906">
        <v>65</v>
      </c>
      <c r="N3906" t="s">
        <v>3469</v>
      </c>
      <c r="O3906" t="s">
        <v>460</v>
      </c>
    </row>
    <row r="3907" spans="1:15" x14ac:dyDescent="0.3">
      <c r="A3907">
        <v>189374</v>
      </c>
      <c r="B3907">
        <v>116</v>
      </c>
      <c r="C3907" t="s">
        <v>568</v>
      </c>
      <c r="D3907" t="s">
        <v>2260</v>
      </c>
      <c r="E3907" t="s">
        <v>3257</v>
      </c>
      <c r="F3907" s="452">
        <v>46017</v>
      </c>
      <c r="G3907">
        <v>19297</v>
      </c>
      <c r="H3907" t="s">
        <v>3949</v>
      </c>
      <c r="I3907" t="s">
        <v>3469</v>
      </c>
      <c r="J3907">
        <v>7</v>
      </c>
      <c r="K3907" t="s">
        <v>3892</v>
      </c>
      <c r="L3907">
        <v>686</v>
      </c>
      <c r="M3907">
        <v>98</v>
      </c>
      <c r="N3907" t="s">
        <v>4240</v>
      </c>
      <c r="O3907" t="s">
        <v>460</v>
      </c>
    </row>
    <row r="3908" spans="1:15" x14ac:dyDescent="0.3">
      <c r="A3908">
        <v>189373</v>
      </c>
      <c r="B3908">
        <v>116</v>
      </c>
      <c r="C3908" t="s">
        <v>568</v>
      </c>
      <c r="D3908" t="s">
        <v>2260</v>
      </c>
      <c r="E3908" t="s">
        <v>3258</v>
      </c>
      <c r="F3908" s="452">
        <v>46014</v>
      </c>
      <c r="G3908">
        <v>18685</v>
      </c>
      <c r="H3908" t="s">
        <v>3945</v>
      </c>
      <c r="I3908" t="s">
        <v>3469</v>
      </c>
      <c r="J3908">
        <v>6.8</v>
      </c>
      <c r="K3908" t="s">
        <v>4197</v>
      </c>
      <c r="L3908">
        <v>265.2</v>
      </c>
      <c r="M3908">
        <v>39</v>
      </c>
      <c r="N3908" t="s">
        <v>4240</v>
      </c>
      <c r="O3908" t="s">
        <v>460</v>
      </c>
    </row>
    <row r="3909" spans="1:15" x14ac:dyDescent="0.3">
      <c r="A3909">
        <v>189373</v>
      </c>
      <c r="B3909">
        <v>116</v>
      </c>
      <c r="C3909" t="s">
        <v>568</v>
      </c>
      <c r="D3909" t="s">
        <v>2260</v>
      </c>
      <c r="E3909" t="s">
        <v>3258</v>
      </c>
      <c r="F3909" s="452">
        <v>46014</v>
      </c>
      <c r="G3909">
        <v>20555</v>
      </c>
      <c r="H3909" t="s">
        <v>3959</v>
      </c>
      <c r="I3909" t="s">
        <v>3469</v>
      </c>
      <c r="J3909">
        <v>4</v>
      </c>
      <c r="K3909" t="s">
        <v>3892</v>
      </c>
      <c r="L3909">
        <v>316</v>
      </c>
      <c r="M3909">
        <v>79</v>
      </c>
      <c r="N3909" t="s">
        <v>4240</v>
      </c>
      <c r="O3909" t="s">
        <v>460</v>
      </c>
    </row>
    <row r="3910" spans="1:15" x14ac:dyDescent="0.3">
      <c r="A3910">
        <v>189373</v>
      </c>
      <c r="B3910">
        <v>116</v>
      </c>
      <c r="C3910" t="s">
        <v>568</v>
      </c>
      <c r="D3910" t="s">
        <v>2260</v>
      </c>
      <c r="E3910" t="s">
        <v>3258</v>
      </c>
      <c r="F3910" s="452">
        <v>46014</v>
      </c>
      <c r="G3910">
        <v>24200</v>
      </c>
      <c r="H3910" t="s">
        <v>3975</v>
      </c>
      <c r="I3910" t="s">
        <v>3469</v>
      </c>
      <c r="J3910">
        <v>6.5</v>
      </c>
      <c r="K3910" t="s">
        <v>3892</v>
      </c>
      <c r="L3910">
        <v>213.85</v>
      </c>
      <c r="M3910">
        <v>32.9</v>
      </c>
      <c r="N3910" t="s">
        <v>4240</v>
      </c>
      <c r="O3910" t="s">
        <v>460</v>
      </c>
    </row>
    <row r="3911" spans="1:15" x14ac:dyDescent="0.3">
      <c r="A3911">
        <v>189373</v>
      </c>
      <c r="B3911">
        <v>116</v>
      </c>
      <c r="C3911" t="s">
        <v>568</v>
      </c>
      <c r="D3911" t="s">
        <v>2260</v>
      </c>
      <c r="E3911" t="s">
        <v>3258</v>
      </c>
      <c r="F3911" s="452">
        <v>46014</v>
      </c>
      <c r="G3911">
        <v>24072</v>
      </c>
      <c r="H3911" t="s">
        <v>4002</v>
      </c>
      <c r="I3911" t="s">
        <v>3469</v>
      </c>
      <c r="J3911">
        <v>3.2</v>
      </c>
      <c r="K3911" t="s">
        <v>3892</v>
      </c>
      <c r="L3911">
        <v>704</v>
      </c>
      <c r="M3911">
        <v>220</v>
      </c>
      <c r="N3911" t="s">
        <v>4240</v>
      </c>
      <c r="O3911" t="s">
        <v>460</v>
      </c>
    </row>
    <row r="3912" spans="1:15" x14ac:dyDescent="0.3">
      <c r="A3912">
        <v>189373</v>
      </c>
      <c r="B3912">
        <v>116</v>
      </c>
      <c r="C3912" t="s">
        <v>568</v>
      </c>
      <c r="D3912" t="s">
        <v>2260</v>
      </c>
      <c r="E3912" t="s">
        <v>3258</v>
      </c>
      <c r="F3912" s="452">
        <v>46014</v>
      </c>
      <c r="G3912">
        <v>22734</v>
      </c>
      <c r="H3912" t="s">
        <v>3955</v>
      </c>
      <c r="I3912" t="s">
        <v>3469</v>
      </c>
      <c r="J3912">
        <v>10.1</v>
      </c>
      <c r="K3912" t="s">
        <v>3892</v>
      </c>
      <c r="L3912">
        <v>999.9</v>
      </c>
      <c r="M3912">
        <v>99</v>
      </c>
      <c r="N3912" t="s">
        <v>4240</v>
      </c>
      <c r="O3912" t="s">
        <v>460</v>
      </c>
    </row>
    <row r="3913" spans="1:15" x14ac:dyDescent="0.3">
      <c r="A3913">
        <v>189372</v>
      </c>
      <c r="B3913">
        <v>116</v>
      </c>
      <c r="C3913" t="s">
        <v>568</v>
      </c>
      <c r="D3913" t="s">
        <v>2260</v>
      </c>
      <c r="E3913" t="s">
        <v>3259</v>
      </c>
      <c r="F3913" s="452">
        <v>46013</v>
      </c>
      <c r="G3913">
        <v>27884</v>
      </c>
      <c r="H3913" t="s">
        <v>3910</v>
      </c>
      <c r="I3913" t="s">
        <v>3469</v>
      </c>
      <c r="J3913">
        <v>10.4</v>
      </c>
      <c r="K3913" t="s">
        <v>3892</v>
      </c>
      <c r="L3913">
        <v>676</v>
      </c>
      <c r="M3913">
        <v>65</v>
      </c>
      <c r="N3913" t="s">
        <v>4240</v>
      </c>
      <c r="O3913" t="s">
        <v>460</v>
      </c>
    </row>
    <row r="3914" spans="1:15" x14ac:dyDescent="0.3">
      <c r="A3914">
        <v>189371</v>
      </c>
      <c r="B3914">
        <v>116</v>
      </c>
      <c r="C3914" t="s">
        <v>568</v>
      </c>
      <c r="D3914" t="s">
        <v>2260</v>
      </c>
      <c r="E3914" t="s">
        <v>3260</v>
      </c>
      <c r="F3914" s="452">
        <v>46011</v>
      </c>
      <c r="G3914">
        <v>27884</v>
      </c>
      <c r="H3914" t="s">
        <v>3910</v>
      </c>
      <c r="I3914" t="s">
        <v>3469</v>
      </c>
      <c r="J3914">
        <v>6.1</v>
      </c>
      <c r="K3914" t="s">
        <v>3892</v>
      </c>
      <c r="L3914">
        <v>396.5</v>
      </c>
      <c r="M3914">
        <v>65</v>
      </c>
      <c r="N3914" t="s">
        <v>3469</v>
      </c>
      <c r="O3914" t="s">
        <v>460</v>
      </c>
    </row>
    <row r="3915" spans="1:15" x14ac:dyDescent="0.3">
      <c r="A3915">
        <v>189370</v>
      </c>
      <c r="B3915">
        <v>116</v>
      </c>
      <c r="C3915" t="s">
        <v>568</v>
      </c>
      <c r="D3915" t="s">
        <v>2359</v>
      </c>
      <c r="E3915" t="s">
        <v>3261</v>
      </c>
      <c r="F3915" s="452">
        <v>46014</v>
      </c>
      <c r="G3915">
        <v>18272</v>
      </c>
      <c r="H3915" t="s">
        <v>4046</v>
      </c>
      <c r="I3915" t="s">
        <v>3497</v>
      </c>
      <c r="J3915">
        <v>2</v>
      </c>
      <c r="K3915" t="s">
        <v>3878</v>
      </c>
      <c r="L3915">
        <v>72.62</v>
      </c>
      <c r="M3915">
        <v>36.31</v>
      </c>
      <c r="N3915" t="s">
        <v>4276</v>
      </c>
      <c r="O3915" t="s">
        <v>460</v>
      </c>
    </row>
    <row r="3916" spans="1:15" x14ac:dyDescent="0.3">
      <c r="A3916">
        <v>189370</v>
      </c>
      <c r="B3916">
        <v>116</v>
      </c>
      <c r="C3916" t="s">
        <v>568</v>
      </c>
      <c r="D3916" t="s">
        <v>2359</v>
      </c>
      <c r="E3916" t="s">
        <v>3261</v>
      </c>
      <c r="F3916" s="452">
        <v>46014</v>
      </c>
      <c r="G3916">
        <v>18359</v>
      </c>
      <c r="H3916" t="s">
        <v>4029</v>
      </c>
      <c r="I3916" t="s">
        <v>3497</v>
      </c>
      <c r="J3916">
        <v>1</v>
      </c>
      <c r="K3916" t="s">
        <v>3878</v>
      </c>
      <c r="L3916">
        <v>99.9</v>
      </c>
      <c r="M3916">
        <v>99.9</v>
      </c>
      <c r="N3916" t="s">
        <v>4276</v>
      </c>
      <c r="O3916" t="s">
        <v>460</v>
      </c>
    </row>
    <row r="3917" spans="1:15" x14ac:dyDescent="0.3">
      <c r="A3917">
        <v>189369</v>
      </c>
      <c r="B3917">
        <v>116</v>
      </c>
      <c r="C3917" t="s">
        <v>568</v>
      </c>
      <c r="D3917" t="s">
        <v>2359</v>
      </c>
      <c r="E3917" t="s">
        <v>3262</v>
      </c>
      <c r="F3917" s="452">
        <v>46010</v>
      </c>
      <c r="G3917">
        <v>24002</v>
      </c>
      <c r="H3917" t="s">
        <v>3924</v>
      </c>
      <c r="I3917" t="s">
        <v>3497</v>
      </c>
      <c r="J3917">
        <v>12</v>
      </c>
      <c r="K3917" t="s">
        <v>3872</v>
      </c>
      <c r="L3917">
        <v>929.04</v>
      </c>
      <c r="M3917">
        <v>77.42</v>
      </c>
      <c r="N3917" t="s">
        <v>4276</v>
      </c>
      <c r="O3917" t="s">
        <v>460</v>
      </c>
    </row>
    <row r="3918" spans="1:15" x14ac:dyDescent="0.3">
      <c r="A3918">
        <v>189366</v>
      </c>
      <c r="B3918">
        <v>116</v>
      </c>
      <c r="C3918" t="s">
        <v>568</v>
      </c>
      <c r="D3918" t="s">
        <v>2357</v>
      </c>
      <c r="E3918" t="s">
        <v>3263</v>
      </c>
      <c r="F3918" s="452">
        <v>46013</v>
      </c>
      <c r="G3918">
        <v>20278</v>
      </c>
      <c r="H3918" t="s">
        <v>3939</v>
      </c>
      <c r="I3918" t="s">
        <v>3469</v>
      </c>
      <c r="J3918">
        <v>10</v>
      </c>
      <c r="K3918" t="s">
        <v>3872</v>
      </c>
      <c r="L3918">
        <v>332.7</v>
      </c>
      <c r="M3918">
        <v>33.270000000000003</v>
      </c>
      <c r="N3918" t="s">
        <v>3469</v>
      </c>
      <c r="O3918" t="s">
        <v>460</v>
      </c>
    </row>
    <row r="3919" spans="1:15" x14ac:dyDescent="0.3">
      <c r="A3919">
        <v>189365</v>
      </c>
      <c r="B3919">
        <v>116</v>
      </c>
      <c r="C3919" t="s">
        <v>568</v>
      </c>
      <c r="D3919" t="s">
        <v>3179</v>
      </c>
      <c r="E3919" t="s">
        <v>3264</v>
      </c>
      <c r="F3919" s="452">
        <v>46009</v>
      </c>
      <c r="G3919">
        <v>24509</v>
      </c>
      <c r="H3919" t="s">
        <v>3906</v>
      </c>
      <c r="I3919" t="s">
        <v>3469</v>
      </c>
      <c r="J3919">
        <v>20</v>
      </c>
      <c r="K3919" t="s">
        <v>3892</v>
      </c>
      <c r="L3919">
        <v>37.6</v>
      </c>
      <c r="M3919">
        <v>1.88</v>
      </c>
      <c r="N3919" t="s">
        <v>4240</v>
      </c>
      <c r="O3919" t="s">
        <v>460</v>
      </c>
    </row>
    <row r="3920" spans="1:15" x14ac:dyDescent="0.3">
      <c r="A3920">
        <v>189365</v>
      </c>
      <c r="B3920">
        <v>116</v>
      </c>
      <c r="C3920" t="s">
        <v>568</v>
      </c>
      <c r="D3920" t="s">
        <v>3179</v>
      </c>
      <c r="E3920" t="s">
        <v>3264</v>
      </c>
      <c r="F3920" s="452">
        <v>46009</v>
      </c>
      <c r="G3920">
        <v>19555</v>
      </c>
      <c r="H3920" t="s">
        <v>4109</v>
      </c>
      <c r="I3920" t="s">
        <v>3469</v>
      </c>
      <c r="J3920">
        <v>1</v>
      </c>
      <c r="K3920" t="s">
        <v>3892</v>
      </c>
      <c r="L3920">
        <v>16.8</v>
      </c>
      <c r="M3920">
        <v>16.8</v>
      </c>
      <c r="N3920" t="s">
        <v>4240</v>
      </c>
      <c r="O3920" t="s">
        <v>460</v>
      </c>
    </row>
    <row r="3921" spans="1:15" x14ac:dyDescent="0.3">
      <c r="A3921">
        <v>189365</v>
      </c>
      <c r="B3921">
        <v>116</v>
      </c>
      <c r="C3921" t="s">
        <v>568</v>
      </c>
      <c r="D3921" t="s">
        <v>3179</v>
      </c>
      <c r="E3921" t="s">
        <v>3264</v>
      </c>
      <c r="F3921" s="452">
        <v>46009</v>
      </c>
      <c r="G3921">
        <v>19740</v>
      </c>
      <c r="H3921" t="s">
        <v>3933</v>
      </c>
      <c r="I3921" t="s">
        <v>3469</v>
      </c>
      <c r="J3921">
        <v>5</v>
      </c>
      <c r="K3921" t="s">
        <v>3892</v>
      </c>
      <c r="L3921">
        <v>75</v>
      </c>
      <c r="M3921">
        <v>15</v>
      </c>
      <c r="N3921" t="s">
        <v>4240</v>
      </c>
      <c r="O3921" t="s">
        <v>460</v>
      </c>
    </row>
    <row r="3922" spans="1:15" x14ac:dyDescent="0.3">
      <c r="A3922">
        <v>189365</v>
      </c>
      <c r="B3922">
        <v>116</v>
      </c>
      <c r="C3922" t="s">
        <v>568</v>
      </c>
      <c r="D3922" t="s">
        <v>3179</v>
      </c>
      <c r="E3922" t="s">
        <v>3264</v>
      </c>
      <c r="F3922" s="452">
        <v>46009</v>
      </c>
      <c r="G3922">
        <v>19742</v>
      </c>
      <c r="H3922" t="s">
        <v>4074</v>
      </c>
      <c r="I3922" t="s">
        <v>3469</v>
      </c>
      <c r="J3922">
        <v>1.5</v>
      </c>
      <c r="K3922" t="s">
        <v>3892</v>
      </c>
      <c r="L3922">
        <v>14.4</v>
      </c>
      <c r="M3922">
        <v>9.6</v>
      </c>
      <c r="N3922" t="s">
        <v>4240</v>
      </c>
      <c r="O3922" t="s">
        <v>460</v>
      </c>
    </row>
    <row r="3923" spans="1:15" x14ac:dyDescent="0.3">
      <c r="A3923">
        <v>189365</v>
      </c>
      <c r="B3923">
        <v>116</v>
      </c>
      <c r="C3923" t="s">
        <v>568</v>
      </c>
      <c r="D3923" t="s">
        <v>3179</v>
      </c>
      <c r="E3923" t="s">
        <v>3264</v>
      </c>
      <c r="F3923" s="452">
        <v>46009</v>
      </c>
      <c r="G3923">
        <v>23096</v>
      </c>
      <c r="H3923" t="s">
        <v>3876</v>
      </c>
      <c r="I3923" t="s">
        <v>3469</v>
      </c>
      <c r="J3923">
        <v>60</v>
      </c>
      <c r="K3923" t="s">
        <v>3872</v>
      </c>
      <c r="L3923">
        <v>33</v>
      </c>
      <c r="M3923">
        <v>0.55000000000000004</v>
      </c>
      <c r="N3923" t="s">
        <v>4240</v>
      </c>
      <c r="O3923" t="s">
        <v>460</v>
      </c>
    </row>
    <row r="3924" spans="1:15" x14ac:dyDescent="0.3">
      <c r="A3924">
        <v>189365</v>
      </c>
      <c r="B3924">
        <v>116</v>
      </c>
      <c r="C3924" t="s">
        <v>568</v>
      </c>
      <c r="D3924" t="s">
        <v>3179</v>
      </c>
      <c r="E3924" t="s">
        <v>3264</v>
      </c>
      <c r="F3924" s="452">
        <v>46009</v>
      </c>
      <c r="G3924">
        <v>23234</v>
      </c>
      <c r="H3924" t="s">
        <v>4018</v>
      </c>
      <c r="I3924" t="s">
        <v>3469</v>
      </c>
      <c r="J3924">
        <v>2</v>
      </c>
      <c r="K3924" t="s">
        <v>3892</v>
      </c>
      <c r="L3924">
        <v>46</v>
      </c>
      <c r="M3924">
        <v>23</v>
      </c>
      <c r="N3924" t="s">
        <v>4240</v>
      </c>
      <c r="O3924" t="s">
        <v>460</v>
      </c>
    </row>
    <row r="3925" spans="1:15" x14ac:dyDescent="0.3">
      <c r="A3925">
        <v>189365</v>
      </c>
      <c r="B3925">
        <v>116</v>
      </c>
      <c r="C3925" t="s">
        <v>568</v>
      </c>
      <c r="D3925" t="s">
        <v>3179</v>
      </c>
      <c r="E3925" t="s">
        <v>3264</v>
      </c>
      <c r="F3925" s="452">
        <v>46009</v>
      </c>
      <c r="G3925">
        <v>23335</v>
      </c>
      <c r="H3925" t="s">
        <v>4075</v>
      </c>
      <c r="I3925" t="s">
        <v>3469</v>
      </c>
      <c r="J3925">
        <v>1.2</v>
      </c>
      <c r="K3925" t="s">
        <v>3892</v>
      </c>
      <c r="L3925">
        <v>31.68</v>
      </c>
      <c r="M3925">
        <v>26.4</v>
      </c>
      <c r="N3925" t="s">
        <v>4240</v>
      </c>
      <c r="O3925" t="s">
        <v>460</v>
      </c>
    </row>
    <row r="3926" spans="1:15" x14ac:dyDescent="0.3">
      <c r="A3926">
        <v>189365</v>
      </c>
      <c r="B3926">
        <v>116</v>
      </c>
      <c r="C3926" t="s">
        <v>568</v>
      </c>
      <c r="D3926" t="s">
        <v>3179</v>
      </c>
      <c r="E3926" t="s">
        <v>3264</v>
      </c>
      <c r="F3926" s="452">
        <v>46009</v>
      </c>
      <c r="G3926">
        <v>17066</v>
      </c>
      <c r="H3926" t="s">
        <v>4155</v>
      </c>
      <c r="I3926" t="s">
        <v>3469</v>
      </c>
      <c r="J3926">
        <v>1</v>
      </c>
      <c r="K3926" t="s">
        <v>3892</v>
      </c>
      <c r="L3926">
        <v>20.399999999999999</v>
      </c>
      <c r="M3926">
        <v>20.399999999999999</v>
      </c>
      <c r="N3926" t="s">
        <v>4240</v>
      </c>
      <c r="O3926" t="s">
        <v>460</v>
      </c>
    </row>
    <row r="3927" spans="1:15" x14ac:dyDescent="0.3">
      <c r="A3927">
        <v>189364</v>
      </c>
      <c r="B3927">
        <v>116</v>
      </c>
      <c r="C3927" t="s">
        <v>568</v>
      </c>
      <c r="D3927" t="s">
        <v>2342</v>
      </c>
      <c r="E3927" t="s">
        <v>3265</v>
      </c>
      <c r="F3927" s="452">
        <v>46013</v>
      </c>
      <c r="G3927">
        <v>24351</v>
      </c>
      <c r="H3927" t="s">
        <v>3912</v>
      </c>
      <c r="I3927" t="s">
        <v>3469</v>
      </c>
      <c r="J3927">
        <v>30</v>
      </c>
      <c r="K3927" t="s">
        <v>3892</v>
      </c>
      <c r="L3927">
        <v>360</v>
      </c>
      <c r="M3927">
        <v>12</v>
      </c>
      <c r="N3927" t="s">
        <v>4240</v>
      </c>
      <c r="O3927" t="s">
        <v>460</v>
      </c>
    </row>
    <row r="3928" spans="1:15" x14ac:dyDescent="0.3">
      <c r="A3928">
        <v>189363</v>
      </c>
      <c r="B3928">
        <v>116</v>
      </c>
      <c r="C3928" t="s">
        <v>568</v>
      </c>
      <c r="D3928" t="s">
        <v>2286</v>
      </c>
      <c r="E3928" t="s">
        <v>3266</v>
      </c>
      <c r="F3928" s="452">
        <v>46020</v>
      </c>
      <c r="G3928">
        <v>19506</v>
      </c>
      <c r="H3928" t="s">
        <v>4112</v>
      </c>
      <c r="I3928" t="s">
        <v>3469</v>
      </c>
      <c r="J3928">
        <v>0.2</v>
      </c>
      <c r="K3928" t="s">
        <v>3892</v>
      </c>
      <c r="L3928">
        <v>10</v>
      </c>
      <c r="M3928">
        <v>50</v>
      </c>
      <c r="N3928" t="s">
        <v>4240</v>
      </c>
      <c r="O3928" t="s">
        <v>460</v>
      </c>
    </row>
    <row r="3929" spans="1:15" x14ac:dyDescent="0.3">
      <c r="A3929">
        <v>189363</v>
      </c>
      <c r="B3929">
        <v>116</v>
      </c>
      <c r="C3929" t="s">
        <v>568</v>
      </c>
      <c r="D3929" t="s">
        <v>2286</v>
      </c>
      <c r="E3929" t="s">
        <v>3266</v>
      </c>
      <c r="F3929" s="452">
        <v>46020</v>
      </c>
      <c r="G3929">
        <v>19740</v>
      </c>
      <c r="H3929" t="s">
        <v>3933</v>
      </c>
      <c r="I3929" t="s">
        <v>3469</v>
      </c>
      <c r="J3929">
        <v>4</v>
      </c>
      <c r="K3929" t="s">
        <v>3892</v>
      </c>
      <c r="L3929">
        <v>64</v>
      </c>
      <c r="M3929">
        <v>16</v>
      </c>
      <c r="N3929" t="s">
        <v>4240</v>
      </c>
      <c r="O3929" t="s">
        <v>460</v>
      </c>
    </row>
    <row r="3930" spans="1:15" x14ac:dyDescent="0.3">
      <c r="A3930">
        <v>189363</v>
      </c>
      <c r="B3930">
        <v>116</v>
      </c>
      <c r="C3930" t="s">
        <v>568</v>
      </c>
      <c r="D3930" t="s">
        <v>2286</v>
      </c>
      <c r="E3930" t="s">
        <v>3266</v>
      </c>
      <c r="F3930" s="452">
        <v>46020</v>
      </c>
      <c r="G3930">
        <v>19480</v>
      </c>
      <c r="H3930" t="s">
        <v>4113</v>
      </c>
      <c r="I3930" t="s">
        <v>3469</v>
      </c>
      <c r="J3930">
        <v>0.2</v>
      </c>
      <c r="K3930" t="s">
        <v>3892</v>
      </c>
      <c r="L3930">
        <v>2.7</v>
      </c>
      <c r="M3930">
        <v>13.5</v>
      </c>
      <c r="N3930" t="s">
        <v>4240</v>
      </c>
      <c r="O3930" t="s">
        <v>460</v>
      </c>
    </row>
    <row r="3931" spans="1:15" x14ac:dyDescent="0.3">
      <c r="A3931">
        <v>189363</v>
      </c>
      <c r="B3931">
        <v>116</v>
      </c>
      <c r="C3931" t="s">
        <v>568</v>
      </c>
      <c r="D3931" t="s">
        <v>2286</v>
      </c>
      <c r="E3931" t="s">
        <v>3266</v>
      </c>
      <c r="F3931" s="452">
        <v>46020</v>
      </c>
      <c r="G3931">
        <v>23120</v>
      </c>
      <c r="H3931" t="s">
        <v>4111</v>
      </c>
      <c r="I3931" t="s">
        <v>3469</v>
      </c>
      <c r="J3931">
        <v>0.2</v>
      </c>
      <c r="K3931" t="s">
        <v>3892</v>
      </c>
      <c r="L3931">
        <v>15</v>
      </c>
      <c r="M3931">
        <v>75</v>
      </c>
      <c r="N3931" t="s">
        <v>4240</v>
      </c>
      <c r="O3931" t="s">
        <v>460</v>
      </c>
    </row>
    <row r="3932" spans="1:15" x14ac:dyDescent="0.3">
      <c r="A3932">
        <v>189363</v>
      </c>
      <c r="B3932">
        <v>116</v>
      </c>
      <c r="C3932" t="s">
        <v>568</v>
      </c>
      <c r="D3932" t="s">
        <v>2286</v>
      </c>
      <c r="E3932" t="s">
        <v>3266</v>
      </c>
      <c r="F3932" s="452">
        <v>46020</v>
      </c>
      <c r="G3932">
        <v>19458</v>
      </c>
      <c r="H3932" t="s">
        <v>4212</v>
      </c>
      <c r="I3932" t="s">
        <v>3469</v>
      </c>
      <c r="J3932">
        <v>1</v>
      </c>
      <c r="K3932" t="s">
        <v>3892</v>
      </c>
      <c r="L3932">
        <v>3.8</v>
      </c>
      <c r="M3932">
        <v>3.8</v>
      </c>
      <c r="N3932" t="s">
        <v>4240</v>
      </c>
      <c r="O3932" t="s">
        <v>460</v>
      </c>
    </row>
    <row r="3933" spans="1:15" x14ac:dyDescent="0.3">
      <c r="A3933">
        <v>189363</v>
      </c>
      <c r="B3933">
        <v>116</v>
      </c>
      <c r="C3933" t="s">
        <v>568</v>
      </c>
      <c r="D3933" t="s">
        <v>2286</v>
      </c>
      <c r="E3933" t="s">
        <v>3266</v>
      </c>
      <c r="F3933" s="452">
        <v>46020</v>
      </c>
      <c r="G3933">
        <v>23359</v>
      </c>
      <c r="H3933" t="s">
        <v>3932</v>
      </c>
      <c r="I3933" t="s">
        <v>3469</v>
      </c>
      <c r="J3933">
        <v>6</v>
      </c>
      <c r="K3933" t="s">
        <v>3892</v>
      </c>
      <c r="L3933">
        <v>21.9</v>
      </c>
      <c r="M3933">
        <v>3.65</v>
      </c>
      <c r="N3933" t="s">
        <v>4240</v>
      </c>
      <c r="O3933" t="s">
        <v>460</v>
      </c>
    </row>
    <row r="3934" spans="1:15" x14ac:dyDescent="0.3">
      <c r="A3934">
        <v>189363</v>
      </c>
      <c r="B3934">
        <v>116</v>
      </c>
      <c r="C3934" t="s">
        <v>568</v>
      </c>
      <c r="D3934" t="s">
        <v>2286</v>
      </c>
      <c r="E3934" t="s">
        <v>3266</v>
      </c>
      <c r="F3934" s="452">
        <v>46020</v>
      </c>
      <c r="G3934">
        <v>23389</v>
      </c>
      <c r="H3934" t="s">
        <v>4016</v>
      </c>
      <c r="I3934" t="s">
        <v>3469</v>
      </c>
      <c r="J3934">
        <v>5</v>
      </c>
      <c r="K3934" t="s">
        <v>3892</v>
      </c>
      <c r="L3934">
        <v>32.5</v>
      </c>
      <c r="M3934">
        <v>6.5</v>
      </c>
      <c r="N3934" t="s">
        <v>4240</v>
      </c>
      <c r="O3934" t="s">
        <v>460</v>
      </c>
    </row>
    <row r="3935" spans="1:15" x14ac:dyDescent="0.3">
      <c r="A3935">
        <v>189363</v>
      </c>
      <c r="B3935">
        <v>116</v>
      </c>
      <c r="C3935" t="s">
        <v>568</v>
      </c>
      <c r="D3935" t="s">
        <v>2286</v>
      </c>
      <c r="E3935" t="s">
        <v>3266</v>
      </c>
      <c r="F3935" s="452">
        <v>46020</v>
      </c>
      <c r="G3935">
        <v>24037</v>
      </c>
      <c r="H3935" t="s">
        <v>4104</v>
      </c>
      <c r="I3935" t="s">
        <v>3469</v>
      </c>
      <c r="J3935">
        <v>2</v>
      </c>
      <c r="K3935" t="s">
        <v>3892</v>
      </c>
      <c r="L3935">
        <v>40</v>
      </c>
      <c r="M3935">
        <v>20</v>
      </c>
      <c r="N3935" t="s">
        <v>4240</v>
      </c>
      <c r="O3935" t="s">
        <v>460</v>
      </c>
    </row>
    <row r="3936" spans="1:15" x14ac:dyDescent="0.3">
      <c r="A3936">
        <v>189362</v>
      </c>
      <c r="B3936">
        <v>116</v>
      </c>
      <c r="C3936" t="s">
        <v>568</v>
      </c>
      <c r="D3936" t="s">
        <v>2286</v>
      </c>
      <c r="E3936" t="s">
        <v>3267</v>
      </c>
      <c r="F3936" s="452">
        <v>46014</v>
      </c>
      <c r="G3936">
        <v>19505</v>
      </c>
      <c r="H3936" t="s">
        <v>4101</v>
      </c>
      <c r="I3936" t="s">
        <v>3469</v>
      </c>
      <c r="J3936">
        <v>1</v>
      </c>
      <c r="K3936" t="s">
        <v>3892</v>
      </c>
      <c r="L3936">
        <v>6.5</v>
      </c>
      <c r="M3936">
        <v>6.5</v>
      </c>
      <c r="N3936" t="s">
        <v>4240</v>
      </c>
      <c r="O3936" t="s">
        <v>460</v>
      </c>
    </row>
    <row r="3937" spans="1:15" x14ac:dyDescent="0.3">
      <c r="A3937">
        <v>189362</v>
      </c>
      <c r="B3937">
        <v>116</v>
      </c>
      <c r="C3937" t="s">
        <v>568</v>
      </c>
      <c r="D3937" t="s">
        <v>2286</v>
      </c>
      <c r="E3937" t="s">
        <v>3267</v>
      </c>
      <c r="F3937" s="452">
        <v>46014</v>
      </c>
      <c r="G3937">
        <v>19498</v>
      </c>
      <c r="H3937" t="s">
        <v>4065</v>
      </c>
      <c r="I3937" t="s">
        <v>3469</v>
      </c>
      <c r="J3937">
        <v>1</v>
      </c>
      <c r="K3937" t="s">
        <v>3892</v>
      </c>
      <c r="L3937">
        <v>8.5</v>
      </c>
      <c r="M3937">
        <v>8.5</v>
      </c>
      <c r="N3937" t="s">
        <v>4240</v>
      </c>
      <c r="O3937" t="s">
        <v>460</v>
      </c>
    </row>
    <row r="3938" spans="1:15" x14ac:dyDescent="0.3">
      <c r="A3938">
        <v>189362</v>
      </c>
      <c r="B3938">
        <v>116</v>
      </c>
      <c r="C3938" t="s">
        <v>568</v>
      </c>
      <c r="D3938" t="s">
        <v>2286</v>
      </c>
      <c r="E3938" t="s">
        <v>3267</v>
      </c>
      <c r="F3938" s="452">
        <v>46014</v>
      </c>
      <c r="G3938">
        <v>23096</v>
      </c>
      <c r="H3938" t="s">
        <v>3876</v>
      </c>
      <c r="I3938" t="s">
        <v>3469</v>
      </c>
      <c r="J3938">
        <v>60</v>
      </c>
      <c r="K3938" t="s">
        <v>3872</v>
      </c>
      <c r="L3938">
        <v>33</v>
      </c>
      <c r="M3938">
        <v>0.55000000000000004</v>
      </c>
      <c r="N3938" t="s">
        <v>4240</v>
      </c>
      <c r="O3938" t="s">
        <v>460</v>
      </c>
    </row>
    <row r="3939" spans="1:15" x14ac:dyDescent="0.3">
      <c r="A3939">
        <v>189362</v>
      </c>
      <c r="B3939">
        <v>116</v>
      </c>
      <c r="C3939" t="s">
        <v>568</v>
      </c>
      <c r="D3939" t="s">
        <v>2286</v>
      </c>
      <c r="E3939" t="s">
        <v>3267</v>
      </c>
      <c r="F3939" s="452">
        <v>46014</v>
      </c>
      <c r="G3939">
        <v>23236</v>
      </c>
      <c r="H3939" t="s">
        <v>4017</v>
      </c>
      <c r="I3939" t="s">
        <v>3469</v>
      </c>
      <c r="J3939">
        <v>4</v>
      </c>
      <c r="K3939" t="s">
        <v>3892</v>
      </c>
      <c r="L3939">
        <v>23.6</v>
      </c>
      <c r="M3939">
        <v>5.9</v>
      </c>
      <c r="N3939" t="s">
        <v>4240</v>
      </c>
      <c r="O3939" t="s">
        <v>460</v>
      </c>
    </row>
    <row r="3940" spans="1:15" x14ac:dyDescent="0.3">
      <c r="A3940">
        <v>189362</v>
      </c>
      <c r="B3940">
        <v>116</v>
      </c>
      <c r="C3940" t="s">
        <v>568</v>
      </c>
      <c r="D3940" t="s">
        <v>2286</v>
      </c>
      <c r="E3940" t="s">
        <v>3267</v>
      </c>
      <c r="F3940" s="452">
        <v>46014</v>
      </c>
      <c r="G3940">
        <v>23361</v>
      </c>
      <c r="H3940" t="s">
        <v>4220</v>
      </c>
      <c r="I3940" t="s">
        <v>3469</v>
      </c>
      <c r="J3940">
        <v>18</v>
      </c>
      <c r="K3940" t="s">
        <v>3892</v>
      </c>
      <c r="L3940">
        <v>55.8</v>
      </c>
      <c r="M3940">
        <v>3.1</v>
      </c>
      <c r="N3940" t="s">
        <v>4240</v>
      </c>
      <c r="O3940" t="s">
        <v>460</v>
      </c>
    </row>
    <row r="3941" spans="1:15" x14ac:dyDescent="0.3">
      <c r="A3941">
        <v>189362</v>
      </c>
      <c r="B3941">
        <v>116</v>
      </c>
      <c r="C3941" t="s">
        <v>568</v>
      </c>
      <c r="D3941" t="s">
        <v>2286</v>
      </c>
      <c r="E3941" t="s">
        <v>3267</v>
      </c>
      <c r="F3941" s="452">
        <v>46014</v>
      </c>
      <c r="G3941">
        <v>24037</v>
      </c>
      <c r="H3941" t="s">
        <v>4104</v>
      </c>
      <c r="I3941" t="s">
        <v>3469</v>
      </c>
      <c r="J3941">
        <v>2</v>
      </c>
      <c r="K3941" t="s">
        <v>3892</v>
      </c>
      <c r="L3941">
        <v>40</v>
      </c>
      <c r="M3941">
        <v>20</v>
      </c>
      <c r="N3941" t="s">
        <v>4240</v>
      </c>
      <c r="O3941" t="s">
        <v>460</v>
      </c>
    </row>
    <row r="3942" spans="1:15" x14ac:dyDescent="0.3">
      <c r="A3942">
        <v>189362</v>
      </c>
      <c r="B3942">
        <v>116</v>
      </c>
      <c r="C3942" t="s">
        <v>568</v>
      </c>
      <c r="D3942" t="s">
        <v>2286</v>
      </c>
      <c r="E3942" t="s">
        <v>3267</v>
      </c>
      <c r="F3942" s="452">
        <v>46014</v>
      </c>
      <c r="G3942">
        <v>19539</v>
      </c>
      <c r="H3942" t="s">
        <v>4133</v>
      </c>
      <c r="I3942" t="s">
        <v>3469</v>
      </c>
      <c r="J3942">
        <v>18</v>
      </c>
      <c r="K3942" t="s">
        <v>3892</v>
      </c>
      <c r="L3942">
        <v>135</v>
      </c>
      <c r="M3942">
        <v>7.5</v>
      </c>
      <c r="N3942" t="s">
        <v>4240</v>
      </c>
      <c r="O3942" t="s">
        <v>460</v>
      </c>
    </row>
    <row r="3943" spans="1:15" x14ac:dyDescent="0.3">
      <c r="A3943">
        <v>189361</v>
      </c>
      <c r="B3943">
        <v>116</v>
      </c>
      <c r="C3943" t="s">
        <v>568</v>
      </c>
      <c r="D3943" t="s">
        <v>2286</v>
      </c>
      <c r="E3943" t="s">
        <v>3268</v>
      </c>
      <c r="F3943" s="452">
        <v>46013</v>
      </c>
      <c r="G3943">
        <v>19787</v>
      </c>
      <c r="H3943" t="s">
        <v>3940</v>
      </c>
      <c r="I3943" t="s">
        <v>3469</v>
      </c>
      <c r="J3943">
        <v>6</v>
      </c>
      <c r="K3943" t="s">
        <v>3892</v>
      </c>
      <c r="L3943">
        <v>31.2</v>
      </c>
      <c r="M3943">
        <v>5.2</v>
      </c>
      <c r="N3943" t="s">
        <v>3469</v>
      </c>
      <c r="O3943" t="s">
        <v>460</v>
      </c>
    </row>
    <row r="3944" spans="1:15" x14ac:dyDescent="0.3">
      <c r="A3944">
        <v>189361</v>
      </c>
      <c r="B3944">
        <v>116</v>
      </c>
      <c r="C3944" t="s">
        <v>568</v>
      </c>
      <c r="D3944" t="s">
        <v>2286</v>
      </c>
      <c r="E3944" t="s">
        <v>3268</v>
      </c>
      <c r="F3944" s="452">
        <v>46013</v>
      </c>
      <c r="G3944">
        <v>19506</v>
      </c>
      <c r="H3944" t="s">
        <v>4112</v>
      </c>
      <c r="I3944" t="s">
        <v>3469</v>
      </c>
      <c r="J3944">
        <v>0.2</v>
      </c>
      <c r="K3944" t="s">
        <v>3892</v>
      </c>
      <c r="L3944">
        <v>9</v>
      </c>
      <c r="M3944">
        <v>45</v>
      </c>
      <c r="N3944" t="s">
        <v>3469</v>
      </c>
      <c r="O3944" t="s">
        <v>460</v>
      </c>
    </row>
    <row r="3945" spans="1:15" x14ac:dyDescent="0.3">
      <c r="A3945">
        <v>189361</v>
      </c>
      <c r="B3945">
        <v>116</v>
      </c>
      <c r="C3945" t="s">
        <v>568</v>
      </c>
      <c r="D3945" t="s">
        <v>2286</v>
      </c>
      <c r="E3945" t="s">
        <v>3268</v>
      </c>
      <c r="F3945" s="452">
        <v>46013</v>
      </c>
      <c r="G3945">
        <v>19498</v>
      </c>
      <c r="H3945" t="s">
        <v>4065</v>
      </c>
      <c r="I3945" t="s">
        <v>3469</v>
      </c>
      <c r="J3945">
        <v>1</v>
      </c>
      <c r="K3945" t="s">
        <v>3892</v>
      </c>
      <c r="L3945">
        <v>8.5</v>
      </c>
      <c r="M3945">
        <v>8.5</v>
      </c>
      <c r="N3945" t="s">
        <v>3469</v>
      </c>
      <c r="O3945" t="s">
        <v>460</v>
      </c>
    </row>
    <row r="3946" spans="1:15" x14ac:dyDescent="0.3">
      <c r="A3946">
        <v>189361</v>
      </c>
      <c r="B3946">
        <v>116</v>
      </c>
      <c r="C3946" t="s">
        <v>568</v>
      </c>
      <c r="D3946" t="s">
        <v>2286</v>
      </c>
      <c r="E3946" t="s">
        <v>3268</v>
      </c>
      <c r="F3946" s="452">
        <v>46013</v>
      </c>
      <c r="G3946">
        <v>19505</v>
      </c>
      <c r="H3946" t="s">
        <v>4101</v>
      </c>
      <c r="I3946" t="s">
        <v>3469</v>
      </c>
      <c r="J3946">
        <v>1.5</v>
      </c>
      <c r="K3946" t="s">
        <v>3892</v>
      </c>
      <c r="L3946">
        <v>9.75</v>
      </c>
      <c r="M3946">
        <v>6.5</v>
      </c>
      <c r="N3946" t="s">
        <v>3469</v>
      </c>
      <c r="O3946" t="s">
        <v>460</v>
      </c>
    </row>
    <row r="3947" spans="1:15" x14ac:dyDescent="0.3">
      <c r="A3947">
        <v>189361</v>
      </c>
      <c r="B3947">
        <v>116</v>
      </c>
      <c r="C3947" t="s">
        <v>568</v>
      </c>
      <c r="D3947" t="s">
        <v>2286</v>
      </c>
      <c r="E3947" t="s">
        <v>3268</v>
      </c>
      <c r="F3947" s="452">
        <v>46013</v>
      </c>
      <c r="G3947">
        <v>19752</v>
      </c>
      <c r="H3947" t="s">
        <v>4042</v>
      </c>
      <c r="I3947" t="s">
        <v>3469</v>
      </c>
      <c r="J3947">
        <v>1</v>
      </c>
      <c r="K3947" t="s">
        <v>3892</v>
      </c>
      <c r="L3947">
        <v>12.5</v>
      </c>
      <c r="M3947">
        <v>12.5</v>
      </c>
      <c r="N3947" t="s">
        <v>3469</v>
      </c>
      <c r="O3947" t="s">
        <v>460</v>
      </c>
    </row>
    <row r="3948" spans="1:15" x14ac:dyDescent="0.3">
      <c r="A3948">
        <v>189361</v>
      </c>
      <c r="B3948">
        <v>116</v>
      </c>
      <c r="C3948" t="s">
        <v>568</v>
      </c>
      <c r="D3948" t="s">
        <v>2286</v>
      </c>
      <c r="E3948" t="s">
        <v>3268</v>
      </c>
      <c r="F3948" s="452">
        <v>46013</v>
      </c>
      <c r="G3948">
        <v>23236</v>
      </c>
      <c r="H3948" t="s">
        <v>4017</v>
      </c>
      <c r="I3948" t="s">
        <v>3469</v>
      </c>
      <c r="J3948">
        <v>2</v>
      </c>
      <c r="K3948" t="s">
        <v>3892</v>
      </c>
      <c r="L3948">
        <v>11.8</v>
      </c>
      <c r="M3948">
        <v>5.9</v>
      </c>
      <c r="N3948" t="s">
        <v>3469</v>
      </c>
      <c r="O3948" t="s">
        <v>460</v>
      </c>
    </row>
    <row r="3949" spans="1:15" x14ac:dyDescent="0.3">
      <c r="A3949">
        <v>189361</v>
      </c>
      <c r="B3949">
        <v>116</v>
      </c>
      <c r="C3949" t="s">
        <v>568</v>
      </c>
      <c r="D3949" t="s">
        <v>2286</v>
      </c>
      <c r="E3949" t="s">
        <v>3268</v>
      </c>
      <c r="F3949" s="452">
        <v>46013</v>
      </c>
      <c r="G3949">
        <v>23120</v>
      </c>
      <c r="H3949" t="s">
        <v>4111</v>
      </c>
      <c r="I3949" t="s">
        <v>3469</v>
      </c>
      <c r="J3949">
        <v>0.2</v>
      </c>
      <c r="K3949" t="s">
        <v>3892</v>
      </c>
      <c r="L3949">
        <v>14</v>
      </c>
      <c r="M3949">
        <v>70</v>
      </c>
      <c r="N3949" t="s">
        <v>3469</v>
      </c>
      <c r="O3949" t="s">
        <v>460</v>
      </c>
    </row>
    <row r="3950" spans="1:15" x14ac:dyDescent="0.3">
      <c r="A3950">
        <v>189361</v>
      </c>
      <c r="B3950">
        <v>116</v>
      </c>
      <c r="C3950" t="s">
        <v>568</v>
      </c>
      <c r="D3950" t="s">
        <v>2286</v>
      </c>
      <c r="E3950" t="s">
        <v>3268</v>
      </c>
      <c r="F3950" s="452">
        <v>46013</v>
      </c>
      <c r="G3950">
        <v>23359</v>
      </c>
      <c r="H3950" t="s">
        <v>3932</v>
      </c>
      <c r="I3950" t="s">
        <v>3469</v>
      </c>
      <c r="J3950">
        <v>10</v>
      </c>
      <c r="K3950" t="s">
        <v>3892</v>
      </c>
      <c r="L3950">
        <v>36</v>
      </c>
      <c r="M3950">
        <v>3.6</v>
      </c>
      <c r="N3950" t="s">
        <v>3469</v>
      </c>
      <c r="O3950" t="s">
        <v>460</v>
      </c>
    </row>
    <row r="3951" spans="1:15" x14ac:dyDescent="0.3">
      <c r="A3951">
        <v>189361</v>
      </c>
      <c r="B3951">
        <v>116</v>
      </c>
      <c r="C3951" t="s">
        <v>568</v>
      </c>
      <c r="D3951" t="s">
        <v>2286</v>
      </c>
      <c r="E3951" t="s">
        <v>3268</v>
      </c>
      <c r="F3951" s="452">
        <v>46013</v>
      </c>
      <c r="G3951">
        <v>23095</v>
      </c>
      <c r="H3951" t="s">
        <v>3882</v>
      </c>
      <c r="I3951" t="s">
        <v>3469</v>
      </c>
      <c r="J3951">
        <v>60</v>
      </c>
      <c r="K3951" t="s">
        <v>3872</v>
      </c>
      <c r="L3951">
        <v>56.4</v>
      </c>
      <c r="M3951">
        <v>0.94</v>
      </c>
      <c r="N3951" t="s">
        <v>3469</v>
      </c>
      <c r="O3951" t="s">
        <v>460</v>
      </c>
    </row>
    <row r="3952" spans="1:15" x14ac:dyDescent="0.3">
      <c r="A3952">
        <v>189360</v>
      </c>
      <c r="B3952">
        <v>116</v>
      </c>
      <c r="C3952" t="s">
        <v>568</v>
      </c>
      <c r="D3952" t="s">
        <v>2260</v>
      </c>
      <c r="E3952" t="s">
        <v>3254</v>
      </c>
      <c r="F3952" s="452">
        <v>46021</v>
      </c>
      <c r="G3952">
        <v>20555</v>
      </c>
      <c r="H3952" t="s">
        <v>3959</v>
      </c>
      <c r="I3952" t="s">
        <v>3469</v>
      </c>
      <c r="J3952">
        <v>4</v>
      </c>
      <c r="K3952" t="s">
        <v>3892</v>
      </c>
      <c r="L3952">
        <v>316</v>
      </c>
      <c r="M3952">
        <v>79</v>
      </c>
      <c r="N3952" t="s">
        <v>4240</v>
      </c>
      <c r="O3952" t="s">
        <v>460</v>
      </c>
    </row>
    <row r="3953" spans="1:15" x14ac:dyDescent="0.3">
      <c r="A3953">
        <v>189359</v>
      </c>
      <c r="B3953">
        <v>116</v>
      </c>
      <c r="C3953" t="s">
        <v>568</v>
      </c>
      <c r="D3953" t="s">
        <v>2286</v>
      </c>
      <c r="E3953" t="s">
        <v>3269</v>
      </c>
      <c r="F3953" s="452">
        <v>46017</v>
      </c>
      <c r="G3953">
        <v>19634</v>
      </c>
      <c r="H3953" t="s">
        <v>4068</v>
      </c>
      <c r="I3953" t="s">
        <v>3469</v>
      </c>
      <c r="J3953">
        <v>2</v>
      </c>
      <c r="K3953" t="s">
        <v>3892</v>
      </c>
      <c r="L3953">
        <v>9.6</v>
      </c>
      <c r="M3953">
        <v>4.8</v>
      </c>
      <c r="N3953" t="s">
        <v>3469</v>
      </c>
      <c r="O3953" t="s">
        <v>460</v>
      </c>
    </row>
    <row r="3954" spans="1:15" x14ac:dyDescent="0.3">
      <c r="A3954">
        <v>189359</v>
      </c>
      <c r="B3954">
        <v>116</v>
      </c>
      <c r="C3954" t="s">
        <v>568</v>
      </c>
      <c r="D3954" t="s">
        <v>2286</v>
      </c>
      <c r="E3954" t="s">
        <v>3269</v>
      </c>
      <c r="F3954" s="452">
        <v>46017</v>
      </c>
      <c r="G3954">
        <v>19623</v>
      </c>
      <c r="H3954" t="s">
        <v>3984</v>
      </c>
      <c r="I3954" t="s">
        <v>3469</v>
      </c>
      <c r="J3954">
        <v>3</v>
      </c>
      <c r="K3954" t="s">
        <v>3892</v>
      </c>
      <c r="L3954">
        <v>14.25</v>
      </c>
      <c r="M3954">
        <v>4.75</v>
      </c>
      <c r="N3954" t="s">
        <v>3469</v>
      </c>
      <c r="O3954" t="s">
        <v>460</v>
      </c>
    </row>
    <row r="3955" spans="1:15" x14ac:dyDescent="0.3">
      <c r="A3955">
        <v>189359</v>
      </c>
      <c r="B3955">
        <v>116</v>
      </c>
      <c r="C3955" t="s">
        <v>568</v>
      </c>
      <c r="D3955" t="s">
        <v>2286</v>
      </c>
      <c r="E3955" t="s">
        <v>3269</v>
      </c>
      <c r="F3955" s="452">
        <v>46017</v>
      </c>
      <c r="G3955">
        <v>19506</v>
      </c>
      <c r="H3955" t="s">
        <v>4112</v>
      </c>
      <c r="I3955" t="s">
        <v>3469</v>
      </c>
      <c r="J3955">
        <v>0.2</v>
      </c>
      <c r="K3955" t="s">
        <v>3892</v>
      </c>
      <c r="L3955">
        <v>9</v>
      </c>
      <c r="M3955">
        <v>45</v>
      </c>
      <c r="N3955" t="s">
        <v>3469</v>
      </c>
      <c r="O3955" t="s">
        <v>460</v>
      </c>
    </row>
    <row r="3956" spans="1:15" x14ac:dyDescent="0.3">
      <c r="A3956">
        <v>189359</v>
      </c>
      <c r="B3956">
        <v>116</v>
      </c>
      <c r="C3956" t="s">
        <v>568</v>
      </c>
      <c r="D3956" t="s">
        <v>2286</v>
      </c>
      <c r="E3956" t="s">
        <v>3269</v>
      </c>
      <c r="F3956" s="452">
        <v>46017</v>
      </c>
      <c r="G3956">
        <v>19505</v>
      </c>
      <c r="H3956" t="s">
        <v>4101</v>
      </c>
      <c r="I3956" t="s">
        <v>3469</v>
      </c>
      <c r="J3956">
        <v>1</v>
      </c>
      <c r="K3956" t="s">
        <v>3892</v>
      </c>
      <c r="L3956">
        <v>6.5</v>
      </c>
      <c r="M3956">
        <v>6.5</v>
      </c>
      <c r="N3956" t="s">
        <v>3469</v>
      </c>
      <c r="O3956" t="s">
        <v>460</v>
      </c>
    </row>
    <row r="3957" spans="1:15" x14ac:dyDescent="0.3">
      <c r="A3957">
        <v>189359</v>
      </c>
      <c r="B3957">
        <v>116</v>
      </c>
      <c r="C3957" t="s">
        <v>568</v>
      </c>
      <c r="D3957" t="s">
        <v>2286</v>
      </c>
      <c r="E3957" t="s">
        <v>3269</v>
      </c>
      <c r="F3957" s="452">
        <v>46017</v>
      </c>
      <c r="G3957">
        <v>19498</v>
      </c>
      <c r="H3957" t="s">
        <v>4065</v>
      </c>
      <c r="I3957" t="s">
        <v>3469</v>
      </c>
      <c r="J3957">
        <v>1</v>
      </c>
      <c r="K3957" t="s">
        <v>3892</v>
      </c>
      <c r="L3957">
        <v>8.5</v>
      </c>
      <c r="M3957">
        <v>8.5</v>
      </c>
      <c r="N3957" t="s">
        <v>3469</v>
      </c>
      <c r="O3957" t="s">
        <v>460</v>
      </c>
    </row>
    <row r="3958" spans="1:15" x14ac:dyDescent="0.3">
      <c r="A3958">
        <v>189359</v>
      </c>
      <c r="B3958">
        <v>116</v>
      </c>
      <c r="C3958" t="s">
        <v>568</v>
      </c>
      <c r="D3958" t="s">
        <v>2286</v>
      </c>
      <c r="E3958" t="s">
        <v>3269</v>
      </c>
      <c r="F3958" s="452">
        <v>46017</v>
      </c>
      <c r="G3958">
        <v>19553</v>
      </c>
      <c r="H3958" t="s">
        <v>4078</v>
      </c>
      <c r="I3958" t="s">
        <v>3469</v>
      </c>
      <c r="J3958">
        <v>1.5</v>
      </c>
      <c r="K3958" t="s">
        <v>3892</v>
      </c>
      <c r="L3958">
        <v>3.75</v>
      </c>
      <c r="M3958">
        <v>2.5</v>
      </c>
      <c r="N3958" t="s">
        <v>3469</v>
      </c>
      <c r="O3958" t="s">
        <v>460</v>
      </c>
    </row>
    <row r="3959" spans="1:15" x14ac:dyDescent="0.3">
      <c r="A3959">
        <v>189359</v>
      </c>
      <c r="B3959">
        <v>116</v>
      </c>
      <c r="C3959" t="s">
        <v>568</v>
      </c>
      <c r="D3959" t="s">
        <v>2286</v>
      </c>
      <c r="E3959" t="s">
        <v>3269</v>
      </c>
      <c r="F3959" s="452">
        <v>46017</v>
      </c>
      <c r="G3959">
        <v>19752</v>
      </c>
      <c r="H3959" t="s">
        <v>4042</v>
      </c>
      <c r="I3959" t="s">
        <v>3469</v>
      </c>
      <c r="J3959">
        <v>1</v>
      </c>
      <c r="K3959" t="s">
        <v>3892</v>
      </c>
      <c r="L3959">
        <v>12.5</v>
      </c>
      <c r="M3959">
        <v>12.5</v>
      </c>
      <c r="N3959" t="s">
        <v>3469</v>
      </c>
      <c r="O3959" t="s">
        <v>460</v>
      </c>
    </row>
    <row r="3960" spans="1:15" x14ac:dyDescent="0.3">
      <c r="A3960">
        <v>189359</v>
      </c>
      <c r="B3960">
        <v>116</v>
      </c>
      <c r="C3960" t="s">
        <v>568</v>
      </c>
      <c r="D3960" t="s">
        <v>2286</v>
      </c>
      <c r="E3960" t="s">
        <v>3269</v>
      </c>
      <c r="F3960" s="452">
        <v>46017</v>
      </c>
      <c r="G3960">
        <v>23120</v>
      </c>
      <c r="H3960" t="s">
        <v>4111</v>
      </c>
      <c r="I3960" t="s">
        <v>3469</v>
      </c>
      <c r="J3960">
        <v>0.2</v>
      </c>
      <c r="K3960" t="s">
        <v>3892</v>
      </c>
      <c r="L3960">
        <v>14</v>
      </c>
      <c r="M3960">
        <v>70</v>
      </c>
      <c r="N3960" t="s">
        <v>3469</v>
      </c>
      <c r="O3960" t="s">
        <v>460</v>
      </c>
    </row>
    <row r="3961" spans="1:15" x14ac:dyDescent="0.3">
      <c r="A3961">
        <v>189359</v>
      </c>
      <c r="B3961">
        <v>116</v>
      </c>
      <c r="C3961" t="s">
        <v>568</v>
      </c>
      <c r="D3961" t="s">
        <v>2286</v>
      </c>
      <c r="E3961" t="s">
        <v>3269</v>
      </c>
      <c r="F3961" s="452">
        <v>46017</v>
      </c>
      <c r="G3961">
        <v>23359</v>
      </c>
      <c r="H3961" t="s">
        <v>3932</v>
      </c>
      <c r="I3961" t="s">
        <v>3469</v>
      </c>
      <c r="J3961">
        <v>10</v>
      </c>
      <c r="K3961" t="s">
        <v>3892</v>
      </c>
      <c r="L3961">
        <v>36</v>
      </c>
      <c r="M3961">
        <v>3.6</v>
      </c>
      <c r="N3961" t="s">
        <v>3469</v>
      </c>
      <c r="O3961" t="s">
        <v>460</v>
      </c>
    </row>
    <row r="3962" spans="1:15" x14ac:dyDescent="0.3">
      <c r="A3962">
        <v>189359</v>
      </c>
      <c r="B3962">
        <v>116</v>
      </c>
      <c r="C3962" t="s">
        <v>568</v>
      </c>
      <c r="D3962" t="s">
        <v>2286</v>
      </c>
      <c r="E3962" t="s">
        <v>3269</v>
      </c>
      <c r="F3962" s="452">
        <v>46017</v>
      </c>
      <c r="G3962">
        <v>23095</v>
      </c>
      <c r="H3962" t="s">
        <v>3882</v>
      </c>
      <c r="I3962" t="s">
        <v>3469</v>
      </c>
      <c r="J3962">
        <v>60</v>
      </c>
      <c r="K3962" t="s">
        <v>3872</v>
      </c>
      <c r="L3962">
        <v>56.4</v>
      </c>
      <c r="M3962">
        <v>0.94</v>
      </c>
      <c r="N3962" t="s">
        <v>3469</v>
      </c>
      <c r="O3962" t="s">
        <v>460</v>
      </c>
    </row>
    <row r="3963" spans="1:15" x14ac:dyDescent="0.3">
      <c r="A3963">
        <v>186701</v>
      </c>
      <c r="B3963">
        <v>116</v>
      </c>
      <c r="C3963" t="s">
        <v>568</v>
      </c>
      <c r="D3963" t="s">
        <v>2275</v>
      </c>
      <c r="E3963" t="s">
        <v>3270</v>
      </c>
      <c r="F3963" s="452">
        <v>45992</v>
      </c>
      <c r="G3963">
        <v>17958</v>
      </c>
      <c r="H3963" t="s">
        <v>4141</v>
      </c>
      <c r="I3963" t="s">
        <v>3497</v>
      </c>
      <c r="J3963">
        <v>15</v>
      </c>
      <c r="K3963" t="s">
        <v>3888</v>
      </c>
      <c r="L3963">
        <v>238.5</v>
      </c>
      <c r="M3963">
        <v>15.9</v>
      </c>
      <c r="N3963" t="s">
        <v>4276</v>
      </c>
      <c r="O3963" t="s">
        <v>460</v>
      </c>
    </row>
    <row r="3964" spans="1:15" x14ac:dyDescent="0.3">
      <c r="A3964">
        <v>186701</v>
      </c>
      <c r="B3964">
        <v>116</v>
      </c>
      <c r="C3964" t="s">
        <v>568</v>
      </c>
      <c r="D3964" t="s">
        <v>2275</v>
      </c>
      <c r="E3964" t="s">
        <v>3270</v>
      </c>
      <c r="F3964" s="452">
        <v>45992</v>
      </c>
      <c r="G3964">
        <v>17950</v>
      </c>
      <c r="H3964" t="s">
        <v>4170</v>
      </c>
      <c r="I3964" t="s">
        <v>3497</v>
      </c>
      <c r="J3964">
        <v>10</v>
      </c>
      <c r="K3964" t="s">
        <v>3888</v>
      </c>
      <c r="L3964">
        <v>159</v>
      </c>
      <c r="M3964">
        <v>15.9</v>
      </c>
      <c r="N3964" t="s">
        <v>4276</v>
      </c>
      <c r="O3964" t="s">
        <v>460</v>
      </c>
    </row>
    <row r="3965" spans="1:15" x14ac:dyDescent="0.3">
      <c r="A3965">
        <v>186353</v>
      </c>
      <c r="B3965">
        <v>116</v>
      </c>
      <c r="C3965" t="s">
        <v>568</v>
      </c>
      <c r="D3965" t="s">
        <v>2262</v>
      </c>
      <c r="E3965" t="s">
        <v>3271</v>
      </c>
      <c r="F3965" s="452">
        <v>46008</v>
      </c>
      <c r="G3965">
        <v>24259</v>
      </c>
      <c r="H3965" t="s">
        <v>3895</v>
      </c>
      <c r="I3965" t="s">
        <v>3469</v>
      </c>
      <c r="J3965">
        <v>15.9</v>
      </c>
      <c r="K3965" t="s">
        <v>3892</v>
      </c>
      <c r="L3965">
        <v>1335.44</v>
      </c>
      <c r="M3965">
        <v>83.989936999999998</v>
      </c>
      <c r="N3965" t="s">
        <v>4240</v>
      </c>
      <c r="O3965" t="s">
        <v>460</v>
      </c>
    </row>
    <row r="3966" spans="1:15" x14ac:dyDescent="0.3">
      <c r="A3966">
        <v>186353</v>
      </c>
      <c r="B3966">
        <v>116</v>
      </c>
      <c r="C3966" t="s">
        <v>568</v>
      </c>
      <c r="D3966" t="s">
        <v>2262</v>
      </c>
      <c r="E3966" t="s">
        <v>3271</v>
      </c>
      <c r="F3966" s="452">
        <v>46008</v>
      </c>
      <c r="G3966">
        <v>24116</v>
      </c>
      <c r="H3966" t="s">
        <v>3963</v>
      </c>
      <c r="I3966" t="s">
        <v>3469</v>
      </c>
      <c r="J3966">
        <v>5</v>
      </c>
      <c r="K3966" t="s">
        <v>3892</v>
      </c>
      <c r="L3966">
        <v>209.5</v>
      </c>
      <c r="M3966">
        <v>41.9</v>
      </c>
      <c r="N3966" t="s">
        <v>4240</v>
      </c>
      <c r="O3966" t="s">
        <v>460</v>
      </c>
    </row>
    <row r="3967" spans="1:15" x14ac:dyDescent="0.3">
      <c r="A3967">
        <v>186353</v>
      </c>
      <c r="B3967">
        <v>116</v>
      </c>
      <c r="C3967" t="s">
        <v>568</v>
      </c>
      <c r="D3967" t="s">
        <v>2262</v>
      </c>
      <c r="E3967" t="s">
        <v>3271</v>
      </c>
      <c r="F3967" s="452">
        <v>46008</v>
      </c>
      <c r="G3967">
        <v>24402</v>
      </c>
      <c r="H3967" t="s">
        <v>3896</v>
      </c>
      <c r="I3967" t="s">
        <v>3469</v>
      </c>
      <c r="J3967">
        <v>15.1</v>
      </c>
      <c r="K3967" t="s">
        <v>3892</v>
      </c>
      <c r="L3967">
        <v>561.72</v>
      </c>
      <c r="M3967">
        <v>37.200000000000003</v>
      </c>
      <c r="N3967" t="s">
        <v>4240</v>
      </c>
      <c r="O3967" t="s">
        <v>460</v>
      </c>
    </row>
    <row r="3968" spans="1:15" x14ac:dyDescent="0.3">
      <c r="A3968">
        <v>186353</v>
      </c>
      <c r="B3968">
        <v>116</v>
      </c>
      <c r="C3968" t="s">
        <v>568</v>
      </c>
      <c r="D3968" t="s">
        <v>2262</v>
      </c>
      <c r="E3968" t="s">
        <v>3271</v>
      </c>
      <c r="F3968" s="452">
        <v>46008</v>
      </c>
      <c r="G3968">
        <v>24343</v>
      </c>
      <c r="H3968" t="s">
        <v>3990</v>
      </c>
      <c r="I3968" t="s">
        <v>3469</v>
      </c>
      <c r="J3968">
        <v>5.6</v>
      </c>
      <c r="K3968" t="s">
        <v>3892</v>
      </c>
      <c r="L3968">
        <v>139.44</v>
      </c>
      <c r="M3968">
        <v>24.9</v>
      </c>
      <c r="N3968" t="s">
        <v>4240</v>
      </c>
      <c r="O3968" t="s">
        <v>460</v>
      </c>
    </row>
    <row r="3969" spans="1:15" x14ac:dyDescent="0.3">
      <c r="A3969">
        <v>186352</v>
      </c>
      <c r="B3969">
        <v>116</v>
      </c>
      <c r="C3969" t="s">
        <v>568</v>
      </c>
      <c r="D3969" t="s">
        <v>2262</v>
      </c>
      <c r="E3969" t="s">
        <v>3272</v>
      </c>
      <c r="F3969" s="452">
        <v>46007</v>
      </c>
      <c r="G3969">
        <v>24259</v>
      </c>
      <c r="H3969" t="s">
        <v>3895</v>
      </c>
      <c r="I3969" t="s">
        <v>3469</v>
      </c>
      <c r="J3969">
        <v>15.9</v>
      </c>
      <c r="K3969" t="s">
        <v>3892</v>
      </c>
      <c r="L3969">
        <v>1335.44</v>
      </c>
      <c r="M3969">
        <v>83.989936999999998</v>
      </c>
      <c r="N3969" t="s">
        <v>4240</v>
      </c>
      <c r="O3969" t="s">
        <v>460</v>
      </c>
    </row>
    <row r="3970" spans="1:15" x14ac:dyDescent="0.3">
      <c r="A3970">
        <v>186352</v>
      </c>
      <c r="B3970">
        <v>116</v>
      </c>
      <c r="C3970" t="s">
        <v>568</v>
      </c>
      <c r="D3970" t="s">
        <v>2262</v>
      </c>
      <c r="E3970" t="s">
        <v>3272</v>
      </c>
      <c r="F3970" s="452">
        <v>46007</v>
      </c>
      <c r="G3970">
        <v>24116</v>
      </c>
      <c r="H3970" t="s">
        <v>3963</v>
      </c>
      <c r="I3970" t="s">
        <v>3469</v>
      </c>
      <c r="J3970">
        <v>5</v>
      </c>
      <c r="K3970" t="s">
        <v>3892</v>
      </c>
      <c r="L3970">
        <v>209.5</v>
      </c>
      <c r="M3970">
        <v>41.9</v>
      </c>
      <c r="N3970" t="s">
        <v>4240</v>
      </c>
      <c r="O3970" t="s">
        <v>460</v>
      </c>
    </row>
    <row r="3971" spans="1:15" x14ac:dyDescent="0.3">
      <c r="A3971">
        <v>186352</v>
      </c>
      <c r="B3971">
        <v>116</v>
      </c>
      <c r="C3971" t="s">
        <v>568</v>
      </c>
      <c r="D3971" t="s">
        <v>2262</v>
      </c>
      <c r="E3971" t="s">
        <v>3272</v>
      </c>
      <c r="F3971" s="452">
        <v>46007</v>
      </c>
      <c r="G3971">
        <v>24402</v>
      </c>
      <c r="H3971" t="s">
        <v>3896</v>
      </c>
      <c r="I3971" t="s">
        <v>3469</v>
      </c>
      <c r="J3971">
        <v>15.1</v>
      </c>
      <c r="K3971" t="s">
        <v>3892</v>
      </c>
      <c r="L3971">
        <v>561.72</v>
      </c>
      <c r="M3971">
        <v>37.200000000000003</v>
      </c>
      <c r="N3971" t="s">
        <v>4240</v>
      </c>
      <c r="O3971" t="s">
        <v>460</v>
      </c>
    </row>
    <row r="3972" spans="1:15" x14ac:dyDescent="0.3">
      <c r="A3972">
        <v>186352</v>
      </c>
      <c r="B3972">
        <v>116</v>
      </c>
      <c r="C3972" t="s">
        <v>568</v>
      </c>
      <c r="D3972" t="s">
        <v>2262</v>
      </c>
      <c r="E3972" t="s">
        <v>3272</v>
      </c>
      <c r="F3972" s="452">
        <v>46007</v>
      </c>
      <c r="G3972">
        <v>24343</v>
      </c>
      <c r="H3972" t="s">
        <v>3990</v>
      </c>
      <c r="I3972" t="s">
        <v>3469</v>
      </c>
      <c r="J3972">
        <v>5.6</v>
      </c>
      <c r="K3972" t="s">
        <v>3892</v>
      </c>
      <c r="L3972">
        <v>139.44</v>
      </c>
      <c r="M3972">
        <v>24.9</v>
      </c>
      <c r="N3972" t="s">
        <v>4240</v>
      </c>
      <c r="O3972" t="s">
        <v>460</v>
      </c>
    </row>
    <row r="3973" spans="1:15" x14ac:dyDescent="0.3">
      <c r="A3973">
        <v>186351</v>
      </c>
      <c r="B3973">
        <v>116</v>
      </c>
      <c r="C3973" t="s">
        <v>568</v>
      </c>
      <c r="D3973" t="s">
        <v>2379</v>
      </c>
      <c r="E3973" t="s">
        <v>3273</v>
      </c>
      <c r="F3973" s="452">
        <v>46000</v>
      </c>
      <c r="G3973">
        <v>18450</v>
      </c>
      <c r="H3973" t="s">
        <v>4253</v>
      </c>
      <c r="I3973" t="s">
        <v>3497</v>
      </c>
      <c r="J3973">
        <v>60</v>
      </c>
      <c r="K3973" t="s">
        <v>3878</v>
      </c>
      <c r="L3973">
        <v>2280</v>
      </c>
      <c r="M3973">
        <v>38</v>
      </c>
      <c r="N3973" t="s">
        <v>3497</v>
      </c>
      <c r="O3973" t="s">
        <v>460</v>
      </c>
    </row>
    <row r="3974" spans="1:15" x14ac:dyDescent="0.3">
      <c r="A3974">
        <v>186350</v>
      </c>
      <c r="B3974">
        <v>116</v>
      </c>
      <c r="C3974" t="s">
        <v>568</v>
      </c>
      <c r="D3974" t="s">
        <v>2284</v>
      </c>
      <c r="E3974" t="s">
        <v>3274</v>
      </c>
      <c r="F3974" s="452">
        <v>46008</v>
      </c>
      <c r="G3974">
        <v>20242</v>
      </c>
      <c r="H3974" t="s">
        <v>4120</v>
      </c>
      <c r="I3974" t="s">
        <v>3469</v>
      </c>
      <c r="J3974">
        <v>5</v>
      </c>
      <c r="K3974" t="s">
        <v>3888</v>
      </c>
      <c r="L3974">
        <v>71</v>
      </c>
      <c r="M3974">
        <v>14.2</v>
      </c>
      <c r="N3974" t="s">
        <v>4240</v>
      </c>
      <c r="O3974" t="s">
        <v>460</v>
      </c>
    </row>
    <row r="3975" spans="1:15" x14ac:dyDescent="0.3">
      <c r="A3975">
        <v>186350</v>
      </c>
      <c r="B3975">
        <v>116</v>
      </c>
      <c r="C3975" t="s">
        <v>568</v>
      </c>
      <c r="D3975" t="s">
        <v>2284</v>
      </c>
      <c r="E3975" t="s">
        <v>3274</v>
      </c>
      <c r="F3975" s="452">
        <v>46008</v>
      </c>
      <c r="G3975">
        <v>21085</v>
      </c>
      <c r="H3975" t="s">
        <v>4114</v>
      </c>
      <c r="I3975" t="s">
        <v>3469</v>
      </c>
      <c r="J3975">
        <v>1</v>
      </c>
      <c r="K3975" t="s">
        <v>3881</v>
      </c>
      <c r="L3975">
        <v>45.31</v>
      </c>
      <c r="M3975">
        <v>45.31</v>
      </c>
      <c r="N3975" t="s">
        <v>4240</v>
      </c>
      <c r="O3975" t="s">
        <v>460</v>
      </c>
    </row>
    <row r="3976" spans="1:15" x14ac:dyDescent="0.3">
      <c r="A3976">
        <v>186350</v>
      </c>
      <c r="B3976">
        <v>116</v>
      </c>
      <c r="C3976" t="s">
        <v>568</v>
      </c>
      <c r="D3976" t="s">
        <v>2284</v>
      </c>
      <c r="E3976" t="s">
        <v>3274</v>
      </c>
      <c r="F3976" s="452">
        <v>46008</v>
      </c>
      <c r="G3976">
        <v>19324</v>
      </c>
      <c r="H3976" t="s">
        <v>3937</v>
      </c>
      <c r="I3976" t="s">
        <v>3469</v>
      </c>
      <c r="J3976">
        <v>8.1999999999999993</v>
      </c>
      <c r="K3976" t="s">
        <v>3892</v>
      </c>
      <c r="L3976">
        <v>271.5</v>
      </c>
      <c r="M3976">
        <v>33.109755999999997</v>
      </c>
      <c r="N3976" t="s">
        <v>4240</v>
      </c>
      <c r="O3976" t="s">
        <v>460</v>
      </c>
    </row>
    <row r="3977" spans="1:15" x14ac:dyDescent="0.3">
      <c r="A3977">
        <v>186350</v>
      </c>
      <c r="B3977">
        <v>116</v>
      </c>
      <c r="C3977" t="s">
        <v>568</v>
      </c>
      <c r="D3977" t="s">
        <v>2284</v>
      </c>
      <c r="E3977" t="s">
        <v>3274</v>
      </c>
      <c r="F3977" s="452">
        <v>46008</v>
      </c>
      <c r="G3977">
        <v>20077</v>
      </c>
      <c r="H3977" t="s">
        <v>4054</v>
      </c>
      <c r="I3977" t="s">
        <v>3469</v>
      </c>
      <c r="J3977">
        <v>1</v>
      </c>
      <c r="K3977" t="s">
        <v>4268</v>
      </c>
      <c r="L3977">
        <v>16.32</v>
      </c>
      <c r="M3977">
        <v>16.32</v>
      </c>
      <c r="N3977" t="s">
        <v>4240</v>
      </c>
      <c r="O3977" t="s">
        <v>460</v>
      </c>
    </row>
    <row r="3978" spans="1:15" x14ac:dyDescent="0.3">
      <c r="A3978">
        <v>186350</v>
      </c>
      <c r="B3978">
        <v>116</v>
      </c>
      <c r="C3978" t="s">
        <v>568</v>
      </c>
      <c r="D3978" t="s">
        <v>2284</v>
      </c>
      <c r="E3978" t="s">
        <v>3274</v>
      </c>
      <c r="F3978" s="452">
        <v>46008</v>
      </c>
      <c r="G3978">
        <v>20007</v>
      </c>
      <c r="H3978" t="s">
        <v>4009</v>
      </c>
      <c r="I3978" t="s">
        <v>3469</v>
      </c>
      <c r="J3978">
        <v>3</v>
      </c>
      <c r="K3978" t="s">
        <v>3966</v>
      </c>
      <c r="L3978">
        <v>143.4</v>
      </c>
      <c r="M3978">
        <v>47.8</v>
      </c>
      <c r="N3978" t="s">
        <v>4240</v>
      </c>
      <c r="O3978" t="s">
        <v>460</v>
      </c>
    </row>
    <row r="3979" spans="1:15" x14ac:dyDescent="0.3">
      <c r="A3979">
        <v>186350</v>
      </c>
      <c r="B3979">
        <v>116</v>
      </c>
      <c r="C3979" t="s">
        <v>568</v>
      </c>
      <c r="D3979" t="s">
        <v>2284</v>
      </c>
      <c r="E3979" t="s">
        <v>3274</v>
      </c>
      <c r="F3979" s="452">
        <v>46008</v>
      </c>
      <c r="G3979">
        <v>19346</v>
      </c>
      <c r="H3979" t="s">
        <v>3948</v>
      </c>
      <c r="I3979" t="s">
        <v>3469</v>
      </c>
      <c r="J3979">
        <v>3.18</v>
      </c>
      <c r="K3979" t="s">
        <v>3892</v>
      </c>
      <c r="L3979">
        <v>158.68</v>
      </c>
      <c r="M3979">
        <v>49.899371000000002</v>
      </c>
      <c r="N3979" t="s">
        <v>4240</v>
      </c>
      <c r="O3979" t="s">
        <v>460</v>
      </c>
    </row>
    <row r="3980" spans="1:15" x14ac:dyDescent="0.3">
      <c r="A3980">
        <v>186350</v>
      </c>
      <c r="B3980">
        <v>116</v>
      </c>
      <c r="C3980" t="s">
        <v>568</v>
      </c>
      <c r="D3980" t="s">
        <v>2284</v>
      </c>
      <c r="E3980" t="s">
        <v>3274</v>
      </c>
      <c r="F3980" s="452">
        <v>46008</v>
      </c>
      <c r="G3980">
        <v>21030</v>
      </c>
      <c r="H3980" t="s">
        <v>3890</v>
      </c>
      <c r="I3980" t="s">
        <v>3469</v>
      </c>
      <c r="J3980">
        <v>6</v>
      </c>
      <c r="K3980" t="s">
        <v>3872</v>
      </c>
      <c r="L3980">
        <v>116.1</v>
      </c>
      <c r="M3980">
        <v>19.350000000000001</v>
      </c>
      <c r="N3980" t="s">
        <v>4240</v>
      </c>
      <c r="O3980" t="s">
        <v>460</v>
      </c>
    </row>
    <row r="3981" spans="1:15" x14ac:dyDescent="0.3">
      <c r="A3981">
        <v>186350</v>
      </c>
      <c r="B3981">
        <v>116</v>
      </c>
      <c r="C3981" t="s">
        <v>568</v>
      </c>
      <c r="D3981" t="s">
        <v>2284</v>
      </c>
      <c r="E3981" t="s">
        <v>3274</v>
      </c>
      <c r="F3981" s="452">
        <v>46008</v>
      </c>
      <c r="G3981">
        <v>19415</v>
      </c>
      <c r="H3981" t="s">
        <v>3941</v>
      </c>
      <c r="I3981" t="s">
        <v>3469</v>
      </c>
      <c r="J3981">
        <v>6</v>
      </c>
      <c r="K3981" t="s">
        <v>3872</v>
      </c>
      <c r="L3981">
        <v>47.4</v>
      </c>
      <c r="M3981">
        <v>7.9</v>
      </c>
      <c r="N3981" t="s">
        <v>4240</v>
      </c>
      <c r="O3981" t="s">
        <v>460</v>
      </c>
    </row>
    <row r="3982" spans="1:15" x14ac:dyDescent="0.3">
      <c r="A3982">
        <v>186350</v>
      </c>
      <c r="B3982">
        <v>116</v>
      </c>
      <c r="C3982" t="s">
        <v>568</v>
      </c>
      <c r="D3982" t="s">
        <v>2284</v>
      </c>
      <c r="E3982" t="s">
        <v>3274</v>
      </c>
      <c r="F3982" s="452">
        <v>46008</v>
      </c>
      <c r="G3982">
        <v>19287</v>
      </c>
      <c r="H3982" t="s">
        <v>3974</v>
      </c>
      <c r="I3982" t="s">
        <v>3469</v>
      </c>
      <c r="J3982">
        <v>3.3</v>
      </c>
      <c r="K3982" t="s">
        <v>3892</v>
      </c>
      <c r="L3982">
        <v>125.07</v>
      </c>
      <c r="M3982">
        <v>37.9</v>
      </c>
      <c r="N3982" t="s">
        <v>4240</v>
      </c>
      <c r="O3982" t="s">
        <v>460</v>
      </c>
    </row>
    <row r="3983" spans="1:15" x14ac:dyDescent="0.3">
      <c r="A3983">
        <v>186350</v>
      </c>
      <c r="B3983">
        <v>116</v>
      </c>
      <c r="C3983" t="s">
        <v>568</v>
      </c>
      <c r="D3983" t="s">
        <v>2284</v>
      </c>
      <c r="E3983" t="s">
        <v>3274</v>
      </c>
      <c r="F3983" s="452">
        <v>46008</v>
      </c>
      <c r="G3983">
        <v>20752</v>
      </c>
      <c r="H3983" t="s">
        <v>3964</v>
      </c>
      <c r="I3983" t="s">
        <v>3469</v>
      </c>
      <c r="J3983">
        <v>3</v>
      </c>
      <c r="K3983" t="s">
        <v>3886</v>
      </c>
      <c r="L3983">
        <v>326.7</v>
      </c>
      <c r="M3983">
        <v>108.9</v>
      </c>
      <c r="N3983" t="s">
        <v>4240</v>
      </c>
      <c r="O3983" t="s">
        <v>460</v>
      </c>
    </row>
    <row r="3984" spans="1:15" x14ac:dyDescent="0.3">
      <c r="A3984">
        <v>186350</v>
      </c>
      <c r="B3984">
        <v>116</v>
      </c>
      <c r="C3984" t="s">
        <v>568</v>
      </c>
      <c r="D3984" t="s">
        <v>2284</v>
      </c>
      <c r="E3984" t="s">
        <v>3274</v>
      </c>
      <c r="F3984" s="452">
        <v>46008</v>
      </c>
      <c r="G3984">
        <v>25769</v>
      </c>
      <c r="H3984" t="s">
        <v>4013</v>
      </c>
      <c r="I3984" t="s">
        <v>3469</v>
      </c>
      <c r="J3984">
        <v>1</v>
      </c>
      <c r="K3984" t="s">
        <v>3892</v>
      </c>
      <c r="L3984">
        <v>9.9</v>
      </c>
      <c r="M3984">
        <v>9.9</v>
      </c>
      <c r="N3984" t="s">
        <v>4240</v>
      </c>
      <c r="O3984" t="s">
        <v>460</v>
      </c>
    </row>
    <row r="3985" spans="1:15" x14ac:dyDescent="0.3">
      <c r="A3985">
        <v>186350</v>
      </c>
      <c r="B3985">
        <v>116</v>
      </c>
      <c r="C3985" t="s">
        <v>568</v>
      </c>
      <c r="D3985" t="s">
        <v>2284</v>
      </c>
      <c r="E3985" t="s">
        <v>3274</v>
      </c>
      <c r="F3985" s="452">
        <v>46008</v>
      </c>
      <c r="G3985">
        <v>22721</v>
      </c>
      <c r="H3985" t="s">
        <v>4221</v>
      </c>
      <c r="I3985" t="s">
        <v>3469</v>
      </c>
      <c r="J3985">
        <v>2.58</v>
      </c>
      <c r="K3985" t="s">
        <v>3892</v>
      </c>
      <c r="L3985">
        <v>73.010000000000005</v>
      </c>
      <c r="M3985">
        <v>28.298449999999999</v>
      </c>
      <c r="N3985" t="s">
        <v>4240</v>
      </c>
      <c r="O3985" t="s">
        <v>460</v>
      </c>
    </row>
    <row r="3986" spans="1:15" x14ac:dyDescent="0.3">
      <c r="A3986">
        <v>186350</v>
      </c>
      <c r="B3986">
        <v>116</v>
      </c>
      <c r="C3986" t="s">
        <v>568</v>
      </c>
      <c r="D3986" t="s">
        <v>2284</v>
      </c>
      <c r="E3986" t="s">
        <v>3274</v>
      </c>
      <c r="F3986" s="452">
        <v>46008</v>
      </c>
      <c r="G3986">
        <v>23897</v>
      </c>
      <c r="H3986" t="s">
        <v>4058</v>
      </c>
      <c r="I3986" t="s">
        <v>3469</v>
      </c>
      <c r="J3986">
        <v>2</v>
      </c>
      <c r="K3986" t="s">
        <v>4291</v>
      </c>
      <c r="L3986">
        <v>351.8</v>
      </c>
      <c r="M3986">
        <v>175.9</v>
      </c>
      <c r="N3986" t="s">
        <v>4240</v>
      </c>
      <c r="O3986" t="s">
        <v>460</v>
      </c>
    </row>
    <row r="3987" spans="1:15" x14ac:dyDescent="0.3">
      <c r="A3987">
        <v>186350</v>
      </c>
      <c r="B3987">
        <v>116</v>
      </c>
      <c r="C3987" t="s">
        <v>568</v>
      </c>
      <c r="D3987" t="s">
        <v>2284</v>
      </c>
      <c r="E3987" t="s">
        <v>3274</v>
      </c>
      <c r="F3987" s="452">
        <v>46008</v>
      </c>
      <c r="G3987">
        <v>21400</v>
      </c>
      <c r="H3987" t="s">
        <v>4165</v>
      </c>
      <c r="I3987" t="s">
        <v>3469</v>
      </c>
      <c r="J3987">
        <v>3.5</v>
      </c>
      <c r="K3987" t="s">
        <v>3892</v>
      </c>
      <c r="L3987">
        <v>100.63</v>
      </c>
      <c r="M3987">
        <v>28.751429000000002</v>
      </c>
      <c r="N3987" t="s">
        <v>4240</v>
      </c>
      <c r="O3987" t="s">
        <v>460</v>
      </c>
    </row>
    <row r="3988" spans="1:15" x14ac:dyDescent="0.3">
      <c r="A3988">
        <v>186349</v>
      </c>
      <c r="B3988">
        <v>116</v>
      </c>
      <c r="C3988" t="s">
        <v>568</v>
      </c>
      <c r="D3988" t="s">
        <v>2275</v>
      </c>
      <c r="E3988" t="s">
        <v>3275</v>
      </c>
      <c r="F3988" s="452">
        <v>46006</v>
      </c>
      <c r="G3988">
        <v>17958</v>
      </c>
      <c r="H3988" t="s">
        <v>4141</v>
      </c>
      <c r="I3988" t="s">
        <v>3497</v>
      </c>
      <c r="J3988">
        <v>10</v>
      </c>
      <c r="K3988" t="s">
        <v>3888</v>
      </c>
      <c r="L3988">
        <v>159</v>
      </c>
      <c r="M3988">
        <v>15.9</v>
      </c>
      <c r="N3988" t="s">
        <v>4309</v>
      </c>
      <c r="O3988" t="s">
        <v>460</v>
      </c>
    </row>
    <row r="3989" spans="1:15" x14ac:dyDescent="0.3">
      <c r="A3989">
        <v>186349</v>
      </c>
      <c r="B3989">
        <v>116</v>
      </c>
      <c r="C3989" t="s">
        <v>568</v>
      </c>
      <c r="D3989" t="s">
        <v>2275</v>
      </c>
      <c r="E3989" t="s">
        <v>3275</v>
      </c>
      <c r="F3989" s="452">
        <v>46006</v>
      </c>
      <c r="G3989">
        <v>17950</v>
      </c>
      <c r="H3989" t="s">
        <v>4170</v>
      </c>
      <c r="I3989" t="s">
        <v>3497</v>
      </c>
      <c r="J3989">
        <v>10</v>
      </c>
      <c r="K3989" t="s">
        <v>3888</v>
      </c>
      <c r="L3989">
        <v>171</v>
      </c>
      <c r="M3989">
        <v>17.100000000000001</v>
      </c>
      <c r="N3989" t="s">
        <v>4309</v>
      </c>
      <c r="O3989" t="s">
        <v>460</v>
      </c>
    </row>
    <row r="3990" spans="1:15" x14ac:dyDescent="0.3">
      <c r="A3990">
        <v>186348</v>
      </c>
      <c r="B3990">
        <v>116</v>
      </c>
      <c r="C3990" t="s">
        <v>568</v>
      </c>
      <c r="D3990" t="s">
        <v>2277</v>
      </c>
      <c r="E3990" t="s">
        <v>3276</v>
      </c>
      <c r="F3990" s="452">
        <v>46008</v>
      </c>
      <c r="G3990">
        <v>20227</v>
      </c>
      <c r="H3990" t="s">
        <v>3968</v>
      </c>
      <c r="I3990" t="s">
        <v>3469</v>
      </c>
      <c r="J3990">
        <v>5</v>
      </c>
      <c r="K3990" t="s">
        <v>3888</v>
      </c>
      <c r="L3990">
        <v>49.95</v>
      </c>
      <c r="M3990">
        <v>9.99</v>
      </c>
      <c r="N3990" t="s">
        <v>3469</v>
      </c>
      <c r="O3990" t="s">
        <v>460</v>
      </c>
    </row>
    <row r="3991" spans="1:15" x14ac:dyDescent="0.3">
      <c r="A3991">
        <v>186348</v>
      </c>
      <c r="B3991">
        <v>116</v>
      </c>
      <c r="C3991" t="s">
        <v>568</v>
      </c>
      <c r="D3991" t="s">
        <v>2277</v>
      </c>
      <c r="E3991" t="s">
        <v>3276</v>
      </c>
      <c r="F3991" s="452">
        <v>46008</v>
      </c>
      <c r="G3991">
        <v>20809</v>
      </c>
      <c r="H3991" t="s">
        <v>4005</v>
      </c>
      <c r="I3991" t="s">
        <v>3469</v>
      </c>
      <c r="J3991">
        <v>3</v>
      </c>
      <c r="K3991" t="s">
        <v>3888</v>
      </c>
      <c r="L3991">
        <v>101.64</v>
      </c>
      <c r="M3991">
        <v>33.880000000000003</v>
      </c>
      <c r="N3991" t="s">
        <v>3469</v>
      </c>
      <c r="O3991" t="s">
        <v>460</v>
      </c>
    </row>
    <row r="3992" spans="1:15" x14ac:dyDescent="0.3">
      <c r="A3992">
        <v>186348</v>
      </c>
      <c r="B3992">
        <v>116</v>
      </c>
      <c r="C3992" t="s">
        <v>568</v>
      </c>
      <c r="D3992" t="s">
        <v>2277</v>
      </c>
      <c r="E3992" t="s">
        <v>3276</v>
      </c>
      <c r="F3992" s="452">
        <v>46008</v>
      </c>
      <c r="G3992">
        <v>20661</v>
      </c>
      <c r="H3992" t="s">
        <v>3919</v>
      </c>
      <c r="I3992" t="s">
        <v>3469</v>
      </c>
      <c r="J3992">
        <v>10</v>
      </c>
      <c r="K3992" t="s">
        <v>3872</v>
      </c>
      <c r="L3992">
        <v>87.4</v>
      </c>
      <c r="M3992">
        <v>8.74</v>
      </c>
      <c r="N3992" t="s">
        <v>3469</v>
      </c>
      <c r="O3992" t="s">
        <v>460</v>
      </c>
    </row>
    <row r="3993" spans="1:15" x14ac:dyDescent="0.3">
      <c r="A3993">
        <v>186348</v>
      </c>
      <c r="B3993">
        <v>116</v>
      </c>
      <c r="C3993" t="s">
        <v>568</v>
      </c>
      <c r="D3993" t="s">
        <v>2277</v>
      </c>
      <c r="E3993" t="s">
        <v>3276</v>
      </c>
      <c r="F3993" s="452">
        <v>46008</v>
      </c>
      <c r="G3993">
        <v>20729</v>
      </c>
      <c r="H3993" t="s">
        <v>3965</v>
      </c>
      <c r="I3993" t="s">
        <v>3469</v>
      </c>
      <c r="J3993">
        <v>4</v>
      </c>
      <c r="K3993" t="s">
        <v>3966</v>
      </c>
      <c r="L3993">
        <v>256.39999999999998</v>
      </c>
      <c r="M3993">
        <v>64.099999999999994</v>
      </c>
      <c r="N3993" t="s">
        <v>3469</v>
      </c>
      <c r="O3993" t="s">
        <v>460</v>
      </c>
    </row>
    <row r="3994" spans="1:15" x14ac:dyDescent="0.3">
      <c r="A3994">
        <v>186348</v>
      </c>
      <c r="B3994">
        <v>116</v>
      </c>
      <c r="C3994" t="s">
        <v>568</v>
      </c>
      <c r="D3994" t="s">
        <v>2277</v>
      </c>
      <c r="E3994" t="s">
        <v>3276</v>
      </c>
      <c r="F3994" s="452">
        <v>46008</v>
      </c>
      <c r="G3994">
        <v>21093</v>
      </c>
      <c r="H3994" t="s">
        <v>3903</v>
      </c>
      <c r="I3994" t="s">
        <v>3469</v>
      </c>
      <c r="J3994">
        <v>10</v>
      </c>
      <c r="K3994" t="s">
        <v>3872</v>
      </c>
      <c r="L3994">
        <v>47.6</v>
      </c>
      <c r="M3994">
        <v>4.76</v>
      </c>
      <c r="N3994" t="s">
        <v>3469</v>
      </c>
      <c r="O3994" t="s">
        <v>460</v>
      </c>
    </row>
    <row r="3995" spans="1:15" x14ac:dyDescent="0.3">
      <c r="A3995">
        <v>186348</v>
      </c>
      <c r="B3995">
        <v>116</v>
      </c>
      <c r="C3995" t="s">
        <v>568</v>
      </c>
      <c r="D3995" t="s">
        <v>2277</v>
      </c>
      <c r="E3995" t="s">
        <v>3276</v>
      </c>
      <c r="F3995" s="452">
        <v>46008</v>
      </c>
      <c r="G3995">
        <v>20304</v>
      </c>
      <c r="H3995" t="s">
        <v>3938</v>
      </c>
      <c r="I3995" t="s">
        <v>3469</v>
      </c>
      <c r="J3995">
        <v>6</v>
      </c>
      <c r="K3995" t="s">
        <v>3888</v>
      </c>
      <c r="L3995">
        <v>207.72</v>
      </c>
      <c r="M3995">
        <v>34.619999999999997</v>
      </c>
      <c r="N3995" t="s">
        <v>3469</v>
      </c>
      <c r="O3995" t="s">
        <v>460</v>
      </c>
    </row>
    <row r="3996" spans="1:15" x14ac:dyDescent="0.3">
      <c r="A3996">
        <v>186348</v>
      </c>
      <c r="B3996">
        <v>116</v>
      </c>
      <c r="C3996" t="s">
        <v>568</v>
      </c>
      <c r="D3996" t="s">
        <v>2277</v>
      </c>
      <c r="E3996" t="s">
        <v>3276</v>
      </c>
      <c r="F3996" s="452">
        <v>46008</v>
      </c>
      <c r="G3996">
        <v>23270</v>
      </c>
      <c r="H3996" t="s">
        <v>4103</v>
      </c>
      <c r="I3996" t="s">
        <v>3469</v>
      </c>
      <c r="J3996">
        <v>1</v>
      </c>
      <c r="K3996" t="s">
        <v>3892</v>
      </c>
      <c r="L3996">
        <v>26.66</v>
      </c>
      <c r="M3996">
        <v>26.66</v>
      </c>
      <c r="N3996" t="s">
        <v>3469</v>
      </c>
      <c r="O3996" t="s">
        <v>460</v>
      </c>
    </row>
    <row r="3997" spans="1:15" x14ac:dyDescent="0.3">
      <c r="A3997">
        <v>186348</v>
      </c>
      <c r="B3997">
        <v>116</v>
      </c>
      <c r="C3997" t="s">
        <v>568</v>
      </c>
      <c r="D3997" t="s">
        <v>2277</v>
      </c>
      <c r="E3997" t="s">
        <v>3276</v>
      </c>
      <c r="F3997" s="452">
        <v>46008</v>
      </c>
      <c r="G3997">
        <v>25237</v>
      </c>
      <c r="H3997" t="s">
        <v>4164</v>
      </c>
      <c r="I3997" t="s">
        <v>3469</v>
      </c>
      <c r="J3997">
        <v>10</v>
      </c>
      <c r="K3997" t="s">
        <v>3888</v>
      </c>
      <c r="L3997">
        <v>55.9</v>
      </c>
      <c r="M3997">
        <v>5.59</v>
      </c>
      <c r="N3997" t="s">
        <v>3469</v>
      </c>
      <c r="O3997" t="s">
        <v>460</v>
      </c>
    </row>
    <row r="3998" spans="1:15" x14ac:dyDescent="0.3">
      <c r="A3998">
        <v>186348</v>
      </c>
      <c r="B3998">
        <v>116</v>
      </c>
      <c r="C3998" t="s">
        <v>568</v>
      </c>
      <c r="D3998" t="s">
        <v>2277</v>
      </c>
      <c r="E3998" t="s">
        <v>3276</v>
      </c>
      <c r="F3998" s="452">
        <v>46008</v>
      </c>
      <c r="G3998">
        <v>20984</v>
      </c>
      <c r="H3998" t="s">
        <v>4235</v>
      </c>
      <c r="I3998" t="s">
        <v>3469</v>
      </c>
      <c r="J3998">
        <v>20</v>
      </c>
      <c r="K3998" t="s">
        <v>3931</v>
      </c>
      <c r="L3998">
        <v>179.6</v>
      </c>
      <c r="M3998">
        <v>8.98</v>
      </c>
      <c r="N3998" t="s">
        <v>3469</v>
      </c>
      <c r="O3998" t="s">
        <v>460</v>
      </c>
    </row>
    <row r="3999" spans="1:15" x14ac:dyDescent="0.3">
      <c r="A3999">
        <v>186348</v>
      </c>
      <c r="B3999">
        <v>116</v>
      </c>
      <c r="C3999" t="s">
        <v>568</v>
      </c>
      <c r="D3999" t="s">
        <v>2277</v>
      </c>
      <c r="E3999" t="s">
        <v>3276</v>
      </c>
      <c r="F3999" s="452">
        <v>46008</v>
      </c>
      <c r="G3999">
        <v>21078</v>
      </c>
      <c r="H3999" t="s">
        <v>4049</v>
      </c>
      <c r="I3999" t="s">
        <v>3469</v>
      </c>
      <c r="J3999">
        <v>1</v>
      </c>
      <c r="K3999" t="s">
        <v>3881</v>
      </c>
      <c r="L3999">
        <v>49.89</v>
      </c>
      <c r="M3999">
        <v>49.89</v>
      </c>
      <c r="N3999" t="s">
        <v>3469</v>
      </c>
      <c r="O3999" t="s">
        <v>460</v>
      </c>
    </row>
    <row r="4000" spans="1:15" x14ac:dyDescent="0.3">
      <c r="A4000">
        <v>186348</v>
      </c>
      <c r="B4000">
        <v>116</v>
      </c>
      <c r="C4000" t="s">
        <v>568</v>
      </c>
      <c r="D4000" t="s">
        <v>2277</v>
      </c>
      <c r="E4000" t="s">
        <v>3276</v>
      </c>
      <c r="F4000" s="452">
        <v>46008</v>
      </c>
      <c r="G4000">
        <v>19916</v>
      </c>
      <c r="H4000" t="s">
        <v>4118</v>
      </c>
      <c r="I4000" t="s">
        <v>3469</v>
      </c>
      <c r="J4000">
        <v>1</v>
      </c>
      <c r="K4000" t="s">
        <v>3888</v>
      </c>
      <c r="L4000">
        <v>33.9</v>
      </c>
      <c r="M4000">
        <v>33.9</v>
      </c>
      <c r="N4000" t="s">
        <v>3469</v>
      </c>
      <c r="O4000" t="s">
        <v>460</v>
      </c>
    </row>
    <row r="4001" spans="1:15" x14ac:dyDescent="0.3">
      <c r="A4001">
        <v>186347</v>
      </c>
      <c r="B4001">
        <v>116</v>
      </c>
      <c r="C4001" t="s">
        <v>568</v>
      </c>
      <c r="D4001" t="s">
        <v>2314</v>
      </c>
      <c r="E4001" t="s">
        <v>3277</v>
      </c>
      <c r="F4001" s="452">
        <v>46008</v>
      </c>
      <c r="G4001">
        <v>18636</v>
      </c>
      <c r="H4001" t="s">
        <v>3921</v>
      </c>
      <c r="I4001" t="s">
        <v>3497</v>
      </c>
      <c r="J4001">
        <v>15</v>
      </c>
      <c r="K4001" t="s">
        <v>3922</v>
      </c>
      <c r="L4001">
        <v>7242</v>
      </c>
      <c r="M4001">
        <v>482.8</v>
      </c>
      <c r="N4001" t="s">
        <v>3497</v>
      </c>
      <c r="O4001" t="s">
        <v>460</v>
      </c>
    </row>
    <row r="4002" spans="1:15" x14ac:dyDescent="0.3">
      <c r="A4002">
        <v>186347</v>
      </c>
      <c r="B4002">
        <v>116</v>
      </c>
      <c r="C4002" t="s">
        <v>568</v>
      </c>
      <c r="D4002" t="s">
        <v>2314</v>
      </c>
      <c r="E4002" t="s">
        <v>3277</v>
      </c>
      <c r="F4002" s="452">
        <v>46008</v>
      </c>
      <c r="G4002">
        <v>17905</v>
      </c>
      <c r="H4002" t="s">
        <v>4139</v>
      </c>
      <c r="I4002" t="s">
        <v>3497</v>
      </c>
      <c r="J4002">
        <v>5</v>
      </c>
      <c r="K4002" t="s">
        <v>3888</v>
      </c>
      <c r="L4002">
        <v>148.19999999999999</v>
      </c>
      <c r="M4002">
        <v>29.64</v>
      </c>
      <c r="N4002" t="s">
        <v>3497</v>
      </c>
      <c r="O4002" t="s">
        <v>460</v>
      </c>
    </row>
    <row r="4003" spans="1:15" x14ac:dyDescent="0.3">
      <c r="A4003">
        <v>186347</v>
      </c>
      <c r="B4003">
        <v>116</v>
      </c>
      <c r="C4003" t="s">
        <v>568</v>
      </c>
      <c r="D4003" t="s">
        <v>2314</v>
      </c>
      <c r="E4003" t="s">
        <v>3277</v>
      </c>
      <c r="F4003" s="452">
        <v>46008</v>
      </c>
      <c r="G4003">
        <v>18640</v>
      </c>
      <c r="H4003" t="s">
        <v>3994</v>
      </c>
      <c r="I4003" t="s">
        <v>3497</v>
      </c>
      <c r="J4003">
        <v>1</v>
      </c>
      <c r="K4003" t="s">
        <v>3922</v>
      </c>
      <c r="L4003">
        <v>306</v>
      </c>
      <c r="M4003">
        <v>306</v>
      </c>
      <c r="N4003" t="s">
        <v>3497</v>
      </c>
      <c r="O4003" t="s">
        <v>460</v>
      </c>
    </row>
    <row r="4004" spans="1:15" x14ac:dyDescent="0.3">
      <c r="A4004">
        <v>186347</v>
      </c>
      <c r="B4004">
        <v>116</v>
      </c>
      <c r="C4004" t="s">
        <v>568</v>
      </c>
      <c r="D4004" t="s">
        <v>2314</v>
      </c>
      <c r="E4004" t="s">
        <v>3277</v>
      </c>
      <c r="F4004" s="452">
        <v>46008</v>
      </c>
      <c r="G4004">
        <v>17886</v>
      </c>
      <c r="H4004" t="s">
        <v>3935</v>
      </c>
      <c r="I4004" t="s">
        <v>3497</v>
      </c>
      <c r="J4004">
        <v>5</v>
      </c>
      <c r="K4004" t="s">
        <v>3888</v>
      </c>
      <c r="L4004">
        <v>113.2</v>
      </c>
      <c r="M4004">
        <v>22.64</v>
      </c>
      <c r="N4004" t="s">
        <v>3497</v>
      </c>
      <c r="O4004" t="s">
        <v>460</v>
      </c>
    </row>
    <row r="4005" spans="1:15" x14ac:dyDescent="0.3">
      <c r="A4005">
        <v>186347</v>
      </c>
      <c r="B4005">
        <v>116</v>
      </c>
      <c r="C4005" t="s">
        <v>568</v>
      </c>
      <c r="D4005" t="s">
        <v>2314</v>
      </c>
      <c r="E4005" t="s">
        <v>3277</v>
      </c>
      <c r="F4005" s="452">
        <v>46008</v>
      </c>
      <c r="G4005">
        <v>18006</v>
      </c>
      <c r="H4005" t="s">
        <v>4138</v>
      </c>
      <c r="I4005" t="s">
        <v>3497</v>
      </c>
      <c r="J4005">
        <v>2</v>
      </c>
      <c r="K4005" t="s">
        <v>3888</v>
      </c>
      <c r="L4005">
        <v>59.28</v>
      </c>
      <c r="M4005">
        <v>29.64</v>
      </c>
      <c r="N4005" t="s">
        <v>3497</v>
      </c>
      <c r="O4005" t="s">
        <v>460</v>
      </c>
    </row>
    <row r="4006" spans="1:15" x14ac:dyDescent="0.3">
      <c r="A4006">
        <v>186347</v>
      </c>
      <c r="B4006">
        <v>116</v>
      </c>
      <c r="C4006" t="s">
        <v>568</v>
      </c>
      <c r="D4006" t="s">
        <v>2314</v>
      </c>
      <c r="E4006" t="s">
        <v>3277</v>
      </c>
      <c r="F4006" s="452">
        <v>46008</v>
      </c>
      <c r="G4006">
        <v>18004</v>
      </c>
      <c r="H4006" t="s">
        <v>4140</v>
      </c>
      <c r="I4006" t="s">
        <v>3497</v>
      </c>
      <c r="J4006">
        <v>2</v>
      </c>
      <c r="K4006" t="s">
        <v>3888</v>
      </c>
      <c r="L4006">
        <v>59.28</v>
      </c>
      <c r="M4006">
        <v>29.64</v>
      </c>
      <c r="N4006" t="s">
        <v>3497</v>
      </c>
      <c r="O4006" t="s">
        <v>460</v>
      </c>
    </row>
    <row r="4007" spans="1:15" x14ac:dyDescent="0.3">
      <c r="A4007">
        <v>186346</v>
      </c>
      <c r="B4007">
        <v>116</v>
      </c>
      <c r="C4007" t="s">
        <v>568</v>
      </c>
      <c r="D4007" t="s">
        <v>2314</v>
      </c>
      <c r="E4007" t="s">
        <v>3278</v>
      </c>
      <c r="F4007" s="452">
        <v>46007</v>
      </c>
      <c r="G4007">
        <v>18636</v>
      </c>
      <c r="H4007" t="s">
        <v>3921</v>
      </c>
      <c r="I4007" t="s">
        <v>3497</v>
      </c>
      <c r="J4007">
        <v>15</v>
      </c>
      <c r="K4007" t="s">
        <v>3922</v>
      </c>
      <c r="L4007">
        <v>7242</v>
      </c>
      <c r="M4007">
        <v>482.8</v>
      </c>
      <c r="N4007" t="s">
        <v>4276</v>
      </c>
      <c r="O4007" t="s">
        <v>460</v>
      </c>
    </row>
    <row r="4008" spans="1:15" x14ac:dyDescent="0.3">
      <c r="A4008">
        <v>186346</v>
      </c>
      <c r="B4008">
        <v>116</v>
      </c>
      <c r="C4008" t="s">
        <v>568</v>
      </c>
      <c r="D4008" t="s">
        <v>2314</v>
      </c>
      <c r="E4008" t="s">
        <v>3278</v>
      </c>
      <c r="F4008" s="452">
        <v>46007</v>
      </c>
      <c r="G4008">
        <v>17905</v>
      </c>
      <c r="H4008" t="s">
        <v>4139</v>
      </c>
      <c r="I4008" t="s">
        <v>3497</v>
      </c>
      <c r="J4008">
        <v>5</v>
      </c>
      <c r="K4008" t="s">
        <v>3888</v>
      </c>
      <c r="L4008">
        <v>148.19999999999999</v>
      </c>
      <c r="M4008">
        <v>29.64</v>
      </c>
      <c r="N4008" t="s">
        <v>4276</v>
      </c>
      <c r="O4008" t="s">
        <v>460</v>
      </c>
    </row>
    <row r="4009" spans="1:15" x14ac:dyDescent="0.3">
      <c r="A4009">
        <v>186346</v>
      </c>
      <c r="B4009">
        <v>116</v>
      </c>
      <c r="C4009" t="s">
        <v>568</v>
      </c>
      <c r="D4009" t="s">
        <v>2314</v>
      </c>
      <c r="E4009" t="s">
        <v>3278</v>
      </c>
      <c r="F4009" s="452">
        <v>46007</v>
      </c>
      <c r="G4009">
        <v>18640</v>
      </c>
      <c r="H4009" t="s">
        <v>3994</v>
      </c>
      <c r="I4009" t="s">
        <v>3497</v>
      </c>
      <c r="J4009">
        <v>1</v>
      </c>
      <c r="K4009" t="s">
        <v>3922</v>
      </c>
      <c r="L4009">
        <v>306</v>
      </c>
      <c r="M4009">
        <v>306</v>
      </c>
      <c r="N4009" t="s">
        <v>4276</v>
      </c>
      <c r="O4009" t="s">
        <v>460</v>
      </c>
    </row>
    <row r="4010" spans="1:15" x14ac:dyDescent="0.3">
      <c r="A4010">
        <v>186346</v>
      </c>
      <c r="B4010">
        <v>116</v>
      </c>
      <c r="C4010" t="s">
        <v>568</v>
      </c>
      <c r="D4010" t="s">
        <v>2314</v>
      </c>
      <c r="E4010" t="s">
        <v>3278</v>
      </c>
      <c r="F4010" s="452">
        <v>46007</v>
      </c>
      <c r="G4010">
        <v>17886</v>
      </c>
      <c r="H4010" t="s">
        <v>3935</v>
      </c>
      <c r="I4010" t="s">
        <v>3497</v>
      </c>
      <c r="J4010">
        <v>5</v>
      </c>
      <c r="K4010" t="s">
        <v>3888</v>
      </c>
      <c r="L4010">
        <v>113.2</v>
      </c>
      <c r="M4010">
        <v>22.64</v>
      </c>
      <c r="N4010" t="s">
        <v>4276</v>
      </c>
      <c r="O4010" t="s">
        <v>460</v>
      </c>
    </row>
    <row r="4011" spans="1:15" x14ac:dyDescent="0.3">
      <c r="A4011">
        <v>186346</v>
      </c>
      <c r="B4011">
        <v>116</v>
      </c>
      <c r="C4011" t="s">
        <v>568</v>
      </c>
      <c r="D4011" t="s">
        <v>2314</v>
      </c>
      <c r="E4011" t="s">
        <v>3278</v>
      </c>
      <c r="F4011" s="452">
        <v>46007</v>
      </c>
      <c r="G4011">
        <v>18006</v>
      </c>
      <c r="H4011" t="s">
        <v>4138</v>
      </c>
      <c r="I4011" t="s">
        <v>3497</v>
      </c>
      <c r="J4011">
        <v>2</v>
      </c>
      <c r="K4011" t="s">
        <v>3888</v>
      </c>
      <c r="L4011">
        <v>59.28</v>
      </c>
      <c r="M4011">
        <v>29.64</v>
      </c>
      <c r="N4011" t="s">
        <v>4276</v>
      </c>
      <c r="O4011" t="s">
        <v>460</v>
      </c>
    </row>
    <row r="4012" spans="1:15" x14ac:dyDescent="0.3">
      <c r="A4012">
        <v>186346</v>
      </c>
      <c r="B4012">
        <v>116</v>
      </c>
      <c r="C4012" t="s">
        <v>568</v>
      </c>
      <c r="D4012" t="s">
        <v>2314</v>
      </c>
      <c r="E4012" t="s">
        <v>3278</v>
      </c>
      <c r="F4012" s="452">
        <v>46007</v>
      </c>
      <c r="G4012">
        <v>18004</v>
      </c>
      <c r="H4012" t="s">
        <v>4140</v>
      </c>
      <c r="I4012" t="s">
        <v>3497</v>
      </c>
      <c r="J4012">
        <v>2</v>
      </c>
      <c r="K4012" t="s">
        <v>3888</v>
      </c>
      <c r="L4012">
        <v>59.28</v>
      </c>
      <c r="M4012">
        <v>29.64</v>
      </c>
      <c r="N4012" t="s">
        <v>4276</v>
      </c>
      <c r="O4012" t="s">
        <v>460</v>
      </c>
    </row>
    <row r="4013" spans="1:15" x14ac:dyDescent="0.3">
      <c r="A4013">
        <v>186345</v>
      </c>
      <c r="B4013">
        <v>116</v>
      </c>
      <c r="C4013" t="s">
        <v>568</v>
      </c>
      <c r="D4013" t="s">
        <v>2314</v>
      </c>
      <c r="E4013" t="s">
        <v>3279</v>
      </c>
      <c r="F4013" s="452">
        <v>46007</v>
      </c>
      <c r="G4013">
        <v>18636</v>
      </c>
      <c r="H4013" t="s">
        <v>3921</v>
      </c>
      <c r="I4013" t="s">
        <v>3497</v>
      </c>
      <c r="J4013">
        <v>6</v>
      </c>
      <c r="K4013" t="s">
        <v>3922</v>
      </c>
      <c r="L4013">
        <v>2896.8</v>
      </c>
      <c r="M4013">
        <v>482.8</v>
      </c>
      <c r="N4013" t="s">
        <v>3497</v>
      </c>
      <c r="O4013" t="s">
        <v>460</v>
      </c>
    </row>
    <row r="4014" spans="1:15" x14ac:dyDescent="0.3">
      <c r="A4014">
        <v>186344</v>
      </c>
      <c r="B4014">
        <v>116</v>
      </c>
      <c r="C4014" t="s">
        <v>568</v>
      </c>
      <c r="D4014" t="s">
        <v>3179</v>
      </c>
      <c r="E4014" t="s">
        <v>3280</v>
      </c>
      <c r="F4014" s="452">
        <v>46006</v>
      </c>
      <c r="G4014">
        <v>19623</v>
      </c>
      <c r="H4014" t="s">
        <v>3984</v>
      </c>
      <c r="I4014" t="s">
        <v>3469</v>
      </c>
      <c r="J4014">
        <v>3</v>
      </c>
      <c r="K4014" t="s">
        <v>3892</v>
      </c>
      <c r="L4014">
        <v>16.89</v>
      </c>
      <c r="M4014">
        <v>5.63</v>
      </c>
      <c r="N4014" t="s">
        <v>4240</v>
      </c>
      <c r="O4014" t="s">
        <v>460</v>
      </c>
    </row>
    <row r="4015" spans="1:15" x14ac:dyDescent="0.3">
      <c r="A4015">
        <v>186344</v>
      </c>
      <c r="B4015">
        <v>116</v>
      </c>
      <c r="C4015" t="s">
        <v>568</v>
      </c>
      <c r="D4015" t="s">
        <v>3179</v>
      </c>
      <c r="E4015" t="s">
        <v>3280</v>
      </c>
      <c r="F4015" s="452">
        <v>46006</v>
      </c>
      <c r="G4015">
        <v>19555</v>
      </c>
      <c r="H4015" t="s">
        <v>4109</v>
      </c>
      <c r="I4015" t="s">
        <v>3469</v>
      </c>
      <c r="J4015">
        <v>0.6</v>
      </c>
      <c r="K4015" t="s">
        <v>3892</v>
      </c>
      <c r="L4015">
        <v>10.5</v>
      </c>
      <c r="M4015">
        <v>17.5</v>
      </c>
      <c r="N4015" t="s">
        <v>4240</v>
      </c>
      <c r="O4015" t="s">
        <v>460</v>
      </c>
    </row>
    <row r="4016" spans="1:15" x14ac:dyDescent="0.3">
      <c r="A4016">
        <v>186344</v>
      </c>
      <c r="B4016">
        <v>116</v>
      </c>
      <c r="C4016" t="s">
        <v>568</v>
      </c>
      <c r="D4016" t="s">
        <v>3179</v>
      </c>
      <c r="E4016" t="s">
        <v>3280</v>
      </c>
      <c r="F4016" s="452">
        <v>46006</v>
      </c>
      <c r="G4016">
        <v>19740</v>
      </c>
      <c r="H4016" t="s">
        <v>3933</v>
      </c>
      <c r="I4016" t="s">
        <v>3469</v>
      </c>
      <c r="J4016">
        <v>4</v>
      </c>
      <c r="K4016" t="s">
        <v>3892</v>
      </c>
      <c r="L4016">
        <v>60</v>
      </c>
      <c r="M4016">
        <v>15</v>
      </c>
      <c r="N4016" t="s">
        <v>4240</v>
      </c>
      <c r="O4016" t="s">
        <v>460</v>
      </c>
    </row>
    <row r="4017" spans="1:15" x14ac:dyDescent="0.3">
      <c r="A4017">
        <v>186344</v>
      </c>
      <c r="B4017">
        <v>116</v>
      </c>
      <c r="C4017" t="s">
        <v>568</v>
      </c>
      <c r="D4017" t="s">
        <v>3179</v>
      </c>
      <c r="E4017" t="s">
        <v>3280</v>
      </c>
      <c r="F4017" s="452">
        <v>46006</v>
      </c>
      <c r="G4017">
        <v>23171</v>
      </c>
      <c r="H4017" t="s">
        <v>4132</v>
      </c>
      <c r="I4017" t="s">
        <v>3469</v>
      </c>
      <c r="J4017">
        <v>5</v>
      </c>
      <c r="K4017" t="s">
        <v>3892</v>
      </c>
      <c r="L4017">
        <v>20</v>
      </c>
      <c r="M4017">
        <v>4</v>
      </c>
      <c r="N4017" t="s">
        <v>4240</v>
      </c>
      <c r="O4017" t="s">
        <v>460</v>
      </c>
    </row>
    <row r="4018" spans="1:15" x14ac:dyDescent="0.3">
      <c r="A4018">
        <v>186344</v>
      </c>
      <c r="B4018">
        <v>116</v>
      </c>
      <c r="C4018" t="s">
        <v>568</v>
      </c>
      <c r="D4018" t="s">
        <v>3179</v>
      </c>
      <c r="E4018" t="s">
        <v>3280</v>
      </c>
      <c r="F4018" s="452">
        <v>46006</v>
      </c>
      <c r="G4018">
        <v>19672</v>
      </c>
      <c r="H4018" t="s">
        <v>4024</v>
      </c>
      <c r="I4018" t="s">
        <v>3469</v>
      </c>
      <c r="J4018">
        <v>2</v>
      </c>
      <c r="K4018" t="s">
        <v>3892</v>
      </c>
      <c r="L4018">
        <v>27.5</v>
      </c>
      <c r="M4018">
        <v>13.75</v>
      </c>
      <c r="N4018" t="s">
        <v>4240</v>
      </c>
      <c r="O4018" t="s">
        <v>460</v>
      </c>
    </row>
    <row r="4019" spans="1:15" x14ac:dyDescent="0.3">
      <c r="A4019">
        <v>186343</v>
      </c>
      <c r="B4019">
        <v>116</v>
      </c>
      <c r="C4019" t="s">
        <v>568</v>
      </c>
      <c r="D4019" t="s">
        <v>2310</v>
      </c>
      <c r="E4019" t="s">
        <v>3281</v>
      </c>
      <c r="F4019" s="452">
        <v>46000</v>
      </c>
      <c r="G4019">
        <v>20117</v>
      </c>
      <c r="H4019" t="s">
        <v>4010</v>
      </c>
      <c r="I4019" t="s">
        <v>3469</v>
      </c>
      <c r="J4019">
        <v>2</v>
      </c>
      <c r="K4019" t="s">
        <v>3872</v>
      </c>
      <c r="L4019">
        <v>77.599999999999994</v>
      </c>
      <c r="M4019">
        <v>38.799999999999997</v>
      </c>
      <c r="N4019" t="s">
        <v>3469</v>
      </c>
      <c r="O4019" t="s">
        <v>460</v>
      </c>
    </row>
    <row r="4020" spans="1:15" x14ac:dyDescent="0.3">
      <c r="A4020">
        <v>186343</v>
      </c>
      <c r="B4020">
        <v>116</v>
      </c>
      <c r="C4020" t="s">
        <v>568</v>
      </c>
      <c r="D4020" t="s">
        <v>2310</v>
      </c>
      <c r="E4020" t="s">
        <v>3281</v>
      </c>
      <c r="F4020" s="452">
        <v>46000</v>
      </c>
      <c r="G4020">
        <v>25768</v>
      </c>
      <c r="H4020" t="s">
        <v>4012</v>
      </c>
      <c r="I4020" t="s">
        <v>3469</v>
      </c>
      <c r="J4020">
        <v>4</v>
      </c>
      <c r="K4020" t="s">
        <v>3892</v>
      </c>
      <c r="L4020">
        <v>30</v>
      </c>
      <c r="M4020">
        <v>7.5</v>
      </c>
      <c r="N4020" t="s">
        <v>3469</v>
      </c>
      <c r="O4020" t="s">
        <v>460</v>
      </c>
    </row>
    <row r="4021" spans="1:15" x14ac:dyDescent="0.3">
      <c r="A4021">
        <v>186343</v>
      </c>
      <c r="B4021">
        <v>116</v>
      </c>
      <c r="C4021" t="s">
        <v>568</v>
      </c>
      <c r="D4021" t="s">
        <v>2310</v>
      </c>
      <c r="E4021" t="s">
        <v>3281</v>
      </c>
      <c r="F4021" s="452">
        <v>46000</v>
      </c>
      <c r="G4021">
        <v>26193</v>
      </c>
      <c r="H4021" t="s">
        <v>3950</v>
      </c>
      <c r="I4021" t="s">
        <v>3469</v>
      </c>
      <c r="J4021">
        <v>4</v>
      </c>
      <c r="K4021" t="s">
        <v>3872</v>
      </c>
      <c r="L4021">
        <v>55.8</v>
      </c>
      <c r="M4021">
        <v>13.95</v>
      </c>
      <c r="N4021" t="s">
        <v>3469</v>
      </c>
      <c r="O4021" t="s">
        <v>460</v>
      </c>
    </row>
    <row r="4022" spans="1:15" x14ac:dyDescent="0.3">
      <c r="A4022">
        <v>186342</v>
      </c>
      <c r="B4022">
        <v>116</v>
      </c>
      <c r="C4022" t="s">
        <v>568</v>
      </c>
      <c r="D4022" t="s">
        <v>2310</v>
      </c>
      <c r="E4022" t="s">
        <v>3282</v>
      </c>
      <c r="F4022" s="452">
        <v>46000</v>
      </c>
      <c r="G4022">
        <v>17498</v>
      </c>
      <c r="H4022" t="s">
        <v>4243</v>
      </c>
      <c r="I4022" t="s">
        <v>4199</v>
      </c>
      <c r="J4022">
        <v>2</v>
      </c>
      <c r="K4022" t="s">
        <v>3881</v>
      </c>
      <c r="L4022">
        <v>46</v>
      </c>
      <c r="M4022">
        <v>23</v>
      </c>
      <c r="N4022" t="s">
        <v>2176</v>
      </c>
      <c r="O4022" t="s">
        <v>460</v>
      </c>
    </row>
    <row r="4023" spans="1:15" x14ac:dyDescent="0.3">
      <c r="A4023">
        <v>186342</v>
      </c>
      <c r="B4023">
        <v>116</v>
      </c>
      <c r="C4023" t="s">
        <v>568</v>
      </c>
      <c r="D4023" t="s">
        <v>2310</v>
      </c>
      <c r="E4023" t="s">
        <v>3282</v>
      </c>
      <c r="F4023" s="452">
        <v>46000</v>
      </c>
      <c r="G4023">
        <v>21423</v>
      </c>
      <c r="H4023" t="s">
        <v>4225</v>
      </c>
      <c r="I4023" t="s">
        <v>4199</v>
      </c>
      <c r="J4023">
        <v>1</v>
      </c>
      <c r="K4023" t="s">
        <v>3872</v>
      </c>
      <c r="L4023">
        <v>31.82</v>
      </c>
      <c r="M4023">
        <v>31.82</v>
      </c>
      <c r="N4023" t="s">
        <v>2176</v>
      </c>
      <c r="O4023" t="s">
        <v>460</v>
      </c>
    </row>
    <row r="4024" spans="1:15" x14ac:dyDescent="0.3">
      <c r="A4024">
        <v>186341</v>
      </c>
      <c r="B4024">
        <v>116</v>
      </c>
      <c r="C4024" t="s">
        <v>568</v>
      </c>
      <c r="D4024" t="s">
        <v>2314</v>
      </c>
      <c r="E4024" t="s">
        <v>3283</v>
      </c>
      <c r="F4024" s="452">
        <v>46002</v>
      </c>
      <c r="G4024">
        <v>18636</v>
      </c>
      <c r="H4024" t="s">
        <v>3921</v>
      </c>
      <c r="I4024" t="s">
        <v>3497</v>
      </c>
      <c r="J4024">
        <v>8</v>
      </c>
      <c r="K4024" t="s">
        <v>3922</v>
      </c>
      <c r="L4024">
        <v>3862.4</v>
      </c>
      <c r="M4024">
        <v>482.8</v>
      </c>
      <c r="N4024" t="s">
        <v>3497</v>
      </c>
      <c r="O4024" t="s">
        <v>460</v>
      </c>
    </row>
    <row r="4025" spans="1:15" x14ac:dyDescent="0.3">
      <c r="A4025">
        <v>186341</v>
      </c>
      <c r="B4025">
        <v>116</v>
      </c>
      <c r="C4025" t="s">
        <v>568</v>
      </c>
      <c r="D4025" t="s">
        <v>2314</v>
      </c>
      <c r="E4025" t="s">
        <v>3283</v>
      </c>
      <c r="F4025" s="452">
        <v>46002</v>
      </c>
      <c r="G4025">
        <v>18586</v>
      </c>
      <c r="H4025" t="s">
        <v>4107</v>
      </c>
      <c r="I4025" t="s">
        <v>3497</v>
      </c>
      <c r="J4025">
        <v>1</v>
      </c>
      <c r="K4025" t="s">
        <v>3888</v>
      </c>
      <c r="L4025">
        <v>132.07</v>
      </c>
      <c r="M4025">
        <v>132.07</v>
      </c>
      <c r="N4025" t="s">
        <v>3497</v>
      </c>
      <c r="O4025" t="s">
        <v>460</v>
      </c>
    </row>
    <row r="4026" spans="1:15" x14ac:dyDescent="0.3">
      <c r="A4026">
        <v>186340</v>
      </c>
      <c r="B4026">
        <v>116</v>
      </c>
      <c r="C4026" t="s">
        <v>568</v>
      </c>
      <c r="D4026" t="s">
        <v>2314</v>
      </c>
      <c r="E4026" t="s">
        <v>3284</v>
      </c>
      <c r="F4026" s="452">
        <v>46002</v>
      </c>
      <c r="G4026">
        <v>18636</v>
      </c>
      <c r="H4026" t="s">
        <v>3921</v>
      </c>
      <c r="I4026" t="s">
        <v>3497</v>
      </c>
      <c r="J4026">
        <v>8</v>
      </c>
      <c r="K4026" t="s">
        <v>3922</v>
      </c>
      <c r="L4026">
        <v>3862.4</v>
      </c>
      <c r="M4026">
        <v>482.8</v>
      </c>
      <c r="N4026" t="s">
        <v>3497</v>
      </c>
      <c r="O4026" t="s">
        <v>460</v>
      </c>
    </row>
    <row r="4027" spans="1:15" x14ac:dyDescent="0.3">
      <c r="A4027">
        <v>186340</v>
      </c>
      <c r="B4027">
        <v>116</v>
      </c>
      <c r="C4027" t="s">
        <v>568</v>
      </c>
      <c r="D4027" t="s">
        <v>2314</v>
      </c>
      <c r="E4027" t="s">
        <v>3284</v>
      </c>
      <c r="F4027" s="452">
        <v>46002</v>
      </c>
      <c r="G4027">
        <v>18586</v>
      </c>
      <c r="H4027" t="s">
        <v>4107</v>
      </c>
      <c r="I4027" t="s">
        <v>3497</v>
      </c>
      <c r="J4027">
        <v>1</v>
      </c>
      <c r="K4027" t="s">
        <v>3888</v>
      </c>
      <c r="L4027">
        <v>132.07</v>
      </c>
      <c r="M4027">
        <v>132.07</v>
      </c>
      <c r="N4027" t="s">
        <v>3497</v>
      </c>
      <c r="O4027" t="s">
        <v>460</v>
      </c>
    </row>
    <row r="4028" spans="1:15" x14ac:dyDescent="0.3">
      <c r="A4028">
        <v>186339</v>
      </c>
      <c r="B4028">
        <v>116</v>
      </c>
      <c r="C4028" t="s">
        <v>568</v>
      </c>
      <c r="D4028" t="s">
        <v>3285</v>
      </c>
      <c r="E4028" t="s">
        <v>3286</v>
      </c>
      <c r="F4028" s="452">
        <v>45996</v>
      </c>
      <c r="G4028">
        <v>28392</v>
      </c>
      <c r="H4028" t="s">
        <v>4431</v>
      </c>
      <c r="I4028" t="s">
        <v>4202</v>
      </c>
      <c r="J4028">
        <v>1</v>
      </c>
      <c r="K4028" t="s">
        <v>4203</v>
      </c>
      <c r="L4028">
        <v>1365</v>
      </c>
      <c r="M4028">
        <v>1365</v>
      </c>
      <c r="N4028" t="s">
        <v>4360</v>
      </c>
      <c r="O4028" t="s">
        <v>460</v>
      </c>
    </row>
    <row r="4029" spans="1:15" x14ac:dyDescent="0.3">
      <c r="A4029">
        <v>186338</v>
      </c>
      <c r="B4029">
        <v>116</v>
      </c>
      <c r="C4029" t="s">
        <v>568</v>
      </c>
      <c r="D4029" t="s">
        <v>2262</v>
      </c>
      <c r="E4029" t="s">
        <v>3287</v>
      </c>
      <c r="F4029" s="452">
        <v>46000</v>
      </c>
      <c r="G4029">
        <v>18832</v>
      </c>
      <c r="H4029" t="s">
        <v>3900</v>
      </c>
      <c r="I4029" t="s">
        <v>3469</v>
      </c>
      <c r="J4029">
        <v>20.8</v>
      </c>
      <c r="K4029" t="s">
        <v>3892</v>
      </c>
      <c r="L4029">
        <v>871.52</v>
      </c>
      <c r="M4029">
        <v>41.9</v>
      </c>
      <c r="N4029" t="s">
        <v>4240</v>
      </c>
      <c r="O4029" t="s">
        <v>460</v>
      </c>
    </row>
    <row r="4030" spans="1:15" x14ac:dyDescent="0.3">
      <c r="A4030">
        <v>186338</v>
      </c>
      <c r="B4030">
        <v>116</v>
      </c>
      <c r="C4030" t="s">
        <v>568</v>
      </c>
      <c r="D4030" t="s">
        <v>2262</v>
      </c>
      <c r="E4030" t="s">
        <v>3287</v>
      </c>
      <c r="F4030" s="452">
        <v>46000</v>
      </c>
      <c r="G4030">
        <v>24259</v>
      </c>
      <c r="H4030" t="s">
        <v>3895</v>
      </c>
      <c r="I4030" t="s">
        <v>3469</v>
      </c>
      <c r="J4030">
        <v>17</v>
      </c>
      <c r="K4030" t="s">
        <v>3892</v>
      </c>
      <c r="L4030">
        <v>1461.83</v>
      </c>
      <c r="M4030">
        <v>85.99</v>
      </c>
      <c r="N4030" t="s">
        <v>4240</v>
      </c>
      <c r="O4030" t="s">
        <v>460</v>
      </c>
    </row>
    <row r="4031" spans="1:15" x14ac:dyDescent="0.3">
      <c r="A4031">
        <v>186338</v>
      </c>
      <c r="B4031">
        <v>116</v>
      </c>
      <c r="C4031" t="s">
        <v>568</v>
      </c>
      <c r="D4031" t="s">
        <v>2262</v>
      </c>
      <c r="E4031" t="s">
        <v>3287</v>
      </c>
      <c r="F4031" s="452">
        <v>46000</v>
      </c>
      <c r="G4031">
        <v>24402</v>
      </c>
      <c r="H4031" t="s">
        <v>3896</v>
      </c>
      <c r="I4031" t="s">
        <v>3469</v>
      </c>
      <c r="J4031">
        <v>15.4</v>
      </c>
      <c r="K4031" t="s">
        <v>3892</v>
      </c>
      <c r="L4031">
        <v>582.12</v>
      </c>
      <c r="M4031">
        <v>37.799999999999997</v>
      </c>
      <c r="N4031" t="s">
        <v>4240</v>
      </c>
      <c r="O4031" t="s">
        <v>460</v>
      </c>
    </row>
    <row r="4032" spans="1:15" x14ac:dyDescent="0.3">
      <c r="A4032">
        <v>186338</v>
      </c>
      <c r="B4032">
        <v>116</v>
      </c>
      <c r="C4032" t="s">
        <v>568</v>
      </c>
      <c r="D4032" t="s">
        <v>2262</v>
      </c>
      <c r="E4032" t="s">
        <v>3287</v>
      </c>
      <c r="F4032" s="452">
        <v>46000</v>
      </c>
      <c r="G4032">
        <v>24388</v>
      </c>
      <c r="H4032" t="s">
        <v>3915</v>
      </c>
      <c r="I4032" t="s">
        <v>3469</v>
      </c>
      <c r="J4032">
        <v>7.2</v>
      </c>
      <c r="K4032" t="s">
        <v>3892</v>
      </c>
      <c r="L4032">
        <v>236.16</v>
      </c>
      <c r="M4032">
        <v>32.799999999999997</v>
      </c>
      <c r="N4032" t="s">
        <v>4240</v>
      </c>
      <c r="O4032" t="s">
        <v>460</v>
      </c>
    </row>
    <row r="4033" spans="1:15" x14ac:dyDescent="0.3">
      <c r="A4033">
        <v>186338</v>
      </c>
      <c r="B4033">
        <v>116</v>
      </c>
      <c r="C4033" t="s">
        <v>568</v>
      </c>
      <c r="D4033" t="s">
        <v>2262</v>
      </c>
      <c r="E4033" t="s">
        <v>3287</v>
      </c>
      <c r="F4033" s="452">
        <v>46000</v>
      </c>
      <c r="G4033">
        <v>24339</v>
      </c>
      <c r="H4033" t="s">
        <v>4119</v>
      </c>
      <c r="I4033" t="s">
        <v>3469</v>
      </c>
      <c r="J4033">
        <v>5</v>
      </c>
      <c r="K4033" t="s">
        <v>3892</v>
      </c>
      <c r="L4033">
        <v>180</v>
      </c>
      <c r="M4033">
        <v>36</v>
      </c>
      <c r="N4033" t="s">
        <v>4240</v>
      </c>
      <c r="O4033" t="s">
        <v>460</v>
      </c>
    </row>
    <row r="4034" spans="1:15" x14ac:dyDescent="0.3">
      <c r="A4034">
        <v>186338</v>
      </c>
      <c r="B4034">
        <v>116</v>
      </c>
      <c r="C4034" t="s">
        <v>568</v>
      </c>
      <c r="D4034" t="s">
        <v>2262</v>
      </c>
      <c r="E4034" t="s">
        <v>3287</v>
      </c>
      <c r="F4034" s="452">
        <v>46000</v>
      </c>
      <c r="G4034">
        <v>20501</v>
      </c>
      <c r="H4034" t="s">
        <v>4219</v>
      </c>
      <c r="I4034" t="s">
        <v>3469</v>
      </c>
      <c r="J4034">
        <v>5</v>
      </c>
      <c r="K4034" t="s">
        <v>3892</v>
      </c>
      <c r="L4034">
        <v>119.5</v>
      </c>
      <c r="M4034">
        <v>23.9</v>
      </c>
      <c r="N4034" t="s">
        <v>4240</v>
      </c>
      <c r="O4034" t="s">
        <v>460</v>
      </c>
    </row>
    <row r="4035" spans="1:15" x14ac:dyDescent="0.3">
      <c r="A4035">
        <v>186338</v>
      </c>
      <c r="B4035">
        <v>116</v>
      </c>
      <c r="C4035" t="s">
        <v>568</v>
      </c>
      <c r="D4035" t="s">
        <v>2262</v>
      </c>
      <c r="E4035" t="s">
        <v>3287</v>
      </c>
      <c r="F4035" s="452">
        <v>46000</v>
      </c>
      <c r="G4035">
        <v>27313</v>
      </c>
      <c r="H4035" t="s">
        <v>4131</v>
      </c>
      <c r="I4035" t="s">
        <v>3469</v>
      </c>
      <c r="J4035">
        <v>10.85</v>
      </c>
      <c r="K4035" t="s">
        <v>3892</v>
      </c>
      <c r="L4035">
        <v>355.88</v>
      </c>
      <c r="M4035">
        <v>32.799999999999997</v>
      </c>
      <c r="N4035" t="s">
        <v>4240</v>
      </c>
      <c r="O4035" t="s">
        <v>460</v>
      </c>
    </row>
    <row r="4036" spans="1:15" x14ac:dyDescent="0.3">
      <c r="A4036">
        <v>186338</v>
      </c>
      <c r="B4036">
        <v>116</v>
      </c>
      <c r="C4036" t="s">
        <v>568</v>
      </c>
      <c r="D4036" t="s">
        <v>2262</v>
      </c>
      <c r="E4036" t="s">
        <v>3287</v>
      </c>
      <c r="F4036" s="452">
        <v>46000</v>
      </c>
      <c r="G4036">
        <v>24343</v>
      </c>
      <c r="H4036" t="s">
        <v>3990</v>
      </c>
      <c r="I4036" t="s">
        <v>3469</v>
      </c>
      <c r="J4036">
        <v>2</v>
      </c>
      <c r="K4036" t="s">
        <v>3892</v>
      </c>
      <c r="L4036">
        <v>51.6</v>
      </c>
      <c r="M4036">
        <v>25.8</v>
      </c>
      <c r="N4036" t="s">
        <v>4240</v>
      </c>
      <c r="O4036" t="s">
        <v>460</v>
      </c>
    </row>
    <row r="4037" spans="1:15" x14ac:dyDescent="0.3">
      <c r="A4037">
        <v>186337</v>
      </c>
      <c r="B4037">
        <v>116</v>
      </c>
      <c r="C4037" t="s">
        <v>568</v>
      </c>
      <c r="D4037" t="s">
        <v>2265</v>
      </c>
      <c r="E4037" t="s">
        <v>3288</v>
      </c>
      <c r="F4037" s="452">
        <v>46008</v>
      </c>
      <c r="G4037">
        <v>17129</v>
      </c>
      <c r="H4037" t="s">
        <v>4200</v>
      </c>
      <c r="I4037" t="s">
        <v>4199</v>
      </c>
      <c r="J4037">
        <v>1</v>
      </c>
      <c r="K4037" t="s">
        <v>3888</v>
      </c>
      <c r="L4037">
        <v>29.9</v>
      </c>
      <c r="M4037">
        <v>29.9</v>
      </c>
      <c r="N4037" t="s">
        <v>2176</v>
      </c>
      <c r="O4037" t="s">
        <v>460</v>
      </c>
    </row>
    <row r="4038" spans="1:15" x14ac:dyDescent="0.3">
      <c r="A4038">
        <v>186337</v>
      </c>
      <c r="B4038">
        <v>116</v>
      </c>
      <c r="C4038" t="s">
        <v>568</v>
      </c>
      <c r="D4038" t="s">
        <v>2265</v>
      </c>
      <c r="E4038" t="s">
        <v>3288</v>
      </c>
      <c r="F4038" s="452">
        <v>46008</v>
      </c>
      <c r="G4038">
        <v>17437</v>
      </c>
      <c r="H4038" t="s">
        <v>4198</v>
      </c>
      <c r="I4038" t="s">
        <v>4199</v>
      </c>
      <c r="J4038">
        <v>10</v>
      </c>
      <c r="K4038" t="s">
        <v>3872</v>
      </c>
      <c r="L4038">
        <v>25</v>
      </c>
      <c r="M4038">
        <v>2.5</v>
      </c>
      <c r="N4038" t="s">
        <v>2176</v>
      </c>
      <c r="O4038" t="s">
        <v>460</v>
      </c>
    </row>
    <row r="4039" spans="1:15" x14ac:dyDescent="0.3">
      <c r="A4039">
        <v>186337</v>
      </c>
      <c r="B4039">
        <v>116</v>
      </c>
      <c r="C4039" t="s">
        <v>568</v>
      </c>
      <c r="D4039" t="s">
        <v>2265</v>
      </c>
      <c r="E4039" t="s">
        <v>3288</v>
      </c>
      <c r="F4039" s="452">
        <v>46008</v>
      </c>
      <c r="G4039">
        <v>17185</v>
      </c>
      <c r="H4039" t="s">
        <v>4210</v>
      </c>
      <c r="I4039" t="s">
        <v>4199</v>
      </c>
      <c r="J4039">
        <v>1</v>
      </c>
      <c r="K4039" t="s">
        <v>3978</v>
      </c>
      <c r="L4039">
        <v>19.899999999999999</v>
      </c>
      <c r="M4039">
        <v>19.899999999999999</v>
      </c>
      <c r="N4039" t="s">
        <v>2176</v>
      </c>
      <c r="O4039" t="s">
        <v>460</v>
      </c>
    </row>
    <row r="4040" spans="1:15" x14ac:dyDescent="0.3">
      <c r="A4040">
        <v>186337</v>
      </c>
      <c r="B4040">
        <v>116</v>
      </c>
      <c r="C4040" t="s">
        <v>568</v>
      </c>
      <c r="D4040" t="s">
        <v>2265</v>
      </c>
      <c r="E4040" t="s">
        <v>3288</v>
      </c>
      <c r="F4040" s="452">
        <v>46008</v>
      </c>
      <c r="G4040">
        <v>17404</v>
      </c>
      <c r="H4040" t="s">
        <v>4282</v>
      </c>
      <c r="I4040" t="s">
        <v>4199</v>
      </c>
      <c r="J4040">
        <v>1</v>
      </c>
      <c r="K4040" t="s">
        <v>3872</v>
      </c>
      <c r="L4040">
        <v>19.899999999999999</v>
      </c>
      <c r="M4040">
        <v>19.899999999999999</v>
      </c>
      <c r="N4040" t="s">
        <v>2176</v>
      </c>
      <c r="O4040" t="s">
        <v>460</v>
      </c>
    </row>
    <row r="4041" spans="1:15" x14ac:dyDescent="0.3">
      <c r="A4041">
        <v>186337</v>
      </c>
      <c r="B4041">
        <v>116</v>
      </c>
      <c r="C4041" t="s">
        <v>568</v>
      </c>
      <c r="D4041" t="s">
        <v>2265</v>
      </c>
      <c r="E4041" t="s">
        <v>3288</v>
      </c>
      <c r="F4041" s="452">
        <v>46008</v>
      </c>
      <c r="G4041">
        <v>17474</v>
      </c>
      <c r="H4041" t="s">
        <v>4273</v>
      </c>
      <c r="I4041" t="s">
        <v>4199</v>
      </c>
      <c r="J4041">
        <v>1</v>
      </c>
      <c r="K4041" t="s">
        <v>3881</v>
      </c>
      <c r="L4041">
        <v>68</v>
      </c>
      <c r="M4041">
        <v>68</v>
      </c>
      <c r="N4041" t="s">
        <v>2176</v>
      </c>
      <c r="O4041" t="s">
        <v>460</v>
      </c>
    </row>
    <row r="4042" spans="1:15" x14ac:dyDescent="0.3">
      <c r="A4042">
        <v>186337</v>
      </c>
      <c r="B4042">
        <v>116</v>
      </c>
      <c r="C4042" t="s">
        <v>568</v>
      </c>
      <c r="D4042" t="s">
        <v>2265</v>
      </c>
      <c r="E4042" t="s">
        <v>3288</v>
      </c>
      <c r="F4042" s="452">
        <v>46008</v>
      </c>
      <c r="G4042">
        <v>17266</v>
      </c>
      <c r="H4042" t="s">
        <v>4229</v>
      </c>
      <c r="I4042" t="s">
        <v>4199</v>
      </c>
      <c r="J4042">
        <v>12</v>
      </c>
      <c r="K4042" t="s">
        <v>3872</v>
      </c>
      <c r="L4042">
        <v>60.96</v>
      </c>
      <c r="M4042">
        <v>5.08</v>
      </c>
      <c r="N4042" t="s">
        <v>2176</v>
      </c>
      <c r="O4042" t="s">
        <v>460</v>
      </c>
    </row>
    <row r="4043" spans="1:15" x14ac:dyDescent="0.3">
      <c r="A4043">
        <v>186337</v>
      </c>
      <c r="B4043">
        <v>116</v>
      </c>
      <c r="C4043" t="s">
        <v>568</v>
      </c>
      <c r="D4043" t="s">
        <v>2265</v>
      </c>
      <c r="E4043" t="s">
        <v>3288</v>
      </c>
      <c r="F4043" s="452">
        <v>46008</v>
      </c>
      <c r="G4043">
        <v>17215</v>
      </c>
      <c r="H4043" t="s">
        <v>4283</v>
      </c>
      <c r="I4043" t="s">
        <v>4199</v>
      </c>
      <c r="J4043">
        <v>6</v>
      </c>
      <c r="K4043" t="s">
        <v>3978</v>
      </c>
      <c r="L4043">
        <v>120</v>
      </c>
      <c r="M4043">
        <v>20</v>
      </c>
      <c r="N4043" t="s">
        <v>2176</v>
      </c>
      <c r="O4043" t="s">
        <v>460</v>
      </c>
    </row>
    <row r="4044" spans="1:15" x14ac:dyDescent="0.3">
      <c r="A4044">
        <v>186337</v>
      </c>
      <c r="B4044">
        <v>116</v>
      </c>
      <c r="C4044" t="s">
        <v>568</v>
      </c>
      <c r="D4044" t="s">
        <v>2265</v>
      </c>
      <c r="E4044" t="s">
        <v>3288</v>
      </c>
      <c r="F4044" s="452">
        <v>46008</v>
      </c>
      <c r="G4044">
        <v>17314</v>
      </c>
      <c r="H4044" t="s">
        <v>4204</v>
      </c>
      <c r="I4044" t="s">
        <v>4199</v>
      </c>
      <c r="J4044">
        <v>2</v>
      </c>
      <c r="K4044" t="s">
        <v>3978</v>
      </c>
      <c r="L4044">
        <v>12.2</v>
      </c>
      <c r="M4044">
        <v>6.1</v>
      </c>
      <c r="N4044" t="s">
        <v>2176</v>
      </c>
      <c r="O4044" t="s">
        <v>460</v>
      </c>
    </row>
    <row r="4045" spans="1:15" x14ac:dyDescent="0.3">
      <c r="A4045">
        <v>186337</v>
      </c>
      <c r="B4045">
        <v>116</v>
      </c>
      <c r="C4045" t="s">
        <v>568</v>
      </c>
      <c r="D4045" t="s">
        <v>2265</v>
      </c>
      <c r="E4045" t="s">
        <v>3288</v>
      </c>
      <c r="F4045" s="452">
        <v>46008</v>
      </c>
      <c r="G4045">
        <v>17381</v>
      </c>
      <c r="H4045" t="s">
        <v>4247</v>
      </c>
      <c r="I4045" t="s">
        <v>4199</v>
      </c>
      <c r="J4045">
        <v>1</v>
      </c>
      <c r="K4045" t="s">
        <v>3872</v>
      </c>
      <c r="L4045">
        <v>42</v>
      </c>
      <c r="M4045">
        <v>42</v>
      </c>
      <c r="N4045" t="s">
        <v>2176</v>
      </c>
      <c r="O4045" t="s">
        <v>460</v>
      </c>
    </row>
    <row r="4046" spans="1:15" x14ac:dyDescent="0.3">
      <c r="A4046">
        <v>186337</v>
      </c>
      <c r="B4046">
        <v>116</v>
      </c>
      <c r="C4046" t="s">
        <v>568</v>
      </c>
      <c r="D4046" t="s">
        <v>2265</v>
      </c>
      <c r="E4046" t="s">
        <v>3288</v>
      </c>
      <c r="F4046" s="452">
        <v>46008</v>
      </c>
      <c r="G4046">
        <v>17230</v>
      </c>
      <c r="H4046" t="s">
        <v>4281</v>
      </c>
      <c r="I4046" t="s">
        <v>4199</v>
      </c>
      <c r="J4046">
        <v>1</v>
      </c>
      <c r="K4046" t="s">
        <v>3872</v>
      </c>
      <c r="L4046">
        <v>42</v>
      </c>
      <c r="M4046">
        <v>42</v>
      </c>
      <c r="N4046" t="s">
        <v>2176</v>
      </c>
      <c r="O4046" t="s">
        <v>460</v>
      </c>
    </row>
    <row r="4047" spans="1:15" x14ac:dyDescent="0.3">
      <c r="A4047">
        <v>186337</v>
      </c>
      <c r="B4047">
        <v>116</v>
      </c>
      <c r="C4047" t="s">
        <v>568</v>
      </c>
      <c r="D4047" t="s">
        <v>2265</v>
      </c>
      <c r="E4047" t="s">
        <v>3288</v>
      </c>
      <c r="F4047" s="452">
        <v>46008</v>
      </c>
      <c r="G4047">
        <v>17498</v>
      </c>
      <c r="H4047" t="s">
        <v>4243</v>
      </c>
      <c r="I4047" t="s">
        <v>4199</v>
      </c>
      <c r="J4047">
        <v>2</v>
      </c>
      <c r="K4047" t="s">
        <v>3881</v>
      </c>
      <c r="L4047">
        <v>45.8</v>
      </c>
      <c r="M4047">
        <v>22.9</v>
      </c>
      <c r="N4047" t="s">
        <v>2176</v>
      </c>
      <c r="O4047" t="s">
        <v>460</v>
      </c>
    </row>
    <row r="4048" spans="1:15" x14ac:dyDescent="0.3">
      <c r="A4048">
        <v>186337</v>
      </c>
      <c r="B4048">
        <v>116</v>
      </c>
      <c r="C4048" t="s">
        <v>568</v>
      </c>
      <c r="D4048" t="s">
        <v>2265</v>
      </c>
      <c r="E4048" t="s">
        <v>3288</v>
      </c>
      <c r="F4048" s="452">
        <v>46008</v>
      </c>
      <c r="G4048">
        <v>21783</v>
      </c>
      <c r="H4048" t="s">
        <v>4228</v>
      </c>
      <c r="I4048" t="s">
        <v>4202</v>
      </c>
      <c r="J4048">
        <v>2</v>
      </c>
      <c r="K4048" t="s">
        <v>3872</v>
      </c>
      <c r="L4048">
        <v>25</v>
      </c>
      <c r="M4048">
        <v>12.5</v>
      </c>
      <c r="N4048" t="s">
        <v>2176</v>
      </c>
      <c r="O4048" t="s">
        <v>460</v>
      </c>
    </row>
    <row r="4049" spans="1:15" x14ac:dyDescent="0.3">
      <c r="A4049">
        <v>186337</v>
      </c>
      <c r="B4049">
        <v>116</v>
      </c>
      <c r="C4049" t="s">
        <v>568</v>
      </c>
      <c r="D4049" t="s">
        <v>2265</v>
      </c>
      <c r="E4049" t="s">
        <v>3288</v>
      </c>
      <c r="F4049" s="452">
        <v>46008</v>
      </c>
      <c r="G4049">
        <v>17475</v>
      </c>
      <c r="H4049" t="s">
        <v>4426</v>
      </c>
      <c r="I4049" t="s">
        <v>4199</v>
      </c>
      <c r="J4049">
        <v>1</v>
      </c>
      <c r="K4049" t="s">
        <v>3881</v>
      </c>
      <c r="L4049">
        <v>110</v>
      </c>
      <c r="M4049">
        <v>110</v>
      </c>
      <c r="N4049" t="s">
        <v>2176</v>
      </c>
      <c r="O4049" t="s">
        <v>460</v>
      </c>
    </row>
    <row r="4050" spans="1:15" x14ac:dyDescent="0.3">
      <c r="A4050">
        <v>186337</v>
      </c>
      <c r="B4050">
        <v>116</v>
      </c>
      <c r="C4050" t="s">
        <v>568</v>
      </c>
      <c r="D4050" t="s">
        <v>2265</v>
      </c>
      <c r="E4050" t="s">
        <v>3288</v>
      </c>
      <c r="F4050" s="452">
        <v>46008</v>
      </c>
      <c r="G4050">
        <v>17425</v>
      </c>
      <c r="H4050" t="s">
        <v>4421</v>
      </c>
      <c r="I4050" t="s">
        <v>4199</v>
      </c>
      <c r="J4050">
        <v>4</v>
      </c>
      <c r="K4050" t="s">
        <v>3881</v>
      </c>
      <c r="L4050">
        <v>220.8</v>
      </c>
      <c r="M4050">
        <v>55.2</v>
      </c>
      <c r="N4050" t="s">
        <v>2176</v>
      </c>
      <c r="O4050" t="s">
        <v>460</v>
      </c>
    </row>
    <row r="4051" spans="1:15" x14ac:dyDescent="0.3">
      <c r="A4051">
        <v>186337</v>
      </c>
      <c r="B4051">
        <v>116</v>
      </c>
      <c r="C4051" t="s">
        <v>568</v>
      </c>
      <c r="D4051" t="s">
        <v>2265</v>
      </c>
      <c r="E4051" t="s">
        <v>3288</v>
      </c>
      <c r="F4051" s="452">
        <v>46008</v>
      </c>
      <c r="G4051">
        <v>28011</v>
      </c>
      <c r="H4051" t="s">
        <v>4432</v>
      </c>
      <c r="I4051" t="s">
        <v>4199</v>
      </c>
      <c r="J4051">
        <v>2</v>
      </c>
      <c r="K4051" t="s">
        <v>4203</v>
      </c>
      <c r="L4051">
        <v>19.8</v>
      </c>
      <c r="M4051">
        <v>9.9</v>
      </c>
      <c r="N4051" t="s">
        <v>2176</v>
      </c>
      <c r="O4051" t="s">
        <v>460</v>
      </c>
    </row>
    <row r="4052" spans="1:15" x14ac:dyDescent="0.3">
      <c r="A4052">
        <v>186337</v>
      </c>
      <c r="B4052">
        <v>116</v>
      </c>
      <c r="C4052" t="s">
        <v>568</v>
      </c>
      <c r="D4052" t="s">
        <v>2265</v>
      </c>
      <c r="E4052" t="s">
        <v>3288</v>
      </c>
      <c r="F4052" s="452">
        <v>46008</v>
      </c>
      <c r="G4052">
        <v>17444</v>
      </c>
      <c r="H4052" t="s">
        <v>4211</v>
      </c>
      <c r="I4052" t="s">
        <v>4199</v>
      </c>
      <c r="J4052">
        <v>2</v>
      </c>
      <c r="K4052" t="s">
        <v>3888</v>
      </c>
      <c r="L4052">
        <v>21</v>
      </c>
      <c r="M4052">
        <v>10.5</v>
      </c>
      <c r="N4052" t="s">
        <v>2176</v>
      </c>
      <c r="O4052" t="s">
        <v>460</v>
      </c>
    </row>
    <row r="4053" spans="1:15" x14ac:dyDescent="0.3">
      <c r="A4053">
        <v>186336</v>
      </c>
      <c r="B4053">
        <v>116</v>
      </c>
      <c r="C4053" t="s">
        <v>568</v>
      </c>
      <c r="D4053" t="s">
        <v>2267</v>
      </c>
      <c r="E4053" t="s">
        <v>3289</v>
      </c>
      <c r="F4053" s="452">
        <v>46008</v>
      </c>
      <c r="G4053">
        <v>24403</v>
      </c>
      <c r="H4053" t="s">
        <v>3992</v>
      </c>
      <c r="I4053" t="s">
        <v>3469</v>
      </c>
      <c r="J4053">
        <v>3</v>
      </c>
      <c r="K4053" t="s">
        <v>3892</v>
      </c>
      <c r="L4053">
        <v>36</v>
      </c>
      <c r="M4053">
        <v>12</v>
      </c>
      <c r="N4053" t="s">
        <v>4240</v>
      </c>
      <c r="O4053" t="s">
        <v>460</v>
      </c>
    </row>
    <row r="4054" spans="1:15" x14ac:dyDescent="0.3">
      <c r="A4054">
        <v>186336</v>
      </c>
      <c r="B4054">
        <v>116</v>
      </c>
      <c r="C4054" t="s">
        <v>568</v>
      </c>
      <c r="D4054" t="s">
        <v>2267</v>
      </c>
      <c r="E4054" t="s">
        <v>3289</v>
      </c>
      <c r="F4054" s="452">
        <v>46008</v>
      </c>
      <c r="G4054">
        <v>24517</v>
      </c>
      <c r="H4054" t="s">
        <v>3991</v>
      </c>
      <c r="I4054" t="s">
        <v>3469</v>
      </c>
      <c r="J4054">
        <v>13.5</v>
      </c>
      <c r="K4054" t="s">
        <v>3892</v>
      </c>
      <c r="L4054">
        <v>377.86</v>
      </c>
      <c r="M4054">
        <v>27.989629999999998</v>
      </c>
      <c r="N4054" t="s">
        <v>4240</v>
      </c>
      <c r="O4054" t="s">
        <v>460</v>
      </c>
    </row>
    <row r="4055" spans="1:15" x14ac:dyDescent="0.3">
      <c r="A4055">
        <v>186336</v>
      </c>
      <c r="B4055">
        <v>116</v>
      </c>
      <c r="C4055" t="s">
        <v>568</v>
      </c>
      <c r="D4055" t="s">
        <v>2267</v>
      </c>
      <c r="E4055" t="s">
        <v>3289</v>
      </c>
      <c r="F4055" s="452">
        <v>46008</v>
      </c>
      <c r="G4055">
        <v>24393</v>
      </c>
      <c r="H4055" t="s">
        <v>4039</v>
      </c>
      <c r="I4055" t="s">
        <v>3469</v>
      </c>
      <c r="J4055">
        <v>3</v>
      </c>
      <c r="K4055" t="s">
        <v>3892</v>
      </c>
      <c r="L4055">
        <v>41.97</v>
      </c>
      <c r="M4055">
        <v>13.99</v>
      </c>
      <c r="N4055" t="s">
        <v>4240</v>
      </c>
      <c r="O4055" t="s">
        <v>460</v>
      </c>
    </row>
    <row r="4056" spans="1:15" x14ac:dyDescent="0.3">
      <c r="A4056">
        <v>186336</v>
      </c>
      <c r="B4056">
        <v>116</v>
      </c>
      <c r="C4056" t="s">
        <v>568</v>
      </c>
      <c r="D4056" t="s">
        <v>2267</v>
      </c>
      <c r="E4056" t="s">
        <v>3289</v>
      </c>
      <c r="F4056" s="452">
        <v>46008</v>
      </c>
      <c r="G4056">
        <v>18666</v>
      </c>
      <c r="H4056" t="s">
        <v>4003</v>
      </c>
      <c r="I4056" t="s">
        <v>3469</v>
      </c>
      <c r="J4056">
        <v>3</v>
      </c>
      <c r="K4056" t="s">
        <v>3892</v>
      </c>
      <c r="L4056">
        <v>71.97</v>
      </c>
      <c r="M4056">
        <v>23.99</v>
      </c>
      <c r="N4056" t="s">
        <v>4240</v>
      </c>
      <c r="O4056" t="s">
        <v>460</v>
      </c>
    </row>
    <row r="4057" spans="1:15" x14ac:dyDescent="0.3">
      <c r="A4057">
        <v>186336</v>
      </c>
      <c r="B4057">
        <v>116</v>
      </c>
      <c r="C4057" t="s">
        <v>568</v>
      </c>
      <c r="D4057" t="s">
        <v>2267</v>
      </c>
      <c r="E4057" t="s">
        <v>3289</v>
      </c>
      <c r="F4057" s="452">
        <v>46008</v>
      </c>
      <c r="G4057">
        <v>18682</v>
      </c>
      <c r="H4057" t="s">
        <v>4025</v>
      </c>
      <c r="I4057" t="s">
        <v>3469</v>
      </c>
      <c r="J4057">
        <v>6.3</v>
      </c>
      <c r="K4057" t="s">
        <v>3892</v>
      </c>
      <c r="L4057">
        <v>176.34</v>
      </c>
      <c r="M4057">
        <v>27.990476000000001</v>
      </c>
      <c r="N4057" t="s">
        <v>4240</v>
      </c>
      <c r="O4057" t="s">
        <v>460</v>
      </c>
    </row>
    <row r="4058" spans="1:15" x14ac:dyDescent="0.3">
      <c r="A4058">
        <v>186336</v>
      </c>
      <c r="B4058">
        <v>116</v>
      </c>
      <c r="C4058" t="s">
        <v>568</v>
      </c>
      <c r="D4058" t="s">
        <v>2267</v>
      </c>
      <c r="E4058" t="s">
        <v>3289</v>
      </c>
      <c r="F4058" s="452">
        <v>46008</v>
      </c>
      <c r="G4058">
        <v>20549</v>
      </c>
      <c r="H4058" t="s">
        <v>4007</v>
      </c>
      <c r="I4058" t="s">
        <v>3469</v>
      </c>
      <c r="J4058">
        <v>12.2</v>
      </c>
      <c r="K4058" t="s">
        <v>3892</v>
      </c>
      <c r="L4058">
        <v>243.88</v>
      </c>
      <c r="M4058">
        <v>19.990164</v>
      </c>
      <c r="N4058" t="s">
        <v>4240</v>
      </c>
      <c r="O4058" t="s">
        <v>460</v>
      </c>
    </row>
    <row r="4059" spans="1:15" x14ac:dyDescent="0.3">
      <c r="A4059">
        <v>186335</v>
      </c>
      <c r="B4059">
        <v>116</v>
      </c>
      <c r="C4059" t="s">
        <v>568</v>
      </c>
      <c r="D4059" t="s">
        <v>2260</v>
      </c>
      <c r="E4059" t="s">
        <v>3290</v>
      </c>
      <c r="F4059" s="452">
        <v>46007</v>
      </c>
      <c r="G4059">
        <v>18685</v>
      </c>
      <c r="H4059" t="s">
        <v>3945</v>
      </c>
      <c r="I4059" t="s">
        <v>3469</v>
      </c>
      <c r="J4059">
        <v>10.4</v>
      </c>
      <c r="K4059" t="s">
        <v>4197</v>
      </c>
      <c r="L4059">
        <v>405.6</v>
      </c>
      <c r="M4059">
        <v>39</v>
      </c>
      <c r="N4059" t="s">
        <v>4240</v>
      </c>
      <c r="O4059" t="s">
        <v>460</v>
      </c>
    </row>
    <row r="4060" spans="1:15" x14ac:dyDescent="0.3">
      <c r="A4060">
        <v>186335</v>
      </c>
      <c r="B4060">
        <v>116</v>
      </c>
      <c r="C4060" t="s">
        <v>568</v>
      </c>
      <c r="D4060" t="s">
        <v>2260</v>
      </c>
      <c r="E4060" t="s">
        <v>3290</v>
      </c>
      <c r="F4060" s="452">
        <v>46007</v>
      </c>
      <c r="G4060">
        <v>18684</v>
      </c>
      <c r="H4060" t="s">
        <v>3925</v>
      </c>
      <c r="I4060" t="s">
        <v>3469</v>
      </c>
      <c r="J4060">
        <v>11</v>
      </c>
      <c r="K4060" t="s">
        <v>3892</v>
      </c>
      <c r="L4060">
        <v>396</v>
      </c>
      <c r="M4060">
        <v>36</v>
      </c>
      <c r="N4060" t="s">
        <v>4240</v>
      </c>
      <c r="O4060" t="s">
        <v>460</v>
      </c>
    </row>
    <row r="4061" spans="1:15" x14ac:dyDescent="0.3">
      <c r="A4061">
        <v>186335</v>
      </c>
      <c r="B4061">
        <v>116</v>
      </c>
      <c r="C4061" t="s">
        <v>568</v>
      </c>
      <c r="D4061" t="s">
        <v>2260</v>
      </c>
      <c r="E4061" t="s">
        <v>3290</v>
      </c>
      <c r="F4061" s="452">
        <v>46007</v>
      </c>
      <c r="G4061">
        <v>20458</v>
      </c>
      <c r="H4061" t="s">
        <v>4121</v>
      </c>
      <c r="I4061" t="s">
        <v>3469</v>
      </c>
      <c r="J4061">
        <v>3.3</v>
      </c>
      <c r="K4061" t="s">
        <v>3892</v>
      </c>
      <c r="L4061">
        <v>108.57</v>
      </c>
      <c r="M4061">
        <v>32.9</v>
      </c>
      <c r="N4061" t="s">
        <v>4240</v>
      </c>
      <c r="O4061" t="s">
        <v>460</v>
      </c>
    </row>
    <row r="4062" spans="1:15" x14ac:dyDescent="0.3">
      <c r="A4062">
        <v>186335</v>
      </c>
      <c r="B4062">
        <v>116</v>
      </c>
      <c r="C4062" t="s">
        <v>568</v>
      </c>
      <c r="D4062" t="s">
        <v>2260</v>
      </c>
      <c r="E4062" t="s">
        <v>3290</v>
      </c>
      <c r="F4062" s="452">
        <v>46007</v>
      </c>
      <c r="G4062">
        <v>20466</v>
      </c>
      <c r="H4062" t="s">
        <v>4098</v>
      </c>
      <c r="I4062" t="s">
        <v>3469</v>
      </c>
      <c r="J4062">
        <v>1.4</v>
      </c>
      <c r="K4062" t="s">
        <v>3892</v>
      </c>
      <c r="L4062">
        <v>95.2</v>
      </c>
      <c r="M4062">
        <v>68</v>
      </c>
      <c r="N4062" t="s">
        <v>4240</v>
      </c>
      <c r="O4062" t="s">
        <v>460</v>
      </c>
    </row>
    <row r="4063" spans="1:15" x14ac:dyDescent="0.3">
      <c r="A4063">
        <v>186335</v>
      </c>
      <c r="B4063">
        <v>116</v>
      </c>
      <c r="C4063" t="s">
        <v>568</v>
      </c>
      <c r="D4063" t="s">
        <v>2260</v>
      </c>
      <c r="E4063" t="s">
        <v>3290</v>
      </c>
      <c r="F4063" s="452">
        <v>46007</v>
      </c>
      <c r="G4063">
        <v>24072</v>
      </c>
      <c r="H4063" t="s">
        <v>4002</v>
      </c>
      <c r="I4063" t="s">
        <v>3469</v>
      </c>
      <c r="J4063">
        <v>3</v>
      </c>
      <c r="K4063" t="s">
        <v>3892</v>
      </c>
      <c r="L4063">
        <v>660</v>
      </c>
      <c r="M4063">
        <v>220</v>
      </c>
      <c r="N4063" t="s">
        <v>4240</v>
      </c>
      <c r="O4063" t="s">
        <v>460</v>
      </c>
    </row>
    <row r="4064" spans="1:15" x14ac:dyDescent="0.3">
      <c r="A4064">
        <v>186335</v>
      </c>
      <c r="B4064">
        <v>116</v>
      </c>
      <c r="C4064" t="s">
        <v>568</v>
      </c>
      <c r="D4064" t="s">
        <v>2260</v>
      </c>
      <c r="E4064" t="s">
        <v>3290</v>
      </c>
      <c r="F4064" s="452">
        <v>46007</v>
      </c>
      <c r="G4064">
        <v>22734</v>
      </c>
      <c r="H4064" t="s">
        <v>3955</v>
      </c>
      <c r="I4064" t="s">
        <v>3469</v>
      </c>
      <c r="J4064">
        <v>10</v>
      </c>
      <c r="K4064" t="s">
        <v>3892</v>
      </c>
      <c r="L4064">
        <v>990</v>
      </c>
      <c r="M4064">
        <v>99</v>
      </c>
      <c r="N4064" t="s">
        <v>4240</v>
      </c>
      <c r="O4064" t="s">
        <v>460</v>
      </c>
    </row>
    <row r="4065" spans="1:15" x14ac:dyDescent="0.3">
      <c r="A4065">
        <v>186335</v>
      </c>
      <c r="B4065">
        <v>116</v>
      </c>
      <c r="C4065" t="s">
        <v>568</v>
      </c>
      <c r="D4065" t="s">
        <v>2260</v>
      </c>
      <c r="E4065" t="s">
        <v>3290</v>
      </c>
      <c r="F4065" s="452">
        <v>46007</v>
      </c>
      <c r="G4065">
        <v>27884</v>
      </c>
      <c r="H4065" t="s">
        <v>3910</v>
      </c>
      <c r="I4065" t="s">
        <v>3469</v>
      </c>
      <c r="J4065">
        <v>10.199999999999999</v>
      </c>
      <c r="K4065" t="s">
        <v>3892</v>
      </c>
      <c r="L4065">
        <v>663</v>
      </c>
      <c r="M4065">
        <v>65</v>
      </c>
      <c r="N4065" t="s">
        <v>4240</v>
      </c>
      <c r="O4065" t="s">
        <v>460</v>
      </c>
    </row>
    <row r="4066" spans="1:15" x14ac:dyDescent="0.3">
      <c r="A4066">
        <v>186334</v>
      </c>
      <c r="B4066">
        <v>116</v>
      </c>
      <c r="C4066" t="s">
        <v>568</v>
      </c>
      <c r="D4066" t="s">
        <v>3179</v>
      </c>
      <c r="E4066" t="s">
        <v>3291</v>
      </c>
      <c r="F4066" s="452">
        <v>46002</v>
      </c>
      <c r="G4066">
        <v>24509</v>
      </c>
      <c r="H4066" t="s">
        <v>3906</v>
      </c>
      <c r="I4066" t="s">
        <v>3469</v>
      </c>
      <c r="J4066">
        <v>20</v>
      </c>
      <c r="K4066" t="s">
        <v>3892</v>
      </c>
      <c r="L4066">
        <v>47.6</v>
      </c>
      <c r="M4066">
        <v>2.38</v>
      </c>
      <c r="N4066" t="s">
        <v>4240</v>
      </c>
      <c r="O4066" t="s">
        <v>460</v>
      </c>
    </row>
    <row r="4067" spans="1:15" x14ac:dyDescent="0.3">
      <c r="A4067">
        <v>186334</v>
      </c>
      <c r="B4067">
        <v>116</v>
      </c>
      <c r="C4067" t="s">
        <v>568</v>
      </c>
      <c r="D4067" t="s">
        <v>3179</v>
      </c>
      <c r="E4067" t="s">
        <v>3291</v>
      </c>
      <c r="F4067" s="452">
        <v>46002</v>
      </c>
      <c r="G4067">
        <v>19555</v>
      </c>
      <c r="H4067" t="s">
        <v>4109</v>
      </c>
      <c r="I4067" t="s">
        <v>3469</v>
      </c>
      <c r="J4067">
        <v>0.6</v>
      </c>
      <c r="K4067" t="s">
        <v>3892</v>
      </c>
      <c r="L4067">
        <v>10.5</v>
      </c>
      <c r="M4067">
        <v>17.5</v>
      </c>
      <c r="N4067" t="s">
        <v>4240</v>
      </c>
      <c r="O4067" t="s">
        <v>460</v>
      </c>
    </row>
    <row r="4068" spans="1:15" x14ac:dyDescent="0.3">
      <c r="A4068">
        <v>186334</v>
      </c>
      <c r="B4068">
        <v>116</v>
      </c>
      <c r="C4068" t="s">
        <v>568</v>
      </c>
      <c r="D4068" t="s">
        <v>3179</v>
      </c>
      <c r="E4068" t="s">
        <v>3291</v>
      </c>
      <c r="F4068" s="452">
        <v>46002</v>
      </c>
      <c r="G4068">
        <v>19751</v>
      </c>
      <c r="H4068" t="s">
        <v>4019</v>
      </c>
      <c r="I4068" t="s">
        <v>3469</v>
      </c>
      <c r="J4068">
        <v>2</v>
      </c>
      <c r="K4068" t="s">
        <v>3892</v>
      </c>
      <c r="L4068">
        <v>21.5</v>
      </c>
      <c r="M4068">
        <v>10.75</v>
      </c>
      <c r="N4068" t="s">
        <v>4240</v>
      </c>
      <c r="O4068" t="s">
        <v>460</v>
      </c>
    </row>
    <row r="4069" spans="1:15" x14ac:dyDescent="0.3">
      <c r="A4069">
        <v>186334</v>
      </c>
      <c r="B4069">
        <v>116</v>
      </c>
      <c r="C4069" t="s">
        <v>568</v>
      </c>
      <c r="D4069" t="s">
        <v>3179</v>
      </c>
      <c r="E4069" t="s">
        <v>3291</v>
      </c>
      <c r="F4069" s="452">
        <v>46002</v>
      </c>
      <c r="G4069">
        <v>23335</v>
      </c>
      <c r="H4069" t="s">
        <v>4075</v>
      </c>
      <c r="I4069" t="s">
        <v>3469</v>
      </c>
      <c r="J4069">
        <v>1.2</v>
      </c>
      <c r="K4069" t="s">
        <v>3892</v>
      </c>
      <c r="L4069">
        <v>21</v>
      </c>
      <c r="M4069">
        <v>17.5</v>
      </c>
      <c r="N4069" t="s">
        <v>4240</v>
      </c>
      <c r="O4069" t="s">
        <v>460</v>
      </c>
    </row>
    <row r="4070" spans="1:15" x14ac:dyDescent="0.3">
      <c r="A4070">
        <v>186334</v>
      </c>
      <c r="B4070">
        <v>116</v>
      </c>
      <c r="C4070" t="s">
        <v>568</v>
      </c>
      <c r="D4070" t="s">
        <v>3179</v>
      </c>
      <c r="E4070" t="s">
        <v>3291</v>
      </c>
      <c r="F4070" s="452">
        <v>46002</v>
      </c>
      <c r="G4070">
        <v>23359</v>
      </c>
      <c r="H4070" t="s">
        <v>3932</v>
      </c>
      <c r="I4070" t="s">
        <v>3469</v>
      </c>
      <c r="J4070">
        <v>10</v>
      </c>
      <c r="K4070" t="s">
        <v>3892</v>
      </c>
      <c r="L4070">
        <v>37.5</v>
      </c>
      <c r="M4070">
        <v>3.75</v>
      </c>
      <c r="N4070" t="s">
        <v>4240</v>
      </c>
      <c r="O4070" t="s">
        <v>460</v>
      </c>
    </row>
    <row r="4071" spans="1:15" x14ac:dyDescent="0.3">
      <c r="A4071">
        <v>186334</v>
      </c>
      <c r="B4071">
        <v>116</v>
      </c>
      <c r="C4071" t="s">
        <v>568</v>
      </c>
      <c r="D4071" t="s">
        <v>3179</v>
      </c>
      <c r="E4071" t="s">
        <v>3291</v>
      </c>
      <c r="F4071" s="452">
        <v>46002</v>
      </c>
      <c r="G4071">
        <v>23385</v>
      </c>
      <c r="H4071" t="s">
        <v>4069</v>
      </c>
      <c r="I4071" t="s">
        <v>3469</v>
      </c>
      <c r="J4071">
        <v>1.2</v>
      </c>
      <c r="K4071" t="s">
        <v>3892</v>
      </c>
      <c r="L4071">
        <v>34.5</v>
      </c>
      <c r="M4071">
        <v>28.75</v>
      </c>
      <c r="N4071" t="s">
        <v>4240</v>
      </c>
      <c r="O4071" t="s">
        <v>460</v>
      </c>
    </row>
    <row r="4072" spans="1:15" x14ac:dyDescent="0.3">
      <c r="A4072">
        <v>186334</v>
      </c>
      <c r="B4072">
        <v>116</v>
      </c>
      <c r="C4072" t="s">
        <v>568</v>
      </c>
      <c r="D4072" t="s">
        <v>3179</v>
      </c>
      <c r="E4072" t="s">
        <v>3291</v>
      </c>
      <c r="F4072" s="452">
        <v>46002</v>
      </c>
      <c r="G4072">
        <v>23184</v>
      </c>
      <c r="H4072" t="s">
        <v>3894</v>
      </c>
      <c r="I4072" t="s">
        <v>3469</v>
      </c>
      <c r="J4072">
        <v>0.5</v>
      </c>
      <c r="K4072" t="s">
        <v>3892</v>
      </c>
      <c r="L4072">
        <v>3.75</v>
      </c>
      <c r="M4072">
        <v>7.5</v>
      </c>
      <c r="N4072" t="s">
        <v>4240</v>
      </c>
      <c r="O4072" t="s">
        <v>460</v>
      </c>
    </row>
    <row r="4073" spans="1:15" x14ac:dyDescent="0.3">
      <c r="A4073">
        <v>186334</v>
      </c>
      <c r="B4073">
        <v>116</v>
      </c>
      <c r="C4073" t="s">
        <v>568</v>
      </c>
      <c r="D4073" t="s">
        <v>3179</v>
      </c>
      <c r="E4073" t="s">
        <v>3291</v>
      </c>
      <c r="F4073" s="452">
        <v>46002</v>
      </c>
      <c r="G4073">
        <v>19672</v>
      </c>
      <c r="H4073" t="s">
        <v>4024</v>
      </c>
      <c r="I4073" t="s">
        <v>3469</v>
      </c>
      <c r="J4073">
        <v>2</v>
      </c>
      <c r="K4073" t="s">
        <v>3892</v>
      </c>
      <c r="L4073">
        <v>27.5</v>
      </c>
      <c r="M4073">
        <v>13.75</v>
      </c>
      <c r="N4073" t="s">
        <v>4240</v>
      </c>
      <c r="O4073" t="s">
        <v>460</v>
      </c>
    </row>
    <row r="4074" spans="1:15" x14ac:dyDescent="0.3">
      <c r="A4074">
        <v>186333</v>
      </c>
      <c r="B4074">
        <v>116</v>
      </c>
      <c r="C4074" t="s">
        <v>568</v>
      </c>
      <c r="D4074" t="s">
        <v>3179</v>
      </c>
      <c r="E4074" t="s">
        <v>3292</v>
      </c>
      <c r="F4074" s="452">
        <v>45999</v>
      </c>
      <c r="G4074">
        <v>19642</v>
      </c>
      <c r="H4074" t="s">
        <v>4067</v>
      </c>
      <c r="I4074" t="s">
        <v>3469</v>
      </c>
      <c r="J4074">
        <v>1</v>
      </c>
      <c r="K4074" t="s">
        <v>3892</v>
      </c>
      <c r="L4074">
        <v>4.38</v>
      </c>
      <c r="M4074">
        <v>4.38</v>
      </c>
      <c r="N4074" t="s">
        <v>4240</v>
      </c>
      <c r="O4074" t="s">
        <v>460</v>
      </c>
    </row>
    <row r="4075" spans="1:15" x14ac:dyDescent="0.3">
      <c r="A4075">
        <v>186333</v>
      </c>
      <c r="B4075">
        <v>116</v>
      </c>
      <c r="C4075" t="s">
        <v>568</v>
      </c>
      <c r="D4075" t="s">
        <v>3179</v>
      </c>
      <c r="E4075" t="s">
        <v>3292</v>
      </c>
      <c r="F4075" s="452">
        <v>45999</v>
      </c>
      <c r="G4075">
        <v>19555</v>
      </c>
      <c r="H4075" t="s">
        <v>4109</v>
      </c>
      <c r="I4075" t="s">
        <v>3469</v>
      </c>
      <c r="J4075">
        <v>0.8</v>
      </c>
      <c r="K4075" t="s">
        <v>3892</v>
      </c>
      <c r="L4075">
        <v>14</v>
      </c>
      <c r="M4075">
        <v>17.5</v>
      </c>
      <c r="N4075" t="s">
        <v>4240</v>
      </c>
      <c r="O4075" t="s">
        <v>460</v>
      </c>
    </row>
    <row r="4076" spans="1:15" x14ac:dyDescent="0.3">
      <c r="A4076">
        <v>186333</v>
      </c>
      <c r="B4076">
        <v>116</v>
      </c>
      <c r="C4076" t="s">
        <v>568</v>
      </c>
      <c r="D4076" t="s">
        <v>3179</v>
      </c>
      <c r="E4076" t="s">
        <v>3292</v>
      </c>
      <c r="F4076" s="452">
        <v>45999</v>
      </c>
      <c r="G4076">
        <v>19494</v>
      </c>
      <c r="H4076" t="s">
        <v>4126</v>
      </c>
      <c r="I4076" t="s">
        <v>3469</v>
      </c>
      <c r="J4076">
        <v>2.6</v>
      </c>
      <c r="K4076" t="s">
        <v>3892</v>
      </c>
      <c r="L4076">
        <v>30.89</v>
      </c>
      <c r="M4076">
        <v>11.880769000000001</v>
      </c>
      <c r="N4076" t="s">
        <v>4240</v>
      </c>
      <c r="O4076" t="s">
        <v>460</v>
      </c>
    </row>
    <row r="4077" spans="1:15" x14ac:dyDescent="0.3">
      <c r="A4077">
        <v>186333</v>
      </c>
      <c r="B4077">
        <v>116</v>
      </c>
      <c r="C4077" t="s">
        <v>568</v>
      </c>
      <c r="D4077" t="s">
        <v>3179</v>
      </c>
      <c r="E4077" t="s">
        <v>3292</v>
      </c>
      <c r="F4077" s="452">
        <v>45999</v>
      </c>
      <c r="G4077">
        <v>23096</v>
      </c>
      <c r="H4077" t="s">
        <v>3876</v>
      </c>
      <c r="I4077" t="s">
        <v>3469</v>
      </c>
      <c r="J4077">
        <v>60</v>
      </c>
      <c r="K4077" t="s">
        <v>3872</v>
      </c>
      <c r="L4077">
        <v>34.799999999999997</v>
      </c>
      <c r="M4077">
        <v>0.57999999999999996</v>
      </c>
      <c r="N4077" t="s">
        <v>4240</v>
      </c>
      <c r="O4077" t="s">
        <v>460</v>
      </c>
    </row>
    <row r="4078" spans="1:15" x14ac:dyDescent="0.3">
      <c r="A4078">
        <v>186333</v>
      </c>
      <c r="B4078">
        <v>116</v>
      </c>
      <c r="C4078" t="s">
        <v>568</v>
      </c>
      <c r="D4078" t="s">
        <v>3179</v>
      </c>
      <c r="E4078" t="s">
        <v>3292</v>
      </c>
      <c r="F4078" s="452">
        <v>45999</v>
      </c>
      <c r="G4078">
        <v>23198</v>
      </c>
      <c r="H4078" t="s">
        <v>4167</v>
      </c>
      <c r="I4078" t="s">
        <v>3469</v>
      </c>
      <c r="J4078">
        <v>2</v>
      </c>
      <c r="K4078" t="s">
        <v>3892</v>
      </c>
      <c r="L4078">
        <v>30</v>
      </c>
      <c r="M4078">
        <v>15</v>
      </c>
      <c r="N4078" t="s">
        <v>4240</v>
      </c>
      <c r="O4078" t="s">
        <v>460</v>
      </c>
    </row>
    <row r="4079" spans="1:15" x14ac:dyDescent="0.3">
      <c r="A4079">
        <v>186333</v>
      </c>
      <c r="B4079">
        <v>116</v>
      </c>
      <c r="C4079" t="s">
        <v>568</v>
      </c>
      <c r="D4079" t="s">
        <v>3179</v>
      </c>
      <c r="E4079" t="s">
        <v>3292</v>
      </c>
      <c r="F4079" s="452">
        <v>45999</v>
      </c>
      <c r="G4079">
        <v>23171</v>
      </c>
      <c r="H4079" t="s">
        <v>4132</v>
      </c>
      <c r="I4079" t="s">
        <v>3469</v>
      </c>
      <c r="J4079">
        <v>3</v>
      </c>
      <c r="K4079" t="s">
        <v>3892</v>
      </c>
      <c r="L4079">
        <v>12</v>
      </c>
      <c r="M4079">
        <v>4</v>
      </c>
      <c r="N4079" t="s">
        <v>4240</v>
      </c>
      <c r="O4079" t="s">
        <v>460</v>
      </c>
    </row>
    <row r="4080" spans="1:15" x14ac:dyDescent="0.3">
      <c r="A4080">
        <v>186333</v>
      </c>
      <c r="B4080">
        <v>116</v>
      </c>
      <c r="C4080" t="s">
        <v>568</v>
      </c>
      <c r="D4080" t="s">
        <v>3179</v>
      </c>
      <c r="E4080" t="s">
        <v>3292</v>
      </c>
      <c r="F4080" s="452">
        <v>45999</v>
      </c>
      <c r="G4080">
        <v>23359</v>
      </c>
      <c r="H4080" t="s">
        <v>3932</v>
      </c>
      <c r="I4080" t="s">
        <v>3469</v>
      </c>
      <c r="J4080">
        <v>10</v>
      </c>
      <c r="K4080" t="s">
        <v>3892</v>
      </c>
      <c r="L4080">
        <v>38.5</v>
      </c>
      <c r="M4080">
        <v>3.85</v>
      </c>
      <c r="N4080" t="s">
        <v>4240</v>
      </c>
      <c r="O4080" t="s">
        <v>460</v>
      </c>
    </row>
    <row r="4081" spans="1:15" x14ac:dyDescent="0.3">
      <c r="A4081">
        <v>186333</v>
      </c>
      <c r="B4081">
        <v>116</v>
      </c>
      <c r="C4081" t="s">
        <v>568</v>
      </c>
      <c r="D4081" t="s">
        <v>3179</v>
      </c>
      <c r="E4081" t="s">
        <v>3292</v>
      </c>
      <c r="F4081" s="452">
        <v>45999</v>
      </c>
      <c r="G4081">
        <v>19689</v>
      </c>
      <c r="H4081" t="s">
        <v>4073</v>
      </c>
      <c r="I4081" t="s">
        <v>3469</v>
      </c>
      <c r="J4081">
        <v>2.9</v>
      </c>
      <c r="K4081" t="s">
        <v>3892</v>
      </c>
      <c r="L4081">
        <v>29</v>
      </c>
      <c r="M4081">
        <v>10</v>
      </c>
      <c r="N4081" t="s">
        <v>4240</v>
      </c>
      <c r="O4081" t="s">
        <v>460</v>
      </c>
    </row>
    <row r="4082" spans="1:15" x14ac:dyDescent="0.3">
      <c r="A4082">
        <v>186332</v>
      </c>
      <c r="B4082">
        <v>116</v>
      </c>
      <c r="C4082" t="s">
        <v>568</v>
      </c>
      <c r="D4082" t="s">
        <v>2342</v>
      </c>
      <c r="E4082" t="s">
        <v>3293</v>
      </c>
      <c r="F4082" s="452">
        <v>46007</v>
      </c>
      <c r="G4082">
        <v>24351</v>
      </c>
      <c r="H4082" t="s">
        <v>3912</v>
      </c>
      <c r="I4082" t="s">
        <v>3469</v>
      </c>
      <c r="J4082">
        <v>20</v>
      </c>
      <c r="K4082" t="s">
        <v>3892</v>
      </c>
      <c r="L4082">
        <v>240</v>
      </c>
      <c r="M4082">
        <v>12</v>
      </c>
      <c r="N4082" t="s">
        <v>4240</v>
      </c>
      <c r="O4082" t="s">
        <v>460</v>
      </c>
    </row>
    <row r="4083" spans="1:15" x14ac:dyDescent="0.3">
      <c r="A4083">
        <v>186331</v>
      </c>
      <c r="B4083">
        <v>116</v>
      </c>
      <c r="C4083" t="s">
        <v>568</v>
      </c>
      <c r="D4083" t="s">
        <v>2271</v>
      </c>
      <c r="E4083" t="s">
        <v>3294</v>
      </c>
      <c r="F4083" s="452">
        <v>46000</v>
      </c>
      <c r="G4083">
        <v>18538</v>
      </c>
      <c r="H4083" t="s">
        <v>4026</v>
      </c>
      <c r="I4083" t="s">
        <v>3497</v>
      </c>
      <c r="J4083">
        <v>2</v>
      </c>
      <c r="K4083" t="s">
        <v>3878</v>
      </c>
      <c r="L4083">
        <v>203.3</v>
      </c>
      <c r="M4083">
        <v>101.65</v>
      </c>
      <c r="N4083" t="s">
        <v>3497</v>
      </c>
      <c r="O4083" t="s">
        <v>460</v>
      </c>
    </row>
    <row r="4084" spans="1:15" x14ac:dyDescent="0.3">
      <c r="A4084">
        <v>186331</v>
      </c>
      <c r="B4084">
        <v>116</v>
      </c>
      <c r="C4084" t="s">
        <v>568</v>
      </c>
      <c r="D4084" t="s">
        <v>2271</v>
      </c>
      <c r="E4084" t="s">
        <v>3294</v>
      </c>
      <c r="F4084" s="452">
        <v>46000</v>
      </c>
      <c r="G4084">
        <v>18172</v>
      </c>
      <c r="H4084" t="s">
        <v>3923</v>
      </c>
      <c r="I4084" t="s">
        <v>3497</v>
      </c>
      <c r="J4084">
        <v>6</v>
      </c>
      <c r="K4084" t="s">
        <v>3878</v>
      </c>
      <c r="L4084">
        <v>182.7</v>
      </c>
      <c r="M4084">
        <v>30.45</v>
      </c>
      <c r="N4084" t="s">
        <v>3497</v>
      </c>
      <c r="O4084" t="s">
        <v>460</v>
      </c>
    </row>
    <row r="4085" spans="1:15" x14ac:dyDescent="0.3">
      <c r="A4085">
        <v>186330</v>
      </c>
      <c r="B4085">
        <v>116</v>
      </c>
      <c r="C4085" t="s">
        <v>568</v>
      </c>
      <c r="D4085" t="s">
        <v>2332</v>
      </c>
      <c r="E4085" t="s">
        <v>3295</v>
      </c>
      <c r="F4085" s="452">
        <v>46007</v>
      </c>
      <c r="G4085">
        <v>18273</v>
      </c>
      <c r="H4085" t="s">
        <v>4031</v>
      </c>
      <c r="I4085" t="s">
        <v>3497</v>
      </c>
      <c r="J4085">
        <v>2</v>
      </c>
      <c r="K4085" t="s">
        <v>3878</v>
      </c>
      <c r="L4085">
        <v>74</v>
      </c>
      <c r="M4085">
        <v>37</v>
      </c>
      <c r="N4085" t="s">
        <v>3497</v>
      </c>
      <c r="O4085" t="s">
        <v>460</v>
      </c>
    </row>
    <row r="4086" spans="1:15" x14ac:dyDescent="0.3">
      <c r="A4086">
        <v>186329</v>
      </c>
      <c r="B4086">
        <v>116</v>
      </c>
      <c r="C4086" t="s">
        <v>568</v>
      </c>
      <c r="D4086" t="s">
        <v>2284</v>
      </c>
      <c r="E4086" t="s">
        <v>3296</v>
      </c>
      <c r="F4086" s="452">
        <v>46001</v>
      </c>
      <c r="G4086">
        <v>20242</v>
      </c>
      <c r="H4086" t="s">
        <v>4120</v>
      </c>
      <c r="I4086" t="s">
        <v>3469</v>
      </c>
      <c r="J4086">
        <v>5</v>
      </c>
      <c r="K4086" t="s">
        <v>3888</v>
      </c>
      <c r="L4086">
        <v>71</v>
      </c>
      <c r="M4086">
        <v>14.2</v>
      </c>
      <c r="N4086" t="s">
        <v>4240</v>
      </c>
      <c r="O4086" t="s">
        <v>460</v>
      </c>
    </row>
    <row r="4087" spans="1:15" x14ac:dyDescent="0.3">
      <c r="A4087">
        <v>186329</v>
      </c>
      <c r="B4087">
        <v>116</v>
      </c>
      <c r="C4087" t="s">
        <v>568</v>
      </c>
      <c r="D4087" t="s">
        <v>2284</v>
      </c>
      <c r="E4087" t="s">
        <v>3296</v>
      </c>
      <c r="F4087" s="452">
        <v>46001</v>
      </c>
      <c r="G4087">
        <v>20358</v>
      </c>
      <c r="H4087" t="s">
        <v>3952</v>
      </c>
      <c r="I4087" t="s">
        <v>3469</v>
      </c>
      <c r="J4087">
        <v>2</v>
      </c>
      <c r="K4087" t="s">
        <v>3888</v>
      </c>
      <c r="L4087">
        <v>28.6</v>
      </c>
      <c r="M4087">
        <v>14.3</v>
      </c>
      <c r="N4087" t="s">
        <v>4240</v>
      </c>
      <c r="O4087" t="s">
        <v>460</v>
      </c>
    </row>
    <row r="4088" spans="1:15" x14ac:dyDescent="0.3">
      <c r="A4088">
        <v>186329</v>
      </c>
      <c r="B4088">
        <v>116</v>
      </c>
      <c r="C4088" t="s">
        <v>568</v>
      </c>
      <c r="D4088" t="s">
        <v>2284</v>
      </c>
      <c r="E4088" t="s">
        <v>3296</v>
      </c>
      <c r="F4088" s="452">
        <v>46001</v>
      </c>
      <c r="G4088">
        <v>19324</v>
      </c>
      <c r="H4088" t="s">
        <v>3937</v>
      </c>
      <c r="I4088" t="s">
        <v>3469</v>
      </c>
      <c r="J4088">
        <v>8.16</v>
      </c>
      <c r="K4088" t="s">
        <v>3892</v>
      </c>
      <c r="L4088">
        <v>270.18</v>
      </c>
      <c r="M4088">
        <v>33.110294000000003</v>
      </c>
      <c r="N4088" t="s">
        <v>4240</v>
      </c>
      <c r="O4088" t="s">
        <v>460</v>
      </c>
    </row>
    <row r="4089" spans="1:15" x14ac:dyDescent="0.3">
      <c r="A4089">
        <v>186329</v>
      </c>
      <c r="B4089">
        <v>116</v>
      </c>
      <c r="C4089" t="s">
        <v>568</v>
      </c>
      <c r="D4089" t="s">
        <v>2284</v>
      </c>
      <c r="E4089" t="s">
        <v>3296</v>
      </c>
      <c r="F4089" s="452">
        <v>46001</v>
      </c>
      <c r="G4089">
        <v>20077</v>
      </c>
      <c r="H4089" t="s">
        <v>4054</v>
      </c>
      <c r="I4089" t="s">
        <v>3469</v>
      </c>
      <c r="J4089">
        <v>1</v>
      </c>
      <c r="K4089" t="s">
        <v>4268</v>
      </c>
      <c r="L4089">
        <v>16.32</v>
      </c>
      <c r="M4089">
        <v>16.32</v>
      </c>
      <c r="N4089" t="s">
        <v>4240</v>
      </c>
      <c r="O4089" t="s">
        <v>460</v>
      </c>
    </row>
    <row r="4090" spans="1:15" x14ac:dyDescent="0.3">
      <c r="A4090">
        <v>186329</v>
      </c>
      <c r="B4090">
        <v>116</v>
      </c>
      <c r="C4090" t="s">
        <v>568</v>
      </c>
      <c r="D4090" t="s">
        <v>2284</v>
      </c>
      <c r="E4090" t="s">
        <v>3296</v>
      </c>
      <c r="F4090" s="452">
        <v>46001</v>
      </c>
      <c r="G4090">
        <v>19973</v>
      </c>
      <c r="H4090" t="s">
        <v>3981</v>
      </c>
      <c r="I4090" t="s">
        <v>3469</v>
      </c>
      <c r="J4090">
        <v>2</v>
      </c>
      <c r="K4090" t="s">
        <v>3931</v>
      </c>
      <c r="L4090">
        <v>30.4</v>
      </c>
      <c r="M4090">
        <v>15.2</v>
      </c>
      <c r="N4090" t="s">
        <v>4240</v>
      </c>
      <c r="O4090" t="s">
        <v>460</v>
      </c>
    </row>
    <row r="4091" spans="1:15" x14ac:dyDescent="0.3">
      <c r="A4091">
        <v>186329</v>
      </c>
      <c r="B4091">
        <v>116</v>
      </c>
      <c r="C4091" t="s">
        <v>568</v>
      </c>
      <c r="D4091" t="s">
        <v>2284</v>
      </c>
      <c r="E4091" t="s">
        <v>3296</v>
      </c>
      <c r="F4091" s="452">
        <v>46001</v>
      </c>
      <c r="G4091">
        <v>20007</v>
      </c>
      <c r="H4091" t="s">
        <v>4009</v>
      </c>
      <c r="I4091" t="s">
        <v>3469</v>
      </c>
      <c r="J4091">
        <v>1</v>
      </c>
      <c r="K4091" t="s">
        <v>3966</v>
      </c>
      <c r="L4091">
        <v>47.8</v>
      </c>
      <c r="M4091">
        <v>47.8</v>
      </c>
      <c r="N4091" t="s">
        <v>4240</v>
      </c>
      <c r="O4091" t="s">
        <v>460</v>
      </c>
    </row>
    <row r="4092" spans="1:15" x14ac:dyDescent="0.3">
      <c r="A4092">
        <v>186329</v>
      </c>
      <c r="B4092">
        <v>116</v>
      </c>
      <c r="C4092" t="s">
        <v>568</v>
      </c>
      <c r="D4092" t="s">
        <v>2284</v>
      </c>
      <c r="E4092" t="s">
        <v>3296</v>
      </c>
      <c r="F4092" s="452">
        <v>46001</v>
      </c>
      <c r="G4092">
        <v>19346</v>
      </c>
      <c r="H4092" t="s">
        <v>3948</v>
      </c>
      <c r="I4092" t="s">
        <v>3469</v>
      </c>
      <c r="J4092">
        <v>3.18</v>
      </c>
      <c r="K4092" t="s">
        <v>3892</v>
      </c>
      <c r="L4092">
        <v>158.68</v>
      </c>
      <c r="M4092">
        <v>49.899371000000002</v>
      </c>
      <c r="N4092" t="s">
        <v>4240</v>
      </c>
      <c r="O4092" t="s">
        <v>460</v>
      </c>
    </row>
    <row r="4093" spans="1:15" x14ac:dyDescent="0.3">
      <c r="A4093">
        <v>186329</v>
      </c>
      <c r="B4093">
        <v>116</v>
      </c>
      <c r="C4093" t="s">
        <v>568</v>
      </c>
      <c r="D4093" t="s">
        <v>2284</v>
      </c>
      <c r="E4093" t="s">
        <v>3296</v>
      </c>
      <c r="F4093" s="452">
        <v>46001</v>
      </c>
      <c r="G4093">
        <v>19287</v>
      </c>
      <c r="H4093" t="s">
        <v>3974</v>
      </c>
      <c r="I4093" t="s">
        <v>3469</v>
      </c>
      <c r="J4093">
        <v>3.16</v>
      </c>
      <c r="K4093" t="s">
        <v>3892</v>
      </c>
      <c r="L4093">
        <v>119.76</v>
      </c>
      <c r="M4093">
        <v>37.898733999999997</v>
      </c>
      <c r="N4093" t="s">
        <v>4240</v>
      </c>
      <c r="O4093" t="s">
        <v>460</v>
      </c>
    </row>
    <row r="4094" spans="1:15" x14ac:dyDescent="0.3">
      <c r="A4094">
        <v>186329</v>
      </c>
      <c r="B4094">
        <v>116</v>
      </c>
      <c r="C4094" t="s">
        <v>568</v>
      </c>
      <c r="D4094" t="s">
        <v>2284</v>
      </c>
      <c r="E4094" t="s">
        <v>3296</v>
      </c>
      <c r="F4094" s="452">
        <v>46001</v>
      </c>
      <c r="G4094">
        <v>21030</v>
      </c>
      <c r="H4094" t="s">
        <v>3890</v>
      </c>
      <c r="I4094" t="s">
        <v>3469</v>
      </c>
      <c r="J4094">
        <v>6</v>
      </c>
      <c r="K4094" t="s">
        <v>3872</v>
      </c>
      <c r="L4094">
        <v>116.1</v>
      </c>
      <c r="M4094">
        <v>19.350000000000001</v>
      </c>
      <c r="N4094" t="s">
        <v>4240</v>
      </c>
      <c r="O4094" t="s">
        <v>460</v>
      </c>
    </row>
    <row r="4095" spans="1:15" x14ac:dyDescent="0.3">
      <c r="A4095">
        <v>186329</v>
      </c>
      <c r="B4095">
        <v>116</v>
      </c>
      <c r="C4095" t="s">
        <v>568</v>
      </c>
      <c r="D4095" t="s">
        <v>2284</v>
      </c>
      <c r="E4095" t="s">
        <v>3296</v>
      </c>
      <c r="F4095" s="452">
        <v>46001</v>
      </c>
      <c r="G4095">
        <v>20752</v>
      </c>
      <c r="H4095" t="s">
        <v>3964</v>
      </c>
      <c r="I4095" t="s">
        <v>3469</v>
      </c>
      <c r="J4095">
        <v>2</v>
      </c>
      <c r="K4095" t="s">
        <v>3886</v>
      </c>
      <c r="L4095">
        <v>217.8</v>
      </c>
      <c r="M4095">
        <v>108.9</v>
      </c>
      <c r="N4095" t="s">
        <v>4240</v>
      </c>
      <c r="O4095" t="s">
        <v>460</v>
      </c>
    </row>
    <row r="4096" spans="1:15" x14ac:dyDescent="0.3">
      <c r="A4096">
        <v>186329</v>
      </c>
      <c r="B4096">
        <v>116</v>
      </c>
      <c r="C4096" t="s">
        <v>568</v>
      </c>
      <c r="D4096" t="s">
        <v>2284</v>
      </c>
      <c r="E4096" t="s">
        <v>3296</v>
      </c>
      <c r="F4096" s="452">
        <v>46001</v>
      </c>
      <c r="G4096">
        <v>19940</v>
      </c>
      <c r="H4096" t="s">
        <v>4124</v>
      </c>
      <c r="I4096" t="s">
        <v>3469</v>
      </c>
      <c r="J4096">
        <v>0.25</v>
      </c>
      <c r="K4096" t="s">
        <v>3892</v>
      </c>
      <c r="L4096">
        <v>14.9</v>
      </c>
      <c r="M4096">
        <v>59.6</v>
      </c>
      <c r="N4096" t="s">
        <v>4240</v>
      </c>
      <c r="O4096" t="s">
        <v>460</v>
      </c>
    </row>
    <row r="4097" spans="1:15" x14ac:dyDescent="0.3">
      <c r="A4097">
        <v>186329</v>
      </c>
      <c r="B4097">
        <v>116</v>
      </c>
      <c r="C4097" t="s">
        <v>568</v>
      </c>
      <c r="D4097" t="s">
        <v>2284</v>
      </c>
      <c r="E4097" t="s">
        <v>3296</v>
      </c>
      <c r="F4097" s="452">
        <v>46001</v>
      </c>
      <c r="G4097">
        <v>22721</v>
      </c>
      <c r="H4097" t="s">
        <v>4221</v>
      </c>
      <c r="I4097" t="s">
        <v>3469</v>
      </c>
      <c r="J4097">
        <v>4.3</v>
      </c>
      <c r="K4097" t="s">
        <v>3892</v>
      </c>
      <c r="L4097">
        <v>121.69</v>
      </c>
      <c r="M4097">
        <v>28.3</v>
      </c>
      <c r="N4097" t="s">
        <v>4240</v>
      </c>
      <c r="O4097" t="s">
        <v>460</v>
      </c>
    </row>
    <row r="4098" spans="1:15" x14ac:dyDescent="0.3">
      <c r="A4098">
        <v>186329</v>
      </c>
      <c r="B4098">
        <v>116</v>
      </c>
      <c r="C4098" t="s">
        <v>568</v>
      </c>
      <c r="D4098" t="s">
        <v>2284</v>
      </c>
      <c r="E4098" t="s">
        <v>3296</v>
      </c>
      <c r="F4098" s="452">
        <v>46001</v>
      </c>
      <c r="G4098">
        <v>24212</v>
      </c>
      <c r="H4098" t="s">
        <v>4056</v>
      </c>
      <c r="I4098" t="s">
        <v>3469</v>
      </c>
      <c r="J4098">
        <v>2</v>
      </c>
      <c r="K4098" t="s">
        <v>3892</v>
      </c>
      <c r="L4098">
        <v>25</v>
      </c>
      <c r="M4098">
        <v>12.5</v>
      </c>
      <c r="N4098" t="s">
        <v>4240</v>
      </c>
      <c r="O4098" t="s">
        <v>460</v>
      </c>
    </row>
    <row r="4099" spans="1:15" x14ac:dyDescent="0.3">
      <c r="A4099">
        <v>186329</v>
      </c>
      <c r="B4099">
        <v>116</v>
      </c>
      <c r="C4099" t="s">
        <v>568</v>
      </c>
      <c r="D4099" t="s">
        <v>2284</v>
      </c>
      <c r="E4099" t="s">
        <v>3296</v>
      </c>
      <c r="F4099" s="452">
        <v>46001</v>
      </c>
      <c r="G4099">
        <v>20624</v>
      </c>
      <c r="H4099" t="s">
        <v>3982</v>
      </c>
      <c r="I4099" t="s">
        <v>3469</v>
      </c>
      <c r="J4099">
        <v>2</v>
      </c>
      <c r="K4099" t="s">
        <v>3872</v>
      </c>
      <c r="L4099">
        <v>136.4</v>
      </c>
      <c r="M4099">
        <v>68.2</v>
      </c>
      <c r="N4099" t="s">
        <v>4240</v>
      </c>
      <c r="O4099" t="s">
        <v>460</v>
      </c>
    </row>
    <row r="4100" spans="1:15" x14ac:dyDescent="0.3">
      <c r="A4100">
        <v>186329</v>
      </c>
      <c r="B4100">
        <v>116</v>
      </c>
      <c r="C4100" t="s">
        <v>568</v>
      </c>
      <c r="D4100" t="s">
        <v>2284</v>
      </c>
      <c r="E4100" t="s">
        <v>3296</v>
      </c>
      <c r="F4100" s="452">
        <v>46001</v>
      </c>
      <c r="G4100">
        <v>19264</v>
      </c>
      <c r="H4100" t="s">
        <v>4082</v>
      </c>
      <c r="I4100" t="s">
        <v>3469</v>
      </c>
      <c r="J4100">
        <v>1</v>
      </c>
      <c r="K4100" t="s">
        <v>3888</v>
      </c>
      <c r="L4100">
        <v>64.989999999999995</v>
      </c>
      <c r="M4100">
        <v>64.989999999999995</v>
      </c>
      <c r="N4100" t="s">
        <v>4240</v>
      </c>
      <c r="O4100" t="s">
        <v>460</v>
      </c>
    </row>
    <row r="4101" spans="1:15" x14ac:dyDescent="0.3">
      <c r="A4101">
        <v>186328</v>
      </c>
      <c r="B4101">
        <v>116</v>
      </c>
      <c r="C4101" t="s">
        <v>568</v>
      </c>
      <c r="D4101" t="s">
        <v>2273</v>
      </c>
      <c r="E4101" t="s">
        <v>3297</v>
      </c>
      <c r="F4101" s="452">
        <v>46003</v>
      </c>
      <c r="G4101">
        <v>24083</v>
      </c>
      <c r="H4101" t="s">
        <v>3898</v>
      </c>
      <c r="I4101" t="s">
        <v>3469</v>
      </c>
      <c r="J4101">
        <v>25</v>
      </c>
      <c r="K4101" t="s">
        <v>3892</v>
      </c>
      <c r="L4101">
        <v>98</v>
      </c>
      <c r="M4101">
        <v>3.92</v>
      </c>
      <c r="N4101" t="s">
        <v>3469</v>
      </c>
      <c r="O4101" t="s">
        <v>460</v>
      </c>
    </row>
    <row r="4102" spans="1:15" x14ac:dyDescent="0.3">
      <c r="A4102">
        <v>186328</v>
      </c>
      <c r="B4102">
        <v>116</v>
      </c>
      <c r="C4102" t="s">
        <v>568</v>
      </c>
      <c r="D4102" t="s">
        <v>2273</v>
      </c>
      <c r="E4102" t="s">
        <v>3297</v>
      </c>
      <c r="F4102" s="452">
        <v>46003</v>
      </c>
      <c r="G4102">
        <v>19572</v>
      </c>
      <c r="H4102" t="s">
        <v>4023</v>
      </c>
      <c r="I4102" t="s">
        <v>3469</v>
      </c>
      <c r="J4102">
        <v>1</v>
      </c>
      <c r="K4102" t="s">
        <v>3892</v>
      </c>
      <c r="L4102">
        <v>17.399999999999999</v>
      </c>
      <c r="M4102">
        <v>17.399999999999999</v>
      </c>
      <c r="N4102" t="s">
        <v>3469</v>
      </c>
      <c r="O4102" t="s">
        <v>460</v>
      </c>
    </row>
    <row r="4103" spans="1:15" x14ac:dyDescent="0.3">
      <c r="A4103">
        <v>186328</v>
      </c>
      <c r="B4103">
        <v>116</v>
      </c>
      <c r="C4103" t="s">
        <v>568</v>
      </c>
      <c r="D4103" t="s">
        <v>2273</v>
      </c>
      <c r="E4103" t="s">
        <v>3297</v>
      </c>
      <c r="F4103" s="452">
        <v>46003</v>
      </c>
      <c r="G4103">
        <v>24598</v>
      </c>
      <c r="H4103" t="s">
        <v>4166</v>
      </c>
      <c r="I4103" t="s">
        <v>3469</v>
      </c>
      <c r="J4103">
        <v>1.3</v>
      </c>
      <c r="K4103" t="s">
        <v>3892</v>
      </c>
      <c r="L4103">
        <v>10.36</v>
      </c>
      <c r="M4103">
        <v>7.9692309999999997</v>
      </c>
      <c r="N4103" t="s">
        <v>3469</v>
      </c>
      <c r="O4103" t="s">
        <v>460</v>
      </c>
    </row>
    <row r="4104" spans="1:15" x14ac:dyDescent="0.3">
      <c r="A4104">
        <v>186328</v>
      </c>
      <c r="B4104">
        <v>116</v>
      </c>
      <c r="C4104" t="s">
        <v>568</v>
      </c>
      <c r="D4104" t="s">
        <v>2273</v>
      </c>
      <c r="E4104" t="s">
        <v>3297</v>
      </c>
      <c r="F4104" s="452">
        <v>46003</v>
      </c>
      <c r="G4104">
        <v>23198</v>
      </c>
      <c r="H4104" t="s">
        <v>4167</v>
      </c>
      <c r="I4104" t="s">
        <v>3469</v>
      </c>
      <c r="J4104">
        <v>1</v>
      </c>
      <c r="K4104" t="s">
        <v>3892</v>
      </c>
      <c r="L4104">
        <v>14.5</v>
      </c>
      <c r="M4104">
        <v>14.5</v>
      </c>
      <c r="N4104" t="s">
        <v>3469</v>
      </c>
      <c r="O4104" t="s">
        <v>460</v>
      </c>
    </row>
    <row r="4105" spans="1:15" x14ac:dyDescent="0.3">
      <c r="A4105">
        <v>186328</v>
      </c>
      <c r="B4105">
        <v>116</v>
      </c>
      <c r="C4105" t="s">
        <v>568</v>
      </c>
      <c r="D4105" t="s">
        <v>2273</v>
      </c>
      <c r="E4105" t="s">
        <v>3297</v>
      </c>
      <c r="F4105" s="452">
        <v>46003</v>
      </c>
      <c r="G4105">
        <v>23120</v>
      </c>
      <c r="H4105" t="s">
        <v>4111</v>
      </c>
      <c r="I4105" t="s">
        <v>3469</v>
      </c>
      <c r="J4105">
        <v>0.33</v>
      </c>
      <c r="K4105" t="s">
        <v>3892</v>
      </c>
      <c r="L4105">
        <v>24.4</v>
      </c>
      <c r="M4105">
        <v>73.939393999999993</v>
      </c>
      <c r="N4105" t="s">
        <v>3469</v>
      </c>
      <c r="O4105" t="s">
        <v>460</v>
      </c>
    </row>
    <row r="4106" spans="1:15" x14ac:dyDescent="0.3">
      <c r="A4106">
        <v>186328</v>
      </c>
      <c r="B4106">
        <v>116</v>
      </c>
      <c r="C4106" t="s">
        <v>568</v>
      </c>
      <c r="D4106" t="s">
        <v>2273</v>
      </c>
      <c r="E4106" t="s">
        <v>3297</v>
      </c>
      <c r="F4106" s="452">
        <v>46003</v>
      </c>
      <c r="G4106">
        <v>23389</v>
      </c>
      <c r="H4106" t="s">
        <v>4016</v>
      </c>
      <c r="I4106" t="s">
        <v>3469</v>
      </c>
      <c r="J4106">
        <v>6.5</v>
      </c>
      <c r="K4106" t="s">
        <v>3892</v>
      </c>
      <c r="L4106">
        <v>33.729999999999997</v>
      </c>
      <c r="M4106">
        <v>5.1892310000000004</v>
      </c>
      <c r="N4106" t="s">
        <v>3469</v>
      </c>
      <c r="O4106" t="s">
        <v>460</v>
      </c>
    </row>
    <row r="4107" spans="1:15" x14ac:dyDescent="0.3">
      <c r="A4107">
        <v>186327</v>
      </c>
      <c r="B4107">
        <v>116</v>
      </c>
      <c r="C4107" t="s">
        <v>568</v>
      </c>
      <c r="D4107" t="s">
        <v>2273</v>
      </c>
      <c r="E4107" t="s">
        <v>3298</v>
      </c>
      <c r="F4107" s="452">
        <v>45999</v>
      </c>
      <c r="G4107">
        <v>24083</v>
      </c>
      <c r="H4107" t="s">
        <v>3898</v>
      </c>
      <c r="I4107" t="s">
        <v>3469</v>
      </c>
      <c r="J4107">
        <v>15</v>
      </c>
      <c r="K4107" t="s">
        <v>3892</v>
      </c>
      <c r="L4107">
        <v>54.45</v>
      </c>
      <c r="M4107">
        <v>3.63</v>
      </c>
      <c r="N4107" t="s">
        <v>4240</v>
      </c>
      <c r="O4107" t="s">
        <v>460</v>
      </c>
    </row>
    <row r="4108" spans="1:15" x14ac:dyDescent="0.3">
      <c r="A4108">
        <v>186327</v>
      </c>
      <c r="B4108">
        <v>116</v>
      </c>
      <c r="C4108" t="s">
        <v>568</v>
      </c>
      <c r="D4108" t="s">
        <v>2273</v>
      </c>
      <c r="E4108" t="s">
        <v>3298</v>
      </c>
      <c r="F4108" s="452">
        <v>45999</v>
      </c>
      <c r="G4108">
        <v>19742</v>
      </c>
      <c r="H4108" t="s">
        <v>4074</v>
      </c>
      <c r="I4108" t="s">
        <v>3469</v>
      </c>
      <c r="J4108">
        <v>1.1000000000000001</v>
      </c>
      <c r="K4108" t="s">
        <v>3892</v>
      </c>
      <c r="L4108">
        <v>9.11</v>
      </c>
      <c r="M4108">
        <v>8.2818179999999995</v>
      </c>
      <c r="N4108" t="s">
        <v>4240</v>
      </c>
      <c r="O4108" t="s">
        <v>460</v>
      </c>
    </row>
    <row r="4109" spans="1:15" x14ac:dyDescent="0.3">
      <c r="A4109">
        <v>186327</v>
      </c>
      <c r="B4109">
        <v>116</v>
      </c>
      <c r="C4109" t="s">
        <v>568</v>
      </c>
      <c r="D4109" t="s">
        <v>2273</v>
      </c>
      <c r="E4109" t="s">
        <v>3298</v>
      </c>
      <c r="F4109" s="452">
        <v>45999</v>
      </c>
      <c r="G4109">
        <v>19558</v>
      </c>
      <c r="H4109" t="s">
        <v>4183</v>
      </c>
      <c r="I4109" t="s">
        <v>3469</v>
      </c>
      <c r="J4109">
        <v>1.1000000000000001</v>
      </c>
      <c r="K4109" t="s">
        <v>3892</v>
      </c>
      <c r="L4109">
        <v>18.579999999999998</v>
      </c>
      <c r="M4109">
        <v>16.890909000000001</v>
      </c>
      <c r="N4109" t="s">
        <v>4240</v>
      </c>
      <c r="O4109" t="s">
        <v>460</v>
      </c>
    </row>
    <row r="4110" spans="1:15" x14ac:dyDescent="0.3">
      <c r="A4110">
        <v>186327</v>
      </c>
      <c r="B4110">
        <v>116</v>
      </c>
      <c r="C4110" t="s">
        <v>568</v>
      </c>
      <c r="D4110" t="s">
        <v>2273</v>
      </c>
      <c r="E4110" t="s">
        <v>3298</v>
      </c>
      <c r="F4110" s="452">
        <v>45999</v>
      </c>
      <c r="G4110">
        <v>19458</v>
      </c>
      <c r="H4110" t="s">
        <v>4212</v>
      </c>
      <c r="I4110" t="s">
        <v>3469</v>
      </c>
      <c r="J4110">
        <v>1.1000000000000001</v>
      </c>
      <c r="K4110" t="s">
        <v>3892</v>
      </c>
      <c r="L4110">
        <v>10.77</v>
      </c>
      <c r="M4110">
        <v>9.7909089999999992</v>
      </c>
      <c r="N4110" t="s">
        <v>4240</v>
      </c>
      <c r="O4110" t="s">
        <v>460</v>
      </c>
    </row>
    <row r="4111" spans="1:15" x14ac:dyDescent="0.3">
      <c r="A4111">
        <v>186327</v>
      </c>
      <c r="B4111">
        <v>116</v>
      </c>
      <c r="C4111" t="s">
        <v>568</v>
      </c>
      <c r="D4111" t="s">
        <v>2273</v>
      </c>
      <c r="E4111" t="s">
        <v>3298</v>
      </c>
      <c r="F4111" s="452">
        <v>45999</v>
      </c>
      <c r="G4111">
        <v>23120</v>
      </c>
      <c r="H4111" t="s">
        <v>4111</v>
      </c>
      <c r="I4111" t="s">
        <v>3469</v>
      </c>
      <c r="J4111">
        <v>0.2</v>
      </c>
      <c r="K4111" t="s">
        <v>3892</v>
      </c>
      <c r="L4111">
        <v>14.79</v>
      </c>
      <c r="M4111">
        <v>73.95</v>
      </c>
      <c r="N4111" t="s">
        <v>4240</v>
      </c>
      <c r="O4111" t="s">
        <v>460</v>
      </c>
    </row>
    <row r="4112" spans="1:15" x14ac:dyDescent="0.3">
      <c r="A4112">
        <v>186327</v>
      </c>
      <c r="B4112">
        <v>116</v>
      </c>
      <c r="C4112" t="s">
        <v>568</v>
      </c>
      <c r="D4112" t="s">
        <v>2273</v>
      </c>
      <c r="E4112" t="s">
        <v>3298</v>
      </c>
      <c r="F4112" s="452">
        <v>45999</v>
      </c>
      <c r="G4112">
        <v>23389</v>
      </c>
      <c r="H4112" t="s">
        <v>4016</v>
      </c>
      <c r="I4112" t="s">
        <v>3469</v>
      </c>
      <c r="J4112">
        <v>5</v>
      </c>
      <c r="K4112" t="s">
        <v>3892</v>
      </c>
      <c r="L4112">
        <v>30.1</v>
      </c>
      <c r="M4112">
        <v>6.02</v>
      </c>
      <c r="N4112" t="s">
        <v>4240</v>
      </c>
      <c r="O4112" t="s">
        <v>460</v>
      </c>
    </row>
    <row r="4113" spans="1:15" x14ac:dyDescent="0.3">
      <c r="A4113">
        <v>186326</v>
      </c>
      <c r="B4113">
        <v>116</v>
      </c>
      <c r="C4113" t="s">
        <v>568</v>
      </c>
      <c r="D4113" t="s">
        <v>2275</v>
      </c>
      <c r="E4113" t="s">
        <v>3299</v>
      </c>
      <c r="F4113" s="452">
        <v>45995</v>
      </c>
      <c r="G4113">
        <v>17958</v>
      </c>
      <c r="H4113" t="s">
        <v>4141</v>
      </c>
      <c r="I4113" t="s">
        <v>3497</v>
      </c>
      <c r="J4113">
        <v>20</v>
      </c>
      <c r="K4113" t="s">
        <v>3888</v>
      </c>
      <c r="L4113">
        <v>318</v>
      </c>
      <c r="M4113">
        <v>15.9</v>
      </c>
      <c r="N4113" t="s">
        <v>3497</v>
      </c>
      <c r="O4113" t="s">
        <v>460</v>
      </c>
    </row>
    <row r="4114" spans="1:15" x14ac:dyDescent="0.3">
      <c r="A4114">
        <v>186326</v>
      </c>
      <c r="B4114">
        <v>116</v>
      </c>
      <c r="C4114" t="s">
        <v>568</v>
      </c>
      <c r="D4114" t="s">
        <v>2275</v>
      </c>
      <c r="E4114" t="s">
        <v>3299</v>
      </c>
      <c r="F4114" s="452">
        <v>45995</v>
      </c>
      <c r="G4114">
        <v>17950</v>
      </c>
      <c r="H4114" t="s">
        <v>4170</v>
      </c>
      <c r="I4114" t="s">
        <v>3497</v>
      </c>
      <c r="J4114">
        <v>5</v>
      </c>
      <c r="K4114" t="s">
        <v>3888</v>
      </c>
      <c r="L4114">
        <v>85.5</v>
      </c>
      <c r="M4114">
        <v>17.100000000000001</v>
      </c>
      <c r="N4114" t="s">
        <v>3497</v>
      </c>
      <c r="O4114" t="s">
        <v>460</v>
      </c>
    </row>
    <row r="4115" spans="1:15" x14ac:dyDescent="0.3">
      <c r="A4115">
        <v>186325</v>
      </c>
      <c r="B4115">
        <v>116</v>
      </c>
      <c r="C4115" t="s">
        <v>568</v>
      </c>
      <c r="D4115" t="s">
        <v>2277</v>
      </c>
      <c r="E4115" t="s">
        <v>3300</v>
      </c>
      <c r="F4115" s="452">
        <v>46001</v>
      </c>
      <c r="G4115">
        <v>20661</v>
      </c>
      <c r="H4115" t="s">
        <v>3919</v>
      </c>
      <c r="I4115" t="s">
        <v>3469</v>
      </c>
      <c r="J4115">
        <v>8</v>
      </c>
      <c r="K4115" t="s">
        <v>3872</v>
      </c>
      <c r="L4115">
        <v>69.92</v>
      </c>
      <c r="M4115">
        <v>8.74</v>
      </c>
      <c r="N4115" t="s">
        <v>4240</v>
      </c>
      <c r="O4115" t="s">
        <v>460</v>
      </c>
    </row>
    <row r="4116" spans="1:15" x14ac:dyDescent="0.3">
      <c r="A4116">
        <v>186325</v>
      </c>
      <c r="B4116">
        <v>116</v>
      </c>
      <c r="C4116" t="s">
        <v>568</v>
      </c>
      <c r="D4116" t="s">
        <v>2277</v>
      </c>
      <c r="E4116" t="s">
        <v>3300</v>
      </c>
      <c r="F4116" s="452">
        <v>46001</v>
      </c>
      <c r="G4116">
        <v>20729</v>
      </c>
      <c r="H4116" t="s">
        <v>3965</v>
      </c>
      <c r="I4116" t="s">
        <v>3469</v>
      </c>
      <c r="J4116">
        <v>2</v>
      </c>
      <c r="K4116" t="s">
        <v>3966</v>
      </c>
      <c r="L4116">
        <v>128.19999999999999</v>
      </c>
      <c r="M4116">
        <v>64.099999999999994</v>
      </c>
      <c r="N4116" t="s">
        <v>4240</v>
      </c>
      <c r="O4116" t="s">
        <v>460</v>
      </c>
    </row>
    <row r="4117" spans="1:15" x14ac:dyDescent="0.3">
      <c r="A4117">
        <v>186325</v>
      </c>
      <c r="B4117">
        <v>116</v>
      </c>
      <c r="C4117" t="s">
        <v>568</v>
      </c>
      <c r="D4117" t="s">
        <v>2277</v>
      </c>
      <c r="E4117" t="s">
        <v>3300</v>
      </c>
      <c r="F4117" s="452">
        <v>46001</v>
      </c>
      <c r="G4117">
        <v>21093</v>
      </c>
      <c r="H4117" t="s">
        <v>3903</v>
      </c>
      <c r="I4117" t="s">
        <v>3469</v>
      </c>
      <c r="J4117">
        <v>10</v>
      </c>
      <c r="K4117" t="s">
        <v>3872</v>
      </c>
      <c r="L4117">
        <v>47.6</v>
      </c>
      <c r="M4117">
        <v>4.76</v>
      </c>
      <c r="N4117" t="s">
        <v>4240</v>
      </c>
      <c r="O4117" t="s">
        <v>460</v>
      </c>
    </row>
    <row r="4118" spans="1:15" x14ac:dyDescent="0.3">
      <c r="A4118">
        <v>186325</v>
      </c>
      <c r="B4118">
        <v>116</v>
      </c>
      <c r="C4118" t="s">
        <v>568</v>
      </c>
      <c r="D4118" t="s">
        <v>2277</v>
      </c>
      <c r="E4118" t="s">
        <v>3300</v>
      </c>
      <c r="F4118" s="452">
        <v>46001</v>
      </c>
      <c r="G4118">
        <v>20287</v>
      </c>
      <c r="H4118" t="s">
        <v>4053</v>
      </c>
      <c r="I4118" t="s">
        <v>3469</v>
      </c>
      <c r="J4118">
        <v>1</v>
      </c>
      <c r="K4118" t="s">
        <v>4197</v>
      </c>
      <c r="L4118">
        <v>24.85</v>
      </c>
      <c r="M4118">
        <v>24.85</v>
      </c>
      <c r="N4118" t="s">
        <v>4240</v>
      </c>
      <c r="O4118" t="s">
        <v>460</v>
      </c>
    </row>
    <row r="4119" spans="1:15" x14ac:dyDescent="0.3">
      <c r="A4119">
        <v>186325</v>
      </c>
      <c r="B4119">
        <v>116</v>
      </c>
      <c r="C4119" t="s">
        <v>568</v>
      </c>
      <c r="D4119" t="s">
        <v>2277</v>
      </c>
      <c r="E4119" t="s">
        <v>3300</v>
      </c>
      <c r="F4119" s="452">
        <v>46001</v>
      </c>
      <c r="G4119">
        <v>20304</v>
      </c>
      <c r="H4119" t="s">
        <v>3938</v>
      </c>
      <c r="I4119" t="s">
        <v>3469</v>
      </c>
      <c r="J4119">
        <v>6</v>
      </c>
      <c r="K4119" t="s">
        <v>3888</v>
      </c>
      <c r="L4119">
        <v>207.72</v>
      </c>
      <c r="M4119">
        <v>34.619999999999997</v>
      </c>
      <c r="N4119" t="s">
        <v>4240</v>
      </c>
      <c r="O4119" t="s">
        <v>460</v>
      </c>
    </row>
    <row r="4120" spans="1:15" x14ac:dyDescent="0.3">
      <c r="A4120">
        <v>186325</v>
      </c>
      <c r="B4120">
        <v>116</v>
      </c>
      <c r="C4120" t="s">
        <v>568</v>
      </c>
      <c r="D4120" t="s">
        <v>2277</v>
      </c>
      <c r="E4120" t="s">
        <v>3300</v>
      </c>
      <c r="F4120" s="452">
        <v>46001</v>
      </c>
      <c r="G4120">
        <v>21024</v>
      </c>
      <c r="H4120" t="s">
        <v>4180</v>
      </c>
      <c r="I4120" t="s">
        <v>3469</v>
      </c>
      <c r="J4120">
        <v>2</v>
      </c>
      <c r="K4120" t="s">
        <v>3966</v>
      </c>
      <c r="L4120">
        <v>353</v>
      </c>
      <c r="M4120">
        <v>176.5</v>
      </c>
      <c r="N4120" t="s">
        <v>4240</v>
      </c>
      <c r="O4120" t="s">
        <v>460</v>
      </c>
    </row>
    <row r="4121" spans="1:15" x14ac:dyDescent="0.3">
      <c r="A4121">
        <v>186325</v>
      </c>
      <c r="B4121">
        <v>116</v>
      </c>
      <c r="C4121" t="s">
        <v>568</v>
      </c>
      <c r="D4121" t="s">
        <v>2277</v>
      </c>
      <c r="E4121" t="s">
        <v>3300</v>
      </c>
      <c r="F4121" s="452">
        <v>46001</v>
      </c>
      <c r="G4121">
        <v>19297</v>
      </c>
      <c r="H4121" t="s">
        <v>3949</v>
      </c>
      <c r="I4121" t="s">
        <v>3469</v>
      </c>
      <c r="J4121">
        <v>7.5</v>
      </c>
      <c r="K4121" t="s">
        <v>3892</v>
      </c>
      <c r="L4121">
        <v>551.92999999999995</v>
      </c>
      <c r="M4121">
        <v>73.590666999999996</v>
      </c>
      <c r="N4121" t="s">
        <v>4240</v>
      </c>
      <c r="O4121" t="s">
        <v>460</v>
      </c>
    </row>
    <row r="4122" spans="1:15" x14ac:dyDescent="0.3">
      <c r="A4122">
        <v>186325</v>
      </c>
      <c r="B4122">
        <v>116</v>
      </c>
      <c r="C4122" t="s">
        <v>568</v>
      </c>
      <c r="D4122" t="s">
        <v>2277</v>
      </c>
      <c r="E4122" t="s">
        <v>3300</v>
      </c>
      <c r="F4122" s="452">
        <v>46001</v>
      </c>
      <c r="G4122">
        <v>19421</v>
      </c>
      <c r="H4122" t="s">
        <v>4275</v>
      </c>
      <c r="I4122" t="s">
        <v>3469</v>
      </c>
      <c r="J4122">
        <v>1</v>
      </c>
      <c r="K4122" t="s">
        <v>3881</v>
      </c>
      <c r="L4122">
        <v>57.68</v>
      </c>
      <c r="M4122">
        <v>57.68</v>
      </c>
      <c r="N4122" t="s">
        <v>4240</v>
      </c>
      <c r="O4122" t="s">
        <v>460</v>
      </c>
    </row>
    <row r="4123" spans="1:15" x14ac:dyDescent="0.3">
      <c r="A4123">
        <v>186325</v>
      </c>
      <c r="B4123">
        <v>116</v>
      </c>
      <c r="C4123" t="s">
        <v>568</v>
      </c>
      <c r="D4123" t="s">
        <v>2277</v>
      </c>
      <c r="E4123" t="s">
        <v>3300</v>
      </c>
      <c r="F4123" s="452">
        <v>46001</v>
      </c>
      <c r="G4123">
        <v>24401</v>
      </c>
      <c r="H4123" t="s">
        <v>4063</v>
      </c>
      <c r="I4123" t="s">
        <v>3469</v>
      </c>
      <c r="J4123">
        <v>1</v>
      </c>
      <c r="K4123" t="s">
        <v>3892</v>
      </c>
      <c r="L4123">
        <v>14</v>
      </c>
      <c r="M4123">
        <v>14</v>
      </c>
      <c r="N4123" t="s">
        <v>4240</v>
      </c>
      <c r="O4123" t="s">
        <v>460</v>
      </c>
    </row>
    <row r="4124" spans="1:15" x14ac:dyDescent="0.3">
      <c r="A4124">
        <v>186325</v>
      </c>
      <c r="B4124">
        <v>116</v>
      </c>
      <c r="C4124" t="s">
        <v>568</v>
      </c>
      <c r="D4124" t="s">
        <v>2277</v>
      </c>
      <c r="E4124" t="s">
        <v>3300</v>
      </c>
      <c r="F4124" s="452">
        <v>46001</v>
      </c>
      <c r="G4124">
        <v>24185</v>
      </c>
      <c r="H4124" t="s">
        <v>4040</v>
      </c>
      <c r="I4124" t="s">
        <v>3469</v>
      </c>
      <c r="J4124">
        <v>2</v>
      </c>
      <c r="K4124" t="s">
        <v>3892</v>
      </c>
      <c r="L4124">
        <v>46.2</v>
      </c>
      <c r="M4124">
        <v>23.1</v>
      </c>
      <c r="N4124" t="s">
        <v>4240</v>
      </c>
      <c r="O4124" t="s">
        <v>460</v>
      </c>
    </row>
    <row r="4125" spans="1:15" x14ac:dyDescent="0.3">
      <c r="A4125">
        <v>186325</v>
      </c>
      <c r="B4125">
        <v>116</v>
      </c>
      <c r="C4125" t="s">
        <v>568</v>
      </c>
      <c r="D4125" t="s">
        <v>2277</v>
      </c>
      <c r="E4125" t="s">
        <v>3300</v>
      </c>
      <c r="F4125" s="452">
        <v>46001</v>
      </c>
      <c r="G4125">
        <v>24331</v>
      </c>
      <c r="H4125" t="s">
        <v>3960</v>
      </c>
      <c r="I4125" t="s">
        <v>3469</v>
      </c>
      <c r="J4125">
        <v>5</v>
      </c>
      <c r="K4125" t="s">
        <v>3892</v>
      </c>
      <c r="L4125">
        <v>118.5</v>
      </c>
      <c r="M4125">
        <v>23.7</v>
      </c>
      <c r="N4125" t="s">
        <v>4240</v>
      </c>
      <c r="O4125" t="s">
        <v>460</v>
      </c>
    </row>
    <row r="4126" spans="1:15" x14ac:dyDescent="0.3">
      <c r="A4126">
        <v>186324</v>
      </c>
      <c r="B4126">
        <v>116</v>
      </c>
      <c r="C4126" t="s">
        <v>568</v>
      </c>
      <c r="D4126" t="s">
        <v>2429</v>
      </c>
      <c r="E4126" t="s">
        <v>3301</v>
      </c>
      <c r="F4126" s="452">
        <v>46008</v>
      </c>
      <c r="G4126">
        <v>19139</v>
      </c>
      <c r="H4126" t="s">
        <v>3887</v>
      </c>
      <c r="I4126" t="s">
        <v>3469</v>
      </c>
      <c r="J4126">
        <v>30</v>
      </c>
      <c r="K4126" t="s">
        <v>3888</v>
      </c>
      <c r="L4126">
        <v>273</v>
      </c>
      <c r="M4126">
        <v>9.1</v>
      </c>
      <c r="N4126" t="s">
        <v>4240</v>
      </c>
      <c r="O4126" t="s">
        <v>460</v>
      </c>
    </row>
    <row r="4127" spans="1:15" x14ac:dyDescent="0.3">
      <c r="A4127">
        <v>186324</v>
      </c>
      <c r="B4127">
        <v>116</v>
      </c>
      <c r="C4127" t="s">
        <v>568</v>
      </c>
      <c r="D4127" t="s">
        <v>2429</v>
      </c>
      <c r="E4127" t="s">
        <v>3301</v>
      </c>
      <c r="F4127" s="452">
        <v>46008</v>
      </c>
      <c r="G4127">
        <v>20685</v>
      </c>
      <c r="H4127" t="s">
        <v>4122</v>
      </c>
      <c r="I4127" t="s">
        <v>3469</v>
      </c>
      <c r="J4127">
        <v>6</v>
      </c>
      <c r="K4127" t="s">
        <v>3872</v>
      </c>
      <c r="L4127">
        <v>18.600000000000001</v>
      </c>
      <c r="M4127">
        <v>3.1</v>
      </c>
      <c r="N4127" t="s">
        <v>4240</v>
      </c>
      <c r="O4127" t="s">
        <v>460</v>
      </c>
    </row>
    <row r="4128" spans="1:15" x14ac:dyDescent="0.3">
      <c r="A4128">
        <v>186324</v>
      </c>
      <c r="B4128">
        <v>116</v>
      </c>
      <c r="C4128" t="s">
        <v>568</v>
      </c>
      <c r="D4128" t="s">
        <v>2429</v>
      </c>
      <c r="E4128" t="s">
        <v>3301</v>
      </c>
      <c r="F4128" s="452">
        <v>46008</v>
      </c>
      <c r="G4128">
        <v>19902</v>
      </c>
      <c r="H4128" t="s">
        <v>3909</v>
      </c>
      <c r="I4128" t="s">
        <v>3469</v>
      </c>
      <c r="J4128">
        <v>1</v>
      </c>
      <c r="K4128" t="s">
        <v>3881</v>
      </c>
      <c r="L4128">
        <v>23.9</v>
      </c>
      <c r="M4128">
        <v>23.9</v>
      </c>
      <c r="N4128" t="s">
        <v>4240</v>
      </c>
      <c r="O4128" t="s">
        <v>460</v>
      </c>
    </row>
    <row r="4129" spans="1:15" x14ac:dyDescent="0.3">
      <c r="A4129">
        <v>186324</v>
      </c>
      <c r="B4129">
        <v>116</v>
      </c>
      <c r="C4129" t="s">
        <v>568</v>
      </c>
      <c r="D4129" t="s">
        <v>2429</v>
      </c>
      <c r="E4129" t="s">
        <v>3301</v>
      </c>
      <c r="F4129" s="452">
        <v>46008</v>
      </c>
      <c r="G4129">
        <v>19906</v>
      </c>
      <c r="H4129" t="s">
        <v>4171</v>
      </c>
      <c r="I4129" t="s">
        <v>3469</v>
      </c>
      <c r="J4129">
        <v>1</v>
      </c>
      <c r="K4129" t="s">
        <v>3888</v>
      </c>
      <c r="L4129">
        <v>26</v>
      </c>
      <c r="M4129">
        <v>26</v>
      </c>
      <c r="N4129" t="s">
        <v>4240</v>
      </c>
      <c r="O4129" t="s">
        <v>460</v>
      </c>
    </row>
    <row r="4130" spans="1:15" x14ac:dyDescent="0.3">
      <c r="A4130">
        <v>186323</v>
      </c>
      <c r="B4130">
        <v>116</v>
      </c>
      <c r="C4130" t="s">
        <v>568</v>
      </c>
      <c r="D4130" t="s">
        <v>2410</v>
      </c>
      <c r="E4130" t="s">
        <v>3302</v>
      </c>
      <c r="F4130" s="452">
        <v>46000</v>
      </c>
      <c r="G4130">
        <v>18493</v>
      </c>
      <c r="H4130" t="s">
        <v>3958</v>
      </c>
      <c r="I4130" t="s">
        <v>3497</v>
      </c>
      <c r="J4130">
        <v>4</v>
      </c>
      <c r="K4130" t="s">
        <v>3878</v>
      </c>
      <c r="L4130">
        <v>279.60000000000002</v>
      </c>
      <c r="M4130">
        <v>69.900000000000006</v>
      </c>
      <c r="N4130" t="s">
        <v>3497</v>
      </c>
      <c r="O4130" t="s">
        <v>460</v>
      </c>
    </row>
    <row r="4131" spans="1:15" x14ac:dyDescent="0.3">
      <c r="A4131">
        <v>186323</v>
      </c>
      <c r="B4131">
        <v>116</v>
      </c>
      <c r="C4131" t="s">
        <v>568</v>
      </c>
      <c r="D4131" t="s">
        <v>2410</v>
      </c>
      <c r="E4131" t="s">
        <v>3302</v>
      </c>
      <c r="F4131" s="452">
        <v>46000</v>
      </c>
      <c r="G4131">
        <v>18475</v>
      </c>
      <c r="H4131" t="s">
        <v>3918</v>
      </c>
      <c r="I4131" t="s">
        <v>3497</v>
      </c>
      <c r="J4131">
        <v>12</v>
      </c>
      <c r="K4131" t="s">
        <v>3878</v>
      </c>
      <c r="L4131">
        <v>394.8</v>
      </c>
      <c r="M4131">
        <v>32.9</v>
      </c>
      <c r="N4131" t="s">
        <v>3497</v>
      </c>
      <c r="O4131" t="s">
        <v>460</v>
      </c>
    </row>
    <row r="4132" spans="1:15" x14ac:dyDescent="0.3">
      <c r="A4132">
        <v>186322</v>
      </c>
      <c r="B4132">
        <v>116</v>
      </c>
      <c r="C4132" t="s">
        <v>568</v>
      </c>
      <c r="D4132" t="s">
        <v>2308</v>
      </c>
      <c r="E4132" t="s">
        <v>3303</v>
      </c>
      <c r="F4132" s="452">
        <v>46001</v>
      </c>
      <c r="G4132">
        <v>18996</v>
      </c>
      <c r="H4132" t="s">
        <v>3946</v>
      </c>
      <c r="I4132" t="s">
        <v>3469</v>
      </c>
      <c r="J4132">
        <v>10.8</v>
      </c>
      <c r="K4132" t="s">
        <v>3892</v>
      </c>
      <c r="L4132">
        <v>199.8</v>
      </c>
      <c r="M4132">
        <v>18.5</v>
      </c>
      <c r="N4132" t="s">
        <v>4240</v>
      </c>
      <c r="O4132" t="s">
        <v>460</v>
      </c>
    </row>
    <row r="4133" spans="1:15" x14ac:dyDescent="0.3">
      <c r="A4133">
        <v>186322</v>
      </c>
      <c r="B4133">
        <v>116</v>
      </c>
      <c r="C4133" t="s">
        <v>568</v>
      </c>
      <c r="D4133" t="s">
        <v>2308</v>
      </c>
      <c r="E4133" t="s">
        <v>3303</v>
      </c>
      <c r="F4133" s="452">
        <v>46001</v>
      </c>
      <c r="G4133">
        <v>27312</v>
      </c>
      <c r="H4133" t="s">
        <v>3927</v>
      </c>
      <c r="I4133" t="s">
        <v>3469</v>
      </c>
      <c r="J4133">
        <v>15.7</v>
      </c>
      <c r="K4133" t="s">
        <v>3892</v>
      </c>
      <c r="L4133">
        <v>766.16</v>
      </c>
      <c r="M4133">
        <v>48.8</v>
      </c>
      <c r="N4133" t="s">
        <v>4240</v>
      </c>
      <c r="O4133" t="s">
        <v>460</v>
      </c>
    </row>
    <row r="4134" spans="1:15" x14ac:dyDescent="0.3">
      <c r="A4134">
        <v>186321</v>
      </c>
      <c r="B4134">
        <v>116</v>
      </c>
      <c r="C4134" t="s">
        <v>568</v>
      </c>
      <c r="D4134" t="s">
        <v>2314</v>
      </c>
      <c r="E4134" t="s">
        <v>3304</v>
      </c>
      <c r="F4134" s="452">
        <v>46000</v>
      </c>
      <c r="G4134">
        <v>18636</v>
      </c>
      <c r="H4134" t="s">
        <v>3921</v>
      </c>
      <c r="I4134" t="s">
        <v>3497</v>
      </c>
      <c r="J4134">
        <v>6</v>
      </c>
      <c r="K4134" t="s">
        <v>3922</v>
      </c>
      <c r="L4134">
        <v>2896.8</v>
      </c>
      <c r="M4134">
        <v>482.8</v>
      </c>
      <c r="N4134" t="s">
        <v>3497</v>
      </c>
      <c r="O4134" t="s">
        <v>460</v>
      </c>
    </row>
    <row r="4135" spans="1:15" x14ac:dyDescent="0.3">
      <c r="A4135">
        <v>186321</v>
      </c>
      <c r="B4135">
        <v>116</v>
      </c>
      <c r="C4135" t="s">
        <v>568</v>
      </c>
      <c r="D4135" t="s">
        <v>2314</v>
      </c>
      <c r="E4135" t="s">
        <v>3304</v>
      </c>
      <c r="F4135" s="452">
        <v>46000</v>
      </c>
      <c r="G4135">
        <v>17905</v>
      </c>
      <c r="H4135" t="s">
        <v>4139</v>
      </c>
      <c r="I4135" t="s">
        <v>3497</v>
      </c>
      <c r="J4135">
        <v>5</v>
      </c>
      <c r="K4135" t="s">
        <v>3888</v>
      </c>
      <c r="L4135">
        <v>148.19999999999999</v>
      </c>
      <c r="M4135">
        <v>29.64</v>
      </c>
      <c r="N4135" t="s">
        <v>3497</v>
      </c>
      <c r="O4135" t="s">
        <v>460</v>
      </c>
    </row>
    <row r="4136" spans="1:15" x14ac:dyDescent="0.3">
      <c r="A4136">
        <v>186321</v>
      </c>
      <c r="B4136">
        <v>116</v>
      </c>
      <c r="C4136" t="s">
        <v>568</v>
      </c>
      <c r="D4136" t="s">
        <v>2314</v>
      </c>
      <c r="E4136" t="s">
        <v>3304</v>
      </c>
      <c r="F4136" s="452">
        <v>46000</v>
      </c>
      <c r="G4136">
        <v>17883</v>
      </c>
      <c r="H4136" t="s">
        <v>4136</v>
      </c>
      <c r="I4136" t="s">
        <v>3497</v>
      </c>
      <c r="J4136">
        <v>2</v>
      </c>
      <c r="K4136" t="s">
        <v>3888</v>
      </c>
      <c r="L4136">
        <v>56.64</v>
      </c>
      <c r="M4136">
        <v>28.32</v>
      </c>
      <c r="N4136" t="s">
        <v>3497</v>
      </c>
      <c r="O4136" t="s">
        <v>460</v>
      </c>
    </row>
    <row r="4137" spans="1:15" x14ac:dyDescent="0.3">
      <c r="A4137">
        <v>186321</v>
      </c>
      <c r="B4137">
        <v>116</v>
      </c>
      <c r="C4137" t="s">
        <v>568</v>
      </c>
      <c r="D4137" t="s">
        <v>2314</v>
      </c>
      <c r="E4137" t="s">
        <v>3304</v>
      </c>
      <c r="F4137" s="452">
        <v>46000</v>
      </c>
      <c r="G4137">
        <v>17895</v>
      </c>
      <c r="H4137" t="s">
        <v>4137</v>
      </c>
      <c r="I4137" t="s">
        <v>3497</v>
      </c>
      <c r="J4137">
        <v>5</v>
      </c>
      <c r="K4137" t="s">
        <v>3888</v>
      </c>
      <c r="L4137">
        <v>141.6</v>
      </c>
      <c r="M4137">
        <v>28.32</v>
      </c>
      <c r="N4137" t="s">
        <v>3497</v>
      </c>
      <c r="O4137" t="s">
        <v>460</v>
      </c>
    </row>
    <row r="4138" spans="1:15" x14ac:dyDescent="0.3">
      <c r="A4138">
        <v>186321</v>
      </c>
      <c r="B4138">
        <v>116</v>
      </c>
      <c r="C4138" t="s">
        <v>568</v>
      </c>
      <c r="D4138" t="s">
        <v>2314</v>
      </c>
      <c r="E4138" t="s">
        <v>3304</v>
      </c>
      <c r="F4138" s="452">
        <v>46000</v>
      </c>
      <c r="G4138">
        <v>18640</v>
      </c>
      <c r="H4138" t="s">
        <v>3994</v>
      </c>
      <c r="I4138" t="s">
        <v>3497</v>
      </c>
      <c r="J4138">
        <v>2</v>
      </c>
      <c r="K4138" t="s">
        <v>3922</v>
      </c>
      <c r="L4138">
        <v>612</v>
      </c>
      <c r="M4138">
        <v>306</v>
      </c>
      <c r="N4138" t="s">
        <v>3497</v>
      </c>
      <c r="O4138" t="s">
        <v>460</v>
      </c>
    </row>
    <row r="4139" spans="1:15" x14ac:dyDescent="0.3">
      <c r="A4139">
        <v>186321</v>
      </c>
      <c r="B4139">
        <v>116</v>
      </c>
      <c r="C4139" t="s">
        <v>568</v>
      </c>
      <c r="D4139" t="s">
        <v>2314</v>
      </c>
      <c r="E4139" t="s">
        <v>3304</v>
      </c>
      <c r="F4139" s="452">
        <v>46000</v>
      </c>
      <c r="G4139">
        <v>17886</v>
      </c>
      <c r="H4139" t="s">
        <v>3935</v>
      </c>
      <c r="I4139" t="s">
        <v>3497</v>
      </c>
      <c r="J4139">
        <v>6</v>
      </c>
      <c r="K4139" t="s">
        <v>3888</v>
      </c>
      <c r="L4139">
        <v>169.92</v>
      </c>
      <c r="M4139">
        <v>28.32</v>
      </c>
      <c r="N4139" t="s">
        <v>3497</v>
      </c>
      <c r="O4139" t="s">
        <v>460</v>
      </c>
    </row>
    <row r="4140" spans="1:15" x14ac:dyDescent="0.3">
      <c r="A4140">
        <v>186321</v>
      </c>
      <c r="B4140">
        <v>116</v>
      </c>
      <c r="C4140" t="s">
        <v>568</v>
      </c>
      <c r="D4140" t="s">
        <v>2314</v>
      </c>
      <c r="E4140" t="s">
        <v>3304</v>
      </c>
      <c r="F4140" s="452">
        <v>46000</v>
      </c>
      <c r="G4140">
        <v>17896</v>
      </c>
      <c r="H4140" t="s">
        <v>3972</v>
      </c>
      <c r="I4140" t="s">
        <v>3497</v>
      </c>
      <c r="J4140">
        <v>2</v>
      </c>
      <c r="K4140" t="s">
        <v>3888</v>
      </c>
      <c r="L4140">
        <v>80.58</v>
      </c>
      <c r="M4140">
        <v>40.29</v>
      </c>
      <c r="N4140" t="s">
        <v>3497</v>
      </c>
      <c r="O4140" t="s">
        <v>460</v>
      </c>
    </row>
    <row r="4141" spans="1:15" x14ac:dyDescent="0.3">
      <c r="A4141">
        <v>186321</v>
      </c>
      <c r="B4141">
        <v>116</v>
      </c>
      <c r="C4141" t="s">
        <v>568</v>
      </c>
      <c r="D4141" t="s">
        <v>2314</v>
      </c>
      <c r="E4141" t="s">
        <v>3304</v>
      </c>
      <c r="F4141" s="452">
        <v>46000</v>
      </c>
      <c r="G4141">
        <v>17903</v>
      </c>
      <c r="H4141" t="s">
        <v>3971</v>
      </c>
      <c r="I4141" t="s">
        <v>3497</v>
      </c>
      <c r="J4141">
        <v>6</v>
      </c>
      <c r="K4141" t="s">
        <v>3888</v>
      </c>
      <c r="L4141">
        <v>177.84</v>
      </c>
      <c r="M4141">
        <v>29.64</v>
      </c>
      <c r="N4141" t="s">
        <v>3497</v>
      </c>
      <c r="O4141" t="s">
        <v>460</v>
      </c>
    </row>
    <row r="4142" spans="1:15" x14ac:dyDescent="0.3">
      <c r="A4142">
        <v>186321</v>
      </c>
      <c r="B4142">
        <v>116</v>
      </c>
      <c r="C4142" t="s">
        <v>568</v>
      </c>
      <c r="D4142" t="s">
        <v>2314</v>
      </c>
      <c r="E4142" t="s">
        <v>3304</v>
      </c>
      <c r="F4142" s="452">
        <v>46000</v>
      </c>
      <c r="G4142">
        <v>17897</v>
      </c>
      <c r="H4142" t="s">
        <v>4094</v>
      </c>
      <c r="I4142" t="s">
        <v>3497</v>
      </c>
      <c r="J4142">
        <v>1</v>
      </c>
      <c r="K4142" t="s">
        <v>3888</v>
      </c>
      <c r="L4142">
        <v>40.29</v>
      </c>
      <c r="M4142">
        <v>40.29</v>
      </c>
      <c r="N4142" t="s">
        <v>3497</v>
      </c>
      <c r="O4142" t="s">
        <v>460</v>
      </c>
    </row>
    <row r="4143" spans="1:15" x14ac:dyDescent="0.3">
      <c r="A4143">
        <v>186320</v>
      </c>
      <c r="B4143">
        <v>116</v>
      </c>
      <c r="C4143" t="s">
        <v>568</v>
      </c>
      <c r="D4143" t="s">
        <v>2314</v>
      </c>
      <c r="E4143" t="s">
        <v>3305</v>
      </c>
      <c r="F4143" s="452">
        <v>45999</v>
      </c>
      <c r="G4143">
        <v>18636</v>
      </c>
      <c r="H4143" t="s">
        <v>3921</v>
      </c>
      <c r="I4143" t="s">
        <v>3497</v>
      </c>
      <c r="J4143">
        <v>8</v>
      </c>
      <c r="K4143" t="s">
        <v>3922</v>
      </c>
      <c r="L4143">
        <v>3862.4</v>
      </c>
      <c r="M4143">
        <v>482.8</v>
      </c>
      <c r="N4143" t="s">
        <v>3497</v>
      </c>
      <c r="O4143" t="s">
        <v>460</v>
      </c>
    </row>
    <row r="4144" spans="1:15" x14ac:dyDescent="0.3">
      <c r="A4144">
        <v>186320</v>
      </c>
      <c r="B4144">
        <v>116</v>
      </c>
      <c r="C4144" t="s">
        <v>568</v>
      </c>
      <c r="D4144" t="s">
        <v>2314</v>
      </c>
      <c r="E4144" t="s">
        <v>3305</v>
      </c>
      <c r="F4144" s="452">
        <v>45999</v>
      </c>
      <c r="G4144">
        <v>17905</v>
      </c>
      <c r="H4144" t="s">
        <v>4139</v>
      </c>
      <c r="I4144" t="s">
        <v>3497</v>
      </c>
      <c r="J4144">
        <v>5</v>
      </c>
      <c r="K4144" t="s">
        <v>3888</v>
      </c>
      <c r="L4144">
        <v>148.19999999999999</v>
      </c>
      <c r="M4144">
        <v>29.64</v>
      </c>
      <c r="N4144" t="s">
        <v>3497</v>
      </c>
      <c r="O4144" t="s">
        <v>460</v>
      </c>
    </row>
    <row r="4145" spans="1:15" x14ac:dyDescent="0.3">
      <c r="A4145">
        <v>186320</v>
      </c>
      <c r="B4145">
        <v>116</v>
      </c>
      <c r="C4145" t="s">
        <v>568</v>
      </c>
      <c r="D4145" t="s">
        <v>2314</v>
      </c>
      <c r="E4145" t="s">
        <v>3305</v>
      </c>
      <c r="F4145" s="452">
        <v>45999</v>
      </c>
      <c r="G4145">
        <v>17895</v>
      </c>
      <c r="H4145" t="s">
        <v>4137</v>
      </c>
      <c r="I4145" t="s">
        <v>3497</v>
      </c>
      <c r="J4145">
        <v>10</v>
      </c>
      <c r="K4145" t="s">
        <v>3888</v>
      </c>
      <c r="L4145">
        <v>283.2</v>
      </c>
      <c r="M4145">
        <v>28.32</v>
      </c>
      <c r="N4145" t="s">
        <v>3497</v>
      </c>
      <c r="O4145" t="s">
        <v>460</v>
      </c>
    </row>
    <row r="4146" spans="1:15" x14ac:dyDescent="0.3">
      <c r="A4146">
        <v>186320</v>
      </c>
      <c r="B4146">
        <v>116</v>
      </c>
      <c r="C4146" t="s">
        <v>568</v>
      </c>
      <c r="D4146" t="s">
        <v>2314</v>
      </c>
      <c r="E4146" t="s">
        <v>3305</v>
      </c>
      <c r="F4146" s="452">
        <v>45999</v>
      </c>
      <c r="G4146">
        <v>18640</v>
      </c>
      <c r="H4146" t="s">
        <v>3994</v>
      </c>
      <c r="I4146" t="s">
        <v>3497</v>
      </c>
      <c r="J4146">
        <v>1</v>
      </c>
      <c r="K4146" t="s">
        <v>3922</v>
      </c>
      <c r="L4146">
        <v>306</v>
      </c>
      <c r="M4146">
        <v>306</v>
      </c>
      <c r="N4146" t="s">
        <v>3497</v>
      </c>
      <c r="O4146" t="s">
        <v>460</v>
      </c>
    </row>
    <row r="4147" spans="1:15" x14ac:dyDescent="0.3">
      <c r="A4147">
        <v>186320</v>
      </c>
      <c r="B4147">
        <v>116</v>
      </c>
      <c r="C4147" t="s">
        <v>568</v>
      </c>
      <c r="D4147" t="s">
        <v>2314</v>
      </c>
      <c r="E4147" t="s">
        <v>3305</v>
      </c>
      <c r="F4147" s="452">
        <v>45999</v>
      </c>
      <c r="G4147">
        <v>17903</v>
      </c>
      <c r="H4147" t="s">
        <v>3971</v>
      </c>
      <c r="I4147" t="s">
        <v>3497</v>
      </c>
      <c r="J4147">
        <v>10</v>
      </c>
      <c r="K4147" t="s">
        <v>3888</v>
      </c>
      <c r="L4147">
        <v>296.39999999999998</v>
      </c>
      <c r="M4147">
        <v>29.64</v>
      </c>
      <c r="N4147" t="s">
        <v>3497</v>
      </c>
      <c r="O4147" t="s">
        <v>460</v>
      </c>
    </row>
    <row r="4148" spans="1:15" x14ac:dyDescent="0.3">
      <c r="A4148">
        <v>186320</v>
      </c>
      <c r="B4148">
        <v>116</v>
      </c>
      <c r="C4148" t="s">
        <v>568</v>
      </c>
      <c r="D4148" t="s">
        <v>2314</v>
      </c>
      <c r="E4148" t="s">
        <v>3305</v>
      </c>
      <c r="F4148" s="452">
        <v>45999</v>
      </c>
      <c r="G4148">
        <v>17897</v>
      </c>
      <c r="H4148" t="s">
        <v>4094</v>
      </c>
      <c r="I4148" t="s">
        <v>3497</v>
      </c>
      <c r="J4148">
        <v>2</v>
      </c>
      <c r="K4148" t="s">
        <v>3888</v>
      </c>
      <c r="L4148">
        <v>80.58</v>
      </c>
      <c r="M4148">
        <v>40.29</v>
      </c>
      <c r="N4148" t="s">
        <v>3497</v>
      </c>
      <c r="O4148" t="s">
        <v>460</v>
      </c>
    </row>
    <row r="4149" spans="1:15" x14ac:dyDescent="0.3">
      <c r="A4149">
        <v>186071</v>
      </c>
      <c r="B4149">
        <v>116</v>
      </c>
      <c r="C4149" t="s">
        <v>568</v>
      </c>
      <c r="D4149" t="s">
        <v>2262</v>
      </c>
      <c r="E4149" t="s">
        <v>3306</v>
      </c>
      <c r="F4149" s="452">
        <v>45992</v>
      </c>
      <c r="G4149">
        <v>18832</v>
      </c>
      <c r="H4149" t="s">
        <v>3900</v>
      </c>
      <c r="I4149" t="s">
        <v>3469</v>
      </c>
      <c r="J4149">
        <v>15.6</v>
      </c>
      <c r="K4149" t="s">
        <v>3892</v>
      </c>
      <c r="L4149">
        <v>653.64</v>
      </c>
      <c r="M4149">
        <v>41.9</v>
      </c>
      <c r="N4149" t="s">
        <v>4240</v>
      </c>
      <c r="O4149" t="s">
        <v>460</v>
      </c>
    </row>
    <row r="4150" spans="1:15" x14ac:dyDescent="0.3">
      <c r="A4150">
        <v>186071</v>
      </c>
      <c r="B4150">
        <v>116</v>
      </c>
      <c r="C4150" t="s">
        <v>568</v>
      </c>
      <c r="D4150" t="s">
        <v>2262</v>
      </c>
      <c r="E4150" t="s">
        <v>3306</v>
      </c>
      <c r="F4150" s="452">
        <v>45992</v>
      </c>
      <c r="G4150">
        <v>24402</v>
      </c>
      <c r="H4150" t="s">
        <v>3896</v>
      </c>
      <c r="I4150" t="s">
        <v>3469</v>
      </c>
      <c r="J4150">
        <v>15.4</v>
      </c>
      <c r="K4150" t="s">
        <v>3892</v>
      </c>
      <c r="L4150">
        <v>572.88</v>
      </c>
      <c r="M4150">
        <v>37.200000000000003</v>
      </c>
      <c r="N4150" t="s">
        <v>4240</v>
      </c>
      <c r="O4150" t="s">
        <v>460</v>
      </c>
    </row>
    <row r="4151" spans="1:15" x14ac:dyDescent="0.3">
      <c r="A4151">
        <v>186071</v>
      </c>
      <c r="B4151">
        <v>116</v>
      </c>
      <c r="C4151" t="s">
        <v>568</v>
      </c>
      <c r="D4151" t="s">
        <v>2262</v>
      </c>
      <c r="E4151" t="s">
        <v>3306</v>
      </c>
      <c r="F4151" s="452">
        <v>45992</v>
      </c>
      <c r="G4151">
        <v>24116</v>
      </c>
      <c r="H4151" t="s">
        <v>3963</v>
      </c>
      <c r="I4151" t="s">
        <v>3469</v>
      </c>
      <c r="J4151">
        <v>5</v>
      </c>
      <c r="K4151" t="s">
        <v>3892</v>
      </c>
      <c r="L4151">
        <v>209.5</v>
      </c>
      <c r="M4151">
        <v>41.9</v>
      </c>
      <c r="N4151" t="s">
        <v>4240</v>
      </c>
      <c r="O4151" t="s">
        <v>460</v>
      </c>
    </row>
    <row r="4152" spans="1:15" x14ac:dyDescent="0.3">
      <c r="A4152">
        <v>186071</v>
      </c>
      <c r="B4152">
        <v>116</v>
      </c>
      <c r="C4152" t="s">
        <v>568</v>
      </c>
      <c r="D4152" t="s">
        <v>2262</v>
      </c>
      <c r="E4152" t="s">
        <v>3306</v>
      </c>
      <c r="F4152" s="452">
        <v>45992</v>
      </c>
      <c r="G4152">
        <v>24320</v>
      </c>
      <c r="H4152" t="s">
        <v>4160</v>
      </c>
      <c r="I4152" t="s">
        <v>3469</v>
      </c>
      <c r="J4152">
        <v>17.2</v>
      </c>
      <c r="K4152" t="s">
        <v>3892</v>
      </c>
      <c r="L4152">
        <v>632.96</v>
      </c>
      <c r="M4152">
        <v>36.799999999999997</v>
      </c>
      <c r="N4152" t="s">
        <v>4240</v>
      </c>
      <c r="O4152" t="s">
        <v>460</v>
      </c>
    </row>
    <row r="4153" spans="1:15" x14ac:dyDescent="0.3">
      <c r="A4153">
        <v>186071</v>
      </c>
      <c r="B4153">
        <v>116</v>
      </c>
      <c r="C4153" t="s">
        <v>568</v>
      </c>
      <c r="D4153" t="s">
        <v>2262</v>
      </c>
      <c r="E4153" t="s">
        <v>3306</v>
      </c>
      <c r="F4153" s="452">
        <v>45992</v>
      </c>
      <c r="G4153">
        <v>24339</v>
      </c>
      <c r="H4153" t="s">
        <v>4119</v>
      </c>
      <c r="I4153" t="s">
        <v>3469</v>
      </c>
      <c r="J4153">
        <v>2.5</v>
      </c>
      <c r="K4153" t="s">
        <v>3892</v>
      </c>
      <c r="L4153">
        <v>90</v>
      </c>
      <c r="M4153">
        <v>36</v>
      </c>
      <c r="N4153" t="s">
        <v>4240</v>
      </c>
      <c r="O4153" t="s">
        <v>460</v>
      </c>
    </row>
    <row r="4154" spans="1:15" x14ac:dyDescent="0.3">
      <c r="A4154">
        <v>185927</v>
      </c>
      <c r="B4154">
        <v>116</v>
      </c>
      <c r="C4154" t="s">
        <v>568</v>
      </c>
      <c r="D4154" t="s">
        <v>2323</v>
      </c>
      <c r="E4154" t="s">
        <v>3308</v>
      </c>
      <c r="F4154" s="452">
        <v>46007</v>
      </c>
      <c r="G4154">
        <v>18818</v>
      </c>
      <c r="H4154" t="s">
        <v>3916</v>
      </c>
      <c r="I4154" t="s">
        <v>3469</v>
      </c>
      <c r="J4154">
        <v>10.1</v>
      </c>
      <c r="K4154" t="s">
        <v>3892</v>
      </c>
      <c r="L4154">
        <v>247.45</v>
      </c>
      <c r="M4154">
        <v>24.5</v>
      </c>
      <c r="N4154" t="s">
        <v>4240</v>
      </c>
      <c r="O4154" t="s">
        <v>460</v>
      </c>
    </row>
    <row r="4155" spans="1:15" x14ac:dyDescent="0.3">
      <c r="A4155">
        <v>185927</v>
      </c>
      <c r="B4155">
        <v>116</v>
      </c>
      <c r="C4155" t="s">
        <v>568</v>
      </c>
      <c r="D4155" t="s">
        <v>2323</v>
      </c>
      <c r="E4155" t="s">
        <v>3308</v>
      </c>
      <c r="F4155" s="452">
        <v>46007</v>
      </c>
      <c r="G4155">
        <v>24389</v>
      </c>
      <c r="H4155" t="s">
        <v>4305</v>
      </c>
      <c r="I4155" t="s">
        <v>3469</v>
      </c>
      <c r="J4155">
        <v>5.4</v>
      </c>
      <c r="K4155" t="s">
        <v>3892</v>
      </c>
      <c r="L4155">
        <v>166.86</v>
      </c>
      <c r="M4155">
        <v>30.9</v>
      </c>
      <c r="N4155" t="s">
        <v>4240</v>
      </c>
      <c r="O4155" t="s">
        <v>460</v>
      </c>
    </row>
    <row r="4156" spans="1:15" x14ac:dyDescent="0.3">
      <c r="A4156">
        <v>185927</v>
      </c>
      <c r="B4156">
        <v>116</v>
      </c>
      <c r="C4156" t="s">
        <v>568</v>
      </c>
      <c r="D4156" t="s">
        <v>2323</v>
      </c>
      <c r="E4156" t="s">
        <v>3308</v>
      </c>
      <c r="F4156" s="452">
        <v>46007</v>
      </c>
      <c r="G4156">
        <v>18933</v>
      </c>
      <c r="H4156" t="s">
        <v>3957</v>
      </c>
      <c r="I4156" t="s">
        <v>3469</v>
      </c>
      <c r="J4156">
        <v>5.2</v>
      </c>
      <c r="K4156" t="s">
        <v>3892</v>
      </c>
      <c r="L4156">
        <v>127.4</v>
      </c>
      <c r="M4156">
        <v>24.5</v>
      </c>
      <c r="N4156" t="s">
        <v>4240</v>
      </c>
      <c r="O4156" t="s">
        <v>460</v>
      </c>
    </row>
    <row r="4157" spans="1:15" x14ac:dyDescent="0.3">
      <c r="A4157">
        <v>185926</v>
      </c>
      <c r="B4157">
        <v>116</v>
      </c>
      <c r="C4157" t="s">
        <v>568</v>
      </c>
      <c r="D4157" t="s">
        <v>2260</v>
      </c>
      <c r="E4157" t="s">
        <v>3309</v>
      </c>
      <c r="F4157" s="452">
        <v>46009</v>
      </c>
      <c r="G4157">
        <v>19297</v>
      </c>
      <c r="H4157" t="s">
        <v>3949</v>
      </c>
      <c r="I4157" t="s">
        <v>3469</v>
      </c>
      <c r="J4157">
        <v>8.4</v>
      </c>
      <c r="K4157" t="s">
        <v>3892</v>
      </c>
      <c r="L4157">
        <v>823.2</v>
      </c>
      <c r="M4157">
        <v>98</v>
      </c>
      <c r="N4157" t="s">
        <v>4433</v>
      </c>
      <c r="O4157" t="s">
        <v>460</v>
      </c>
    </row>
    <row r="4158" spans="1:15" x14ac:dyDescent="0.3">
      <c r="A4158">
        <v>185925</v>
      </c>
      <c r="B4158">
        <v>116</v>
      </c>
      <c r="C4158" t="s">
        <v>568</v>
      </c>
      <c r="D4158" t="s">
        <v>3053</v>
      </c>
      <c r="E4158" t="s">
        <v>3310</v>
      </c>
      <c r="F4158" s="452">
        <v>46009</v>
      </c>
      <c r="G4158">
        <v>17006</v>
      </c>
      <c r="H4158" t="s">
        <v>4128</v>
      </c>
      <c r="I4158" t="s">
        <v>3469</v>
      </c>
      <c r="J4158">
        <v>12.9</v>
      </c>
      <c r="K4158" t="s">
        <v>3892</v>
      </c>
      <c r="L4158">
        <v>167.7</v>
      </c>
      <c r="M4158">
        <v>13</v>
      </c>
      <c r="N4158" t="s">
        <v>4240</v>
      </c>
      <c r="O4158" t="s">
        <v>460</v>
      </c>
    </row>
    <row r="4159" spans="1:15" x14ac:dyDescent="0.3">
      <c r="A4159">
        <v>185924</v>
      </c>
      <c r="B4159">
        <v>116</v>
      </c>
      <c r="C4159" t="s">
        <v>568</v>
      </c>
      <c r="D4159" t="s">
        <v>2286</v>
      </c>
      <c r="E4159" t="s">
        <v>3311</v>
      </c>
      <c r="F4159" s="452">
        <v>46006</v>
      </c>
      <c r="G4159">
        <v>24083</v>
      </c>
      <c r="H4159" t="s">
        <v>3898</v>
      </c>
      <c r="I4159" t="s">
        <v>3469</v>
      </c>
      <c r="J4159">
        <v>25</v>
      </c>
      <c r="K4159" t="s">
        <v>3892</v>
      </c>
      <c r="L4159">
        <v>65</v>
      </c>
      <c r="M4159">
        <v>2.6</v>
      </c>
      <c r="N4159" t="s">
        <v>3469</v>
      </c>
      <c r="O4159" t="s">
        <v>460</v>
      </c>
    </row>
    <row r="4160" spans="1:15" x14ac:dyDescent="0.3">
      <c r="A4160">
        <v>185924</v>
      </c>
      <c r="B4160">
        <v>116</v>
      </c>
      <c r="C4160" t="s">
        <v>568</v>
      </c>
      <c r="D4160" t="s">
        <v>2286</v>
      </c>
      <c r="E4160" t="s">
        <v>3311</v>
      </c>
      <c r="F4160" s="452">
        <v>46006</v>
      </c>
      <c r="G4160">
        <v>19623</v>
      </c>
      <c r="H4160" t="s">
        <v>3984</v>
      </c>
      <c r="I4160" t="s">
        <v>3469</v>
      </c>
      <c r="J4160">
        <v>3</v>
      </c>
      <c r="K4160" t="s">
        <v>3892</v>
      </c>
      <c r="L4160">
        <v>10.5</v>
      </c>
      <c r="M4160">
        <v>3.5</v>
      </c>
      <c r="N4160" t="s">
        <v>3469</v>
      </c>
      <c r="O4160" t="s">
        <v>460</v>
      </c>
    </row>
    <row r="4161" spans="1:15" x14ac:dyDescent="0.3">
      <c r="A4161">
        <v>185924</v>
      </c>
      <c r="B4161">
        <v>116</v>
      </c>
      <c r="C4161" t="s">
        <v>568</v>
      </c>
      <c r="D4161" t="s">
        <v>2286</v>
      </c>
      <c r="E4161" t="s">
        <v>3311</v>
      </c>
      <c r="F4161" s="452">
        <v>46006</v>
      </c>
      <c r="G4161">
        <v>19634</v>
      </c>
      <c r="H4161" t="s">
        <v>4068</v>
      </c>
      <c r="I4161" t="s">
        <v>3469</v>
      </c>
      <c r="J4161">
        <v>2</v>
      </c>
      <c r="K4161" t="s">
        <v>3892</v>
      </c>
      <c r="L4161">
        <v>12</v>
      </c>
      <c r="M4161">
        <v>6</v>
      </c>
      <c r="N4161" t="s">
        <v>3469</v>
      </c>
      <c r="O4161" t="s">
        <v>460</v>
      </c>
    </row>
    <row r="4162" spans="1:15" x14ac:dyDescent="0.3">
      <c r="A4162">
        <v>185924</v>
      </c>
      <c r="B4162">
        <v>116</v>
      </c>
      <c r="C4162" t="s">
        <v>568</v>
      </c>
      <c r="D4162" t="s">
        <v>2286</v>
      </c>
      <c r="E4162" t="s">
        <v>3311</v>
      </c>
      <c r="F4162" s="452">
        <v>46006</v>
      </c>
      <c r="G4162">
        <v>19787</v>
      </c>
      <c r="H4162" t="s">
        <v>3940</v>
      </c>
      <c r="I4162" t="s">
        <v>3469</v>
      </c>
      <c r="J4162">
        <v>3</v>
      </c>
      <c r="K4162" t="s">
        <v>3892</v>
      </c>
      <c r="L4162">
        <v>15.6</v>
      </c>
      <c r="M4162">
        <v>5.2</v>
      </c>
      <c r="N4162" t="s">
        <v>3469</v>
      </c>
      <c r="O4162" t="s">
        <v>460</v>
      </c>
    </row>
    <row r="4163" spans="1:15" x14ac:dyDescent="0.3">
      <c r="A4163">
        <v>185924</v>
      </c>
      <c r="B4163">
        <v>116</v>
      </c>
      <c r="C4163" t="s">
        <v>568</v>
      </c>
      <c r="D4163" t="s">
        <v>2286</v>
      </c>
      <c r="E4163" t="s">
        <v>3311</v>
      </c>
      <c r="F4163" s="452">
        <v>46006</v>
      </c>
      <c r="G4163">
        <v>19506</v>
      </c>
      <c r="H4163" t="s">
        <v>4112</v>
      </c>
      <c r="I4163" t="s">
        <v>3469</v>
      </c>
      <c r="J4163">
        <v>0.2</v>
      </c>
      <c r="K4163" t="s">
        <v>3892</v>
      </c>
      <c r="L4163">
        <v>8</v>
      </c>
      <c r="M4163">
        <v>40</v>
      </c>
      <c r="N4163" t="s">
        <v>3469</v>
      </c>
      <c r="O4163" t="s">
        <v>460</v>
      </c>
    </row>
    <row r="4164" spans="1:15" x14ac:dyDescent="0.3">
      <c r="A4164">
        <v>185924</v>
      </c>
      <c r="B4164">
        <v>116</v>
      </c>
      <c r="C4164" t="s">
        <v>568</v>
      </c>
      <c r="D4164" t="s">
        <v>2286</v>
      </c>
      <c r="E4164" t="s">
        <v>3311</v>
      </c>
      <c r="F4164" s="452">
        <v>46006</v>
      </c>
      <c r="G4164">
        <v>19505</v>
      </c>
      <c r="H4164" t="s">
        <v>4101</v>
      </c>
      <c r="I4164" t="s">
        <v>3469</v>
      </c>
      <c r="J4164">
        <v>1</v>
      </c>
      <c r="K4164" t="s">
        <v>3892</v>
      </c>
      <c r="L4164">
        <v>4.8</v>
      </c>
      <c r="M4164">
        <v>4.8</v>
      </c>
      <c r="N4164" t="s">
        <v>3469</v>
      </c>
      <c r="O4164" t="s">
        <v>460</v>
      </c>
    </row>
    <row r="4165" spans="1:15" x14ac:dyDescent="0.3">
      <c r="A4165">
        <v>185924</v>
      </c>
      <c r="B4165">
        <v>116</v>
      </c>
      <c r="C4165" t="s">
        <v>568</v>
      </c>
      <c r="D4165" t="s">
        <v>2286</v>
      </c>
      <c r="E4165" t="s">
        <v>3311</v>
      </c>
      <c r="F4165" s="452">
        <v>46006</v>
      </c>
      <c r="G4165">
        <v>24509</v>
      </c>
      <c r="H4165" t="s">
        <v>3906</v>
      </c>
      <c r="I4165" t="s">
        <v>3469</v>
      </c>
      <c r="J4165">
        <v>20</v>
      </c>
      <c r="K4165" t="s">
        <v>3892</v>
      </c>
      <c r="L4165">
        <v>26</v>
      </c>
      <c r="M4165">
        <v>1.3</v>
      </c>
      <c r="N4165" t="s">
        <v>3469</v>
      </c>
      <c r="O4165" t="s">
        <v>460</v>
      </c>
    </row>
    <row r="4166" spans="1:15" x14ac:dyDescent="0.3">
      <c r="A4166">
        <v>185924</v>
      </c>
      <c r="B4166">
        <v>116</v>
      </c>
      <c r="C4166" t="s">
        <v>568</v>
      </c>
      <c r="D4166" t="s">
        <v>2286</v>
      </c>
      <c r="E4166" t="s">
        <v>3311</v>
      </c>
      <c r="F4166" s="452">
        <v>46006</v>
      </c>
      <c r="G4166">
        <v>19465</v>
      </c>
      <c r="H4166" t="s">
        <v>4080</v>
      </c>
      <c r="I4166" t="s">
        <v>3469</v>
      </c>
      <c r="J4166">
        <v>1</v>
      </c>
      <c r="K4166" t="s">
        <v>3892</v>
      </c>
      <c r="L4166">
        <v>5.5</v>
      </c>
      <c r="M4166">
        <v>5.5</v>
      </c>
      <c r="N4166" t="s">
        <v>3469</v>
      </c>
      <c r="O4166" t="s">
        <v>460</v>
      </c>
    </row>
    <row r="4167" spans="1:15" x14ac:dyDescent="0.3">
      <c r="A4167">
        <v>185924</v>
      </c>
      <c r="B4167">
        <v>116</v>
      </c>
      <c r="C4167" t="s">
        <v>568</v>
      </c>
      <c r="D4167" t="s">
        <v>2286</v>
      </c>
      <c r="E4167" t="s">
        <v>3311</v>
      </c>
      <c r="F4167" s="452">
        <v>46006</v>
      </c>
      <c r="G4167">
        <v>19480</v>
      </c>
      <c r="H4167" t="s">
        <v>4113</v>
      </c>
      <c r="I4167" t="s">
        <v>3469</v>
      </c>
      <c r="J4167">
        <v>0.2</v>
      </c>
      <c r="K4167" t="s">
        <v>3892</v>
      </c>
      <c r="L4167">
        <v>2.4</v>
      </c>
      <c r="M4167">
        <v>12</v>
      </c>
      <c r="N4167" t="s">
        <v>3469</v>
      </c>
      <c r="O4167" t="s">
        <v>460</v>
      </c>
    </row>
    <row r="4168" spans="1:15" x14ac:dyDescent="0.3">
      <c r="A4168">
        <v>185924</v>
      </c>
      <c r="B4168">
        <v>116</v>
      </c>
      <c r="C4168" t="s">
        <v>568</v>
      </c>
      <c r="D4168" t="s">
        <v>2286</v>
      </c>
      <c r="E4168" t="s">
        <v>3311</v>
      </c>
      <c r="F4168" s="452">
        <v>46006</v>
      </c>
      <c r="G4168">
        <v>19553</v>
      </c>
      <c r="H4168" t="s">
        <v>4078</v>
      </c>
      <c r="I4168" t="s">
        <v>3469</v>
      </c>
      <c r="J4168">
        <v>1.8</v>
      </c>
      <c r="K4168" t="s">
        <v>3892</v>
      </c>
      <c r="L4168">
        <v>3.24</v>
      </c>
      <c r="M4168">
        <v>1.8</v>
      </c>
      <c r="N4168" t="s">
        <v>3469</v>
      </c>
      <c r="O4168" t="s">
        <v>460</v>
      </c>
    </row>
    <row r="4169" spans="1:15" x14ac:dyDescent="0.3">
      <c r="A4169">
        <v>185924</v>
      </c>
      <c r="B4169">
        <v>116</v>
      </c>
      <c r="C4169" t="s">
        <v>568</v>
      </c>
      <c r="D4169" t="s">
        <v>2286</v>
      </c>
      <c r="E4169" t="s">
        <v>3311</v>
      </c>
      <c r="F4169" s="452">
        <v>46006</v>
      </c>
      <c r="G4169">
        <v>19555</v>
      </c>
      <c r="H4169" t="s">
        <v>4109</v>
      </c>
      <c r="I4169" t="s">
        <v>3469</v>
      </c>
      <c r="J4169">
        <v>0.5</v>
      </c>
      <c r="K4169" t="s">
        <v>3892</v>
      </c>
      <c r="L4169">
        <v>10</v>
      </c>
      <c r="M4169">
        <v>20</v>
      </c>
      <c r="N4169" t="s">
        <v>3469</v>
      </c>
      <c r="O4169" t="s">
        <v>460</v>
      </c>
    </row>
    <row r="4170" spans="1:15" x14ac:dyDescent="0.3">
      <c r="A4170">
        <v>185924</v>
      </c>
      <c r="B4170">
        <v>116</v>
      </c>
      <c r="C4170" t="s">
        <v>568</v>
      </c>
      <c r="D4170" t="s">
        <v>2286</v>
      </c>
      <c r="E4170" t="s">
        <v>3311</v>
      </c>
      <c r="F4170" s="452">
        <v>46006</v>
      </c>
      <c r="G4170">
        <v>19572</v>
      </c>
      <c r="H4170" t="s">
        <v>4023</v>
      </c>
      <c r="I4170" t="s">
        <v>3469</v>
      </c>
      <c r="J4170">
        <v>1</v>
      </c>
      <c r="K4170" t="s">
        <v>3892</v>
      </c>
      <c r="L4170">
        <v>20</v>
      </c>
      <c r="M4170">
        <v>20</v>
      </c>
      <c r="N4170" t="s">
        <v>3469</v>
      </c>
      <c r="O4170" t="s">
        <v>460</v>
      </c>
    </row>
    <row r="4171" spans="1:15" x14ac:dyDescent="0.3">
      <c r="A4171">
        <v>185924</v>
      </c>
      <c r="B4171">
        <v>116</v>
      </c>
      <c r="C4171" t="s">
        <v>568</v>
      </c>
      <c r="D4171" t="s">
        <v>2286</v>
      </c>
      <c r="E4171" t="s">
        <v>3311</v>
      </c>
      <c r="F4171" s="452">
        <v>46006</v>
      </c>
      <c r="G4171">
        <v>19742</v>
      </c>
      <c r="H4171" t="s">
        <v>4074</v>
      </c>
      <c r="I4171" t="s">
        <v>3469</v>
      </c>
      <c r="J4171">
        <v>1</v>
      </c>
      <c r="K4171" t="s">
        <v>3892</v>
      </c>
      <c r="L4171">
        <v>8.5</v>
      </c>
      <c r="M4171">
        <v>8.5</v>
      </c>
      <c r="N4171" t="s">
        <v>3469</v>
      </c>
      <c r="O4171" t="s">
        <v>460</v>
      </c>
    </row>
    <row r="4172" spans="1:15" x14ac:dyDescent="0.3">
      <c r="A4172">
        <v>185924</v>
      </c>
      <c r="B4172">
        <v>116</v>
      </c>
      <c r="C4172" t="s">
        <v>568</v>
      </c>
      <c r="D4172" t="s">
        <v>2286</v>
      </c>
      <c r="E4172" t="s">
        <v>3311</v>
      </c>
      <c r="F4172" s="452">
        <v>46006</v>
      </c>
      <c r="G4172">
        <v>19752</v>
      </c>
      <c r="H4172" t="s">
        <v>4042</v>
      </c>
      <c r="I4172" t="s">
        <v>3469</v>
      </c>
      <c r="J4172">
        <v>1</v>
      </c>
      <c r="K4172" t="s">
        <v>3892</v>
      </c>
      <c r="L4172">
        <v>5.8</v>
      </c>
      <c r="M4172">
        <v>5.8</v>
      </c>
      <c r="N4172" t="s">
        <v>3469</v>
      </c>
      <c r="O4172" t="s">
        <v>460</v>
      </c>
    </row>
    <row r="4173" spans="1:15" x14ac:dyDescent="0.3">
      <c r="A4173">
        <v>185924</v>
      </c>
      <c r="B4173">
        <v>116</v>
      </c>
      <c r="C4173" t="s">
        <v>568</v>
      </c>
      <c r="D4173" t="s">
        <v>2286</v>
      </c>
      <c r="E4173" t="s">
        <v>3311</v>
      </c>
      <c r="F4173" s="452">
        <v>46006</v>
      </c>
      <c r="G4173">
        <v>19498</v>
      </c>
      <c r="H4173" t="s">
        <v>4065</v>
      </c>
      <c r="I4173" t="s">
        <v>3469</v>
      </c>
      <c r="J4173">
        <v>1</v>
      </c>
      <c r="K4173" t="s">
        <v>3892</v>
      </c>
      <c r="L4173">
        <v>6.5</v>
      </c>
      <c r="M4173">
        <v>6.5</v>
      </c>
      <c r="N4173" t="s">
        <v>3469</v>
      </c>
      <c r="O4173" t="s">
        <v>460</v>
      </c>
    </row>
    <row r="4174" spans="1:15" x14ac:dyDescent="0.3">
      <c r="A4174">
        <v>185924</v>
      </c>
      <c r="B4174">
        <v>116</v>
      </c>
      <c r="C4174" t="s">
        <v>568</v>
      </c>
      <c r="D4174" t="s">
        <v>2286</v>
      </c>
      <c r="E4174" t="s">
        <v>3311</v>
      </c>
      <c r="F4174" s="452">
        <v>46006</v>
      </c>
      <c r="G4174">
        <v>23096</v>
      </c>
      <c r="H4174" t="s">
        <v>3876</v>
      </c>
      <c r="I4174" t="s">
        <v>3469</v>
      </c>
      <c r="J4174">
        <v>60</v>
      </c>
      <c r="K4174" t="s">
        <v>3872</v>
      </c>
      <c r="L4174">
        <v>37.799999999999997</v>
      </c>
      <c r="M4174">
        <v>0.63</v>
      </c>
      <c r="N4174" t="s">
        <v>3469</v>
      </c>
      <c r="O4174" t="s">
        <v>460</v>
      </c>
    </row>
    <row r="4175" spans="1:15" x14ac:dyDescent="0.3">
      <c r="A4175">
        <v>185924</v>
      </c>
      <c r="B4175">
        <v>116</v>
      </c>
      <c r="C4175" t="s">
        <v>568</v>
      </c>
      <c r="D4175" t="s">
        <v>2286</v>
      </c>
      <c r="E4175" t="s">
        <v>3311</v>
      </c>
      <c r="F4175" s="452">
        <v>46006</v>
      </c>
      <c r="G4175">
        <v>23113</v>
      </c>
      <c r="H4175" t="s">
        <v>4079</v>
      </c>
      <c r="I4175" t="s">
        <v>3469</v>
      </c>
      <c r="J4175">
        <v>1.5</v>
      </c>
      <c r="K4175" t="s">
        <v>3892</v>
      </c>
      <c r="L4175">
        <v>15</v>
      </c>
      <c r="M4175">
        <v>10</v>
      </c>
      <c r="N4175" t="s">
        <v>3469</v>
      </c>
      <c r="O4175" t="s">
        <v>460</v>
      </c>
    </row>
    <row r="4176" spans="1:15" x14ac:dyDescent="0.3">
      <c r="A4176">
        <v>185924</v>
      </c>
      <c r="B4176">
        <v>116</v>
      </c>
      <c r="C4176" t="s">
        <v>568</v>
      </c>
      <c r="D4176" t="s">
        <v>2286</v>
      </c>
      <c r="E4176" t="s">
        <v>3311</v>
      </c>
      <c r="F4176" s="452">
        <v>46006</v>
      </c>
      <c r="G4176">
        <v>23171</v>
      </c>
      <c r="H4176" t="s">
        <v>4132</v>
      </c>
      <c r="I4176" t="s">
        <v>3469</v>
      </c>
      <c r="J4176">
        <v>3</v>
      </c>
      <c r="K4176" t="s">
        <v>3892</v>
      </c>
      <c r="L4176">
        <v>14.4</v>
      </c>
      <c r="M4176">
        <v>4.8</v>
      </c>
      <c r="N4176" t="s">
        <v>3469</v>
      </c>
      <c r="O4176" t="s">
        <v>460</v>
      </c>
    </row>
    <row r="4177" spans="1:15" x14ac:dyDescent="0.3">
      <c r="A4177">
        <v>185924</v>
      </c>
      <c r="B4177">
        <v>116</v>
      </c>
      <c r="C4177" t="s">
        <v>568</v>
      </c>
      <c r="D4177" t="s">
        <v>2286</v>
      </c>
      <c r="E4177" t="s">
        <v>3311</v>
      </c>
      <c r="F4177" s="452">
        <v>46006</v>
      </c>
      <c r="G4177">
        <v>23198</v>
      </c>
      <c r="H4177" t="s">
        <v>4167</v>
      </c>
      <c r="I4177" t="s">
        <v>3469</v>
      </c>
      <c r="J4177">
        <v>1.5</v>
      </c>
      <c r="K4177" t="s">
        <v>3892</v>
      </c>
      <c r="L4177">
        <v>24</v>
      </c>
      <c r="M4177">
        <v>16</v>
      </c>
      <c r="N4177" t="s">
        <v>3469</v>
      </c>
      <c r="O4177" t="s">
        <v>460</v>
      </c>
    </row>
    <row r="4178" spans="1:15" x14ac:dyDescent="0.3">
      <c r="A4178">
        <v>185924</v>
      </c>
      <c r="B4178">
        <v>116</v>
      </c>
      <c r="C4178" t="s">
        <v>568</v>
      </c>
      <c r="D4178" t="s">
        <v>2286</v>
      </c>
      <c r="E4178" t="s">
        <v>3311</v>
      </c>
      <c r="F4178" s="452">
        <v>46006</v>
      </c>
      <c r="G4178">
        <v>23234</v>
      </c>
      <c r="H4178" t="s">
        <v>4018</v>
      </c>
      <c r="I4178" t="s">
        <v>3469</v>
      </c>
      <c r="J4178">
        <v>1</v>
      </c>
      <c r="K4178" t="s">
        <v>3892</v>
      </c>
      <c r="L4178">
        <v>25</v>
      </c>
      <c r="M4178">
        <v>25</v>
      </c>
      <c r="N4178" t="s">
        <v>3469</v>
      </c>
      <c r="O4178" t="s">
        <v>460</v>
      </c>
    </row>
    <row r="4179" spans="1:15" x14ac:dyDescent="0.3">
      <c r="A4179">
        <v>185924</v>
      </c>
      <c r="B4179">
        <v>116</v>
      </c>
      <c r="C4179" t="s">
        <v>568</v>
      </c>
      <c r="D4179" t="s">
        <v>2286</v>
      </c>
      <c r="E4179" t="s">
        <v>3311</v>
      </c>
      <c r="F4179" s="452">
        <v>46006</v>
      </c>
      <c r="G4179">
        <v>19494</v>
      </c>
      <c r="H4179" t="s">
        <v>4126</v>
      </c>
      <c r="I4179" t="s">
        <v>3469</v>
      </c>
      <c r="J4179">
        <v>1</v>
      </c>
      <c r="K4179" t="s">
        <v>3892</v>
      </c>
      <c r="L4179">
        <v>7.5</v>
      </c>
      <c r="M4179">
        <v>7.5</v>
      </c>
      <c r="N4179" t="s">
        <v>3469</v>
      </c>
      <c r="O4179" t="s">
        <v>460</v>
      </c>
    </row>
    <row r="4180" spans="1:15" x14ac:dyDescent="0.3">
      <c r="A4180">
        <v>185924</v>
      </c>
      <c r="B4180">
        <v>116</v>
      </c>
      <c r="C4180" t="s">
        <v>568</v>
      </c>
      <c r="D4180" t="s">
        <v>2286</v>
      </c>
      <c r="E4180" t="s">
        <v>3311</v>
      </c>
      <c r="F4180" s="452">
        <v>46006</v>
      </c>
      <c r="G4180">
        <v>23349</v>
      </c>
      <c r="H4180" t="s">
        <v>4173</v>
      </c>
      <c r="I4180" t="s">
        <v>3469</v>
      </c>
      <c r="J4180">
        <v>3</v>
      </c>
      <c r="K4180" t="s">
        <v>3892</v>
      </c>
      <c r="L4180">
        <v>30.6</v>
      </c>
      <c r="M4180">
        <v>10.199999999999999</v>
      </c>
      <c r="N4180" t="s">
        <v>3469</v>
      </c>
      <c r="O4180" t="s">
        <v>460</v>
      </c>
    </row>
    <row r="4181" spans="1:15" x14ac:dyDescent="0.3">
      <c r="A4181">
        <v>185924</v>
      </c>
      <c r="B4181">
        <v>116</v>
      </c>
      <c r="C4181" t="s">
        <v>568</v>
      </c>
      <c r="D4181" t="s">
        <v>2286</v>
      </c>
      <c r="E4181" t="s">
        <v>3311</v>
      </c>
      <c r="F4181" s="452">
        <v>46006</v>
      </c>
      <c r="G4181">
        <v>23389</v>
      </c>
      <c r="H4181" t="s">
        <v>4016</v>
      </c>
      <c r="I4181" t="s">
        <v>3469</v>
      </c>
      <c r="J4181">
        <v>6</v>
      </c>
      <c r="K4181" t="s">
        <v>3892</v>
      </c>
      <c r="L4181">
        <v>36</v>
      </c>
      <c r="M4181">
        <v>6</v>
      </c>
      <c r="N4181" t="s">
        <v>3469</v>
      </c>
      <c r="O4181" t="s">
        <v>460</v>
      </c>
    </row>
    <row r="4182" spans="1:15" x14ac:dyDescent="0.3">
      <c r="A4182">
        <v>185924</v>
      </c>
      <c r="B4182">
        <v>116</v>
      </c>
      <c r="C4182" t="s">
        <v>568</v>
      </c>
      <c r="D4182" t="s">
        <v>2286</v>
      </c>
      <c r="E4182" t="s">
        <v>3311</v>
      </c>
      <c r="F4182" s="452">
        <v>46006</v>
      </c>
      <c r="G4182">
        <v>23095</v>
      </c>
      <c r="H4182" t="s">
        <v>3882</v>
      </c>
      <c r="I4182" t="s">
        <v>3469</v>
      </c>
      <c r="J4182">
        <v>80</v>
      </c>
      <c r="K4182" t="s">
        <v>3872</v>
      </c>
      <c r="L4182">
        <v>80</v>
      </c>
      <c r="M4182">
        <v>1</v>
      </c>
      <c r="N4182" t="s">
        <v>3469</v>
      </c>
      <c r="O4182" t="s">
        <v>460</v>
      </c>
    </row>
    <row r="4183" spans="1:15" x14ac:dyDescent="0.3">
      <c r="A4183">
        <v>185924</v>
      </c>
      <c r="B4183">
        <v>116</v>
      </c>
      <c r="C4183" t="s">
        <v>568</v>
      </c>
      <c r="D4183" t="s">
        <v>2286</v>
      </c>
      <c r="E4183" t="s">
        <v>3311</v>
      </c>
      <c r="F4183" s="452">
        <v>46006</v>
      </c>
      <c r="G4183">
        <v>24037</v>
      </c>
      <c r="H4183" t="s">
        <v>4104</v>
      </c>
      <c r="I4183" t="s">
        <v>3469</v>
      </c>
      <c r="J4183">
        <v>2</v>
      </c>
      <c r="K4183" t="s">
        <v>3892</v>
      </c>
      <c r="L4183">
        <v>44</v>
      </c>
      <c r="M4183">
        <v>22</v>
      </c>
      <c r="N4183" t="s">
        <v>3469</v>
      </c>
      <c r="O4183" t="s">
        <v>460</v>
      </c>
    </row>
    <row r="4184" spans="1:15" x14ac:dyDescent="0.3">
      <c r="A4184">
        <v>185924</v>
      </c>
      <c r="B4184">
        <v>116</v>
      </c>
      <c r="C4184" t="s">
        <v>568</v>
      </c>
      <c r="D4184" t="s">
        <v>2286</v>
      </c>
      <c r="E4184" t="s">
        <v>3311</v>
      </c>
      <c r="F4184" s="452">
        <v>46006</v>
      </c>
      <c r="G4184">
        <v>19672</v>
      </c>
      <c r="H4184" t="s">
        <v>4024</v>
      </c>
      <c r="I4184" t="s">
        <v>3469</v>
      </c>
      <c r="J4184">
        <v>2</v>
      </c>
      <c r="K4184" t="s">
        <v>3892</v>
      </c>
      <c r="L4184">
        <v>24</v>
      </c>
      <c r="M4184">
        <v>12</v>
      </c>
      <c r="N4184" t="s">
        <v>3469</v>
      </c>
      <c r="O4184" t="s">
        <v>460</v>
      </c>
    </row>
    <row r="4185" spans="1:15" x14ac:dyDescent="0.3">
      <c r="A4185">
        <v>185924</v>
      </c>
      <c r="B4185">
        <v>116</v>
      </c>
      <c r="C4185" t="s">
        <v>568</v>
      </c>
      <c r="D4185" t="s">
        <v>2286</v>
      </c>
      <c r="E4185" t="s">
        <v>3311</v>
      </c>
      <c r="F4185" s="452">
        <v>46006</v>
      </c>
      <c r="G4185">
        <v>23236</v>
      </c>
      <c r="H4185" t="s">
        <v>4017</v>
      </c>
      <c r="I4185" t="s">
        <v>3469</v>
      </c>
      <c r="J4185">
        <v>3</v>
      </c>
      <c r="K4185" t="s">
        <v>3892</v>
      </c>
      <c r="L4185">
        <v>14.4</v>
      </c>
      <c r="M4185">
        <v>4.8</v>
      </c>
      <c r="N4185" t="s">
        <v>3469</v>
      </c>
      <c r="O4185" t="s">
        <v>460</v>
      </c>
    </row>
    <row r="4186" spans="1:15" x14ac:dyDescent="0.3">
      <c r="A4186">
        <v>185924</v>
      </c>
      <c r="B4186">
        <v>116</v>
      </c>
      <c r="C4186" t="s">
        <v>568</v>
      </c>
      <c r="D4186" t="s">
        <v>2286</v>
      </c>
      <c r="E4186" t="s">
        <v>3311</v>
      </c>
      <c r="F4186" s="452">
        <v>46006</v>
      </c>
      <c r="G4186">
        <v>23359</v>
      </c>
      <c r="H4186" t="s">
        <v>3932</v>
      </c>
      <c r="I4186" t="s">
        <v>3469</v>
      </c>
      <c r="J4186">
        <v>10</v>
      </c>
      <c r="K4186" t="s">
        <v>3892</v>
      </c>
      <c r="L4186">
        <v>48</v>
      </c>
      <c r="M4186">
        <v>4.8</v>
      </c>
      <c r="N4186" t="s">
        <v>3469</v>
      </c>
      <c r="O4186" t="s">
        <v>460</v>
      </c>
    </row>
    <row r="4187" spans="1:15" x14ac:dyDescent="0.3">
      <c r="A4187">
        <v>184567</v>
      </c>
      <c r="B4187">
        <v>116</v>
      </c>
      <c r="C4187" t="s">
        <v>568</v>
      </c>
      <c r="D4187" t="s">
        <v>2286</v>
      </c>
      <c r="E4187" t="s">
        <v>3312</v>
      </c>
      <c r="F4187" s="452">
        <v>45992</v>
      </c>
      <c r="G4187">
        <v>19787</v>
      </c>
      <c r="H4187" t="s">
        <v>3940</v>
      </c>
      <c r="I4187" t="s">
        <v>3469</v>
      </c>
      <c r="J4187">
        <v>6</v>
      </c>
      <c r="K4187" t="s">
        <v>3892</v>
      </c>
      <c r="L4187">
        <v>28.2</v>
      </c>
      <c r="M4187">
        <v>4.7</v>
      </c>
      <c r="N4187" t="s">
        <v>3469</v>
      </c>
      <c r="O4187" t="s">
        <v>460</v>
      </c>
    </row>
    <row r="4188" spans="1:15" x14ac:dyDescent="0.3">
      <c r="A4188">
        <v>184567</v>
      </c>
      <c r="B4188">
        <v>116</v>
      </c>
      <c r="C4188" t="s">
        <v>568</v>
      </c>
      <c r="D4188" t="s">
        <v>2286</v>
      </c>
      <c r="E4188" t="s">
        <v>3312</v>
      </c>
      <c r="F4188" s="452">
        <v>45992</v>
      </c>
      <c r="G4188">
        <v>19506</v>
      </c>
      <c r="H4188" t="s">
        <v>4112</v>
      </c>
      <c r="I4188" t="s">
        <v>3469</v>
      </c>
      <c r="J4188">
        <v>0.3</v>
      </c>
      <c r="K4188" t="s">
        <v>3892</v>
      </c>
      <c r="L4188">
        <v>12</v>
      </c>
      <c r="M4188">
        <v>40</v>
      </c>
      <c r="N4188" t="s">
        <v>3469</v>
      </c>
      <c r="O4188" t="s">
        <v>460</v>
      </c>
    </row>
    <row r="4189" spans="1:15" x14ac:dyDescent="0.3">
      <c r="A4189">
        <v>184567</v>
      </c>
      <c r="B4189">
        <v>116</v>
      </c>
      <c r="C4189" t="s">
        <v>568</v>
      </c>
      <c r="D4189" t="s">
        <v>2286</v>
      </c>
      <c r="E4189" t="s">
        <v>3312</v>
      </c>
      <c r="F4189" s="452">
        <v>45992</v>
      </c>
      <c r="G4189">
        <v>19505</v>
      </c>
      <c r="H4189" t="s">
        <v>4101</v>
      </c>
      <c r="I4189" t="s">
        <v>3469</v>
      </c>
      <c r="J4189">
        <v>1.5</v>
      </c>
      <c r="K4189" t="s">
        <v>3892</v>
      </c>
      <c r="L4189">
        <v>9.75</v>
      </c>
      <c r="M4189">
        <v>6.5</v>
      </c>
      <c r="N4189" t="s">
        <v>3469</v>
      </c>
      <c r="O4189" t="s">
        <v>460</v>
      </c>
    </row>
    <row r="4190" spans="1:15" x14ac:dyDescent="0.3">
      <c r="A4190">
        <v>184567</v>
      </c>
      <c r="B4190">
        <v>116</v>
      </c>
      <c r="C4190" t="s">
        <v>568</v>
      </c>
      <c r="D4190" t="s">
        <v>2286</v>
      </c>
      <c r="E4190" t="s">
        <v>3312</v>
      </c>
      <c r="F4190" s="452">
        <v>45992</v>
      </c>
      <c r="G4190">
        <v>24509</v>
      </c>
      <c r="H4190" t="s">
        <v>3906</v>
      </c>
      <c r="I4190" t="s">
        <v>3469</v>
      </c>
      <c r="J4190">
        <v>10</v>
      </c>
      <c r="K4190" t="s">
        <v>3892</v>
      </c>
      <c r="L4190">
        <v>21</v>
      </c>
      <c r="M4190">
        <v>2.1</v>
      </c>
      <c r="N4190" t="s">
        <v>3469</v>
      </c>
      <c r="O4190" t="s">
        <v>460</v>
      </c>
    </row>
    <row r="4191" spans="1:15" x14ac:dyDescent="0.3">
      <c r="A4191">
        <v>184567</v>
      </c>
      <c r="B4191">
        <v>116</v>
      </c>
      <c r="C4191" t="s">
        <v>568</v>
      </c>
      <c r="D4191" t="s">
        <v>2286</v>
      </c>
      <c r="E4191" t="s">
        <v>3312</v>
      </c>
      <c r="F4191" s="452">
        <v>45992</v>
      </c>
      <c r="G4191">
        <v>19498</v>
      </c>
      <c r="H4191" t="s">
        <v>4065</v>
      </c>
      <c r="I4191" t="s">
        <v>3469</v>
      </c>
      <c r="J4191">
        <v>1</v>
      </c>
      <c r="K4191" t="s">
        <v>3892</v>
      </c>
      <c r="L4191">
        <v>8.5</v>
      </c>
      <c r="M4191">
        <v>8.5</v>
      </c>
      <c r="N4191" t="s">
        <v>3469</v>
      </c>
      <c r="O4191" t="s">
        <v>460</v>
      </c>
    </row>
    <row r="4192" spans="1:15" x14ac:dyDescent="0.3">
      <c r="A4192">
        <v>184567</v>
      </c>
      <c r="B4192">
        <v>116</v>
      </c>
      <c r="C4192" t="s">
        <v>568</v>
      </c>
      <c r="D4192" t="s">
        <v>2286</v>
      </c>
      <c r="E4192" t="s">
        <v>3312</v>
      </c>
      <c r="F4192" s="452">
        <v>45992</v>
      </c>
      <c r="G4192">
        <v>19465</v>
      </c>
      <c r="H4192" t="s">
        <v>4080</v>
      </c>
      <c r="I4192" t="s">
        <v>3469</v>
      </c>
      <c r="J4192">
        <v>1</v>
      </c>
      <c r="K4192" t="s">
        <v>3892</v>
      </c>
      <c r="L4192">
        <v>5.5</v>
      </c>
      <c r="M4192">
        <v>5.5</v>
      </c>
      <c r="N4192" t="s">
        <v>3469</v>
      </c>
      <c r="O4192" t="s">
        <v>460</v>
      </c>
    </row>
    <row r="4193" spans="1:15" x14ac:dyDescent="0.3">
      <c r="A4193">
        <v>184567</v>
      </c>
      <c r="B4193">
        <v>116</v>
      </c>
      <c r="C4193" t="s">
        <v>568</v>
      </c>
      <c r="D4193" t="s">
        <v>2286</v>
      </c>
      <c r="E4193" t="s">
        <v>3312</v>
      </c>
      <c r="F4193" s="452">
        <v>45992</v>
      </c>
      <c r="G4193">
        <v>19752</v>
      </c>
      <c r="H4193" t="s">
        <v>4042</v>
      </c>
      <c r="I4193" t="s">
        <v>3469</v>
      </c>
      <c r="J4193">
        <v>1</v>
      </c>
      <c r="K4193" t="s">
        <v>3892</v>
      </c>
      <c r="L4193">
        <v>12</v>
      </c>
      <c r="M4193">
        <v>12</v>
      </c>
      <c r="N4193" t="s">
        <v>3469</v>
      </c>
      <c r="O4193" t="s">
        <v>460</v>
      </c>
    </row>
    <row r="4194" spans="1:15" x14ac:dyDescent="0.3">
      <c r="A4194">
        <v>184567</v>
      </c>
      <c r="B4194">
        <v>116</v>
      </c>
      <c r="C4194" t="s">
        <v>568</v>
      </c>
      <c r="D4194" t="s">
        <v>2286</v>
      </c>
      <c r="E4194" t="s">
        <v>3312</v>
      </c>
      <c r="F4194" s="452">
        <v>45992</v>
      </c>
      <c r="G4194">
        <v>23113</v>
      </c>
      <c r="H4194" t="s">
        <v>4079</v>
      </c>
      <c r="I4194" t="s">
        <v>3469</v>
      </c>
      <c r="J4194">
        <v>1.5</v>
      </c>
      <c r="K4194" t="s">
        <v>3892</v>
      </c>
      <c r="L4194">
        <v>11.25</v>
      </c>
      <c r="M4194">
        <v>7.5</v>
      </c>
      <c r="N4194" t="s">
        <v>3469</v>
      </c>
      <c r="O4194" t="s">
        <v>460</v>
      </c>
    </row>
    <row r="4195" spans="1:15" x14ac:dyDescent="0.3">
      <c r="A4195">
        <v>184567</v>
      </c>
      <c r="B4195">
        <v>116</v>
      </c>
      <c r="C4195" t="s">
        <v>568</v>
      </c>
      <c r="D4195" t="s">
        <v>2286</v>
      </c>
      <c r="E4195" t="s">
        <v>3312</v>
      </c>
      <c r="F4195" s="452">
        <v>45992</v>
      </c>
      <c r="G4195">
        <v>19617</v>
      </c>
      <c r="H4195" t="s">
        <v>4110</v>
      </c>
      <c r="I4195" t="s">
        <v>3469</v>
      </c>
      <c r="J4195">
        <v>0.5</v>
      </c>
      <c r="K4195" t="s">
        <v>3892</v>
      </c>
      <c r="L4195">
        <v>8.5</v>
      </c>
      <c r="M4195">
        <v>17</v>
      </c>
      <c r="N4195" t="s">
        <v>3469</v>
      </c>
      <c r="O4195" t="s">
        <v>460</v>
      </c>
    </row>
    <row r="4196" spans="1:15" x14ac:dyDescent="0.3">
      <c r="A4196">
        <v>184567</v>
      </c>
      <c r="B4196">
        <v>116</v>
      </c>
      <c r="C4196" t="s">
        <v>568</v>
      </c>
      <c r="D4196" t="s">
        <v>2286</v>
      </c>
      <c r="E4196" t="s">
        <v>3312</v>
      </c>
      <c r="F4196" s="452">
        <v>45992</v>
      </c>
      <c r="G4196">
        <v>23359</v>
      </c>
      <c r="H4196" t="s">
        <v>3932</v>
      </c>
      <c r="I4196" t="s">
        <v>3469</v>
      </c>
      <c r="J4196">
        <v>10</v>
      </c>
      <c r="K4196" t="s">
        <v>3892</v>
      </c>
      <c r="L4196">
        <v>30</v>
      </c>
      <c r="M4196">
        <v>3</v>
      </c>
      <c r="N4196" t="s">
        <v>3469</v>
      </c>
      <c r="O4196" t="s">
        <v>460</v>
      </c>
    </row>
    <row r="4197" spans="1:15" x14ac:dyDescent="0.3">
      <c r="A4197">
        <v>184567</v>
      </c>
      <c r="B4197">
        <v>116</v>
      </c>
      <c r="C4197" t="s">
        <v>568</v>
      </c>
      <c r="D4197" t="s">
        <v>2286</v>
      </c>
      <c r="E4197" t="s">
        <v>3312</v>
      </c>
      <c r="F4197" s="452">
        <v>45992</v>
      </c>
      <c r="G4197">
        <v>23361</v>
      </c>
      <c r="H4197" t="s">
        <v>4220</v>
      </c>
      <c r="I4197" t="s">
        <v>3469</v>
      </c>
      <c r="J4197">
        <v>36</v>
      </c>
      <c r="K4197" t="s">
        <v>3892</v>
      </c>
      <c r="L4197">
        <v>111.6</v>
      </c>
      <c r="M4197">
        <v>3.1</v>
      </c>
      <c r="N4197" t="s">
        <v>3469</v>
      </c>
      <c r="O4197" t="s">
        <v>460</v>
      </c>
    </row>
    <row r="4198" spans="1:15" x14ac:dyDescent="0.3">
      <c r="A4198">
        <v>184567</v>
      </c>
      <c r="B4198">
        <v>116</v>
      </c>
      <c r="C4198" t="s">
        <v>568</v>
      </c>
      <c r="D4198" t="s">
        <v>2286</v>
      </c>
      <c r="E4198" t="s">
        <v>3312</v>
      </c>
      <c r="F4198" s="452">
        <v>45992</v>
      </c>
      <c r="G4198">
        <v>25162</v>
      </c>
      <c r="H4198" t="s">
        <v>4288</v>
      </c>
      <c r="I4198" t="s">
        <v>3469</v>
      </c>
      <c r="J4198">
        <v>2</v>
      </c>
      <c r="K4198" t="s">
        <v>3892</v>
      </c>
      <c r="L4198">
        <v>13.2</v>
      </c>
      <c r="M4198">
        <v>6.6</v>
      </c>
      <c r="N4198" t="s">
        <v>3469</v>
      </c>
      <c r="O4198" t="s">
        <v>460</v>
      </c>
    </row>
    <row r="4199" spans="1:15" x14ac:dyDescent="0.3">
      <c r="A4199">
        <v>184567</v>
      </c>
      <c r="B4199">
        <v>116</v>
      </c>
      <c r="C4199" t="s">
        <v>568</v>
      </c>
      <c r="D4199" t="s">
        <v>2286</v>
      </c>
      <c r="E4199" t="s">
        <v>3312</v>
      </c>
      <c r="F4199" s="452">
        <v>45992</v>
      </c>
      <c r="G4199">
        <v>23236</v>
      </c>
      <c r="H4199" t="s">
        <v>4017</v>
      </c>
      <c r="I4199" t="s">
        <v>3469</v>
      </c>
      <c r="J4199">
        <v>3</v>
      </c>
      <c r="K4199" t="s">
        <v>3892</v>
      </c>
      <c r="L4199">
        <v>18</v>
      </c>
      <c r="M4199">
        <v>6</v>
      </c>
      <c r="N4199" t="s">
        <v>3469</v>
      </c>
      <c r="O4199" t="s">
        <v>460</v>
      </c>
    </row>
    <row r="4200" spans="1:15" x14ac:dyDescent="0.3">
      <c r="A4200">
        <v>184567</v>
      </c>
      <c r="B4200">
        <v>116</v>
      </c>
      <c r="C4200" t="s">
        <v>568</v>
      </c>
      <c r="D4200" t="s">
        <v>2286</v>
      </c>
      <c r="E4200" t="s">
        <v>3312</v>
      </c>
      <c r="F4200" s="452">
        <v>45992</v>
      </c>
      <c r="G4200">
        <v>24037</v>
      </c>
      <c r="H4200" t="s">
        <v>4104</v>
      </c>
      <c r="I4200" t="s">
        <v>3469</v>
      </c>
      <c r="J4200">
        <v>2</v>
      </c>
      <c r="K4200" t="s">
        <v>3892</v>
      </c>
      <c r="L4200">
        <v>40</v>
      </c>
      <c r="M4200">
        <v>20</v>
      </c>
      <c r="N4200" t="s">
        <v>3469</v>
      </c>
      <c r="O4200" t="s">
        <v>460</v>
      </c>
    </row>
    <row r="4201" spans="1:15" x14ac:dyDescent="0.3">
      <c r="A4201">
        <v>184567</v>
      </c>
      <c r="B4201">
        <v>116</v>
      </c>
      <c r="C4201" t="s">
        <v>568</v>
      </c>
      <c r="D4201" t="s">
        <v>2286</v>
      </c>
      <c r="E4201" t="s">
        <v>3312</v>
      </c>
      <c r="F4201" s="452">
        <v>45992</v>
      </c>
      <c r="G4201">
        <v>23095</v>
      </c>
      <c r="H4201" t="s">
        <v>3882</v>
      </c>
      <c r="I4201" t="s">
        <v>3469</v>
      </c>
      <c r="J4201">
        <v>60</v>
      </c>
      <c r="K4201" t="s">
        <v>3872</v>
      </c>
      <c r="L4201">
        <v>56.4</v>
      </c>
      <c r="M4201">
        <v>0.94</v>
      </c>
      <c r="N4201" t="s">
        <v>3469</v>
      </c>
      <c r="O4201" t="s">
        <v>460</v>
      </c>
    </row>
    <row r="4202" spans="1:15" x14ac:dyDescent="0.3">
      <c r="A4202">
        <v>184498</v>
      </c>
      <c r="B4202">
        <v>116</v>
      </c>
      <c r="C4202" t="s">
        <v>568</v>
      </c>
      <c r="D4202" t="s">
        <v>2265</v>
      </c>
      <c r="E4202" t="s">
        <v>3313</v>
      </c>
      <c r="F4202" s="452">
        <v>46001</v>
      </c>
      <c r="G4202">
        <v>17437</v>
      </c>
      <c r="H4202" t="s">
        <v>4198</v>
      </c>
      <c r="I4202" t="s">
        <v>4199</v>
      </c>
      <c r="J4202">
        <v>10</v>
      </c>
      <c r="K4202" t="s">
        <v>3872</v>
      </c>
      <c r="L4202">
        <v>25</v>
      </c>
      <c r="M4202">
        <v>2.5</v>
      </c>
      <c r="N4202" t="s">
        <v>2176</v>
      </c>
      <c r="O4202" t="s">
        <v>460</v>
      </c>
    </row>
    <row r="4203" spans="1:15" x14ac:dyDescent="0.3">
      <c r="A4203">
        <v>184498</v>
      </c>
      <c r="B4203">
        <v>116</v>
      </c>
      <c r="C4203" t="s">
        <v>568</v>
      </c>
      <c r="D4203" t="s">
        <v>2265</v>
      </c>
      <c r="E4203" t="s">
        <v>3313</v>
      </c>
      <c r="F4203" s="452">
        <v>46001</v>
      </c>
      <c r="G4203">
        <v>17129</v>
      </c>
      <c r="H4203" t="s">
        <v>4200</v>
      </c>
      <c r="I4203" t="s">
        <v>4199</v>
      </c>
      <c r="J4203">
        <v>1</v>
      </c>
      <c r="K4203" t="s">
        <v>3888</v>
      </c>
      <c r="L4203">
        <v>29.9</v>
      </c>
      <c r="M4203">
        <v>29.9</v>
      </c>
      <c r="N4203" t="s">
        <v>2176</v>
      </c>
      <c r="O4203" t="s">
        <v>460</v>
      </c>
    </row>
    <row r="4204" spans="1:15" x14ac:dyDescent="0.3">
      <c r="A4204">
        <v>184498</v>
      </c>
      <c r="B4204">
        <v>116</v>
      </c>
      <c r="C4204" t="s">
        <v>568</v>
      </c>
      <c r="D4204" t="s">
        <v>2265</v>
      </c>
      <c r="E4204" t="s">
        <v>3313</v>
      </c>
      <c r="F4204" s="452">
        <v>46001</v>
      </c>
      <c r="G4204">
        <v>17455</v>
      </c>
      <c r="H4204" t="s">
        <v>4231</v>
      </c>
      <c r="I4204" t="s">
        <v>4199</v>
      </c>
      <c r="J4204">
        <v>2</v>
      </c>
      <c r="K4204" t="s">
        <v>3872</v>
      </c>
      <c r="L4204">
        <v>77.8</v>
      </c>
      <c r="M4204">
        <v>38.9</v>
      </c>
      <c r="N4204" t="s">
        <v>2176</v>
      </c>
      <c r="O4204" t="s">
        <v>460</v>
      </c>
    </row>
    <row r="4205" spans="1:15" x14ac:dyDescent="0.3">
      <c r="A4205">
        <v>184498</v>
      </c>
      <c r="B4205">
        <v>116</v>
      </c>
      <c r="C4205" t="s">
        <v>568</v>
      </c>
      <c r="D4205" t="s">
        <v>2265</v>
      </c>
      <c r="E4205" t="s">
        <v>3313</v>
      </c>
      <c r="F4205" s="452">
        <v>46001</v>
      </c>
      <c r="G4205">
        <v>17341</v>
      </c>
      <c r="H4205" t="s">
        <v>4232</v>
      </c>
      <c r="I4205" t="s">
        <v>4199</v>
      </c>
      <c r="J4205">
        <v>1</v>
      </c>
      <c r="K4205" t="s">
        <v>3931</v>
      </c>
      <c r="L4205">
        <v>85</v>
      </c>
      <c r="M4205">
        <v>85</v>
      </c>
      <c r="N4205" t="s">
        <v>2176</v>
      </c>
      <c r="O4205" t="s">
        <v>460</v>
      </c>
    </row>
    <row r="4206" spans="1:15" x14ac:dyDescent="0.3">
      <c r="A4206">
        <v>184498</v>
      </c>
      <c r="B4206">
        <v>116</v>
      </c>
      <c r="C4206" t="s">
        <v>568</v>
      </c>
      <c r="D4206" t="s">
        <v>2265</v>
      </c>
      <c r="E4206" t="s">
        <v>3313</v>
      </c>
      <c r="F4206" s="452">
        <v>46001</v>
      </c>
      <c r="G4206">
        <v>17314</v>
      </c>
      <c r="H4206" t="s">
        <v>4204</v>
      </c>
      <c r="I4206" t="s">
        <v>4199</v>
      </c>
      <c r="J4206">
        <v>2</v>
      </c>
      <c r="K4206" t="s">
        <v>3978</v>
      </c>
      <c r="L4206">
        <v>12.2</v>
      </c>
      <c r="M4206">
        <v>6.1</v>
      </c>
      <c r="N4206" t="s">
        <v>2176</v>
      </c>
      <c r="O4206" t="s">
        <v>460</v>
      </c>
    </row>
    <row r="4207" spans="1:15" x14ac:dyDescent="0.3">
      <c r="A4207">
        <v>184498</v>
      </c>
      <c r="B4207">
        <v>116</v>
      </c>
      <c r="C4207" t="s">
        <v>568</v>
      </c>
      <c r="D4207" t="s">
        <v>2265</v>
      </c>
      <c r="E4207" t="s">
        <v>3313</v>
      </c>
      <c r="F4207" s="452">
        <v>46001</v>
      </c>
      <c r="G4207">
        <v>17266</v>
      </c>
      <c r="H4207" t="s">
        <v>4229</v>
      </c>
      <c r="I4207" t="s">
        <v>4199</v>
      </c>
      <c r="J4207">
        <v>12</v>
      </c>
      <c r="K4207" t="s">
        <v>3872</v>
      </c>
      <c r="L4207">
        <v>61.08</v>
      </c>
      <c r="M4207">
        <v>5.09</v>
      </c>
      <c r="N4207" t="s">
        <v>2176</v>
      </c>
      <c r="O4207" t="s">
        <v>460</v>
      </c>
    </row>
    <row r="4208" spans="1:15" x14ac:dyDescent="0.3">
      <c r="A4208">
        <v>184498</v>
      </c>
      <c r="B4208">
        <v>116</v>
      </c>
      <c r="C4208" t="s">
        <v>568</v>
      </c>
      <c r="D4208" t="s">
        <v>2265</v>
      </c>
      <c r="E4208" t="s">
        <v>3313</v>
      </c>
      <c r="F4208" s="452">
        <v>46001</v>
      </c>
      <c r="G4208">
        <v>17215</v>
      </c>
      <c r="H4208" t="s">
        <v>4283</v>
      </c>
      <c r="I4208" t="s">
        <v>4199</v>
      </c>
      <c r="J4208">
        <v>5</v>
      </c>
      <c r="K4208" t="s">
        <v>3978</v>
      </c>
      <c r="L4208">
        <v>100</v>
      </c>
      <c r="M4208">
        <v>20</v>
      </c>
      <c r="N4208" t="s">
        <v>2176</v>
      </c>
      <c r="O4208" t="s">
        <v>460</v>
      </c>
    </row>
    <row r="4209" spans="1:15" x14ac:dyDescent="0.3">
      <c r="A4209">
        <v>184498</v>
      </c>
      <c r="B4209">
        <v>116</v>
      </c>
      <c r="C4209" t="s">
        <v>568</v>
      </c>
      <c r="D4209" t="s">
        <v>2265</v>
      </c>
      <c r="E4209" t="s">
        <v>3313</v>
      </c>
      <c r="F4209" s="452">
        <v>46001</v>
      </c>
      <c r="G4209">
        <v>17017</v>
      </c>
      <c r="H4209" t="s">
        <v>4230</v>
      </c>
      <c r="I4209" t="s">
        <v>4199</v>
      </c>
      <c r="J4209">
        <v>2</v>
      </c>
      <c r="K4209" t="s">
        <v>3888</v>
      </c>
      <c r="L4209">
        <v>7</v>
      </c>
      <c r="M4209">
        <v>3.5</v>
      </c>
      <c r="N4209" t="s">
        <v>2176</v>
      </c>
      <c r="O4209" t="s">
        <v>460</v>
      </c>
    </row>
    <row r="4210" spans="1:15" x14ac:dyDescent="0.3">
      <c r="A4210">
        <v>184498</v>
      </c>
      <c r="B4210">
        <v>116</v>
      </c>
      <c r="C4210" t="s">
        <v>568</v>
      </c>
      <c r="D4210" t="s">
        <v>2265</v>
      </c>
      <c r="E4210" t="s">
        <v>3313</v>
      </c>
      <c r="F4210" s="452">
        <v>46001</v>
      </c>
      <c r="G4210">
        <v>17425</v>
      </c>
      <c r="H4210" t="s">
        <v>4421</v>
      </c>
      <c r="I4210" t="s">
        <v>4199</v>
      </c>
      <c r="J4210">
        <v>4</v>
      </c>
      <c r="K4210" t="s">
        <v>3881</v>
      </c>
      <c r="L4210">
        <v>220.8</v>
      </c>
      <c r="M4210">
        <v>55.2</v>
      </c>
      <c r="N4210" t="s">
        <v>2176</v>
      </c>
      <c r="O4210" t="s">
        <v>460</v>
      </c>
    </row>
    <row r="4211" spans="1:15" x14ac:dyDescent="0.3">
      <c r="A4211">
        <v>184498</v>
      </c>
      <c r="B4211">
        <v>116</v>
      </c>
      <c r="C4211" t="s">
        <v>568</v>
      </c>
      <c r="D4211" t="s">
        <v>2265</v>
      </c>
      <c r="E4211" t="s">
        <v>3313</v>
      </c>
      <c r="F4211" s="452">
        <v>46001</v>
      </c>
      <c r="G4211">
        <v>24843</v>
      </c>
      <c r="H4211" t="s">
        <v>4392</v>
      </c>
      <c r="I4211" t="s">
        <v>4199</v>
      </c>
      <c r="J4211">
        <v>1</v>
      </c>
      <c r="K4211" t="s">
        <v>3881</v>
      </c>
      <c r="L4211">
        <v>62</v>
      </c>
      <c r="M4211">
        <v>62</v>
      </c>
      <c r="N4211" t="s">
        <v>2176</v>
      </c>
      <c r="O4211" t="s">
        <v>460</v>
      </c>
    </row>
    <row r="4212" spans="1:15" x14ac:dyDescent="0.3">
      <c r="A4212">
        <v>184493</v>
      </c>
      <c r="B4212">
        <v>116</v>
      </c>
      <c r="C4212" t="s">
        <v>568</v>
      </c>
      <c r="D4212" t="s">
        <v>2267</v>
      </c>
      <c r="E4212" t="s">
        <v>3314</v>
      </c>
      <c r="F4212" s="452">
        <v>46000</v>
      </c>
      <c r="G4212">
        <v>24517</v>
      </c>
      <c r="H4212" t="s">
        <v>3991</v>
      </c>
      <c r="I4212" t="s">
        <v>3469</v>
      </c>
      <c r="J4212">
        <v>10</v>
      </c>
      <c r="K4212" t="s">
        <v>3892</v>
      </c>
      <c r="L4212">
        <v>279.89999999999998</v>
      </c>
      <c r="M4212">
        <v>27.99</v>
      </c>
      <c r="N4212" t="s">
        <v>4240</v>
      </c>
      <c r="O4212" t="s">
        <v>460</v>
      </c>
    </row>
    <row r="4213" spans="1:15" x14ac:dyDescent="0.3">
      <c r="A4213">
        <v>184493</v>
      </c>
      <c r="B4213">
        <v>116</v>
      </c>
      <c r="C4213" t="s">
        <v>568</v>
      </c>
      <c r="D4213" t="s">
        <v>2267</v>
      </c>
      <c r="E4213" t="s">
        <v>3314</v>
      </c>
      <c r="F4213" s="452">
        <v>46000</v>
      </c>
      <c r="G4213">
        <v>18682</v>
      </c>
      <c r="H4213" t="s">
        <v>4025</v>
      </c>
      <c r="I4213" t="s">
        <v>3469</v>
      </c>
      <c r="J4213">
        <v>6</v>
      </c>
      <c r="K4213" t="s">
        <v>3892</v>
      </c>
      <c r="L4213">
        <v>167.94</v>
      </c>
      <c r="M4213">
        <v>27.99</v>
      </c>
      <c r="N4213" t="s">
        <v>4240</v>
      </c>
      <c r="O4213" t="s">
        <v>460</v>
      </c>
    </row>
    <row r="4214" spans="1:15" x14ac:dyDescent="0.3">
      <c r="A4214">
        <v>184493</v>
      </c>
      <c r="B4214">
        <v>116</v>
      </c>
      <c r="C4214" t="s">
        <v>568</v>
      </c>
      <c r="D4214" t="s">
        <v>2267</v>
      </c>
      <c r="E4214" t="s">
        <v>3314</v>
      </c>
      <c r="F4214" s="452">
        <v>46000</v>
      </c>
      <c r="G4214">
        <v>18696</v>
      </c>
      <c r="H4214" t="s">
        <v>3956</v>
      </c>
      <c r="I4214" t="s">
        <v>3469</v>
      </c>
      <c r="J4214">
        <v>5</v>
      </c>
      <c r="K4214" t="s">
        <v>3892</v>
      </c>
      <c r="L4214">
        <v>89.95</v>
      </c>
      <c r="M4214">
        <v>17.989999999999998</v>
      </c>
      <c r="N4214" t="s">
        <v>4240</v>
      </c>
      <c r="O4214" t="s">
        <v>460</v>
      </c>
    </row>
    <row r="4215" spans="1:15" x14ac:dyDescent="0.3">
      <c r="A4215">
        <v>184493</v>
      </c>
      <c r="B4215">
        <v>116</v>
      </c>
      <c r="C4215" t="s">
        <v>568</v>
      </c>
      <c r="D4215" t="s">
        <v>2267</v>
      </c>
      <c r="E4215" t="s">
        <v>3314</v>
      </c>
      <c r="F4215" s="452">
        <v>46000</v>
      </c>
      <c r="G4215">
        <v>20549</v>
      </c>
      <c r="H4215" t="s">
        <v>4007</v>
      </c>
      <c r="I4215" t="s">
        <v>3469</v>
      </c>
      <c r="J4215">
        <v>11.8</v>
      </c>
      <c r="K4215" t="s">
        <v>3892</v>
      </c>
      <c r="L4215">
        <v>235.88</v>
      </c>
      <c r="M4215">
        <v>19.989830999999999</v>
      </c>
      <c r="N4215" t="s">
        <v>4240</v>
      </c>
      <c r="O4215" t="s">
        <v>460</v>
      </c>
    </row>
    <row r="4216" spans="1:15" x14ac:dyDescent="0.3">
      <c r="A4216">
        <v>184492</v>
      </c>
      <c r="B4216">
        <v>116</v>
      </c>
      <c r="C4216" t="s">
        <v>568</v>
      </c>
      <c r="D4216" t="s">
        <v>2260</v>
      </c>
      <c r="E4216" t="s">
        <v>3315</v>
      </c>
      <c r="F4216" s="452">
        <v>46000</v>
      </c>
      <c r="G4216">
        <v>18685</v>
      </c>
      <c r="H4216" t="s">
        <v>3945</v>
      </c>
      <c r="I4216" t="s">
        <v>3469</v>
      </c>
      <c r="J4216">
        <v>6.3</v>
      </c>
      <c r="K4216" t="s">
        <v>4197</v>
      </c>
      <c r="L4216">
        <v>245.7</v>
      </c>
      <c r="M4216">
        <v>39</v>
      </c>
      <c r="N4216" t="s">
        <v>4240</v>
      </c>
      <c r="O4216" t="s">
        <v>460</v>
      </c>
    </row>
    <row r="4217" spans="1:15" x14ac:dyDescent="0.3">
      <c r="A4217">
        <v>184492</v>
      </c>
      <c r="B4217">
        <v>116</v>
      </c>
      <c r="C4217" t="s">
        <v>568</v>
      </c>
      <c r="D4217" t="s">
        <v>2260</v>
      </c>
      <c r="E4217" t="s">
        <v>3315</v>
      </c>
      <c r="F4217" s="452">
        <v>46000</v>
      </c>
      <c r="G4217">
        <v>20555</v>
      </c>
      <c r="H4217" t="s">
        <v>3959</v>
      </c>
      <c r="I4217" t="s">
        <v>3469</v>
      </c>
      <c r="J4217">
        <v>4.5</v>
      </c>
      <c r="K4217" t="s">
        <v>3892</v>
      </c>
      <c r="L4217">
        <v>355.5</v>
      </c>
      <c r="M4217">
        <v>79</v>
      </c>
      <c r="N4217" t="s">
        <v>4240</v>
      </c>
      <c r="O4217" t="s">
        <v>460</v>
      </c>
    </row>
    <row r="4218" spans="1:15" x14ac:dyDescent="0.3">
      <c r="A4218">
        <v>184492</v>
      </c>
      <c r="B4218">
        <v>116</v>
      </c>
      <c r="C4218" t="s">
        <v>568</v>
      </c>
      <c r="D4218" t="s">
        <v>2260</v>
      </c>
      <c r="E4218" t="s">
        <v>3315</v>
      </c>
      <c r="F4218" s="452">
        <v>46000</v>
      </c>
      <c r="G4218">
        <v>24072</v>
      </c>
      <c r="H4218" t="s">
        <v>4002</v>
      </c>
      <c r="I4218" t="s">
        <v>3469</v>
      </c>
      <c r="J4218">
        <v>3.1</v>
      </c>
      <c r="K4218" t="s">
        <v>3892</v>
      </c>
      <c r="L4218">
        <v>616.9</v>
      </c>
      <c r="M4218">
        <v>199</v>
      </c>
      <c r="N4218" t="s">
        <v>4240</v>
      </c>
      <c r="O4218" t="s">
        <v>460</v>
      </c>
    </row>
    <row r="4219" spans="1:15" x14ac:dyDescent="0.3">
      <c r="A4219">
        <v>184492</v>
      </c>
      <c r="B4219">
        <v>116</v>
      </c>
      <c r="C4219" t="s">
        <v>568</v>
      </c>
      <c r="D4219" t="s">
        <v>2260</v>
      </c>
      <c r="E4219" t="s">
        <v>3315</v>
      </c>
      <c r="F4219" s="452">
        <v>46000</v>
      </c>
      <c r="G4219">
        <v>22734</v>
      </c>
      <c r="H4219" t="s">
        <v>3955</v>
      </c>
      <c r="I4219" t="s">
        <v>3469</v>
      </c>
      <c r="J4219">
        <v>10.4</v>
      </c>
      <c r="K4219" t="s">
        <v>3892</v>
      </c>
      <c r="L4219">
        <v>1029.5999999999999</v>
      </c>
      <c r="M4219">
        <v>99</v>
      </c>
      <c r="N4219" t="s">
        <v>4240</v>
      </c>
      <c r="O4219" t="s">
        <v>460</v>
      </c>
    </row>
    <row r="4220" spans="1:15" x14ac:dyDescent="0.3">
      <c r="A4220">
        <v>184492</v>
      </c>
      <c r="B4220">
        <v>116</v>
      </c>
      <c r="C4220" t="s">
        <v>568</v>
      </c>
      <c r="D4220" t="s">
        <v>2260</v>
      </c>
      <c r="E4220" t="s">
        <v>3315</v>
      </c>
      <c r="F4220" s="452">
        <v>46000</v>
      </c>
      <c r="G4220">
        <v>27884</v>
      </c>
      <c r="H4220" t="s">
        <v>3910</v>
      </c>
      <c r="I4220" t="s">
        <v>3469</v>
      </c>
      <c r="J4220">
        <v>6.1</v>
      </c>
      <c r="K4220" t="s">
        <v>3892</v>
      </c>
      <c r="L4220">
        <v>396.5</v>
      </c>
      <c r="M4220">
        <v>65</v>
      </c>
      <c r="N4220" t="s">
        <v>4240</v>
      </c>
      <c r="O4220" t="s">
        <v>460</v>
      </c>
    </row>
    <row r="4221" spans="1:15" x14ac:dyDescent="0.3">
      <c r="A4221">
        <v>184489</v>
      </c>
      <c r="B4221">
        <v>116</v>
      </c>
      <c r="C4221" t="s">
        <v>568</v>
      </c>
      <c r="D4221" t="s">
        <v>2357</v>
      </c>
      <c r="E4221" t="s">
        <v>3316</v>
      </c>
      <c r="F4221" s="452">
        <v>46000</v>
      </c>
      <c r="G4221">
        <v>20278</v>
      </c>
      <c r="H4221" t="s">
        <v>3939</v>
      </c>
      <c r="I4221" t="s">
        <v>3469</v>
      </c>
      <c r="J4221">
        <v>10</v>
      </c>
      <c r="K4221" t="s">
        <v>3872</v>
      </c>
      <c r="L4221">
        <v>332.7</v>
      </c>
      <c r="M4221">
        <v>33.270000000000003</v>
      </c>
      <c r="N4221" t="s">
        <v>4240</v>
      </c>
      <c r="O4221" t="s">
        <v>460</v>
      </c>
    </row>
    <row r="4222" spans="1:15" x14ac:dyDescent="0.3">
      <c r="A4222">
        <v>184486</v>
      </c>
      <c r="B4222">
        <v>116</v>
      </c>
      <c r="C4222" t="s">
        <v>568</v>
      </c>
      <c r="D4222" t="s">
        <v>2463</v>
      </c>
      <c r="E4222" t="s">
        <v>3317</v>
      </c>
      <c r="F4222" s="452">
        <v>45993</v>
      </c>
      <c r="G4222">
        <v>19130</v>
      </c>
      <c r="H4222" t="s">
        <v>4284</v>
      </c>
      <c r="I4222" t="s">
        <v>3469</v>
      </c>
      <c r="J4222">
        <v>912</v>
      </c>
      <c r="K4222" t="s">
        <v>3892</v>
      </c>
      <c r="L4222">
        <v>957.6</v>
      </c>
      <c r="M4222">
        <v>1.05</v>
      </c>
      <c r="N4222" t="s">
        <v>4240</v>
      </c>
      <c r="O4222" t="s">
        <v>460</v>
      </c>
    </row>
    <row r="4223" spans="1:15" x14ac:dyDescent="0.3">
      <c r="A4223">
        <v>184486</v>
      </c>
      <c r="B4223">
        <v>116</v>
      </c>
      <c r="C4223" t="s">
        <v>568</v>
      </c>
      <c r="D4223" t="s">
        <v>2463</v>
      </c>
      <c r="E4223" t="s">
        <v>3317</v>
      </c>
      <c r="F4223" s="452">
        <v>45993</v>
      </c>
      <c r="G4223">
        <v>23687</v>
      </c>
      <c r="H4223" t="s">
        <v>4285</v>
      </c>
      <c r="I4223" t="s">
        <v>3469</v>
      </c>
      <c r="J4223">
        <v>28.9</v>
      </c>
      <c r="K4223" t="s">
        <v>3892</v>
      </c>
      <c r="L4223">
        <v>372.81</v>
      </c>
      <c r="M4223">
        <v>12.9</v>
      </c>
      <c r="N4223" t="s">
        <v>4240</v>
      </c>
      <c r="O4223" t="s">
        <v>460</v>
      </c>
    </row>
    <row r="4224" spans="1:15" x14ac:dyDescent="0.3">
      <c r="A4224">
        <v>184485</v>
      </c>
      <c r="B4224">
        <v>116</v>
      </c>
      <c r="C4224" t="s">
        <v>568</v>
      </c>
      <c r="D4224" t="s">
        <v>2332</v>
      </c>
      <c r="E4224" t="s">
        <v>3318</v>
      </c>
      <c r="F4224" s="452">
        <v>46000</v>
      </c>
      <c r="G4224">
        <v>18467</v>
      </c>
      <c r="H4224" t="s">
        <v>4028</v>
      </c>
      <c r="I4224" t="s">
        <v>3497</v>
      </c>
      <c r="J4224">
        <v>2</v>
      </c>
      <c r="K4224" t="s">
        <v>3878</v>
      </c>
      <c r="L4224">
        <v>150.16</v>
      </c>
      <c r="M4224">
        <v>75.08</v>
      </c>
      <c r="N4224" t="s">
        <v>3497</v>
      </c>
      <c r="O4224" t="s">
        <v>460</v>
      </c>
    </row>
    <row r="4225" spans="1:15" x14ac:dyDescent="0.3">
      <c r="A4225">
        <v>184484</v>
      </c>
      <c r="B4225">
        <v>116</v>
      </c>
      <c r="C4225" t="s">
        <v>568</v>
      </c>
      <c r="D4225" t="s">
        <v>2332</v>
      </c>
      <c r="E4225" t="s">
        <v>3319</v>
      </c>
      <c r="F4225" s="452">
        <v>45994</v>
      </c>
      <c r="G4225">
        <v>18545</v>
      </c>
      <c r="H4225" t="s">
        <v>4099</v>
      </c>
      <c r="I4225" t="s">
        <v>3497</v>
      </c>
      <c r="J4225">
        <v>1</v>
      </c>
      <c r="K4225" t="s">
        <v>3878</v>
      </c>
      <c r="L4225">
        <v>45.77</v>
      </c>
      <c r="M4225">
        <v>45.77</v>
      </c>
      <c r="N4225" t="s">
        <v>3497</v>
      </c>
      <c r="O4225" t="s">
        <v>460</v>
      </c>
    </row>
    <row r="4226" spans="1:15" x14ac:dyDescent="0.3">
      <c r="A4226">
        <v>184484</v>
      </c>
      <c r="B4226">
        <v>116</v>
      </c>
      <c r="C4226" t="s">
        <v>568</v>
      </c>
      <c r="D4226" t="s">
        <v>2332</v>
      </c>
      <c r="E4226" t="s">
        <v>3319</v>
      </c>
      <c r="F4226" s="452">
        <v>45994</v>
      </c>
      <c r="G4226">
        <v>18467</v>
      </c>
      <c r="H4226" t="s">
        <v>4028</v>
      </c>
      <c r="I4226" t="s">
        <v>3497</v>
      </c>
      <c r="J4226">
        <v>2</v>
      </c>
      <c r="K4226" t="s">
        <v>3878</v>
      </c>
      <c r="L4226">
        <v>150.16</v>
      </c>
      <c r="M4226">
        <v>75.08</v>
      </c>
      <c r="N4226" t="s">
        <v>3497</v>
      </c>
      <c r="O4226" t="s">
        <v>460</v>
      </c>
    </row>
    <row r="4227" spans="1:15" x14ac:dyDescent="0.3">
      <c r="A4227">
        <v>184484</v>
      </c>
      <c r="B4227">
        <v>116</v>
      </c>
      <c r="C4227" t="s">
        <v>568</v>
      </c>
      <c r="D4227" t="s">
        <v>2332</v>
      </c>
      <c r="E4227" t="s">
        <v>3319</v>
      </c>
      <c r="F4227" s="452">
        <v>45994</v>
      </c>
      <c r="G4227">
        <v>18528</v>
      </c>
      <c r="H4227" t="s">
        <v>4108</v>
      </c>
      <c r="I4227" t="s">
        <v>3497</v>
      </c>
      <c r="J4227">
        <v>1</v>
      </c>
      <c r="K4227" t="s">
        <v>3878</v>
      </c>
      <c r="L4227">
        <v>55.48</v>
      </c>
      <c r="M4227">
        <v>55.48</v>
      </c>
      <c r="N4227" t="s">
        <v>3497</v>
      </c>
      <c r="O4227" t="s">
        <v>460</v>
      </c>
    </row>
    <row r="4228" spans="1:15" x14ac:dyDescent="0.3">
      <c r="A4228">
        <v>184482</v>
      </c>
      <c r="B4228">
        <v>116</v>
      </c>
      <c r="C4228" t="s">
        <v>568</v>
      </c>
      <c r="D4228" t="s">
        <v>2286</v>
      </c>
      <c r="E4228" t="s">
        <v>3320</v>
      </c>
      <c r="F4228" s="452">
        <v>46002</v>
      </c>
      <c r="G4228">
        <v>19787</v>
      </c>
      <c r="H4228" t="s">
        <v>3940</v>
      </c>
      <c r="I4228" t="s">
        <v>3469</v>
      </c>
      <c r="J4228">
        <v>3</v>
      </c>
      <c r="K4228" t="s">
        <v>3892</v>
      </c>
      <c r="L4228">
        <v>13.2</v>
      </c>
      <c r="M4228">
        <v>4.4000000000000004</v>
      </c>
      <c r="N4228" t="s">
        <v>4240</v>
      </c>
      <c r="O4228" t="s">
        <v>460</v>
      </c>
    </row>
    <row r="4229" spans="1:15" x14ac:dyDescent="0.3">
      <c r="A4229">
        <v>184482</v>
      </c>
      <c r="B4229">
        <v>116</v>
      </c>
      <c r="C4229" t="s">
        <v>568</v>
      </c>
      <c r="D4229" t="s">
        <v>2286</v>
      </c>
      <c r="E4229" t="s">
        <v>3320</v>
      </c>
      <c r="F4229" s="452">
        <v>46002</v>
      </c>
      <c r="G4229">
        <v>19634</v>
      </c>
      <c r="H4229" t="s">
        <v>4068</v>
      </c>
      <c r="I4229" t="s">
        <v>3469</v>
      </c>
      <c r="J4229">
        <v>2</v>
      </c>
      <c r="K4229" t="s">
        <v>3892</v>
      </c>
      <c r="L4229">
        <v>9.6</v>
      </c>
      <c r="M4229">
        <v>4.8</v>
      </c>
      <c r="N4229" t="s">
        <v>4240</v>
      </c>
      <c r="O4229" t="s">
        <v>460</v>
      </c>
    </row>
    <row r="4230" spans="1:15" x14ac:dyDescent="0.3">
      <c r="A4230">
        <v>184482</v>
      </c>
      <c r="B4230">
        <v>116</v>
      </c>
      <c r="C4230" t="s">
        <v>568</v>
      </c>
      <c r="D4230" t="s">
        <v>2286</v>
      </c>
      <c r="E4230" t="s">
        <v>3320</v>
      </c>
      <c r="F4230" s="452">
        <v>46002</v>
      </c>
      <c r="G4230">
        <v>19623</v>
      </c>
      <c r="H4230" t="s">
        <v>3984</v>
      </c>
      <c r="I4230" t="s">
        <v>3469</v>
      </c>
      <c r="J4230">
        <v>3</v>
      </c>
      <c r="K4230" t="s">
        <v>3892</v>
      </c>
      <c r="L4230">
        <v>17.850000000000001</v>
      </c>
      <c r="M4230">
        <v>5.95</v>
      </c>
      <c r="N4230" t="s">
        <v>4240</v>
      </c>
      <c r="O4230" t="s">
        <v>460</v>
      </c>
    </row>
    <row r="4231" spans="1:15" x14ac:dyDescent="0.3">
      <c r="A4231">
        <v>184482</v>
      </c>
      <c r="B4231">
        <v>116</v>
      </c>
      <c r="C4231" t="s">
        <v>568</v>
      </c>
      <c r="D4231" t="s">
        <v>2286</v>
      </c>
      <c r="E4231" t="s">
        <v>3320</v>
      </c>
      <c r="F4231" s="452">
        <v>46002</v>
      </c>
      <c r="G4231">
        <v>19589</v>
      </c>
      <c r="H4231" t="s">
        <v>4153</v>
      </c>
      <c r="I4231" t="s">
        <v>3469</v>
      </c>
      <c r="J4231">
        <v>2</v>
      </c>
      <c r="K4231" t="s">
        <v>3892</v>
      </c>
      <c r="L4231">
        <v>7.7</v>
      </c>
      <c r="M4231">
        <v>3.85</v>
      </c>
      <c r="N4231" t="s">
        <v>4240</v>
      </c>
      <c r="O4231" t="s">
        <v>460</v>
      </c>
    </row>
    <row r="4232" spans="1:15" x14ac:dyDescent="0.3">
      <c r="A4232">
        <v>184482</v>
      </c>
      <c r="B4232">
        <v>116</v>
      </c>
      <c r="C4232" t="s">
        <v>568</v>
      </c>
      <c r="D4232" t="s">
        <v>2286</v>
      </c>
      <c r="E4232" t="s">
        <v>3320</v>
      </c>
      <c r="F4232" s="452">
        <v>46002</v>
      </c>
      <c r="G4232">
        <v>19506</v>
      </c>
      <c r="H4232" t="s">
        <v>4112</v>
      </c>
      <c r="I4232" t="s">
        <v>3469</v>
      </c>
      <c r="J4232">
        <v>0.2</v>
      </c>
      <c r="K4232" t="s">
        <v>3892</v>
      </c>
      <c r="L4232">
        <v>8</v>
      </c>
      <c r="M4232">
        <v>40</v>
      </c>
      <c r="N4232" t="s">
        <v>4240</v>
      </c>
      <c r="O4232" t="s">
        <v>460</v>
      </c>
    </row>
    <row r="4233" spans="1:15" x14ac:dyDescent="0.3">
      <c r="A4233">
        <v>184482</v>
      </c>
      <c r="B4233">
        <v>116</v>
      </c>
      <c r="C4233" t="s">
        <v>568</v>
      </c>
      <c r="D4233" t="s">
        <v>2286</v>
      </c>
      <c r="E4233" t="s">
        <v>3320</v>
      </c>
      <c r="F4233" s="452">
        <v>46002</v>
      </c>
      <c r="G4233">
        <v>19621</v>
      </c>
      <c r="H4233" t="s">
        <v>4125</v>
      </c>
      <c r="I4233" t="s">
        <v>3469</v>
      </c>
      <c r="J4233">
        <v>2</v>
      </c>
      <c r="K4233" t="s">
        <v>3892</v>
      </c>
      <c r="L4233">
        <v>5</v>
      </c>
      <c r="M4233">
        <v>2.5</v>
      </c>
      <c r="N4233" t="s">
        <v>4240</v>
      </c>
      <c r="O4233" t="s">
        <v>460</v>
      </c>
    </row>
    <row r="4234" spans="1:15" x14ac:dyDescent="0.3">
      <c r="A4234">
        <v>184482</v>
      </c>
      <c r="B4234">
        <v>116</v>
      </c>
      <c r="C4234" t="s">
        <v>568</v>
      </c>
      <c r="D4234" t="s">
        <v>2286</v>
      </c>
      <c r="E4234" t="s">
        <v>3320</v>
      </c>
      <c r="F4234" s="452">
        <v>46002</v>
      </c>
      <c r="G4234">
        <v>19505</v>
      </c>
      <c r="H4234" t="s">
        <v>4101</v>
      </c>
      <c r="I4234" t="s">
        <v>3469</v>
      </c>
      <c r="J4234">
        <v>1.5</v>
      </c>
      <c r="K4234" t="s">
        <v>3892</v>
      </c>
      <c r="L4234">
        <v>8.25</v>
      </c>
      <c r="M4234">
        <v>5.5</v>
      </c>
      <c r="N4234" t="s">
        <v>4240</v>
      </c>
      <c r="O4234" t="s">
        <v>460</v>
      </c>
    </row>
    <row r="4235" spans="1:15" x14ac:dyDescent="0.3">
      <c r="A4235">
        <v>184482</v>
      </c>
      <c r="B4235">
        <v>116</v>
      </c>
      <c r="C4235" t="s">
        <v>568</v>
      </c>
      <c r="D4235" t="s">
        <v>2286</v>
      </c>
      <c r="E4235" t="s">
        <v>3320</v>
      </c>
      <c r="F4235" s="452">
        <v>46002</v>
      </c>
      <c r="G4235">
        <v>19465</v>
      </c>
      <c r="H4235" t="s">
        <v>4080</v>
      </c>
      <c r="I4235" t="s">
        <v>3469</v>
      </c>
      <c r="J4235">
        <v>1</v>
      </c>
      <c r="K4235" t="s">
        <v>3892</v>
      </c>
      <c r="L4235">
        <v>5</v>
      </c>
      <c r="M4235">
        <v>5</v>
      </c>
      <c r="N4235" t="s">
        <v>4240</v>
      </c>
      <c r="O4235" t="s">
        <v>460</v>
      </c>
    </row>
    <row r="4236" spans="1:15" x14ac:dyDescent="0.3">
      <c r="A4236">
        <v>184482</v>
      </c>
      <c r="B4236">
        <v>116</v>
      </c>
      <c r="C4236" t="s">
        <v>568</v>
      </c>
      <c r="D4236" t="s">
        <v>2286</v>
      </c>
      <c r="E4236" t="s">
        <v>3320</v>
      </c>
      <c r="F4236" s="452">
        <v>46002</v>
      </c>
      <c r="G4236">
        <v>19498</v>
      </c>
      <c r="H4236" t="s">
        <v>4065</v>
      </c>
      <c r="I4236" t="s">
        <v>3469</v>
      </c>
      <c r="J4236">
        <v>1</v>
      </c>
      <c r="K4236" t="s">
        <v>3892</v>
      </c>
      <c r="L4236">
        <v>7</v>
      </c>
      <c r="M4236">
        <v>7</v>
      </c>
      <c r="N4236" t="s">
        <v>4240</v>
      </c>
      <c r="O4236" t="s">
        <v>460</v>
      </c>
    </row>
    <row r="4237" spans="1:15" x14ac:dyDescent="0.3">
      <c r="A4237">
        <v>184482</v>
      </c>
      <c r="B4237">
        <v>116</v>
      </c>
      <c r="C4237" t="s">
        <v>568</v>
      </c>
      <c r="D4237" t="s">
        <v>2286</v>
      </c>
      <c r="E4237" t="s">
        <v>3320</v>
      </c>
      <c r="F4237" s="452">
        <v>46002</v>
      </c>
      <c r="G4237">
        <v>19480</v>
      </c>
      <c r="H4237" t="s">
        <v>4113</v>
      </c>
      <c r="I4237" t="s">
        <v>3469</v>
      </c>
      <c r="J4237">
        <v>0.2</v>
      </c>
      <c r="K4237" t="s">
        <v>3892</v>
      </c>
      <c r="L4237">
        <v>2.4</v>
      </c>
      <c r="M4237">
        <v>12</v>
      </c>
      <c r="N4237" t="s">
        <v>4240</v>
      </c>
      <c r="O4237" t="s">
        <v>460</v>
      </c>
    </row>
    <row r="4238" spans="1:15" x14ac:dyDescent="0.3">
      <c r="A4238">
        <v>184482</v>
      </c>
      <c r="B4238">
        <v>116</v>
      </c>
      <c r="C4238" t="s">
        <v>568</v>
      </c>
      <c r="D4238" t="s">
        <v>2286</v>
      </c>
      <c r="E4238" t="s">
        <v>3320</v>
      </c>
      <c r="F4238" s="452">
        <v>46002</v>
      </c>
      <c r="G4238">
        <v>19647</v>
      </c>
      <c r="H4238" t="s">
        <v>4066</v>
      </c>
      <c r="I4238" t="s">
        <v>3469</v>
      </c>
      <c r="J4238">
        <v>1</v>
      </c>
      <c r="K4238" t="s">
        <v>3892</v>
      </c>
      <c r="L4238">
        <v>6.5</v>
      </c>
      <c r="M4238">
        <v>6.5</v>
      </c>
      <c r="N4238" t="s">
        <v>4240</v>
      </c>
      <c r="O4238" t="s">
        <v>460</v>
      </c>
    </row>
    <row r="4239" spans="1:15" x14ac:dyDescent="0.3">
      <c r="A4239">
        <v>184482</v>
      </c>
      <c r="B4239">
        <v>116</v>
      </c>
      <c r="C4239" t="s">
        <v>568</v>
      </c>
      <c r="D4239" t="s">
        <v>2286</v>
      </c>
      <c r="E4239" t="s">
        <v>3320</v>
      </c>
      <c r="F4239" s="452">
        <v>46002</v>
      </c>
      <c r="G4239">
        <v>19740</v>
      </c>
      <c r="H4239" t="s">
        <v>3933</v>
      </c>
      <c r="I4239" t="s">
        <v>3469</v>
      </c>
      <c r="J4239">
        <v>6</v>
      </c>
      <c r="K4239" t="s">
        <v>3892</v>
      </c>
      <c r="L4239">
        <v>90</v>
      </c>
      <c r="M4239">
        <v>15</v>
      </c>
      <c r="N4239" t="s">
        <v>4240</v>
      </c>
      <c r="O4239" t="s">
        <v>460</v>
      </c>
    </row>
    <row r="4240" spans="1:15" x14ac:dyDescent="0.3">
      <c r="A4240">
        <v>184482</v>
      </c>
      <c r="B4240">
        <v>116</v>
      </c>
      <c r="C4240" t="s">
        <v>568</v>
      </c>
      <c r="D4240" t="s">
        <v>2286</v>
      </c>
      <c r="E4240" t="s">
        <v>3320</v>
      </c>
      <c r="F4240" s="452">
        <v>46002</v>
      </c>
      <c r="G4240">
        <v>19742</v>
      </c>
      <c r="H4240" t="s">
        <v>4074</v>
      </c>
      <c r="I4240" t="s">
        <v>3469</v>
      </c>
      <c r="J4240">
        <v>1</v>
      </c>
      <c r="K4240" t="s">
        <v>3892</v>
      </c>
      <c r="L4240">
        <v>9.5</v>
      </c>
      <c r="M4240">
        <v>9.5</v>
      </c>
      <c r="N4240" t="s">
        <v>4240</v>
      </c>
      <c r="O4240" t="s">
        <v>460</v>
      </c>
    </row>
    <row r="4241" spans="1:15" x14ac:dyDescent="0.3">
      <c r="A4241">
        <v>184482</v>
      </c>
      <c r="B4241">
        <v>116</v>
      </c>
      <c r="C4241" t="s">
        <v>568</v>
      </c>
      <c r="D4241" t="s">
        <v>2286</v>
      </c>
      <c r="E4241" t="s">
        <v>3320</v>
      </c>
      <c r="F4241" s="452">
        <v>46002</v>
      </c>
      <c r="G4241">
        <v>19752</v>
      </c>
      <c r="H4241" t="s">
        <v>4042</v>
      </c>
      <c r="I4241" t="s">
        <v>3469</v>
      </c>
      <c r="J4241">
        <v>1</v>
      </c>
      <c r="K4241" t="s">
        <v>3892</v>
      </c>
      <c r="L4241">
        <v>11.5</v>
      </c>
      <c r="M4241">
        <v>11.5</v>
      </c>
      <c r="N4241" t="s">
        <v>4240</v>
      </c>
      <c r="O4241" t="s">
        <v>460</v>
      </c>
    </row>
    <row r="4242" spans="1:15" x14ac:dyDescent="0.3">
      <c r="A4242">
        <v>184482</v>
      </c>
      <c r="B4242">
        <v>116</v>
      </c>
      <c r="C4242" t="s">
        <v>568</v>
      </c>
      <c r="D4242" t="s">
        <v>2286</v>
      </c>
      <c r="E4242" t="s">
        <v>3320</v>
      </c>
      <c r="F4242" s="452">
        <v>46002</v>
      </c>
      <c r="G4242">
        <v>23096</v>
      </c>
      <c r="H4242" t="s">
        <v>3876</v>
      </c>
      <c r="I4242" t="s">
        <v>3469</v>
      </c>
      <c r="J4242">
        <v>60</v>
      </c>
      <c r="K4242" t="s">
        <v>3872</v>
      </c>
      <c r="L4242">
        <v>34.200000000000003</v>
      </c>
      <c r="M4242">
        <v>0.56999999999999995</v>
      </c>
      <c r="N4242" t="s">
        <v>4240</v>
      </c>
      <c r="O4242" t="s">
        <v>460</v>
      </c>
    </row>
    <row r="4243" spans="1:15" x14ac:dyDescent="0.3">
      <c r="A4243">
        <v>184482</v>
      </c>
      <c r="B4243">
        <v>116</v>
      </c>
      <c r="C4243" t="s">
        <v>568</v>
      </c>
      <c r="D4243" t="s">
        <v>2286</v>
      </c>
      <c r="E4243" t="s">
        <v>3320</v>
      </c>
      <c r="F4243" s="452">
        <v>46002</v>
      </c>
      <c r="G4243">
        <v>23113</v>
      </c>
      <c r="H4243" t="s">
        <v>4079</v>
      </c>
      <c r="I4243" t="s">
        <v>3469</v>
      </c>
      <c r="J4243">
        <v>1.5</v>
      </c>
      <c r="K4243" t="s">
        <v>3892</v>
      </c>
      <c r="L4243">
        <v>10.5</v>
      </c>
      <c r="M4243">
        <v>7</v>
      </c>
      <c r="N4243" t="s">
        <v>4240</v>
      </c>
      <c r="O4243" t="s">
        <v>460</v>
      </c>
    </row>
    <row r="4244" spans="1:15" x14ac:dyDescent="0.3">
      <c r="A4244">
        <v>184482</v>
      </c>
      <c r="B4244">
        <v>116</v>
      </c>
      <c r="C4244" t="s">
        <v>568</v>
      </c>
      <c r="D4244" t="s">
        <v>2286</v>
      </c>
      <c r="E4244" t="s">
        <v>3320</v>
      </c>
      <c r="F4244" s="452">
        <v>46002</v>
      </c>
      <c r="G4244">
        <v>23171</v>
      </c>
      <c r="H4244" t="s">
        <v>4132</v>
      </c>
      <c r="I4244" t="s">
        <v>3469</v>
      </c>
      <c r="J4244">
        <v>3</v>
      </c>
      <c r="K4244" t="s">
        <v>3892</v>
      </c>
      <c r="L4244">
        <v>14.4</v>
      </c>
      <c r="M4244">
        <v>4.8</v>
      </c>
      <c r="N4244" t="s">
        <v>4240</v>
      </c>
      <c r="O4244" t="s">
        <v>460</v>
      </c>
    </row>
    <row r="4245" spans="1:15" x14ac:dyDescent="0.3">
      <c r="A4245">
        <v>184482</v>
      </c>
      <c r="B4245">
        <v>116</v>
      </c>
      <c r="C4245" t="s">
        <v>568</v>
      </c>
      <c r="D4245" t="s">
        <v>2286</v>
      </c>
      <c r="E4245" t="s">
        <v>3320</v>
      </c>
      <c r="F4245" s="452">
        <v>46002</v>
      </c>
      <c r="G4245">
        <v>23236</v>
      </c>
      <c r="H4245" t="s">
        <v>4017</v>
      </c>
      <c r="I4245" t="s">
        <v>3469</v>
      </c>
      <c r="J4245">
        <v>4</v>
      </c>
      <c r="K4245" t="s">
        <v>3892</v>
      </c>
      <c r="L4245">
        <v>20</v>
      </c>
      <c r="M4245">
        <v>5</v>
      </c>
      <c r="N4245" t="s">
        <v>4240</v>
      </c>
      <c r="O4245" t="s">
        <v>460</v>
      </c>
    </row>
    <row r="4246" spans="1:15" x14ac:dyDescent="0.3">
      <c r="A4246">
        <v>184482</v>
      </c>
      <c r="B4246">
        <v>116</v>
      </c>
      <c r="C4246" t="s">
        <v>568</v>
      </c>
      <c r="D4246" t="s">
        <v>2286</v>
      </c>
      <c r="E4246" t="s">
        <v>3320</v>
      </c>
      <c r="F4246" s="452">
        <v>46002</v>
      </c>
      <c r="G4246">
        <v>23361</v>
      </c>
      <c r="H4246" t="s">
        <v>4220</v>
      </c>
      <c r="I4246" t="s">
        <v>3469</v>
      </c>
      <c r="J4246">
        <v>18</v>
      </c>
      <c r="K4246" t="s">
        <v>3892</v>
      </c>
      <c r="L4246">
        <v>55.8</v>
      </c>
      <c r="M4246">
        <v>3.1</v>
      </c>
      <c r="N4246" t="s">
        <v>4240</v>
      </c>
      <c r="O4246" t="s">
        <v>460</v>
      </c>
    </row>
    <row r="4247" spans="1:15" x14ac:dyDescent="0.3">
      <c r="A4247">
        <v>184482</v>
      </c>
      <c r="B4247">
        <v>116</v>
      </c>
      <c r="C4247" t="s">
        <v>568</v>
      </c>
      <c r="D4247" t="s">
        <v>2286</v>
      </c>
      <c r="E4247" t="s">
        <v>3320</v>
      </c>
      <c r="F4247" s="452">
        <v>46002</v>
      </c>
      <c r="G4247">
        <v>23095</v>
      </c>
      <c r="H4247" t="s">
        <v>3882</v>
      </c>
      <c r="I4247" t="s">
        <v>3469</v>
      </c>
      <c r="J4247">
        <v>60</v>
      </c>
      <c r="K4247" t="s">
        <v>3872</v>
      </c>
      <c r="L4247">
        <v>56.4</v>
      </c>
      <c r="M4247">
        <v>0.94</v>
      </c>
      <c r="N4247" t="s">
        <v>4240</v>
      </c>
      <c r="O4247" t="s">
        <v>460</v>
      </c>
    </row>
    <row r="4248" spans="1:15" x14ac:dyDescent="0.3">
      <c r="A4248">
        <v>184482</v>
      </c>
      <c r="B4248">
        <v>116</v>
      </c>
      <c r="C4248" t="s">
        <v>568</v>
      </c>
      <c r="D4248" t="s">
        <v>2286</v>
      </c>
      <c r="E4248" t="s">
        <v>3320</v>
      </c>
      <c r="F4248" s="452">
        <v>46002</v>
      </c>
      <c r="G4248">
        <v>24037</v>
      </c>
      <c r="H4248" t="s">
        <v>4104</v>
      </c>
      <c r="I4248" t="s">
        <v>3469</v>
      </c>
      <c r="J4248">
        <v>2</v>
      </c>
      <c r="K4248" t="s">
        <v>3892</v>
      </c>
      <c r="L4248">
        <v>40</v>
      </c>
      <c r="M4248">
        <v>20</v>
      </c>
      <c r="N4248" t="s">
        <v>4240</v>
      </c>
      <c r="O4248" t="s">
        <v>460</v>
      </c>
    </row>
    <row r="4249" spans="1:15" x14ac:dyDescent="0.3">
      <c r="A4249">
        <v>184482</v>
      </c>
      <c r="B4249">
        <v>116</v>
      </c>
      <c r="C4249" t="s">
        <v>568</v>
      </c>
      <c r="D4249" t="s">
        <v>2286</v>
      </c>
      <c r="E4249" t="s">
        <v>3320</v>
      </c>
      <c r="F4249" s="452">
        <v>46002</v>
      </c>
      <c r="G4249">
        <v>19539</v>
      </c>
      <c r="H4249" t="s">
        <v>4133</v>
      </c>
      <c r="I4249" t="s">
        <v>3469</v>
      </c>
      <c r="J4249">
        <v>18</v>
      </c>
      <c r="K4249" t="s">
        <v>3892</v>
      </c>
      <c r="L4249">
        <v>68.400000000000006</v>
      </c>
      <c r="M4249">
        <v>3.8</v>
      </c>
      <c r="N4249" t="s">
        <v>4240</v>
      </c>
      <c r="O4249" t="s">
        <v>460</v>
      </c>
    </row>
    <row r="4250" spans="1:15" x14ac:dyDescent="0.3">
      <c r="A4250">
        <v>184479</v>
      </c>
      <c r="B4250">
        <v>116</v>
      </c>
      <c r="C4250" t="s">
        <v>568</v>
      </c>
      <c r="D4250" t="s">
        <v>2286</v>
      </c>
      <c r="E4250" t="s">
        <v>3321</v>
      </c>
      <c r="F4250" s="452">
        <v>45999</v>
      </c>
      <c r="G4250">
        <v>19787</v>
      </c>
      <c r="H4250" t="s">
        <v>3940</v>
      </c>
      <c r="I4250" t="s">
        <v>3469</v>
      </c>
      <c r="J4250">
        <v>4.5</v>
      </c>
      <c r="K4250" t="s">
        <v>3892</v>
      </c>
      <c r="L4250">
        <v>20.25</v>
      </c>
      <c r="M4250">
        <v>4.5</v>
      </c>
      <c r="N4250" t="s">
        <v>4240</v>
      </c>
      <c r="O4250" t="s">
        <v>460</v>
      </c>
    </row>
    <row r="4251" spans="1:15" x14ac:dyDescent="0.3">
      <c r="A4251">
        <v>184479</v>
      </c>
      <c r="B4251">
        <v>116</v>
      </c>
      <c r="C4251" t="s">
        <v>568</v>
      </c>
      <c r="D4251" t="s">
        <v>2286</v>
      </c>
      <c r="E4251" t="s">
        <v>3321</v>
      </c>
      <c r="F4251" s="452">
        <v>45999</v>
      </c>
      <c r="G4251">
        <v>19505</v>
      </c>
      <c r="H4251" t="s">
        <v>4101</v>
      </c>
      <c r="I4251" t="s">
        <v>3469</v>
      </c>
      <c r="J4251">
        <v>1</v>
      </c>
      <c r="K4251" t="s">
        <v>3892</v>
      </c>
      <c r="L4251">
        <v>5.8</v>
      </c>
      <c r="M4251">
        <v>5.8</v>
      </c>
      <c r="N4251" t="s">
        <v>4240</v>
      </c>
      <c r="O4251" t="s">
        <v>460</v>
      </c>
    </row>
    <row r="4252" spans="1:15" x14ac:dyDescent="0.3">
      <c r="A4252">
        <v>184479</v>
      </c>
      <c r="B4252">
        <v>116</v>
      </c>
      <c r="C4252" t="s">
        <v>568</v>
      </c>
      <c r="D4252" t="s">
        <v>2286</v>
      </c>
      <c r="E4252" t="s">
        <v>3321</v>
      </c>
      <c r="F4252" s="452">
        <v>45999</v>
      </c>
      <c r="G4252">
        <v>19506</v>
      </c>
      <c r="H4252" t="s">
        <v>4112</v>
      </c>
      <c r="I4252" t="s">
        <v>3469</v>
      </c>
      <c r="J4252">
        <v>0.2</v>
      </c>
      <c r="K4252" t="s">
        <v>3892</v>
      </c>
      <c r="L4252">
        <v>9</v>
      </c>
      <c r="M4252">
        <v>45</v>
      </c>
      <c r="N4252" t="s">
        <v>4240</v>
      </c>
      <c r="O4252" t="s">
        <v>460</v>
      </c>
    </row>
    <row r="4253" spans="1:15" x14ac:dyDescent="0.3">
      <c r="A4253">
        <v>184479</v>
      </c>
      <c r="B4253">
        <v>116</v>
      </c>
      <c r="C4253" t="s">
        <v>568</v>
      </c>
      <c r="D4253" t="s">
        <v>2286</v>
      </c>
      <c r="E4253" t="s">
        <v>3321</v>
      </c>
      <c r="F4253" s="452">
        <v>45999</v>
      </c>
      <c r="G4253">
        <v>19498</v>
      </c>
      <c r="H4253" t="s">
        <v>4065</v>
      </c>
      <c r="I4253" t="s">
        <v>3469</v>
      </c>
      <c r="J4253">
        <v>1</v>
      </c>
      <c r="K4253" t="s">
        <v>3892</v>
      </c>
      <c r="L4253">
        <v>8.5</v>
      </c>
      <c r="M4253">
        <v>8.5</v>
      </c>
      <c r="N4253" t="s">
        <v>4240</v>
      </c>
      <c r="O4253" t="s">
        <v>460</v>
      </c>
    </row>
    <row r="4254" spans="1:15" x14ac:dyDescent="0.3">
      <c r="A4254">
        <v>184479</v>
      </c>
      <c r="B4254">
        <v>116</v>
      </c>
      <c r="C4254" t="s">
        <v>568</v>
      </c>
      <c r="D4254" t="s">
        <v>2286</v>
      </c>
      <c r="E4254" t="s">
        <v>3321</v>
      </c>
      <c r="F4254" s="452">
        <v>45999</v>
      </c>
      <c r="G4254">
        <v>19740</v>
      </c>
      <c r="H4254" t="s">
        <v>3933</v>
      </c>
      <c r="I4254" t="s">
        <v>3469</v>
      </c>
      <c r="J4254">
        <v>4</v>
      </c>
      <c r="K4254" t="s">
        <v>3892</v>
      </c>
      <c r="L4254">
        <v>62</v>
      </c>
      <c r="M4254">
        <v>15.5</v>
      </c>
      <c r="N4254" t="s">
        <v>4240</v>
      </c>
      <c r="O4254" t="s">
        <v>460</v>
      </c>
    </row>
    <row r="4255" spans="1:15" x14ac:dyDescent="0.3">
      <c r="A4255">
        <v>184479</v>
      </c>
      <c r="B4255">
        <v>116</v>
      </c>
      <c r="C4255" t="s">
        <v>568</v>
      </c>
      <c r="D4255" t="s">
        <v>2286</v>
      </c>
      <c r="E4255" t="s">
        <v>3321</v>
      </c>
      <c r="F4255" s="452">
        <v>45999</v>
      </c>
      <c r="G4255">
        <v>19752</v>
      </c>
      <c r="H4255" t="s">
        <v>4042</v>
      </c>
      <c r="I4255" t="s">
        <v>3469</v>
      </c>
      <c r="J4255">
        <v>1</v>
      </c>
      <c r="K4255" t="s">
        <v>3892</v>
      </c>
      <c r="L4255">
        <v>14</v>
      </c>
      <c r="M4255">
        <v>14</v>
      </c>
      <c r="N4255" t="s">
        <v>4240</v>
      </c>
      <c r="O4255" t="s">
        <v>460</v>
      </c>
    </row>
    <row r="4256" spans="1:15" x14ac:dyDescent="0.3">
      <c r="A4256">
        <v>184479</v>
      </c>
      <c r="B4256">
        <v>116</v>
      </c>
      <c r="C4256" t="s">
        <v>568</v>
      </c>
      <c r="D4256" t="s">
        <v>2286</v>
      </c>
      <c r="E4256" t="s">
        <v>3321</v>
      </c>
      <c r="F4256" s="452">
        <v>45999</v>
      </c>
      <c r="G4256">
        <v>19617</v>
      </c>
      <c r="H4256" t="s">
        <v>4110</v>
      </c>
      <c r="I4256" t="s">
        <v>3469</v>
      </c>
      <c r="J4256">
        <v>0.5</v>
      </c>
      <c r="K4256" t="s">
        <v>3892</v>
      </c>
      <c r="L4256">
        <v>9</v>
      </c>
      <c r="M4256">
        <v>18</v>
      </c>
      <c r="N4256" t="s">
        <v>4240</v>
      </c>
      <c r="O4256" t="s">
        <v>460</v>
      </c>
    </row>
    <row r="4257" spans="1:15" x14ac:dyDescent="0.3">
      <c r="A4257">
        <v>184479</v>
      </c>
      <c r="B4257">
        <v>116</v>
      </c>
      <c r="C4257" t="s">
        <v>568</v>
      </c>
      <c r="D4257" t="s">
        <v>2286</v>
      </c>
      <c r="E4257" t="s">
        <v>3321</v>
      </c>
      <c r="F4257" s="452">
        <v>45999</v>
      </c>
      <c r="G4257">
        <v>23113</v>
      </c>
      <c r="H4257" t="s">
        <v>4079</v>
      </c>
      <c r="I4257" t="s">
        <v>3469</v>
      </c>
      <c r="J4257">
        <v>1.5</v>
      </c>
      <c r="K4257" t="s">
        <v>3892</v>
      </c>
      <c r="L4257">
        <v>11.25</v>
      </c>
      <c r="M4257">
        <v>7.5</v>
      </c>
      <c r="N4257" t="s">
        <v>4240</v>
      </c>
      <c r="O4257" t="s">
        <v>460</v>
      </c>
    </row>
    <row r="4258" spans="1:15" x14ac:dyDescent="0.3">
      <c r="A4258">
        <v>184479</v>
      </c>
      <c r="B4258">
        <v>116</v>
      </c>
      <c r="C4258" t="s">
        <v>568</v>
      </c>
      <c r="D4258" t="s">
        <v>2286</v>
      </c>
      <c r="E4258" t="s">
        <v>3321</v>
      </c>
      <c r="F4258" s="452">
        <v>45999</v>
      </c>
      <c r="G4258">
        <v>23236</v>
      </c>
      <c r="H4258" t="s">
        <v>4017</v>
      </c>
      <c r="I4258" t="s">
        <v>3469</v>
      </c>
      <c r="J4258">
        <v>3</v>
      </c>
      <c r="K4258" t="s">
        <v>3892</v>
      </c>
      <c r="L4258">
        <v>18</v>
      </c>
      <c r="M4258">
        <v>6</v>
      </c>
      <c r="N4258" t="s">
        <v>4240</v>
      </c>
      <c r="O4258" t="s">
        <v>460</v>
      </c>
    </row>
    <row r="4259" spans="1:15" x14ac:dyDescent="0.3">
      <c r="A4259">
        <v>184479</v>
      </c>
      <c r="B4259">
        <v>116</v>
      </c>
      <c r="C4259" t="s">
        <v>568</v>
      </c>
      <c r="D4259" t="s">
        <v>2286</v>
      </c>
      <c r="E4259" t="s">
        <v>3321</v>
      </c>
      <c r="F4259" s="452">
        <v>45999</v>
      </c>
      <c r="G4259">
        <v>23361</v>
      </c>
      <c r="H4259" t="s">
        <v>4220</v>
      </c>
      <c r="I4259" t="s">
        <v>3469</v>
      </c>
      <c r="J4259">
        <v>18</v>
      </c>
      <c r="K4259" t="s">
        <v>3892</v>
      </c>
      <c r="L4259">
        <v>55.8</v>
      </c>
      <c r="M4259">
        <v>3.1</v>
      </c>
      <c r="N4259" t="s">
        <v>4240</v>
      </c>
      <c r="O4259" t="s">
        <v>460</v>
      </c>
    </row>
    <row r="4260" spans="1:15" x14ac:dyDescent="0.3">
      <c r="A4260">
        <v>184479</v>
      </c>
      <c r="B4260">
        <v>116</v>
      </c>
      <c r="C4260" t="s">
        <v>568</v>
      </c>
      <c r="D4260" t="s">
        <v>2286</v>
      </c>
      <c r="E4260" t="s">
        <v>3321</v>
      </c>
      <c r="F4260" s="452">
        <v>45999</v>
      </c>
      <c r="G4260">
        <v>23095</v>
      </c>
      <c r="H4260" t="s">
        <v>3882</v>
      </c>
      <c r="I4260" t="s">
        <v>3469</v>
      </c>
      <c r="J4260">
        <v>60</v>
      </c>
      <c r="K4260" t="s">
        <v>3872</v>
      </c>
      <c r="L4260">
        <v>56.4</v>
      </c>
      <c r="M4260">
        <v>0.94</v>
      </c>
      <c r="N4260" t="s">
        <v>4240</v>
      </c>
      <c r="O4260" t="s">
        <v>460</v>
      </c>
    </row>
    <row r="4261" spans="1:15" x14ac:dyDescent="0.3">
      <c r="A4261">
        <v>184479</v>
      </c>
      <c r="B4261">
        <v>116</v>
      </c>
      <c r="C4261" t="s">
        <v>568</v>
      </c>
      <c r="D4261" t="s">
        <v>2286</v>
      </c>
      <c r="E4261" t="s">
        <v>3321</v>
      </c>
      <c r="F4261" s="452">
        <v>45999</v>
      </c>
      <c r="G4261">
        <v>24037</v>
      </c>
      <c r="H4261" t="s">
        <v>4104</v>
      </c>
      <c r="I4261" t="s">
        <v>3469</v>
      </c>
      <c r="J4261">
        <v>2</v>
      </c>
      <c r="K4261" t="s">
        <v>3892</v>
      </c>
      <c r="L4261">
        <v>40</v>
      </c>
      <c r="M4261">
        <v>20</v>
      </c>
      <c r="N4261" t="s">
        <v>4240</v>
      </c>
      <c r="O4261" t="s">
        <v>460</v>
      </c>
    </row>
    <row r="4262" spans="1:15" x14ac:dyDescent="0.3">
      <c r="A4262">
        <v>184476</v>
      </c>
      <c r="B4262">
        <v>116</v>
      </c>
      <c r="C4262" t="s">
        <v>568</v>
      </c>
      <c r="D4262" t="s">
        <v>3010</v>
      </c>
      <c r="E4262" t="s">
        <v>3322</v>
      </c>
      <c r="F4262" s="452">
        <v>45999</v>
      </c>
      <c r="G4262">
        <v>24497</v>
      </c>
      <c r="H4262" t="s">
        <v>4214</v>
      </c>
      <c r="I4262" t="s">
        <v>4215</v>
      </c>
      <c r="J4262">
        <v>3</v>
      </c>
      <c r="K4262" t="s">
        <v>3872</v>
      </c>
      <c r="L4262">
        <v>403.95</v>
      </c>
      <c r="M4262">
        <v>134.65</v>
      </c>
      <c r="N4262" t="s">
        <v>4239</v>
      </c>
      <c r="O4262" t="s">
        <v>460</v>
      </c>
    </row>
    <row r="4263" spans="1:15" x14ac:dyDescent="0.3">
      <c r="A4263">
        <v>184472</v>
      </c>
      <c r="B4263">
        <v>116</v>
      </c>
      <c r="C4263" t="s">
        <v>568</v>
      </c>
      <c r="D4263" t="s">
        <v>2429</v>
      </c>
      <c r="E4263" t="s">
        <v>3323</v>
      </c>
      <c r="F4263" s="452">
        <v>46001</v>
      </c>
      <c r="G4263">
        <v>20702</v>
      </c>
      <c r="H4263" t="s">
        <v>4006</v>
      </c>
      <c r="I4263" t="s">
        <v>3469</v>
      </c>
      <c r="J4263">
        <v>1</v>
      </c>
      <c r="K4263" t="s">
        <v>3966</v>
      </c>
      <c r="L4263">
        <v>49.99</v>
      </c>
      <c r="M4263">
        <v>49.99</v>
      </c>
      <c r="N4263" t="s">
        <v>4240</v>
      </c>
      <c r="O4263" t="s">
        <v>460</v>
      </c>
    </row>
    <row r="4264" spans="1:15" x14ac:dyDescent="0.3">
      <c r="A4264">
        <v>184472</v>
      </c>
      <c r="B4264">
        <v>116</v>
      </c>
      <c r="C4264" t="s">
        <v>568</v>
      </c>
      <c r="D4264" t="s">
        <v>2429</v>
      </c>
      <c r="E4264" t="s">
        <v>3323</v>
      </c>
      <c r="F4264" s="452">
        <v>46001</v>
      </c>
      <c r="G4264">
        <v>20809</v>
      </c>
      <c r="H4264" t="s">
        <v>4005</v>
      </c>
      <c r="I4264" t="s">
        <v>3469</v>
      </c>
      <c r="J4264">
        <v>3</v>
      </c>
      <c r="K4264" t="s">
        <v>3888</v>
      </c>
      <c r="L4264">
        <v>109.2</v>
      </c>
      <c r="M4264">
        <v>36.4</v>
      </c>
      <c r="N4264" t="s">
        <v>4240</v>
      </c>
      <c r="O4264" t="s">
        <v>460</v>
      </c>
    </row>
    <row r="4265" spans="1:15" x14ac:dyDescent="0.3">
      <c r="A4265">
        <v>184472</v>
      </c>
      <c r="B4265">
        <v>116</v>
      </c>
      <c r="C4265" t="s">
        <v>568</v>
      </c>
      <c r="D4265" t="s">
        <v>2429</v>
      </c>
      <c r="E4265" t="s">
        <v>3323</v>
      </c>
      <c r="F4265" s="452">
        <v>46001</v>
      </c>
      <c r="G4265">
        <v>19139</v>
      </c>
      <c r="H4265" t="s">
        <v>3887</v>
      </c>
      <c r="I4265" t="s">
        <v>3469</v>
      </c>
      <c r="J4265">
        <v>20</v>
      </c>
      <c r="K4265" t="s">
        <v>3888</v>
      </c>
      <c r="L4265">
        <v>182</v>
      </c>
      <c r="M4265">
        <v>9.1</v>
      </c>
      <c r="N4265" t="s">
        <v>4240</v>
      </c>
      <c r="O4265" t="s">
        <v>460</v>
      </c>
    </row>
    <row r="4266" spans="1:15" x14ac:dyDescent="0.3">
      <c r="A4266">
        <v>184471</v>
      </c>
      <c r="B4266">
        <v>116</v>
      </c>
      <c r="C4266" t="s">
        <v>568</v>
      </c>
      <c r="D4266" t="s">
        <v>2320</v>
      </c>
      <c r="E4266" t="s">
        <v>3324</v>
      </c>
      <c r="F4266" s="452">
        <v>46001</v>
      </c>
      <c r="G4266">
        <v>22857</v>
      </c>
      <c r="H4266" t="s">
        <v>4130</v>
      </c>
      <c r="I4266" t="s">
        <v>3469</v>
      </c>
      <c r="J4266">
        <v>35.75</v>
      </c>
      <c r="K4266" t="s">
        <v>3892</v>
      </c>
      <c r="L4266">
        <v>1929.87</v>
      </c>
      <c r="M4266">
        <v>53.982377999999997</v>
      </c>
      <c r="N4266" t="s">
        <v>3469</v>
      </c>
      <c r="O4266" t="s">
        <v>460</v>
      </c>
    </row>
    <row r="4267" spans="1:15" x14ac:dyDescent="0.3">
      <c r="A4267">
        <v>184469</v>
      </c>
      <c r="B4267">
        <v>116</v>
      </c>
      <c r="C4267" t="s">
        <v>568</v>
      </c>
      <c r="D4267" t="s">
        <v>2262</v>
      </c>
      <c r="E4267" t="s">
        <v>3325</v>
      </c>
      <c r="F4267" s="452">
        <v>45995</v>
      </c>
      <c r="G4267">
        <v>24343</v>
      </c>
      <c r="H4267" t="s">
        <v>3990</v>
      </c>
      <c r="I4267" t="s">
        <v>3469</v>
      </c>
      <c r="J4267">
        <v>6</v>
      </c>
      <c r="K4267" t="s">
        <v>3892</v>
      </c>
      <c r="L4267">
        <v>154.80000000000001</v>
      </c>
      <c r="M4267">
        <v>25.8</v>
      </c>
      <c r="N4267" t="s">
        <v>4240</v>
      </c>
      <c r="O4267" t="s">
        <v>460</v>
      </c>
    </row>
    <row r="4268" spans="1:15" x14ac:dyDescent="0.3">
      <c r="A4268">
        <v>183773</v>
      </c>
      <c r="B4268">
        <v>116</v>
      </c>
      <c r="C4268" t="s">
        <v>568</v>
      </c>
      <c r="D4268" t="s">
        <v>3122</v>
      </c>
      <c r="E4268" t="s">
        <v>3326</v>
      </c>
      <c r="F4268" s="452">
        <v>45995</v>
      </c>
      <c r="G4268">
        <v>28401</v>
      </c>
      <c r="H4268" t="s">
        <v>4434</v>
      </c>
      <c r="I4268" t="s">
        <v>4217</v>
      </c>
      <c r="J4268">
        <v>1</v>
      </c>
      <c r="K4268" t="s">
        <v>3881</v>
      </c>
      <c r="L4268">
        <v>95.2</v>
      </c>
      <c r="M4268">
        <v>95.2</v>
      </c>
      <c r="N4268" t="s">
        <v>4324</v>
      </c>
      <c r="O4268" t="s">
        <v>460</v>
      </c>
    </row>
    <row r="4269" spans="1:15" x14ac:dyDescent="0.3">
      <c r="A4269">
        <v>183509</v>
      </c>
      <c r="B4269">
        <v>116</v>
      </c>
      <c r="C4269" t="s">
        <v>568</v>
      </c>
      <c r="D4269" t="s">
        <v>2262</v>
      </c>
      <c r="E4269" t="s">
        <v>3327</v>
      </c>
      <c r="F4269" s="452">
        <v>45994</v>
      </c>
      <c r="G4269">
        <v>19034</v>
      </c>
      <c r="H4269" t="s">
        <v>3989</v>
      </c>
      <c r="I4269" t="s">
        <v>3469</v>
      </c>
      <c r="J4269">
        <v>5.15</v>
      </c>
      <c r="K4269" t="s">
        <v>3892</v>
      </c>
      <c r="L4269">
        <v>56.14</v>
      </c>
      <c r="M4269">
        <v>10.900971</v>
      </c>
      <c r="N4269" t="s">
        <v>4240</v>
      </c>
      <c r="O4269" t="s">
        <v>460</v>
      </c>
    </row>
    <row r="4270" spans="1:15" x14ac:dyDescent="0.3">
      <c r="A4270">
        <v>183509</v>
      </c>
      <c r="B4270">
        <v>116</v>
      </c>
      <c r="C4270" t="s">
        <v>568</v>
      </c>
      <c r="D4270" t="s">
        <v>2262</v>
      </c>
      <c r="E4270" t="s">
        <v>3327</v>
      </c>
      <c r="F4270" s="452">
        <v>45994</v>
      </c>
      <c r="G4270">
        <v>18832</v>
      </c>
      <c r="H4270" t="s">
        <v>3900</v>
      </c>
      <c r="I4270" t="s">
        <v>3469</v>
      </c>
      <c r="J4270">
        <v>17.8</v>
      </c>
      <c r="K4270" t="s">
        <v>3892</v>
      </c>
      <c r="L4270">
        <v>745.82</v>
      </c>
      <c r="M4270">
        <v>41.9</v>
      </c>
      <c r="N4270" t="s">
        <v>4240</v>
      </c>
      <c r="O4270" t="s">
        <v>460</v>
      </c>
    </row>
    <row r="4271" spans="1:15" x14ac:dyDescent="0.3">
      <c r="A4271">
        <v>183509</v>
      </c>
      <c r="B4271">
        <v>116</v>
      </c>
      <c r="C4271" t="s">
        <v>568</v>
      </c>
      <c r="D4271" t="s">
        <v>2262</v>
      </c>
      <c r="E4271" t="s">
        <v>3327</v>
      </c>
      <c r="F4271" s="452">
        <v>45994</v>
      </c>
      <c r="G4271">
        <v>24402</v>
      </c>
      <c r="H4271" t="s">
        <v>3896</v>
      </c>
      <c r="I4271" t="s">
        <v>3469</v>
      </c>
      <c r="J4271">
        <v>20.3</v>
      </c>
      <c r="K4271" t="s">
        <v>3892</v>
      </c>
      <c r="L4271">
        <v>787.64</v>
      </c>
      <c r="M4271">
        <v>38.799999999999997</v>
      </c>
      <c r="N4271" t="s">
        <v>4240</v>
      </c>
      <c r="O4271" t="s">
        <v>460</v>
      </c>
    </row>
    <row r="4272" spans="1:15" x14ac:dyDescent="0.3">
      <c r="A4272">
        <v>183509</v>
      </c>
      <c r="B4272">
        <v>116</v>
      </c>
      <c r="C4272" t="s">
        <v>568</v>
      </c>
      <c r="D4272" t="s">
        <v>2262</v>
      </c>
      <c r="E4272" t="s">
        <v>3327</v>
      </c>
      <c r="F4272" s="452">
        <v>45994</v>
      </c>
      <c r="G4272">
        <v>24116</v>
      </c>
      <c r="H4272" t="s">
        <v>3963</v>
      </c>
      <c r="I4272" t="s">
        <v>3469</v>
      </c>
      <c r="J4272">
        <v>5</v>
      </c>
      <c r="K4272" t="s">
        <v>3892</v>
      </c>
      <c r="L4272">
        <v>209.5</v>
      </c>
      <c r="M4272">
        <v>41.9</v>
      </c>
      <c r="N4272" t="s">
        <v>4240</v>
      </c>
      <c r="O4272" t="s">
        <v>460</v>
      </c>
    </row>
    <row r="4273" spans="1:15" x14ac:dyDescent="0.3">
      <c r="A4273">
        <v>183509</v>
      </c>
      <c r="B4273">
        <v>116</v>
      </c>
      <c r="C4273" t="s">
        <v>568</v>
      </c>
      <c r="D4273" t="s">
        <v>2262</v>
      </c>
      <c r="E4273" t="s">
        <v>3327</v>
      </c>
      <c r="F4273" s="452">
        <v>45994</v>
      </c>
      <c r="G4273">
        <v>24339</v>
      </c>
      <c r="H4273" t="s">
        <v>4119</v>
      </c>
      <c r="I4273" t="s">
        <v>3469</v>
      </c>
      <c r="J4273">
        <v>5</v>
      </c>
      <c r="K4273" t="s">
        <v>3892</v>
      </c>
      <c r="L4273">
        <v>180</v>
      </c>
      <c r="M4273">
        <v>36</v>
      </c>
      <c r="N4273" t="s">
        <v>4240</v>
      </c>
      <c r="O4273" t="s">
        <v>460</v>
      </c>
    </row>
    <row r="4274" spans="1:15" x14ac:dyDescent="0.3">
      <c r="A4274">
        <v>183509</v>
      </c>
      <c r="B4274">
        <v>116</v>
      </c>
      <c r="C4274" t="s">
        <v>568</v>
      </c>
      <c r="D4274" t="s">
        <v>2262</v>
      </c>
      <c r="E4274" t="s">
        <v>3327</v>
      </c>
      <c r="F4274" s="452">
        <v>45994</v>
      </c>
      <c r="G4274">
        <v>27312</v>
      </c>
      <c r="H4274" t="s">
        <v>3927</v>
      </c>
      <c r="I4274" t="s">
        <v>3469</v>
      </c>
      <c r="J4274">
        <v>20.65</v>
      </c>
      <c r="K4274" t="s">
        <v>3892</v>
      </c>
      <c r="L4274">
        <v>1092.3800000000001</v>
      </c>
      <c r="M4274">
        <v>52.899757999999999</v>
      </c>
      <c r="N4274" t="s">
        <v>4240</v>
      </c>
      <c r="O4274" t="s">
        <v>460</v>
      </c>
    </row>
    <row r="4275" spans="1:15" x14ac:dyDescent="0.3">
      <c r="A4275">
        <v>183508</v>
      </c>
      <c r="B4275">
        <v>116</v>
      </c>
      <c r="C4275" t="s">
        <v>568</v>
      </c>
      <c r="D4275" t="s">
        <v>2267</v>
      </c>
      <c r="E4275" t="s">
        <v>3328</v>
      </c>
      <c r="F4275" s="452">
        <v>45992</v>
      </c>
      <c r="G4275">
        <v>24517</v>
      </c>
      <c r="H4275" t="s">
        <v>3991</v>
      </c>
      <c r="I4275" t="s">
        <v>3469</v>
      </c>
      <c r="J4275">
        <v>13.9</v>
      </c>
      <c r="K4275" t="s">
        <v>3892</v>
      </c>
      <c r="L4275">
        <v>389.06</v>
      </c>
      <c r="M4275">
        <v>27.989927999999999</v>
      </c>
      <c r="N4275" t="s">
        <v>4240</v>
      </c>
      <c r="O4275" t="s">
        <v>460</v>
      </c>
    </row>
    <row r="4276" spans="1:15" x14ac:dyDescent="0.3">
      <c r="A4276">
        <v>183472</v>
      </c>
      <c r="B4276">
        <v>116</v>
      </c>
      <c r="C4276" t="s">
        <v>568</v>
      </c>
      <c r="D4276" t="s">
        <v>2267</v>
      </c>
      <c r="E4276" t="s">
        <v>3329</v>
      </c>
      <c r="F4276" s="452">
        <v>45992</v>
      </c>
      <c r="G4276">
        <v>24393</v>
      </c>
      <c r="H4276" t="s">
        <v>4039</v>
      </c>
      <c r="I4276" t="s">
        <v>3469</v>
      </c>
      <c r="J4276">
        <v>3.5</v>
      </c>
      <c r="K4276" t="s">
        <v>3892</v>
      </c>
      <c r="L4276">
        <v>48.97</v>
      </c>
      <c r="M4276">
        <v>13.991429</v>
      </c>
      <c r="N4276" t="s">
        <v>4240</v>
      </c>
      <c r="O4276" t="s">
        <v>460</v>
      </c>
    </row>
    <row r="4277" spans="1:15" x14ac:dyDescent="0.3">
      <c r="A4277">
        <v>183472</v>
      </c>
      <c r="B4277">
        <v>116</v>
      </c>
      <c r="C4277" t="s">
        <v>568</v>
      </c>
      <c r="D4277" t="s">
        <v>2267</v>
      </c>
      <c r="E4277" t="s">
        <v>3329</v>
      </c>
      <c r="F4277" s="452">
        <v>45992</v>
      </c>
      <c r="G4277">
        <v>18682</v>
      </c>
      <c r="H4277" t="s">
        <v>4025</v>
      </c>
      <c r="I4277" t="s">
        <v>3469</v>
      </c>
      <c r="J4277">
        <v>6.3</v>
      </c>
      <c r="K4277" t="s">
        <v>3892</v>
      </c>
      <c r="L4277">
        <v>176.34</v>
      </c>
      <c r="M4277">
        <v>27.990476000000001</v>
      </c>
      <c r="N4277" t="s">
        <v>4240</v>
      </c>
      <c r="O4277" t="s">
        <v>460</v>
      </c>
    </row>
    <row r="4278" spans="1:15" x14ac:dyDescent="0.3">
      <c r="A4278">
        <v>183472</v>
      </c>
      <c r="B4278">
        <v>116</v>
      </c>
      <c r="C4278" t="s">
        <v>568</v>
      </c>
      <c r="D4278" t="s">
        <v>2267</v>
      </c>
      <c r="E4278" t="s">
        <v>3329</v>
      </c>
      <c r="F4278" s="452">
        <v>45992</v>
      </c>
      <c r="G4278">
        <v>20549</v>
      </c>
      <c r="H4278" t="s">
        <v>4007</v>
      </c>
      <c r="I4278" t="s">
        <v>3469</v>
      </c>
      <c r="J4278">
        <v>7.18</v>
      </c>
      <c r="K4278" t="s">
        <v>3892</v>
      </c>
      <c r="L4278">
        <v>143.43</v>
      </c>
      <c r="M4278">
        <v>19.976323000000001</v>
      </c>
      <c r="N4278" t="s">
        <v>4240</v>
      </c>
      <c r="O4278" t="s">
        <v>460</v>
      </c>
    </row>
    <row r="4279" spans="1:15" x14ac:dyDescent="0.3">
      <c r="A4279">
        <v>183470</v>
      </c>
      <c r="B4279">
        <v>116</v>
      </c>
      <c r="C4279" t="s">
        <v>568</v>
      </c>
      <c r="D4279" t="s">
        <v>2260</v>
      </c>
      <c r="E4279" t="s">
        <v>3330</v>
      </c>
      <c r="F4279" s="452">
        <v>45993</v>
      </c>
      <c r="G4279">
        <v>18684</v>
      </c>
      <c r="H4279" t="s">
        <v>3925</v>
      </c>
      <c r="I4279" t="s">
        <v>3469</v>
      </c>
      <c r="J4279">
        <v>6.6</v>
      </c>
      <c r="K4279" t="s">
        <v>3892</v>
      </c>
      <c r="L4279">
        <v>257.39999999999998</v>
      </c>
      <c r="M4279">
        <v>39</v>
      </c>
      <c r="N4279" t="s">
        <v>4435</v>
      </c>
      <c r="O4279" t="s">
        <v>460</v>
      </c>
    </row>
    <row r="4280" spans="1:15" x14ac:dyDescent="0.3">
      <c r="A4280">
        <v>183469</v>
      </c>
      <c r="B4280">
        <v>116</v>
      </c>
      <c r="C4280" t="s">
        <v>568</v>
      </c>
      <c r="D4280" t="s">
        <v>2260</v>
      </c>
      <c r="E4280" t="s">
        <v>3331</v>
      </c>
      <c r="F4280" s="452">
        <v>45993</v>
      </c>
      <c r="G4280">
        <v>18684</v>
      </c>
      <c r="H4280" t="s">
        <v>3925</v>
      </c>
      <c r="I4280" t="s">
        <v>3469</v>
      </c>
      <c r="J4280">
        <v>11.4</v>
      </c>
      <c r="K4280" t="s">
        <v>3892</v>
      </c>
      <c r="L4280">
        <v>410.4</v>
      </c>
      <c r="M4280">
        <v>36</v>
      </c>
      <c r="N4280" t="s">
        <v>4240</v>
      </c>
      <c r="O4280" t="s">
        <v>460</v>
      </c>
    </row>
    <row r="4281" spans="1:15" x14ac:dyDescent="0.3">
      <c r="A4281">
        <v>183469</v>
      </c>
      <c r="B4281">
        <v>116</v>
      </c>
      <c r="C4281" t="s">
        <v>568</v>
      </c>
      <c r="D4281" t="s">
        <v>2260</v>
      </c>
      <c r="E4281" t="s">
        <v>3331</v>
      </c>
      <c r="F4281" s="452">
        <v>45993</v>
      </c>
      <c r="G4281">
        <v>20555</v>
      </c>
      <c r="H4281" t="s">
        <v>3959</v>
      </c>
      <c r="I4281" t="s">
        <v>3469</v>
      </c>
      <c r="J4281">
        <v>4</v>
      </c>
      <c r="K4281" t="s">
        <v>3892</v>
      </c>
      <c r="L4281">
        <v>316</v>
      </c>
      <c r="M4281">
        <v>79</v>
      </c>
      <c r="N4281" t="s">
        <v>4240</v>
      </c>
      <c r="O4281" t="s">
        <v>460</v>
      </c>
    </row>
    <row r="4282" spans="1:15" x14ac:dyDescent="0.3">
      <c r="A4282">
        <v>183469</v>
      </c>
      <c r="B4282">
        <v>116</v>
      </c>
      <c r="C4282" t="s">
        <v>568</v>
      </c>
      <c r="D4282" t="s">
        <v>2260</v>
      </c>
      <c r="E4282" t="s">
        <v>3331</v>
      </c>
      <c r="F4282" s="452">
        <v>45993</v>
      </c>
      <c r="G4282">
        <v>24200</v>
      </c>
      <c r="H4282" t="s">
        <v>3975</v>
      </c>
      <c r="I4282" t="s">
        <v>3469</v>
      </c>
      <c r="J4282">
        <v>5.2</v>
      </c>
      <c r="K4282" t="s">
        <v>3892</v>
      </c>
      <c r="L4282">
        <v>171.08</v>
      </c>
      <c r="M4282">
        <v>32.9</v>
      </c>
      <c r="N4282" t="s">
        <v>4240</v>
      </c>
      <c r="O4282" t="s">
        <v>460</v>
      </c>
    </row>
    <row r="4283" spans="1:15" x14ac:dyDescent="0.3">
      <c r="A4283">
        <v>183469</v>
      </c>
      <c r="B4283">
        <v>116</v>
      </c>
      <c r="C4283" t="s">
        <v>568</v>
      </c>
      <c r="D4283" t="s">
        <v>2260</v>
      </c>
      <c r="E4283" t="s">
        <v>3331</v>
      </c>
      <c r="F4283" s="452">
        <v>45993</v>
      </c>
      <c r="G4283">
        <v>22734</v>
      </c>
      <c r="H4283" t="s">
        <v>3955</v>
      </c>
      <c r="I4283" t="s">
        <v>3469</v>
      </c>
      <c r="J4283">
        <v>10</v>
      </c>
      <c r="K4283" t="s">
        <v>3892</v>
      </c>
      <c r="L4283">
        <v>880</v>
      </c>
      <c r="M4283">
        <v>88</v>
      </c>
      <c r="N4283" t="s">
        <v>4240</v>
      </c>
      <c r="O4283" t="s">
        <v>460</v>
      </c>
    </row>
    <row r="4284" spans="1:15" x14ac:dyDescent="0.3">
      <c r="A4284">
        <v>183469</v>
      </c>
      <c r="B4284">
        <v>116</v>
      </c>
      <c r="C4284" t="s">
        <v>568</v>
      </c>
      <c r="D4284" t="s">
        <v>2260</v>
      </c>
      <c r="E4284" t="s">
        <v>3331</v>
      </c>
      <c r="F4284" s="452">
        <v>45993</v>
      </c>
      <c r="G4284">
        <v>27884</v>
      </c>
      <c r="H4284" t="s">
        <v>3910</v>
      </c>
      <c r="I4284" t="s">
        <v>3469</v>
      </c>
      <c r="J4284">
        <v>6.3</v>
      </c>
      <c r="K4284" t="s">
        <v>3892</v>
      </c>
      <c r="L4284">
        <v>409.5</v>
      </c>
      <c r="M4284">
        <v>65</v>
      </c>
      <c r="N4284" t="s">
        <v>4240</v>
      </c>
      <c r="O4284" t="s">
        <v>460</v>
      </c>
    </row>
    <row r="4285" spans="1:15" x14ac:dyDescent="0.3">
      <c r="A4285">
        <v>183465</v>
      </c>
      <c r="B4285">
        <v>116</v>
      </c>
      <c r="C4285" t="s">
        <v>568</v>
      </c>
      <c r="D4285" t="s">
        <v>3179</v>
      </c>
      <c r="E4285" t="s">
        <v>3332</v>
      </c>
      <c r="F4285" s="452">
        <v>45995</v>
      </c>
      <c r="G4285">
        <v>19634</v>
      </c>
      <c r="H4285" t="s">
        <v>4068</v>
      </c>
      <c r="I4285" t="s">
        <v>3469</v>
      </c>
      <c r="J4285">
        <v>2</v>
      </c>
      <c r="K4285" t="s">
        <v>3892</v>
      </c>
      <c r="L4285">
        <v>10</v>
      </c>
      <c r="M4285">
        <v>5</v>
      </c>
      <c r="N4285" t="s">
        <v>3469</v>
      </c>
      <c r="O4285" t="s">
        <v>460</v>
      </c>
    </row>
    <row r="4286" spans="1:15" x14ac:dyDescent="0.3">
      <c r="A4286">
        <v>183465</v>
      </c>
      <c r="B4286">
        <v>116</v>
      </c>
      <c r="C4286" t="s">
        <v>568</v>
      </c>
      <c r="D4286" t="s">
        <v>3179</v>
      </c>
      <c r="E4286" t="s">
        <v>3332</v>
      </c>
      <c r="F4286" s="452">
        <v>45995</v>
      </c>
      <c r="G4286">
        <v>19623</v>
      </c>
      <c r="H4286" t="s">
        <v>3984</v>
      </c>
      <c r="I4286" t="s">
        <v>3469</v>
      </c>
      <c r="J4286">
        <v>3</v>
      </c>
      <c r="K4286" t="s">
        <v>3892</v>
      </c>
      <c r="L4286">
        <v>15</v>
      </c>
      <c r="M4286">
        <v>5</v>
      </c>
      <c r="N4286" t="s">
        <v>3469</v>
      </c>
      <c r="O4286" t="s">
        <v>460</v>
      </c>
    </row>
    <row r="4287" spans="1:15" x14ac:dyDescent="0.3">
      <c r="A4287">
        <v>183465</v>
      </c>
      <c r="B4287">
        <v>116</v>
      </c>
      <c r="C4287" t="s">
        <v>568</v>
      </c>
      <c r="D4287" t="s">
        <v>3179</v>
      </c>
      <c r="E4287" t="s">
        <v>3332</v>
      </c>
      <c r="F4287" s="452">
        <v>45995</v>
      </c>
      <c r="G4287">
        <v>19555</v>
      </c>
      <c r="H4287" t="s">
        <v>4109</v>
      </c>
      <c r="I4287" t="s">
        <v>3469</v>
      </c>
      <c r="J4287">
        <v>0.6</v>
      </c>
      <c r="K4287" t="s">
        <v>3892</v>
      </c>
      <c r="L4287">
        <v>12</v>
      </c>
      <c r="M4287">
        <v>20</v>
      </c>
      <c r="N4287" t="s">
        <v>3469</v>
      </c>
      <c r="O4287" t="s">
        <v>460</v>
      </c>
    </row>
    <row r="4288" spans="1:15" x14ac:dyDescent="0.3">
      <c r="A4288">
        <v>183465</v>
      </c>
      <c r="B4288">
        <v>116</v>
      </c>
      <c r="C4288" t="s">
        <v>568</v>
      </c>
      <c r="D4288" t="s">
        <v>3179</v>
      </c>
      <c r="E4288" t="s">
        <v>3332</v>
      </c>
      <c r="F4288" s="452">
        <v>45995</v>
      </c>
      <c r="G4288">
        <v>19751</v>
      </c>
      <c r="H4288" t="s">
        <v>4019</v>
      </c>
      <c r="I4288" t="s">
        <v>3469</v>
      </c>
      <c r="J4288">
        <v>2</v>
      </c>
      <c r="K4288" t="s">
        <v>3892</v>
      </c>
      <c r="L4288">
        <v>22.5</v>
      </c>
      <c r="M4288">
        <v>11.25</v>
      </c>
      <c r="N4288" t="s">
        <v>3469</v>
      </c>
      <c r="O4288" t="s">
        <v>460</v>
      </c>
    </row>
    <row r="4289" spans="1:15" x14ac:dyDescent="0.3">
      <c r="A4289">
        <v>183465</v>
      </c>
      <c r="B4289">
        <v>116</v>
      </c>
      <c r="C4289" t="s">
        <v>568</v>
      </c>
      <c r="D4289" t="s">
        <v>3179</v>
      </c>
      <c r="E4289" t="s">
        <v>3332</v>
      </c>
      <c r="F4289" s="452">
        <v>45995</v>
      </c>
      <c r="G4289">
        <v>23096</v>
      </c>
      <c r="H4289" t="s">
        <v>3876</v>
      </c>
      <c r="I4289" t="s">
        <v>3469</v>
      </c>
      <c r="J4289">
        <v>60</v>
      </c>
      <c r="K4289" t="s">
        <v>3872</v>
      </c>
      <c r="L4289">
        <v>34.799999999999997</v>
      </c>
      <c r="M4289">
        <v>0.57999999999999996</v>
      </c>
      <c r="N4289" t="s">
        <v>3469</v>
      </c>
      <c r="O4289" t="s">
        <v>460</v>
      </c>
    </row>
    <row r="4290" spans="1:15" x14ac:dyDescent="0.3">
      <c r="A4290">
        <v>183465</v>
      </c>
      <c r="B4290">
        <v>116</v>
      </c>
      <c r="C4290" t="s">
        <v>568</v>
      </c>
      <c r="D4290" t="s">
        <v>3179</v>
      </c>
      <c r="E4290" t="s">
        <v>3332</v>
      </c>
      <c r="F4290" s="452">
        <v>45995</v>
      </c>
      <c r="G4290">
        <v>23120</v>
      </c>
      <c r="H4290" t="s">
        <v>4111</v>
      </c>
      <c r="I4290" t="s">
        <v>3469</v>
      </c>
      <c r="J4290">
        <v>2</v>
      </c>
      <c r="K4290" t="s">
        <v>3892</v>
      </c>
      <c r="L4290">
        <v>125</v>
      </c>
      <c r="M4290">
        <v>62.5</v>
      </c>
      <c r="N4290" t="s">
        <v>3469</v>
      </c>
      <c r="O4290" t="s">
        <v>460</v>
      </c>
    </row>
    <row r="4291" spans="1:15" x14ac:dyDescent="0.3">
      <c r="A4291">
        <v>183465</v>
      </c>
      <c r="B4291">
        <v>116</v>
      </c>
      <c r="C4291" t="s">
        <v>568</v>
      </c>
      <c r="D4291" t="s">
        <v>3179</v>
      </c>
      <c r="E4291" t="s">
        <v>3332</v>
      </c>
      <c r="F4291" s="452">
        <v>45995</v>
      </c>
      <c r="G4291">
        <v>23359</v>
      </c>
      <c r="H4291" t="s">
        <v>3932</v>
      </c>
      <c r="I4291" t="s">
        <v>3469</v>
      </c>
      <c r="J4291">
        <v>10</v>
      </c>
      <c r="K4291" t="s">
        <v>3892</v>
      </c>
      <c r="L4291">
        <v>37.5</v>
      </c>
      <c r="M4291">
        <v>3.75</v>
      </c>
      <c r="N4291" t="s">
        <v>3469</v>
      </c>
      <c r="O4291" t="s">
        <v>460</v>
      </c>
    </row>
    <row r="4292" spans="1:15" x14ac:dyDescent="0.3">
      <c r="A4292">
        <v>183465</v>
      </c>
      <c r="B4292">
        <v>116</v>
      </c>
      <c r="C4292" t="s">
        <v>568</v>
      </c>
      <c r="D4292" t="s">
        <v>3179</v>
      </c>
      <c r="E4292" t="s">
        <v>3332</v>
      </c>
      <c r="F4292" s="452">
        <v>45995</v>
      </c>
      <c r="G4292">
        <v>23184</v>
      </c>
      <c r="H4292" t="s">
        <v>3894</v>
      </c>
      <c r="I4292" t="s">
        <v>3469</v>
      </c>
      <c r="J4292">
        <v>0.5</v>
      </c>
      <c r="K4292" t="s">
        <v>3892</v>
      </c>
      <c r="L4292">
        <v>4.38</v>
      </c>
      <c r="M4292">
        <v>8.76</v>
      </c>
      <c r="N4292" t="s">
        <v>3469</v>
      </c>
      <c r="O4292" t="s">
        <v>460</v>
      </c>
    </row>
    <row r="4293" spans="1:15" x14ac:dyDescent="0.3">
      <c r="A4293">
        <v>183465</v>
      </c>
      <c r="B4293">
        <v>116</v>
      </c>
      <c r="C4293" t="s">
        <v>568</v>
      </c>
      <c r="D4293" t="s">
        <v>3179</v>
      </c>
      <c r="E4293" t="s">
        <v>3332</v>
      </c>
      <c r="F4293" s="452">
        <v>45995</v>
      </c>
      <c r="G4293">
        <v>19672</v>
      </c>
      <c r="H4293" t="s">
        <v>4024</v>
      </c>
      <c r="I4293" t="s">
        <v>3469</v>
      </c>
      <c r="J4293">
        <v>2</v>
      </c>
      <c r="K4293" t="s">
        <v>3892</v>
      </c>
      <c r="L4293">
        <v>27.5</v>
      </c>
      <c r="M4293">
        <v>13.75</v>
      </c>
      <c r="N4293" t="s">
        <v>3469</v>
      </c>
      <c r="O4293" t="s">
        <v>460</v>
      </c>
    </row>
    <row r="4294" spans="1:15" x14ac:dyDescent="0.3">
      <c r="A4294">
        <v>183462</v>
      </c>
      <c r="B4294">
        <v>116</v>
      </c>
      <c r="C4294" t="s">
        <v>568</v>
      </c>
      <c r="D4294" t="s">
        <v>3179</v>
      </c>
      <c r="E4294" t="s">
        <v>3333</v>
      </c>
      <c r="F4294" s="452">
        <v>45992</v>
      </c>
      <c r="G4294">
        <v>19506</v>
      </c>
      <c r="H4294" t="s">
        <v>4112</v>
      </c>
      <c r="I4294" t="s">
        <v>3469</v>
      </c>
      <c r="J4294">
        <v>0.2</v>
      </c>
      <c r="K4294" t="s">
        <v>3892</v>
      </c>
      <c r="L4294">
        <v>8.33</v>
      </c>
      <c r="M4294">
        <v>41.65</v>
      </c>
      <c r="N4294" t="s">
        <v>3469</v>
      </c>
      <c r="O4294" t="s">
        <v>460</v>
      </c>
    </row>
    <row r="4295" spans="1:15" x14ac:dyDescent="0.3">
      <c r="A4295">
        <v>183462</v>
      </c>
      <c r="B4295">
        <v>116</v>
      </c>
      <c r="C4295" t="s">
        <v>568</v>
      </c>
      <c r="D4295" t="s">
        <v>3179</v>
      </c>
      <c r="E4295" t="s">
        <v>3333</v>
      </c>
      <c r="F4295" s="452">
        <v>45992</v>
      </c>
      <c r="G4295">
        <v>19572</v>
      </c>
      <c r="H4295" t="s">
        <v>4023</v>
      </c>
      <c r="I4295" t="s">
        <v>3469</v>
      </c>
      <c r="J4295">
        <v>1</v>
      </c>
      <c r="K4295" t="s">
        <v>3892</v>
      </c>
      <c r="L4295">
        <v>15</v>
      </c>
      <c r="M4295">
        <v>15</v>
      </c>
      <c r="N4295" t="s">
        <v>3469</v>
      </c>
      <c r="O4295" t="s">
        <v>460</v>
      </c>
    </row>
    <row r="4296" spans="1:15" x14ac:dyDescent="0.3">
      <c r="A4296">
        <v>183462</v>
      </c>
      <c r="B4296">
        <v>116</v>
      </c>
      <c r="C4296" t="s">
        <v>568</v>
      </c>
      <c r="D4296" t="s">
        <v>3179</v>
      </c>
      <c r="E4296" t="s">
        <v>3333</v>
      </c>
      <c r="F4296" s="452">
        <v>45992</v>
      </c>
      <c r="G4296">
        <v>19555</v>
      </c>
      <c r="H4296" t="s">
        <v>4109</v>
      </c>
      <c r="I4296" t="s">
        <v>3469</v>
      </c>
      <c r="J4296">
        <v>0.6</v>
      </c>
      <c r="K4296" t="s">
        <v>3892</v>
      </c>
      <c r="L4296">
        <v>12</v>
      </c>
      <c r="M4296">
        <v>20</v>
      </c>
      <c r="N4296" t="s">
        <v>3469</v>
      </c>
      <c r="O4296" t="s">
        <v>460</v>
      </c>
    </row>
    <row r="4297" spans="1:15" x14ac:dyDescent="0.3">
      <c r="A4297">
        <v>183462</v>
      </c>
      <c r="B4297">
        <v>116</v>
      </c>
      <c r="C4297" t="s">
        <v>568</v>
      </c>
      <c r="D4297" t="s">
        <v>3179</v>
      </c>
      <c r="E4297" t="s">
        <v>3333</v>
      </c>
      <c r="F4297" s="452">
        <v>45992</v>
      </c>
      <c r="G4297">
        <v>19742</v>
      </c>
      <c r="H4297" t="s">
        <v>4074</v>
      </c>
      <c r="I4297" t="s">
        <v>3469</v>
      </c>
      <c r="J4297">
        <v>1</v>
      </c>
      <c r="K4297" t="s">
        <v>3892</v>
      </c>
      <c r="L4297">
        <v>8.75</v>
      </c>
      <c r="M4297">
        <v>8.75</v>
      </c>
      <c r="N4297" t="s">
        <v>3469</v>
      </c>
      <c r="O4297" t="s">
        <v>460</v>
      </c>
    </row>
    <row r="4298" spans="1:15" x14ac:dyDescent="0.3">
      <c r="A4298">
        <v>183462</v>
      </c>
      <c r="B4298">
        <v>116</v>
      </c>
      <c r="C4298" t="s">
        <v>568</v>
      </c>
      <c r="D4298" t="s">
        <v>3179</v>
      </c>
      <c r="E4298" t="s">
        <v>3333</v>
      </c>
      <c r="F4298" s="452">
        <v>45992</v>
      </c>
      <c r="G4298">
        <v>19494</v>
      </c>
      <c r="H4298" t="s">
        <v>4126</v>
      </c>
      <c r="I4298" t="s">
        <v>3469</v>
      </c>
      <c r="J4298">
        <v>1.4</v>
      </c>
      <c r="K4298" t="s">
        <v>3892</v>
      </c>
      <c r="L4298">
        <v>15.75</v>
      </c>
      <c r="M4298">
        <v>11.25</v>
      </c>
      <c r="N4298" t="s">
        <v>3469</v>
      </c>
      <c r="O4298" t="s">
        <v>460</v>
      </c>
    </row>
    <row r="4299" spans="1:15" x14ac:dyDescent="0.3">
      <c r="A4299">
        <v>183462</v>
      </c>
      <c r="B4299">
        <v>116</v>
      </c>
      <c r="C4299" t="s">
        <v>568</v>
      </c>
      <c r="D4299" t="s">
        <v>3179</v>
      </c>
      <c r="E4299" t="s">
        <v>3333</v>
      </c>
      <c r="F4299" s="452">
        <v>45992</v>
      </c>
      <c r="G4299">
        <v>23120</v>
      </c>
      <c r="H4299" t="s">
        <v>4111</v>
      </c>
      <c r="I4299" t="s">
        <v>3469</v>
      </c>
      <c r="J4299">
        <v>0.2</v>
      </c>
      <c r="K4299" t="s">
        <v>3892</v>
      </c>
      <c r="L4299">
        <v>12.5</v>
      </c>
      <c r="M4299">
        <v>62.5</v>
      </c>
      <c r="N4299" t="s">
        <v>3469</v>
      </c>
      <c r="O4299" t="s">
        <v>460</v>
      </c>
    </row>
    <row r="4300" spans="1:15" x14ac:dyDescent="0.3">
      <c r="A4300">
        <v>183462</v>
      </c>
      <c r="B4300">
        <v>116</v>
      </c>
      <c r="C4300" t="s">
        <v>568</v>
      </c>
      <c r="D4300" t="s">
        <v>3179</v>
      </c>
      <c r="E4300" t="s">
        <v>3333</v>
      </c>
      <c r="F4300" s="452">
        <v>45992</v>
      </c>
      <c r="G4300">
        <v>23359</v>
      </c>
      <c r="H4300" t="s">
        <v>3932</v>
      </c>
      <c r="I4300" t="s">
        <v>3469</v>
      </c>
      <c r="J4300">
        <v>6</v>
      </c>
      <c r="K4300" t="s">
        <v>3892</v>
      </c>
      <c r="L4300">
        <v>17.28</v>
      </c>
      <c r="M4300">
        <v>2.88</v>
      </c>
      <c r="N4300" t="s">
        <v>3469</v>
      </c>
      <c r="O4300" t="s">
        <v>460</v>
      </c>
    </row>
    <row r="4301" spans="1:15" x14ac:dyDescent="0.3">
      <c r="A4301">
        <v>183462</v>
      </c>
      <c r="B4301">
        <v>116</v>
      </c>
      <c r="C4301" t="s">
        <v>568</v>
      </c>
      <c r="D4301" t="s">
        <v>3179</v>
      </c>
      <c r="E4301" t="s">
        <v>3333</v>
      </c>
      <c r="F4301" s="452">
        <v>45992</v>
      </c>
      <c r="G4301">
        <v>19672</v>
      </c>
      <c r="H4301" t="s">
        <v>4024</v>
      </c>
      <c r="I4301" t="s">
        <v>3469</v>
      </c>
      <c r="J4301">
        <v>2</v>
      </c>
      <c r="K4301" t="s">
        <v>3892</v>
      </c>
      <c r="L4301">
        <v>27.5</v>
      </c>
      <c r="M4301">
        <v>13.75</v>
      </c>
      <c r="N4301" t="s">
        <v>3469</v>
      </c>
      <c r="O4301" t="s">
        <v>460</v>
      </c>
    </row>
    <row r="4302" spans="1:15" x14ac:dyDescent="0.3">
      <c r="A4302">
        <v>183461</v>
      </c>
      <c r="B4302">
        <v>116</v>
      </c>
      <c r="C4302" t="s">
        <v>568</v>
      </c>
      <c r="D4302" t="s">
        <v>2342</v>
      </c>
      <c r="E4302" t="s">
        <v>3334</v>
      </c>
      <c r="F4302" s="452">
        <v>45993</v>
      </c>
      <c r="G4302">
        <v>24351</v>
      </c>
      <c r="H4302" t="s">
        <v>3912</v>
      </c>
      <c r="I4302" t="s">
        <v>3469</v>
      </c>
      <c r="J4302">
        <v>20</v>
      </c>
      <c r="K4302" t="s">
        <v>3892</v>
      </c>
      <c r="L4302">
        <v>240</v>
      </c>
      <c r="M4302">
        <v>12</v>
      </c>
      <c r="N4302" t="s">
        <v>3469</v>
      </c>
      <c r="O4302" t="s">
        <v>460</v>
      </c>
    </row>
    <row r="4303" spans="1:15" x14ac:dyDescent="0.3">
      <c r="A4303">
        <v>183460</v>
      </c>
      <c r="B4303">
        <v>116</v>
      </c>
      <c r="C4303" t="s">
        <v>568</v>
      </c>
      <c r="D4303" t="s">
        <v>2271</v>
      </c>
      <c r="E4303" t="s">
        <v>3335</v>
      </c>
      <c r="F4303" s="452">
        <v>45993</v>
      </c>
      <c r="G4303">
        <v>18538</v>
      </c>
      <c r="H4303" t="s">
        <v>4026</v>
      </c>
      <c r="I4303" t="s">
        <v>3497</v>
      </c>
      <c r="J4303">
        <v>1</v>
      </c>
      <c r="K4303" t="s">
        <v>3878</v>
      </c>
      <c r="L4303">
        <v>102.69</v>
      </c>
      <c r="M4303">
        <v>102.69</v>
      </c>
      <c r="N4303" t="s">
        <v>4276</v>
      </c>
      <c r="O4303" t="s">
        <v>460</v>
      </c>
    </row>
    <row r="4304" spans="1:15" x14ac:dyDescent="0.3">
      <c r="A4304">
        <v>183460</v>
      </c>
      <c r="B4304">
        <v>116</v>
      </c>
      <c r="C4304" t="s">
        <v>568</v>
      </c>
      <c r="D4304" t="s">
        <v>2271</v>
      </c>
      <c r="E4304" t="s">
        <v>3335</v>
      </c>
      <c r="F4304" s="452">
        <v>45993</v>
      </c>
      <c r="G4304">
        <v>18295</v>
      </c>
      <c r="H4304" t="s">
        <v>4030</v>
      </c>
      <c r="I4304" t="s">
        <v>3497</v>
      </c>
      <c r="J4304">
        <v>2</v>
      </c>
      <c r="K4304" t="s">
        <v>3878</v>
      </c>
      <c r="L4304">
        <v>249.08</v>
      </c>
      <c r="M4304">
        <v>124.54</v>
      </c>
      <c r="N4304" t="s">
        <v>4276</v>
      </c>
      <c r="O4304" t="s">
        <v>460</v>
      </c>
    </row>
    <row r="4305" spans="1:15" x14ac:dyDescent="0.3">
      <c r="A4305">
        <v>183459</v>
      </c>
      <c r="B4305">
        <v>116</v>
      </c>
      <c r="C4305" t="s">
        <v>568</v>
      </c>
      <c r="D4305" t="s">
        <v>2284</v>
      </c>
      <c r="E4305" t="s">
        <v>3336</v>
      </c>
      <c r="F4305" s="452">
        <v>45993</v>
      </c>
      <c r="G4305">
        <v>20227</v>
      </c>
      <c r="H4305" t="s">
        <v>3968</v>
      </c>
      <c r="I4305" t="s">
        <v>3469</v>
      </c>
      <c r="J4305">
        <v>5</v>
      </c>
      <c r="K4305" t="s">
        <v>3888</v>
      </c>
      <c r="L4305">
        <v>50</v>
      </c>
      <c r="M4305">
        <v>10</v>
      </c>
      <c r="N4305" t="s">
        <v>3469</v>
      </c>
      <c r="O4305" t="s">
        <v>460</v>
      </c>
    </row>
    <row r="4306" spans="1:15" x14ac:dyDescent="0.3">
      <c r="A4306">
        <v>183459</v>
      </c>
      <c r="B4306">
        <v>116</v>
      </c>
      <c r="C4306" t="s">
        <v>568</v>
      </c>
      <c r="D4306" t="s">
        <v>2284</v>
      </c>
      <c r="E4306" t="s">
        <v>3336</v>
      </c>
      <c r="F4306" s="452">
        <v>45993</v>
      </c>
      <c r="G4306">
        <v>20231</v>
      </c>
      <c r="H4306" t="s">
        <v>4123</v>
      </c>
      <c r="I4306" t="s">
        <v>3469</v>
      </c>
      <c r="J4306">
        <v>2</v>
      </c>
      <c r="K4306" t="s">
        <v>3888</v>
      </c>
      <c r="L4306">
        <v>32.56</v>
      </c>
      <c r="M4306">
        <v>16.28</v>
      </c>
      <c r="N4306" t="s">
        <v>3469</v>
      </c>
      <c r="O4306" t="s">
        <v>460</v>
      </c>
    </row>
    <row r="4307" spans="1:15" x14ac:dyDescent="0.3">
      <c r="A4307">
        <v>183459</v>
      </c>
      <c r="B4307">
        <v>116</v>
      </c>
      <c r="C4307" t="s">
        <v>568</v>
      </c>
      <c r="D4307" t="s">
        <v>2284</v>
      </c>
      <c r="E4307" t="s">
        <v>3336</v>
      </c>
      <c r="F4307" s="452">
        <v>45993</v>
      </c>
      <c r="G4307">
        <v>19324</v>
      </c>
      <c r="H4307" t="s">
        <v>3937</v>
      </c>
      <c r="I4307" t="s">
        <v>3469</v>
      </c>
      <c r="J4307">
        <v>8.1999999999999993</v>
      </c>
      <c r="K4307" t="s">
        <v>3892</v>
      </c>
      <c r="L4307">
        <v>271.5</v>
      </c>
      <c r="M4307">
        <v>33.109755999999997</v>
      </c>
      <c r="N4307" t="s">
        <v>3469</v>
      </c>
      <c r="O4307" t="s">
        <v>460</v>
      </c>
    </row>
    <row r="4308" spans="1:15" x14ac:dyDescent="0.3">
      <c r="A4308">
        <v>183459</v>
      </c>
      <c r="B4308">
        <v>116</v>
      </c>
      <c r="C4308" t="s">
        <v>568</v>
      </c>
      <c r="D4308" t="s">
        <v>2284</v>
      </c>
      <c r="E4308" t="s">
        <v>3336</v>
      </c>
      <c r="F4308" s="452">
        <v>45993</v>
      </c>
      <c r="G4308">
        <v>20949</v>
      </c>
      <c r="H4308" t="s">
        <v>3983</v>
      </c>
      <c r="I4308" t="s">
        <v>3469</v>
      </c>
      <c r="J4308">
        <v>6</v>
      </c>
      <c r="K4308" t="s">
        <v>3872</v>
      </c>
      <c r="L4308">
        <v>50.1</v>
      </c>
      <c r="M4308">
        <v>8.35</v>
      </c>
      <c r="N4308" t="s">
        <v>3469</v>
      </c>
      <c r="O4308" t="s">
        <v>460</v>
      </c>
    </row>
    <row r="4309" spans="1:15" x14ac:dyDescent="0.3">
      <c r="A4309">
        <v>183459</v>
      </c>
      <c r="B4309">
        <v>116</v>
      </c>
      <c r="C4309" t="s">
        <v>568</v>
      </c>
      <c r="D4309" t="s">
        <v>2284</v>
      </c>
      <c r="E4309" t="s">
        <v>3336</v>
      </c>
      <c r="F4309" s="452">
        <v>45993</v>
      </c>
      <c r="G4309">
        <v>20007</v>
      </c>
      <c r="H4309" t="s">
        <v>4009</v>
      </c>
      <c r="I4309" t="s">
        <v>3469</v>
      </c>
      <c r="J4309">
        <v>3</v>
      </c>
      <c r="K4309" t="s">
        <v>3966</v>
      </c>
      <c r="L4309">
        <v>143.4</v>
      </c>
      <c r="M4309">
        <v>47.8</v>
      </c>
      <c r="N4309" t="s">
        <v>3469</v>
      </c>
      <c r="O4309" t="s">
        <v>460</v>
      </c>
    </row>
    <row r="4310" spans="1:15" x14ac:dyDescent="0.3">
      <c r="A4310">
        <v>183459</v>
      </c>
      <c r="B4310">
        <v>116</v>
      </c>
      <c r="C4310" t="s">
        <v>568</v>
      </c>
      <c r="D4310" t="s">
        <v>2284</v>
      </c>
      <c r="E4310" t="s">
        <v>3336</v>
      </c>
      <c r="F4310" s="452">
        <v>45993</v>
      </c>
      <c r="G4310">
        <v>19415</v>
      </c>
      <c r="H4310" t="s">
        <v>3941</v>
      </c>
      <c r="I4310" t="s">
        <v>3469</v>
      </c>
      <c r="J4310">
        <v>6</v>
      </c>
      <c r="K4310" t="s">
        <v>3872</v>
      </c>
      <c r="L4310">
        <v>47.4</v>
      </c>
      <c r="M4310">
        <v>7.9</v>
      </c>
      <c r="N4310" t="s">
        <v>3469</v>
      </c>
      <c r="O4310" t="s">
        <v>460</v>
      </c>
    </row>
    <row r="4311" spans="1:15" x14ac:dyDescent="0.3">
      <c r="A4311">
        <v>183459</v>
      </c>
      <c r="B4311">
        <v>116</v>
      </c>
      <c r="C4311" t="s">
        <v>568</v>
      </c>
      <c r="D4311" t="s">
        <v>2284</v>
      </c>
      <c r="E4311" t="s">
        <v>3336</v>
      </c>
      <c r="F4311" s="452">
        <v>45993</v>
      </c>
      <c r="G4311">
        <v>20250</v>
      </c>
      <c r="H4311" t="s">
        <v>4008</v>
      </c>
      <c r="I4311" t="s">
        <v>3469</v>
      </c>
      <c r="J4311">
        <v>2</v>
      </c>
      <c r="K4311" t="s">
        <v>3888</v>
      </c>
      <c r="L4311">
        <v>81.48</v>
      </c>
      <c r="M4311">
        <v>40.74</v>
      </c>
      <c r="N4311" t="s">
        <v>3469</v>
      </c>
      <c r="O4311" t="s">
        <v>460</v>
      </c>
    </row>
    <row r="4312" spans="1:15" x14ac:dyDescent="0.3">
      <c r="A4312">
        <v>183459</v>
      </c>
      <c r="B4312">
        <v>116</v>
      </c>
      <c r="C4312" t="s">
        <v>568</v>
      </c>
      <c r="D4312" t="s">
        <v>2284</v>
      </c>
      <c r="E4312" t="s">
        <v>3336</v>
      </c>
      <c r="F4312" s="452">
        <v>45993</v>
      </c>
      <c r="G4312">
        <v>19346</v>
      </c>
      <c r="H4312" t="s">
        <v>3948</v>
      </c>
      <c r="I4312" t="s">
        <v>3469</v>
      </c>
      <c r="J4312">
        <v>3.22</v>
      </c>
      <c r="K4312" t="s">
        <v>3892</v>
      </c>
      <c r="L4312">
        <v>160.68</v>
      </c>
      <c r="M4312">
        <v>49.900621000000001</v>
      </c>
      <c r="N4312" t="s">
        <v>3469</v>
      </c>
      <c r="O4312" t="s">
        <v>460</v>
      </c>
    </row>
    <row r="4313" spans="1:15" x14ac:dyDescent="0.3">
      <c r="A4313">
        <v>183459</v>
      </c>
      <c r="B4313">
        <v>116</v>
      </c>
      <c r="C4313" t="s">
        <v>568</v>
      </c>
      <c r="D4313" t="s">
        <v>2284</v>
      </c>
      <c r="E4313" t="s">
        <v>3336</v>
      </c>
      <c r="F4313" s="452">
        <v>45993</v>
      </c>
      <c r="G4313">
        <v>21030</v>
      </c>
      <c r="H4313" t="s">
        <v>3890</v>
      </c>
      <c r="I4313" t="s">
        <v>3469</v>
      </c>
      <c r="J4313">
        <v>6</v>
      </c>
      <c r="K4313" t="s">
        <v>3872</v>
      </c>
      <c r="L4313">
        <v>116.1</v>
      </c>
      <c r="M4313">
        <v>19.350000000000001</v>
      </c>
      <c r="N4313" t="s">
        <v>3469</v>
      </c>
      <c r="O4313" t="s">
        <v>460</v>
      </c>
    </row>
    <row r="4314" spans="1:15" x14ac:dyDescent="0.3">
      <c r="A4314">
        <v>183459</v>
      </c>
      <c r="B4314">
        <v>116</v>
      </c>
      <c r="C4314" t="s">
        <v>568</v>
      </c>
      <c r="D4314" t="s">
        <v>2284</v>
      </c>
      <c r="E4314" t="s">
        <v>3336</v>
      </c>
      <c r="F4314" s="452">
        <v>45993</v>
      </c>
      <c r="G4314">
        <v>19287</v>
      </c>
      <c r="H4314" t="s">
        <v>3974</v>
      </c>
      <c r="I4314" t="s">
        <v>3469</v>
      </c>
      <c r="J4314">
        <v>3.4</v>
      </c>
      <c r="K4314" t="s">
        <v>3892</v>
      </c>
      <c r="L4314">
        <v>128.86000000000001</v>
      </c>
      <c r="M4314">
        <v>37.9</v>
      </c>
      <c r="N4314" t="s">
        <v>3469</v>
      </c>
      <c r="O4314" t="s">
        <v>460</v>
      </c>
    </row>
    <row r="4315" spans="1:15" x14ac:dyDescent="0.3">
      <c r="A4315">
        <v>183459</v>
      </c>
      <c r="B4315">
        <v>116</v>
      </c>
      <c r="C4315" t="s">
        <v>568</v>
      </c>
      <c r="D4315" t="s">
        <v>2284</v>
      </c>
      <c r="E4315" t="s">
        <v>3336</v>
      </c>
      <c r="F4315" s="452">
        <v>45993</v>
      </c>
      <c r="G4315">
        <v>20682</v>
      </c>
      <c r="H4315" t="s">
        <v>3929</v>
      </c>
      <c r="I4315" t="s">
        <v>3469</v>
      </c>
      <c r="J4315">
        <v>12</v>
      </c>
      <c r="K4315" t="s">
        <v>3872</v>
      </c>
      <c r="L4315">
        <v>119.88</v>
      </c>
      <c r="M4315">
        <v>9.99</v>
      </c>
      <c r="N4315" t="s">
        <v>3469</v>
      </c>
      <c r="O4315" t="s">
        <v>460</v>
      </c>
    </row>
    <row r="4316" spans="1:15" x14ac:dyDescent="0.3">
      <c r="A4316">
        <v>183459</v>
      </c>
      <c r="B4316">
        <v>116</v>
      </c>
      <c r="C4316" t="s">
        <v>568</v>
      </c>
      <c r="D4316" t="s">
        <v>2284</v>
      </c>
      <c r="E4316" t="s">
        <v>3336</v>
      </c>
      <c r="F4316" s="452">
        <v>45993</v>
      </c>
      <c r="G4316">
        <v>22721</v>
      </c>
      <c r="H4316" t="s">
        <v>4221</v>
      </c>
      <c r="I4316" t="s">
        <v>3469</v>
      </c>
      <c r="J4316">
        <v>4.32</v>
      </c>
      <c r="K4316" t="s">
        <v>3892</v>
      </c>
      <c r="L4316">
        <v>120.1</v>
      </c>
      <c r="M4316">
        <v>27.800926</v>
      </c>
      <c r="N4316" t="s">
        <v>3469</v>
      </c>
      <c r="O4316" t="s">
        <v>460</v>
      </c>
    </row>
    <row r="4317" spans="1:15" x14ac:dyDescent="0.3">
      <c r="A4317">
        <v>183459</v>
      </c>
      <c r="B4317">
        <v>116</v>
      </c>
      <c r="C4317" t="s">
        <v>568</v>
      </c>
      <c r="D4317" t="s">
        <v>2284</v>
      </c>
      <c r="E4317" t="s">
        <v>3336</v>
      </c>
      <c r="F4317" s="452">
        <v>45993</v>
      </c>
      <c r="G4317">
        <v>19264</v>
      </c>
      <c r="H4317" t="s">
        <v>4082</v>
      </c>
      <c r="I4317" t="s">
        <v>3469</v>
      </c>
      <c r="J4317">
        <v>1</v>
      </c>
      <c r="K4317" t="s">
        <v>3888</v>
      </c>
      <c r="L4317">
        <v>63.99</v>
      </c>
      <c r="M4317">
        <v>63.99</v>
      </c>
      <c r="N4317" t="s">
        <v>3469</v>
      </c>
      <c r="O4317" t="s">
        <v>460</v>
      </c>
    </row>
    <row r="4318" spans="1:15" x14ac:dyDescent="0.3">
      <c r="A4318">
        <v>183458</v>
      </c>
      <c r="B4318">
        <v>116</v>
      </c>
      <c r="C4318" t="s">
        <v>568</v>
      </c>
      <c r="D4318" t="s">
        <v>2273</v>
      </c>
      <c r="E4318" t="s">
        <v>3337</v>
      </c>
      <c r="F4318" s="452">
        <v>45995</v>
      </c>
      <c r="G4318">
        <v>24083</v>
      </c>
      <c r="H4318" t="s">
        <v>3898</v>
      </c>
      <c r="I4318" t="s">
        <v>3469</v>
      </c>
      <c r="J4318">
        <v>25</v>
      </c>
      <c r="K4318" t="s">
        <v>3892</v>
      </c>
      <c r="L4318">
        <v>90.75</v>
      </c>
      <c r="M4318">
        <v>3.63</v>
      </c>
      <c r="N4318" t="s">
        <v>4240</v>
      </c>
      <c r="O4318" t="s">
        <v>460</v>
      </c>
    </row>
    <row r="4319" spans="1:15" x14ac:dyDescent="0.3">
      <c r="A4319">
        <v>183458</v>
      </c>
      <c r="B4319">
        <v>116</v>
      </c>
      <c r="C4319" t="s">
        <v>568</v>
      </c>
      <c r="D4319" t="s">
        <v>2273</v>
      </c>
      <c r="E4319" t="s">
        <v>3337</v>
      </c>
      <c r="F4319" s="452">
        <v>45995</v>
      </c>
      <c r="G4319">
        <v>19607</v>
      </c>
      <c r="H4319" t="s">
        <v>4105</v>
      </c>
      <c r="I4319" t="s">
        <v>3469</v>
      </c>
      <c r="J4319">
        <v>1.1000000000000001</v>
      </c>
      <c r="K4319" t="s">
        <v>3892</v>
      </c>
      <c r="L4319">
        <v>6.78</v>
      </c>
      <c r="M4319">
        <v>6.1636360000000003</v>
      </c>
      <c r="N4319" t="s">
        <v>4240</v>
      </c>
      <c r="O4319" t="s">
        <v>460</v>
      </c>
    </row>
    <row r="4320" spans="1:15" x14ac:dyDescent="0.3">
      <c r="A4320">
        <v>183458</v>
      </c>
      <c r="B4320">
        <v>116</v>
      </c>
      <c r="C4320" t="s">
        <v>568</v>
      </c>
      <c r="D4320" t="s">
        <v>2273</v>
      </c>
      <c r="E4320" t="s">
        <v>3337</v>
      </c>
      <c r="F4320" s="452">
        <v>45995</v>
      </c>
      <c r="G4320">
        <v>24509</v>
      </c>
      <c r="H4320" t="s">
        <v>3906</v>
      </c>
      <c r="I4320" t="s">
        <v>3469</v>
      </c>
      <c r="J4320">
        <v>20.2</v>
      </c>
      <c r="K4320" t="s">
        <v>3892</v>
      </c>
      <c r="L4320">
        <v>45.45</v>
      </c>
      <c r="M4320">
        <v>2.25</v>
      </c>
      <c r="N4320" t="s">
        <v>4240</v>
      </c>
      <c r="O4320" t="s">
        <v>460</v>
      </c>
    </row>
    <row r="4321" spans="1:15" x14ac:dyDescent="0.3">
      <c r="A4321">
        <v>183458</v>
      </c>
      <c r="B4321">
        <v>116</v>
      </c>
      <c r="C4321" t="s">
        <v>568</v>
      </c>
      <c r="D4321" t="s">
        <v>2273</v>
      </c>
      <c r="E4321" t="s">
        <v>3337</v>
      </c>
      <c r="F4321" s="452">
        <v>45995</v>
      </c>
      <c r="G4321">
        <v>19553</v>
      </c>
      <c r="H4321" t="s">
        <v>4078</v>
      </c>
      <c r="I4321" t="s">
        <v>3469</v>
      </c>
      <c r="J4321">
        <v>3</v>
      </c>
      <c r="K4321" t="s">
        <v>3892</v>
      </c>
      <c r="L4321">
        <v>9.7799999999999994</v>
      </c>
      <c r="M4321">
        <v>3.26</v>
      </c>
      <c r="N4321" t="s">
        <v>4240</v>
      </c>
      <c r="O4321" t="s">
        <v>460</v>
      </c>
    </row>
    <row r="4322" spans="1:15" x14ac:dyDescent="0.3">
      <c r="A4322">
        <v>183458</v>
      </c>
      <c r="B4322">
        <v>116</v>
      </c>
      <c r="C4322" t="s">
        <v>568</v>
      </c>
      <c r="D4322" t="s">
        <v>2273</v>
      </c>
      <c r="E4322" t="s">
        <v>3337</v>
      </c>
      <c r="F4322" s="452">
        <v>45995</v>
      </c>
      <c r="G4322">
        <v>19742</v>
      </c>
      <c r="H4322" t="s">
        <v>4074</v>
      </c>
      <c r="I4322" t="s">
        <v>3469</v>
      </c>
      <c r="J4322">
        <v>1</v>
      </c>
      <c r="K4322" t="s">
        <v>3892</v>
      </c>
      <c r="L4322">
        <v>8.2799999999999994</v>
      </c>
      <c r="M4322">
        <v>8.2799999999999994</v>
      </c>
      <c r="N4322" t="s">
        <v>4240</v>
      </c>
      <c r="O4322" t="s">
        <v>460</v>
      </c>
    </row>
    <row r="4323" spans="1:15" x14ac:dyDescent="0.3">
      <c r="A4323">
        <v>183458</v>
      </c>
      <c r="B4323">
        <v>116</v>
      </c>
      <c r="C4323" t="s">
        <v>568</v>
      </c>
      <c r="D4323" t="s">
        <v>2273</v>
      </c>
      <c r="E4323" t="s">
        <v>3337</v>
      </c>
      <c r="F4323" s="452">
        <v>45995</v>
      </c>
      <c r="G4323">
        <v>24598</v>
      </c>
      <c r="H4323" t="s">
        <v>4166</v>
      </c>
      <c r="I4323" t="s">
        <v>3469</v>
      </c>
      <c r="J4323">
        <v>1.2</v>
      </c>
      <c r="K4323" t="s">
        <v>3892</v>
      </c>
      <c r="L4323">
        <v>9.56</v>
      </c>
      <c r="M4323">
        <v>7.9666670000000002</v>
      </c>
      <c r="N4323" t="s">
        <v>4240</v>
      </c>
      <c r="O4323" t="s">
        <v>460</v>
      </c>
    </row>
    <row r="4324" spans="1:15" x14ac:dyDescent="0.3">
      <c r="A4324">
        <v>183458</v>
      </c>
      <c r="B4324">
        <v>116</v>
      </c>
      <c r="C4324" t="s">
        <v>568</v>
      </c>
      <c r="D4324" t="s">
        <v>2273</v>
      </c>
      <c r="E4324" t="s">
        <v>3337</v>
      </c>
      <c r="F4324" s="452">
        <v>45995</v>
      </c>
      <c r="G4324">
        <v>19717</v>
      </c>
      <c r="H4324" t="s">
        <v>4135</v>
      </c>
      <c r="I4324" t="s">
        <v>3469</v>
      </c>
      <c r="J4324">
        <v>1</v>
      </c>
      <c r="K4324" t="s">
        <v>3892</v>
      </c>
      <c r="L4324">
        <v>19.43</v>
      </c>
      <c r="M4324">
        <v>19.43</v>
      </c>
      <c r="N4324" t="s">
        <v>4240</v>
      </c>
      <c r="O4324" t="s">
        <v>460</v>
      </c>
    </row>
    <row r="4325" spans="1:15" x14ac:dyDescent="0.3">
      <c r="A4325">
        <v>183457</v>
      </c>
      <c r="B4325">
        <v>116</v>
      </c>
      <c r="C4325" t="s">
        <v>568</v>
      </c>
      <c r="D4325" t="s">
        <v>2275</v>
      </c>
      <c r="E4325" t="s">
        <v>3338</v>
      </c>
      <c r="F4325" s="452">
        <v>45992</v>
      </c>
      <c r="G4325">
        <v>17958</v>
      </c>
      <c r="H4325" t="s">
        <v>4141</v>
      </c>
      <c r="I4325" t="s">
        <v>3497</v>
      </c>
      <c r="J4325">
        <v>10</v>
      </c>
      <c r="K4325" t="s">
        <v>3888</v>
      </c>
      <c r="L4325">
        <v>159</v>
      </c>
      <c r="M4325">
        <v>15.9</v>
      </c>
      <c r="N4325" t="s">
        <v>4276</v>
      </c>
      <c r="O4325" t="s">
        <v>460</v>
      </c>
    </row>
    <row r="4326" spans="1:15" x14ac:dyDescent="0.3">
      <c r="A4326">
        <v>183457</v>
      </c>
      <c r="B4326">
        <v>116</v>
      </c>
      <c r="C4326" t="s">
        <v>568</v>
      </c>
      <c r="D4326" t="s">
        <v>2275</v>
      </c>
      <c r="E4326" t="s">
        <v>3338</v>
      </c>
      <c r="F4326" s="452">
        <v>45992</v>
      </c>
      <c r="G4326">
        <v>17950</v>
      </c>
      <c r="H4326" t="s">
        <v>4170</v>
      </c>
      <c r="I4326" t="s">
        <v>3497</v>
      </c>
      <c r="J4326">
        <v>10</v>
      </c>
      <c r="K4326" t="s">
        <v>3888</v>
      </c>
      <c r="L4326">
        <v>171</v>
      </c>
      <c r="M4326">
        <v>17.100000000000001</v>
      </c>
      <c r="N4326" t="s">
        <v>4276</v>
      </c>
      <c r="O4326" t="s">
        <v>460</v>
      </c>
    </row>
    <row r="4327" spans="1:15" x14ac:dyDescent="0.3">
      <c r="A4327">
        <v>183456</v>
      </c>
      <c r="B4327">
        <v>116</v>
      </c>
      <c r="C4327" t="s">
        <v>568</v>
      </c>
      <c r="D4327" t="s">
        <v>2277</v>
      </c>
      <c r="E4327" t="s">
        <v>3339</v>
      </c>
      <c r="F4327" s="452">
        <v>45994</v>
      </c>
      <c r="G4327">
        <v>20809</v>
      </c>
      <c r="H4327" t="s">
        <v>4005</v>
      </c>
      <c r="I4327" t="s">
        <v>3469</v>
      </c>
      <c r="J4327">
        <v>3</v>
      </c>
      <c r="K4327" t="s">
        <v>3888</v>
      </c>
      <c r="L4327">
        <v>101.7</v>
      </c>
      <c r="M4327">
        <v>33.9</v>
      </c>
      <c r="N4327" t="s">
        <v>3469</v>
      </c>
      <c r="O4327" t="s">
        <v>460</v>
      </c>
    </row>
    <row r="4328" spans="1:15" x14ac:dyDescent="0.3">
      <c r="A4328">
        <v>183456</v>
      </c>
      <c r="B4328">
        <v>116</v>
      </c>
      <c r="C4328" t="s">
        <v>568</v>
      </c>
      <c r="D4328" t="s">
        <v>2277</v>
      </c>
      <c r="E4328" t="s">
        <v>3339</v>
      </c>
      <c r="F4328" s="452">
        <v>45994</v>
      </c>
      <c r="G4328">
        <v>20287</v>
      </c>
      <c r="H4328" t="s">
        <v>4053</v>
      </c>
      <c r="I4328" t="s">
        <v>3469</v>
      </c>
      <c r="J4328">
        <v>1</v>
      </c>
      <c r="K4328" t="s">
        <v>4197</v>
      </c>
      <c r="L4328">
        <v>24.85</v>
      </c>
      <c r="M4328">
        <v>24.85</v>
      </c>
      <c r="N4328" t="s">
        <v>3469</v>
      </c>
      <c r="O4328" t="s">
        <v>460</v>
      </c>
    </row>
    <row r="4329" spans="1:15" x14ac:dyDescent="0.3">
      <c r="A4329">
        <v>183456</v>
      </c>
      <c r="B4329">
        <v>116</v>
      </c>
      <c r="C4329" t="s">
        <v>568</v>
      </c>
      <c r="D4329" t="s">
        <v>2277</v>
      </c>
      <c r="E4329" t="s">
        <v>3339</v>
      </c>
      <c r="F4329" s="452">
        <v>45994</v>
      </c>
      <c r="G4329">
        <v>20304</v>
      </c>
      <c r="H4329" t="s">
        <v>3938</v>
      </c>
      <c r="I4329" t="s">
        <v>3469</v>
      </c>
      <c r="J4329">
        <v>6</v>
      </c>
      <c r="K4329" t="s">
        <v>3888</v>
      </c>
      <c r="L4329">
        <v>207.72</v>
      </c>
      <c r="M4329">
        <v>34.619999999999997</v>
      </c>
      <c r="N4329" t="s">
        <v>3469</v>
      </c>
      <c r="O4329" t="s">
        <v>460</v>
      </c>
    </row>
    <row r="4330" spans="1:15" x14ac:dyDescent="0.3">
      <c r="A4330">
        <v>183456</v>
      </c>
      <c r="B4330">
        <v>116</v>
      </c>
      <c r="C4330" t="s">
        <v>568</v>
      </c>
      <c r="D4330" t="s">
        <v>2277</v>
      </c>
      <c r="E4330" t="s">
        <v>3339</v>
      </c>
      <c r="F4330" s="452">
        <v>45994</v>
      </c>
      <c r="G4330">
        <v>20729</v>
      </c>
      <c r="H4330" t="s">
        <v>3965</v>
      </c>
      <c r="I4330" t="s">
        <v>3469</v>
      </c>
      <c r="J4330">
        <v>2</v>
      </c>
      <c r="K4330" t="s">
        <v>3966</v>
      </c>
      <c r="L4330">
        <v>128.19999999999999</v>
      </c>
      <c r="M4330">
        <v>64.099999999999994</v>
      </c>
      <c r="N4330" t="s">
        <v>3469</v>
      </c>
      <c r="O4330" t="s">
        <v>460</v>
      </c>
    </row>
    <row r="4331" spans="1:15" x14ac:dyDescent="0.3">
      <c r="A4331">
        <v>183456</v>
      </c>
      <c r="B4331">
        <v>116</v>
      </c>
      <c r="C4331" t="s">
        <v>568</v>
      </c>
      <c r="D4331" t="s">
        <v>2277</v>
      </c>
      <c r="E4331" t="s">
        <v>3339</v>
      </c>
      <c r="F4331" s="452">
        <v>45994</v>
      </c>
      <c r="G4331">
        <v>24302</v>
      </c>
      <c r="H4331" t="s">
        <v>4399</v>
      </c>
      <c r="I4331" t="s">
        <v>3469</v>
      </c>
      <c r="J4331">
        <v>2</v>
      </c>
      <c r="K4331" t="s">
        <v>3892</v>
      </c>
      <c r="L4331">
        <v>20.56</v>
      </c>
      <c r="M4331">
        <v>10.28</v>
      </c>
      <c r="N4331" t="s">
        <v>3469</v>
      </c>
      <c r="O4331" t="s">
        <v>460</v>
      </c>
    </row>
    <row r="4332" spans="1:15" x14ac:dyDescent="0.3">
      <c r="A4332">
        <v>183456</v>
      </c>
      <c r="B4332">
        <v>116</v>
      </c>
      <c r="C4332" t="s">
        <v>568</v>
      </c>
      <c r="D4332" t="s">
        <v>2277</v>
      </c>
      <c r="E4332" t="s">
        <v>3339</v>
      </c>
      <c r="F4332" s="452">
        <v>45994</v>
      </c>
      <c r="G4332">
        <v>20988</v>
      </c>
      <c r="H4332" t="s">
        <v>4117</v>
      </c>
      <c r="I4332" t="s">
        <v>3469</v>
      </c>
      <c r="J4332">
        <v>20</v>
      </c>
      <c r="K4332" t="s">
        <v>3872</v>
      </c>
      <c r="L4332">
        <v>179.8</v>
      </c>
      <c r="M4332">
        <v>8.99</v>
      </c>
      <c r="N4332" t="s">
        <v>3469</v>
      </c>
      <c r="O4332" t="s">
        <v>460</v>
      </c>
    </row>
    <row r="4333" spans="1:15" x14ac:dyDescent="0.3">
      <c r="A4333">
        <v>183456</v>
      </c>
      <c r="B4333">
        <v>116</v>
      </c>
      <c r="C4333" t="s">
        <v>568</v>
      </c>
      <c r="D4333" t="s">
        <v>2277</v>
      </c>
      <c r="E4333" t="s">
        <v>3339</v>
      </c>
      <c r="F4333" s="452">
        <v>45994</v>
      </c>
      <c r="G4333">
        <v>23897</v>
      </c>
      <c r="H4333" t="s">
        <v>4058</v>
      </c>
      <c r="I4333" t="s">
        <v>3469</v>
      </c>
      <c r="J4333">
        <v>2</v>
      </c>
      <c r="K4333" t="s">
        <v>4291</v>
      </c>
      <c r="L4333">
        <v>353</v>
      </c>
      <c r="M4333">
        <v>176.5</v>
      </c>
      <c r="N4333" t="s">
        <v>3469</v>
      </c>
      <c r="O4333" t="s">
        <v>460</v>
      </c>
    </row>
    <row r="4334" spans="1:15" x14ac:dyDescent="0.3">
      <c r="A4334">
        <v>183456</v>
      </c>
      <c r="B4334">
        <v>116</v>
      </c>
      <c r="C4334" t="s">
        <v>568</v>
      </c>
      <c r="D4334" t="s">
        <v>2277</v>
      </c>
      <c r="E4334" t="s">
        <v>3339</v>
      </c>
      <c r="F4334" s="452">
        <v>45994</v>
      </c>
      <c r="G4334">
        <v>24185</v>
      </c>
      <c r="H4334" t="s">
        <v>4040</v>
      </c>
      <c r="I4334" t="s">
        <v>3469</v>
      </c>
      <c r="J4334">
        <v>2</v>
      </c>
      <c r="K4334" t="s">
        <v>3892</v>
      </c>
      <c r="L4334">
        <v>46.2</v>
      </c>
      <c r="M4334">
        <v>23.1</v>
      </c>
      <c r="N4334" t="s">
        <v>3469</v>
      </c>
      <c r="O4334" t="s">
        <v>460</v>
      </c>
    </row>
    <row r="4335" spans="1:15" x14ac:dyDescent="0.3">
      <c r="A4335">
        <v>183456</v>
      </c>
      <c r="B4335">
        <v>116</v>
      </c>
      <c r="C4335" t="s">
        <v>568</v>
      </c>
      <c r="D4335" t="s">
        <v>2277</v>
      </c>
      <c r="E4335" t="s">
        <v>3339</v>
      </c>
      <c r="F4335" s="452">
        <v>45994</v>
      </c>
      <c r="G4335">
        <v>19297</v>
      </c>
      <c r="H4335" t="s">
        <v>3949</v>
      </c>
      <c r="I4335" t="s">
        <v>3469</v>
      </c>
      <c r="J4335">
        <v>7.5</v>
      </c>
      <c r="L4335">
        <v>559.42999999999995</v>
      </c>
      <c r="M4335">
        <v>74.590666999999996</v>
      </c>
      <c r="N4335" t="s">
        <v>3469</v>
      </c>
      <c r="O4335" t="s">
        <v>460</v>
      </c>
    </row>
    <row r="4336" spans="1:15" x14ac:dyDescent="0.3">
      <c r="A4336">
        <v>183455</v>
      </c>
      <c r="B4336">
        <v>116</v>
      </c>
      <c r="C4336" t="s">
        <v>568</v>
      </c>
      <c r="D4336" t="s">
        <v>2312</v>
      </c>
      <c r="E4336" t="s">
        <v>3340</v>
      </c>
      <c r="F4336" s="452">
        <v>45993</v>
      </c>
      <c r="G4336">
        <v>17162</v>
      </c>
      <c r="H4336" t="s">
        <v>4209</v>
      </c>
      <c r="I4336" t="s">
        <v>4199</v>
      </c>
      <c r="J4336">
        <v>1</v>
      </c>
      <c r="K4336" t="s">
        <v>3872</v>
      </c>
      <c r="L4336">
        <v>59.9</v>
      </c>
      <c r="M4336">
        <v>59.9</v>
      </c>
      <c r="N4336" t="s">
        <v>2176</v>
      </c>
      <c r="O4336" t="s">
        <v>460</v>
      </c>
    </row>
    <row r="4337" spans="1:15" x14ac:dyDescent="0.3">
      <c r="A4337">
        <v>183455</v>
      </c>
      <c r="B4337">
        <v>116</v>
      </c>
      <c r="C4337" t="s">
        <v>568</v>
      </c>
      <c r="D4337" t="s">
        <v>2312</v>
      </c>
      <c r="E4337" t="s">
        <v>3340</v>
      </c>
      <c r="F4337" s="452">
        <v>45993</v>
      </c>
      <c r="G4337">
        <v>17046</v>
      </c>
      <c r="H4337" t="s">
        <v>4246</v>
      </c>
      <c r="I4337" t="s">
        <v>4199</v>
      </c>
      <c r="J4337">
        <v>1</v>
      </c>
      <c r="K4337" t="s">
        <v>3872</v>
      </c>
      <c r="L4337">
        <v>39.9</v>
      </c>
      <c r="M4337">
        <v>39.9</v>
      </c>
      <c r="N4337" t="s">
        <v>2176</v>
      </c>
      <c r="O4337" t="s">
        <v>460</v>
      </c>
    </row>
    <row r="4338" spans="1:15" x14ac:dyDescent="0.3">
      <c r="A4338">
        <v>183455</v>
      </c>
      <c r="B4338">
        <v>116</v>
      </c>
      <c r="C4338" t="s">
        <v>568</v>
      </c>
      <c r="D4338" t="s">
        <v>2312</v>
      </c>
      <c r="E4338" t="s">
        <v>3340</v>
      </c>
      <c r="F4338" s="452">
        <v>45993</v>
      </c>
      <c r="G4338">
        <v>17266</v>
      </c>
      <c r="H4338" t="s">
        <v>4229</v>
      </c>
      <c r="I4338" t="s">
        <v>4199</v>
      </c>
      <c r="J4338">
        <v>12</v>
      </c>
      <c r="K4338" t="s">
        <v>3872</v>
      </c>
      <c r="L4338">
        <v>61.2</v>
      </c>
      <c r="M4338">
        <v>5.0999999999999996</v>
      </c>
      <c r="N4338" t="s">
        <v>2176</v>
      </c>
      <c r="O4338" t="s">
        <v>460</v>
      </c>
    </row>
    <row r="4339" spans="1:15" x14ac:dyDescent="0.3">
      <c r="A4339">
        <v>183455</v>
      </c>
      <c r="B4339">
        <v>116</v>
      </c>
      <c r="C4339" t="s">
        <v>568</v>
      </c>
      <c r="D4339" t="s">
        <v>2312</v>
      </c>
      <c r="E4339" t="s">
        <v>3340</v>
      </c>
      <c r="F4339" s="452">
        <v>45993</v>
      </c>
      <c r="G4339">
        <v>21423</v>
      </c>
      <c r="H4339" t="s">
        <v>4225</v>
      </c>
      <c r="I4339" t="s">
        <v>4199</v>
      </c>
      <c r="J4339">
        <v>1</v>
      </c>
      <c r="K4339" t="s">
        <v>3872</v>
      </c>
      <c r="L4339">
        <v>33.5</v>
      </c>
      <c r="M4339">
        <v>33.5</v>
      </c>
      <c r="N4339" t="s">
        <v>2176</v>
      </c>
      <c r="O4339" t="s">
        <v>460</v>
      </c>
    </row>
    <row r="4340" spans="1:15" x14ac:dyDescent="0.3">
      <c r="A4340">
        <v>183454</v>
      </c>
      <c r="B4340">
        <v>116</v>
      </c>
      <c r="C4340" t="s">
        <v>568</v>
      </c>
      <c r="D4340" t="s">
        <v>2709</v>
      </c>
      <c r="E4340" t="s">
        <v>3341</v>
      </c>
      <c r="F4340" s="452">
        <v>45993</v>
      </c>
      <c r="G4340">
        <v>20234</v>
      </c>
      <c r="H4340" t="s">
        <v>3979</v>
      </c>
      <c r="I4340" t="s">
        <v>3469</v>
      </c>
      <c r="J4340">
        <v>4</v>
      </c>
      <c r="K4340" t="s">
        <v>3892</v>
      </c>
      <c r="L4340">
        <v>83.2</v>
      </c>
      <c r="M4340">
        <v>20.8</v>
      </c>
      <c r="N4340" t="s">
        <v>4240</v>
      </c>
      <c r="O4340" t="s">
        <v>460</v>
      </c>
    </row>
    <row r="4341" spans="1:15" x14ac:dyDescent="0.3">
      <c r="A4341">
        <v>183453</v>
      </c>
      <c r="B4341">
        <v>116</v>
      </c>
      <c r="C4341" t="s">
        <v>568</v>
      </c>
      <c r="D4341" t="s">
        <v>2429</v>
      </c>
      <c r="E4341" t="s">
        <v>3342</v>
      </c>
      <c r="F4341" s="452">
        <v>45995</v>
      </c>
      <c r="G4341">
        <v>19139</v>
      </c>
      <c r="H4341" t="s">
        <v>3887</v>
      </c>
      <c r="I4341" t="s">
        <v>3469</v>
      </c>
      <c r="J4341">
        <v>10</v>
      </c>
      <c r="K4341" t="s">
        <v>3888</v>
      </c>
      <c r="L4341">
        <v>91</v>
      </c>
      <c r="M4341">
        <v>9.1</v>
      </c>
      <c r="N4341" t="s">
        <v>4240</v>
      </c>
      <c r="O4341" t="s">
        <v>460</v>
      </c>
    </row>
    <row r="4342" spans="1:15" x14ac:dyDescent="0.3">
      <c r="A4342">
        <v>183453</v>
      </c>
      <c r="B4342">
        <v>116</v>
      </c>
      <c r="C4342" t="s">
        <v>568</v>
      </c>
      <c r="D4342" t="s">
        <v>2429</v>
      </c>
      <c r="E4342" t="s">
        <v>3342</v>
      </c>
      <c r="F4342" s="452">
        <v>45995</v>
      </c>
      <c r="G4342">
        <v>20685</v>
      </c>
      <c r="H4342" t="s">
        <v>4122</v>
      </c>
      <c r="I4342" t="s">
        <v>3469</v>
      </c>
      <c r="J4342">
        <v>11</v>
      </c>
      <c r="K4342" t="s">
        <v>3872</v>
      </c>
      <c r="L4342">
        <v>32.89</v>
      </c>
      <c r="M4342">
        <v>2.99</v>
      </c>
      <c r="N4342" t="s">
        <v>4240</v>
      </c>
      <c r="O4342" t="s">
        <v>460</v>
      </c>
    </row>
    <row r="4343" spans="1:15" x14ac:dyDescent="0.3">
      <c r="A4343">
        <v>183453</v>
      </c>
      <c r="B4343">
        <v>116</v>
      </c>
      <c r="C4343" t="s">
        <v>568</v>
      </c>
      <c r="D4343" t="s">
        <v>2429</v>
      </c>
      <c r="E4343" t="s">
        <v>3342</v>
      </c>
      <c r="F4343" s="452">
        <v>45995</v>
      </c>
      <c r="G4343">
        <v>20984</v>
      </c>
      <c r="H4343" t="s">
        <v>4235</v>
      </c>
      <c r="I4343" t="s">
        <v>3469</v>
      </c>
      <c r="J4343">
        <v>20</v>
      </c>
      <c r="L4343">
        <v>177.2</v>
      </c>
      <c r="M4343">
        <v>8.86</v>
      </c>
      <c r="N4343" t="s">
        <v>4240</v>
      </c>
      <c r="O4343" t="s">
        <v>460</v>
      </c>
    </row>
    <row r="4344" spans="1:15" x14ac:dyDescent="0.3">
      <c r="A4344">
        <v>183452</v>
      </c>
      <c r="B4344">
        <v>116</v>
      </c>
      <c r="C4344" t="s">
        <v>568</v>
      </c>
      <c r="D4344" t="s">
        <v>2429</v>
      </c>
      <c r="E4344" t="s">
        <v>3343</v>
      </c>
      <c r="F4344" s="452">
        <v>45993</v>
      </c>
      <c r="G4344">
        <v>19139</v>
      </c>
      <c r="H4344" t="s">
        <v>3887</v>
      </c>
      <c r="I4344" t="s">
        <v>3469</v>
      </c>
      <c r="J4344">
        <v>17</v>
      </c>
      <c r="K4344" t="s">
        <v>3888</v>
      </c>
      <c r="L4344">
        <v>154.69999999999999</v>
      </c>
      <c r="M4344">
        <v>9.1</v>
      </c>
      <c r="N4344" t="s">
        <v>3469</v>
      </c>
      <c r="O4344" t="s">
        <v>460</v>
      </c>
    </row>
    <row r="4345" spans="1:15" x14ac:dyDescent="0.3">
      <c r="A4345">
        <v>183452</v>
      </c>
      <c r="B4345">
        <v>116</v>
      </c>
      <c r="C4345" t="s">
        <v>568</v>
      </c>
      <c r="D4345" t="s">
        <v>2429</v>
      </c>
      <c r="E4345" t="s">
        <v>3343</v>
      </c>
      <c r="F4345" s="452">
        <v>45993</v>
      </c>
      <c r="G4345">
        <v>20007</v>
      </c>
      <c r="H4345" t="s">
        <v>4009</v>
      </c>
      <c r="I4345" t="s">
        <v>3469</v>
      </c>
      <c r="J4345">
        <v>1</v>
      </c>
      <c r="K4345" t="s">
        <v>3966</v>
      </c>
      <c r="L4345">
        <v>56.9</v>
      </c>
      <c r="M4345">
        <v>56.9</v>
      </c>
      <c r="N4345" t="s">
        <v>3469</v>
      </c>
      <c r="O4345" t="s">
        <v>460</v>
      </c>
    </row>
    <row r="4346" spans="1:15" x14ac:dyDescent="0.3">
      <c r="A4346">
        <v>183452</v>
      </c>
      <c r="B4346">
        <v>116</v>
      </c>
      <c r="C4346" t="s">
        <v>568</v>
      </c>
      <c r="D4346" t="s">
        <v>2429</v>
      </c>
      <c r="E4346" t="s">
        <v>3343</v>
      </c>
      <c r="F4346" s="452">
        <v>45993</v>
      </c>
      <c r="G4346">
        <v>20624</v>
      </c>
      <c r="H4346" t="s">
        <v>3982</v>
      </c>
      <c r="I4346" t="s">
        <v>3469</v>
      </c>
      <c r="J4346">
        <v>1</v>
      </c>
      <c r="L4346">
        <v>71</v>
      </c>
      <c r="M4346">
        <v>71</v>
      </c>
      <c r="N4346" t="s">
        <v>3469</v>
      </c>
      <c r="O4346" t="s">
        <v>460</v>
      </c>
    </row>
    <row r="4347" spans="1:15" x14ac:dyDescent="0.3">
      <c r="A4347">
        <v>183451</v>
      </c>
      <c r="B4347">
        <v>116</v>
      </c>
      <c r="C4347" t="s">
        <v>568</v>
      </c>
      <c r="D4347" t="s">
        <v>2869</v>
      </c>
      <c r="E4347" t="s">
        <v>3344</v>
      </c>
      <c r="F4347" s="452">
        <v>45995</v>
      </c>
      <c r="G4347">
        <v>24933</v>
      </c>
      <c r="H4347" t="s">
        <v>4436</v>
      </c>
      <c r="I4347" t="s">
        <v>4202</v>
      </c>
      <c r="J4347">
        <v>24</v>
      </c>
      <c r="K4347" t="s">
        <v>4347</v>
      </c>
      <c r="L4347">
        <v>648</v>
      </c>
      <c r="M4347">
        <v>27</v>
      </c>
      <c r="N4347" t="s">
        <v>4256</v>
      </c>
      <c r="O4347" t="s">
        <v>460</v>
      </c>
    </row>
    <row r="4348" spans="1:15" x14ac:dyDescent="0.3">
      <c r="A4348">
        <v>183450</v>
      </c>
      <c r="B4348">
        <v>116</v>
      </c>
      <c r="C4348" t="s">
        <v>568</v>
      </c>
      <c r="D4348" t="s">
        <v>2308</v>
      </c>
      <c r="E4348" t="s">
        <v>3345</v>
      </c>
      <c r="F4348" s="452">
        <v>45993</v>
      </c>
      <c r="G4348">
        <v>18948</v>
      </c>
      <c r="H4348" t="s">
        <v>3961</v>
      </c>
      <c r="I4348" t="s">
        <v>3469</v>
      </c>
      <c r="J4348">
        <v>15.7</v>
      </c>
      <c r="K4348" t="s">
        <v>3892</v>
      </c>
      <c r="L4348">
        <v>996.95</v>
      </c>
      <c r="M4348">
        <v>63.5</v>
      </c>
      <c r="N4348" t="s">
        <v>3469</v>
      </c>
      <c r="O4348" t="s">
        <v>460</v>
      </c>
    </row>
    <row r="4349" spans="1:15" x14ac:dyDescent="0.3">
      <c r="A4349">
        <v>183449</v>
      </c>
      <c r="B4349">
        <v>116</v>
      </c>
      <c r="C4349" t="s">
        <v>568</v>
      </c>
      <c r="D4349" t="s">
        <v>2308</v>
      </c>
      <c r="E4349" t="s">
        <v>3346</v>
      </c>
      <c r="F4349" s="452">
        <v>45993</v>
      </c>
      <c r="G4349">
        <v>27901</v>
      </c>
      <c r="H4349" t="s">
        <v>3942</v>
      </c>
      <c r="I4349" t="s">
        <v>3469</v>
      </c>
      <c r="J4349">
        <v>10.1</v>
      </c>
      <c r="K4349" t="s">
        <v>3892</v>
      </c>
      <c r="L4349">
        <v>999.9</v>
      </c>
      <c r="M4349">
        <v>99</v>
      </c>
      <c r="N4349" t="s">
        <v>3469</v>
      </c>
      <c r="O4349" t="s">
        <v>460</v>
      </c>
    </row>
    <row r="4350" spans="1:15" x14ac:dyDescent="0.3">
      <c r="A4350">
        <v>183448</v>
      </c>
      <c r="B4350">
        <v>116</v>
      </c>
      <c r="C4350" t="s">
        <v>568</v>
      </c>
      <c r="D4350" t="s">
        <v>2314</v>
      </c>
      <c r="E4350" t="s">
        <v>3347</v>
      </c>
      <c r="F4350" s="452">
        <v>45993</v>
      </c>
      <c r="G4350">
        <v>18636</v>
      </c>
      <c r="H4350" t="s">
        <v>3921</v>
      </c>
      <c r="I4350" t="s">
        <v>3497</v>
      </c>
      <c r="J4350">
        <v>10</v>
      </c>
      <c r="K4350" t="s">
        <v>3922</v>
      </c>
      <c r="L4350">
        <v>4828</v>
      </c>
      <c r="M4350">
        <v>482.8</v>
      </c>
      <c r="N4350" t="s">
        <v>4276</v>
      </c>
      <c r="O4350" t="s">
        <v>460</v>
      </c>
    </row>
    <row r="4351" spans="1:15" x14ac:dyDescent="0.3">
      <c r="A4351">
        <v>183448</v>
      </c>
      <c r="B4351">
        <v>116</v>
      </c>
      <c r="C4351" t="s">
        <v>568</v>
      </c>
      <c r="D4351" t="s">
        <v>2314</v>
      </c>
      <c r="E4351" t="s">
        <v>3347</v>
      </c>
      <c r="F4351" s="452">
        <v>45993</v>
      </c>
      <c r="G4351">
        <v>17895</v>
      </c>
      <c r="H4351" t="s">
        <v>4137</v>
      </c>
      <c r="I4351" t="s">
        <v>3497</v>
      </c>
      <c r="J4351">
        <v>10</v>
      </c>
      <c r="K4351" t="s">
        <v>3888</v>
      </c>
      <c r="L4351">
        <v>283.2</v>
      </c>
      <c r="M4351">
        <v>28.32</v>
      </c>
      <c r="N4351" t="s">
        <v>4276</v>
      </c>
      <c r="O4351" t="s">
        <v>460</v>
      </c>
    </row>
    <row r="4352" spans="1:15" x14ac:dyDescent="0.3">
      <c r="A4352">
        <v>183448</v>
      </c>
      <c r="B4352">
        <v>116</v>
      </c>
      <c r="C4352" t="s">
        <v>568</v>
      </c>
      <c r="D4352" t="s">
        <v>2314</v>
      </c>
      <c r="E4352" t="s">
        <v>3347</v>
      </c>
      <c r="F4352" s="452">
        <v>45993</v>
      </c>
      <c r="G4352">
        <v>17881</v>
      </c>
      <c r="H4352" t="s">
        <v>4095</v>
      </c>
      <c r="I4352" t="s">
        <v>3497</v>
      </c>
      <c r="J4352">
        <v>2</v>
      </c>
      <c r="K4352" t="s">
        <v>3888</v>
      </c>
      <c r="L4352">
        <v>56.64</v>
      </c>
      <c r="M4352">
        <v>28.32</v>
      </c>
      <c r="N4352" t="s">
        <v>4276</v>
      </c>
      <c r="O4352" t="s">
        <v>460</v>
      </c>
    </row>
    <row r="4353" spans="1:15" x14ac:dyDescent="0.3">
      <c r="A4353">
        <v>183448</v>
      </c>
      <c r="B4353">
        <v>116</v>
      </c>
      <c r="C4353" t="s">
        <v>568</v>
      </c>
      <c r="D4353" t="s">
        <v>2314</v>
      </c>
      <c r="E4353" t="s">
        <v>3347</v>
      </c>
      <c r="F4353" s="452">
        <v>45993</v>
      </c>
      <c r="G4353">
        <v>17903</v>
      </c>
      <c r="H4353" t="s">
        <v>3971</v>
      </c>
      <c r="I4353" t="s">
        <v>3497</v>
      </c>
      <c r="J4353">
        <v>6</v>
      </c>
      <c r="K4353" t="s">
        <v>3888</v>
      </c>
      <c r="L4353">
        <v>177.84</v>
      </c>
      <c r="M4353">
        <v>29.64</v>
      </c>
      <c r="N4353" t="s">
        <v>4276</v>
      </c>
      <c r="O4353" t="s">
        <v>460</v>
      </c>
    </row>
    <row r="4354" spans="1:15" x14ac:dyDescent="0.3">
      <c r="A4354">
        <v>182377</v>
      </c>
      <c r="B4354">
        <v>116</v>
      </c>
      <c r="C4354" t="s">
        <v>568</v>
      </c>
      <c r="D4354" t="s">
        <v>3122</v>
      </c>
      <c r="E4354" t="s">
        <v>3348</v>
      </c>
      <c r="F4354" s="452">
        <v>45993</v>
      </c>
      <c r="G4354">
        <v>17129</v>
      </c>
      <c r="H4354" t="s">
        <v>4200</v>
      </c>
      <c r="I4354" t="s">
        <v>4199</v>
      </c>
      <c r="J4354">
        <v>1</v>
      </c>
      <c r="K4354" t="s">
        <v>3888</v>
      </c>
      <c r="L4354">
        <v>28.9</v>
      </c>
      <c r="M4354">
        <v>28.9</v>
      </c>
      <c r="N4354" t="s">
        <v>2176</v>
      </c>
      <c r="O4354" t="s">
        <v>460</v>
      </c>
    </row>
    <row r="4355" spans="1:15" x14ac:dyDescent="0.3">
      <c r="A4355">
        <v>182377</v>
      </c>
      <c r="B4355">
        <v>116</v>
      </c>
      <c r="C4355" t="s">
        <v>568</v>
      </c>
      <c r="D4355" t="s">
        <v>3122</v>
      </c>
      <c r="E4355" t="s">
        <v>3348</v>
      </c>
      <c r="F4355" s="452">
        <v>45993</v>
      </c>
      <c r="G4355">
        <v>17185</v>
      </c>
      <c r="H4355" t="s">
        <v>4210</v>
      </c>
      <c r="I4355" t="s">
        <v>4199</v>
      </c>
      <c r="J4355">
        <v>1</v>
      </c>
      <c r="K4355" t="s">
        <v>3978</v>
      </c>
      <c r="L4355">
        <v>15.1</v>
      </c>
      <c r="M4355">
        <v>15.1</v>
      </c>
      <c r="N4355" t="s">
        <v>2176</v>
      </c>
      <c r="O4355" t="s">
        <v>460</v>
      </c>
    </row>
    <row r="4356" spans="1:15" x14ac:dyDescent="0.3">
      <c r="A4356">
        <v>182377</v>
      </c>
      <c r="B4356">
        <v>116</v>
      </c>
      <c r="C4356" t="s">
        <v>568</v>
      </c>
      <c r="D4356" t="s">
        <v>3122</v>
      </c>
      <c r="E4356" t="s">
        <v>3348</v>
      </c>
      <c r="F4356" s="452">
        <v>45993</v>
      </c>
      <c r="G4356">
        <v>17190</v>
      </c>
      <c r="H4356" t="s">
        <v>4271</v>
      </c>
      <c r="I4356" t="s">
        <v>4199</v>
      </c>
      <c r="J4356">
        <v>5</v>
      </c>
      <c r="K4356" t="s">
        <v>3888</v>
      </c>
      <c r="L4356">
        <v>40.299999999999997</v>
      </c>
      <c r="M4356">
        <v>8.06</v>
      </c>
      <c r="N4356" t="s">
        <v>2176</v>
      </c>
      <c r="O4356" t="s">
        <v>460</v>
      </c>
    </row>
    <row r="4357" spans="1:15" x14ac:dyDescent="0.3">
      <c r="A4357">
        <v>182377</v>
      </c>
      <c r="B4357">
        <v>116</v>
      </c>
      <c r="C4357" t="s">
        <v>568</v>
      </c>
      <c r="D4357" t="s">
        <v>3122</v>
      </c>
      <c r="E4357" t="s">
        <v>3348</v>
      </c>
      <c r="F4357" s="452">
        <v>45993</v>
      </c>
      <c r="G4357">
        <v>21783</v>
      </c>
      <c r="H4357" t="s">
        <v>4228</v>
      </c>
      <c r="I4357" t="s">
        <v>4202</v>
      </c>
      <c r="J4357">
        <v>2</v>
      </c>
      <c r="K4357" t="s">
        <v>3872</v>
      </c>
      <c r="L4357">
        <v>20.399999999999999</v>
      </c>
      <c r="M4357">
        <v>10.199999999999999</v>
      </c>
      <c r="N4357" t="s">
        <v>2176</v>
      </c>
      <c r="O4357" t="s">
        <v>460</v>
      </c>
    </row>
    <row r="4358" spans="1:15" x14ac:dyDescent="0.3">
      <c r="A4358">
        <v>182377</v>
      </c>
      <c r="B4358">
        <v>116</v>
      </c>
      <c r="C4358" t="s">
        <v>568</v>
      </c>
      <c r="D4358" t="s">
        <v>3122</v>
      </c>
      <c r="E4358" t="s">
        <v>3348</v>
      </c>
      <c r="F4358" s="452">
        <v>45993</v>
      </c>
      <c r="G4358">
        <v>17196</v>
      </c>
      <c r="H4358" t="s">
        <v>4415</v>
      </c>
      <c r="I4358" t="s">
        <v>4199</v>
      </c>
      <c r="J4358">
        <v>3</v>
      </c>
      <c r="K4358" t="s">
        <v>3888</v>
      </c>
      <c r="L4358">
        <v>19.05</v>
      </c>
      <c r="M4358">
        <v>6.35</v>
      </c>
      <c r="N4358" t="s">
        <v>2176</v>
      </c>
      <c r="O4358" t="s">
        <v>460</v>
      </c>
    </row>
    <row r="4359" spans="1:15" x14ac:dyDescent="0.3">
      <c r="A4359">
        <v>182377</v>
      </c>
      <c r="B4359">
        <v>116</v>
      </c>
      <c r="C4359" t="s">
        <v>568</v>
      </c>
      <c r="D4359" t="s">
        <v>3122</v>
      </c>
      <c r="E4359" t="s">
        <v>3348</v>
      </c>
      <c r="F4359" s="452">
        <v>45993</v>
      </c>
      <c r="G4359">
        <v>17361</v>
      </c>
      <c r="H4359" t="s">
        <v>4437</v>
      </c>
      <c r="I4359" t="s">
        <v>4199</v>
      </c>
      <c r="J4359">
        <v>1</v>
      </c>
      <c r="K4359" t="s">
        <v>3888</v>
      </c>
      <c r="L4359">
        <v>7.64</v>
      </c>
      <c r="M4359">
        <v>7.64</v>
      </c>
      <c r="N4359" t="s">
        <v>2176</v>
      </c>
      <c r="O4359" t="s">
        <v>460</v>
      </c>
    </row>
    <row r="4360" spans="1:15" x14ac:dyDescent="0.3">
      <c r="A4360">
        <v>182371</v>
      </c>
      <c r="B4360">
        <v>116</v>
      </c>
      <c r="C4360" t="s">
        <v>568</v>
      </c>
      <c r="D4360" t="s">
        <v>2323</v>
      </c>
      <c r="E4360" t="s">
        <v>3349</v>
      </c>
      <c r="F4360" s="452">
        <v>45993</v>
      </c>
      <c r="G4360">
        <v>18818</v>
      </c>
      <c r="H4360" t="s">
        <v>3916</v>
      </c>
      <c r="I4360" t="s">
        <v>3469</v>
      </c>
      <c r="J4360">
        <v>11.6</v>
      </c>
      <c r="K4360" t="s">
        <v>3892</v>
      </c>
      <c r="L4360">
        <v>284.2</v>
      </c>
      <c r="M4360">
        <v>24.5</v>
      </c>
      <c r="N4360" t="s">
        <v>4240</v>
      </c>
      <c r="O4360" t="s">
        <v>460</v>
      </c>
    </row>
    <row r="4361" spans="1:15" x14ac:dyDescent="0.3">
      <c r="A4361">
        <v>182358</v>
      </c>
      <c r="B4361">
        <v>116</v>
      </c>
      <c r="C4361" t="s">
        <v>568</v>
      </c>
      <c r="D4361" t="s">
        <v>2265</v>
      </c>
      <c r="E4361" t="s">
        <v>3350</v>
      </c>
      <c r="F4361" s="452">
        <v>45993</v>
      </c>
      <c r="G4361">
        <v>17437</v>
      </c>
      <c r="H4361" t="s">
        <v>4198</v>
      </c>
      <c r="I4361" t="s">
        <v>4199</v>
      </c>
      <c r="J4361">
        <v>10</v>
      </c>
      <c r="K4361" t="s">
        <v>3872</v>
      </c>
      <c r="L4361">
        <v>25</v>
      </c>
      <c r="M4361">
        <v>2.5</v>
      </c>
      <c r="N4361" t="s">
        <v>2176</v>
      </c>
      <c r="O4361" t="s">
        <v>460</v>
      </c>
    </row>
    <row r="4362" spans="1:15" x14ac:dyDescent="0.3">
      <c r="A4362">
        <v>182358</v>
      </c>
      <c r="B4362">
        <v>116</v>
      </c>
      <c r="C4362" t="s">
        <v>568</v>
      </c>
      <c r="D4362" t="s">
        <v>2265</v>
      </c>
      <c r="E4362" t="s">
        <v>3350</v>
      </c>
      <c r="F4362" s="452">
        <v>45993</v>
      </c>
      <c r="G4362">
        <v>17405</v>
      </c>
      <c r="H4362" t="s">
        <v>4251</v>
      </c>
      <c r="I4362" t="s">
        <v>4199</v>
      </c>
      <c r="J4362">
        <v>1</v>
      </c>
      <c r="K4362" t="s">
        <v>3872</v>
      </c>
      <c r="L4362">
        <v>10</v>
      </c>
      <c r="M4362">
        <v>10</v>
      </c>
      <c r="N4362" t="s">
        <v>2176</v>
      </c>
      <c r="O4362" t="s">
        <v>460</v>
      </c>
    </row>
    <row r="4363" spans="1:15" x14ac:dyDescent="0.3">
      <c r="A4363">
        <v>182358</v>
      </c>
      <c r="B4363">
        <v>116</v>
      </c>
      <c r="C4363" t="s">
        <v>568</v>
      </c>
      <c r="D4363" t="s">
        <v>2265</v>
      </c>
      <c r="E4363" t="s">
        <v>3350</v>
      </c>
      <c r="F4363" s="452">
        <v>45993</v>
      </c>
      <c r="G4363">
        <v>17455</v>
      </c>
      <c r="H4363" t="s">
        <v>4231</v>
      </c>
      <c r="I4363" t="s">
        <v>4199</v>
      </c>
      <c r="J4363">
        <v>2</v>
      </c>
      <c r="K4363" t="s">
        <v>3872</v>
      </c>
      <c r="L4363">
        <v>77.8</v>
      </c>
      <c r="M4363">
        <v>38.9</v>
      </c>
      <c r="N4363" t="s">
        <v>2176</v>
      </c>
      <c r="O4363" t="s">
        <v>460</v>
      </c>
    </row>
    <row r="4364" spans="1:15" x14ac:dyDescent="0.3">
      <c r="A4364">
        <v>182358</v>
      </c>
      <c r="B4364">
        <v>116</v>
      </c>
      <c r="C4364" t="s">
        <v>568</v>
      </c>
      <c r="D4364" t="s">
        <v>2265</v>
      </c>
      <c r="E4364" t="s">
        <v>3350</v>
      </c>
      <c r="F4364" s="452">
        <v>45993</v>
      </c>
      <c r="G4364">
        <v>17341</v>
      </c>
      <c r="H4364" t="s">
        <v>4232</v>
      </c>
      <c r="I4364" t="s">
        <v>4199</v>
      </c>
      <c r="J4364">
        <v>1</v>
      </c>
      <c r="K4364" t="s">
        <v>3931</v>
      </c>
      <c r="L4364">
        <v>85</v>
      </c>
      <c r="M4364">
        <v>85</v>
      </c>
      <c r="N4364" t="s">
        <v>2176</v>
      </c>
      <c r="O4364" t="s">
        <v>460</v>
      </c>
    </row>
    <row r="4365" spans="1:15" x14ac:dyDescent="0.3">
      <c r="A4365">
        <v>182358</v>
      </c>
      <c r="B4365">
        <v>116</v>
      </c>
      <c r="C4365" t="s">
        <v>568</v>
      </c>
      <c r="D4365" t="s">
        <v>2265</v>
      </c>
      <c r="E4365" t="s">
        <v>3350</v>
      </c>
      <c r="F4365" s="452">
        <v>45993</v>
      </c>
      <c r="G4365">
        <v>17498</v>
      </c>
      <c r="H4365" t="s">
        <v>4243</v>
      </c>
      <c r="I4365" t="s">
        <v>4199</v>
      </c>
      <c r="J4365">
        <v>2</v>
      </c>
      <c r="K4365" t="s">
        <v>3881</v>
      </c>
      <c r="L4365">
        <v>47.8</v>
      </c>
      <c r="M4365">
        <v>23.9</v>
      </c>
      <c r="N4365" t="s">
        <v>2176</v>
      </c>
      <c r="O4365" t="s">
        <v>460</v>
      </c>
    </row>
    <row r="4366" spans="1:15" x14ac:dyDescent="0.3">
      <c r="A4366">
        <v>182358</v>
      </c>
      <c r="B4366">
        <v>116</v>
      </c>
      <c r="C4366" t="s">
        <v>568</v>
      </c>
      <c r="D4366" t="s">
        <v>2265</v>
      </c>
      <c r="E4366" t="s">
        <v>3350</v>
      </c>
      <c r="F4366" s="452">
        <v>45993</v>
      </c>
      <c r="G4366">
        <v>17381</v>
      </c>
      <c r="H4366" t="s">
        <v>4247</v>
      </c>
      <c r="I4366" t="s">
        <v>4199</v>
      </c>
      <c r="J4366">
        <v>1</v>
      </c>
      <c r="K4366" t="s">
        <v>3872</v>
      </c>
      <c r="L4366">
        <v>42</v>
      </c>
      <c r="M4366">
        <v>42</v>
      </c>
      <c r="N4366" t="s">
        <v>2176</v>
      </c>
      <c r="O4366" t="s">
        <v>460</v>
      </c>
    </row>
    <row r="4367" spans="1:15" x14ac:dyDescent="0.3">
      <c r="A4367">
        <v>182358</v>
      </c>
      <c r="B4367">
        <v>116</v>
      </c>
      <c r="C4367" t="s">
        <v>568</v>
      </c>
      <c r="D4367" t="s">
        <v>2265</v>
      </c>
      <c r="E4367" t="s">
        <v>3350</v>
      </c>
      <c r="F4367" s="452">
        <v>45993</v>
      </c>
      <c r="G4367">
        <v>17314</v>
      </c>
      <c r="H4367" t="s">
        <v>4204</v>
      </c>
      <c r="I4367" t="s">
        <v>4199</v>
      </c>
      <c r="J4367">
        <v>2</v>
      </c>
      <c r="K4367" t="s">
        <v>3978</v>
      </c>
      <c r="L4367">
        <v>12.6</v>
      </c>
      <c r="M4367">
        <v>6.3</v>
      </c>
      <c r="N4367" t="s">
        <v>2176</v>
      </c>
      <c r="O4367" t="s">
        <v>460</v>
      </c>
    </row>
    <row r="4368" spans="1:15" x14ac:dyDescent="0.3">
      <c r="A4368">
        <v>182358</v>
      </c>
      <c r="B4368">
        <v>116</v>
      </c>
      <c r="C4368" t="s">
        <v>568</v>
      </c>
      <c r="D4368" t="s">
        <v>2265</v>
      </c>
      <c r="E4368" t="s">
        <v>3350</v>
      </c>
      <c r="F4368" s="452">
        <v>45993</v>
      </c>
      <c r="G4368">
        <v>17404</v>
      </c>
      <c r="H4368" t="s">
        <v>4282</v>
      </c>
      <c r="I4368" t="s">
        <v>4199</v>
      </c>
      <c r="J4368">
        <v>1</v>
      </c>
      <c r="K4368" t="s">
        <v>3872</v>
      </c>
      <c r="L4368">
        <v>21.9</v>
      </c>
      <c r="M4368">
        <v>21.9</v>
      </c>
      <c r="N4368" t="s">
        <v>2176</v>
      </c>
      <c r="O4368" t="s">
        <v>460</v>
      </c>
    </row>
    <row r="4369" spans="1:15" x14ac:dyDescent="0.3">
      <c r="A4369">
        <v>182358</v>
      </c>
      <c r="B4369">
        <v>116</v>
      </c>
      <c r="C4369" t="s">
        <v>568</v>
      </c>
      <c r="D4369" t="s">
        <v>2265</v>
      </c>
      <c r="E4369" t="s">
        <v>3350</v>
      </c>
      <c r="F4369" s="452">
        <v>45993</v>
      </c>
      <c r="G4369">
        <v>17215</v>
      </c>
      <c r="H4369" t="s">
        <v>4283</v>
      </c>
      <c r="I4369" t="s">
        <v>4199</v>
      </c>
      <c r="J4369">
        <v>5</v>
      </c>
      <c r="K4369" t="s">
        <v>3978</v>
      </c>
      <c r="L4369">
        <v>100</v>
      </c>
      <c r="M4369">
        <v>20</v>
      </c>
      <c r="N4369" t="s">
        <v>2176</v>
      </c>
      <c r="O4369" t="s">
        <v>460</v>
      </c>
    </row>
    <row r="4370" spans="1:15" x14ac:dyDescent="0.3">
      <c r="A4370">
        <v>182358</v>
      </c>
      <c r="B4370">
        <v>116</v>
      </c>
      <c r="C4370" t="s">
        <v>568</v>
      </c>
      <c r="D4370" t="s">
        <v>2265</v>
      </c>
      <c r="E4370" t="s">
        <v>3350</v>
      </c>
      <c r="F4370" s="452">
        <v>45993</v>
      </c>
      <c r="G4370">
        <v>17425</v>
      </c>
      <c r="H4370" t="s">
        <v>4421</v>
      </c>
      <c r="I4370" t="s">
        <v>4199</v>
      </c>
      <c r="J4370">
        <v>4</v>
      </c>
      <c r="K4370" t="s">
        <v>3881</v>
      </c>
      <c r="L4370">
        <v>220.8</v>
      </c>
      <c r="M4370">
        <v>55.2</v>
      </c>
      <c r="N4370" t="s">
        <v>2176</v>
      </c>
      <c r="O4370" t="s">
        <v>460</v>
      </c>
    </row>
    <row r="4371" spans="1:15" x14ac:dyDescent="0.3">
      <c r="A4371">
        <v>182358</v>
      </c>
      <c r="B4371">
        <v>116</v>
      </c>
      <c r="C4371" t="s">
        <v>568</v>
      </c>
      <c r="D4371" t="s">
        <v>2265</v>
      </c>
      <c r="E4371" t="s">
        <v>3350</v>
      </c>
      <c r="F4371" s="452">
        <v>45993</v>
      </c>
      <c r="G4371">
        <v>24843</v>
      </c>
      <c r="H4371" t="s">
        <v>4392</v>
      </c>
      <c r="I4371" t="s">
        <v>4199</v>
      </c>
      <c r="J4371">
        <v>1</v>
      </c>
      <c r="K4371" t="s">
        <v>3881</v>
      </c>
      <c r="L4371">
        <v>62</v>
      </c>
      <c r="M4371">
        <v>62</v>
      </c>
      <c r="N4371" t="s">
        <v>2176</v>
      </c>
      <c r="O4371" t="s">
        <v>460</v>
      </c>
    </row>
    <row r="4372" spans="1:15" x14ac:dyDescent="0.3">
      <c r="A4372">
        <v>182358</v>
      </c>
      <c r="B4372">
        <v>116</v>
      </c>
      <c r="C4372" t="s">
        <v>568</v>
      </c>
      <c r="D4372" t="s">
        <v>2265</v>
      </c>
      <c r="E4372" t="s">
        <v>3350</v>
      </c>
      <c r="F4372" s="452">
        <v>45993</v>
      </c>
      <c r="G4372">
        <v>17182</v>
      </c>
      <c r="H4372" t="s">
        <v>4207</v>
      </c>
      <c r="I4372" t="s">
        <v>4199</v>
      </c>
      <c r="J4372">
        <v>1</v>
      </c>
      <c r="K4372" t="s">
        <v>3978</v>
      </c>
      <c r="L4372">
        <v>42</v>
      </c>
      <c r="M4372">
        <v>42</v>
      </c>
      <c r="N4372" t="s">
        <v>2176</v>
      </c>
      <c r="O4372" t="s">
        <v>460</v>
      </c>
    </row>
    <row r="4373" spans="1:15" x14ac:dyDescent="0.3">
      <c r="A4373">
        <v>182349</v>
      </c>
      <c r="B4373">
        <v>116</v>
      </c>
      <c r="C4373" t="s">
        <v>568</v>
      </c>
      <c r="D4373" t="s">
        <v>2361</v>
      </c>
      <c r="E4373" t="s">
        <v>3351</v>
      </c>
      <c r="F4373" s="452">
        <v>45994</v>
      </c>
      <c r="G4373">
        <v>26627</v>
      </c>
      <c r="H4373" t="s">
        <v>4237</v>
      </c>
      <c r="I4373" t="s">
        <v>3469</v>
      </c>
      <c r="J4373">
        <v>20</v>
      </c>
      <c r="K4373" t="s">
        <v>3892</v>
      </c>
      <c r="L4373">
        <v>158</v>
      </c>
      <c r="M4373">
        <v>7.9</v>
      </c>
      <c r="N4373" t="s">
        <v>4438</v>
      </c>
      <c r="O4373" t="s">
        <v>460</v>
      </c>
    </row>
    <row r="4374" spans="1:15" x14ac:dyDescent="0.3">
      <c r="A4374">
        <v>182349</v>
      </c>
      <c r="B4374">
        <v>116</v>
      </c>
      <c r="C4374" t="s">
        <v>568</v>
      </c>
      <c r="D4374" t="s">
        <v>2361</v>
      </c>
      <c r="E4374" t="s">
        <v>3351</v>
      </c>
      <c r="F4374" s="452">
        <v>45994</v>
      </c>
      <c r="G4374">
        <v>21123</v>
      </c>
      <c r="H4374" t="s">
        <v>4115</v>
      </c>
      <c r="I4374" t="s">
        <v>3469</v>
      </c>
      <c r="J4374">
        <v>3</v>
      </c>
      <c r="L4374">
        <v>18</v>
      </c>
      <c r="M4374">
        <v>6</v>
      </c>
      <c r="N4374" t="s">
        <v>4438</v>
      </c>
      <c r="O4374" t="s">
        <v>460</v>
      </c>
    </row>
    <row r="4375" spans="1:15" x14ac:dyDescent="0.3">
      <c r="A4375">
        <v>182349</v>
      </c>
      <c r="B4375">
        <v>116</v>
      </c>
      <c r="C4375" t="s">
        <v>568</v>
      </c>
      <c r="D4375" t="s">
        <v>2361</v>
      </c>
      <c r="E4375" t="s">
        <v>3351</v>
      </c>
      <c r="F4375" s="452">
        <v>45994</v>
      </c>
      <c r="G4375">
        <v>20233</v>
      </c>
      <c r="H4375" t="s">
        <v>4329</v>
      </c>
      <c r="I4375" t="s">
        <v>3469</v>
      </c>
      <c r="J4375">
        <v>2</v>
      </c>
      <c r="L4375">
        <v>13.98</v>
      </c>
      <c r="M4375">
        <v>6.99</v>
      </c>
      <c r="N4375" t="s">
        <v>4438</v>
      </c>
      <c r="O4375" t="s">
        <v>460</v>
      </c>
    </row>
    <row r="4376" spans="1:15" x14ac:dyDescent="0.3">
      <c r="A4376">
        <v>182345</v>
      </c>
      <c r="B4376">
        <v>116</v>
      </c>
      <c r="C4376" t="s">
        <v>568</v>
      </c>
      <c r="D4376" t="s">
        <v>2286</v>
      </c>
      <c r="E4376" t="s">
        <v>3352</v>
      </c>
      <c r="F4376" s="452">
        <v>45995</v>
      </c>
      <c r="G4376">
        <v>19787</v>
      </c>
      <c r="H4376" t="s">
        <v>3940</v>
      </c>
      <c r="I4376" t="s">
        <v>3469</v>
      </c>
      <c r="J4376">
        <v>6</v>
      </c>
      <c r="K4376" t="s">
        <v>3892</v>
      </c>
      <c r="L4376">
        <v>27.6</v>
      </c>
      <c r="M4376">
        <v>4.5999999999999996</v>
      </c>
      <c r="N4376" t="s">
        <v>4240</v>
      </c>
      <c r="O4376" t="s">
        <v>460</v>
      </c>
    </row>
    <row r="4377" spans="1:15" x14ac:dyDescent="0.3">
      <c r="A4377">
        <v>182345</v>
      </c>
      <c r="B4377">
        <v>116</v>
      </c>
      <c r="C4377" t="s">
        <v>568</v>
      </c>
      <c r="D4377" t="s">
        <v>2286</v>
      </c>
      <c r="E4377" t="s">
        <v>3352</v>
      </c>
      <c r="F4377" s="452">
        <v>45995</v>
      </c>
      <c r="G4377">
        <v>19506</v>
      </c>
      <c r="H4377" t="s">
        <v>4112</v>
      </c>
      <c r="I4377" t="s">
        <v>3469</v>
      </c>
      <c r="J4377">
        <v>0.2</v>
      </c>
      <c r="K4377" t="s">
        <v>3892</v>
      </c>
      <c r="L4377">
        <v>8</v>
      </c>
      <c r="M4377">
        <v>40</v>
      </c>
      <c r="N4377" t="s">
        <v>4240</v>
      </c>
      <c r="O4377" t="s">
        <v>460</v>
      </c>
    </row>
    <row r="4378" spans="1:15" x14ac:dyDescent="0.3">
      <c r="A4378">
        <v>182345</v>
      </c>
      <c r="B4378">
        <v>116</v>
      </c>
      <c r="C4378" t="s">
        <v>568</v>
      </c>
      <c r="D4378" t="s">
        <v>2286</v>
      </c>
      <c r="E4378" t="s">
        <v>3352</v>
      </c>
      <c r="F4378" s="452">
        <v>45995</v>
      </c>
      <c r="G4378">
        <v>19505</v>
      </c>
      <c r="H4378" t="s">
        <v>4101</v>
      </c>
      <c r="I4378" t="s">
        <v>3469</v>
      </c>
      <c r="J4378">
        <v>1.5</v>
      </c>
      <c r="K4378" t="s">
        <v>3892</v>
      </c>
      <c r="L4378">
        <v>7.5</v>
      </c>
      <c r="M4378">
        <v>5</v>
      </c>
      <c r="N4378" t="s">
        <v>4240</v>
      </c>
      <c r="O4378" t="s">
        <v>460</v>
      </c>
    </row>
    <row r="4379" spans="1:15" x14ac:dyDescent="0.3">
      <c r="A4379">
        <v>182345</v>
      </c>
      <c r="B4379">
        <v>116</v>
      </c>
      <c r="C4379" t="s">
        <v>568</v>
      </c>
      <c r="D4379" t="s">
        <v>2286</v>
      </c>
      <c r="E4379" t="s">
        <v>3352</v>
      </c>
      <c r="F4379" s="452">
        <v>45995</v>
      </c>
      <c r="G4379">
        <v>19642</v>
      </c>
      <c r="H4379" t="s">
        <v>4067</v>
      </c>
      <c r="I4379" t="s">
        <v>3469</v>
      </c>
      <c r="J4379">
        <v>1</v>
      </c>
      <c r="K4379" t="s">
        <v>3892</v>
      </c>
      <c r="L4379">
        <v>4.5</v>
      </c>
      <c r="M4379">
        <v>4.5</v>
      </c>
      <c r="N4379" t="s">
        <v>4240</v>
      </c>
      <c r="O4379" t="s">
        <v>460</v>
      </c>
    </row>
    <row r="4380" spans="1:15" x14ac:dyDescent="0.3">
      <c r="A4380">
        <v>182345</v>
      </c>
      <c r="B4380">
        <v>116</v>
      </c>
      <c r="C4380" t="s">
        <v>568</v>
      </c>
      <c r="D4380" t="s">
        <v>2286</v>
      </c>
      <c r="E4380" t="s">
        <v>3352</v>
      </c>
      <c r="F4380" s="452">
        <v>45995</v>
      </c>
      <c r="G4380">
        <v>19465</v>
      </c>
      <c r="H4380" t="s">
        <v>4080</v>
      </c>
      <c r="I4380" t="s">
        <v>3469</v>
      </c>
      <c r="J4380">
        <v>1</v>
      </c>
      <c r="K4380" t="s">
        <v>3892</v>
      </c>
      <c r="L4380">
        <v>4.2</v>
      </c>
      <c r="M4380">
        <v>4.2</v>
      </c>
      <c r="N4380" t="s">
        <v>4240</v>
      </c>
      <c r="O4380" t="s">
        <v>460</v>
      </c>
    </row>
    <row r="4381" spans="1:15" x14ac:dyDescent="0.3">
      <c r="A4381">
        <v>182345</v>
      </c>
      <c r="B4381">
        <v>116</v>
      </c>
      <c r="C4381" t="s">
        <v>568</v>
      </c>
      <c r="D4381" t="s">
        <v>2286</v>
      </c>
      <c r="E4381" t="s">
        <v>3352</v>
      </c>
      <c r="F4381" s="452">
        <v>45995</v>
      </c>
      <c r="G4381">
        <v>19480</v>
      </c>
      <c r="H4381" t="s">
        <v>4113</v>
      </c>
      <c r="I4381" t="s">
        <v>3469</v>
      </c>
      <c r="J4381">
        <v>0.2</v>
      </c>
      <c r="K4381" t="s">
        <v>3892</v>
      </c>
      <c r="L4381">
        <v>2.4</v>
      </c>
      <c r="M4381">
        <v>12</v>
      </c>
      <c r="N4381" t="s">
        <v>4240</v>
      </c>
      <c r="O4381" t="s">
        <v>460</v>
      </c>
    </row>
    <row r="4382" spans="1:15" x14ac:dyDescent="0.3">
      <c r="A4382">
        <v>182345</v>
      </c>
      <c r="B4382">
        <v>116</v>
      </c>
      <c r="C4382" t="s">
        <v>568</v>
      </c>
      <c r="D4382" t="s">
        <v>2286</v>
      </c>
      <c r="E4382" t="s">
        <v>3352</v>
      </c>
      <c r="F4382" s="452">
        <v>45995</v>
      </c>
      <c r="G4382">
        <v>19498</v>
      </c>
      <c r="H4382" t="s">
        <v>4065</v>
      </c>
      <c r="I4382" t="s">
        <v>3469</v>
      </c>
      <c r="J4382">
        <v>1</v>
      </c>
      <c r="K4382" t="s">
        <v>3892</v>
      </c>
      <c r="L4382">
        <v>7.5</v>
      </c>
      <c r="M4382">
        <v>7.5</v>
      </c>
      <c r="N4382" t="s">
        <v>4240</v>
      </c>
      <c r="O4382" t="s">
        <v>460</v>
      </c>
    </row>
    <row r="4383" spans="1:15" x14ac:dyDescent="0.3">
      <c r="A4383">
        <v>182345</v>
      </c>
      <c r="B4383">
        <v>116</v>
      </c>
      <c r="C4383" t="s">
        <v>568</v>
      </c>
      <c r="D4383" t="s">
        <v>2286</v>
      </c>
      <c r="E4383" t="s">
        <v>3352</v>
      </c>
      <c r="F4383" s="452">
        <v>45995</v>
      </c>
      <c r="G4383">
        <v>19572</v>
      </c>
      <c r="H4383" t="s">
        <v>4023</v>
      </c>
      <c r="I4383" t="s">
        <v>3469</v>
      </c>
      <c r="J4383">
        <v>1</v>
      </c>
      <c r="K4383" t="s">
        <v>3892</v>
      </c>
      <c r="L4383">
        <v>15</v>
      </c>
      <c r="M4383">
        <v>15</v>
      </c>
      <c r="N4383" t="s">
        <v>4240</v>
      </c>
      <c r="O4383" t="s">
        <v>460</v>
      </c>
    </row>
    <row r="4384" spans="1:15" x14ac:dyDescent="0.3">
      <c r="A4384">
        <v>182345</v>
      </c>
      <c r="B4384">
        <v>116</v>
      </c>
      <c r="C4384" t="s">
        <v>568</v>
      </c>
      <c r="D4384" t="s">
        <v>2286</v>
      </c>
      <c r="E4384" t="s">
        <v>3352</v>
      </c>
      <c r="F4384" s="452">
        <v>45995</v>
      </c>
      <c r="G4384">
        <v>19647</v>
      </c>
      <c r="H4384" t="s">
        <v>4066</v>
      </c>
      <c r="I4384" t="s">
        <v>3469</v>
      </c>
      <c r="J4384">
        <v>1</v>
      </c>
      <c r="K4384" t="s">
        <v>3892</v>
      </c>
      <c r="L4384">
        <v>6</v>
      </c>
      <c r="M4384">
        <v>6</v>
      </c>
      <c r="N4384" t="s">
        <v>4240</v>
      </c>
      <c r="O4384" t="s">
        <v>460</v>
      </c>
    </row>
    <row r="4385" spans="1:15" x14ac:dyDescent="0.3">
      <c r="A4385">
        <v>182345</v>
      </c>
      <c r="B4385">
        <v>116</v>
      </c>
      <c r="C4385" t="s">
        <v>568</v>
      </c>
      <c r="D4385" t="s">
        <v>2286</v>
      </c>
      <c r="E4385" t="s">
        <v>3352</v>
      </c>
      <c r="F4385" s="452">
        <v>45995</v>
      </c>
      <c r="G4385">
        <v>19740</v>
      </c>
      <c r="H4385" t="s">
        <v>3933</v>
      </c>
      <c r="I4385" t="s">
        <v>3469</v>
      </c>
      <c r="J4385">
        <v>6</v>
      </c>
      <c r="K4385" t="s">
        <v>3892</v>
      </c>
      <c r="L4385">
        <v>90</v>
      </c>
      <c r="M4385">
        <v>15</v>
      </c>
      <c r="N4385" t="s">
        <v>4240</v>
      </c>
      <c r="O4385" t="s">
        <v>460</v>
      </c>
    </row>
    <row r="4386" spans="1:15" x14ac:dyDescent="0.3">
      <c r="A4386">
        <v>182345</v>
      </c>
      <c r="B4386">
        <v>116</v>
      </c>
      <c r="C4386" t="s">
        <v>568</v>
      </c>
      <c r="D4386" t="s">
        <v>2286</v>
      </c>
      <c r="E4386" t="s">
        <v>3352</v>
      </c>
      <c r="F4386" s="452">
        <v>45995</v>
      </c>
      <c r="G4386">
        <v>19743</v>
      </c>
      <c r="H4386" t="s">
        <v>4152</v>
      </c>
      <c r="I4386" t="s">
        <v>3469</v>
      </c>
      <c r="J4386">
        <v>3</v>
      </c>
      <c r="K4386" t="s">
        <v>3892</v>
      </c>
      <c r="L4386">
        <v>43.5</v>
      </c>
      <c r="M4386">
        <v>14.5</v>
      </c>
      <c r="N4386" t="s">
        <v>4240</v>
      </c>
      <c r="O4386" t="s">
        <v>460</v>
      </c>
    </row>
    <row r="4387" spans="1:15" x14ac:dyDescent="0.3">
      <c r="A4387">
        <v>182345</v>
      </c>
      <c r="B4387">
        <v>116</v>
      </c>
      <c r="C4387" t="s">
        <v>568</v>
      </c>
      <c r="D4387" t="s">
        <v>2286</v>
      </c>
      <c r="E4387" t="s">
        <v>3352</v>
      </c>
      <c r="F4387" s="452">
        <v>45995</v>
      </c>
      <c r="G4387">
        <v>19752</v>
      </c>
      <c r="H4387" t="s">
        <v>4042</v>
      </c>
      <c r="I4387" t="s">
        <v>3469</v>
      </c>
      <c r="J4387">
        <v>1</v>
      </c>
      <c r="K4387" t="s">
        <v>3892</v>
      </c>
      <c r="L4387">
        <v>13</v>
      </c>
      <c r="M4387">
        <v>13</v>
      </c>
      <c r="N4387" t="s">
        <v>4240</v>
      </c>
      <c r="O4387" t="s">
        <v>460</v>
      </c>
    </row>
    <row r="4388" spans="1:15" x14ac:dyDescent="0.3">
      <c r="A4388">
        <v>182345</v>
      </c>
      <c r="B4388">
        <v>116</v>
      </c>
      <c r="C4388" t="s">
        <v>568</v>
      </c>
      <c r="D4388" t="s">
        <v>2286</v>
      </c>
      <c r="E4388" t="s">
        <v>3352</v>
      </c>
      <c r="F4388" s="452">
        <v>45995</v>
      </c>
      <c r="G4388">
        <v>23113</v>
      </c>
      <c r="H4388" t="s">
        <v>4079</v>
      </c>
      <c r="I4388" t="s">
        <v>3469</v>
      </c>
      <c r="J4388">
        <v>1.5</v>
      </c>
      <c r="K4388" t="s">
        <v>3892</v>
      </c>
      <c r="L4388">
        <v>10.5</v>
      </c>
      <c r="M4388">
        <v>7</v>
      </c>
      <c r="N4388" t="s">
        <v>4240</v>
      </c>
      <c r="O4388" t="s">
        <v>460</v>
      </c>
    </row>
    <row r="4389" spans="1:15" x14ac:dyDescent="0.3">
      <c r="A4389">
        <v>182345</v>
      </c>
      <c r="B4389">
        <v>116</v>
      </c>
      <c r="C4389" t="s">
        <v>568</v>
      </c>
      <c r="D4389" t="s">
        <v>2286</v>
      </c>
      <c r="E4389" t="s">
        <v>3352</v>
      </c>
      <c r="F4389" s="452">
        <v>45995</v>
      </c>
      <c r="G4389">
        <v>23171</v>
      </c>
      <c r="H4389" t="s">
        <v>4132</v>
      </c>
      <c r="I4389" t="s">
        <v>3469</v>
      </c>
      <c r="J4389">
        <v>3</v>
      </c>
      <c r="K4389" t="s">
        <v>3892</v>
      </c>
      <c r="L4389">
        <v>13.5</v>
      </c>
      <c r="M4389">
        <v>4.5</v>
      </c>
      <c r="N4389" t="s">
        <v>4240</v>
      </c>
      <c r="O4389" t="s">
        <v>460</v>
      </c>
    </row>
    <row r="4390" spans="1:15" x14ac:dyDescent="0.3">
      <c r="A4390">
        <v>182345</v>
      </c>
      <c r="B4390">
        <v>116</v>
      </c>
      <c r="C4390" t="s">
        <v>568</v>
      </c>
      <c r="D4390" t="s">
        <v>2286</v>
      </c>
      <c r="E4390" t="s">
        <v>3352</v>
      </c>
      <c r="F4390" s="452">
        <v>45995</v>
      </c>
      <c r="G4390">
        <v>23236</v>
      </c>
      <c r="H4390" t="s">
        <v>4017</v>
      </c>
      <c r="I4390" t="s">
        <v>3469</v>
      </c>
      <c r="J4390">
        <v>4</v>
      </c>
      <c r="K4390" t="s">
        <v>3892</v>
      </c>
      <c r="L4390">
        <v>20</v>
      </c>
      <c r="M4390">
        <v>5</v>
      </c>
      <c r="N4390" t="s">
        <v>4240</v>
      </c>
      <c r="O4390" t="s">
        <v>460</v>
      </c>
    </row>
    <row r="4391" spans="1:15" x14ac:dyDescent="0.3">
      <c r="A4391">
        <v>182345</v>
      </c>
      <c r="B4391">
        <v>116</v>
      </c>
      <c r="C4391" t="s">
        <v>568</v>
      </c>
      <c r="D4391" t="s">
        <v>2286</v>
      </c>
      <c r="E4391" t="s">
        <v>3352</v>
      </c>
      <c r="F4391" s="452">
        <v>45995</v>
      </c>
      <c r="G4391">
        <v>23198</v>
      </c>
      <c r="H4391" t="s">
        <v>4167</v>
      </c>
      <c r="I4391" t="s">
        <v>3469</v>
      </c>
      <c r="J4391">
        <v>2</v>
      </c>
      <c r="K4391" t="s">
        <v>3892</v>
      </c>
      <c r="L4391">
        <v>22</v>
      </c>
      <c r="M4391">
        <v>11</v>
      </c>
      <c r="N4391" t="s">
        <v>4240</v>
      </c>
      <c r="O4391" t="s">
        <v>460</v>
      </c>
    </row>
    <row r="4392" spans="1:15" x14ac:dyDescent="0.3">
      <c r="A4392">
        <v>182345</v>
      </c>
      <c r="B4392">
        <v>116</v>
      </c>
      <c r="C4392" t="s">
        <v>568</v>
      </c>
      <c r="D4392" t="s">
        <v>2286</v>
      </c>
      <c r="E4392" t="s">
        <v>3352</v>
      </c>
      <c r="F4392" s="452">
        <v>45995</v>
      </c>
      <c r="G4392">
        <v>23361</v>
      </c>
      <c r="H4392" t="s">
        <v>4220</v>
      </c>
      <c r="I4392" t="s">
        <v>3469</v>
      </c>
      <c r="J4392">
        <v>18</v>
      </c>
      <c r="K4392" t="s">
        <v>3892</v>
      </c>
      <c r="L4392">
        <v>55.8</v>
      </c>
      <c r="M4392">
        <v>3.1</v>
      </c>
      <c r="N4392" t="s">
        <v>4240</v>
      </c>
      <c r="O4392" t="s">
        <v>460</v>
      </c>
    </row>
    <row r="4393" spans="1:15" x14ac:dyDescent="0.3">
      <c r="A4393">
        <v>182345</v>
      </c>
      <c r="B4393">
        <v>116</v>
      </c>
      <c r="C4393" t="s">
        <v>568</v>
      </c>
      <c r="D4393" t="s">
        <v>2286</v>
      </c>
      <c r="E4393" t="s">
        <v>3352</v>
      </c>
      <c r="F4393" s="452">
        <v>45995</v>
      </c>
      <c r="G4393">
        <v>23095</v>
      </c>
      <c r="H4393" t="s">
        <v>3882</v>
      </c>
      <c r="I4393" t="s">
        <v>3469</v>
      </c>
      <c r="J4393">
        <v>60</v>
      </c>
      <c r="K4393" t="s">
        <v>3872</v>
      </c>
      <c r="L4393">
        <v>56.4</v>
      </c>
      <c r="M4393">
        <v>0.94</v>
      </c>
      <c r="N4393" t="s">
        <v>4240</v>
      </c>
      <c r="O4393" t="s">
        <v>460</v>
      </c>
    </row>
    <row r="4394" spans="1:15" x14ac:dyDescent="0.3">
      <c r="A4394">
        <v>182345</v>
      </c>
      <c r="B4394">
        <v>116</v>
      </c>
      <c r="C4394" t="s">
        <v>568</v>
      </c>
      <c r="D4394" t="s">
        <v>2286</v>
      </c>
      <c r="E4394" t="s">
        <v>3352</v>
      </c>
      <c r="F4394" s="452">
        <v>45995</v>
      </c>
      <c r="G4394">
        <v>23389</v>
      </c>
      <c r="H4394" t="s">
        <v>4016</v>
      </c>
      <c r="I4394" t="s">
        <v>3469</v>
      </c>
      <c r="J4394">
        <v>6</v>
      </c>
      <c r="K4394" t="s">
        <v>3892</v>
      </c>
      <c r="L4394">
        <v>34.799999999999997</v>
      </c>
      <c r="M4394">
        <v>5.8</v>
      </c>
      <c r="N4394" t="s">
        <v>4240</v>
      </c>
      <c r="O4394" t="s">
        <v>460</v>
      </c>
    </row>
    <row r="4395" spans="1:15" x14ac:dyDescent="0.3">
      <c r="A4395">
        <v>182345</v>
      </c>
      <c r="B4395">
        <v>116</v>
      </c>
      <c r="C4395" t="s">
        <v>568</v>
      </c>
      <c r="D4395" t="s">
        <v>2286</v>
      </c>
      <c r="E4395" t="s">
        <v>3352</v>
      </c>
      <c r="F4395" s="452">
        <v>45995</v>
      </c>
      <c r="G4395">
        <v>24037</v>
      </c>
      <c r="H4395" t="s">
        <v>4104</v>
      </c>
      <c r="I4395" t="s">
        <v>3469</v>
      </c>
      <c r="J4395">
        <v>2</v>
      </c>
      <c r="K4395" t="s">
        <v>3892</v>
      </c>
      <c r="L4395">
        <v>40</v>
      </c>
      <c r="M4395">
        <v>20</v>
      </c>
      <c r="N4395" t="s">
        <v>4240</v>
      </c>
      <c r="O4395" t="s">
        <v>460</v>
      </c>
    </row>
    <row r="4396" spans="1:15" x14ac:dyDescent="0.3">
      <c r="A4396">
        <v>182342</v>
      </c>
      <c r="B4396">
        <v>116</v>
      </c>
      <c r="C4396" t="s">
        <v>568</v>
      </c>
      <c r="D4396" t="s">
        <v>2286</v>
      </c>
      <c r="E4396" t="s">
        <v>3353</v>
      </c>
      <c r="F4396" s="452">
        <v>45992</v>
      </c>
      <c r="G4396">
        <v>19505</v>
      </c>
      <c r="H4396" t="s">
        <v>4101</v>
      </c>
      <c r="I4396" t="s">
        <v>3469</v>
      </c>
      <c r="J4396">
        <v>1.5</v>
      </c>
      <c r="K4396" t="s">
        <v>3892</v>
      </c>
      <c r="L4396">
        <v>7.5</v>
      </c>
      <c r="M4396">
        <v>5</v>
      </c>
      <c r="N4396" t="s">
        <v>4240</v>
      </c>
      <c r="O4396" t="s">
        <v>460</v>
      </c>
    </row>
    <row r="4397" spans="1:15" x14ac:dyDescent="0.3">
      <c r="A4397">
        <v>182342</v>
      </c>
      <c r="B4397">
        <v>116</v>
      </c>
      <c r="C4397" t="s">
        <v>568</v>
      </c>
      <c r="D4397" t="s">
        <v>2286</v>
      </c>
      <c r="E4397" t="s">
        <v>3353</v>
      </c>
      <c r="F4397" s="452">
        <v>45992</v>
      </c>
      <c r="G4397">
        <v>19498</v>
      </c>
      <c r="H4397" t="s">
        <v>4065</v>
      </c>
      <c r="I4397" t="s">
        <v>3469</v>
      </c>
      <c r="J4397">
        <v>1</v>
      </c>
      <c r="K4397" t="s">
        <v>3892</v>
      </c>
      <c r="L4397">
        <v>7.5</v>
      </c>
      <c r="M4397">
        <v>7.5</v>
      </c>
      <c r="N4397" t="s">
        <v>4240</v>
      </c>
      <c r="O4397" t="s">
        <v>460</v>
      </c>
    </row>
    <row r="4398" spans="1:15" x14ac:dyDescent="0.3">
      <c r="A4398">
        <v>182342</v>
      </c>
      <c r="B4398">
        <v>116</v>
      </c>
      <c r="C4398" t="s">
        <v>568</v>
      </c>
      <c r="D4398" t="s">
        <v>2286</v>
      </c>
      <c r="E4398" t="s">
        <v>3353</v>
      </c>
      <c r="F4398" s="452">
        <v>45992</v>
      </c>
      <c r="G4398">
        <v>19558</v>
      </c>
      <c r="H4398" t="s">
        <v>4183</v>
      </c>
      <c r="I4398" t="s">
        <v>3469</v>
      </c>
      <c r="J4398">
        <v>1</v>
      </c>
      <c r="K4398" t="s">
        <v>3892</v>
      </c>
      <c r="L4398">
        <v>16</v>
      </c>
      <c r="M4398">
        <v>16</v>
      </c>
      <c r="N4398" t="s">
        <v>4240</v>
      </c>
      <c r="O4398" t="s">
        <v>460</v>
      </c>
    </row>
    <row r="4399" spans="1:15" x14ac:dyDescent="0.3">
      <c r="A4399">
        <v>182342</v>
      </c>
      <c r="B4399">
        <v>116</v>
      </c>
      <c r="C4399" t="s">
        <v>568</v>
      </c>
      <c r="D4399" t="s">
        <v>2286</v>
      </c>
      <c r="E4399" t="s">
        <v>3353</v>
      </c>
      <c r="F4399" s="452">
        <v>45992</v>
      </c>
      <c r="G4399">
        <v>19458</v>
      </c>
      <c r="H4399" t="s">
        <v>4212</v>
      </c>
      <c r="I4399" t="s">
        <v>3469</v>
      </c>
      <c r="J4399">
        <v>1</v>
      </c>
      <c r="K4399" t="s">
        <v>3892</v>
      </c>
      <c r="L4399">
        <v>9.5</v>
      </c>
      <c r="M4399">
        <v>9.5</v>
      </c>
      <c r="N4399" t="s">
        <v>4240</v>
      </c>
      <c r="O4399" t="s">
        <v>460</v>
      </c>
    </row>
    <row r="4400" spans="1:15" x14ac:dyDescent="0.3">
      <c r="A4400">
        <v>182342</v>
      </c>
      <c r="B4400">
        <v>116</v>
      </c>
      <c r="C4400" t="s">
        <v>568</v>
      </c>
      <c r="D4400" t="s">
        <v>2286</v>
      </c>
      <c r="E4400" t="s">
        <v>3353</v>
      </c>
      <c r="F4400" s="452">
        <v>45992</v>
      </c>
      <c r="G4400">
        <v>19617</v>
      </c>
      <c r="H4400" t="s">
        <v>4110</v>
      </c>
      <c r="I4400" t="s">
        <v>3469</v>
      </c>
      <c r="J4400">
        <v>0.5</v>
      </c>
      <c r="K4400" t="s">
        <v>3892</v>
      </c>
      <c r="L4400">
        <v>6</v>
      </c>
      <c r="M4400">
        <v>12</v>
      </c>
      <c r="N4400" t="s">
        <v>4240</v>
      </c>
      <c r="O4400" t="s">
        <v>460</v>
      </c>
    </row>
    <row r="4401" spans="1:15" x14ac:dyDescent="0.3">
      <c r="A4401">
        <v>182342</v>
      </c>
      <c r="B4401">
        <v>116</v>
      </c>
      <c r="C4401" t="s">
        <v>568</v>
      </c>
      <c r="D4401" t="s">
        <v>2286</v>
      </c>
      <c r="E4401" t="s">
        <v>3353</v>
      </c>
      <c r="F4401" s="452">
        <v>45992</v>
      </c>
      <c r="G4401">
        <v>23171</v>
      </c>
      <c r="H4401" t="s">
        <v>4132</v>
      </c>
      <c r="I4401" t="s">
        <v>3469</v>
      </c>
      <c r="J4401">
        <v>3</v>
      </c>
      <c r="K4401" t="s">
        <v>3892</v>
      </c>
      <c r="L4401">
        <v>12.6</v>
      </c>
      <c r="M4401">
        <v>4.2</v>
      </c>
      <c r="N4401" t="s">
        <v>4240</v>
      </c>
      <c r="O4401" t="s">
        <v>460</v>
      </c>
    </row>
    <row r="4402" spans="1:15" x14ac:dyDescent="0.3">
      <c r="A4402">
        <v>182342</v>
      </c>
      <c r="B4402">
        <v>116</v>
      </c>
      <c r="C4402" t="s">
        <v>568</v>
      </c>
      <c r="D4402" t="s">
        <v>2286</v>
      </c>
      <c r="E4402" t="s">
        <v>3353</v>
      </c>
      <c r="F4402" s="452">
        <v>45992</v>
      </c>
      <c r="G4402">
        <v>23236</v>
      </c>
      <c r="H4402" t="s">
        <v>4017</v>
      </c>
      <c r="I4402" t="s">
        <v>3469</v>
      </c>
      <c r="J4402">
        <v>3</v>
      </c>
      <c r="K4402" t="s">
        <v>3892</v>
      </c>
      <c r="L4402">
        <v>15</v>
      </c>
      <c r="M4402">
        <v>5</v>
      </c>
      <c r="N4402" t="s">
        <v>4240</v>
      </c>
      <c r="O4402" t="s">
        <v>460</v>
      </c>
    </row>
    <row r="4403" spans="1:15" x14ac:dyDescent="0.3">
      <c r="A4403">
        <v>182342</v>
      </c>
      <c r="B4403">
        <v>116</v>
      </c>
      <c r="C4403" t="s">
        <v>568</v>
      </c>
      <c r="D4403" t="s">
        <v>2286</v>
      </c>
      <c r="E4403" t="s">
        <v>3353</v>
      </c>
      <c r="F4403" s="452">
        <v>45992</v>
      </c>
      <c r="G4403">
        <v>23113</v>
      </c>
      <c r="H4403" t="s">
        <v>4079</v>
      </c>
      <c r="I4403" t="s">
        <v>3469</v>
      </c>
      <c r="J4403">
        <v>1.5</v>
      </c>
      <c r="K4403" t="s">
        <v>3892</v>
      </c>
      <c r="L4403">
        <v>12.75</v>
      </c>
      <c r="M4403">
        <v>8.5</v>
      </c>
      <c r="N4403" t="s">
        <v>4240</v>
      </c>
      <c r="O4403" t="s">
        <v>460</v>
      </c>
    </row>
    <row r="4404" spans="1:15" x14ac:dyDescent="0.3">
      <c r="A4404">
        <v>182342</v>
      </c>
      <c r="B4404">
        <v>116</v>
      </c>
      <c r="C4404" t="s">
        <v>568</v>
      </c>
      <c r="D4404" t="s">
        <v>2286</v>
      </c>
      <c r="E4404" t="s">
        <v>3353</v>
      </c>
      <c r="F4404" s="452">
        <v>45992</v>
      </c>
      <c r="G4404">
        <v>23361</v>
      </c>
      <c r="H4404" t="s">
        <v>4220</v>
      </c>
      <c r="I4404" t="s">
        <v>3469</v>
      </c>
      <c r="J4404">
        <v>18</v>
      </c>
      <c r="K4404" t="s">
        <v>3892</v>
      </c>
      <c r="L4404">
        <v>55.8</v>
      </c>
      <c r="M4404">
        <v>3.1</v>
      </c>
      <c r="N4404" t="s">
        <v>4240</v>
      </c>
      <c r="O4404" t="s">
        <v>460</v>
      </c>
    </row>
    <row r="4405" spans="1:15" x14ac:dyDescent="0.3">
      <c r="A4405">
        <v>182342</v>
      </c>
      <c r="B4405">
        <v>116</v>
      </c>
      <c r="C4405" t="s">
        <v>568</v>
      </c>
      <c r="D4405" t="s">
        <v>2286</v>
      </c>
      <c r="E4405" t="s">
        <v>3353</v>
      </c>
      <c r="F4405" s="452">
        <v>45992</v>
      </c>
      <c r="G4405">
        <v>23389</v>
      </c>
      <c r="H4405" t="s">
        <v>4016</v>
      </c>
      <c r="I4405" t="s">
        <v>3469</v>
      </c>
      <c r="J4405">
        <v>5</v>
      </c>
      <c r="K4405" t="s">
        <v>3892</v>
      </c>
      <c r="L4405">
        <v>30</v>
      </c>
      <c r="M4405">
        <v>6</v>
      </c>
      <c r="N4405" t="s">
        <v>4240</v>
      </c>
      <c r="O4405" t="s">
        <v>460</v>
      </c>
    </row>
    <row r="4406" spans="1:15" x14ac:dyDescent="0.3">
      <c r="A4406">
        <v>182342</v>
      </c>
      <c r="B4406">
        <v>116</v>
      </c>
      <c r="C4406" t="s">
        <v>568</v>
      </c>
      <c r="D4406" t="s">
        <v>2286</v>
      </c>
      <c r="E4406" t="s">
        <v>3353</v>
      </c>
      <c r="F4406" s="452">
        <v>45992</v>
      </c>
      <c r="G4406">
        <v>24037</v>
      </c>
      <c r="H4406" t="s">
        <v>4104</v>
      </c>
      <c r="I4406" t="s">
        <v>3469</v>
      </c>
      <c r="J4406">
        <v>2</v>
      </c>
      <c r="K4406" t="s">
        <v>3892</v>
      </c>
      <c r="L4406">
        <v>40</v>
      </c>
      <c r="M4406">
        <v>20</v>
      </c>
      <c r="N4406" t="s">
        <v>4240</v>
      </c>
      <c r="O4406" t="s">
        <v>460</v>
      </c>
    </row>
    <row r="4407" spans="1:15" x14ac:dyDescent="0.3">
      <c r="A4407">
        <v>179820</v>
      </c>
      <c r="B4407">
        <v>116</v>
      </c>
      <c r="C4407" t="s">
        <v>568</v>
      </c>
      <c r="D4407" t="s">
        <v>2314</v>
      </c>
      <c r="E4407" t="s">
        <v>3354</v>
      </c>
      <c r="F4407" s="452">
        <v>46020</v>
      </c>
      <c r="G4407">
        <v>18636</v>
      </c>
      <c r="H4407" t="s">
        <v>3921</v>
      </c>
      <c r="I4407" t="s">
        <v>3497</v>
      </c>
      <c r="J4407">
        <v>6</v>
      </c>
      <c r="K4407" t="s">
        <v>3922</v>
      </c>
      <c r="L4407">
        <v>2896.8</v>
      </c>
      <c r="M4407">
        <v>482.8</v>
      </c>
      <c r="O4407" t="s">
        <v>460</v>
      </c>
    </row>
    <row r="4408" spans="1:15" x14ac:dyDescent="0.3">
      <c r="A4408">
        <v>179820</v>
      </c>
      <c r="B4408">
        <v>116</v>
      </c>
      <c r="C4408" t="s">
        <v>568</v>
      </c>
      <c r="D4408" t="s">
        <v>2314</v>
      </c>
      <c r="E4408" t="s">
        <v>3354</v>
      </c>
      <c r="F4408" s="452">
        <v>46020</v>
      </c>
      <c r="G4408">
        <v>18640</v>
      </c>
      <c r="H4408" t="s">
        <v>3994</v>
      </c>
      <c r="I4408" t="s">
        <v>3497</v>
      </c>
      <c r="J4408">
        <v>1</v>
      </c>
      <c r="K4408" t="s">
        <v>3922</v>
      </c>
      <c r="L4408">
        <v>306</v>
      </c>
      <c r="M4408">
        <v>306</v>
      </c>
      <c r="O4408" t="s">
        <v>460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4461"/>
  <sheetViews>
    <sheetView workbookViewId="0"/>
  </sheetViews>
  <sheetFormatPr defaultRowHeight="14.4" x14ac:dyDescent="0.3"/>
  <sheetData>
    <row r="1" spans="1:17" x14ac:dyDescent="0.3">
      <c r="A1" t="s">
        <v>3865</v>
      </c>
      <c r="B1" t="s">
        <v>2248</v>
      </c>
      <c r="C1" t="s">
        <v>2249</v>
      </c>
      <c r="D1" t="s">
        <v>3866</v>
      </c>
      <c r="E1" t="s">
        <v>3867</v>
      </c>
      <c r="F1" t="s">
        <v>3868</v>
      </c>
      <c r="G1" t="s">
        <v>4439</v>
      </c>
      <c r="H1" t="s">
        <v>3869</v>
      </c>
      <c r="I1" t="s">
        <v>3870</v>
      </c>
      <c r="J1" t="s">
        <v>4440</v>
      </c>
      <c r="K1" t="s">
        <v>566</v>
      </c>
      <c r="L1" t="s">
        <v>4441</v>
      </c>
      <c r="M1" t="s">
        <v>4442</v>
      </c>
      <c r="N1" t="s">
        <v>4443</v>
      </c>
      <c r="O1" t="s">
        <v>4444</v>
      </c>
      <c r="P1" t="s">
        <v>4445</v>
      </c>
      <c r="Q1" t="s">
        <v>558</v>
      </c>
    </row>
    <row r="2" spans="1:17" x14ac:dyDescent="0.3">
      <c r="A2">
        <v>90707</v>
      </c>
      <c r="B2">
        <v>116</v>
      </c>
      <c r="C2" t="s">
        <v>568</v>
      </c>
      <c r="D2" s="453">
        <v>46174</v>
      </c>
      <c r="E2">
        <v>18636</v>
      </c>
      <c r="F2" t="s">
        <v>3921</v>
      </c>
      <c r="G2">
        <v>3075</v>
      </c>
      <c r="H2">
        <v>14</v>
      </c>
      <c r="I2" t="s">
        <v>3922</v>
      </c>
      <c r="J2" t="s">
        <v>3497</v>
      </c>
      <c r="K2" t="s">
        <v>465</v>
      </c>
      <c r="L2">
        <v>482.8</v>
      </c>
      <c r="M2" s="453">
        <v>46171</v>
      </c>
      <c r="N2">
        <v>482.8</v>
      </c>
      <c r="O2">
        <v>351.74</v>
      </c>
      <c r="P2">
        <v>6759.2</v>
      </c>
    </row>
    <row r="3" spans="1:17" x14ac:dyDescent="0.3">
      <c r="A3">
        <v>90708</v>
      </c>
      <c r="B3">
        <v>116</v>
      </c>
      <c r="C3" t="s">
        <v>568</v>
      </c>
      <c r="D3" s="453">
        <v>46174</v>
      </c>
      <c r="E3">
        <v>24259</v>
      </c>
      <c r="F3" t="s">
        <v>3895</v>
      </c>
      <c r="G3">
        <v>2938</v>
      </c>
      <c r="H3">
        <v>19.100000000000001</v>
      </c>
      <c r="I3" t="s">
        <v>3892</v>
      </c>
      <c r="J3" t="s">
        <v>3469</v>
      </c>
      <c r="K3" t="s">
        <v>465</v>
      </c>
      <c r="L3">
        <v>80.63</v>
      </c>
      <c r="M3" s="453">
        <v>46167</v>
      </c>
      <c r="N3">
        <v>81.489999999999995</v>
      </c>
      <c r="O3">
        <v>80.989999999999995</v>
      </c>
      <c r="P3">
        <v>1540.03</v>
      </c>
    </row>
    <row r="4" spans="1:17" x14ac:dyDescent="0.3">
      <c r="A4">
        <v>90709</v>
      </c>
      <c r="B4">
        <v>116</v>
      </c>
      <c r="C4" t="s">
        <v>568</v>
      </c>
      <c r="D4" s="453">
        <v>46174</v>
      </c>
      <c r="E4">
        <v>19297</v>
      </c>
      <c r="F4" t="s">
        <v>3949</v>
      </c>
      <c r="G4">
        <v>2775</v>
      </c>
      <c r="H4">
        <v>18.899999999999999</v>
      </c>
      <c r="I4" t="s">
        <v>3892</v>
      </c>
      <c r="J4" t="s">
        <v>3469</v>
      </c>
      <c r="K4" t="s">
        <v>465</v>
      </c>
      <c r="L4">
        <v>0</v>
      </c>
      <c r="M4" s="453">
        <v>46073</v>
      </c>
      <c r="N4">
        <v>70.5</v>
      </c>
      <c r="O4">
        <v>74.900000000000006</v>
      </c>
      <c r="P4">
        <v>1332.45</v>
      </c>
    </row>
    <row r="5" spans="1:17" x14ac:dyDescent="0.3">
      <c r="A5">
        <v>90710</v>
      </c>
      <c r="B5">
        <v>116</v>
      </c>
      <c r="C5" t="s">
        <v>568</v>
      </c>
      <c r="D5" s="453">
        <v>46174</v>
      </c>
      <c r="E5">
        <v>20519</v>
      </c>
      <c r="F5" t="s">
        <v>3902</v>
      </c>
      <c r="G5">
        <v>2150</v>
      </c>
      <c r="H5">
        <v>23.5</v>
      </c>
      <c r="I5" t="s">
        <v>3892</v>
      </c>
      <c r="J5" t="s">
        <v>3469</v>
      </c>
      <c r="K5" t="s">
        <v>465</v>
      </c>
      <c r="L5">
        <v>50.25</v>
      </c>
      <c r="M5" s="453">
        <v>46168</v>
      </c>
      <c r="N5">
        <v>50.25</v>
      </c>
      <c r="O5">
        <v>50.25</v>
      </c>
      <c r="P5">
        <v>1180.8800000000001</v>
      </c>
    </row>
    <row r="6" spans="1:17" x14ac:dyDescent="0.3">
      <c r="A6">
        <v>90928</v>
      </c>
      <c r="B6">
        <v>116</v>
      </c>
      <c r="C6" t="s">
        <v>568</v>
      </c>
      <c r="D6" s="453">
        <v>46174</v>
      </c>
      <c r="E6">
        <v>27210</v>
      </c>
      <c r="F6" t="s">
        <v>4189</v>
      </c>
      <c r="G6">
        <v>3383</v>
      </c>
      <c r="H6">
        <v>24</v>
      </c>
      <c r="I6" t="s">
        <v>3878</v>
      </c>
      <c r="J6" t="s">
        <v>3497</v>
      </c>
      <c r="K6" t="s">
        <v>465</v>
      </c>
      <c r="L6">
        <v>41.9</v>
      </c>
      <c r="M6" s="453">
        <v>46157</v>
      </c>
      <c r="N6">
        <v>41.9</v>
      </c>
      <c r="O6">
        <v>41.9</v>
      </c>
      <c r="P6">
        <v>1005.6</v>
      </c>
    </row>
    <row r="7" spans="1:17" x14ac:dyDescent="0.3">
      <c r="A7">
        <v>90925</v>
      </c>
      <c r="B7">
        <v>116</v>
      </c>
      <c r="C7" t="s">
        <v>568</v>
      </c>
      <c r="D7" s="453">
        <v>46174</v>
      </c>
      <c r="E7">
        <v>28760</v>
      </c>
      <c r="F7" t="s">
        <v>4188</v>
      </c>
      <c r="G7">
        <v>8738</v>
      </c>
      <c r="H7">
        <v>13.6</v>
      </c>
      <c r="I7" t="s">
        <v>3892</v>
      </c>
      <c r="J7" t="s">
        <v>3469</v>
      </c>
      <c r="K7" t="s">
        <v>465</v>
      </c>
      <c r="L7">
        <v>69</v>
      </c>
      <c r="M7" s="453">
        <v>46154</v>
      </c>
      <c r="N7">
        <v>69</v>
      </c>
      <c r="O7">
        <v>61</v>
      </c>
      <c r="P7">
        <v>938.4</v>
      </c>
    </row>
    <row r="8" spans="1:17" x14ac:dyDescent="0.3">
      <c r="A8">
        <v>90711</v>
      </c>
      <c r="B8">
        <v>116</v>
      </c>
      <c r="C8" t="s">
        <v>568</v>
      </c>
      <c r="D8" s="453">
        <v>46174</v>
      </c>
      <c r="E8">
        <v>25197</v>
      </c>
      <c r="F8" t="s">
        <v>4143</v>
      </c>
      <c r="G8">
        <v>2126</v>
      </c>
      <c r="H8">
        <v>82</v>
      </c>
      <c r="I8" t="s">
        <v>3872</v>
      </c>
      <c r="J8" t="s">
        <v>3469</v>
      </c>
      <c r="K8" t="s">
        <v>465</v>
      </c>
      <c r="L8">
        <v>10.3</v>
      </c>
      <c r="M8" s="453">
        <v>46156</v>
      </c>
      <c r="N8">
        <v>10.3</v>
      </c>
      <c r="O8">
        <v>25</v>
      </c>
      <c r="P8">
        <v>844.6</v>
      </c>
    </row>
    <row r="9" spans="1:17" x14ac:dyDescent="0.3">
      <c r="A9">
        <v>90712</v>
      </c>
      <c r="B9">
        <v>116</v>
      </c>
      <c r="C9" t="s">
        <v>568</v>
      </c>
      <c r="D9" s="453">
        <v>46174</v>
      </c>
      <c r="E9">
        <v>18640</v>
      </c>
      <c r="F9" t="s">
        <v>3994</v>
      </c>
      <c r="G9">
        <v>3074</v>
      </c>
      <c r="H9">
        <v>2.5</v>
      </c>
      <c r="I9" t="s">
        <v>3922</v>
      </c>
      <c r="J9" t="s">
        <v>3497</v>
      </c>
      <c r="K9" t="s">
        <v>465</v>
      </c>
      <c r="L9">
        <v>306</v>
      </c>
      <c r="M9" s="453">
        <v>46168</v>
      </c>
      <c r="N9">
        <v>306</v>
      </c>
      <c r="O9">
        <v>222.93</v>
      </c>
      <c r="P9">
        <v>765</v>
      </c>
    </row>
    <row r="10" spans="1:17" x14ac:dyDescent="0.3">
      <c r="A10">
        <v>90713</v>
      </c>
      <c r="B10">
        <v>116</v>
      </c>
      <c r="C10" t="s">
        <v>568</v>
      </c>
      <c r="D10" s="453">
        <v>46174</v>
      </c>
      <c r="E10">
        <v>19346</v>
      </c>
      <c r="F10" t="s">
        <v>3948</v>
      </c>
      <c r="G10">
        <v>2770</v>
      </c>
      <c r="H10">
        <v>11.4</v>
      </c>
      <c r="I10" t="s">
        <v>3892</v>
      </c>
      <c r="J10" t="s">
        <v>3469</v>
      </c>
      <c r="K10" t="s">
        <v>465</v>
      </c>
      <c r="L10">
        <v>59.48</v>
      </c>
      <c r="M10" s="453">
        <v>46156</v>
      </c>
      <c r="N10">
        <v>60</v>
      </c>
      <c r="O10">
        <v>60</v>
      </c>
      <c r="P10">
        <v>678.07</v>
      </c>
    </row>
    <row r="11" spans="1:17" x14ac:dyDescent="0.3">
      <c r="A11">
        <v>90714</v>
      </c>
      <c r="B11">
        <v>116</v>
      </c>
      <c r="C11" t="s">
        <v>568</v>
      </c>
      <c r="D11" s="453">
        <v>46174</v>
      </c>
      <c r="E11">
        <v>18475</v>
      </c>
      <c r="F11" t="s">
        <v>3918</v>
      </c>
      <c r="G11">
        <v>3181</v>
      </c>
      <c r="H11">
        <v>19.5</v>
      </c>
      <c r="I11" t="s">
        <v>3878</v>
      </c>
      <c r="J11" t="s">
        <v>3497</v>
      </c>
      <c r="K11" t="s">
        <v>465</v>
      </c>
      <c r="L11">
        <v>32.9</v>
      </c>
      <c r="M11" s="453">
        <v>46160</v>
      </c>
      <c r="N11">
        <v>32.9</v>
      </c>
      <c r="O11">
        <v>32.9</v>
      </c>
      <c r="P11">
        <v>641.54999999999995</v>
      </c>
    </row>
    <row r="12" spans="1:17" x14ac:dyDescent="0.3">
      <c r="A12">
        <v>90715</v>
      </c>
      <c r="B12">
        <v>116</v>
      </c>
      <c r="C12" t="s">
        <v>568</v>
      </c>
      <c r="D12" s="453">
        <v>46174</v>
      </c>
      <c r="E12">
        <v>24072</v>
      </c>
      <c r="F12" t="s">
        <v>4002</v>
      </c>
      <c r="G12">
        <v>2982</v>
      </c>
      <c r="H12">
        <v>2.8</v>
      </c>
      <c r="I12" t="s">
        <v>3892</v>
      </c>
      <c r="J12" t="s">
        <v>3469</v>
      </c>
      <c r="K12" t="s">
        <v>465</v>
      </c>
      <c r="L12">
        <v>220</v>
      </c>
      <c r="M12" s="453">
        <v>46168</v>
      </c>
      <c r="N12">
        <v>220</v>
      </c>
      <c r="O12">
        <v>220</v>
      </c>
      <c r="P12">
        <v>616</v>
      </c>
    </row>
    <row r="13" spans="1:17" x14ac:dyDescent="0.3">
      <c r="A13">
        <v>90716</v>
      </c>
      <c r="B13">
        <v>116</v>
      </c>
      <c r="C13" t="s">
        <v>568</v>
      </c>
      <c r="D13" s="453">
        <v>46174</v>
      </c>
      <c r="E13">
        <v>19287</v>
      </c>
      <c r="F13" t="s">
        <v>3974</v>
      </c>
      <c r="G13">
        <v>2778</v>
      </c>
      <c r="H13">
        <v>13.3</v>
      </c>
      <c r="I13" t="s">
        <v>3892</v>
      </c>
      <c r="J13" t="s">
        <v>3469</v>
      </c>
      <c r="K13" t="s">
        <v>465</v>
      </c>
      <c r="L13">
        <v>42.13</v>
      </c>
      <c r="M13" s="453">
        <v>46162</v>
      </c>
      <c r="N13">
        <v>41.96</v>
      </c>
      <c r="O13">
        <v>41.96</v>
      </c>
      <c r="P13">
        <v>560.33000000000004</v>
      </c>
    </row>
    <row r="14" spans="1:17" x14ac:dyDescent="0.3">
      <c r="A14">
        <v>90717</v>
      </c>
      <c r="B14">
        <v>116</v>
      </c>
      <c r="C14" t="s">
        <v>568</v>
      </c>
      <c r="D14" s="453">
        <v>46174</v>
      </c>
      <c r="E14">
        <v>18684</v>
      </c>
      <c r="F14" t="s">
        <v>3925</v>
      </c>
      <c r="G14">
        <v>3041</v>
      </c>
      <c r="H14">
        <v>14.6</v>
      </c>
      <c r="I14" t="s">
        <v>3892</v>
      </c>
      <c r="J14" t="s">
        <v>3469</v>
      </c>
      <c r="K14" t="s">
        <v>465</v>
      </c>
      <c r="L14">
        <v>36</v>
      </c>
      <c r="M14" s="453">
        <v>46168</v>
      </c>
      <c r="N14">
        <v>36</v>
      </c>
      <c r="O14">
        <v>36</v>
      </c>
      <c r="P14">
        <v>525.6</v>
      </c>
    </row>
    <row r="15" spans="1:17" x14ac:dyDescent="0.3">
      <c r="A15">
        <v>90718</v>
      </c>
      <c r="B15">
        <v>116</v>
      </c>
      <c r="C15" t="s">
        <v>568</v>
      </c>
      <c r="D15" s="453">
        <v>46174</v>
      </c>
      <c r="E15">
        <v>27884</v>
      </c>
      <c r="F15" t="s">
        <v>3910</v>
      </c>
      <c r="G15">
        <v>7849</v>
      </c>
      <c r="H15">
        <v>7.4</v>
      </c>
      <c r="I15" t="s">
        <v>3892</v>
      </c>
      <c r="J15" t="s">
        <v>3469</v>
      </c>
      <c r="K15" t="s">
        <v>465</v>
      </c>
      <c r="L15">
        <v>69</v>
      </c>
      <c r="M15" s="453">
        <v>46157</v>
      </c>
      <c r="N15">
        <v>69</v>
      </c>
      <c r="O15">
        <v>69</v>
      </c>
      <c r="P15">
        <v>510.6</v>
      </c>
    </row>
    <row r="16" spans="1:17" x14ac:dyDescent="0.3">
      <c r="A16">
        <v>90915</v>
      </c>
      <c r="B16">
        <v>116</v>
      </c>
      <c r="C16" t="s">
        <v>568</v>
      </c>
      <c r="D16" s="453">
        <v>46174</v>
      </c>
      <c r="E16">
        <v>24602</v>
      </c>
      <c r="F16" t="s">
        <v>4186</v>
      </c>
      <c r="G16">
        <v>2100</v>
      </c>
      <c r="H16">
        <v>46</v>
      </c>
      <c r="I16" t="s">
        <v>3872</v>
      </c>
      <c r="J16" t="s">
        <v>3469</v>
      </c>
      <c r="K16" t="s">
        <v>465</v>
      </c>
      <c r="L16">
        <v>10.6</v>
      </c>
      <c r="M16" s="453">
        <v>46156</v>
      </c>
      <c r="N16">
        <v>10.6</v>
      </c>
      <c r="O16">
        <v>10.6</v>
      </c>
      <c r="P16">
        <v>487.6</v>
      </c>
    </row>
    <row r="17" spans="1:16" x14ac:dyDescent="0.3">
      <c r="A17">
        <v>90719</v>
      </c>
      <c r="B17">
        <v>116</v>
      </c>
      <c r="C17" t="s">
        <v>568</v>
      </c>
      <c r="D17" s="453">
        <v>46174</v>
      </c>
      <c r="E17">
        <v>27711</v>
      </c>
      <c r="F17" t="s">
        <v>3913</v>
      </c>
      <c r="G17">
        <v>7678</v>
      </c>
      <c r="H17">
        <v>13</v>
      </c>
      <c r="I17" t="s">
        <v>3872</v>
      </c>
      <c r="J17" t="s">
        <v>3469</v>
      </c>
      <c r="K17" t="s">
        <v>465</v>
      </c>
      <c r="L17">
        <v>34.200000000000003</v>
      </c>
      <c r="M17" s="453">
        <v>46156</v>
      </c>
      <c r="N17">
        <v>34.200000000000003</v>
      </c>
      <c r="O17">
        <v>34.200000000000003</v>
      </c>
      <c r="P17">
        <v>444.6</v>
      </c>
    </row>
    <row r="18" spans="1:16" x14ac:dyDescent="0.3">
      <c r="A18">
        <v>90927</v>
      </c>
      <c r="B18">
        <v>116</v>
      </c>
      <c r="C18" t="s">
        <v>568</v>
      </c>
      <c r="D18" s="453">
        <v>46174</v>
      </c>
      <c r="E18">
        <v>27313</v>
      </c>
      <c r="F18" t="s">
        <v>4131</v>
      </c>
      <c r="G18">
        <v>6160</v>
      </c>
      <c r="H18">
        <v>13.8</v>
      </c>
      <c r="I18" t="s">
        <v>3892</v>
      </c>
      <c r="J18" t="s">
        <v>3469</v>
      </c>
      <c r="K18" t="s">
        <v>465</v>
      </c>
      <c r="L18">
        <v>32.03</v>
      </c>
      <c r="M18" s="453">
        <v>46167</v>
      </c>
      <c r="N18">
        <v>30.5</v>
      </c>
      <c r="O18">
        <v>33.799999999999997</v>
      </c>
      <c r="P18">
        <v>442.01</v>
      </c>
    </row>
    <row r="19" spans="1:16" x14ac:dyDescent="0.3">
      <c r="A19">
        <v>90720</v>
      </c>
      <c r="B19">
        <v>116</v>
      </c>
      <c r="C19" t="s">
        <v>568</v>
      </c>
      <c r="D19" s="453">
        <v>46174</v>
      </c>
      <c r="E19">
        <v>21030</v>
      </c>
      <c r="F19" t="s">
        <v>3890</v>
      </c>
      <c r="G19">
        <v>2001</v>
      </c>
      <c r="H19">
        <v>21</v>
      </c>
      <c r="I19" t="s">
        <v>3872</v>
      </c>
      <c r="J19" t="s">
        <v>3469</v>
      </c>
      <c r="K19" t="s">
        <v>465</v>
      </c>
      <c r="L19">
        <v>19.899999999999999</v>
      </c>
      <c r="M19" s="453">
        <v>46153</v>
      </c>
      <c r="N19">
        <v>19.899999999999999</v>
      </c>
      <c r="O19">
        <v>19.899999999999999</v>
      </c>
      <c r="P19">
        <v>417.9</v>
      </c>
    </row>
    <row r="20" spans="1:16" x14ac:dyDescent="0.3">
      <c r="A20">
        <v>90722</v>
      </c>
      <c r="B20">
        <v>116</v>
      </c>
      <c r="C20" t="s">
        <v>568</v>
      </c>
      <c r="D20" s="453">
        <v>46174</v>
      </c>
      <c r="E20">
        <v>20555</v>
      </c>
      <c r="F20" t="s">
        <v>3959</v>
      </c>
      <c r="G20">
        <v>2139</v>
      </c>
      <c r="H20">
        <v>5.15</v>
      </c>
      <c r="I20" t="s">
        <v>3892</v>
      </c>
      <c r="J20" t="s">
        <v>3469</v>
      </c>
      <c r="K20" t="s">
        <v>465</v>
      </c>
      <c r="L20">
        <v>79</v>
      </c>
      <c r="M20" s="453">
        <v>46157</v>
      </c>
      <c r="N20">
        <v>79</v>
      </c>
      <c r="O20">
        <v>79</v>
      </c>
      <c r="P20">
        <v>406.85</v>
      </c>
    </row>
    <row r="21" spans="1:16" x14ac:dyDescent="0.3">
      <c r="A21">
        <v>90724</v>
      </c>
      <c r="B21">
        <v>116</v>
      </c>
      <c r="C21" t="s">
        <v>568</v>
      </c>
      <c r="D21" s="453">
        <v>46174</v>
      </c>
      <c r="E21">
        <v>16974</v>
      </c>
      <c r="F21" t="s">
        <v>3996</v>
      </c>
      <c r="G21">
        <v>3711</v>
      </c>
      <c r="H21">
        <v>3</v>
      </c>
      <c r="I21" t="s">
        <v>3881</v>
      </c>
      <c r="J21" t="s">
        <v>3497</v>
      </c>
      <c r="K21" t="s">
        <v>465</v>
      </c>
      <c r="L21">
        <v>135</v>
      </c>
      <c r="M21" s="453">
        <v>46168</v>
      </c>
      <c r="N21">
        <v>135</v>
      </c>
      <c r="O21">
        <v>147.5</v>
      </c>
      <c r="P21">
        <v>405</v>
      </c>
    </row>
    <row r="22" spans="1:16" x14ac:dyDescent="0.3">
      <c r="A22">
        <v>90721</v>
      </c>
      <c r="B22">
        <v>116</v>
      </c>
      <c r="C22" t="s">
        <v>568</v>
      </c>
      <c r="D22" s="453">
        <v>46174</v>
      </c>
      <c r="E22">
        <v>18764</v>
      </c>
      <c r="F22" t="s">
        <v>3907</v>
      </c>
      <c r="G22">
        <v>3001</v>
      </c>
      <c r="H22">
        <v>5</v>
      </c>
      <c r="I22" t="s">
        <v>3892</v>
      </c>
      <c r="J22" t="s">
        <v>3469</v>
      </c>
      <c r="K22" t="s">
        <v>465</v>
      </c>
      <c r="L22">
        <v>79.989999999999995</v>
      </c>
      <c r="M22" s="453">
        <v>46160</v>
      </c>
      <c r="N22">
        <v>79.989999999999995</v>
      </c>
      <c r="O22">
        <v>79.989999999999995</v>
      </c>
      <c r="P22">
        <v>399.95</v>
      </c>
    </row>
    <row r="23" spans="1:16" x14ac:dyDescent="0.3">
      <c r="A23">
        <v>90726</v>
      </c>
      <c r="B23">
        <v>116</v>
      </c>
      <c r="C23" t="s">
        <v>568</v>
      </c>
      <c r="D23" s="453">
        <v>46174</v>
      </c>
      <c r="E23">
        <v>18586</v>
      </c>
      <c r="F23" t="s">
        <v>4107</v>
      </c>
      <c r="G23">
        <v>3104</v>
      </c>
      <c r="H23">
        <v>3</v>
      </c>
      <c r="I23" t="s">
        <v>3888</v>
      </c>
      <c r="J23" t="s">
        <v>3497</v>
      </c>
      <c r="K23" t="s">
        <v>465</v>
      </c>
      <c r="L23">
        <v>132.07</v>
      </c>
      <c r="M23" s="453">
        <v>46154</v>
      </c>
      <c r="N23">
        <v>132.07</v>
      </c>
      <c r="O23">
        <v>132.07</v>
      </c>
      <c r="P23">
        <v>396.21</v>
      </c>
    </row>
    <row r="24" spans="1:16" x14ac:dyDescent="0.3">
      <c r="A24">
        <v>90729</v>
      </c>
      <c r="B24">
        <v>116</v>
      </c>
      <c r="C24" t="s">
        <v>568</v>
      </c>
      <c r="D24" s="453">
        <v>46174</v>
      </c>
      <c r="E24">
        <v>24402</v>
      </c>
      <c r="F24" t="s">
        <v>3896</v>
      </c>
      <c r="G24">
        <v>2949</v>
      </c>
      <c r="H24">
        <v>10.35</v>
      </c>
      <c r="I24" t="s">
        <v>3892</v>
      </c>
      <c r="J24" t="s">
        <v>3469</v>
      </c>
      <c r="K24" t="s">
        <v>465</v>
      </c>
      <c r="L24">
        <v>38.15</v>
      </c>
      <c r="M24" s="453">
        <v>46168</v>
      </c>
      <c r="N24">
        <v>38.200000000000003</v>
      </c>
      <c r="O24">
        <v>38.200000000000003</v>
      </c>
      <c r="P24">
        <v>394.85</v>
      </c>
    </row>
    <row r="25" spans="1:16" x14ac:dyDescent="0.3">
      <c r="A25">
        <v>90727</v>
      </c>
      <c r="B25">
        <v>116</v>
      </c>
      <c r="C25" t="s">
        <v>568</v>
      </c>
      <c r="D25" s="453">
        <v>46174</v>
      </c>
      <c r="E25">
        <v>26193</v>
      </c>
      <c r="F25" t="s">
        <v>3950</v>
      </c>
      <c r="G25">
        <v>6616</v>
      </c>
      <c r="H25">
        <v>28</v>
      </c>
      <c r="I25" t="s">
        <v>3872</v>
      </c>
      <c r="J25" t="s">
        <v>3469</v>
      </c>
      <c r="K25" t="s">
        <v>465</v>
      </c>
      <c r="L25">
        <v>0</v>
      </c>
      <c r="M25" s="453">
        <v>46000</v>
      </c>
      <c r="N25">
        <v>13.95</v>
      </c>
      <c r="O25">
        <v>8.24</v>
      </c>
      <c r="P25">
        <v>390.6</v>
      </c>
    </row>
    <row r="26" spans="1:16" x14ac:dyDescent="0.3">
      <c r="A26">
        <v>90728</v>
      </c>
      <c r="B26">
        <v>116</v>
      </c>
      <c r="C26" t="s">
        <v>568</v>
      </c>
      <c r="D26" s="453">
        <v>46174</v>
      </c>
      <c r="E26">
        <v>24002</v>
      </c>
      <c r="F26" t="s">
        <v>3924</v>
      </c>
      <c r="G26">
        <v>3614</v>
      </c>
      <c r="H26">
        <v>5</v>
      </c>
      <c r="I26" t="s">
        <v>3872</v>
      </c>
      <c r="J26" t="s">
        <v>3497</v>
      </c>
      <c r="K26" t="s">
        <v>465</v>
      </c>
      <c r="L26">
        <v>0</v>
      </c>
      <c r="M26" s="453">
        <v>46010</v>
      </c>
      <c r="N26">
        <v>77.42</v>
      </c>
      <c r="O26">
        <v>5.99</v>
      </c>
      <c r="P26">
        <v>387.1</v>
      </c>
    </row>
    <row r="27" spans="1:16" x14ac:dyDescent="0.3">
      <c r="A27">
        <v>90725</v>
      </c>
      <c r="B27">
        <v>116</v>
      </c>
      <c r="C27" t="s">
        <v>568</v>
      </c>
      <c r="D27" s="453">
        <v>46174</v>
      </c>
      <c r="E27">
        <v>19324</v>
      </c>
      <c r="F27" t="s">
        <v>3937</v>
      </c>
      <c r="G27">
        <v>2773</v>
      </c>
      <c r="H27">
        <v>9.6</v>
      </c>
      <c r="I27" t="s">
        <v>3892</v>
      </c>
      <c r="J27" t="s">
        <v>3469</v>
      </c>
      <c r="K27" t="s">
        <v>465</v>
      </c>
      <c r="L27">
        <v>39.659999999999997</v>
      </c>
      <c r="M27" s="453">
        <v>46168</v>
      </c>
      <c r="N27">
        <v>38.950000000000003</v>
      </c>
      <c r="O27">
        <v>38.950000000000003</v>
      </c>
      <c r="P27">
        <v>380.74</v>
      </c>
    </row>
    <row r="28" spans="1:16" x14ac:dyDescent="0.3">
      <c r="A28">
        <v>90730</v>
      </c>
      <c r="B28">
        <v>116</v>
      </c>
      <c r="C28" t="s">
        <v>568</v>
      </c>
      <c r="D28" s="453">
        <v>46174</v>
      </c>
      <c r="E28">
        <v>22515</v>
      </c>
      <c r="F28" t="s">
        <v>3883</v>
      </c>
      <c r="G28">
        <v>3202</v>
      </c>
      <c r="H28">
        <v>10</v>
      </c>
      <c r="I28" t="s">
        <v>3884</v>
      </c>
      <c r="J28" t="s">
        <v>3497</v>
      </c>
      <c r="K28" t="s">
        <v>465</v>
      </c>
      <c r="L28">
        <v>0</v>
      </c>
      <c r="M28" s="453">
        <v>45671</v>
      </c>
      <c r="N28">
        <v>38</v>
      </c>
      <c r="O28">
        <v>38</v>
      </c>
      <c r="P28">
        <v>380</v>
      </c>
    </row>
    <row r="29" spans="1:16" x14ac:dyDescent="0.3">
      <c r="A29">
        <v>90732</v>
      </c>
      <c r="B29">
        <v>116</v>
      </c>
      <c r="C29" t="s">
        <v>568</v>
      </c>
      <c r="D29" s="453">
        <v>46174</v>
      </c>
      <c r="E29">
        <v>17969</v>
      </c>
      <c r="F29" t="s">
        <v>4175</v>
      </c>
      <c r="G29">
        <v>3617</v>
      </c>
      <c r="H29">
        <v>16</v>
      </c>
      <c r="I29" t="s">
        <v>3888</v>
      </c>
      <c r="J29" t="s">
        <v>3497</v>
      </c>
      <c r="K29" t="s">
        <v>465</v>
      </c>
      <c r="L29">
        <v>22.7</v>
      </c>
      <c r="M29" s="453">
        <v>46165</v>
      </c>
      <c r="N29">
        <v>22.7</v>
      </c>
      <c r="O29">
        <v>22.7</v>
      </c>
      <c r="P29">
        <v>363.2</v>
      </c>
    </row>
    <row r="30" spans="1:16" x14ac:dyDescent="0.3">
      <c r="A30">
        <v>90733</v>
      </c>
      <c r="B30">
        <v>116</v>
      </c>
      <c r="C30" t="s">
        <v>568</v>
      </c>
      <c r="D30" s="453">
        <v>46174</v>
      </c>
      <c r="E30">
        <v>24006</v>
      </c>
      <c r="F30" t="s">
        <v>4177</v>
      </c>
      <c r="G30">
        <v>3609</v>
      </c>
      <c r="H30">
        <v>15</v>
      </c>
      <c r="I30" t="s">
        <v>3888</v>
      </c>
      <c r="J30" t="s">
        <v>3497</v>
      </c>
      <c r="K30" t="s">
        <v>465</v>
      </c>
      <c r="L30">
        <v>23.9</v>
      </c>
      <c r="M30" s="453">
        <v>46165</v>
      </c>
      <c r="N30">
        <v>23.9</v>
      </c>
      <c r="O30">
        <v>23.9</v>
      </c>
      <c r="P30">
        <v>358.5</v>
      </c>
    </row>
    <row r="31" spans="1:16" x14ac:dyDescent="0.3">
      <c r="A31">
        <v>90741</v>
      </c>
      <c r="B31">
        <v>116</v>
      </c>
      <c r="C31" t="s">
        <v>568</v>
      </c>
      <c r="D31" s="453">
        <v>46174</v>
      </c>
      <c r="E31">
        <v>20752</v>
      </c>
      <c r="F31" t="s">
        <v>3964</v>
      </c>
      <c r="G31">
        <v>2088</v>
      </c>
      <c r="H31">
        <v>3</v>
      </c>
      <c r="I31" t="s">
        <v>3886</v>
      </c>
      <c r="J31" t="s">
        <v>3469</v>
      </c>
      <c r="K31" t="s">
        <v>465</v>
      </c>
      <c r="L31">
        <v>108.88</v>
      </c>
      <c r="M31" s="453">
        <v>46161</v>
      </c>
      <c r="N31">
        <v>112.52</v>
      </c>
      <c r="O31">
        <v>112.52</v>
      </c>
      <c r="P31">
        <v>326.64</v>
      </c>
    </row>
    <row r="32" spans="1:16" x14ac:dyDescent="0.3">
      <c r="A32">
        <v>90723</v>
      </c>
      <c r="B32">
        <v>116</v>
      </c>
      <c r="C32" t="s">
        <v>568</v>
      </c>
      <c r="D32" s="453">
        <v>46174</v>
      </c>
      <c r="E32">
        <v>17886</v>
      </c>
      <c r="F32" t="s">
        <v>3935</v>
      </c>
      <c r="G32">
        <v>3670</v>
      </c>
      <c r="H32">
        <v>11.5</v>
      </c>
      <c r="I32" t="s">
        <v>3888</v>
      </c>
      <c r="J32" t="s">
        <v>3497</v>
      </c>
      <c r="K32" t="s">
        <v>465</v>
      </c>
      <c r="L32">
        <v>28.32</v>
      </c>
      <c r="M32" s="453">
        <v>46171</v>
      </c>
      <c r="N32">
        <v>28.32</v>
      </c>
      <c r="O32">
        <v>28.32</v>
      </c>
      <c r="P32">
        <v>325.68</v>
      </c>
    </row>
    <row r="33" spans="1:16" x14ac:dyDescent="0.3">
      <c r="A33">
        <v>90735</v>
      </c>
      <c r="B33">
        <v>116</v>
      </c>
      <c r="C33" t="s">
        <v>568</v>
      </c>
      <c r="D33" s="453">
        <v>46174</v>
      </c>
      <c r="E33">
        <v>18119</v>
      </c>
      <c r="F33" t="s">
        <v>4093</v>
      </c>
      <c r="G33">
        <v>3494</v>
      </c>
      <c r="H33">
        <v>2</v>
      </c>
      <c r="I33" t="s">
        <v>3878</v>
      </c>
      <c r="J33" t="s">
        <v>3497</v>
      </c>
      <c r="K33" t="s">
        <v>465</v>
      </c>
      <c r="L33">
        <v>0</v>
      </c>
      <c r="M33" s="453">
        <v>46126</v>
      </c>
      <c r="N33">
        <v>162.16</v>
      </c>
      <c r="O33">
        <v>166.62</v>
      </c>
      <c r="P33">
        <v>324.32</v>
      </c>
    </row>
    <row r="34" spans="1:16" x14ac:dyDescent="0.3">
      <c r="A34">
        <v>90736</v>
      </c>
      <c r="B34">
        <v>116</v>
      </c>
      <c r="C34" t="s">
        <v>568</v>
      </c>
      <c r="D34" s="453">
        <v>46174</v>
      </c>
      <c r="E34">
        <v>21944</v>
      </c>
      <c r="F34" t="s">
        <v>3936</v>
      </c>
      <c r="G34">
        <v>3748</v>
      </c>
      <c r="H34">
        <v>8</v>
      </c>
      <c r="I34" t="s">
        <v>3878</v>
      </c>
      <c r="J34" t="s">
        <v>3497</v>
      </c>
      <c r="K34" t="s">
        <v>465</v>
      </c>
      <c r="L34">
        <v>0</v>
      </c>
      <c r="N34">
        <v>0</v>
      </c>
      <c r="O34">
        <v>40.159999999999997</v>
      </c>
      <c r="P34">
        <v>321.27999999999997</v>
      </c>
    </row>
    <row r="35" spans="1:16" x14ac:dyDescent="0.3">
      <c r="A35">
        <v>90737</v>
      </c>
      <c r="B35">
        <v>116</v>
      </c>
      <c r="C35" t="s">
        <v>568</v>
      </c>
      <c r="D35" s="453">
        <v>46174</v>
      </c>
      <c r="E35">
        <v>22734</v>
      </c>
      <c r="F35" t="s">
        <v>3955</v>
      </c>
      <c r="G35">
        <v>3024</v>
      </c>
      <c r="H35">
        <v>3.2</v>
      </c>
      <c r="I35" t="s">
        <v>3892</v>
      </c>
      <c r="J35" t="s">
        <v>3469</v>
      </c>
      <c r="K35" t="s">
        <v>465</v>
      </c>
      <c r="L35">
        <v>99</v>
      </c>
      <c r="M35" s="453">
        <v>46168</v>
      </c>
      <c r="N35">
        <v>99</v>
      </c>
      <c r="O35">
        <v>99</v>
      </c>
      <c r="P35">
        <v>316.8</v>
      </c>
    </row>
    <row r="36" spans="1:16" x14ac:dyDescent="0.3">
      <c r="A36">
        <v>90743</v>
      </c>
      <c r="B36">
        <v>116</v>
      </c>
      <c r="C36" t="s">
        <v>568</v>
      </c>
      <c r="D36" s="453">
        <v>46174</v>
      </c>
      <c r="E36">
        <v>18179</v>
      </c>
      <c r="F36" t="s">
        <v>3995</v>
      </c>
      <c r="G36">
        <v>3443</v>
      </c>
      <c r="H36">
        <v>2.7</v>
      </c>
      <c r="I36" t="s">
        <v>3878</v>
      </c>
      <c r="J36" t="s">
        <v>3497</v>
      </c>
      <c r="K36" t="s">
        <v>465</v>
      </c>
      <c r="L36">
        <v>116.41</v>
      </c>
      <c r="M36" s="453">
        <v>46153</v>
      </c>
      <c r="N36">
        <v>116.41</v>
      </c>
      <c r="O36">
        <v>116.41</v>
      </c>
      <c r="P36">
        <v>314.31</v>
      </c>
    </row>
    <row r="37" spans="1:16" x14ac:dyDescent="0.3">
      <c r="A37">
        <v>90734</v>
      </c>
      <c r="B37">
        <v>116</v>
      </c>
      <c r="C37" t="s">
        <v>568</v>
      </c>
      <c r="D37" s="453">
        <v>46174</v>
      </c>
      <c r="E37">
        <v>20278</v>
      </c>
      <c r="F37" t="s">
        <v>3939</v>
      </c>
      <c r="G37">
        <v>2230</v>
      </c>
      <c r="H37">
        <v>12</v>
      </c>
      <c r="I37" t="s">
        <v>3872</v>
      </c>
      <c r="J37" t="s">
        <v>3469</v>
      </c>
      <c r="K37" t="s">
        <v>465</v>
      </c>
      <c r="L37">
        <v>26.15</v>
      </c>
      <c r="M37" s="453">
        <v>46167</v>
      </c>
      <c r="N37">
        <v>26.15</v>
      </c>
      <c r="O37">
        <v>26.15</v>
      </c>
      <c r="P37">
        <v>313.8</v>
      </c>
    </row>
    <row r="38" spans="1:16" x14ac:dyDescent="0.3">
      <c r="A38">
        <v>90738</v>
      </c>
      <c r="B38">
        <v>116</v>
      </c>
      <c r="C38" t="s">
        <v>568</v>
      </c>
      <c r="D38" s="453">
        <v>46174</v>
      </c>
      <c r="E38">
        <v>17895</v>
      </c>
      <c r="F38" t="s">
        <v>4137</v>
      </c>
      <c r="G38">
        <v>3665</v>
      </c>
      <c r="H38">
        <v>11</v>
      </c>
      <c r="I38" t="s">
        <v>3888</v>
      </c>
      <c r="J38" t="s">
        <v>3497</v>
      </c>
      <c r="K38" t="s">
        <v>465</v>
      </c>
      <c r="L38">
        <v>28.32</v>
      </c>
      <c r="M38" s="453">
        <v>46148</v>
      </c>
      <c r="N38">
        <v>28.32</v>
      </c>
      <c r="O38">
        <v>28.52</v>
      </c>
      <c r="P38">
        <v>311.52</v>
      </c>
    </row>
    <row r="39" spans="1:16" x14ac:dyDescent="0.3">
      <c r="A39">
        <v>90742</v>
      </c>
      <c r="B39">
        <v>116</v>
      </c>
      <c r="C39" t="s">
        <v>568</v>
      </c>
      <c r="D39" s="453">
        <v>46174</v>
      </c>
      <c r="E39">
        <v>27312</v>
      </c>
      <c r="F39" t="s">
        <v>3927</v>
      </c>
      <c r="G39">
        <v>2942</v>
      </c>
      <c r="H39">
        <v>6.2</v>
      </c>
      <c r="I39" t="s">
        <v>3892</v>
      </c>
      <c r="J39" t="s">
        <v>3469</v>
      </c>
      <c r="K39" t="s">
        <v>465</v>
      </c>
      <c r="L39">
        <v>49.68</v>
      </c>
      <c r="M39" s="453">
        <v>46162</v>
      </c>
      <c r="N39">
        <v>52</v>
      </c>
      <c r="O39">
        <v>52</v>
      </c>
      <c r="P39">
        <v>308.02</v>
      </c>
    </row>
    <row r="40" spans="1:16" x14ac:dyDescent="0.3">
      <c r="A40">
        <v>90740</v>
      </c>
      <c r="B40">
        <v>116</v>
      </c>
      <c r="C40" t="s">
        <v>568</v>
      </c>
      <c r="D40" s="453">
        <v>46174</v>
      </c>
      <c r="E40">
        <v>17903</v>
      </c>
      <c r="F40" t="s">
        <v>3971</v>
      </c>
      <c r="G40">
        <v>3658</v>
      </c>
      <c r="H40">
        <v>12</v>
      </c>
      <c r="I40" t="s">
        <v>3888</v>
      </c>
      <c r="J40" t="s">
        <v>3497</v>
      </c>
      <c r="K40" t="s">
        <v>465</v>
      </c>
      <c r="L40">
        <v>25.53</v>
      </c>
      <c r="M40" s="453">
        <v>46171</v>
      </c>
      <c r="N40">
        <v>25.53</v>
      </c>
      <c r="O40">
        <v>25.53</v>
      </c>
      <c r="P40">
        <v>306.36</v>
      </c>
    </row>
    <row r="41" spans="1:16" x14ac:dyDescent="0.3">
      <c r="A41">
        <v>90746</v>
      </c>
      <c r="B41">
        <v>116</v>
      </c>
      <c r="C41" t="s">
        <v>568</v>
      </c>
      <c r="D41" s="453">
        <v>46174</v>
      </c>
      <c r="E41">
        <v>18295</v>
      </c>
      <c r="F41" t="s">
        <v>4030</v>
      </c>
      <c r="G41">
        <v>3334</v>
      </c>
      <c r="H41">
        <v>2.2999999999999998</v>
      </c>
      <c r="I41" t="s">
        <v>3878</v>
      </c>
      <c r="J41" t="s">
        <v>3497</v>
      </c>
      <c r="K41" t="s">
        <v>465</v>
      </c>
      <c r="L41">
        <v>130</v>
      </c>
      <c r="M41" s="453">
        <v>46160</v>
      </c>
      <c r="N41">
        <v>130</v>
      </c>
      <c r="O41">
        <v>135</v>
      </c>
      <c r="P41">
        <v>299</v>
      </c>
    </row>
    <row r="42" spans="1:16" x14ac:dyDescent="0.3">
      <c r="A42">
        <v>90745</v>
      </c>
      <c r="B42">
        <v>116</v>
      </c>
      <c r="C42" t="s">
        <v>568</v>
      </c>
      <c r="D42" s="453">
        <v>46174</v>
      </c>
      <c r="E42">
        <v>24200</v>
      </c>
      <c r="F42" t="s">
        <v>3975</v>
      </c>
      <c r="G42">
        <v>3039</v>
      </c>
      <c r="H42">
        <v>8.8000000000000007</v>
      </c>
      <c r="I42" t="s">
        <v>3892</v>
      </c>
      <c r="J42" t="s">
        <v>3469</v>
      </c>
      <c r="K42" t="s">
        <v>465</v>
      </c>
      <c r="L42">
        <v>32.9</v>
      </c>
      <c r="M42" s="453">
        <v>46157</v>
      </c>
      <c r="N42">
        <v>32.9</v>
      </c>
      <c r="O42">
        <v>32.9</v>
      </c>
      <c r="P42">
        <v>289.52</v>
      </c>
    </row>
    <row r="43" spans="1:16" x14ac:dyDescent="0.3">
      <c r="A43">
        <v>90731</v>
      </c>
      <c r="B43">
        <v>116</v>
      </c>
      <c r="C43" t="s">
        <v>568</v>
      </c>
      <c r="D43" s="453">
        <v>46174</v>
      </c>
      <c r="E43">
        <v>25196</v>
      </c>
      <c r="F43" t="s">
        <v>3873</v>
      </c>
      <c r="G43">
        <v>2357</v>
      </c>
      <c r="H43">
        <v>68</v>
      </c>
      <c r="I43" t="s">
        <v>3872</v>
      </c>
      <c r="J43" t="s">
        <v>3469</v>
      </c>
      <c r="K43" t="s">
        <v>465</v>
      </c>
      <c r="L43">
        <v>4.13</v>
      </c>
      <c r="M43" s="453">
        <v>46156</v>
      </c>
      <c r="N43">
        <v>4.13</v>
      </c>
      <c r="O43">
        <v>4.13</v>
      </c>
      <c r="P43">
        <v>280.83999999999997</v>
      </c>
    </row>
    <row r="44" spans="1:16" x14ac:dyDescent="0.3">
      <c r="A44">
        <v>90747</v>
      </c>
      <c r="B44">
        <v>116</v>
      </c>
      <c r="C44" t="s">
        <v>568</v>
      </c>
      <c r="D44" s="453">
        <v>46174</v>
      </c>
      <c r="E44">
        <v>19984</v>
      </c>
      <c r="F44" t="s">
        <v>3904</v>
      </c>
      <c r="G44">
        <v>2351</v>
      </c>
      <c r="H44">
        <v>14</v>
      </c>
      <c r="I44" t="s">
        <v>3872</v>
      </c>
      <c r="J44" t="s">
        <v>3469</v>
      </c>
      <c r="K44" t="s">
        <v>465</v>
      </c>
      <c r="L44">
        <v>19.899999999999999</v>
      </c>
      <c r="M44" s="453">
        <v>46162</v>
      </c>
      <c r="N44">
        <v>19.899999999999999</v>
      </c>
      <c r="O44">
        <v>19.899999999999999</v>
      </c>
      <c r="P44">
        <v>278.60000000000002</v>
      </c>
    </row>
    <row r="45" spans="1:16" x14ac:dyDescent="0.3">
      <c r="A45">
        <v>90748</v>
      </c>
      <c r="B45">
        <v>116</v>
      </c>
      <c r="C45" t="s">
        <v>568</v>
      </c>
      <c r="D45" s="453">
        <v>46174</v>
      </c>
      <c r="E45">
        <v>21024</v>
      </c>
      <c r="F45" t="s">
        <v>4180</v>
      </c>
      <c r="G45">
        <v>2003</v>
      </c>
      <c r="H45">
        <v>1.5</v>
      </c>
      <c r="I45" t="s">
        <v>3966</v>
      </c>
      <c r="J45" t="s">
        <v>3469</v>
      </c>
      <c r="K45" t="s">
        <v>465</v>
      </c>
      <c r="L45">
        <v>176.87</v>
      </c>
      <c r="M45" s="453">
        <v>46161</v>
      </c>
      <c r="N45">
        <v>176.87</v>
      </c>
      <c r="O45">
        <v>176.87</v>
      </c>
      <c r="P45">
        <v>265.3</v>
      </c>
    </row>
    <row r="46" spans="1:16" x14ac:dyDescent="0.3">
      <c r="A46">
        <v>90739</v>
      </c>
      <c r="B46">
        <v>116</v>
      </c>
      <c r="C46" t="s">
        <v>568</v>
      </c>
      <c r="D46" s="453">
        <v>46174</v>
      </c>
      <c r="E46">
        <v>18172</v>
      </c>
      <c r="F46" t="s">
        <v>3923</v>
      </c>
      <c r="G46">
        <v>3450</v>
      </c>
      <c r="H46">
        <v>10.5</v>
      </c>
      <c r="I46" t="s">
        <v>3878</v>
      </c>
      <c r="J46" t="s">
        <v>3497</v>
      </c>
      <c r="K46" t="s">
        <v>465</v>
      </c>
      <c r="L46">
        <v>24.4</v>
      </c>
      <c r="M46" s="453">
        <v>46162</v>
      </c>
      <c r="N46">
        <v>21.69</v>
      </c>
      <c r="O46">
        <v>29.83</v>
      </c>
      <c r="P46">
        <v>256.2</v>
      </c>
    </row>
    <row r="47" spans="1:16" x14ac:dyDescent="0.3">
      <c r="A47">
        <v>90926</v>
      </c>
      <c r="B47">
        <v>116</v>
      </c>
      <c r="C47" t="s">
        <v>568</v>
      </c>
      <c r="D47" s="453">
        <v>46174</v>
      </c>
      <c r="E47">
        <v>24388</v>
      </c>
      <c r="F47" t="s">
        <v>3915</v>
      </c>
      <c r="G47">
        <v>2945</v>
      </c>
      <c r="H47">
        <v>8.6</v>
      </c>
      <c r="I47" t="s">
        <v>3892</v>
      </c>
      <c r="J47" t="s">
        <v>3469</v>
      </c>
      <c r="K47" t="s">
        <v>465</v>
      </c>
      <c r="L47">
        <v>29.64</v>
      </c>
      <c r="M47" s="453">
        <v>46168</v>
      </c>
      <c r="N47">
        <v>29.8</v>
      </c>
      <c r="O47">
        <v>29.13</v>
      </c>
      <c r="P47">
        <v>254.9</v>
      </c>
    </row>
    <row r="48" spans="1:16" x14ac:dyDescent="0.3">
      <c r="A48">
        <v>90749</v>
      </c>
      <c r="B48">
        <v>116</v>
      </c>
      <c r="C48" t="s">
        <v>568</v>
      </c>
      <c r="D48" s="453">
        <v>46174</v>
      </c>
      <c r="E48">
        <v>23982</v>
      </c>
      <c r="F48" t="s">
        <v>3977</v>
      </c>
      <c r="G48">
        <v>1999</v>
      </c>
      <c r="H48">
        <v>1</v>
      </c>
      <c r="I48" t="s">
        <v>3978</v>
      </c>
      <c r="J48" t="s">
        <v>3469</v>
      </c>
      <c r="K48" t="s">
        <v>465</v>
      </c>
      <c r="L48">
        <v>0</v>
      </c>
      <c r="M48" s="453">
        <v>46108</v>
      </c>
      <c r="N48">
        <v>240.56</v>
      </c>
      <c r="O48">
        <v>240.56</v>
      </c>
      <c r="P48">
        <v>240.56</v>
      </c>
    </row>
    <row r="49" spans="1:16" x14ac:dyDescent="0.3">
      <c r="A49">
        <v>90752</v>
      </c>
      <c r="B49">
        <v>116</v>
      </c>
      <c r="C49" t="s">
        <v>568</v>
      </c>
      <c r="D49" s="453">
        <v>46174</v>
      </c>
      <c r="E49">
        <v>18933</v>
      </c>
      <c r="F49" t="s">
        <v>3957</v>
      </c>
      <c r="G49">
        <v>2930</v>
      </c>
      <c r="H49">
        <v>8.1</v>
      </c>
      <c r="I49" t="s">
        <v>3892</v>
      </c>
      <c r="J49" t="s">
        <v>3469</v>
      </c>
      <c r="K49" t="s">
        <v>465</v>
      </c>
      <c r="L49">
        <v>28.9</v>
      </c>
      <c r="M49" s="453">
        <v>46161</v>
      </c>
      <c r="N49">
        <v>28.9</v>
      </c>
      <c r="O49">
        <v>28.9</v>
      </c>
      <c r="P49">
        <v>234.09</v>
      </c>
    </row>
    <row r="50" spans="1:16" x14ac:dyDescent="0.3">
      <c r="A50">
        <v>90706</v>
      </c>
      <c r="B50">
        <v>116</v>
      </c>
      <c r="C50" t="s">
        <v>568</v>
      </c>
      <c r="D50" s="453">
        <v>46174</v>
      </c>
      <c r="E50">
        <v>17710</v>
      </c>
      <c r="F50" t="s">
        <v>3905</v>
      </c>
      <c r="G50">
        <v>3824</v>
      </c>
      <c r="H50">
        <v>6</v>
      </c>
      <c r="I50" t="s">
        <v>3878</v>
      </c>
      <c r="J50" t="s">
        <v>3497</v>
      </c>
      <c r="K50" t="s">
        <v>465</v>
      </c>
      <c r="L50">
        <v>0</v>
      </c>
      <c r="M50" s="453">
        <v>45973</v>
      </c>
      <c r="N50">
        <v>38.86</v>
      </c>
      <c r="O50">
        <v>37.700000000000003</v>
      </c>
      <c r="P50">
        <v>233.16</v>
      </c>
    </row>
    <row r="51" spans="1:16" x14ac:dyDescent="0.3">
      <c r="A51">
        <v>90750</v>
      </c>
      <c r="B51">
        <v>116</v>
      </c>
      <c r="C51" t="s">
        <v>568</v>
      </c>
      <c r="D51" s="453">
        <v>46174</v>
      </c>
      <c r="E51">
        <v>17905</v>
      </c>
      <c r="F51" t="s">
        <v>4139</v>
      </c>
      <c r="G51">
        <v>3656</v>
      </c>
      <c r="H51">
        <v>9</v>
      </c>
      <c r="I51" t="s">
        <v>3888</v>
      </c>
      <c r="J51" t="s">
        <v>3497</v>
      </c>
      <c r="K51" t="s">
        <v>465</v>
      </c>
      <c r="L51">
        <v>25.53</v>
      </c>
      <c r="M51" s="453">
        <v>46154</v>
      </c>
      <c r="N51">
        <v>25.53</v>
      </c>
      <c r="O51">
        <v>19.97</v>
      </c>
      <c r="P51">
        <v>229.77</v>
      </c>
    </row>
    <row r="52" spans="1:16" x14ac:dyDescent="0.3">
      <c r="A52">
        <v>90751</v>
      </c>
      <c r="B52">
        <v>116</v>
      </c>
      <c r="C52" t="s">
        <v>568</v>
      </c>
      <c r="D52" s="453">
        <v>46174</v>
      </c>
      <c r="E52">
        <v>18359</v>
      </c>
      <c r="F52" t="s">
        <v>4029</v>
      </c>
      <c r="G52">
        <v>3278</v>
      </c>
      <c r="H52">
        <v>2.4</v>
      </c>
      <c r="I52" t="s">
        <v>3878</v>
      </c>
      <c r="J52" t="s">
        <v>3497</v>
      </c>
      <c r="K52" t="s">
        <v>465</v>
      </c>
      <c r="L52">
        <v>0</v>
      </c>
      <c r="M52" s="453">
        <v>46119</v>
      </c>
      <c r="N52">
        <v>94.8</v>
      </c>
      <c r="O52">
        <v>88.9</v>
      </c>
      <c r="P52">
        <v>227.52</v>
      </c>
    </row>
    <row r="53" spans="1:16" x14ac:dyDescent="0.3">
      <c r="A53">
        <v>90744</v>
      </c>
      <c r="B53">
        <v>116</v>
      </c>
      <c r="C53" t="s">
        <v>568</v>
      </c>
      <c r="D53" s="453">
        <v>46174</v>
      </c>
      <c r="E53">
        <v>25195</v>
      </c>
      <c r="F53" t="s">
        <v>3874</v>
      </c>
      <c r="G53">
        <v>2363</v>
      </c>
      <c r="H53">
        <v>46</v>
      </c>
      <c r="I53" t="s">
        <v>3872</v>
      </c>
      <c r="J53" t="s">
        <v>3469</v>
      </c>
      <c r="K53" t="s">
        <v>465</v>
      </c>
      <c r="L53">
        <v>4.8099999999999996</v>
      </c>
      <c r="M53" s="453">
        <v>46156</v>
      </c>
      <c r="N53">
        <v>4.8099999999999996</v>
      </c>
      <c r="O53">
        <v>4.8099999999999996</v>
      </c>
      <c r="P53">
        <v>221.26</v>
      </c>
    </row>
    <row r="54" spans="1:16" x14ac:dyDescent="0.3">
      <c r="A54">
        <v>90753</v>
      </c>
      <c r="B54">
        <v>116</v>
      </c>
      <c r="C54" t="s">
        <v>568</v>
      </c>
      <c r="D54" s="453">
        <v>46174</v>
      </c>
      <c r="E54">
        <v>19916</v>
      </c>
      <c r="F54" t="s">
        <v>4118</v>
      </c>
      <c r="G54">
        <v>2379</v>
      </c>
      <c r="H54">
        <v>6</v>
      </c>
      <c r="I54" t="s">
        <v>3888</v>
      </c>
      <c r="J54" t="s">
        <v>3469</v>
      </c>
      <c r="K54" t="s">
        <v>465</v>
      </c>
      <c r="L54">
        <v>0</v>
      </c>
      <c r="M54" s="453">
        <v>46121</v>
      </c>
      <c r="N54">
        <v>35.299999999999997</v>
      </c>
      <c r="O54">
        <v>3.99</v>
      </c>
      <c r="P54">
        <v>211.8</v>
      </c>
    </row>
    <row r="55" spans="1:16" x14ac:dyDescent="0.3">
      <c r="A55">
        <v>90760</v>
      </c>
      <c r="B55">
        <v>116</v>
      </c>
      <c r="C55" t="s">
        <v>568</v>
      </c>
      <c r="D55" s="453">
        <v>46174</v>
      </c>
      <c r="E55">
        <v>19539</v>
      </c>
      <c r="F55" t="s">
        <v>4133</v>
      </c>
      <c r="G55">
        <v>2677</v>
      </c>
      <c r="H55">
        <v>18</v>
      </c>
      <c r="I55" t="s">
        <v>3892</v>
      </c>
      <c r="J55" t="s">
        <v>3469</v>
      </c>
      <c r="K55" t="s">
        <v>465</v>
      </c>
      <c r="L55">
        <v>11.62</v>
      </c>
      <c r="M55" s="453">
        <v>46170</v>
      </c>
      <c r="N55">
        <v>11.6</v>
      </c>
      <c r="O55">
        <v>11.6</v>
      </c>
      <c r="P55">
        <v>209.16</v>
      </c>
    </row>
    <row r="56" spans="1:16" x14ac:dyDescent="0.3">
      <c r="A56">
        <v>90754</v>
      </c>
      <c r="B56">
        <v>116</v>
      </c>
      <c r="C56" t="s">
        <v>568</v>
      </c>
      <c r="D56" s="453">
        <v>46174</v>
      </c>
      <c r="E56">
        <v>18832</v>
      </c>
      <c r="F56" t="s">
        <v>3900</v>
      </c>
      <c r="G56">
        <v>2950</v>
      </c>
      <c r="H56">
        <v>5</v>
      </c>
      <c r="I56" t="s">
        <v>3892</v>
      </c>
      <c r="J56" t="s">
        <v>3469</v>
      </c>
      <c r="K56" t="s">
        <v>465</v>
      </c>
      <c r="L56">
        <v>39.9</v>
      </c>
      <c r="M56" s="453">
        <v>46168</v>
      </c>
      <c r="N56">
        <v>39.9</v>
      </c>
      <c r="O56">
        <v>39.9</v>
      </c>
      <c r="P56">
        <v>199.5</v>
      </c>
    </row>
    <row r="57" spans="1:16" x14ac:dyDescent="0.3">
      <c r="A57">
        <v>90755</v>
      </c>
      <c r="B57">
        <v>116</v>
      </c>
      <c r="C57" t="s">
        <v>568</v>
      </c>
      <c r="D57" s="453">
        <v>46174</v>
      </c>
      <c r="E57">
        <v>18297</v>
      </c>
      <c r="F57" t="s">
        <v>4185</v>
      </c>
      <c r="G57">
        <v>3332</v>
      </c>
      <c r="H57">
        <v>1</v>
      </c>
      <c r="I57" t="s">
        <v>3872</v>
      </c>
      <c r="J57" t="s">
        <v>3497</v>
      </c>
      <c r="K57" t="s">
        <v>465</v>
      </c>
      <c r="L57">
        <v>0</v>
      </c>
      <c r="N57">
        <v>0</v>
      </c>
      <c r="O57">
        <v>0</v>
      </c>
      <c r="P57">
        <v>193</v>
      </c>
    </row>
    <row r="58" spans="1:16" x14ac:dyDescent="0.3">
      <c r="A58">
        <v>90756</v>
      </c>
      <c r="B58">
        <v>116</v>
      </c>
      <c r="C58" t="s">
        <v>568</v>
      </c>
      <c r="D58" s="453">
        <v>46174</v>
      </c>
      <c r="E58">
        <v>18550</v>
      </c>
      <c r="F58" t="s">
        <v>4083</v>
      </c>
      <c r="G58">
        <v>3130</v>
      </c>
      <c r="H58">
        <v>1</v>
      </c>
      <c r="I58" t="s">
        <v>3878</v>
      </c>
      <c r="J58" t="s">
        <v>3497</v>
      </c>
      <c r="K58" t="s">
        <v>465</v>
      </c>
      <c r="L58">
        <v>0</v>
      </c>
      <c r="M58" s="453">
        <v>46071</v>
      </c>
      <c r="N58">
        <v>183</v>
      </c>
      <c r="O58">
        <v>180</v>
      </c>
      <c r="P58">
        <v>183</v>
      </c>
    </row>
    <row r="59" spans="1:16" x14ac:dyDescent="0.3">
      <c r="A59">
        <v>90758</v>
      </c>
      <c r="B59">
        <v>116</v>
      </c>
      <c r="C59" t="s">
        <v>568</v>
      </c>
      <c r="D59" s="453">
        <v>46174</v>
      </c>
      <c r="E59">
        <v>24351</v>
      </c>
      <c r="F59" t="s">
        <v>3912</v>
      </c>
      <c r="G59">
        <v>2287</v>
      </c>
      <c r="H59">
        <v>15</v>
      </c>
      <c r="I59" t="s">
        <v>3872</v>
      </c>
      <c r="J59" t="s">
        <v>3469</v>
      </c>
      <c r="K59" t="s">
        <v>465</v>
      </c>
      <c r="L59">
        <v>12</v>
      </c>
      <c r="M59" s="453">
        <v>46146</v>
      </c>
      <c r="N59">
        <v>12</v>
      </c>
      <c r="O59">
        <v>30</v>
      </c>
      <c r="P59">
        <v>180</v>
      </c>
    </row>
    <row r="60" spans="1:16" x14ac:dyDescent="0.3">
      <c r="A60">
        <v>90759</v>
      </c>
      <c r="B60">
        <v>116</v>
      </c>
      <c r="C60" t="s">
        <v>568</v>
      </c>
      <c r="D60" s="453">
        <v>46174</v>
      </c>
      <c r="E60">
        <v>18006</v>
      </c>
      <c r="F60" t="s">
        <v>4138</v>
      </c>
      <c r="G60">
        <v>3591</v>
      </c>
      <c r="H60">
        <v>6</v>
      </c>
      <c r="I60" t="s">
        <v>3888</v>
      </c>
      <c r="J60" t="s">
        <v>3497</v>
      </c>
      <c r="K60" t="s">
        <v>465</v>
      </c>
      <c r="L60">
        <v>29.64</v>
      </c>
      <c r="M60" s="453">
        <v>46154</v>
      </c>
      <c r="N60">
        <v>29.64</v>
      </c>
      <c r="O60">
        <v>29.64</v>
      </c>
      <c r="P60">
        <v>177.84</v>
      </c>
    </row>
    <row r="61" spans="1:16" x14ac:dyDescent="0.3">
      <c r="A61">
        <v>90762</v>
      </c>
      <c r="B61">
        <v>116</v>
      </c>
      <c r="C61" t="s">
        <v>568</v>
      </c>
      <c r="D61" s="453">
        <v>46174</v>
      </c>
      <c r="E61">
        <v>20729</v>
      </c>
      <c r="F61" t="s">
        <v>3965</v>
      </c>
      <c r="G61">
        <v>2093</v>
      </c>
      <c r="H61">
        <v>2.5</v>
      </c>
      <c r="I61" t="s">
        <v>3966</v>
      </c>
      <c r="J61" t="s">
        <v>3469</v>
      </c>
      <c r="K61" t="s">
        <v>465</v>
      </c>
      <c r="L61">
        <v>67.88</v>
      </c>
      <c r="M61" s="453">
        <v>46162</v>
      </c>
      <c r="N61">
        <v>67.88</v>
      </c>
      <c r="O61">
        <v>67.88</v>
      </c>
      <c r="P61">
        <v>169.7</v>
      </c>
    </row>
    <row r="62" spans="1:16" x14ac:dyDescent="0.3">
      <c r="A62">
        <v>90763</v>
      </c>
      <c r="B62">
        <v>116</v>
      </c>
      <c r="C62" t="s">
        <v>568</v>
      </c>
      <c r="D62" s="453">
        <v>46174</v>
      </c>
      <c r="E62">
        <v>18315</v>
      </c>
      <c r="F62" t="s">
        <v>4088</v>
      </c>
      <c r="G62">
        <v>3318</v>
      </c>
      <c r="H62">
        <v>1.3</v>
      </c>
      <c r="I62" t="s">
        <v>3878</v>
      </c>
      <c r="J62" t="s">
        <v>3497</v>
      </c>
      <c r="K62" t="s">
        <v>465</v>
      </c>
      <c r="L62">
        <v>129</v>
      </c>
      <c r="M62" s="453">
        <v>46154</v>
      </c>
      <c r="N62">
        <v>129</v>
      </c>
      <c r="O62">
        <v>127</v>
      </c>
      <c r="P62">
        <v>167.7</v>
      </c>
    </row>
    <row r="63" spans="1:16" x14ac:dyDescent="0.3">
      <c r="A63">
        <v>90764</v>
      </c>
      <c r="B63">
        <v>116</v>
      </c>
      <c r="C63" t="s">
        <v>568</v>
      </c>
      <c r="D63" s="453">
        <v>46174</v>
      </c>
      <c r="E63">
        <v>25767</v>
      </c>
      <c r="F63" t="s">
        <v>3976</v>
      </c>
      <c r="G63">
        <v>6316</v>
      </c>
      <c r="H63">
        <v>2</v>
      </c>
      <c r="I63" t="s">
        <v>3892</v>
      </c>
      <c r="J63" t="s">
        <v>3469</v>
      </c>
      <c r="K63" t="s">
        <v>465</v>
      </c>
      <c r="L63">
        <v>0</v>
      </c>
      <c r="M63" s="453">
        <v>46056</v>
      </c>
      <c r="N63">
        <v>80</v>
      </c>
      <c r="O63">
        <v>80</v>
      </c>
      <c r="P63">
        <v>160</v>
      </c>
    </row>
    <row r="64" spans="1:16" x14ac:dyDescent="0.3">
      <c r="A64">
        <v>90765</v>
      </c>
      <c r="B64">
        <v>116</v>
      </c>
      <c r="C64" t="s">
        <v>568</v>
      </c>
      <c r="D64" s="453">
        <v>46174</v>
      </c>
      <c r="E64">
        <v>19578</v>
      </c>
      <c r="F64" t="s">
        <v>3985</v>
      </c>
      <c r="G64">
        <v>2640</v>
      </c>
      <c r="H64">
        <v>2</v>
      </c>
      <c r="I64" t="s">
        <v>3892</v>
      </c>
      <c r="J64" t="s">
        <v>3469</v>
      </c>
      <c r="K64" t="s">
        <v>465</v>
      </c>
      <c r="L64">
        <v>0</v>
      </c>
      <c r="M64" s="453">
        <v>46055</v>
      </c>
      <c r="N64">
        <v>80</v>
      </c>
      <c r="O64">
        <v>80</v>
      </c>
      <c r="P64">
        <v>160</v>
      </c>
    </row>
    <row r="65" spans="1:16" x14ac:dyDescent="0.3">
      <c r="A65">
        <v>90766</v>
      </c>
      <c r="B65">
        <v>116</v>
      </c>
      <c r="C65" t="s">
        <v>568</v>
      </c>
      <c r="D65" s="453">
        <v>46174</v>
      </c>
      <c r="E65">
        <v>19415</v>
      </c>
      <c r="F65" t="s">
        <v>3941</v>
      </c>
      <c r="G65">
        <v>2759</v>
      </c>
      <c r="H65">
        <v>18</v>
      </c>
      <c r="I65" t="s">
        <v>3872</v>
      </c>
      <c r="J65" t="s">
        <v>3469</v>
      </c>
      <c r="K65" t="s">
        <v>465</v>
      </c>
      <c r="L65">
        <v>8.8000000000000007</v>
      </c>
      <c r="M65" s="453">
        <v>46148</v>
      </c>
      <c r="N65">
        <v>8.8000000000000007</v>
      </c>
      <c r="O65">
        <v>8.8000000000000007</v>
      </c>
      <c r="P65">
        <v>158.4</v>
      </c>
    </row>
    <row r="66" spans="1:16" x14ac:dyDescent="0.3">
      <c r="A66">
        <v>90767</v>
      </c>
      <c r="B66">
        <v>116</v>
      </c>
      <c r="C66" t="s">
        <v>568</v>
      </c>
      <c r="D66" s="453">
        <v>46174</v>
      </c>
      <c r="E66">
        <v>18253</v>
      </c>
      <c r="F66" t="s">
        <v>3947</v>
      </c>
      <c r="G66">
        <v>3376</v>
      </c>
      <c r="H66">
        <v>5.5</v>
      </c>
      <c r="I66" t="s">
        <v>3878</v>
      </c>
      <c r="J66" t="s">
        <v>3497</v>
      </c>
      <c r="K66" t="s">
        <v>465</v>
      </c>
      <c r="L66">
        <v>0</v>
      </c>
      <c r="M66" s="453">
        <v>46064</v>
      </c>
      <c r="N66">
        <v>28.31</v>
      </c>
      <c r="O66">
        <v>27.6</v>
      </c>
      <c r="P66">
        <v>155.69999999999999</v>
      </c>
    </row>
    <row r="67" spans="1:16" x14ac:dyDescent="0.3">
      <c r="A67">
        <v>90768</v>
      </c>
      <c r="B67">
        <v>116</v>
      </c>
      <c r="C67" t="s">
        <v>568</v>
      </c>
      <c r="D67" s="453">
        <v>46174</v>
      </c>
      <c r="E67">
        <v>17881</v>
      </c>
      <c r="F67" t="s">
        <v>4095</v>
      </c>
      <c r="G67">
        <v>3675</v>
      </c>
      <c r="H67">
        <v>6</v>
      </c>
      <c r="I67" t="s">
        <v>3888</v>
      </c>
      <c r="J67" t="s">
        <v>3497</v>
      </c>
      <c r="K67" t="s">
        <v>465</v>
      </c>
      <c r="L67">
        <v>25.53</v>
      </c>
      <c r="M67" s="453">
        <v>46171</v>
      </c>
      <c r="N67">
        <v>25.53</v>
      </c>
      <c r="O67">
        <v>25.53</v>
      </c>
      <c r="P67">
        <v>153.18</v>
      </c>
    </row>
    <row r="68" spans="1:16" x14ac:dyDescent="0.3">
      <c r="A68">
        <v>90769</v>
      </c>
      <c r="B68">
        <v>116</v>
      </c>
      <c r="C68" t="s">
        <v>568</v>
      </c>
      <c r="D68" s="453">
        <v>46174</v>
      </c>
      <c r="E68">
        <v>19405</v>
      </c>
      <c r="F68" t="s">
        <v>4097</v>
      </c>
      <c r="G68">
        <v>2761</v>
      </c>
      <c r="H68">
        <v>1</v>
      </c>
      <c r="I68" t="s">
        <v>3892</v>
      </c>
      <c r="J68" t="s">
        <v>3469</v>
      </c>
      <c r="K68" t="s">
        <v>465</v>
      </c>
      <c r="L68">
        <v>0</v>
      </c>
      <c r="M68" s="453">
        <v>46051</v>
      </c>
      <c r="N68">
        <v>151.9</v>
      </c>
      <c r="O68">
        <v>154.9</v>
      </c>
      <c r="P68">
        <v>151.9</v>
      </c>
    </row>
    <row r="69" spans="1:16" x14ac:dyDescent="0.3">
      <c r="A69">
        <v>90770</v>
      </c>
      <c r="B69">
        <v>116</v>
      </c>
      <c r="C69" t="s">
        <v>568</v>
      </c>
      <c r="D69" s="453">
        <v>46174</v>
      </c>
      <c r="E69">
        <v>19566</v>
      </c>
      <c r="F69" t="s">
        <v>3986</v>
      </c>
      <c r="G69">
        <v>2651</v>
      </c>
      <c r="H69">
        <v>3</v>
      </c>
      <c r="I69" t="s">
        <v>3892</v>
      </c>
      <c r="J69" t="s">
        <v>3469</v>
      </c>
      <c r="K69" t="s">
        <v>465</v>
      </c>
      <c r="L69">
        <v>0</v>
      </c>
      <c r="M69" s="453">
        <v>46055</v>
      </c>
      <c r="N69">
        <v>50</v>
      </c>
      <c r="O69">
        <v>50</v>
      </c>
      <c r="P69">
        <v>150</v>
      </c>
    </row>
    <row r="70" spans="1:16" x14ac:dyDescent="0.3">
      <c r="A70">
        <v>90771</v>
      </c>
      <c r="B70">
        <v>116</v>
      </c>
      <c r="C70" t="s">
        <v>568</v>
      </c>
      <c r="D70" s="453">
        <v>46174</v>
      </c>
      <c r="E70">
        <v>24517</v>
      </c>
      <c r="F70" t="s">
        <v>3991</v>
      </c>
      <c r="G70">
        <v>3047</v>
      </c>
      <c r="H70">
        <v>5.3</v>
      </c>
      <c r="I70" t="s">
        <v>3892</v>
      </c>
      <c r="J70" t="s">
        <v>3469</v>
      </c>
      <c r="K70" t="s">
        <v>465</v>
      </c>
      <c r="L70">
        <v>27.99</v>
      </c>
      <c r="M70" s="453">
        <v>46169</v>
      </c>
      <c r="N70">
        <v>27.99</v>
      </c>
      <c r="O70">
        <v>27.99</v>
      </c>
      <c r="P70">
        <v>148.35</v>
      </c>
    </row>
    <row r="71" spans="1:16" x14ac:dyDescent="0.3">
      <c r="A71">
        <v>90773</v>
      </c>
      <c r="B71">
        <v>116</v>
      </c>
      <c r="C71" t="s">
        <v>568</v>
      </c>
      <c r="D71" s="453">
        <v>46174</v>
      </c>
      <c r="E71">
        <v>18004</v>
      </c>
      <c r="F71" t="s">
        <v>4140</v>
      </c>
      <c r="G71">
        <v>3592</v>
      </c>
      <c r="H71">
        <v>5</v>
      </c>
      <c r="I71" t="s">
        <v>3888</v>
      </c>
      <c r="J71" t="s">
        <v>3497</v>
      </c>
      <c r="K71" t="s">
        <v>465</v>
      </c>
      <c r="L71">
        <v>29.64</v>
      </c>
      <c r="M71" s="453">
        <v>46148</v>
      </c>
      <c r="N71">
        <v>29.64</v>
      </c>
      <c r="O71">
        <v>25.53</v>
      </c>
      <c r="P71">
        <v>148.19999999999999</v>
      </c>
    </row>
    <row r="72" spans="1:16" x14ac:dyDescent="0.3">
      <c r="A72">
        <v>90774</v>
      </c>
      <c r="B72">
        <v>116</v>
      </c>
      <c r="C72" t="s">
        <v>568</v>
      </c>
      <c r="D72" s="453">
        <v>46174</v>
      </c>
      <c r="E72">
        <v>18232</v>
      </c>
      <c r="F72" t="s">
        <v>4091</v>
      </c>
      <c r="G72">
        <v>3396</v>
      </c>
      <c r="H72">
        <v>1.4</v>
      </c>
      <c r="I72" t="s">
        <v>3878</v>
      </c>
      <c r="J72" t="s">
        <v>3497</v>
      </c>
      <c r="K72" t="s">
        <v>465</v>
      </c>
      <c r="L72">
        <v>0</v>
      </c>
      <c r="M72" s="453">
        <v>45845</v>
      </c>
      <c r="N72">
        <v>103.99</v>
      </c>
      <c r="O72">
        <v>99.9</v>
      </c>
      <c r="P72">
        <v>145.59</v>
      </c>
    </row>
    <row r="73" spans="1:16" x14ac:dyDescent="0.3">
      <c r="A73">
        <v>90772</v>
      </c>
      <c r="B73">
        <v>116</v>
      </c>
      <c r="C73" t="s">
        <v>568</v>
      </c>
      <c r="D73" s="453">
        <v>46174</v>
      </c>
      <c r="E73">
        <v>18538</v>
      </c>
      <c r="F73" t="s">
        <v>4026</v>
      </c>
      <c r="G73">
        <v>3139</v>
      </c>
      <c r="H73">
        <v>1.4</v>
      </c>
      <c r="I73" t="s">
        <v>3878</v>
      </c>
      <c r="J73" t="s">
        <v>3497</v>
      </c>
      <c r="K73" t="s">
        <v>465</v>
      </c>
      <c r="L73">
        <v>103.88</v>
      </c>
      <c r="M73" s="453">
        <v>46161</v>
      </c>
      <c r="N73">
        <v>101.84</v>
      </c>
      <c r="O73">
        <v>102.9</v>
      </c>
      <c r="P73">
        <v>145.43</v>
      </c>
    </row>
    <row r="74" spans="1:16" x14ac:dyDescent="0.3">
      <c r="A74">
        <v>90776</v>
      </c>
      <c r="B74">
        <v>116</v>
      </c>
      <c r="C74" t="s">
        <v>568</v>
      </c>
      <c r="D74" s="453">
        <v>46174</v>
      </c>
      <c r="E74">
        <v>18491</v>
      </c>
      <c r="F74" t="s">
        <v>3934</v>
      </c>
      <c r="G74">
        <v>3166</v>
      </c>
      <c r="H74">
        <v>4.2</v>
      </c>
      <c r="I74" t="s">
        <v>3878</v>
      </c>
      <c r="J74" t="s">
        <v>3497</v>
      </c>
      <c r="K74" t="s">
        <v>465</v>
      </c>
      <c r="L74">
        <v>0</v>
      </c>
      <c r="M74" s="453">
        <v>46119</v>
      </c>
      <c r="N74">
        <v>33.9</v>
      </c>
      <c r="O74">
        <v>33.9</v>
      </c>
      <c r="P74">
        <v>142.38</v>
      </c>
    </row>
    <row r="75" spans="1:16" x14ac:dyDescent="0.3">
      <c r="A75">
        <v>90924</v>
      </c>
      <c r="B75">
        <v>116</v>
      </c>
      <c r="C75" t="s">
        <v>568</v>
      </c>
      <c r="D75" s="453">
        <v>46174</v>
      </c>
      <c r="E75">
        <v>24116</v>
      </c>
      <c r="F75" t="s">
        <v>3963</v>
      </c>
      <c r="G75">
        <v>2924</v>
      </c>
      <c r="H75">
        <v>3.3</v>
      </c>
      <c r="I75" t="s">
        <v>3892</v>
      </c>
      <c r="J75" t="s">
        <v>3469</v>
      </c>
      <c r="K75" t="s">
        <v>465</v>
      </c>
      <c r="L75">
        <v>42.57</v>
      </c>
      <c r="M75" s="453">
        <v>46168</v>
      </c>
      <c r="N75">
        <v>43.9</v>
      </c>
      <c r="O75">
        <v>43.9</v>
      </c>
      <c r="P75">
        <v>140.47999999999999</v>
      </c>
    </row>
    <row r="76" spans="1:16" x14ac:dyDescent="0.3">
      <c r="A76">
        <v>90781</v>
      </c>
      <c r="B76">
        <v>116</v>
      </c>
      <c r="C76" t="s">
        <v>568</v>
      </c>
      <c r="D76" s="453">
        <v>46174</v>
      </c>
      <c r="E76">
        <v>18272</v>
      </c>
      <c r="F76" t="s">
        <v>4046</v>
      </c>
      <c r="G76">
        <v>3358</v>
      </c>
      <c r="H76">
        <v>3.6</v>
      </c>
      <c r="I76" t="s">
        <v>3878</v>
      </c>
      <c r="J76" t="s">
        <v>3497</v>
      </c>
      <c r="K76" t="s">
        <v>465</v>
      </c>
      <c r="L76">
        <v>38.9</v>
      </c>
      <c r="M76" s="453">
        <v>46148</v>
      </c>
      <c r="N76">
        <v>38.9</v>
      </c>
      <c r="O76">
        <v>36.44</v>
      </c>
      <c r="P76">
        <v>140.04</v>
      </c>
    </row>
    <row r="77" spans="1:16" x14ac:dyDescent="0.3">
      <c r="A77">
        <v>90779</v>
      </c>
      <c r="B77">
        <v>116</v>
      </c>
      <c r="C77" t="s">
        <v>568</v>
      </c>
      <c r="D77" s="453">
        <v>46174</v>
      </c>
      <c r="E77">
        <v>20007</v>
      </c>
      <c r="F77" t="s">
        <v>4009</v>
      </c>
      <c r="G77">
        <v>2343</v>
      </c>
      <c r="H77">
        <v>2.5</v>
      </c>
      <c r="I77" t="s">
        <v>3966</v>
      </c>
      <c r="J77" t="s">
        <v>3469</v>
      </c>
      <c r="K77" t="s">
        <v>465</v>
      </c>
      <c r="L77">
        <v>53.48</v>
      </c>
      <c r="M77" s="453">
        <v>46161</v>
      </c>
      <c r="N77">
        <v>53.4</v>
      </c>
      <c r="O77">
        <v>49.6</v>
      </c>
      <c r="P77">
        <v>133.69999999999999</v>
      </c>
    </row>
    <row r="78" spans="1:16" x14ac:dyDescent="0.3">
      <c r="A78">
        <v>90777</v>
      </c>
      <c r="B78">
        <v>116</v>
      </c>
      <c r="C78" t="s">
        <v>568</v>
      </c>
      <c r="D78" s="453">
        <v>46174</v>
      </c>
      <c r="E78">
        <v>18200</v>
      </c>
      <c r="F78" t="s">
        <v>4032</v>
      </c>
      <c r="G78">
        <v>3426</v>
      </c>
      <c r="H78">
        <v>3.6</v>
      </c>
      <c r="I78" t="s">
        <v>3878</v>
      </c>
      <c r="J78" t="s">
        <v>3497</v>
      </c>
      <c r="K78" t="s">
        <v>465</v>
      </c>
      <c r="L78">
        <v>0</v>
      </c>
      <c r="M78" s="453">
        <v>46078</v>
      </c>
      <c r="N78">
        <v>36.799999999999997</v>
      </c>
      <c r="O78">
        <v>36.799999999999997</v>
      </c>
      <c r="P78">
        <v>132.47999999999999</v>
      </c>
    </row>
    <row r="79" spans="1:16" x14ac:dyDescent="0.3">
      <c r="A79">
        <v>90778</v>
      </c>
      <c r="B79">
        <v>116</v>
      </c>
      <c r="C79" t="s">
        <v>568</v>
      </c>
      <c r="D79" s="453">
        <v>46174</v>
      </c>
      <c r="E79">
        <v>18394</v>
      </c>
      <c r="F79" t="s">
        <v>4044</v>
      </c>
      <c r="G79">
        <v>3246</v>
      </c>
      <c r="H79">
        <v>1</v>
      </c>
      <c r="I79" t="s">
        <v>3878</v>
      </c>
      <c r="J79" t="s">
        <v>3497</v>
      </c>
      <c r="K79" t="s">
        <v>465</v>
      </c>
      <c r="L79">
        <v>0</v>
      </c>
      <c r="M79" s="453">
        <v>45978</v>
      </c>
      <c r="N79">
        <v>132</v>
      </c>
      <c r="O79">
        <v>132</v>
      </c>
      <c r="P79">
        <v>132</v>
      </c>
    </row>
    <row r="80" spans="1:16" x14ac:dyDescent="0.3">
      <c r="A80">
        <v>90930</v>
      </c>
      <c r="B80">
        <v>116</v>
      </c>
      <c r="C80" t="s">
        <v>568</v>
      </c>
      <c r="D80" s="453">
        <v>46174</v>
      </c>
      <c r="E80">
        <v>17918</v>
      </c>
      <c r="F80" t="s">
        <v>4034</v>
      </c>
      <c r="G80">
        <v>3647</v>
      </c>
      <c r="H80">
        <v>3</v>
      </c>
      <c r="I80" t="s">
        <v>3888</v>
      </c>
      <c r="J80" t="s">
        <v>3497</v>
      </c>
      <c r="K80" t="s">
        <v>465</v>
      </c>
      <c r="L80">
        <v>43.2</v>
      </c>
      <c r="M80" s="453">
        <v>46161</v>
      </c>
      <c r="N80">
        <v>43.2</v>
      </c>
      <c r="O80">
        <v>38.96</v>
      </c>
      <c r="P80">
        <v>129.6</v>
      </c>
    </row>
    <row r="81" spans="1:16" x14ac:dyDescent="0.3">
      <c r="A81">
        <v>90916</v>
      </c>
      <c r="B81">
        <v>116</v>
      </c>
      <c r="C81" t="s">
        <v>568</v>
      </c>
      <c r="D81" s="453">
        <v>46174</v>
      </c>
      <c r="E81">
        <v>20549</v>
      </c>
      <c r="F81" t="s">
        <v>4007</v>
      </c>
      <c r="G81">
        <v>2141</v>
      </c>
      <c r="H81">
        <v>6</v>
      </c>
      <c r="I81" t="s">
        <v>3892</v>
      </c>
      <c r="J81" t="s">
        <v>3469</v>
      </c>
      <c r="K81" t="s">
        <v>465</v>
      </c>
      <c r="L81">
        <v>21.08</v>
      </c>
      <c r="M81" s="453">
        <v>46169</v>
      </c>
      <c r="N81">
        <v>19.989999999999998</v>
      </c>
      <c r="O81">
        <v>19.989999999999998</v>
      </c>
      <c r="P81">
        <v>126.48</v>
      </c>
    </row>
    <row r="82" spans="1:16" x14ac:dyDescent="0.3">
      <c r="A82">
        <v>90786</v>
      </c>
      <c r="B82">
        <v>116</v>
      </c>
      <c r="C82" t="s">
        <v>568</v>
      </c>
      <c r="D82" s="453">
        <v>46174</v>
      </c>
      <c r="E82">
        <v>18233</v>
      </c>
      <c r="F82" t="s">
        <v>4090</v>
      </c>
      <c r="G82">
        <v>3395</v>
      </c>
      <c r="H82">
        <v>1.2</v>
      </c>
      <c r="I82" t="s">
        <v>3878</v>
      </c>
      <c r="J82" t="s">
        <v>3497</v>
      </c>
      <c r="K82" t="s">
        <v>465</v>
      </c>
      <c r="L82">
        <v>103.9</v>
      </c>
      <c r="M82" s="453">
        <v>46147</v>
      </c>
      <c r="N82">
        <v>103.9</v>
      </c>
      <c r="O82">
        <v>101.9</v>
      </c>
      <c r="P82">
        <v>124.68</v>
      </c>
    </row>
    <row r="83" spans="1:16" x14ac:dyDescent="0.3">
      <c r="A83">
        <v>90782</v>
      </c>
      <c r="B83">
        <v>116</v>
      </c>
      <c r="C83" t="s">
        <v>568</v>
      </c>
      <c r="D83" s="453">
        <v>46174</v>
      </c>
      <c r="E83">
        <v>18545</v>
      </c>
      <c r="F83" t="s">
        <v>4099</v>
      </c>
      <c r="G83">
        <v>3134</v>
      </c>
      <c r="H83">
        <v>2.6</v>
      </c>
      <c r="I83" t="s">
        <v>3878</v>
      </c>
      <c r="J83" t="s">
        <v>3497</v>
      </c>
      <c r="K83" t="s">
        <v>465</v>
      </c>
      <c r="L83">
        <v>0</v>
      </c>
      <c r="M83" s="453">
        <v>46078</v>
      </c>
      <c r="N83">
        <v>47.9</v>
      </c>
      <c r="O83">
        <v>44.5</v>
      </c>
      <c r="P83">
        <v>124.54</v>
      </c>
    </row>
    <row r="84" spans="1:16" x14ac:dyDescent="0.3">
      <c r="A84">
        <v>90783</v>
      </c>
      <c r="B84">
        <v>116</v>
      </c>
      <c r="C84" t="s">
        <v>568</v>
      </c>
      <c r="D84" s="453">
        <v>46174</v>
      </c>
      <c r="E84">
        <v>18129</v>
      </c>
      <c r="F84" t="s">
        <v>4092</v>
      </c>
      <c r="G84">
        <v>3486</v>
      </c>
      <c r="H84">
        <v>1</v>
      </c>
      <c r="I84" t="s">
        <v>3878</v>
      </c>
      <c r="J84" t="s">
        <v>3497</v>
      </c>
      <c r="K84" t="s">
        <v>465</v>
      </c>
      <c r="L84">
        <v>0</v>
      </c>
      <c r="M84" s="453">
        <v>46058</v>
      </c>
      <c r="N84">
        <v>122.36</v>
      </c>
      <c r="O84">
        <v>115.62</v>
      </c>
      <c r="P84">
        <v>122.36</v>
      </c>
    </row>
    <row r="85" spans="1:16" x14ac:dyDescent="0.3">
      <c r="A85">
        <v>90761</v>
      </c>
      <c r="B85">
        <v>116</v>
      </c>
      <c r="C85" t="s">
        <v>568</v>
      </c>
      <c r="D85" s="453">
        <v>46174</v>
      </c>
      <c r="E85">
        <v>20682</v>
      </c>
      <c r="F85" t="s">
        <v>3929</v>
      </c>
      <c r="G85">
        <v>2106</v>
      </c>
      <c r="H85">
        <v>13</v>
      </c>
      <c r="I85" t="s">
        <v>3872</v>
      </c>
      <c r="J85" t="s">
        <v>3469</v>
      </c>
      <c r="K85" t="s">
        <v>465</v>
      </c>
      <c r="L85">
        <v>9.4</v>
      </c>
      <c r="M85" s="453">
        <v>46168</v>
      </c>
      <c r="N85">
        <v>9.15</v>
      </c>
      <c r="O85">
        <v>9.15</v>
      </c>
      <c r="P85">
        <v>122.2</v>
      </c>
    </row>
    <row r="86" spans="1:16" x14ac:dyDescent="0.3">
      <c r="A86">
        <v>90784</v>
      </c>
      <c r="B86">
        <v>116</v>
      </c>
      <c r="C86" t="s">
        <v>568</v>
      </c>
      <c r="D86" s="453">
        <v>46174</v>
      </c>
      <c r="E86">
        <v>20755</v>
      </c>
      <c r="F86" t="s">
        <v>4052</v>
      </c>
      <c r="G86">
        <v>2087</v>
      </c>
      <c r="H86">
        <v>1</v>
      </c>
      <c r="I86" t="s">
        <v>3966</v>
      </c>
      <c r="J86" t="s">
        <v>3469</v>
      </c>
      <c r="K86" t="s">
        <v>465</v>
      </c>
      <c r="L86">
        <v>0</v>
      </c>
      <c r="M86" s="453">
        <v>46085</v>
      </c>
      <c r="N86">
        <v>120</v>
      </c>
      <c r="O86">
        <v>120</v>
      </c>
      <c r="P86">
        <v>120</v>
      </c>
    </row>
    <row r="87" spans="1:16" x14ac:dyDescent="0.3">
      <c r="A87">
        <v>90785</v>
      </c>
      <c r="B87">
        <v>116</v>
      </c>
      <c r="C87" t="s">
        <v>568</v>
      </c>
      <c r="D87" s="453">
        <v>46174</v>
      </c>
      <c r="E87">
        <v>24599</v>
      </c>
      <c r="F87" t="s">
        <v>3897</v>
      </c>
      <c r="G87">
        <v>5676</v>
      </c>
      <c r="H87">
        <v>1</v>
      </c>
      <c r="I87" t="s">
        <v>3888</v>
      </c>
      <c r="J87" t="s">
        <v>3497</v>
      </c>
      <c r="K87" t="s">
        <v>465</v>
      </c>
      <c r="L87">
        <v>0</v>
      </c>
      <c r="M87" s="453">
        <v>46113</v>
      </c>
      <c r="N87">
        <v>118.33</v>
      </c>
      <c r="O87">
        <v>118</v>
      </c>
      <c r="P87">
        <v>118.33</v>
      </c>
    </row>
    <row r="88" spans="1:16" x14ac:dyDescent="0.3">
      <c r="A88">
        <v>90787</v>
      </c>
      <c r="B88">
        <v>116</v>
      </c>
      <c r="C88" t="s">
        <v>568</v>
      </c>
      <c r="D88" s="453">
        <v>46174</v>
      </c>
      <c r="E88">
        <v>18547</v>
      </c>
      <c r="F88" t="s">
        <v>3962</v>
      </c>
      <c r="G88">
        <v>3132</v>
      </c>
      <c r="H88">
        <v>3.2</v>
      </c>
      <c r="I88" t="s">
        <v>3878</v>
      </c>
      <c r="J88" t="s">
        <v>3497</v>
      </c>
      <c r="K88" t="s">
        <v>465</v>
      </c>
      <c r="L88">
        <v>0</v>
      </c>
      <c r="M88" s="453">
        <v>45770</v>
      </c>
      <c r="N88">
        <v>34.74</v>
      </c>
      <c r="O88">
        <v>37.5</v>
      </c>
      <c r="P88">
        <v>111.17</v>
      </c>
    </row>
    <row r="89" spans="1:16" x14ac:dyDescent="0.3">
      <c r="A89">
        <v>90788</v>
      </c>
      <c r="B89">
        <v>116</v>
      </c>
      <c r="C89" t="s">
        <v>568</v>
      </c>
      <c r="D89" s="453">
        <v>46174</v>
      </c>
      <c r="E89">
        <v>18273</v>
      </c>
      <c r="F89" t="s">
        <v>4031</v>
      </c>
      <c r="G89">
        <v>3357</v>
      </c>
      <c r="H89">
        <v>3</v>
      </c>
      <c r="I89" t="s">
        <v>3878</v>
      </c>
      <c r="J89" t="s">
        <v>3497</v>
      </c>
      <c r="K89" t="s">
        <v>465</v>
      </c>
      <c r="L89">
        <v>0</v>
      </c>
      <c r="M89" s="453">
        <v>46007</v>
      </c>
      <c r="N89">
        <v>37</v>
      </c>
      <c r="O89">
        <v>37.21</v>
      </c>
      <c r="P89">
        <v>111</v>
      </c>
    </row>
    <row r="90" spans="1:16" x14ac:dyDescent="0.3">
      <c r="A90">
        <v>90789</v>
      </c>
      <c r="B90">
        <v>116</v>
      </c>
      <c r="C90" t="s">
        <v>568</v>
      </c>
      <c r="D90" s="453">
        <v>46174</v>
      </c>
      <c r="E90">
        <v>19579</v>
      </c>
      <c r="F90" t="s">
        <v>4020</v>
      </c>
      <c r="G90">
        <v>2640</v>
      </c>
      <c r="H90">
        <v>2</v>
      </c>
      <c r="I90" t="s">
        <v>3892</v>
      </c>
      <c r="J90" t="s">
        <v>3469</v>
      </c>
      <c r="K90" t="s">
        <v>465</v>
      </c>
      <c r="L90">
        <v>0</v>
      </c>
      <c r="M90" s="453">
        <v>45936</v>
      </c>
      <c r="N90">
        <v>55</v>
      </c>
      <c r="O90">
        <v>0</v>
      </c>
      <c r="P90">
        <v>110</v>
      </c>
    </row>
    <row r="91" spans="1:16" x14ac:dyDescent="0.3">
      <c r="A91">
        <v>90780</v>
      </c>
      <c r="B91">
        <v>116</v>
      </c>
      <c r="C91" t="s">
        <v>568</v>
      </c>
      <c r="D91" s="453">
        <v>46174</v>
      </c>
      <c r="E91">
        <v>24339</v>
      </c>
      <c r="F91" t="s">
        <v>4119</v>
      </c>
      <c r="G91">
        <v>2153</v>
      </c>
      <c r="H91">
        <v>4</v>
      </c>
      <c r="I91" t="s">
        <v>3892</v>
      </c>
      <c r="J91" t="s">
        <v>3469</v>
      </c>
      <c r="K91" t="s">
        <v>465</v>
      </c>
      <c r="L91">
        <v>26.74</v>
      </c>
      <c r="M91" s="453">
        <v>46168</v>
      </c>
      <c r="N91">
        <v>24.9</v>
      </c>
      <c r="O91">
        <v>24.9</v>
      </c>
      <c r="P91">
        <v>106.96</v>
      </c>
    </row>
    <row r="92" spans="1:16" x14ac:dyDescent="0.3">
      <c r="A92">
        <v>90790</v>
      </c>
      <c r="B92">
        <v>116</v>
      </c>
      <c r="C92" t="s">
        <v>568</v>
      </c>
      <c r="D92" s="453">
        <v>46174</v>
      </c>
      <c r="E92">
        <v>18493</v>
      </c>
      <c r="F92" t="s">
        <v>3958</v>
      </c>
      <c r="G92">
        <v>3164</v>
      </c>
      <c r="H92">
        <v>1.5</v>
      </c>
      <c r="I92" t="s">
        <v>3878</v>
      </c>
      <c r="J92" t="s">
        <v>3497</v>
      </c>
      <c r="K92" t="s">
        <v>465</v>
      </c>
      <c r="L92">
        <v>0</v>
      </c>
      <c r="M92" s="453">
        <v>46142</v>
      </c>
      <c r="N92">
        <v>69.900000000000006</v>
      </c>
      <c r="O92">
        <v>69.900000000000006</v>
      </c>
      <c r="P92">
        <v>104.85</v>
      </c>
    </row>
    <row r="93" spans="1:16" x14ac:dyDescent="0.3">
      <c r="A93">
        <v>90791</v>
      </c>
      <c r="B93">
        <v>116</v>
      </c>
      <c r="C93" t="s">
        <v>568</v>
      </c>
      <c r="D93" s="453">
        <v>46174</v>
      </c>
      <c r="E93">
        <v>21400</v>
      </c>
      <c r="F93" t="s">
        <v>4165</v>
      </c>
      <c r="G93">
        <v>2157</v>
      </c>
      <c r="H93">
        <v>3.5</v>
      </c>
      <c r="I93" t="s">
        <v>3892</v>
      </c>
      <c r="J93" t="s">
        <v>3469</v>
      </c>
      <c r="K93" t="s">
        <v>465</v>
      </c>
      <c r="L93">
        <v>28.95</v>
      </c>
      <c r="M93" s="453">
        <v>46154</v>
      </c>
      <c r="N93">
        <v>28.95</v>
      </c>
      <c r="O93">
        <v>23.22</v>
      </c>
      <c r="P93">
        <v>101.32</v>
      </c>
    </row>
    <row r="94" spans="1:16" x14ac:dyDescent="0.3">
      <c r="A94">
        <v>90918</v>
      </c>
      <c r="B94">
        <v>116</v>
      </c>
      <c r="C94" t="s">
        <v>568</v>
      </c>
      <c r="D94" s="453">
        <v>46174</v>
      </c>
      <c r="E94">
        <v>20621</v>
      </c>
      <c r="F94" t="s">
        <v>3885</v>
      </c>
      <c r="G94">
        <v>2117</v>
      </c>
      <c r="H94">
        <v>4</v>
      </c>
      <c r="I94" t="s">
        <v>3886</v>
      </c>
      <c r="J94" t="s">
        <v>3469</v>
      </c>
      <c r="K94" t="s">
        <v>465</v>
      </c>
      <c r="L94">
        <v>25.33</v>
      </c>
      <c r="M94" s="453">
        <v>46156</v>
      </c>
      <c r="N94">
        <v>25</v>
      </c>
      <c r="O94">
        <v>26</v>
      </c>
      <c r="P94">
        <v>101.32</v>
      </c>
    </row>
    <row r="95" spans="1:16" x14ac:dyDescent="0.3">
      <c r="A95">
        <v>90792</v>
      </c>
      <c r="B95">
        <v>116</v>
      </c>
      <c r="C95" t="s">
        <v>568</v>
      </c>
      <c r="D95" s="453">
        <v>46174</v>
      </c>
      <c r="E95">
        <v>18467</v>
      </c>
      <c r="F95" t="s">
        <v>4028</v>
      </c>
      <c r="G95">
        <v>3189</v>
      </c>
      <c r="H95">
        <v>1.3</v>
      </c>
      <c r="I95" t="s">
        <v>3878</v>
      </c>
      <c r="J95" t="s">
        <v>3497</v>
      </c>
      <c r="K95" t="s">
        <v>465</v>
      </c>
      <c r="L95">
        <v>76.8</v>
      </c>
      <c r="M95" s="453">
        <v>46161</v>
      </c>
      <c r="N95">
        <v>76.8</v>
      </c>
      <c r="O95">
        <v>76.8</v>
      </c>
      <c r="P95">
        <v>99.84</v>
      </c>
    </row>
    <row r="96" spans="1:16" x14ac:dyDescent="0.3">
      <c r="A96">
        <v>90793</v>
      </c>
      <c r="B96">
        <v>116</v>
      </c>
      <c r="C96" t="s">
        <v>568</v>
      </c>
      <c r="D96" s="453">
        <v>46174</v>
      </c>
      <c r="E96">
        <v>18682</v>
      </c>
      <c r="F96" t="s">
        <v>4025</v>
      </c>
      <c r="G96">
        <v>3043</v>
      </c>
      <c r="H96">
        <v>3.5</v>
      </c>
      <c r="I96" t="s">
        <v>3892</v>
      </c>
      <c r="J96" t="s">
        <v>3469</v>
      </c>
      <c r="K96" t="s">
        <v>465</v>
      </c>
      <c r="L96">
        <v>27.99</v>
      </c>
      <c r="M96" s="453">
        <v>46169</v>
      </c>
      <c r="N96">
        <v>27.99</v>
      </c>
      <c r="O96">
        <v>27.99</v>
      </c>
      <c r="P96">
        <v>97.96</v>
      </c>
    </row>
    <row r="97" spans="1:16" x14ac:dyDescent="0.3">
      <c r="A97">
        <v>90794</v>
      </c>
      <c r="B97">
        <v>116</v>
      </c>
      <c r="C97" t="s">
        <v>568</v>
      </c>
      <c r="D97" s="453">
        <v>46174</v>
      </c>
      <c r="E97">
        <v>20457</v>
      </c>
      <c r="F97" t="s">
        <v>3999</v>
      </c>
      <c r="G97">
        <v>2165</v>
      </c>
      <c r="H97">
        <v>2.5</v>
      </c>
      <c r="I97" t="s">
        <v>3892</v>
      </c>
      <c r="J97" t="s">
        <v>3469</v>
      </c>
      <c r="K97" t="s">
        <v>465</v>
      </c>
      <c r="L97">
        <v>39</v>
      </c>
      <c r="M97" s="453">
        <v>46147</v>
      </c>
      <c r="N97">
        <v>39</v>
      </c>
      <c r="O97">
        <v>39</v>
      </c>
      <c r="P97">
        <v>97.5</v>
      </c>
    </row>
    <row r="98" spans="1:16" x14ac:dyDescent="0.3">
      <c r="A98">
        <v>90795</v>
      </c>
      <c r="B98">
        <v>116</v>
      </c>
      <c r="C98" t="s">
        <v>568</v>
      </c>
      <c r="D98" s="453">
        <v>46174</v>
      </c>
      <c r="E98">
        <v>17914</v>
      </c>
      <c r="F98" t="s">
        <v>3997</v>
      </c>
      <c r="G98">
        <v>3649</v>
      </c>
      <c r="H98">
        <v>3</v>
      </c>
      <c r="I98" t="s">
        <v>3888</v>
      </c>
      <c r="J98" t="s">
        <v>3497</v>
      </c>
      <c r="K98" t="s">
        <v>465</v>
      </c>
      <c r="L98">
        <v>32.24</v>
      </c>
      <c r="M98" s="453">
        <v>46161</v>
      </c>
      <c r="N98">
        <v>32.24</v>
      </c>
      <c r="O98">
        <v>32.24</v>
      </c>
      <c r="P98">
        <v>96.72</v>
      </c>
    </row>
    <row r="99" spans="1:16" x14ac:dyDescent="0.3">
      <c r="A99">
        <v>90796</v>
      </c>
      <c r="B99">
        <v>116</v>
      </c>
      <c r="C99" t="s">
        <v>568</v>
      </c>
      <c r="D99" s="453">
        <v>46174</v>
      </c>
      <c r="E99">
        <v>18685</v>
      </c>
      <c r="F99" t="s">
        <v>3945</v>
      </c>
      <c r="G99">
        <v>3040</v>
      </c>
      <c r="H99">
        <v>2.4500000000000002</v>
      </c>
      <c r="I99" t="s">
        <v>3892</v>
      </c>
      <c r="J99" t="s">
        <v>3469</v>
      </c>
      <c r="K99" t="s">
        <v>465</v>
      </c>
      <c r="L99">
        <v>39</v>
      </c>
      <c r="M99" s="453">
        <v>46157</v>
      </c>
      <c r="N99">
        <v>39</v>
      </c>
      <c r="O99">
        <v>39</v>
      </c>
      <c r="P99">
        <v>95.55</v>
      </c>
    </row>
    <row r="100" spans="1:16" x14ac:dyDescent="0.3">
      <c r="A100">
        <v>90797</v>
      </c>
      <c r="B100">
        <v>116</v>
      </c>
      <c r="C100" t="s">
        <v>568</v>
      </c>
      <c r="D100" s="453">
        <v>46174</v>
      </c>
      <c r="E100">
        <v>18327</v>
      </c>
      <c r="F100" t="s">
        <v>4087</v>
      </c>
      <c r="G100">
        <v>3306</v>
      </c>
      <c r="H100">
        <v>0.9</v>
      </c>
      <c r="I100" t="s">
        <v>3878</v>
      </c>
      <c r="J100" t="s">
        <v>3497</v>
      </c>
      <c r="K100" t="s">
        <v>465</v>
      </c>
      <c r="L100">
        <v>0</v>
      </c>
      <c r="M100" s="453">
        <v>45967</v>
      </c>
      <c r="N100">
        <v>105.36</v>
      </c>
      <c r="O100">
        <v>97.92</v>
      </c>
      <c r="P100">
        <v>94.82</v>
      </c>
    </row>
    <row r="101" spans="1:16" x14ac:dyDescent="0.3">
      <c r="A101">
        <v>90798</v>
      </c>
      <c r="B101">
        <v>116</v>
      </c>
      <c r="C101" t="s">
        <v>568</v>
      </c>
      <c r="D101" s="453">
        <v>46174</v>
      </c>
      <c r="E101">
        <v>20985</v>
      </c>
      <c r="F101" t="s">
        <v>3914</v>
      </c>
      <c r="G101">
        <v>2011</v>
      </c>
      <c r="H101">
        <v>12</v>
      </c>
      <c r="I101" t="s">
        <v>3872</v>
      </c>
      <c r="J101" t="s">
        <v>3469</v>
      </c>
      <c r="K101" t="s">
        <v>465</v>
      </c>
      <c r="L101">
        <v>0</v>
      </c>
      <c r="M101" s="453">
        <v>45916</v>
      </c>
      <c r="N101">
        <v>7.89</v>
      </c>
      <c r="O101">
        <v>8</v>
      </c>
      <c r="P101">
        <v>94.68</v>
      </c>
    </row>
    <row r="102" spans="1:16" x14ac:dyDescent="0.3">
      <c r="A102">
        <v>90799</v>
      </c>
      <c r="B102">
        <v>116</v>
      </c>
      <c r="C102" t="s">
        <v>568</v>
      </c>
      <c r="D102" s="453">
        <v>46174</v>
      </c>
      <c r="E102">
        <v>17883</v>
      </c>
      <c r="F102" t="s">
        <v>4136</v>
      </c>
      <c r="G102">
        <v>3673</v>
      </c>
      <c r="H102">
        <v>4</v>
      </c>
      <c r="I102" t="s">
        <v>3888</v>
      </c>
      <c r="J102" t="s">
        <v>3497</v>
      </c>
      <c r="K102" t="s">
        <v>465</v>
      </c>
      <c r="L102">
        <v>0</v>
      </c>
      <c r="M102" s="453">
        <v>46060</v>
      </c>
      <c r="N102">
        <v>23.45</v>
      </c>
      <c r="O102">
        <v>28.32</v>
      </c>
      <c r="P102">
        <v>93.8</v>
      </c>
    </row>
    <row r="103" spans="1:16" x14ac:dyDescent="0.3">
      <c r="A103">
        <v>90800</v>
      </c>
      <c r="B103">
        <v>116</v>
      </c>
      <c r="C103" t="s">
        <v>568</v>
      </c>
      <c r="D103" s="453">
        <v>46174</v>
      </c>
      <c r="E103">
        <v>24393</v>
      </c>
      <c r="F103" t="s">
        <v>4039</v>
      </c>
      <c r="G103">
        <v>3045</v>
      </c>
      <c r="H103">
        <v>6.69</v>
      </c>
      <c r="I103" t="s">
        <v>3892</v>
      </c>
      <c r="J103" t="s">
        <v>3469</v>
      </c>
      <c r="K103" t="s">
        <v>465</v>
      </c>
      <c r="L103">
        <v>0</v>
      </c>
      <c r="M103" s="453">
        <v>46142</v>
      </c>
      <c r="N103">
        <v>13.99</v>
      </c>
      <c r="O103">
        <v>13.99</v>
      </c>
      <c r="P103">
        <v>93.59</v>
      </c>
    </row>
    <row r="104" spans="1:16" x14ac:dyDescent="0.3">
      <c r="A104">
        <v>90801</v>
      </c>
      <c r="B104">
        <v>116</v>
      </c>
      <c r="C104" t="s">
        <v>568</v>
      </c>
      <c r="D104" s="453">
        <v>46174</v>
      </c>
      <c r="E104">
        <v>19573</v>
      </c>
      <c r="F104" t="s">
        <v>4163</v>
      </c>
      <c r="G104">
        <v>2645</v>
      </c>
      <c r="H104">
        <v>2</v>
      </c>
      <c r="I104" t="s">
        <v>3892</v>
      </c>
      <c r="J104" t="s">
        <v>3469</v>
      </c>
      <c r="K104" t="s">
        <v>465</v>
      </c>
      <c r="L104">
        <v>0</v>
      </c>
      <c r="M104" s="453">
        <v>46056</v>
      </c>
      <c r="N104">
        <v>46.4</v>
      </c>
      <c r="O104">
        <v>46.4</v>
      </c>
      <c r="P104">
        <v>92.8</v>
      </c>
    </row>
    <row r="105" spans="1:16" x14ac:dyDescent="0.3">
      <c r="A105">
        <v>90802</v>
      </c>
      <c r="B105">
        <v>116</v>
      </c>
      <c r="C105" t="s">
        <v>568</v>
      </c>
      <c r="D105" s="453">
        <v>46174</v>
      </c>
      <c r="E105">
        <v>18111</v>
      </c>
      <c r="F105" t="s">
        <v>4047</v>
      </c>
      <c r="G105">
        <v>3500</v>
      </c>
      <c r="H105">
        <v>1</v>
      </c>
      <c r="I105" t="s">
        <v>3878</v>
      </c>
      <c r="J105" t="s">
        <v>3497</v>
      </c>
      <c r="K105" t="s">
        <v>465</v>
      </c>
      <c r="L105">
        <v>0</v>
      </c>
      <c r="M105" s="453">
        <v>46079</v>
      </c>
      <c r="N105">
        <v>91.9</v>
      </c>
      <c r="O105">
        <v>84.8</v>
      </c>
      <c r="P105">
        <v>91.9</v>
      </c>
    </row>
    <row r="106" spans="1:16" x14ac:dyDescent="0.3">
      <c r="A106">
        <v>90803</v>
      </c>
      <c r="B106">
        <v>116</v>
      </c>
      <c r="C106" t="s">
        <v>568</v>
      </c>
      <c r="D106" s="453">
        <v>46174</v>
      </c>
      <c r="E106">
        <v>19574</v>
      </c>
      <c r="F106" t="s">
        <v>4077</v>
      </c>
      <c r="G106">
        <v>2644</v>
      </c>
      <c r="H106">
        <v>1</v>
      </c>
      <c r="I106" t="s">
        <v>3892</v>
      </c>
      <c r="J106" t="s">
        <v>3469</v>
      </c>
      <c r="K106" t="s">
        <v>465</v>
      </c>
      <c r="L106">
        <v>0</v>
      </c>
      <c r="M106" s="453">
        <v>46058</v>
      </c>
      <c r="N106">
        <v>90</v>
      </c>
      <c r="O106">
        <v>58.5</v>
      </c>
      <c r="P106">
        <v>90</v>
      </c>
    </row>
    <row r="107" spans="1:16" x14ac:dyDescent="0.3">
      <c r="A107">
        <v>90810</v>
      </c>
      <c r="B107">
        <v>116</v>
      </c>
      <c r="C107" t="s">
        <v>568</v>
      </c>
      <c r="D107" s="453">
        <v>46174</v>
      </c>
      <c r="E107">
        <v>20246</v>
      </c>
      <c r="F107" t="s">
        <v>3911</v>
      </c>
      <c r="G107">
        <v>2242</v>
      </c>
      <c r="H107">
        <v>9</v>
      </c>
      <c r="I107" t="s">
        <v>3872</v>
      </c>
      <c r="J107" t="s">
        <v>3469</v>
      </c>
      <c r="K107" t="s">
        <v>465</v>
      </c>
      <c r="L107">
        <v>9.7899999999999991</v>
      </c>
      <c r="M107" s="453">
        <v>46169</v>
      </c>
      <c r="N107">
        <v>9.7899999999999991</v>
      </c>
      <c r="O107">
        <v>11.75</v>
      </c>
      <c r="P107">
        <v>88.11</v>
      </c>
    </row>
    <row r="108" spans="1:16" x14ac:dyDescent="0.3">
      <c r="A108">
        <v>90804</v>
      </c>
      <c r="B108">
        <v>116</v>
      </c>
      <c r="C108" t="s">
        <v>568</v>
      </c>
      <c r="D108" s="453">
        <v>46174</v>
      </c>
      <c r="E108">
        <v>18534</v>
      </c>
      <c r="F108" t="s">
        <v>4084</v>
      </c>
      <c r="G108">
        <v>3143</v>
      </c>
      <c r="H108">
        <v>1</v>
      </c>
      <c r="I108" t="s">
        <v>3878</v>
      </c>
      <c r="J108" t="s">
        <v>3497</v>
      </c>
      <c r="K108" t="s">
        <v>465</v>
      </c>
      <c r="L108">
        <v>0</v>
      </c>
      <c r="N108">
        <v>0</v>
      </c>
      <c r="O108">
        <v>0</v>
      </c>
      <c r="P108">
        <v>86.89</v>
      </c>
    </row>
    <row r="109" spans="1:16" x14ac:dyDescent="0.3">
      <c r="A109">
        <v>90931</v>
      </c>
      <c r="B109">
        <v>116</v>
      </c>
      <c r="C109" t="s">
        <v>568</v>
      </c>
      <c r="D109" s="453">
        <v>46174</v>
      </c>
      <c r="E109">
        <v>17916</v>
      </c>
      <c r="F109" t="s">
        <v>4191</v>
      </c>
      <c r="G109">
        <v>3648</v>
      </c>
      <c r="H109">
        <v>3</v>
      </c>
      <c r="I109" t="s">
        <v>3888</v>
      </c>
      <c r="J109" t="s">
        <v>3497</v>
      </c>
      <c r="K109" t="s">
        <v>465</v>
      </c>
      <c r="L109">
        <v>28.8</v>
      </c>
      <c r="M109" s="453">
        <v>46161</v>
      </c>
      <c r="N109">
        <v>28.8</v>
      </c>
      <c r="O109">
        <v>25.97</v>
      </c>
      <c r="P109">
        <v>86.4</v>
      </c>
    </row>
    <row r="110" spans="1:16" x14ac:dyDescent="0.3">
      <c r="A110">
        <v>90808</v>
      </c>
      <c r="B110">
        <v>116</v>
      </c>
      <c r="C110" t="s">
        <v>568</v>
      </c>
      <c r="D110" s="453">
        <v>46174</v>
      </c>
      <c r="E110">
        <v>20250</v>
      </c>
      <c r="F110" t="s">
        <v>4008</v>
      </c>
      <c r="G110">
        <v>2241</v>
      </c>
      <c r="H110">
        <v>2</v>
      </c>
      <c r="I110" t="s">
        <v>3888</v>
      </c>
      <c r="J110" t="s">
        <v>3469</v>
      </c>
      <c r="K110" t="s">
        <v>465</v>
      </c>
      <c r="L110">
        <v>42.5</v>
      </c>
      <c r="M110" s="453">
        <v>46148</v>
      </c>
      <c r="N110">
        <v>42.5</v>
      </c>
      <c r="O110">
        <v>42.5</v>
      </c>
      <c r="P110">
        <v>85</v>
      </c>
    </row>
    <row r="111" spans="1:16" x14ac:dyDescent="0.3">
      <c r="A111">
        <v>90805</v>
      </c>
      <c r="B111">
        <v>116</v>
      </c>
      <c r="C111" t="s">
        <v>568</v>
      </c>
      <c r="D111" s="453">
        <v>46174</v>
      </c>
      <c r="E111">
        <v>27475</v>
      </c>
      <c r="F111" t="s">
        <v>4162</v>
      </c>
      <c r="G111">
        <v>7475</v>
      </c>
      <c r="H111">
        <v>5</v>
      </c>
      <c r="I111" t="s">
        <v>3872</v>
      </c>
      <c r="J111" t="s">
        <v>3469</v>
      </c>
      <c r="K111" t="s">
        <v>465</v>
      </c>
      <c r="L111">
        <v>16.899999999999999</v>
      </c>
      <c r="M111" s="453">
        <v>46168</v>
      </c>
      <c r="N111">
        <v>16.899999999999999</v>
      </c>
      <c r="O111">
        <v>16.899999999999999</v>
      </c>
      <c r="P111">
        <v>84.5</v>
      </c>
    </row>
    <row r="112" spans="1:16" x14ac:dyDescent="0.3">
      <c r="A112">
        <v>90806</v>
      </c>
      <c r="B112">
        <v>116</v>
      </c>
      <c r="C112" t="s">
        <v>568</v>
      </c>
      <c r="D112" s="453">
        <v>46174</v>
      </c>
      <c r="E112">
        <v>20301</v>
      </c>
      <c r="F112" t="s">
        <v>4161</v>
      </c>
      <c r="G112">
        <v>2223</v>
      </c>
      <c r="H112">
        <v>4</v>
      </c>
      <c r="I112" t="s">
        <v>3888</v>
      </c>
      <c r="J112" t="s">
        <v>3469</v>
      </c>
      <c r="K112" t="s">
        <v>465</v>
      </c>
      <c r="L112">
        <v>21</v>
      </c>
      <c r="M112" s="453">
        <v>46161</v>
      </c>
      <c r="N112">
        <v>21</v>
      </c>
      <c r="O112">
        <v>21</v>
      </c>
      <c r="P112">
        <v>84</v>
      </c>
    </row>
    <row r="113" spans="1:16" x14ac:dyDescent="0.3">
      <c r="A113">
        <v>90807</v>
      </c>
      <c r="B113">
        <v>116</v>
      </c>
      <c r="C113" t="s">
        <v>568</v>
      </c>
      <c r="D113" s="453">
        <v>46174</v>
      </c>
      <c r="E113">
        <v>18666</v>
      </c>
      <c r="F113" t="s">
        <v>4003</v>
      </c>
      <c r="G113">
        <v>3053</v>
      </c>
      <c r="H113">
        <v>3.4</v>
      </c>
      <c r="I113" t="s">
        <v>3892</v>
      </c>
      <c r="J113" t="s">
        <v>3469</v>
      </c>
      <c r="K113" t="s">
        <v>465</v>
      </c>
      <c r="L113">
        <v>23.99</v>
      </c>
      <c r="M113" s="453">
        <v>46169</v>
      </c>
      <c r="N113">
        <v>23.99</v>
      </c>
      <c r="O113">
        <v>23.99</v>
      </c>
      <c r="P113">
        <v>81.569999999999993</v>
      </c>
    </row>
    <row r="114" spans="1:16" x14ac:dyDescent="0.3">
      <c r="A114">
        <v>90809</v>
      </c>
      <c r="B114">
        <v>116</v>
      </c>
      <c r="C114" t="s">
        <v>568</v>
      </c>
      <c r="D114" s="453">
        <v>46174</v>
      </c>
      <c r="E114">
        <v>17896</v>
      </c>
      <c r="F114" t="s">
        <v>3972</v>
      </c>
      <c r="G114">
        <v>3664</v>
      </c>
      <c r="H114">
        <v>2</v>
      </c>
      <c r="I114" t="s">
        <v>3888</v>
      </c>
      <c r="J114" t="s">
        <v>3497</v>
      </c>
      <c r="K114" t="s">
        <v>465</v>
      </c>
      <c r="L114">
        <v>40.29</v>
      </c>
      <c r="M114" s="453">
        <v>46154</v>
      </c>
      <c r="N114">
        <v>40.29</v>
      </c>
      <c r="O114">
        <v>35.32</v>
      </c>
      <c r="P114">
        <v>80.58</v>
      </c>
    </row>
    <row r="115" spans="1:16" x14ac:dyDescent="0.3">
      <c r="A115">
        <v>90812</v>
      </c>
      <c r="B115">
        <v>116</v>
      </c>
      <c r="C115" t="s">
        <v>568</v>
      </c>
      <c r="D115" s="453">
        <v>46174</v>
      </c>
      <c r="E115">
        <v>20757</v>
      </c>
      <c r="F115" t="s">
        <v>4050</v>
      </c>
      <c r="G115">
        <v>2086</v>
      </c>
      <c r="H115">
        <v>1</v>
      </c>
      <c r="I115" t="s">
        <v>3966</v>
      </c>
      <c r="J115" t="s">
        <v>3469</v>
      </c>
      <c r="K115" t="s">
        <v>465</v>
      </c>
      <c r="L115">
        <v>77.8</v>
      </c>
      <c r="M115" s="453">
        <v>46168</v>
      </c>
      <c r="N115">
        <v>77.8</v>
      </c>
      <c r="O115">
        <v>77.8</v>
      </c>
      <c r="P115">
        <v>77.8</v>
      </c>
    </row>
    <row r="116" spans="1:16" x14ac:dyDescent="0.3">
      <c r="A116">
        <v>90813</v>
      </c>
      <c r="B116">
        <v>116</v>
      </c>
      <c r="C116" t="s">
        <v>568</v>
      </c>
      <c r="D116" s="453">
        <v>46174</v>
      </c>
      <c r="E116">
        <v>20227</v>
      </c>
      <c r="F116" t="s">
        <v>3968</v>
      </c>
      <c r="G116">
        <v>2248</v>
      </c>
      <c r="H116">
        <v>6</v>
      </c>
      <c r="I116" t="s">
        <v>3888</v>
      </c>
      <c r="J116" t="s">
        <v>3469</v>
      </c>
      <c r="K116" t="s">
        <v>465</v>
      </c>
      <c r="L116">
        <v>12.95</v>
      </c>
      <c r="M116" s="453">
        <v>46162</v>
      </c>
      <c r="N116">
        <v>13.2</v>
      </c>
      <c r="O116">
        <v>13.29</v>
      </c>
      <c r="P116">
        <v>77.7</v>
      </c>
    </row>
    <row r="117" spans="1:16" x14ac:dyDescent="0.3">
      <c r="A117">
        <v>90811</v>
      </c>
      <c r="B117">
        <v>116</v>
      </c>
      <c r="C117" t="s">
        <v>568</v>
      </c>
      <c r="D117" s="453">
        <v>46174</v>
      </c>
      <c r="E117">
        <v>20661</v>
      </c>
      <c r="F117" t="s">
        <v>3919</v>
      </c>
      <c r="G117">
        <v>2110</v>
      </c>
      <c r="H117">
        <v>9</v>
      </c>
      <c r="I117" t="s">
        <v>3872</v>
      </c>
      <c r="J117" t="s">
        <v>3469</v>
      </c>
      <c r="K117" t="s">
        <v>465</v>
      </c>
      <c r="L117">
        <v>8.59</v>
      </c>
      <c r="M117" s="453">
        <v>46169</v>
      </c>
      <c r="N117">
        <v>8.59</v>
      </c>
      <c r="O117">
        <v>8.59</v>
      </c>
      <c r="P117">
        <v>77.31</v>
      </c>
    </row>
    <row r="118" spans="1:16" x14ac:dyDescent="0.3">
      <c r="A118">
        <v>90814</v>
      </c>
      <c r="B118">
        <v>116</v>
      </c>
      <c r="C118" t="s">
        <v>568</v>
      </c>
      <c r="D118" s="453">
        <v>46174</v>
      </c>
      <c r="E118">
        <v>18447</v>
      </c>
      <c r="F118" t="s">
        <v>4027</v>
      </c>
      <c r="G118">
        <v>3204</v>
      </c>
      <c r="H118">
        <v>6</v>
      </c>
      <c r="I118" t="s">
        <v>3878</v>
      </c>
      <c r="J118" t="s">
        <v>3497</v>
      </c>
      <c r="K118" t="s">
        <v>465</v>
      </c>
      <c r="L118">
        <v>0</v>
      </c>
      <c r="M118" s="453">
        <v>46078</v>
      </c>
      <c r="N118">
        <v>12.49</v>
      </c>
      <c r="O118">
        <v>12.49</v>
      </c>
      <c r="P118">
        <v>74.94</v>
      </c>
    </row>
    <row r="119" spans="1:16" x14ac:dyDescent="0.3">
      <c r="A119">
        <v>90815</v>
      </c>
      <c r="B119">
        <v>116</v>
      </c>
      <c r="C119" t="s">
        <v>568</v>
      </c>
      <c r="D119" s="453">
        <v>46174</v>
      </c>
      <c r="E119">
        <v>24194</v>
      </c>
      <c r="F119" t="s">
        <v>4181</v>
      </c>
      <c r="G119">
        <v>3038</v>
      </c>
      <c r="H119">
        <v>1.75</v>
      </c>
      <c r="I119" t="s">
        <v>3892</v>
      </c>
      <c r="J119" t="s">
        <v>3469</v>
      </c>
      <c r="K119" t="s">
        <v>465</v>
      </c>
      <c r="L119">
        <v>42</v>
      </c>
      <c r="M119" s="453">
        <v>46157</v>
      </c>
      <c r="N119">
        <v>42</v>
      </c>
      <c r="O119">
        <v>42</v>
      </c>
      <c r="P119">
        <v>73.5</v>
      </c>
    </row>
    <row r="120" spans="1:16" x14ac:dyDescent="0.3">
      <c r="A120">
        <v>90817</v>
      </c>
      <c r="B120">
        <v>116</v>
      </c>
      <c r="C120" t="s">
        <v>568</v>
      </c>
      <c r="D120" s="453">
        <v>46174</v>
      </c>
      <c r="E120">
        <v>21166</v>
      </c>
      <c r="F120" t="s">
        <v>4001</v>
      </c>
      <c r="G120">
        <v>1940</v>
      </c>
      <c r="H120">
        <v>2</v>
      </c>
      <c r="I120" t="s">
        <v>3872</v>
      </c>
      <c r="J120" t="s">
        <v>3469</v>
      </c>
      <c r="K120" t="s">
        <v>465</v>
      </c>
      <c r="L120">
        <v>0</v>
      </c>
      <c r="M120" s="453">
        <v>45615</v>
      </c>
      <c r="N120">
        <v>36</v>
      </c>
      <c r="O120">
        <v>36</v>
      </c>
      <c r="P120">
        <v>72</v>
      </c>
    </row>
    <row r="121" spans="1:16" x14ac:dyDescent="0.3">
      <c r="A121">
        <v>90816</v>
      </c>
      <c r="B121">
        <v>116</v>
      </c>
      <c r="C121" t="s">
        <v>568</v>
      </c>
      <c r="D121" s="453">
        <v>46174</v>
      </c>
      <c r="E121">
        <v>20624</v>
      </c>
      <c r="F121" t="s">
        <v>3982</v>
      </c>
      <c r="G121">
        <v>2116</v>
      </c>
      <c r="H121">
        <v>1</v>
      </c>
      <c r="I121" t="s">
        <v>3966</v>
      </c>
      <c r="J121" t="s">
        <v>3469</v>
      </c>
      <c r="K121" t="s">
        <v>465</v>
      </c>
      <c r="L121">
        <v>70.900000000000006</v>
      </c>
      <c r="M121" s="453">
        <v>46169</v>
      </c>
      <c r="N121">
        <v>70.900000000000006</v>
      </c>
      <c r="O121">
        <v>70.900000000000006</v>
      </c>
      <c r="P121">
        <v>70.900000000000006</v>
      </c>
    </row>
    <row r="122" spans="1:16" x14ac:dyDescent="0.3">
      <c r="A122">
        <v>90826</v>
      </c>
      <c r="B122">
        <v>116</v>
      </c>
      <c r="C122" t="s">
        <v>568</v>
      </c>
      <c r="D122" s="453">
        <v>46174</v>
      </c>
      <c r="E122">
        <v>17093</v>
      </c>
      <c r="F122" t="s">
        <v>3993</v>
      </c>
      <c r="G122">
        <v>4165</v>
      </c>
      <c r="H122">
        <v>7</v>
      </c>
      <c r="I122" t="s">
        <v>3888</v>
      </c>
      <c r="J122" t="s">
        <v>3497</v>
      </c>
      <c r="K122" t="s">
        <v>465</v>
      </c>
      <c r="L122">
        <v>10</v>
      </c>
      <c r="M122" s="453">
        <v>46167</v>
      </c>
      <c r="N122">
        <v>10</v>
      </c>
      <c r="O122">
        <v>10</v>
      </c>
      <c r="P122">
        <v>70</v>
      </c>
    </row>
    <row r="123" spans="1:16" x14ac:dyDescent="0.3">
      <c r="A123">
        <v>90818</v>
      </c>
      <c r="B123">
        <v>116</v>
      </c>
      <c r="C123" t="s">
        <v>568</v>
      </c>
      <c r="D123" s="453">
        <v>46174</v>
      </c>
      <c r="E123">
        <v>18702</v>
      </c>
      <c r="F123" t="s">
        <v>4043</v>
      </c>
      <c r="G123">
        <v>3033</v>
      </c>
      <c r="H123">
        <v>2.2000000000000002</v>
      </c>
      <c r="I123" t="s">
        <v>3892</v>
      </c>
      <c r="J123" t="s">
        <v>3469</v>
      </c>
      <c r="K123" t="s">
        <v>465</v>
      </c>
      <c r="L123">
        <v>0</v>
      </c>
      <c r="M123" s="453">
        <v>45930</v>
      </c>
      <c r="N123">
        <v>28.9</v>
      </c>
      <c r="O123">
        <v>28.9</v>
      </c>
      <c r="P123">
        <v>63.58</v>
      </c>
    </row>
    <row r="124" spans="1:16" x14ac:dyDescent="0.3">
      <c r="A124">
        <v>90917</v>
      </c>
      <c r="B124">
        <v>116</v>
      </c>
      <c r="C124" t="s">
        <v>568</v>
      </c>
      <c r="D124" s="453">
        <v>46174</v>
      </c>
      <c r="E124">
        <v>20057</v>
      </c>
      <c r="F124" t="s">
        <v>3967</v>
      </c>
      <c r="G124">
        <v>2324</v>
      </c>
      <c r="H124">
        <v>1.5</v>
      </c>
      <c r="I124" t="s">
        <v>3872</v>
      </c>
      <c r="J124" t="s">
        <v>3469</v>
      </c>
      <c r="K124" t="s">
        <v>465</v>
      </c>
      <c r="L124">
        <v>42.18</v>
      </c>
      <c r="M124" s="453">
        <v>46154</v>
      </c>
      <c r="N124">
        <v>42.18</v>
      </c>
      <c r="O124">
        <v>42.18</v>
      </c>
      <c r="P124">
        <v>63.27</v>
      </c>
    </row>
    <row r="125" spans="1:16" x14ac:dyDescent="0.3">
      <c r="A125">
        <v>90819</v>
      </c>
      <c r="B125">
        <v>116</v>
      </c>
      <c r="C125" t="s">
        <v>568</v>
      </c>
      <c r="D125" s="453">
        <v>46174</v>
      </c>
      <c r="E125">
        <v>20213</v>
      </c>
      <c r="F125" t="s">
        <v>4059</v>
      </c>
      <c r="G125">
        <v>2251</v>
      </c>
      <c r="H125">
        <v>2</v>
      </c>
      <c r="I125" t="s">
        <v>3888</v>
      </c>
      <c r="J125" t="s">
        <v>3469</v>
      </c>
      <c r="K125" t="s">
        <v>465</v>
      </c>
      <c r="L125">
        <v>31.6</v>
      </c>
      <c r="M125" s="453">
        <v>46148</v>
      </c>
      <c r="N125">
        <v>31.6</v>
      </c>
      <c r="O125">
        <v>32.94</v>
      </c>
      <c r="P125">
        <v>63.2</v>
      </c>
    </row>
    <row r="126" spans="1:16" x14ac:dyDescent="0.3">
      <c r="A126">
        <v>90821</v>
      </c>
      <c r="B126">
        <v>116</v>
      </c>
      <c r="C126" t="s">
        <v>568</v>
      </c>
      <c r="D126" s="453">
        <v>46174</v>
      </c>
      <c r="E126">
        <v>19264</v>
      </c>
      <c r="F126" t="s">
        <v>4082</v>
      </c>
      <c r="G126">
        <v>2781</v>
      </c>
      <c r="H126">
        <v>1.1000000000000001</v>
      </c>
      <c r="I126" t="s">
        <v>3888</v>
      </c>
      <c r="J126" t="s">
        <v>3469</v>
      </c>
      <c r="K126" t="s">
        <v>465</v>
      </c>
      <c r="L126">
        <v>0</v>
      </c>
      <c r="M126" s="453">
        <v>46132</v>
      </c>
      <c r="N126">
        <v>56.93</v>
      </c>
      <c r="O126">
        <v>56.93</v>
      </c>
      <c r="P126">
        <v>62.62</v>
      </c>
    </row>
    <row r="127" spans="1:16" x14ac:dyDescent="0.3">
      <c r="A127">
        <v>90820</v>
      </c>
      <c r="B127">
        <v>116</v>
      </c>
      <c r="C127" t="s">
        <v>568</v>
      </c>
      <c r="D127" s="453">
        <v>46174</v>
      </c>
      <c r="E127">
        <v>20809</v>
      </c>
      <c r="F127" t="s">
        <v>4005</v>
      </c>
      <c r="G127">
        <v>2074</v>
      </c>
      <c r="H127">
        <v>2</v>
      </c>
      <c r="I127" t="s">
        <v>3888</v>
      </c>
      <c r="J127" t="s">
        <v>3469</v>
      </c>
      <c r="K127" t="s">
        <v>465</v>
      </c>
      <c r="L127">
        <v>29.9</v>
      </c>
      <c r="M127" s="453">
        <v>46161</v>
      </c>
      <c r="N127">
        <v>29.9</v>
      </c>
      <c r="O127">
        <v>29.66</v>
      </c>
      <c r="P127">
        <v>59.8</v>
      </c>
    </row>
    <row r="128" spans="1:16" x14ac:dyDescent="0.3">
      <c r="A128">
        <v>90822</v>
      </c>
      <c r="B128">
        <v>116</v>
      </c>
      <c r="C128" t="s">
        <v>568</v>
      </c>
      <c r="D128" s="453">
        <v>46174</v>
      </c>
      <c r="E128">
        <v>23515</v>
      </c>
      <c r="F128" t="s">
        <v>3980</v>
      </c>
      <c r="G128">
        <v>2353</v>
      </c>
      <c r="H128">
        <v>3</v>
      </c>
      <c r="I128" t="s">
        <v>3872</v>
      </c>
      <c r="J128" t="s">
        <v>3469</v>
      </c>
      <c r="K128" t="s">
        <v>465</v>
      </c>
      <c r="L128">
        <v>0</v>
      </c>
      <c r="M128" s="453">
        <v>45972</v>
      </c>
      <c r="N128">
        <v>19.170000000000002</v>
      </c>
      <c r="O128">
        <v>19.27</v>
      </c>
      <c r="P128">
        <v>57.51</v>
      </c>
    </row>
    <row r="129" spans="1:16" x14ac:dyDescent="0.3">
      <c r="A129">
        <v>90823</v>
      </c>
      <c r="B129">
        <v>116</v>
      </c>
      <c r="C129" t="s">
        <v>568</v>
      </c>
      <c r="D129" s="453">
        <v>46174</v>
      </c>
      <c r="E129">
        <v>29129</v>
      </c>
      <c r="F129" t="s">
        <v>4176</v>
      </c>
      <c r="G129">
        <v>9074</v>
      </c>
      <c r="H129">
        <v>5</v>
      </c>
      <c r="I129" t="s">
        <v>3872</v>
      </c>
      <c r="J129" t="s">
        <v>3469</v>
      </c>
      <c r="K129" t="s">
        <v>465</v>
      </c>
      <c r="L129">
        <v>11.47</v>
      </c>
      <c r="M129" s="453">
        <v>46169</v>
      </c>
      <c r="N129">
        <v>11.47</v>
      </c>
      <c r="O129">
        <v>11.47</v>
      </c>
      <c r="P129">
        <v>57.35</v>
      </c>
    </row>
    <row r="130" spans="1:16" x14ac:dyDescent="0.3">
      <c r="A130">
        <v>90824</v>
      </c>
      <c r="B130">
        <v>116</v>
      </c>
      <c r="C130" t="s">
        <v>568</v>
      </c>
      <c r="D130" s="453">
        <v>46174</v>
      </c>
      <c r="E130">
        <v>21093</v>
      </c>
      <c r="F130" t="s">
        <v>3903</v>
      </c>
      <c r="G130">
        <v>1988</v>
      </c>
      <c r="H130">
        <v>13</v>
      </c>
      <c r="I130" t="s">
        <v>3892</v>
      </c>
      <c r="J130" t="s">
        <v>3469</v>
      </c>
      <c r="K130" t="s">
        <v>465</v>
      </c>
      <c r="L130">
        <v>4.3899999999999997</v>
      </c>
      <c r="M130" s="453">
        <v>46161</v>
      </c>
      <c r="N130">
        <v>4.3899999999999997</v>
      </c>
      <c r="O130">
        <v>4.3899999999999997</v>
      </c>
      <c r="P130">
        <v>57.07</v>
      </c>
    </row>
    <row r="131" spans="1:16" x14ac:dyDescent="0.3">
      <c r="A131">
        <v>90825</v>
      </c>
      <c r="B131">
        <v>116</v>
      </c>
      <c r="C131" t="s">
        <v>568</v>
      </c>
      <c r="D131" s="453">
        <v>46174</v>
      </c>
      <c r="E131">
        <v>24331</v>
      </c>
      <c r="F131" t="s">
        <v>3960</v>
      </c>
      <c r="G131">
        <v>2146</v>
      </c>
      <c r="H131">
        <v>2.7</v>
      </c>
      <c r="I131" t="s">
        <v>3892</v>
      </c>
      <c r="J131" t="s">
        <v>3469</v>
      </c>
      <c r="K131" t="s">
        <v>465</v>
      </c>
      <c r="L131">
        <v>20.89</v>
      </c>
      <c r="M131" s="453">
        <v>46168</v>
      </c>
      <c r="N131">
        <v>20.89</v>
      </c>
      <c r="O131">
        <v>20.85</v>
      </c>
      <c r="P131">
        <v>56.4</v>
      </c>
    </row>
    <row r="132" spans="1:16" x14ac:dyDescent="0.3">
      <c r="A132">
        <v>90827</v>
      </c>
      <c r="B132">
        <v>116</v>
      </c>
      <c r="C132" t="s">
        <v>568</v>
      </c>
      <c r="D132" s="453">
        <v>46174</v>
      </c>
      <c r="E132">
        <v>18030</v>
      </c>
      <c r="F132" t="s">
        <v>4033</v>
      </c>
      <c r="G132">
        <v>3568</v>
      </c>
      <c r="H132">
        <v>2</v>
      </c>
      <c r="I132" t="s">
        <v>3878</v>
      </c>
      <c r="J132" t="s">
        <v>3497</v>
      </c>
      <c r="K132" t="s">
        <v>465</v>
      </c>
      <c r="L132">
        <v>28.05</v>
      </c>
      <c r="M132" s="453">
        <v>46154</v>
      </c>
      <c r="N132">
        <v>28.05</v>
      </c>
      <c r="O132">
        <v>28</v>
      </c>
      <c r="P132">
        <v>56.1</v>
      </c>
    </row>
    <row r="133" spans="1:16" x14ac:dyDescent="0.3">
      <c r="A133">
        <v>90828</v>
      </c>
      <c r="B133">
        <v>116</v>
      </c>
      <c r="C133" t="s">
        <v>568</v>
      </c>
      <c r="D133" s="453">
        <v>46174</v>
      </c>
      <c r="E133">
        <v>19583</v>
      </c>
      <c r="F133" t="s">
        <v>4076</v>
      </c>
      <c r="G133">
        <v>2639</v>
      </c>
      <c r="H133">
        <v>1</v>
      </c>
      <c r="I133" t="s">
        <v>3892</v>
      </c>
      <c r="J133" t="s">
        <v>3469</v>
      </c>
      <c r="K133" t="s">
        <v>465</v>
      </c>
      <c r="L133">
        <v>53.65</v>
      </c>
      <c r="M133" s="453">
        <v>46170</v>
      </c>
      <c r="N133">
        <v>53.65</v>
      </c>
      <c r="O133">
        <v>53.65</v>
      </c>
      <c r="P133">
        <v>53.65</v>
      </c>
    </row>
    <row r="134" spans="1:16" x14ac:dyDescent="0.3">
      <c r="A134">
        <v>90830</v>
      </c>
      <c r="B134">
        <v>116</v>
      </c>
      <c r="C134" t="s">
        <v>568</v>
      </c>
      <c r="D134" s="453">
        <v>46174</v>
      </c>
      <c r="E134">
        <v>18312</v>
      </c>
      <c r="F134" t="s">
        <v>4089</v>
      </c>
      <c r="G134">
        <v>3321</v>
      </c>
      <c r="H134">
        <v>0.5</v>
      </c>
      <c r="I134" t="s">
        <v>3878</v>
      </c>
      <c r="J134" t="s">
        <v>3497</v>
      </c>
      <c r="K134" t="s">
        <v>465</v>
      </c>
      <c r="L134">
        <v>0</v>
      </c>
      <c r="M134" s="453">
        <v>45793</v>
      </c>
      <c r="N134">
        <v>105.9</v>
      </c>
      <c r="O134">
        <v>93.9</v>
      </c>
      <c r="P134">
        <v>52.95</v>
      </c>
    </row>
    <row r="135" spans="1:16" x14ac:dyDescent="0.3">
      <c r="A135">
        <v>90831</v>
      </c>
      <c r="B135">
        <v>116</v>
      </c>
      <c r="C135" t="s">
        <v>568</v>
      </c>
      <c r="D135" s="453">
        <v>46174</v>
      </c>
      <c r="E135">
        <v>20358</v>
      </c>
      <c r="F135" t="s">
        <v>3952</v>
      </c>
      <c r="G135">
        <v>2200</v>
      </c>
      <c r="H135">
        <v>3.6</v>
      </c>
      <c r="I135" t="s">
        <v>3888</v>
      </c>
      <c r="J135" t="s">
        <v>3469</v>
      </c>
      <c r="K135" t="s">
        <v>465</v>
      </c>
      <c r="L135">
        <v>14.25</v>
      </c>
      <c r="M135" s="453">
        <v>46148</v>
      </c>
      <c r="N135">
        <v>14.25</v>
      </c>
      <c r="O135">
        <v>14.25</v>
      </c>
      <c r="P135">
        <v>51.3</v>
      </c>
    </row>
    <row r="136" spans="1:16" x14ac:dyDescent="0.3">
      <c r="A136">
        <v>90829</v>
      </c>
      <c r="B136">
        <v>116</v>
      </c>
      <c r="C136" t="s">
        <v>568</v>
      </c>
      <c r="D136" s="453">
        <v>46174</v>
      </c>
      <c r="E136">
        <v>23234</v>
      </c>
      <c r="F136" t="s">
        <v>4018</v>
      </c>
      <c r="G136">
        <v>2622</v>
      </c>
      <c r="H136">
        <v>2</v>
      </c>
      <c r="I136" t="s">
        <v>3892</v>
      </c>
      <c r="J136" t="s">
        <v>3469</v>
      </c>
      <c r="K136" t="s">
        <v>465</v>
      </c>
      <c r="L136">
        <v>25</v>
      </c>
      <c r="M136" s="453">
        <v>46143</v>
      </c>
      <c r="N136">
        <v>25</v>
      </c>
      <c r="O136">
        <v>25</v>
      </c>
      <c r="P136">
        <v>50</v>
      </c>
    </row>
    <row r="137" spans="1:16" x14ac:dyDescent="0.3">
      <c r="A137">
        <v>90833</v>
      </c>
      <c r="B137">
        <v>116</v>
      </c>
      <c r="C137" t="s">
        <v>568</v>
      </c>
      <c r="D137" s="453">
        <v>46174</v>
      </c>
      <c r="E137">
        <v>20287</v>
      </c>
      <c r="F137" t="s">
        <v>4053</v>
      </c>
      <c r="G137">
        <v>2229</v>
      </c>
      <c r="H137">
        <v>2</v>
      </c>
      <c r="I137" t="s">
        <v>3888</v>
      </c>
      <c r="J137" t="s">
        <v>3469</v>
      </c>
      <c r="K137" t="s">
        <v>465</v>
      </c>
      <c r="L137">
        <v>24.99</v>
      </c>
      <c r="M137" s="453">
        <v>46162</v>
      </c>
      <c r="N137">
        <v>24.99</v>
      </c>
      <c r="O137">
        <v>24.99</v>
      </c>
      <c r="P137">
        <v>49.98</v>
      </c>
    </row>
    <row r="138" spans="1:16" x14ac:dyDescent="0.3">
      <c r="A138">
        <v>90837</v>
      </c>
      <c r="B138">
        <v>116</v>
      </c>
      <c r="C138" t="s">
        <v>568</v>
      </c>
      <c r="D138" s="453">
        <v>46174</v>
      </c>
      <c r="E138">
        <v>18696</v>
      </c>
      <c r="F138" t="s">
        <v>3956</v>
      </c>
      <c r="G138">
        <v>3035</v>
      </c>
      <c r="H138">
        <v>2.5</v>
      </c>
      <c r="I138" t="s">
        <v>3892</v>
      </c>
      <c r="J138" t="s">
        <v>3469</v>
      </c>
      <c r="K138" t="s">
        <v>465</v>
      </c>
      <c r="L138">
        <v>19.989999999999998</v>
      </c>
      <c r="M138" s="453">
        <v>46161</v>
      </c>
      <c r="N138">
        <v>19.989999999999998</v>
      </c>
      <c r="O138">
        <v>19.989999999999998</v>
      </c>
      <c r="P138">
        <v>49.97</v>
      </c>
    </row>
    <row r="139" spans="1:16" x14ac:dyDescent="0.3">
      <c r="A139">
        <v>90832</v>
      </c>
      <c r="B139">
        <v>116</v>
      </c>
      <c r="C139" t="s">
        <v>568</v>
      </c>
      <c r="D139" s="453">
        <v>46174</v>
      </c>
      <c r="E139">
        <v>21078</v>
      </c>
      <c r="F139" t="s">
        <v>4049</v>
      </c>
      <c r="G139">
        <v>1991</v>
      </c>
      <c r="H139">
        <v>1</v>
      </c>
      <c r="I139" t="s">
        <v>3881</v>
      </c>
      <c r="J139" t="s">
        <v>3469</v>
      </c>
      <c r="K139" t="s">
        <v>465</v>
      </c>
      <c r="L139">
        <v>0</v>
      </c>
      <c r="M139" s="453">
        <v>46008</v>
      </c>
      <c r="N139">
        <v>49.89</v>
      </c>
      <c r="O139">
        <v>52.41</v>
      </c>
      <c r="P139">
        <v>49.89</v>
      </c>
    </row>
    <row r="140" spans="1:16" x14ac:dyDescent="0.3">
      <c r="A140">
        <v>90834</v>
      </c>
      <c r="B140">
        <v>116</v>
      </c>
      <c r="C140" t="s">
        <v>568</v>
      </c>
      <c r="D140" s="453">
        <v>46174</v>
      </c>
      <c r="E140">
        <v>18528</v>
      </c>
      <c r="F140" t="s">
        <v>4108</v>
      </c>
      <c r="G140">
        <v>3147</v>
      </c>
      <c r="H140">
        <v>1</v>
      </c>
      <c r="I140" t="s">
        <v>3878</v>
      </c>
      <c r="J140" t="s">
        <v>3497</v>
      </c>
      <c r="K140" t="s">
        <v>465</v>
      </c>
      <c r="L140">
        <v>0</v>
      </c>
      <c r="M140" s="453">
        <v>46119</v>
      </c>
      <c r="N140">
        <v>49.69</v>
      </c>
      <c r="O140">
        <v>49.69</v>
      </c>
      <c r="P140">
        <v>49.69</v>
      </c>
    </row>
    <row r="141" spans="1:16" x14ac:dyDescent="0.3">
      <c r="A141">
        <v>90775</v>
      </c>
      <c r="B141">
        <v>116</v>
      </c>
      <c r="C141" t="s">
        <v>568</v>
      </c>
      <c r="D141" s="453">
        <v>46174</v>
      </c>
      <c r="E141">
        <v>21123</v>
      </c>
      <c r="F141" t="s">
        <v>4115</v>
      </c>
      <c r="G141">
        <v>1965</v>
      </c>
      <c r="H141">
        <v>8</v>
      </c>
      <c r="I141" t="s">
        <v>3892</v>
      </c>
      <c r="J141" t="s">
        <v>3469</v>
      </c>
      <c r="K141" t="s">
        <v>465</v>
      </c>
      <c r="L141">
        <v>6</v>
      </c>
      <c r="M141" s="453">
        <v>46155</v>
      </c>
      <c r="N141">
        <v>6</v>
      </c>
      <c r="O141">
        <v>6</v>
      </c>
      <c r="P141">
        <v>48</v>
      </c>
    </row>
    <row r="142" spans="1:16" x14ac:dyDescent="0.3">
      <c r="A142">
        <v>90835</v>
      </c>
      <c r="B142">
        <v>116</v>
      </c>
      <c r="C142" t="s">
        <v>568</v>
      </c>
      <c r="D142" s="453">
        <v>46174</v>
      </c>
      <c r="E142">
        <v>20466</v>
      </c>
      <c r="F142" t="s">
        <v>4098</v>
      </c>
      <c r="G142">
        <v>2160</v>
      </c>
      <c r="H142">
        <v>0.7</v>
      </c>
      <c r="I142" t="s">
        <v>3892</v>
      </c>
      <c r="J142" t="s">
        <v>3469</v>
      </c>
      <c r="K142" t="s">
        <v>465</v>
      </c>
      <c r="L142">
        <v>0</v>
      </c>
      <c r="M142" s="453">
        <v>46142</v>
      </c>
      <c r="N142">
        <v>68</v>
      </c>
      <c r="O142">
        <v>68</v>
      </c>
      <c r="P142">
        <v>47.6</v>
      </c>
    </row>
    <row r="143" spans="1:16" x14ac:dyDescent="0.3">
      <c r="A143">
        <v>90836</v>
      </c>
      <c r="B143">
        <v>116</v>
      </c>
      <c r="C143" t="s">
        <v>568</v>
      </c>
      <c r="D143" s="453">
        <v>46174</v>
      </c>
      <c r="E143">
        <v>21085</v>
      </c>
      <c r="F143" t="s">
        <v>4114</v>
      </c>
      <c r="G143">
        <v>1989</v>
      </c>
      <c r="H143">
        <v>1</v>
      </c>
      <c r="I143" t="s">
        <v>3881</v>
      </c>
      <c r="J143" t="s">
        <v>3469</v>
      </c>
      <c r="K143" t="s">
        <v>465</v>
      </c>
      <c r="L143">
        <v>0</v>
      </c>
      <c r="M143" s="453">
        <v>46008</v>
      </c>
      <c r="N143">
        <v>45.31</v>
      </c>
      <c r="O143">
        <v>51.14</v>
      </c>
      <c r="P143">
        <v>45.31</v>
      </c>
    </row>
    <row r="144" spans="1:16" x14ac:dyDescent="0.3">
      <c r="A144">
        <v>90840</v>
      </c>
      <c r="B144">
        <v>116</v>
      </c>
      <c r="C144" t="s">
        <v>568</v>
      </c>
      <c r="D144" s="453">
        <v>46174</v>
      </c>
      <c r="E144">
        <v>20717</v>
      </c>
      <c r="F144" t="s">
        <v>4055</v>
      </c>
      <c r="G144">
        <v>2097</v>
      </c>
      <c r="H144">
        <v>1</v>
      </c>
      <c r="I144" t="s">
        <v>3872</v>
      </c>
      <c r="J144" t="s">
        <v>3469</v>
      </c>
      <c r="K144" t="s">
        <v>465</v>
      </c>
      <c r="L144">
        <v>44.98</v>
      </c>
      <c r="M144" s="453">
        <v>46148</v>
      </c>
      <c r="N144">
        <v>44.98</v>
      </c>
      <c r="O144">
        <v>44.98</v>
      </c>
      <c r="P144">
        <v>44.98</v>
      </c>
    </row>
    <row r="145" spans="1:16" x14ac:dyDescent="0.3">
      <c r="A145">
        <v>90860</v>
      </c>
      <c r="B145">
        <v>116</v>
      </c>
      <c r="C145" t="s">
        <v>568</v>
      </c>
      <c r="D145" s="453">
        <v>46174</v>
      </c>
      <c r="E145">
        <v>24083</v>
      </c>
      <c r="F145" t="s">
        <v>3898</v>
      </c>
      <c r="G145">
        <v>2592</v>
      </c>
      <c r="H145">
        <v>6</v>
      </c>
      <c r="I145" t="s">
        <v>3892</v>
      </c>
      <c r="J145" t="s">
        <v>3469</v>
      </c>
      <c r="K145" t="s">
        <v>465</v>
      </c>
      <c r="L145">
        <v>7.4</v>
      </c>
      <c r="M145" s="453">
        <v>46170</v>
      </c>
      <c r="N145">
        <v>8.5</v>
      </c>
      <c r="O145">
        <v>8.9</v>
      </c>
      <c r="P145">
        <v>44.4</v>
      </c>
    </row>
    <row r="146" spans="1:16" x14ac:dyDescent="0.3">
      <c r="A146">
        <v>90839</v>
      </c>
      <c r="B146">
        <v>116</v>
      </c>
      <c r="C146" t="s">
        <v>568</v>
      </c>
      <c r="D146" s="453">
        <v>46174</v>
      </c>
      <c r="E146">
        <v>20234</v>
      </c>
      <c r="F146" t="s">
        <v>3979</v>
      </c>
      <c r="G146">
        <v>2245</v>
      </c>
      <c r="H146">
        <v>2</v>
      </c>
      <c r="I146" t="s">
        <v>3892</v>
      </c>
      <c r="J146" t="s">
        <v>3469</v>
      </c>
      <c r="K146" t="s">
        <v>465</v>
      </c>
      <c r="L146">
        <v>0</v>
      </c>
      <c r="M146" s="453">
        <v>46105</v>
      </c>
      <c r="N146">
        <v>21.99</v>
      </c>
      <c r="O146">
        <v>16.2</v>
      </c>
      <c r="P146">
        <v>43.98</v>
      </c>
    </row>
    <row r="147" spans="1:16" x14ac:dyDescent="0.3">
      <c r="A147">
        <v>90841</v>
      </c>
      <c r="B147">
        <v>116</v>
      </c>
      <c r="C147" t="s">
        <v>568</v>
      </c>
      <c r="D147" s="453">
        <v>46174</v>
      </c>
      <c r="E147">
        <v>20702</v>
      </c>
      <c r="F147" t="s">
        <v>4006</v>
      </c>
      <c r="G147">
        <v>2101</v>
      </c>
      <c r="H147">
        <v>1</v>
      </c>
      <c r="I147" t="s">
        <v>3966</v>
      </c>
      <c r="J147" t="s">
        <v>3469</v>
      </c>
      <c r="K147" t="s">
        <v>465</v>
      </c>
      <c r="L147">
        <v>42.9</v>
      </c>
      <c r="M147" s="453">
        <v>46147</v>
      </c>
      <c r="N147">
        <v>42.9</v>
      </c>
      <c r="O147">
        <v>42.9</v>
      </c>
      <c r="P147">
        <v>42.9</v>
      </c>
    </row>
    <row r="148" spans="1:16" x14ac:dyDescent="0.3">
      <c r="A148">
        <v>90842</v>
      </c>
      <c r="B148">
        <v>116</v>
      </c>
      <c r="C148" t="s">
        <v>568</v>
      </c>
      <c r="D148" s="453">
        <v>46174</v>
      </c>
      <c r="E148">
        <v>23505</v>
      </c>
      <c r="F148" t="s">
        <v>4124</v>
      </c>
      <c r="G148">
        <v>2364</v>
      </c>
      <c r="H148">
        <v>0.5</v>
      </c>
      <c r="I148" t="s">
        <v>3892</v>
      </c>
      <c r="J148" t="s">
        <v>3469</v>
      </c>
      <c r="K148" t="s">
        <v>465</v>
      </c>
      <c r="L148">
        <v>0</v>
      </c>
      <c r="N148">
        <v>0</v>
      </c>
      <c r="O148">
        <v>0</v>
      </c>
      <c r="P148">
        <v>42.5</v>
      </c>
    </row>
    <row r="149" spans="1:16" x14ac:dyDescent="0.3">
      <c r="A149">
        <v>90843</v>
      </c>
      <c r="B149">
        <v>116</v>
      </c>
      <c r="C149" t="s">
        <v>568</v>
      </c>
      <c r="D149" s="453">
        <v>46174</v>
      </c>
      <c r="E149">
        <v>20597</v>
      </c>
      <c r="F149" t="s">
        <v>4157</v>
      </c>
      <c r="G149">
        <v>2120</v>
      </c>
      <c r="H149">
        <v>1</v>
      </c>
      <c r="I149" t="s">
        <v>3872</v>
      </c>
      <c r="J149" t="s">
        <v>3469</v>
      </c>
      <c r="K149" t="s">
        <v>465</v>
      </c>
      <c r="L149">
        <v>0</v>
      </c>
      <c r="M149" s="453">
        <v>46108</v>
      </c>
      <c r="N149">
        <v>42.35</v>
      </c>
      <c r="O149">
        <v>42.35</v>
      </c>
      <c r="P149">
        <v>42.35</v>
      </c>
    </row>
    <row r="150" spans="1:16" x14ac:dyDescent="0.3">
      <c r="A150">
        <v>90838</v>
      </c>
      <c r="B150">
        <v>116</v>
      </c>
      <c r="C150" t="s">
        <v>568</v>
      </c>
      <c r="D150" s="453">
        <v>46174</v>
      </c>
      <c r="E150">
        <v>20395</v>
      </c>
      <c r="F150" t="s">
        <v>4057</v>
      </c>
      <c r="G150">
        <v>2192</v>
      </c>
      <c r="H150">
        <v>1.5</v>
      </c>
      <c r="I150" t="s">
        <v>3872</v>
      </c>
      <c r="J150" t="s">
        <v>3469</v>
      </c>
      <c r="K150" t="s">
        <v>465</v>
      </c>
      <c r="L150">
        <v>27.1</v>
      </c>
      <c r="M150" s="453">
        <v>46161</v>
      </c>
      <c r="N150">
        <v>27.1</v>
      </c>
      <c r="O150">
        <v>27.1</v>
      </c>
      <c r="P150">
        <v>40.65</v>
      </c>
    </row>
    <row r="151" spans="1:16" x14ac:dyDescent="0.3">
      <c r="A151">
        <v>90844</v>
      </c>
      <c r="B151">
        <v>116</v>
      </c>
      <c r="C151" t="s">
        <v>568</v>
      </c>
      <c r="D151" s="453">
        <v>46174</v>
      </c>
      <c r="E151">
        <v>17897</v>
      </c>
      <c r="F151" t="s">
        <v>4094</v>
      </c>
      <c r="G151">
        <v>3664</v>
      </c>
      <c r="H151">
        <v>1</v>
      </c>
      <c r="I151" t="s">
        <v>3888</v>
      </c>
      <c r="J151" t="s">
        <v>3497</v>
      </c>
      <c r="K151" t="s">
        <v>465</v>
      </c>
      <c r="L151">
        <v>0</v>
      </c>
      <c r="M151" s="453">
        <v>46123</v>
      </c>
      <c r="N151">
        <v>40.29</v>
      </c>
      <c r="O151">
        <v>40.29</v>
      </c>
      <c r="P151">
        <v>40.29</v>
      </c>
    </row>
    <row r="152" spans="1:16" x14ac:dyDescent="0.3">
      <c r="A152">
        <v>90846</v>
      </c>
      <c r="B152">
        <v>116</v>
      </c>
      <c r="C152" t="s">
        <v>568</v>
      </c>
      <c r="D152" s="453">
        <v>46174</v>
      </c>
      <c r="E152">
        <v>20949</v>
      </c>
      <c r="F152" t="s">
        <v>3983</v>
      </c>
      <c r="G152">
        <v>2023</v>
      </c>
      <c r="H152">
        <v>5</v>
      </c>
      <c r="I152" t="s">
        <v>3878</v>
      </c>
      <c r="J152" t="s">
        <v>3469</v>
      </c>
      <c r="K152" t="s">
        <v>465</v>
      </c>
      <c r="L152">
        <v>7.96</v>
      </c>
      <c r="M152" s="453">
        <v>46148</v>
      </c>
      <c r="N152">
        <v>7.96</v>
      </c>
      <c r="O152">
        <v>7.96</v>
      </c>
      <c r="P152">
        <v>39.799999999999997</v>
      </c>
    </row>
    <row r="153" spans="1:16" x14ac:dyDescent="0.3">
      <c r="A153">
        <v>90848</v>
      </c>
      <c r="B153">
        <v>116</v>
      </c>
      <c r="C153" t="s">
        <v>568</v>
      </c>
      <c r="D153" s="453">
        <v>46174</v>
      </c>
      <c r="E153">
        <v>25768</v>
      </c>
      <c r="F153" t="s">
        <v>4012</v>
      </c>
      <c r="G153">
        <v>6317</v>
      </c>
      <c r="H153">
        <v>4</v>
      </c>
      <c r="I153" t="s">
        <v>3892</v>
      </c>
      <c r="J153" t="s">
        <v>3469</v>
      </c>
      <c r="K153" t="s">
        <v>465</v>
      </c>
      <c r="L153">
        <v>9.9</v>
      </c>
      <c r="M153" s="453">
        <v>46162</v>
      </c>
      <c r="N153">
        <v>9.9</v>
      </c>
      <c r="O153">
        <v>9.9</v>
      </c>
      <c r="P153">
        <v>39.6</v>
      </c>
    </row>
    <row r="154" spans="1:16" x14ac:dyDescent="0.3">
      <c r="A154">
        <v>90847</v>
      </c>
      <c r="B154">
        <v>116</v>
      </c>
      <c r="C154" t="s">
        <v>568</v>
      </c>
      <c r="D154" s="453">
        <v>46174</v>
      </c>
      <c r="E154">
        <v>25167</v>
      </c>
      <c r="F154" t="s">
        <v>3951</v>
      </c>
      <c r="G154">
        <v>5930</v>
      </c>
      <c r="H154">
        <v>5</v>
      </c>
      <c r="I154" t="s">
        <v>3892</v>
      </c>
      <c r="J154" t="s">
        <v>3469</v>
      </c>
      <c r="K154" t="s">
        <v>465</v>
      </c>
      <c r="L154">
        <v>0</v>
      </c>
      <c r="M154" s="453">
        <v>45840</v>
      </c>
      <c r="N154">
        <v>7.9</v>
      </c>
      <c r="O154">
        <v>7.9</v>
      </c>
      <c r="P154">
        <v>39.5</v>
      </c>
    </row>
    <row r="155" spans="1:16" x14ac:dyDescent="0.3">
      <c r="A155">
        <v>90850</v>
      </c>
      <c r="B155">
        <v>116</v>
      </c>
      <c r="C155" t="s">
        <v>568</v>
      </c>
      <c r="D155" s="453">
        <v>46174</v>
      </c>
      <c r="E155">
        <v>20117</v>
      </c>
      <c r="F155" t="s">
        <v>4010</v>
      </c>
      <c r="G155">
        <v>2291</v>
      </c>
      <c r="H155">
        <v>1</v>
      </c>
      <c r="I155" t="s">
        <v>3872</v>
      </c>
      <c r="J155" t="s">
        <v>3469</v>
      </c>
      <c r="K155" t="s">
        <v>465</v>
      </c>
      <c r="L155">
        <v>39.130000000000003</v>
      </c>
      <c r="M155" s="453">
        <v>46168</v>
      </c>
      <c r="N155">
        <v>40.4</v>
      </c>
      <c r="O155">
        <v>40.4</v>
      </c>
      <c r="P155">
        <v>39.130000000000003</v>
      </c>
    </row>
    <row r="156" spans="1:16" x14ac:dyDescent="0.3">
      <c r="A156">
        <v>90849</v>
      </c>
      <c r="B156">
        <v>116</v>
      </c>
      <c r="C156" t="s">
        <v>568</v>
      </c>
      <c r="D156" s="453">
        <v>46174</v>
      </c>
      <c r="E156">
        <v>18341</v>
      </c>
      <c r="F156" t="s">
        <v>4086</v>
      </c>
      <c r="G156">
        <v>3293</v>
      </c>
      <c r="H156">
        <v>1</v>
      </c>
      <c r="I156" t="s">
        <v>3878</v>
      </c>
      <c r="J156" t="s">
        <v>3497</v>
      </c>
      <c r="K156" t="s">
        <v>465</v>
      </c>
      <c r="L156">
        <v>0</v>
      </c>
      <c r="N156">
        <v>0</v>
      </c>
      <c r="O156">
        <v>50</v>
      </c>
      <c r="P156">
        <v>38</v>
      </c>
    </row>
    <row r="157" spans="1:16" x14ac:dyDescent="0.3">
      <c r="A157">
        <v>90851</v>
      </c>
      <c r="B157">
        <v>116</v>
      </c>
      <c r="C157" t="s">
        <v>568</v>
      </c>
      <c r="D157" s="453">
        <v>46174</v>
      </c>
      <c r="E157">
        <v>18317</v>
      </c>
      <c r="F157" t="s">
        <v>4045</v>
      </c>
      <c r="G157">
        <v>3316</v>
      </c>
      <c r="H157">
        <v>1</v>
      </c>
      <c r="I157" t="s">
        <v>3878</v>
      </c>
      <c r="J157" t="s">
        <v>3497</v>
      </c>
      <c r="K157" t="s">
        <v>465</v>
      </c>
      <c r="L157">
        <v>0</v>
      </c>
      <c r="M157" s="453">
        <v>45908</v>
      </c>
      <c r="N157">
        <v>37.25</v>
      </c>
      <c r="O157">
        <v>37.25</v>
      </c>
      <c r="P157">
        <v>37.25</v>
      </c>
    </row>
    <row r="158" spans="1:16" x14ac:dyDescent="0.3">
      <c r="A158">
        <v>90852</v>
      </c>
      <c r="B158">
        <v>116</v>
      </c>
      <c r="C158" t="s">
        <v>568</v>
      </c>
      <c r="D158" s="453">
        <v>46174</v>
      </c>
      <c r="E158">
        <v>23503</v>
      </c>
      <c r="F158" t="s">
        <v>4041</v>
      </c>
      <c r="G158">
        <v>2366</v>
      </c>
      <c r="H158">
        <v>1.5</v>
      </c>
      <c r="I158" t="s">
        <v>3892</v>
      </c>
      <c r="J158" t="s">
        <v>3469</v>
      </c>
      <c r="K158" t="s">
        <v>465</v>
      </c>
      <c r="L158">
        <v>0</v>
      </c>
      <c r="M158" s="453">
        <v>46063</v>
      </c>
      <c r="N158">
        <v>24.2</v>
      </c>
      <c r="O158">
        <v>23.6</v>
      </c>
      <c r="P158">
        <v>36.299999999999997</v>
      </c>
    </row>
    <row r="159" spans="1:16" x14ac:dyDescent="0.3">
      <c r="A159">
        <v>90875</v>
      </c>
      <c r="B159">
        <v>116</v>
      </c>
      <c r="C159" t="s">
        <v>568</v>
      </c>
      <c r="D159" s="453">
        <v>46174</v>
      </c>
      <c r="E159">
        <v>17878</v>
      </c>
      <c r="F159" t="s">
        <v>4096</v>
      </c>
      <c r="G159">
        <v>3677</v>
      </c>
      <c r="H159">
        <v>1</v>
      </c>
      <c r="I159" t="s">
        <v>3872</v>
      </c>
      <c r="J159" t="s">
        <v>3497</v>
      </c>
      <c r="K159" t="s">
        <v>465</v>
      </c>
      <c r="L159">
        <v>35.9</v>
      </c>
      <c r="M159" s="453">
        <v>46148</v>
      </c>
      <c r="N159">
        <v>35.9</v>
      </c>
      <c r="O159">
        <v>18.899999999999999</v>
      </c>
      <c r="P159">
        <v>35.9</v>
      </c>
    </row>
    <row r="160" spans="1:16" x14ac:dyDescent="0.3">
      <c r="A160">
        <v>90854</v>
      </c>
      <c r="B160">
        <v>116</v>
      </c>
      <c r="C160" t="s">
        <v>568</v>
      </c>
      <c r="D160" s="453">
        <v>46174</v>
      </c>
      <c r="E160">
        <v>19787</v>
      </c>
      <c r="F160" t="s">
        <v>3940</v>
      </c>
      <c r="G160">
        <v>2471</v>
      </c>
      <c r="H160">
        <v>6</v>
      </c>
      <c r="I160" t="s">
        <v>3892</v>
      </c>
      <c r="J160" t="s">
        <v>3469</v>
      </c>
      <c r="K160" t="s">
        <v>465</v>
      </c>
      <c r="L160">
        <v>5.95</v>
      </c>
      <c r="M160" s="453">
        <v>46170</v>
      </c>
      <c r="N160">
        <v>5.5</v>
      </c>
      <c r="O160">
        <v>5.5</v>
      </c>
      <c r="P160">
        <v>35.700000000000003</v>
      </c>
    </row>
    <row r="161" spans="1:16" x14ac:dyDescent="0.3">
      <c r="A161">
        <v>90857</v>
      </c>
      <c r="B161">
        <v>116</v>
      </c>
      <c r="C161" t="s">
        <v>568</v>
      </c>
      <c r="D161" s="453">
        <v>46174</v>
      </c>
      <c r="E161">
        <v>20077</v>
      </c>
      <c r="F161" t="s">
        <v>4054</v>
      </c>
      <c r="G161">
        <v>2317</v>
      </c>
      <c r="H161">
        <v>2</v>
      </c>
      <c r="I161" t="s">
        <v>3888</v>
      </c>
      <c r="J161" t="s">
        <v>3469</v>
      </c>
      <c r="K161" t="s">
        <v>465</v>
      </c>
      <c r="L161">
        <v>17.600000000000001</v>
      </c>
      <c r="M161" s="453">
        <v>46168</v>
      </c>
      <c r="N161">
        <v>17.600000000000001</v>
      </c>
      <c r="O161">
        <v>17.600000000000001</v>
      </c>
      <c r="P161">
        <v>35.200000000000003</v>
      </c>
    </row>
    <row r="162" spans="1:16" x14ac:dyDescent="0.3">
      <c r="A162">
        <v>90855</v>
      </c>
      <c r="B162">
        <v>116</v>
      </c>
      <c r="C162" t="s">
        <v>568</v>
      </c>
      <c r="D162" s="453">
        <v>46174</v>
      </c>
      <c r="E162">
        <v>19765</v>
      </c>
      <c r="F162" t="s">
        <v>4071</v>
      </c>
      <c r="G162">
        <v>2488</v>
      </c>
      <c r="H162">
        <v>1</v>
      </c>
      <c r="I162" t="s">
        <v>3892</v>
      </c>
      <c r="J162" t="s">
        <v>3469</v>
      </c>
      <c r="K162" t="s">
        <v>465</v>
      </c>
      <c r="L162">
        <v>0</v>
      </c>
      <c r="M162" s="453">
        <v>46142</v>
      </c>
      <c r="N162">
        <v>35</v>
      </c>
      <c r="O162">
        <v>35.299999999999997</v>
      </c>
      <c r="P162">
        <v>35</v>
      </c>
    </row>
    <row r="163" spans="1:16" x14ac:dyDescent="0.3">
      <c r="A163">
        <v>90853</v>
      </c>
      <c r="B163">
        <v>116</v>
      </c>
      <c r="C163" t="s">
        <v>568</v>
      </c>
      <c r="D163" s="453">
        <v>46174</v>
      </c>
      <c r="E163">
        <v>24185</v>
      </c>
      <c r="F163" t="s">
        <v>4040</v>
      </c>
      <c r="G163">
        <v>2331</v>
      </c>
      <c r="H163">
        <v>1.5</v>
      </c>
      <c r="I163" t="s">
        <v>3892</v>
      </c>
      <c r="J163" t="s">
        <v>3469</v>
      </c>
      <c r="K163" t="s">
        <v>465</v>
      </c>
      <c r="L163">
        <v>23.2</v>
      </c>
      <c r="M163" s="453">
        <v>46168</v>
      </c>
      <c r="N163">
        <v>23.2</v>
      </c>
      <c r="O163">
        <v>23.2</v>
      </c>
      <c r="P163">
        <v>34.799999999999997</v>
      </c>
    </row>
    <row r="164" spans="1:16" x14ac:dyDescent="0.3">
      <c r="A164">
        <v>90845</v>
      </c>
      <c r="B164">
        <v>116</v>
      </c>
      <c r="C164" t="s">
        <v>568</v>
      </c>
      <c r="D164" s="453">
        <v>46174</v>
      </c>
      <c r="E164">
        <v>20832</v>
      </c>
      <c r="F164" t="s">
        <v>4060</v>
      </c>
      <c r="G164">
        <v>2065</v>
      </c>
      <c r="H164">
        <v>1</v>
      </c>
      <c r="I164" t="s">
        <v>3886</v>
      </c>
      <c r="J164" t="s">
        <v>3469</v>
      </c>
      <c r="K164" t="s">
        <v>465</v>
      </c>
      <c r="L164">
        <v>34</v>
      </c>
      <c r="M164" s="453">
        <v>46148</v>
      </c>
      <c r="N164">
        <v>34</v>
      </c>
      <c r="O164">
        <v>34</v>
      </c>
      <c r="P164">
        <v>34</v>
      </c>
    </row>
    <row r="165" spans="1:16" x14ac:dyDescent="0.3">
      <c r="A165">
        <v>90856</v>
      </c>
      <c r="B165">
        <v>116</v>
      </c>
      <c r="C165" t="s">
        <v>568</v>
      </c>
      <c r="D165" s="453">
        <v>46174</v>
      </c>
      <c r="E165">
        <v>19428</v>
      </c>
      <c r="F165" t="s">
        <v>4169</v>
      </c>
      <c r="G165">
        <v>2758</v>
      </c>
      <c r="H165">
        <v>6</v>
      </c>
      <c r="I165" t="s">
        <v>3872</v>
      </c>
      <c r="J165" t="s">
        <v>3469</v>
      </c>
      <c r="K165" t="s">
        <v>465</v>
      </c>
      <c r="L165">
        <v>0</v>
      </c>
      <c r="M165" s="453">
        <v>46126</v>
      </c>
      <c r="N165">
        <v>5.5</v>
      </c>
      <c r="O165">
        <v>5.05</v>
      </c>
      <c r="P165">
        <v>33</v>
      </c>
    </row>
    <row r="166" spans="1:16" x14ac:dyDescent="0.3">
      <c r="A166">
        <v>90858</v>
      </c>
      <c r="B166">
        <v>116</v>
      </c>
      <c r="C166" t="s">
        <v>568</v>
      </c>
      <c r="D166" s="453">
        <v>46174</v>
      </c>
      <c r="E166">
        <v>20231</v>
      </c>
      <c r="F166" t="s">
        <v>4123</v>
      </c>
      <c r="G166">
        <v>2247</v>
      </c>
      <c r="H166">
        <v>2</v>
      </c>
      <c r="I166" t="s">
        <v>3888</v>
      </c>
      <c r="J166" t="s">
        <v>3469</v>
      </c>
      <c r="K166" t="s">
        <v>465</v>
      </c>
      <c r="L166">
        <v>0</v>
      </c>
      <c r="M166" s="453">
        <v>46121</v>
      </c>
      <c r="N166">
        <v>16.2</v>
      </c>
      <c r="O166">
        <v>17</v>
      </c>
      <c r="P166">
        <v>32.4</v>
      </c>
    </row>
    <row r="167" spans="1:16" x14ac:dyDescent="0.3">
      <c r="A167">
        <v>90862</v>
      </c>
      <c r="B167">
        <v>116</v>
      </c>
      <c r="C167" t="s">
        <v>568</v>
      </c>
      <c r="D167" s="453">
        <v>46174</v>
      </c>
      <c r="E167">
        <v>19973</v>
      </c>
      <c r="F167" t="s">
        <v>3981</v>
      </c>
      <c r="G167">
        <v>2354</v>
      </c>
      <c r="H167">
        <v>2</v>
      </c>
      <c r="I167" t="s">
        <v>3872</v>
      </c>
      <c r="J167" t="s">
        <v>3469</v>
      </c>
      <c r="K167" t="s">
        <v>465</v>
      </c>
      <c r="L167">
        <v>16.2</v>
      </c>
      <c r="M167" s="453">
        <v>46161</v>
      </c>
      <c r="N167">
        <v>16.2</v>
      </c>
      <c r="O167">
        <v>15.11</v>
      </c>
      <c r="P167">
        <v>32.4</v>
      </c>
    </row>
    <row r="168" spans="1:16" x14ac:dyDescent="0.3">
      <c r="A168">
        <v>90859</v>
      </c>
      <c r="B168">
        <v>116</v>
      </c>
      <c r="C168" t="s">
        <v>568</v>
      </c>
      <c r="D168" s="453">
        <v>46174</v>
      </c>
      <c r="E168">
        <v>18395</v>
      </c>
      <c r="F168" t="s">
        <v>4085</v>
      </c>
      <c r="G168">
        <v>3245</v>
      </c>
      <c r="H168">
        <v>1</v>
      </c>
      <c r="I168" t="s">
        <v>3878</v>
      </c>
      <c r="J168" t="s">
        <v>3497</v>
      </c>
      <c r="K168" t="s">
        <v>465</v>
      </c>
      <c r="L168">
        <v>0</v>
      </c>
      <c r="M168" s="453">
        <v>45978</v>
      </c>
      <c r="N168">
        <v>32</v>
      </c>
      <c r="O168">
        <v>29.9</v>
      </c>
      <c r="P168">
        <v>32</v>
      </c>
    </row>
    <row r="169" spans="1:16" x14ac:dyDescent="0.3">
      <c r="A169">
        <v>90861</v>
      </c>
      <c r="B169">
        <v>116</v>
      </c>
      <c r="C169" t="s">
        <v>568</v>
      </c>
      <c r="D169" s="453">
        <v>46174</v>
      </c>
      <c r="E169">
        <v>25237</v>
      </c>
      <c r="F169" t="s">
        <v>4164</v>
      </c>
      <c r="G169">
        <v>5960</v>
      </c>
      <c r="H169">
        <v>6</v>
      </c>
      <c r="I169" t="s">
        <v>3872</v>
      </c>
      <c r="J169" t="s">
        <v>3469</v>
      </c>
      <c r="K169" t="s">
        <v>465</v>
      </c>
      <c r="L169">
        <v>5.29</v>
      </c>
      <c r="M169" s="453">
        <v>46162</v>
      </c>
      <c r="N169">
        <v>5.29</v>
      </c>
      <c r="O169">
        <v>5.29</v>
      </c>
      <c r="P169">
        <v>31.74</v>
      </c>
    </row>
    <row r="170" spans="1:16" x14ac:dyDescent="0.3">
      <c r="A170">
        <v>90863</v>
      </c>
      <c r="B170">
        <v>116</v>
      </c>
      <c r="C170" t="s">
        <v>568</v>
      </c>
      <c r="D170" s="453">
        <v>46174</v>
      </c>
      <c r="E170">
        <v>19576</v>
      </c>
      <c r="F170" t="s">
        <v>4021</v>
      </c>
      <c r="G170">
        <v>2642</v>
      </c>
      <c r="H170">
        <v>2</v>
      </c>
      <c r="I170" t="s">
        <v>3892</v>
      </c>
      <c r="J170" t="s">
        <v>3469</v>
      </c>
      <c r="K170" t="s">
        <v>465</v>
      </c>
      <c r="L170">
        <v>0</v>
      </c>
      <c r="M170" s="453">
        <v>46055</v>
      </c>
      <c r="N170">
        <v>15</v>
      </c>
      <c r="O170">
        <v>15</v>
      </c>
      <c r="P170">
        <v>30</v>
      </c>
    </row>
    <row r="171" spans="1:16" x14ac:dyDescent="0.3">
      <c r="A171">
        <v>90929</v>
      </c>
      <c r="B171">
        <v>116</v>
      </c>
      <c r="C171" t="s">
        <v>568</v>
      </c>
      <c r="D171" s="453">
        <v>46174</v>
      </c>
      <c r="E171">
        <v>17955</v>
      </c>
      <c r="F171" t="s">
        <v>4190</v>
      </c>
      <c r="G171">
        <v>3623</v>
      </c>
      <c r="H171">
        <v>2</v>
      </c>
      <c r="I171" t="s">
        <v>3872</v>
      </c>
      <c r="J171" t="s">
        <v>3497</v>
      </c>
      <c r="K171" t="s">
        <v>465</v>
      </c>
      <c r="L171">
        <v>15</v>
      </c>
      <c r="M171" s="453">
        <v>46167</v>
      </c>
      <c r="N171">
        <v>15</v>
      </c>
      <c r="O171">
        <v>15</v>
      </c>
      <c r="P171">
        <v>30</v>
      </c>
    </row>
    <row r="172" spans="1:16" x14ac:dyDescent="0.3">
      <c r="A172">
        <v>90864</v>
      </c>
      <c r="B172">
        <v>116</v>
      </c>
      <c r="C172" t="s">
        <v>568</v>
      </c>
      <c r="D172" s="453">
        <v>46174</v>
      </c>
      <c r="E172">
        <v>27079</v>
      </c>
      <c r="F172" t="s">
        <v>3891</v>
      </c>
      <c r="G172">
        <v>2497</v>
      </c>
      <c r="H172">
        <v>9</v>
      </c>
      <c r="I172" t="s">
        <v>3892</v>
      </c>
      <c r="J172" t="s">
        <v>3469</v>
      </c>
      <c r="K172" t="s">
        <v>465</v>
      </c>
      <c r="L172">
        <v>0</v>
      </c>
      <c r="M172" s="453">
        <v>45813</v>
      </c>
      <c r="N172">
        <v>3.25</v>
      </c>
      <c r="O172">
        <v>3.25</v>
      </c>
      <c r="P172">
        <v>29.25</v>
      </c>
    </row>
    <row r="173" spans="1:16" x14ac:dyDescent="0.3">
      <c r="A173">
        <v>90865</v>
      </c>
      <c r="B173">
        <v>116</v>
      </c>
      <c r="C173" t="s">
        <v>568</v>
      </c>
      <c r="D173" s="453">
        <v>46174</v>
      </c>
      <c r="E173">
        <v>19649</v>
      </c>
      <c r="F173" t="s">
        <v>4015</v>
      </c>
      <c r="G173">
        <v>2589</v>
      </c>
      <c r="H173">
        <v>1</v>
      </c>
      <c r="I173" t="s">
        <v>3892</v>
      </c>
      <c r="J173" t="s">
        <v>3469</v>
      </c>
      <c r="K173" t="s">
        <v>465</v>
      </c>
      <c r="L173">
        <v>0</v>
      </c>
      <c r="M173" s="453">
        <v>45831</v>
      </c>
      <c r="N173">
        <v>29</v>
      </c>
      <c r="O173">
        <v>23.5</v>
      </c>
      <c r="P173">
        <v>29</v>
      </c>
    </row>
    <row r="174" spans="1:16" x14ac:dyDescent="0.3">
      <c r="A174">
        <v>90866</v>
      </c>
      <c r="B174">
        <v>116</v>
      </c>
      <c r="C174" t="s">
        <v>568</v>
      </c>
      <c r="D174" s="453">
        <v>46174</v>
      </c>
      <c r="E174">
        <v>20327</v>
      </c>
      <c r="F174" t="s">
        <v>4179</v>
      </c>
      <c r="G174">
        <v>2211</v>
      </c>
      <c r="H174">
        <v>4</v>
      </c>
      <c r="I174" t="s">
        <v>3888</v>
      </c>
      <c r="J174" t="s">
        <v>3469</v>
      </c>
      <c r="K174" t="s">
        <v>465</v>
      </c>
      <c r="L174">
        <v>0</v>
      </c>
      <c r="M174" s="453">
        <v>46126</v>
      </c>
      <c r="N174">
        <v>7.2</v>
      </c>
      <c r="O174">
        <v>7.2</v>
      </c>
      <c r="P174">
        <v>28.8</v>
      </c>
    </row>
    <row r="175" spans="1:16" x14ac:dyDescent="0.3">
      <c r="A175">
        <v>90867</v>
      </c>
      <c r="B175">
        <v>116</v>
      </c>
      <c r="C175" t="s">
        <v>568</v>
      </c>
      <c r="D175" s="453">
        <v>46174</v>
      </c>
      <c r="E175">
        <v>19034</v>
      </c>
      <c r="F175" t="s">
        <v>3989</v>
      </c>
      <c r="G175">
        <v>2890</v>
      </c>
      <c r="H175">
        <v>3.2</v>
      </c>
      <c r="I175" t="s">
        <v>3892</v>
      </c>
      <c r="J175" t="s">
        <v>3469</v>
      </c>
      <c r="K175" t="s">
        <v>465</v>
      </c>
      <c r="L175">
        <v>9</v>
      </c>
      <c r="M175" s="453">
        <v>46147</v>
      </c>
      <c r="N175">
        <v>9</v>
      </c>
      <c r="O175">
        <v>9</v>
      </c>
      <c r="P175">
        <v>28.8</v>
      </c>
    </row>
    <row r="176" spans="1:16" x14ac:dyDescent="0.3">
      <c r="A176">
        <v>90868</v>
      </c>
      <c r="B176">
        <v>116</v>
      </c>
      <c r="C176" t="s">
        <v>568</v>
      </c>
      <c r="D176" s="453">
        <v>46174</v>
      </c>
      <c r="E176">
        <v>25720</v>
      </c>
      <c r="F176" t="s">
        <v>3926</v>
      </c>
      <c r="G176">
        <v>2197</v>
      </c>
      <c r="H176">
        <v>1.7</v>
      </c>
      <c r="I176" t="s">
        <v>3892</v>
      </c>
      <c r="J176" t="s">
        <v>3469</v>
      </c>
      <c r="K176" t="s">
        <v>465</v>
      </c>
      <c r="L176">
        <v>0</v>
      </c>
      <c r="N176">
        <v>0</v>
      </c>
      <c r="O176">
        <v>0</v>
      </c>
      <c r="P176">
        <v>28.73</v>
      </c>
    </row>
    <row r="177" spans="1:16" x14ac:dyDescent="0.3">
      <c r="A177">
        <v>90869</v>
      </c>
      <c r="B177">
        <v>116</v>
      </c>
      <c r="C177" t="s">
        <v>568</v>
      </c>
      <c r="D177" s="453">
        <v>46174</v>
      </c>
      <c r="E177">
        <v>20458</v>
      </c>
      <c r="F177" t="s">
        <v>4121</v>
      </c>
      <c r="G177">
        <v>2164</v>
      </c>
      <c r="H177">
        <v>0.85</v>
      </c>
      <c r="I177" t="s">
        <v>3892</v>
      </c>
      <c r="J177" t="s">
        <v>3469</v>
      </c>
      <c r="K177" t="s">
        <v>465</v>
      </c>
      <c r="L177">
        <v>32.9</v>
      </c>
      <c r="M177" s="453">
        <v>46147</v>
      </c>
      <c r="N177">
        <v>32.9</v>
      </c>
      <c r="O177">
        <v>32.9</v>
      </c>
      <c r="P177">
        <v>27.96</v>
      </c>
    </row>
    <row r="178" spans="1:16" x14ac:dyDescent="0.3">
      <c r="A178">
        <v>90870</v>
      </c>
      <c r="B178">
        <v>116</v>
      </c>
      <c r="C178" t="s">
        <v>568</v>
      </c>
      <c r="D178" s="453">
        <v>46174</v>
      </c>
      <c r="E178">
        <v>19740</v>
      </c>
      <c r="F178" t="s">
        <v>3933</v>
      </c>
      <c r="G178">
        <v>2513</v>
      </c>
      <c r="H178">
        <v>3</v>
      </c>
      <c r="I178" t="s">
        <v>3892</v>
      </c>
      <c r="J178" t="s">
        <v>3469</v>
      </c>
      <c r="K178" t="s">
        <v>465</v>
      </c>
      <c r="L178">
        <v>9.1199999999999992</v>
      </c>
      <c r="M178" s="453">
        <v>46163</v>
      </c>
      <c r="N178">
        <v>10.4</v>
      </c>
      <c r="O178">
        <v>9.1</v>
      </c>
      <c r="P178">
        <v>27.36</v>
      </c>
    </row>
    <row r="179" spans="1:16" x14ac:dyDescent="0.3">
      <c r="A179">
        <v>90874</v>
      </c>
      <c r="B179">
        <v>116</v>
      </c>
      <c r="C179" t="s">
        <v>568</v>
      </c>
      <c r="D179" s="453">
        <v>46174</v>
      </c>
      <c r="E179">
        <v>19017</v>
      </c>
      <c r="F179" t="s">
        <v>4172</v>
      </c>
      <c r="G179">
        <v>2893</v>
      </c>
      <c r="H179">
        <v>1.7</v>
      </c>
      <c r="I179" t="s">
        <v>3892</v>
      </c>
      <c r="J179" t="s">
        <v>3469</v>
      </c>
      <c r="K179" t="s">
        <v>465</v>
      </c>
      <c r="L179">
        <v>15</v>
      </c>
      <c r="M179" s="453">
        <v>46161</v>
      </c>
      <c r="N179">
        <v>15</v>
      </c>
      <c r="O179">
        <v>16</v>
      </c>
      <c r="P179">
        <v>25.5</v>
      </c>
    </row>
    <row r="180" spans="1:16" x14ac:dyDescent="0.3">
      <c r="A180">
        <v>90881</v>
      </c>
      <c r="B180">
        <v>116</v>
      </c>
      <c r="C180" t="s">
        <v>568</v>
      </c>
      <c r="D180" s="453">
        <v>46174</v>
      </c>
      <c r="E180">
        <v>19494</v>
      </c>
      <c r="F180" t="s">
        <v>4126</v>
      </c>
      <c r="G180">
        <v>2716</v>
      </c>
      <c r="H180">
        <v>1.5</v>
      </c>
      <c r="I180" t="s">
        <v>3892</v>
      </c>
      <c r="J180" t="s">
        <v>3469</v>
      </c>
      <c r="K180" t="s">
        <v>465</v>
      </c>
      <c r="L180">
        <v>16.78</v>
      </c>
      <c r="M180" s="453">
        <v>46170</v>
      </c>
      <c r="N180">
        <v>18</v>
      </c>
      <c r="O180">
        <v>18</v>
      </c>
      <c r="P180">
        <v>25.17</v>
      </c>
    </row>
    <row r="181" spans="1:16" x14ac:dyDescent="0.3">
      <c r="A181">
        <v>90877</v>
      </c>
      <c r="B181">
        <v>116</v>
      </c>
      <c r="C181" t="s">
        <v>568</v>
      </c>
      <c r="D181" s="453">
        <v>46174</v>
      </c>
      <c r="E181">
        <v>17066</v>
      </c>
      <c r="F181" t="s">
        <v>4155</v>
      </c>
      <c r="G181">
        <v>2543</v>
      </c>
      <c r="H181">
        <v>1</v>
      </c>
      <c r="I181" t="s">
        <v>3892</v>
      </c>
      <c r="J181" t="s">
        <v>3469</v>
      </c>
      <c r="K181" t="s">
        <v>465</v>
      </c>
      <c r="L181">
        <v>24.09</v>
      </c>
      <c r="M181" s="453">
        <v>46163</v>
      </c>
      <c r="N181">
        <v>24.7</v>
      </c>
      <c r="O181">
        <v>20.88</v>
      </c>
      <c r="P181">
        <v>24.09</v>
      </c>
    </row>
    <row r="182" spans="1:16" x14ac:dyDescent="0.3">
      <c r="A182">
        <v>90873</v>
      </c>
      <c r="B182">
        <v>116</v>
      </c>
      <c r="C182" t="s">
        <v>568</v>
      </c>
      <c r="D182" s="453">
        <v>46174</v>
      </c>
      <c r="E182">
        <v>19634</v>
      </c>
      <c r="F182" t="s">
        <v>4068</v>
      </c>
      <c r="G182">
        <v>2602</v>
      </c>
      <c r="H182">
        <v>3.1</v>
      </c>
      <c r="I182" t="s">
        <v>3892</v>
      </c>
      <c r="J182" t="s">
        <v>3469</v>
      </c>
      <c r="K182" t="s">
        <v>465</v>
      </c>
      <c r="L182">
        <v>7.67</v>
      </c>
      <c r="M182" s="453">
        <v>46163</v>
      </c>
      <c r="N182">
        <v>7.8</v>
      </c>
      <c r="O182">
        <v>7.89</v>
      </c>
      <c r="P182">
        <v>23.78</v>
      </c>
    </row>
    <row r="183" spans="1:16" x14ac:dyDescent="0.3">
      <c r="A183">
        <v>90876</v>
      </c>
      <c r="B183">
        <v>116</v>
      </c>
      <c r="C183" t="s">
        <v>568</v>
      </c>
      <c r="D183" s="453">
        <v>46174</v>
      </c>
      <c r="E183">
        <v>20456</v>
      </c>
      <c r="F183" t="s">
        <v>4000</v>
      </c>
      <c r="G183">
        <v>2166</v>
      </c>
      <c r="H183">
        <v>0.6</v>
      </c>
      <c r="I183" t="s">
        <v>3892</v>
      </c>
      <c r="J183" t="s">
        <v>3469</v>
      </c>
      <c r="K183" t="s">
        <v>465</v>
      </c>
      <c r="L183">
        <v>39</v>
      </c>
      <c r="M183" s="453">
        <v>46147</v>
      </c>
      <c r="N183">
        <v>39</v>
      </c>
      <c r="O183">
        <v>39</v>
      </c>
      <c r="P183">
        <v>23.4</v>
      </c>
    </row>
    <row r="184" spans="1:16" x14ac:dyDescent="0.3">
      <c r="A184">
        <v>90880</v>
      </c>
      <c r="B184">
        <v>116</v>
      </c>
      <c r="C184" t="s">
        <v>568</v>
      </c>
      <c r="D184" s="453">
        <v>46174</v>
      </c>
      <c r="E184">
        <v>25769</v>
      </c>
      <c r="F184" t="s">
        <v>4013</v>
      </c>
      <c r="G184">
        <v>6318</v>
      </c>
      <c r="H184">
        <v>1.5</v>
      </c>
      <c r="I184" t="s">
        <v>3892</v>
      </c>
      <c r="J184" t="s">
        <v>3469</v>
      </c>
      <c r="K184" t="s">
        <v>465</v>
      </c>
      <c r="L184">
        <v>13.9</v>
      </c>
      <c r="M184" s="453">
        <v>46168</v>
      </c>
      <c r="N184">
        <v>13.9</v>
      </c>
      <c r="O184">
        <v>13.9</v>
      </c>
      <c r="P184">
        <v>20.85</v>
      </c>
    </row>
    <row r="185" spans="1:16" x14ac:dyDescent="0.3">
      <c r="A185">
        <v>90878</v>
      </c>
      <c r="B185">
        <v>116</v>
      </c>
      <c r="C185" t="s">
        <v>568</v>
      </c>
      <c r="D185" s="453">
        <v>46174</v>
      </c>
      <c r="E185">
        <v>20500</v>
      </c>
      <c r="F185" t="s">
        <v>3954</v>
      </c>
      <c r="G185">
        <v>2154</v>
      </c>
      <c r="H185">
        <v>1</v>
      </c>
      <c r="I185" t="s">
        <v>3872</v>
      </c>
      <c r="J185" t="s">
        <v>3469</v>
      </c>
      <c r="K185" t="s">
        <v>465</v>
      </c>
      <c r="L185">
        <v>0</v>
      </c>
      <c r="M185" s="453">
        <v>45917</v>
      </c>
      <c r="N185">
        <v>20.8</v>
      </c>
      <c r="O185">
        <v>21.9</v>
      </c>
      <c r="P185">
        <v>20.8</v>
      </c>
    </row>
    <row r="186" spans="1:16" x14ac:dyDescent="0.3">
      <c r="A186">
        <v>90872</v>
      </c>
      <c r="B186">
        <v>116</v>
      </c>
      <c r="C186" t="s">
        <v>568</v>
      </c>
      <c r="D186" s="453">
        <v>46174</v>
      </c>
      <c r="E186">
        <v>23095</v>
      </c>
      <c r="F186" t="s">
        <v>3882</v>
      </c>
      <c r="G186">
        <v>2754</v>
      </c>
      <c r="H186">
        <v>20</v>
      </c>
      <c r="I186" t="s">
        <v>3872</v>
      </c>
      <c r="J186" t="s">
        <v>3469</v>
      </c>
      <c r="K186" t="s">
        <v>465</v>
      </c>
      <c r="L186">
        <v>1.03</v>
      </c>
      <c r="M186" s="453">
        <v>46170</v>
      </c>
      <c r="N186">
        <v>0.95</v>
      </c>
      <c r="O186">
        <v>0.95</v>
      </c>
      <c r="P186">
        <v>20.6</v>
      </c>
    </row>
    <row r="187" spans="1:16" x14ac:dyDescent="0.3">
      <c r="A187">
        <v>90879</v>
      </c>
      <c r="B187">
        <v>116</v>
      </c>
      <c r="C187" t="s">
        <v>568</v>
      </c>
      <c r="D187" s="453">
        <v>46174</v>
      </c>
      <c r="E187">
        <v>19652</v>
      </c>
      <c r="F187" t="s">
        <v>4014</v>
      </c>
      <c r="G187">
        <v>2587</v>
      </c>
      <c r="H187">
        <v>1</v>
      </c>
      <c r="I187" t="s">
        <v>3892</v>
      </c>
      <c r="J187" t="s">
        <v>3469</v>
      </c>
      <c r="K187" t="s">
        <v>465</v>
      </c>
      <c r="L187">
        <v>20.13</v>
      </c>
      <c r="M187" s="453">
        <v>46168</v>
      </c>
      <c r="N187">
        <v>20.16</v>
      </c>
      <c r="O187">
        <v>20.16</v>
      </c>
      <c r="P187">
        <v>20.13</v>
      </c>
    </row>
    <row r="188" spans="1:16" x14ac:dyDescent="0.3">
      <c r="A188">
        <v>90885</v>
      </c>
      <c r="B188">
        <v>116</v>
      </c>
      <c r="C188" t="s">
        <v>568</v>
      </c>
      <c r="D188" s="453">
        <v>46174</v>
      </c>
      <c r="E188">
        <v>19647</v>
      </c>
      <c r="F188" t="s">
        <v>4066</v>
      </c>
      <c r="G188">
        <v>2591</v>
      </c>
      <c r="H188">
        <v>1.2</v>
      </c>
      <c r="I188" t="s">
        <v>3892</v>
      </c>
      <c r="J188" t="s">
        <v>3469</v>
      </c>
      <c r="K188" t="s">
        <v>465</v>
      </c>
      <c r="L188">
        <v>15.68</v>
      </c>
      <c r="M188" s="453">
        <v>46170</v>
      </c>
      <c r="N188">
        <v>14.3</v>
      </c>
      <c r="O188">
        <v>14.3</v>
      </c>
      <c r="P188">
        <v>18.82</v>
      </c>
    </row>
    <row r="189" spans="1:16" x14ac:dyDescent="0.3">
      <c r="A189">
        <v>90882</v>
      </c>
      <c r="B189">
        <v>116</v>
      </c>
      <c r="C189" t="s">
        <v>568</v>
      </c>
      <c r="D189" s="453">
        <v>46174</v>
      </c>
      <c r="E189">
        <v>23186</v>
      </c>
      <c r="F189" t="s">
        <v>3988</v>
      </c>
      <c r="G189">
        <v>2668</v>
      </c>
      <c r="H189">
        <v>3.3</v>
      </c>
      <c r="I189" t="s">
        <v>3892</v>
      </c>
      <c r="J189" t="s">
        <v>3469</v>
      </c>
      <c r="K189" t="s">
        <v>465</v>
      </c>
      <c r="L189">
        <v>0</v>
      </c>
      <c r="M189" s="453">
        <v>45943</v>
      </c>
      <c r="N189">
        <v>5.56</v>
      </c>
      <c r="O189">
        <v>12.89</v>
      </c>
      <c r="P189">
        <v>18.350000000000001</v>
      </c>
    </row>
    <row r="190" spans="1:16" x14ac:dyDescent="0.3">
      <c r="A190">
        <v>90757</v>
      </c>
      <c r="B190">
        <v>116</v>
      </c>
      <c r="C190" t="s">
        <v>568</v>
      </c>
      <c r="D190" s="453">
        <v>46174</v>
      </c>
      <c r="E190">
        <v>19906</v>
      </c>
      <c r="F190" t="s">
        <v>4171</v>
      </c>
      <c r="G190">
        <v>2381</v>
      </c>
      <c r="H190">
        <v>5</v>
      </c>
      <c r="I190" t="s">
        <v>3888</v>
      </c>
      <c r="J190" t="s">
        <v>3469</v>
      </c>
      <c r="K190" t="s">
        <v>465</v>
      </c>
      <c r="L190">
        <v>3.58</v>
      </c>
      <c r="M190" s="453">
        <v>46148</v>
      </c>
      <c r="N190">
        <v>3.58</v>
      </c>
      <c r="O190">
        <v>38</v>
      </c>
      <c r="P190">
        <v>17.899999999999999</v>
      </c>
    </row>
    <row r="191" spans="1:16" x14ac:dyDescent="0.3">
      <c r="A191">
        <v>90884</v>
      </c>
      <c r="B191">
        <v>116</v>
      </c>
      <c r="C191" t="s">
        <v>568</v>
      </c>
      <c r="D191" s="453">
        <v>46174</v>
      </c>
      <c r="E191">
        <v>24403</v>
      </c>
      <c r="F191" t="s">
        <v>3992</v>
      </c>
      <c r="G191">
        <v>3049</v>
      </c>
      <c r="H191">
        <v>1.3</v>
      </c>
      <c r="I191" t="s">
        <v>3892</v>
      </c>
      <c r="J191" t="s">
        <v>3469</v>
      </c>
      <c r="K191" t="s">
        <v>465</v>
      </c>
      <c r="L191">
        <v>12.99</v>
      </c>
      <c r="M191" s="453">
        <v>46161</v>
      </c>
      <c r="N191">
        <v>12.99</v>
      </c>
      <c r="O191">
        <v>12</v>
      </c>
      <c r="P191">
        <v>16.89</v>
      </c>
    </row>
    <row r="192" spans="1:16" x14ac:dyDescent="0.3">
      <c r="A192">
        <v>90871</v>
      </c>
      <c r="B192">
        <v>116</v>
      </c>
      <c r="C192" t="s">
        <v>568</v>
      </c>
      <c r="D192" s="453">
        <v>46174</v>
      </c>
      <c r="E192">
        <v>19572</v>
      </c>
      <c r="F192" t="s">
        <v>4023</v>
      </c>
      <c r="G192">
        <v>2646</v>
      </c>
      <c r="H192">
        <v>2</v>
      </c>
      <c r="I192" t="s">
        <v>3892</v>
      </c>
      <c r="J192" t="s">
        <v>3469</v>
      </c>
      <c r="K192" t="s">
        <v>465</v>
      </c>
      <c r="L192">
        <v>8.2799999999999994</v>
      </c>
      <c r="M192" s="453">
        <v>46170</v>
      </c>
      <c r="N192">
        <v>9.06</v>
      </c>
      <c r="O192">
        <v>9.06</v>
      </c>
      <c r="P192">
        <v>16.559999999999999</v>
      </c>
    </row>
    <row r="193" spans="1:16" x14ac:dyDescent="0.3">
      <c r="A193">
        <v>90887</v>
      </c>
      <c r="B193">
        <v>116</v>
      </c>
      <c r="C193" t="s">
        <v>568</v>
      </c>
      <c r="D193" s="453">
        <v>46174</v>
      </c>
      <c r="E193">
        <v>24385</v>
      </c>
      <c r="F193" t="s">
        <v>4182</v>
      </c>
      <c r="G193">
        <v>2524</v>
      </c>
      <c r="H193">
        <v>1</v>
      </c>
      <c r="I193" t="s">
        <v>3892</v>
      </c>
      <c r="J193" t="s">
        <v>3469</v>
      </c>
      <c r="K193" t="s">
        <v>465</v>
      </c>
      <c r="L193">
        <v>15.22</v>
      </c>
      <c r="M193" s="453">
        <v>46146</v>
      </c>
      <c r="N193">
        <v>15.22</v>
      </c>
      <c r="O193">
        <v>15.22</v>
      </c>
      <c r="P193">
        <v>15.22</v>
      </c>
    </row>
    <row r="194" spans="1:16" x14ac:dyDescent="0.3">
      <c r="A194">
        <v>90920</v>
      </c>
      <c r="B194">
        <v>116</v>
      </c>
      <c r="C194" t="s">
        <v>568</v>
      </c>
      <c r="D194" s="453">
        <v>46174</v>
      </c>
      <c r="E194">
        <v>19773</v>
      </c>
      <c r="F194" t="s">
        <v>4168</v>
      </c>
      <c r="G194">
        <v>2482</v>
      </c>
      <c r="H194">
        <v>1</v>
      </c>
      <c r="I194" t="s">
        <v>3892</v>
      </c>
      <c r="J194" t="s">
        <v>3469</v>
      </c>
      <c r="K194" t="s">
        <v>465</v>
      </c>
      <c r="L194">
        <v>15</v>
      </c>
      <c r="M194" s="453">
        <v>46170</v>
      </c>
      <c r="N194">
        <v>15</v>
      </c>
      <c r="O194">
        <v>15</v>
      </c>
      <c r="P194">
        <v>15</v>
      </c>
    </row>
    <row r="195" spans="1:16" x14ac:dyDescent="0.3">
      <c r="A195">
        <v>90922</v>
      </c>
      <c r="B195">
        <v>116</v>
      </c>
      <c r="C195" t="s">
        <v>568</v>
      </c>
      <c r="D195" s="453">
        <v>46174</v>
      </c>
      <c r="E195">
        <v>24598</v>
      </c>
      <c r="F195" t="s">
        <v>4166</v>
      </c>
      <c r="G195">
        <v>2725</v>
      </c>
      <c r="H195">
        <v>1</v>
      </c>
      <c r="I195" t="s">
        <v>3892</v>
      </c>
      <c r="J195" t="s">
        <v>3469</v>
      </c>
      <c r="K195" t="s">
        <v>465</v>
      </c>
      <c r="L195">
        <v>14.5</v>
      </c>
      <c r="M195" s="453">
        <v>46170</v>
      </c>
      <c r="N195">
        <v>11.91</v>
      </c>
      <c r="O195">
        <v>11.91</v>
      </c>
      <c r="P195">
        <v>14.5</v>
      </c>
    </row>
    <row r="196" spans="1:16" x14ac:dyDescent="0.3">
      <c r="A196">
        <v>90895</v>
      </c>
      <c r="B196">
        <v>116</v>
      </c>
      <c r="C196" t="s">
        <v>568</v>
      </c>
      <c r="D196" s="453">
        <v>46174</v>
      </c>
      <c r="E196">
        <v>24509</v>
      </c>
      <c r="F196" t="s">
        <v>3906</v>
      </c>
      <c r="G196">
        <v>2607</v>
      </c>
      <c r="H196">
        <v>3</v>
      </c>
      <c r="I196" t="s">
        <v>3892</v>
      </c>
      <c r="J196" t="s">
        <v>3469</v>
      </c>
      <c r="K196" t="s">
        <v>465</v>
      </c>
      <c r="L196">
        <v>4.79</v>
      </c>
      <c r="M196" s="453">
        <v>46170</v>
      </c>
      <c r="N196">
        <v>4.55</v>
      </c>
      <c r="O196">
        <v>4.55</v>
      </c>
      <c r="P196">
        <v>14.37</v>
      </c>
    </row>
    <row r="197" spans="1:16" x14ac:dyDescent="0.3">
      <c r="A197">
        <v>90921</v>
      </c>
      <c r="B197">
        <v>116</v>
      </c>
      <c r="C197" t="s">
        <v>568</v>
      </c>
      <c r="D197" s="453">
        <v>46174</v>
      </c>
      <c r="E197">
        <v>19617</v>
      </c>
      <c r="F197" t="s">
        <v>4110</v>
      </c>
      <c r="G197">
        <v>2617</v>
      </c>
      <c r="H197">
        <v>0.5</v>
      </c>
      <c r="I197" t="s">
        <v>3892</v>
      </c>
      <c r="J197" t="s">
        <v>3469</v>
      </c>
      <c r="K197" t="s">
        <v>465</v>
      </c>
      <c r="L197">
        <v>28.7</v>
      </c>
      <c r="M197" s="453">
        <v>46167</v>
      </c>
      <c r="N197">
        <v>30</v>
      </c>
      <c r="O197">
        <v>30</v>
      </c>
      <c r="P197">
        <v>14.35</v>
      </c>
    </row>
    <row r="198" spans="1:16" x14ac:dyDescent="0.3">
      <c r="A198">
        <v>90899</v>
      </c>
      <c r="B198">
        <v>116</v>
      </c>
      <c r="C198" t="s">
        <v>568</v>
      </c>
      <c r="D198" s="453">
        <v>46174</v>
      </c>
      <c r="E198">
        <v>19589</v>
      </c>
      <c r="F198" t="s">
        <v>4153</v>
      </c>
      <c r="G198">
        <v>2637</v>
      </c>
      <c r="H198">
        <v>1.6</v>
      </c>
      <c r="I198" t="s">
        <v>3892</v>
      </c>
      <c r="J198" t="s">
        <v>3469</v>
      </c>
      <c r="K198" t="s">
        <v>465</v>
      </c>
      <c r="L198">
        <v>8.8800000000000008</v>
      </c>
      <c r="M198" s="453">
        <v>46168</v>
      </c>
      <c r="N198">
        <v>10.66</v>
      </c>
      <c r="O198">
        <v>9.5</v>
      </c>
      <c r="P198">
        <v>14.21</v>
      </c>
    </row>
    <row r="199" spans="1:16" x14ac:dyDescent="0.3">
      <c r="A199">
        <v>90893</v>
      </c>
      <c r="B199">
        <v>116</v>
      </c>
      <c r="C199" t="s">
        <v>568</v>
      </c>
      <c r="D199" s="453">
        <v>46174</v>
      </c>
      <c r="E199">
        <v>19621</v>
      </c>
      <c r="F199" t="s">
        <v>4125</v>
      </c>
      <c r="G199">
        <v>2613</v>
      </c>
      <c r="H199">
        <v>1.7</v>
      </c>
      <c r="I199" t="s">
        <v>3892</v>
      </c>
      <c r="J199" t="s">
        <v>3469</v>
      </c>
      <c r="K199" t="s">
        <v>465</v>
      </c>
      <c r="L199">
        <v>8.1300000000000008</v>
      </c>
      <c r="M199" s="453">
        <v>46163</v>
      </c>
      <c r="N199">
        <v>8.4499999999999993</v>
      </c>
      <c r="O199">
        <v>7.5</v>
      </c>
      <c r="P199">
        <v>13.82</v>
      </c>
    </row>
    <row r="200" spans="1:16" x14ac:dyDescent="0.3">
      <c r="A200">
        <v>90891</v>
      </c>
      <c r="B200">
        <v>116</v>
      </c>
      <c r="C200" t="s">
        <v>568</v>
      </c>
      <c r="D200" s="453">
        <v>46174</v>
      </c>
      <c r="E200">
        <v>24484</v>
      </c>
      <c r="F200" t="s">
        <v>4154</v>
      </c>
      <c r="G200">
        <v>2684</v>
      </c>
      <c r="H200">
        <v>1</v>
      </c>
      <c r="I200" t="s">
        <v>3892</v>
      </c>
      <c r="J200" t="s">
        <v>3469</v>
      </c>
      <c r="K200" t="s">
        <v>465</v>
      </c>
      <c r="L200">
        <v>13.78</v>
      </c>
      <c r="M200" s="453">
        <v>46160</v>
      </c>
      <c r="N200">
        <v>13.78</v>
      </c>
      <c r="O200">
        <v>26</v>
      </c>
      <c r="P200">
        <v>13.78</v>
      </c>
    </row>
    <row r="201" spans="1:16" x14ac:dyDescent="0.3">
      <c r="A201">
        <v>90888</v>
      </c>
      <c r="B201">
        <v>116</v>
      </c>
      <c r="C201" t="s">
        <v>568</v>
      </c>
      <c r="D201" s="453">
        <v>46174</v>
      </c>
      <c r="E201">
        <v>19498</v>
      </c>
      <c r="F201" t="s">
        <v>4065</v>
      </c>
      <c r="G201">
        <v>2712</v>
      </c>
      <c r="H201">
        <v>1</v>
      </c>
      <c r="I201" t="s">
        <v>3892</v>
      </c>
      <c r="J201" t="s">
        <v>3469</v>
      </c>
      <c r="K201" t="s">
        <v>465</v>
      </c>
      <c r="L201">
        <v>13.03</v>
      </c>
      <c r="M201" s="453">
        <v>46170</v>
      </c>
      <c r="N201">
        <v>10.51</v>
      </c>
      <c r="O201">
        <v>10.51</v>
      </c>
      <c r="P201">
        <v>13.03</v>
      </c>
    </row>
    <row r="202" spans="1:16" x14ac:dyDescent="0.3">
      <c r="A202">
        <v>90890</v>
      </c>
      <c r="B202">
        <v>116</v>
      </c>
      <c r="C202" t="s">
        <v>568</v>
      </c>
      <c r="D202" s="453">
        <v>46174</v>
      </c>
      <c r="E202">
        <v>19672</v>
      </c>
      <c r="F202" t="s">
        <v>4024</v>
      </c>
      <c r="G202">
        <v>2567</v>
      </c>
      <c r="H202">
        <v>1</v>
      </c>
      <c r="I202" t="s">
        <v>3892</v>
      </c>
      <c r="J202" t="s">
        <v>3469</v>
      </c>
      <c r="K202" t="s">
        <v>465</v>
      </c>
      <c r="L202">
        <v>13</v>
      </c>
      <c r="M202" s="453">
        <v>46163</v>
      </c>
      <c r="N202">
        <v>13</v>
      </c>
      <c r="O202">
        <v>13</v>
      </c>
      <c r="P202">
        <v>13</v>
      </c>
    </row>
    <row r="203" spans="1:16" x14ac:dyDescent="0.3">
      <c r="A203">
        <v>90889</v>
      </c>
      <c r="B203">
        <v>116</v>
      </c>
      <c r="C203" t="s">
        <v>568</v>
      </c>
      <c r="D203" s="453">
        <v>46174</v>
      </c>
      <c r="E203">
        <v>23120</v>
      </c>
      <c r="F203" t="s">
        <v>4111</v>
      </c>
      <c r="G203">
        <v>2730</v>
      </c>
      <c r="H203">
        <v>0.2</v>
      </c>
      <c r="I203" t="s">
        <v>3892</v>
      </c>
      <c r="J203" t="s">
        <v>3469</v>
      </c>
      <c r="K203" t="s">
        <v>465</v>
      </c>
      <c r="L203">
        <v>63.74</v>
      </c>
      <c r="M203" s="453">
        <v>46170</v>
      </c>
      <c r="N203">
        <v>50.05</v>
      </c>
      <c r="O203">
        <v>50.5</v>
      </c>
      <c r="P203">
        <v>12.75</v>
      </c>
    </row>
    <row r="204" spans="1:16" x14ac:dyDescent="0.3">
      <c r="A204">
        <v>90886</v>
      </c>
      <c r="B204">
        <v>116</v>
      </c>
      <c r="C204" t="s">
        <v>568</v>
      </c>
      <c r="D204" s="453">
        <v>46174</v>
      </c>
      <c r="E204">
        <v>23096</v>
      </c>
      <c r="F204" t="s">
        <v>3876</v>
      </c>
      <c r="G204">
        <v>2753</v>
      </c>
      <c r="H204">
        <v>20</v>
      </c>
      <c r="I204" t="s">
        <v>3872</v>
      </c>
      <c r="J204" t="s">
        <v>3469</v>
      </c>
      <c r="K204" t="s">
        <v>465</v>
      </c>
      <c r="L204">
        <v>0.63</v>
      </c>
      <c r="M204" s="453">
        <v>46170</v>
      </c>
      <c r="N204">
        <v>0.61</v>
      </c>
      <c r="O204">
        <v>0.66</v>
      </c>
      <c r="P204">
        <v>12.6</v>
      </c>
    </row>
    <row r="205" spans="1:16" x14ac:dyDescent="0.3">
      <c r="A205">
        <v>90901</v>
      </c>
      <c r="B205">
        <v>116</v>
      </c>
      <c r="C205" t="s">
        <v>568</v>
      </c>
      <c r="D205" s="453">
        <v>46174</v>
      </c>
      <c r="E205">
        <v>19742</v>
      </c>
      <c r="F205" t="s">
        <v>4074</v>
      </c>
      <c r="G205">
        <v>2511</v>
      </c>
      <c r="H205">
        <v>1</v>
      </c>
      <c r="I205" t="s">
        <v>3892</v>
      </c>
      <c r="J205" t="s">
        <v>3469</v>
      </c>
      <c r="K205" t="s">
        <v>465</v>
      </c>
      <c r="L205">
        <v>12.57</v>
      </c>
      <c r="M205" s="453">
        <v>46170</v>
      </c>
      <c r="N205">
        <v>13</v>
      </c>
      <c r="O205">
        <v>13</v>
      </c>
      <c r="P205">
        <v>12.57</v>
      </c>
    </row>
    <row r="206" spans="1:16" x14ac:dyDescent="0.3">
      <c r="A206">
        <v>90883</v>
      </c>
      <c r="B206">
        <v>116</v>
      </c>
      <c r="C206" t="s">
        <v>568</v>
      </c>
      <c r="D206" s="453">
        <v>46174</v>
      </c>
      <c r="E206">
        <v>23195</v>
      </c>
      <c r="F206" t="s">
        <v>4184</v>
      </c>
      <c r="G206">
        <v>2660</v>
      </c>
      <c r="H206">
        <v>1</v>
      </c>
      <c r="I206" t="s">
        <v>3892</v>
      </c>
      <c r="J206" t="s">
        <v>3469</v>
      </c>
      <c r="K206" t="s">
        <v>465</v>
      </c>
      <c r="L206">
        <v>12</v>
      </c>
      <c r="M206" s="453">
        <v>46160</v>
      </c>
      <c r="N206">
        <v>12</v>
      </c>
      <c r="O206">
        <v>10</v>
      </c>
      <c r="P206">
        <v>12</v>
      </c>
    </row>
    <row r="207" spans="1:16" x14ac:dyDescent="0.3">
      <c r="A207">
        <v>90902</v>
      </c>
      <c r="B207">
        <v>116</v>
      </c>
      <c r="C207" t="s">
        <v>568</v>
      </c>
      <c r="D207" s="453">
        <v>46174</v>
      </c>
      <c r="E207">
        <v>19623</v>
      </c>
      <c r="F207" t="s">
        <v>3984</v>
      </c>
      <c r="G207">
        <v>2611</v>
      </c>
      <c r="H207">
        <v>2</v>
      </c>
      <c r="I207" t="s">
        <v>3892</v>
      </c>
      <c r="J207" t="s">
        <v>3469</v>
      </c>
      <c r="K207" t="s">
        <v>465</v>
      </c>
      <c r="L207">
        <v>5.8</v>
      </c>
      <c r="M207" s="453">
        <v>46163</v>
      </c>
      <c r="N207">
        <v>6.2</v>
      </c>
      <c r="O207">
        <v>6.3</v>
      </c>
      <c r="P207">
        <v>11.6</v>
      </c>
    </row>
    <row r="208" spans="1:16" x14ac:dyDescent="0.3">
      <c r="A208">
        <v>90894</v>
      </c>
      <c r="B208">
        <v>116</v>
      </c>
      <c r="C208" t="s">
        <v>568</v>
      </c>
      <c r="D208" s="453">
        <v>46174</v>
      </c>
      <c r="E208">
        <v>23852</v>
      </c>
      <c r="F208" t="s">
        <v>4061</v>
      </c>
      <c r="G208">
        <v>2043</v>
      </c>
      <c r="H208">
        <v>1</v>
      </c>
      <c r="I208" t="s">
        <v>3892</v>
      </c>
      <c r="J208" t="s">
        <v>3469</v>
      </c>
      <c r="K208" t="s">
        <v>465</v>
      </c>
      <c r="L208">
        <v>0</v>
      </c>
      <c r="N208">
        <v>0</v>
      </c>
      <c r="O208">
        <v>11.4</v>
      </c>
      <c r="P208">
        <v>11.4</v>
      </c>
    </row>
    <row r="209" spans="1:16" x14ac:dyDescent="0.3">
      <c r="A209">
        <v>90897</v>
      </c>
      <c r="B209">
        <v>116</v>
      </c>
      <c r="C209" t="s">
        <v>568</v>
      </c>
      <c r="D209" s="453">
        <v>46174</v>
      </c>
      <c r="E209">
        <v>19607</v>
      </c>
      <c r="F209" t="s">
        <v>4105</v>
      </c>
      <c r="G209">
        <v>2623</v>
      </c>
      <c r="H209">
        <v>1</v>
      </c>
      <c r="I209" t="s">
        <v>3892</v>
      </c>
      <c r="J209" t="s">
        <v>3469</v>
      </c>
      <c r="K209" t="s">
        <v>465</v>
      </c>
      <c r="L209">
        <v>11</v>
      </c>
      <c r="M209" s="453">
        <v>46170</v>
      </c>
      <c r="N209">
        <v>11</v>
      </c>
      <c r="O209">
        <v>10</v>
      </c>
      <c r="P209">
        <v>11</v>
      </c>
    </row>
    <row r="210" spans="1:16" x14ac:dyDescent="0.3">
      <c r="A210">
        <v>90892</v>
      </c>
      <c r="B210">
        <v>116</v>
      </c>
      <c r="C210" t="s">
        <v>568</v>
      </c>
      <c r="D210" s="453">
        <v>46174</v>
      </c>
      <c r="E210">
        <v>19506</v>
      </c>
      <c r="F210" t="s">
        <v>4112</v>
      </c>
      <c r="G210">
        <v>2705</v>
      </c>
      <c r="H210">
        <v>0.2</v>
      </c>
      <c r="I210" t="s">
        <v>3892</v>
      </c>
      <c r="J210" t="s">
        <v>3469</v>
      </c>
      <c r="K210" t="s">
        <v>465</v>
      </c>
      <c r="L210">
        <v>51.66</v>
      </c>
      <c r="M210" s="453">
        <v>46170</v>
      </c>
      <c r="N210">
        <v>35.75</v>
      </c>
      <c r="O210">
        <v>35.799999999999997</v>
      </c>
      <c r="P210">
        <v>10.33</v>
      </c>
    </row>
    <row r="211" spans="1:16" x14ac:dyDescent="0.3">
      <c r="A211">
        <v>90919</v>
      </c>
      <c r="B211">
        <v>116</v>
      </c>
      <c r="C211" t="s">
        <v>568</v>
      </c>
      <c r="D211" s="453">
        <v>46174</v>
      </c>
      <c r="E211">
        <v>23389</v>
      </c>
      <c r="F211" t="s">
        <v>4016</v>
      </c>
      <c r="G211">
        <v>2475</v>
      </c>
      <c r="H211">
        <v>2</v>
      </c>
      <c r="I211" t="s">
        <v>3892</v>
      </c>
      <c r="J211" t="s">
        <v>3469</v>
      </c>
      <c r="K211" t="s">
        <v>465</v>
      </c>
      <c r="L211">
        <v>5.03</v>
      </c>
      <c r="M211" s="453">
        <v>46170</v>
      </c>
      <c r="N211">
        <v>4.83</v>
      </c>
      <c r="O211">
        <v>4.83</v>
      </c>
      <c r="P211">
        <v>10.06</v>
      </c>
    </row>
    <row r="212" spans="1:16" x14ac:dyDescent="0.3">
      <c r="A212">
        <v>90898</v>
      </c>
      <c r="B212">
        <v>116</v>
      </c>
      <c r="C212" t="s">
        <v>568</v>
      </c>
      <c r="D212" s="453">
        <v>46174</v>
      </c>
      <c r="E212">
        <v>19751</v>
      </c>
      <c r="F212" t="s">
        <v>4019</v>
      </c>
      <c r="G212">
        <v>2502</v>
      </c>
      <c r="H212">
        <v>1</v>
      </c>
      <c r="I212" t="s">
        <v>3892</v>
      </c>
      <c r="J212" t="s">
        <v>3469</v>
      </c>
      <c r="K212" t="s">
        <v>465</v>
      </c>
      <c r="L212">
        <v>9.18</v>
      </c>
      <c r="M212" s="453">
        <v>46163</v>
      </c>
      <c r="N212">
        <v>8.8000000000000007</v>
      </c>
      <c r="O212">
        <v>8.6999999999999993</v>
      </c>
      <c r="P212">
        <v>9.18</v>
      </c>
    </row>
    <row r="213" spans="1:16" x14ac:dyDescent="0.3">
      <c r="A213">
        <v>90900</v>
      </c>
      <c r="B213">
        <v>116</v>
      </c>
      <c r="C213" t="s">
        <v>568</v>
      </c>
      <c r="D213" s="453">
        <v>46174</v>
      </c>
      <c r="E213">
        <v>19642</v>
      </c>
      <c r="F213" t="s">
        <v>4067</v>
      </c>
      <c r="G213">
        <v>2596</v>
      </c>
      <c r="H213">
        <v>1.6</v>
      </c>
      <c r="I213" t="s">
        <v>3892</v>
      </c>
      <c r="J213" t="s">
        <v>3469</v>
      </c>
      <c r="K213" t="s">
        <v>465</v>
      </c>
      <c r="L213">
        <v>5.56</v>
      </c>
      <c r="M213" s="453">
        <v>46170</v>
      </c>
      <c r="N213">
        <v>5.51</v>
      </c>
      <c r="O213">
        <v>5.48</v>
      </c>
      <c r="P213">
        <v>8.9</v>
      </c>
    </row>
    <row r="214" spans="1:16" x14ac:dyDescent="0.3">
      <c r="A214">
        <v>90903</v>
      </c>
      <c r="B214">
        <v>116</v>
      </c>
      <c r="C214" t="s">
        <v>568</v>
      </c>
      <c r="D214" s="453">
        <v>46174</v>
      </c>
      <c r="E214">
        <v>21126</v>
      </c>
      <c r="F214" t="s">
        <v>4004</v>
      </c>
      <c r="G214">
        <v>1963</v>
      </c>
      <c r="H214">
        <v>1</v>
      </c>
      <c r="I214" t="s">
        <v>3888</v>
      </c>
      <c r="J214" t="s">
        <v>3469</v>
      </c>
      <c r="K214" t="s">
        <v>465</v>
      </c>
      <c r="L214">
        <v>0</v>
      </c>
      <c r="M214" s="453">
        <v>46142</v>
      </c>
      <c r="N214">
        <v>7.8</v>
      </c>
      <c r="O214">
        <v>7.8</v>
      </c>
      <c r="P214">
        <v>7.8</v>
      </c>
    </row>
    <row r="215" spans="1:16" x14ac:dyDescent="0.3">
      <c r="A215">
        <v>90904</v>
      </c>
      <c r="B215">
        <v>116</v>
      </c>
      <c r="C215" t="s">
        <v>568</v>
      </c>
      <c r="D215" s="453">
        <v>46174</v>
      </c>
      <c r="E215">
        <v>23502</v>
      </c>
      <c r="F215" t="s">
        <v>4174</v>
      </c>
      <c r="G215">
        <v>2367</v>
      </c>
      <c r="H215">
        <v>0.5</v>
      </c>
      <c r="I215" t="s">
        <v>3872</v>
      </c>
      <c r="J215" t="s">
        <v>3469</v>
      </c>
      <c r="K215" t="s">
        <v>465</v>
      </c>
      <c r="L215">
        <v>0</v>
      </c>
      <c r="M215" s="453">
        <v>46085</v>
      </c>
      <c r="N215">
        <v>14.9</v>
      </c>
      <c r="O215">
        <v>1</v>
      </c>
      <c r="P215">
        <v>7.45</v>
      </c>
    </row>
    <row r="216" spans="1:16" x14ac:dyDescent="0.3">
      <c r="A216">
        <v>90896</v>
      </c>
      <c r="B216">
        <v>116</v>
      </c>
      <c r="C216" t="s">
        <v>568</v>
      </c>
      <c r="D216" s="453">
        <v>46174</v>
      </c>
      <c r="E216">
        <v>19555</v>
      </c>
      <c r="F216" t="s">
        <v>4109</v>
      </c>
      <c r="G216">
        <v>2662</v>
      </c>
      <c r="H216">
        <v>0.5</v>
      </c>
      <c r="I216" t="s">
        <v>3892</v>
      </c>
      <c r="J216" t="s">
        <v>3469</v>
      </c>
      <c r="K216" t="s">
        <v>465</v>
      </c>
      <c r="L216">
        <v>14.73</v>
      </c>
      <c r="M216" s="453">
        <v>46170</v>
      </c>
      <c r="N216">
        <v>14</v>
      </c>
      <c r="O216">
        <v>14</v>
      </c>
      <c r="P216">
        <v>7.36</v>
      </c>
    </row>
    <row r="217" spans="1:16" x14ac:dyDescent="0.3">
      <c r="A217">
        <v>90908</v>
      </c>
      <c r="B217">
        <v>116</v>
      </c>
      <c r="C217" t="s">
        <v>568</v>
      </c>
      <c r="D217" s="453">
        <v>46174</v>
      </c>
      <c r="E217">
        <v>23113</v>
      </c>
      <c r="F217" t="s">
        <v>4079</v>
      </c>
      <c r="G217">
        <v>2736</v>
      </c>
      <c r="H217">
        <v>0.5</v>
      </c>
      <c r="I217" t="s">
        <v>3892</v>
      </c>
      <c r="J217" t="s">
        <v>3469</v>
      </c>
      <c r="K217" t="s">
        <v>465</v>
      </c>
      <c r="L217">
        <v>14.53</v>
      </c>
      <c r="M217" s="453">
        <v>46171</v>
      </c>
      <c r="N217">
        <v>15.95</v>
      </c>
      <c r="O217">
        <v>13</v>
      </c>
      <c r="P217">
        <v>7.26</v>
      </c>
    </row>
    <row r="218" spans="1:16" x14ac:dyDescent="0.3">
      <c r="A218">
        <v>90905</v>
      </c>
      <c r="B218">
        <v>116</v>
      </c>
      <c r="C218" t="s">
        <v>568</v>
      </c>
      <c r="D218" s="453">
        <v>46174</v>
      </c>
      <c r="E218">
        <v>24400</v>
      </c>
      <c r="F218" t="s">
        <v>4149</v>
      </c>
      <c r="G218">
        <v>2368</v>
      </c>
      <c r="H218">
        <v>0.5</v>
      </c>
      <c r="I218" t="s">
        <v>3872</v>
      </c>
      <c r="J218" t="s">
        <v>3469</v>
      </c>
      <c r="K218" t="s">
        <v>465</v>
      </c>
      <c r="L218">
        <v>0</v>
      </c>
      <c r="M218" s="453">
        <v>46028</v>
      </c>
      <c r="N218">
        <v>14.5</v>
      </c>
      <c r="O218">
        <v>14</v>
      </c>
      <c r="P218">
        <v>7.25</v>
      </c>
    </row>
    <row r="219" spans="1:16" x14ac:dyDescent="0.3">
      <c r="A219">
        <v>90906</v>
      </c>
      <c r="B219">
        <v>116</v>
      </c>
      <c r="C219" t="s">
        <v>568</v>
      </c>
      <c r="D219" s="453">
        <v>46174</v>
      </c>
      <c r="E219">
        <v>20685</v>
      </c>
      <c r="F219" t="s">
        <v>4122</v>
      </c>
      <c r="G219">
        <v>2106</v>
      </c>
      <c r="H219">
        <v>2</v>
      </c>
      <c r="I219" t="s">
        <v>3872</v>
      </c>
      <c r="J219" t="s">
        <v>3469</v>
      </c>
      <c r="K219" t="s">
        <v>465</v>
      </c>
      <c r="L219">
        <v>3.58</v>
      </c>
      <c r="M219" s="453">
        <v>46168</v>
      </c>
      <c r="N219">
        <v>3.58</v>
      </c>
      <c r="O219">
        <v>3.58</v>
      </c>
      <c r="P219">
        <v>7.16</v>
      </c>
    </row>
    <row r="220" spans="1:16" x14ac:dyDescent="0.3">
      <c r="A220">
        <v>90910</v>
      </c>
      <c r="B220">
        <v>116</v>
      </c>
      <c r="C220" t="s">
        <v>568</v>
      </c>
      <c r="D220" s="453">
        <v>46174</v>
      </c>
      <c r="E220">
        <v>19465</v>
      </c>
      <c r="F220" t="s">
        <v>4080</v>
      </c>
      <c r="G220">
        <v>2737</v>
      </c>
      <c r="H220">
        <v>1</v>
      </c>
      <c r="I220" t="s">
        <v>3892</v>
      </c>
      <c r="J220" t="s">
        <v>3469</v>
      </c>
      <c r="K220" t="s">
        <v>465</v>
      </c>
      <c r="L220">
        <v>6.29</v>
      </c>
      <c r="M220" s="453">
        <v>46168</v>
      </c>
      <c r="N220">
        <v>6.53</v>
      </c>
      <c r="O220">
        <v>6.53</v>
      </c>
      <c r="P220">
        <v>6.29</v>
      </c>
    </row>
    <row r="221" spans="1:16" x14ac:dyDescent="0.3">
      <c r="A221">
        <v>90907</v>
      </c>
      <c r="B221">
        <v>116</v>
      </c>
      <c r="C221" t="s">
        <v>568</v>
      </c>
      <c r="D221" s="453">
        <v>46174</v>
      </c>
      <c r="E221">
        <v>23142</v>
      </c>
      <c r="F221" t="s">
        <v>4151</v>
      </c>
      <c r="G221">
        <v>2709</v>
      </c>
      <c r="H221">
        <v>0.3</v>
      </c>
      <c r="I221" t="s">
        <v>3892</v>
      </c>
      <c r="J221" t="s">
        <v>3469</v>
      </c>
      <c r="K221" t="s">
        <v>465</v>
      </c>
      <c r="L221">
        <v>20.57</v>
      </c>
      <c r="M221" s="453">
        <v>46170</v>
      </c>
      <c r="N221">
        <v>14.57</v>
      </c>
      <c r="O221">
        <v>14.57</v>
      </c>
      <c r="P221">
        <v>6.17</v>
      </c>
    </row>
    <row r="222" spans="1:16" x14ac:dyDescent="0.3">
      <c r="A222">
        <v>90909</v>
      </c>
      <c r="B222">
        <v>116</v>
      </c>
      <c r="C222" t="s">
        <v>568</v>
      </c>
      <c r="D222" s="453">
        <v>46174</v>
      </c>
      <c r="E222">
        <v>19553</v>
      </c>
      <c r="F222" t="s">
        <v>4078</v>
      </c>
      <c r="G222">
        <v>2663</v>
      </c>
      <c r="H222">
        <v>1</v>
      </c>
      <c r="I222" t="s">
        <v>3892</v>
      </c>
      <c r="J222" t="s">
        <v>3469</v>
      </c>
      <c r="K222" t="s">
        <v>465</v>
      </c>
      <c r="L222">
        <v>5.69</v>
      </c>
      <c r="M222" s="453">
        <v>46163</v>
      </c>
      <c r="N222">
        <v>4.8</v>
      </c>
      <c r="O222">
        <v>5.5</v>
      </c>
      <c r="P222">
        <v>5.69</v>
      </c>
    </row>
    <row r="223" spans="1:16" x14ac:dyDescent="0.3">
      <c r="A223">
        <v>90923</v>
      </c>
      <c r="B223">
        <v>116</v>
      </c>
      <c r="C223" t="s">
        <v>568</v>
      </c>
      <c r="D223" s="453">
        <v>46174</v>
      </c>
      <c r="E223">
        <v>19763</v>
      </c>
      <c r="F223" t="s">
        <v>4187</v>
      </c>
      <c r="G223">
        <v>2490</v>
      </c>
      <c r="H223">
        <v>0.5</v>
      </c>
      <c r="I223" t="s">
        <v>3892</v>
      </c>
      <c r="J223" t="s">
        <v>3469</v>
      </c>
      <c r="K223" t="s">
        <v>465</v>
      </c>
      <c r="L223">
        <v>11.15</v>
      </c>
      <c r="M223" s="453">
        <v>46163</v>
      </c>
      <c r="N223">
        <v>11.7</v>
      </c>
      <c r="O223">
        <v>10.5</v>
      </c>
      <c r="P223">
        <v>5.58</v>
      </c>
    </row>
    <row r="224" spans="1:16" x14ac:dyDescent="0.3">
      <c r="A224">
        <v>90911</v>
      </c>
      <c r="B224">
        <v>116</v>
      </c>
      <c r="C224" t="s">
        <v>568</v>
      </c>
      <c r="D224" s="453">
        <v>46174</v>
      </c>
      <c r="E224">
        <v>19505</v>
      </c>
      <c r="F224" t="s">
        <v>4101</v>
      </c>
      <c r="G224">
        <v>2706</v>
      </c>
      <c r="H224">
        <v>0.5</v>
      </c>
      <c r="I224" t="s">
        <v>3892</v>
      </c>
      <c r="J224" t="s">
        <v>3469</v>
      </c>
      <c r="K224" t="s">
        <v>465</v>
      </c>
      <c r="L224">
        <v>10.16</v>
      </c>
      <c r="M224" s="453">
        <v>46167</v>
      </c>
      <c r="N224">
        <v>9.8000000000000007</v>
      </c>
      <c r="O224">
        <v>11</v>
      </c>
      <c r="P224">
        <v>5.08</v>
      </c>
    </row>
    <row r="225" spans="1:16" x14ac:dyDescent="0.3">
      <c r="A225">
        <v>90912</v>
      </c>
      <c r="B225">
        <v>116</v>
      </c>
      <c r="C225" t="s">
        <v>568</v>
      </c>
      <c r="D225" s="453">
        <v>46174</v>
      </c>
      <c r="E225">
        <v>23359</v>
      </c>
      <c r="F225" t="s">
        <v>3932</v>
      </c>
      <c r="G225">
        <v>2499</v>
      </c>
      <c r="H225">
        <v>2</v>
      </c>
      <c r="I225" t="s">
        <v>3892</v>
      </c>
      <c r="J225" t="s">
        <v>3469</v>
      </c>
      <c r="K225" t="s">
        <v>465</v>
      </c>
      <c r="L225">
        <v>2.29</v>
      </c>
      <c r="M225" s="453">
        <v>46170</v>
      </c>
      <c r="N225">
        <v>2.25</v>
      </c>
      <c r="O225">
        <v>2.2000000000000002</v>
      </c>
      <c r="P225">
        <v>4.58</v>
      </c>
    </row>
    <row r="226" spans="1:16" x14ac:dyDescent="0.3">
      <c r="A226">
        <v>90913</v>
      </c>
      <c r="B226">
        <v>116</v>
      </c>
      <c r="C226" t="s">
        <v>568</v>
      </c>
      <c r="D226" s="453">
        <v>46174</v>
      </c>
      <c r="E226">
        <v>23622</v>
      </c>
      <c r="F226" t="s">
        <v>4150</v>
      </c>
      <c r="G226">
        <v>2254</v>
      </c>
      <c r="H226">
        <v>0.2</v>
      </c>
      <c r="I226" t="s">
        <v>3892</v>
      </c>
      <c r="J226" t="s">
        <v>3469</v>
      </c>
      <c r="K226" t="s">
        <v>465</v>
      </c>
      <c r="L226">
        <v>0</v>
      </c>
      <c r="M226" s="453">
        <v>46126</v>
      </c>
      <c r="N226">
        <v>21.5</v>
      </c>
      <c r="O226">
        <v>20.55</v>
      </c>
      <c r="P226">
        <v>4.3</v>
      </c>
    </row>
    <row r="227" spans="1:16" x14ac:dyDescent="0.3">
      <c r="A227">
        <v>90914</v>
      </c>
      <c r="B227">
        <v>116</v>
      </c>
      <c r="C227" t="s">
        <v>568</v>
      </c>
      <c r="D227" s="453">
        <v>46174</v>
      </c>
      <c r="E227">
        <v>19689</v>
      </c>
      <c r="F227" t="s">
        <v>4073</v>
      </c>
      <c r="G227">
        <v>2551</v>
      </c>
      <c r="H227">
        <v>0.5</v>
      </c>
      <c r="I227" t="s">
        <v>3892</v>
      </c>
      <c r="J227" t="s">
        <v>3469</v>
      </c>
      <c r="K227" t="s">
        <v>465</v>
      </c>
      <c r="L227">
        <v>0</v>
      </c>
      <c r="M227" s="453">
        <v>46119</v>
      </c>
      <c r="N227">
        <v>7.03</v>
      </c>
      <c r="O227">
        <v>7.03</v>
      </c>
      <c r="P227">
        <v>3.52</v>
      </c>
    </row>
    <row r="228" spans="1:16" x14ac:dyDescent="0.3">
      <c r="A228">
        <v>85774</v>
      </c>
      <c r="B228">
        <v>116</v>
      </c>
      <c r="C228" t="s">
        <v>568</v>
      </c>
      <c r="D228" s="453">
        <v>46143</v>
      </c>
      <c r="E228">
        <v>18636</v>
      </c>
      <c r="F228" t="s">
        <v>3921</v>
      </c>
      <c r="G228">
        <v>3075</v>
      </c>
      <c r="H228">
        <v>13.5</v>
      </c>
      <c r="I228" t="s">
        <v>3922</v>
      </c>
      <c r="J228" t="s">
        <v>3497</v>
      </c>
      <c r="K228" t="s">
        <v>464</v>
      </c>
      <c r="L228">
        <v>482.8</v>
      </c>
      <c r="M228" s="453">
        <v>46128</v>
      </c>
      <c r="N228">
        <v>482.8</v>
      </c>
      <c r="O228">
        <v>482.8</v>
      </c>
      <c r="P228">
        <v>6517.8</v>
      </c>
    </row>
    <row r="229" spans="1:16" x14ac:dyDescent="0.3">
      <c r="A229">
        <v>85775</v>
      </c>
      <c r="B229">
        <v>116</v>
      </c>
      <c r="C229" t="s">
        <v>568</v>
      </c>
      <c r="D229" s="453">
        <v>46143</v>
      </c>
      <c r="E229">
        <v>19297</v>
      </c>
      <c r="F229" t="s">
        <v>3949</v>
      </c>
      <c r="G229">
        <v>2775</v>
      </c>
      <c r="H229">
        <v>35.799999999999997</v>
      </c>
      <c r="I229" t="s">
        <v>3892</v>
      </c>
      <c r="J229" t="s">
        <v>3469</v>
      </c>
      <c r="K229" t="s">
        <v>464</v>
      </c>
      <c r="L229">
        <v>0</v>
      </c>
      <c r="M229" s="453">
        <v>46073</v>
      </c>
      <c r="N229">
        <v>70.5</v>
      </c>
      <c r="O229">
        <v>60</v>
      </c>
      <c r="P229">
        <v>2523.9</v>
      </c>
    </row>
    <row r="230" spans="1:16" x14ac:dyDescent="0.3">
      <c r="A230">
        <v>85776</v>
      </c>
      <c r="B230">
        <v>116</v>
      </c>
      <c r="C230" t="s">
        <v>568</v>
      </c>
      <c r="D230" s="453">
        <v>46143</v>
      </c>
      <c r="E230">
        <v>22734</v>
      </c>
      <c r="F230" t="s">
        <v>3955</v>
      </c>
      <c r="G230">
        <v>3024</v>
      </c>
      <c r="H230">
        <v>17.2</v>
      </c>
      <c r="I230" t="s">
        <v>3892</v>
      </c>
      <c r="J230" t="s">
        <v>3469</v>
      </c>
      <c r="K230" t="s">
        <v>464</v>
      </c>
      <c r="L230">
        <v>99</v>
      </c>
      <c r="M230" s="453">
        <v>46134</v>
      </c>
      <c r="N230">
        <v>99</v>
      </c>
      <c r="O230">
        <v>99</v>
      </c>
      <c r="P230">
        <v>1702.8</v>
      </c>
    </row>
    <row r="231" spans="1:16" x14ac:dyDescent="0.3">
      <c r="A231">
        <v>85777</v>
      </c>
      <c r="B231">
        <v>116</v>
      </c>
      <c r="C231" t="s">
        <v>568</v>
      </c>
      <c r="D231" s="453">
        <v>46143</v>
      </c>
      <c r="E231">
        <v>18640</v>
      </c>
      <c r="F231" t="s">
        <v>3994</v>
      </c>
      <c r="G231">
        <v>3074</v>
      </c>
      <c r="H231">
        <v>4.5</v>
      </c>
      <c r="I231" t="s">
        <v>3922</v>
      </c>
      <c r="J231" t="s">
        <v>3497</v>
      </c>
      <c r="K231" t="s">
        <v>464</v>
      </c>
      <c r="L231">
        <v>306</v>
      </c>
      <c r="M231" s="453">
        <v>46128</v>
      </c>
      <c r="N231">
        <v>306</v>
      </c>
      <c r="O231">
        <v>306</v>
      </c>
      <c r="P231">
        <v>1377</v>
      </c>
    </row>
    <row r="232" spans="1:16" x14ac:dyDescent="0.3">
      <c r="A232">
        <v>85778</v>
      </c>
      <c r="B232">
        <v>116</v>
      </c>
      <c r="C232" t="s">
        <v>568</v>
      </c>
      <c r="D232" s="453">
        <v>46143</v>
      </c>
      <c r="E232">
        <v>22515</v>
      </c>
      <c r="F232" t="s">
        <v>3883</v>
      </c>
      <c r="G232">
        <v>3202</v>
      </c>
      <c r="H232">
        <v>30.5</v>
      </c>
      <c r="I232" t="s">
        <v>3884</v>
      </c>
      <c r="J232" t="s">
        <v>3497</v>
      </c>
      <c r="K232" t="s">
        <v>464</v>
      </c>
      <c r="L232">
        <v>0</v>
      </c>
      <c r="M232" s="453">
        <v>45671</v>
      </c>
      <c r="N232">
        <v>38</v>
      </c>
      <c r="O232">
        <v>38</v>
      </c>
      <c r="P232">
        <v>1159</v>
      </c>
    </row>
    <row r="233" spans="1:16" x14ac:dyDescent="0.3">
      <c r="A233">
        <v>85779</v>
      </c>
      <c r="B233">
        <v>116</v>
      </c>
      <c r="C233" t="s">
        <v>568</v>
      </c>
      <c r="D233" s="453">
        <v>46143</v>
      </c>
      <c r="E233">
        <v>18764</v>
      </c>
      <c r="F233" t="s">
        <v>3907</v>
      </c>
      <c r="G233">
        <v>3001</v>
      </c>
      <c r="H233">
        <v>13.4</v>
      </c>
      <c r="I233" t="s">
        <v>3892</v>
      </c>
      <c r="J233" t="s">
        <v>3469</v>
      </c>
      <c r="K233" t="s">
        <v>464</v>
      </c>
      <c r="L233">
        <v>81.99</v>
      </c>
      <c r="M233" s="453">
        <v>46132</v>
      </c>
      <c r="N233">
        <v>81.99</v>
      </c>
      <c r="O233">
        <v>81.99</v>
      </c>
      <c r="P233">
        <v>1098.67</v>
      </c>
    </row>
    <row r="234" spans="1:16" x14ac:dyDescent="0.3">
      <c r="A234">
        <v>85781</v>
      </c>
      <c r="B234">
        <v>116</v>
      </c>
      <c r="C234" t="s">
        <v>568</v>
      </c>
      <c r="D234" s="453">
        <v>46143</v>
      </c>
      <c r="E234">
        <v>18247</v>
      </c>
      <c r="F234" t="s">
        <v>3877</v>
      </c>
      <c r="G234">
        <v>3383</v>
      </c>
      <c r="H234">
        <v>16</v>
      </c>
      <c r="I234" t="s">
        <v>3878</v>
      </c>
      <c r="J234" t="s">
        <v>3497</v>
      </c>
      <c r="K234" t="s">
        <v>464</v>
      </c>
      <c r="L234">
        <v>0</v>
      </c>
      <c r="N234">
        <v>0</v>
      </c>
      <c r="O234">
        <v>0</v>
      </c>
      <c r="P234">
        <v>1062.4000000000001</v>
      </c>
    </row>
    <row r="235" spans="1:16" x14ac:dyDescent="0.3">
      <c r="A235">
        <v>85981</v>
      </c>
      <c r="B235">
        <v>116</v>
      </c>
      <c r="C235" t="s">
        <v>568</v>
      </c>
      <c r="D235" s="453">
        <v>46143</v>
      </c>
      <c r="E235">
        <v>27884</v>
      </c>
      <c r="F235" t="s">
        <v>3910</v>
      </c>
      <c r="G235">
        <v>7849</v>
      </c>
      <c r="H235">
        <v>14.3</v>
      </c>
      <c r="I235" t="s">
        <v>3892</v>
      </c>
      <c r="J235" t="s">
        <v>3469</v>
      </c>
      <c r="K235" t="s">
        <v>464</v>
      </c>
      <c r="L235">
        <v>70.349999999999994</v>
      </c>
      <c r="M235" s="453">
        <v>46134</v>
      </c>
      <c r="N235">
        <v>72</v>
      </c>
      <c r="O235">
        <v>72</v>
      </c>
      <c r="P235">
        <v>1006</v>
      </c>
    </row>
    <row r="236" spans="1:16" x14ac:dyDescent="0.3">
      <c r="A236">
        <v>85783</v>
      </c>
      <c r="B236">
        <v>116</v>
      </c>
      <c r="C236" t="s">
        <v>568</v>
      </c>
      <c r="D236" s="453">
        <v>46143</v>
      </c>
      <c r="E236">
        <v>18832</v>
      </c>
      <c r="F236" t="s">
        <v>3900</v>
      </c>
      <c r="G236">
        <v>2950</v>
      </c>
      <c r="H236">
        <v>25</v>
      </c>
      <c r="I236" t="s">
        <v>3892</v>
      </c>
      <c r="J236" t="s">
        <v>3469</v>
      </c>
      <c r="K236" t="s">
        <v>464</v>
      </c>
      <c r="L236">
        <v>39.9</v>
      </c>
      <c r="M236" s="453">
        <v>46126</v>
      </c>
      <c r="N236">
        <v>39.9</v>
      </c>
      <c r="O236">
        <v>39.9</v>
      </c>
      <c r="P236">
        <v>997.5</v>
      </c>
    </row>
    <row r="237" spans="1:16" x14ac:dyDescent="0.3">
      <c r="A237">
        <v>85780</v>
      </c>
      <c r="B237">
        <v>116</v>
      </c>
      <c r="C237" t="s">
        <v>568</v>
      </c>
      <c r="D237" s="453">
        <v>46143</v>
      </c>
      <c r="E237">
        <v>22857</v>
      </c>
      <c r="F237" t="s">
        <v>4130</v>
      </c>
      <c r="G237">
        <v>2927</v>
      </c>
      <c r="H237">
        <v>16.5</v>
      </c>
      <c r="I237" t="s">
        <v>3892</v>
      </c>
      <c r="J237" t="s">
        <v>3469</v>
      </c>
      <c r="K237" t="s">
        <v>464</v>
      </c>
      <c r="L237">
        <v>0</v>
      </c>
      <c r="M237" s="453">
        <v>46099</v>
      </c>
      <c r="N237">
        <v>59.99</v>
      </c>
      <c r="O237">
        <v>58.25</v>
      </c>
      <c r="P237">
        <v>989.83</v>
      </c>
    </row>
    <row r="238" spans="1:16" x14ac:dyDescent="0.3">
      <c r="A238">
        <v>85784</v>
      </c>
      <c r="B238">
        <v>116</v>
      </c>
      <c r="C238" t="s">
        <v>568</v>
      </c>
      <c r="D238" s="453">
        <v>46143</v>
      </c>
      <c r="E238">
        <v>23982</v>
      </c>
      <c r="F238" t="s">
        <v>3977</v>
      </c>
      <c r="G238">
        <v>1999</v>
      </c>
      <c r="H238">
        <v>4</v>
      </c>
      <c r="I238" t="s">
        <v>3978</v>
      </c>
      <c r="J238" t="s">
        <v>3469</v>
      </c>
      <c r="K238" t="s">
        <v>464</v>
      </c>
      <c r="L238">
        <v>0</v>
      </c>
      <c r="M238" s="453">
        <v>46108</v>
      </c>
      <c r="N238">
        <v>240.56</v>
      </c>
      <c r="O238">
        <v>240.56</v>
      </c>
      <c r="P238">
        <v>962.24</v>
      </c>
    </row>
    <row r="239" spans="1:16" x14ac:dyDescent="0.3">
      <c r="A239">
        <v>85785</v>
      </c>
      <c r="B239">
        <v>116</v>
      </c>
      <c r="C239" t="s">
        <v>568</v>
      </c>
      <c r="D239" s="453">
        <v>46143</v>
      </c>
      <c r="E239">
        <v>24259</v>
      </c>
      <c r="F239" t="s">
        <v>3895</v>
      </c>
      <c r="G239">
        <v>2938</v>
      </c>
      <c r="H239">
        <v>11.8</v>
      </c>
      <c r="I239" t="s">
        <v>3892</v>
      </c>
      <c r="J239" t="s">
        <v>3469</v>
      </c>
      <c r="K239" t="s">
        <v>464</v>
      </c>
      <c r="L239">
        <v>78.06</v>
      </c>
      <c r="M239" s="453">
        <v>46125</v>
      </c>
      <c r="N239">
        <v>79.099999999999994</v>
      </c>
      <c r="O239">
        <v>79.900000000000006</v>
      </c>
      <c r="P239">
        <v>921.11</v>
      </c>
    </row>
    <row r="240" spans="1:16" x14ac:dyDescent="0.3">
      <c r="A240">
        <v>85786</v>
      </c>
      <c r="B240">
        <v>116</v>
      </c>
      <c r="C240" t="s">
        <v>568</v>
      </c>
      <c r="D240" s="453">
        <v>46143</v>
      </c>
      <c r="E240">
        <v>20519</v>
      </c>
      <c r="F240" t="s">
        <v>3902</v>
      </c>
      <c r="G240">
        <v>2150</v>
      </c>
      <c r="H240">
        <v>17.3</v>
      </c>
      <c r="I240" t="s">
        <v>3892</v>
      </c>
      <c r="J240" t="s">
        <v>3469</v>
      </c>
      <c r="K240" t="s">
        <v>464</v>
      </c>
      <c r="L240">
        <v>50.25</v>
      </c>
      <c r="M240" s="453">
        <v>46126</v>
      </c>
      <c r="N240">
        <v>50.25</v>
      </c>
      <c r="O240">
        <v>50.25</v>
      </c>
      <c r="P240">
        <v>869.32</v>
      </c>
    </row>
    <row r="241" spans="1:16" x14ac:dyDescent="0.3">
      <c r="A241">
        <v>85787</v>
      </c>
      <c r="B241">
        <v>116</v>
      </c>
      <c r="C241" t="s">
        <v>568</v>
      </c>
      <c r="D241" s="453">
        <v>46143</v>
      </c>
      <c r="E241">
        <v>18475</v>
      </c>
      <c r="F241" t="s">
        <v>3918</v>
      </c>
      <c r="G241">
        <v>3181</v>
      </c>
      <c r="H241">
        <v>24.2</v>
      </c>
      <c r="I241" t="s">
        <v>3878</v>
      </c>
      <c r="J241" t="s">
        <v>3497</v>
      </c>
      <c r="K241" t="s">
        <v>464</v>
      </c>
      <c r="L241">
        <v>32.9</v>
      </c>
      <c r="M241" s="453">
        <v>46119</v>
      </c>
      <c r="N241">
        <v>32.9</v>
      </c>
      <c r="O241">
        <v>32.9</v>
      </c>
      <c r="P241">
        <v>796.18</v>
      </c>
    </row>
    <row r="242" spans="1:16" x14ac:dyDescent="0.3">
      <c r="A242">
        <v>85788</v>
      </c>
      <c r="B242">
        <v>116</v>
      </c>
      <c r="C242" t="s">
        <v>568</v>
      </c>
      <c r="D242" s="453">
        <v>46143</v>
      </c>
      <c r="E242">
        <v>24002</v>
      </c>
      <c r="F242" t="s">
        <v>3924</v>
      </c>
      <c r="G242">
        <v>3614</v>
      </c>
      <c r="H242">
        <v>9</v>
      </c>
      <c r="I242" t="s">
        <v>3872</v>
      </c>
      <c r="J242" t="s">
        <v>3497</v>
      </c>
      <c r="K242" t="s">
        <v>464</v>
      </c>
      <c r="L242">
        <v>0</v>
      </c>
      <c r="M242" s="453">
        <v>46010</v>
      </c>
      <c r="N242">
        <v>77.42</v>
      </c>
      <c r="O242">
        <v>4.9800000000000004</v>
      </c>
      <c r="P242">
        <v>696.78</v>
      </c>
    </row>
    <row r="243" spans="1:16" x14ac:dyDescent="0.3">
      <c r="A243">
        <v>85789</v>
      </c>
      <c r="B243">
        <v>116</v>
      </c>
      <c r="C243" t="s">
        <v>568</v>
      </c>
      <c r="D243" s="453">
        <v>46143</v>
      </c>
      <c r="E243">
        <v>24072</v>
      </c>
      <c r="F243" t="s">
        <v>4002</v>
      </c>
      <c r="G243">
        <v>2982</v>
      </c>
      <c r="H243">
        <v>3.1</v>
      </c>
      <c r="I243" t="s">
        <v>3892</v>
      </c>
      <c r="J243" t="s">
        <v>3469</v>
      </c>
      <c r="K243" t="s">
        <v>464</v>
      </c>
      <c r="L243">
        <v>220</v>
      </c>
      <c r="M243" s="453">
        <v>46134</v>
      </c>
      <c r="N243">
        <v>220</v>
      </c>
      <c r="O243">
        <v>220</v>
      </c>
      <c r="P243">
        <v>682</v>
      </c>
    </row>
    <row r="244" spans="1:16" x14ac:dyDescent="0.3">
      <c r="A244">
        <v>85982</v>
      </c>
      <c r="B244">
        <v>116</v>
      </c>
      <c r="C244" t="s">
        <v>568</v>
      </c>
      <c r="D244" s="453">
        <v>46143</v>
      </c>
      <c r="E244">
        <v>27312</v>
      </c>
      <c r="F244" t="s">
        <v>3927</v>
      </c>
      <c r="G244">
        <v>2942</v>
      </c>
      <c r="H244">
        <v>12.7</v>
      </c>
      <c r="I244" t="s">
        <v>3892</v>
      </c>
      <c r="J244" t="s">
        <v>3469</v>
      </c>
      <c r="K244" t="s">
        <v>464</v>
      </c>
      <c r="L244">
        <v>48.94</v>
      </c>
      <c r="M244" s="453">
        <v>46125</v>
      </c>
      <c r="N244">
        <v>46.5</v>
      </c>
      <c r="O244">
        <v>46.5</v>
      </c>
      <c r="P244">
        <v>621.54</v>
      </c>
    </row>
    <row r="245" spans="1:16" x14ac:dyDescent="0.3">
      <c r="A245">
        <v>85791</v>
      </c>
      <c r="B245">
        <v>116</v>
      </c>
      <c r="C245" t="s">
        <v>568</v>
      </c>
      <c r="D245" s="453">
        <v>46143</v>
      </c>
      <c r="E245">
        <v>20703</v>
      </c>
      <c r="F245" t="s">
        <v>3893</v>
      </c>
      <c r="G245">
        <v>2100</v>
      </c>
      <c r="H245">
        <v>45</v>
      </c>
      <c r="I245" t="s">
        <v>3886</v>
      </c>
      <c r="J245" t="s">
        <v>3469</v>
      </c>
      <c r="K245" t="s">
        <v>464</v>
      </c>
      <c r="L245">
        <v>0</v>
      </c>
      <c r="M245" s="453">
        <v>45714</v>
      </c>
      <c r="N245">
        <v>12.8</v>
      </c>
      <c r="O245">
        <v>13.86</v>
      </c>
      <c r="P245">
        <v>576</v>
      </c>
    </row>
    <row r="246" spans="1:16" x14ac:dyDescent="0.3">
      <c r="A246">
        <v>85991</v>
      </c>
      <c r="B246">
        <v>116</v>
      </c>
      <c r="C246" t="s">
        <v>568</v>
      </c>
      <c r="D246" s="453">
        <v>46143</v>
      </c>
      <c r="E246">
        <v>21024</v>
      </c>
      <c r="F246" t="s">
        <v>4180</v>
      </c>
      <c r="G246">
        <v>2003</v>
      </c>
      <c r="H246">
        <v>3</v>
      </c>
      <c r="I246" t="s">
        <v>3966</v>
      </c>
      <c r="J246" t="s">
        <v>3469</v>
      </c>
      <c r="K246" t="s">
        <v>464</v>
      </c>
      <c r="L246">
        <v>182.32</v>
      </c>
      <c r="M246" s="453">
        <v>46127</v>
      </c>
      <c r="N246">
        <v>176.87</v>
      </c>
      <c r="O246">
        <v>176.47</v>
      </c>
      <c r="P246">
        <v>546.96</v>
      </c>
    </row>
    <row r="247" spans="1:16" x14ac:dyDescent="0.3">
      <c r="A247">
        <v>85793</v>
      </c>
      <c r="B247">
        <v>116</v>
      </c>
      <c r="C247" t="s">
        <v>568</v>
      </c>
      <c r="D247" s="453">
        <v>46143</v>
      </c>
      <c r="E247">
        <v>21030</v>
      </c>
      <c r="F247" t="s">
        <v>3890</v>
      </c>
      <c r="G247">
        <v>2001</v>
      </c>
      <c r="H247">
        <v>25</v>
      </c>
      <c r="I247" t="s">
        <v>3872</v>
      </c>
      <c r="J247" t="s">
        <v>3469</v>
      </c>
      <c r="K247" t="s">
        <v>464</v>
      </c>
      <c r="L247">
        <v>19.899999999999999</v>
      </c>
      <c r="M247" s="453">
        <v>46126</v>
      </c>
      <c r="N247">
        <v>19.899999999999999</v>
      </c>
      <c r="O247">
        <v>19.899999999999999</v>
      </c>
      <c r="P247">
        <v>497.5</v>
      </c>
    </row>
    <row r="248" spans="1:16" x14ac:dyDescent="0.3">
      <c r="A248">
        <v>85792</v>
      </c>
      <c r="B248">
        <v>116</v>
      </c>
      <c r="C248" t="s">
        <v>568</v>
      </c>
      <c r="D248" s="453">
        <v>46143</v>
      </c>
      <c r="E248">
        <v>18295</v>
      </c>
      <c r="F248" t="s">
        <v>4030</v>
      </c>
      <c r="G248">
        <v>3334</v>
      </c>
      <c r="H248">
        <v>4</v>
      </c>
      <c r="I248" t="s">
        <v>3878</v>
      </c>
      <c r="J248" t="s">
        <v>3497</v>
      </c>
      <c r="K248" t="s">
        <v>464</v>
      </c>
      <c r="L248">
        <v>123</v>
      </c>
      <c r="M248" s="453">
        <v>46125</v>
      </c>
      <c r="N248">
        <v>123</v>
      </c>
      <c r="O248">
        <v>123</v>
      </c>
      <c r="P248">
        <v>492</v>
      </c>
    </row>
    <row r="249" spans="1:16" x14ac:dyDescent="0.3">
      <c r="A249">
        <v>85797</v>
      </c>
      <c r="B249">
        <v>116</v>
      </c>
      <c r="C249" t="s">
        <v>568</v>
      </c>
      <c r="D249" s="453">
        <v>46143</v>
      </c>
      <c r="E249">
        <v>19324</v>
      </c>
      <c r="F249" t="s">
        <v>3937</v>
      </c>
      <c r="G249">
        <v>2773</v>
      </c>
      <c r="H249">
        <v>11.7</v>
      </c>
      <c r="I249" t="s">
        <v>3892</v>
      </c>
      <c r="J249" t="s">
        <v>3469</v>
      </c>
      <c r="K249" t="s">
        <v>464</v>
      </c>
      <c r="L249">
        <v>41.56</v>
      </c>
      <c r="M249" s="453">
        <v>46128</v>
      </c>
      <c r="N249">
        <v>42.95</v>
      </c>
      <c r="O249">
        <v>41.25</v>
      </c>
      <c r="P249">
        <v>486.25</v>
      </c>
    </row>
    <row r="250" spans="1:16" x14ac:dyDescent="0.3">
      <c r="A250">
        <v>85794</v>
      </c>
      <c r="B250">
        <v>116</v>
      </c>
      <c r="C250" t="s">
        <v>568</v>
      </c>
      <c r="D250" s="453">
        <v>46143</v>
      </c>
      <c r="E250">
        <v>24402</v>
      </c>
      <c r="F250" t="s">
        <v>3896</v>
      </c>
      <c r="G250">
        <v>2949</v>
      </c>
      <c r="H250">
        <v>12.5</v>
      </c>
      <c r="I250" t="s">
        <v>3892</v>
      </c>
      <c r="J250" t="s">
        <v>3469</v>
      </c>
      <c r="K250" t="s">
        <v>464</v>
      </c>
      <c r="L250">
        <v>37.200000000000003</v>
      </c>
      <c r="M250" s="453">
        <v>46126</v>
      </c>
      <c r="N250">
        <v>37.200000000000003</v>
      </c>
      <c r="O250">
        <v>37.200000000000003</v>
      </c>
      <c r="P250">
        <v>465</v>
      </c>
    </row>
    <row r="251" spans="1:16" x14ac:dyDescent="0.3">
      <c r="A251">
        <v>85796</v>
      </c>
      <c r="B251">
        <v>116</v>
      </c>
      <c r="C251" t="s">
        <v>568</v>
      </c>
      <c r="D251" s="453">
        <v>46143</v>
      </c>
      <c r="E251">
        <v>18493</v>
      </c>
      <c r="F251" t="s">
        <v>3958</v>
      </c>
      <c r="G251">
        <v>3164</v>
      </c>
      <c r="H251">
        <v>6.2</v>
      </c>
      <c r="I251" t="s">
        <v>3878</v>
      </c>
      <c r="J251" t="s">
        <v>3497</v>
      </c>
      <c r="K251" t="s">
        <v>464</v>
      </c>
      <c r="L251">
        <v>0</v>
      </c>
      <c r="M251" s="453">
        <v>46083</v>
      </c>
      <c r="N251">
        <v>69.900000000000006</v>
      </c>
      <c r="O251">
        <v>69.900000000000006</v>
      </c>
      <c r="P251">
        <v>433.38</v>
      </c>
    </row>
    <row r="252" spans="1:16" x14ac:dyDescent="0.3">
      <c r="A252">
        <v>85798</v>
      </c>
      <c r="B252">
        <v>116</v>
      </c>
      <c r="C252" t="s">
        <v>568</v>
      </c>
      <c r="D252" s="453">
        <v>46143</v>
      </c>
      <c r="E252">
        <v>20985</v>
      </c>
      <c r="F252" t="s">
        <v>3914</v>
      </c>
      <c r="G252">
        <v>2011</v>
      </c>
      <c r="H252">
        <v>52</v>
      </c>
      <c r="I252" t="s">
        <v>3872</v>
      </c>
      <c r="J252" t="s">
        <v>3469</v>
      </c>
      <c r="K252" t="s">
        <v>464</v>
      </c>
      <c r="L252">
        <v>0</v>
      </c>
      <c r="M252" s="453">
        <v>45916</v>
      </c>
      <c r="N252">
        <v>7.89</v>
      </c>
      <c r="O252">
        <v>8</v>
      </c>
      <c r="P252">
        <v>410.28</v>
      </c>
    </row>
    <row r="253" spans="1:16" x14ac:dyDescent="0.3">
      <c r="A253">
        <v>85799</v>
      </c>
      <c r="B253">
        <v>116</v>
      </c>
      <c r="C253" t="s">
        <v>568</v>
      </c>
      <c r="D253" s="453">
        <v>46143</v>
      </c>
      <c r="E253">
        <v>18684</v>
      </c>
      <c r="F253" t="s">
        <v>3925</v>
      </c>
      <c r="G253">
        <v>3041</v>
      </c>
      <c r="H253">
        <v>11</v>
      </c>
      <c r="I253" t="s">
        <v>3892</v>
      </c>
      <c r="J253" t="s">
        <v>3469</v>
      </c>
      <c r="K253" t="s">
        <v>464</v>
      </c>
      <c r="L253">
        <v>36</v>
      </c>
      <c r="M253" s="453">
        <v>46134</v>
      </c>
      <c r="N253">
        <v>36</v>
      </c>
      <c r="O253">
        <v>36</v>
      </c>
      <c r="P253">
        <v>396</v>
      </c>
    </row>
    <row r="254" spans="1:16" x14ac:dyDescent="0.3">
      <c r="A254">
        <v>85800</v>
      </c>
      <c r="B254">
        <v>116</v>
      </c>
      <c r="C254" t="s">
        <v>568</v>
      </c>
      <c r="D254" s="453">
        <v>46143</v>
      </c>
      <c r="E254">
        <v>17895</v>
      </c>
      <c r="F254" t="s">
        <v>4137</v>
      </c>
      <c r="G254">
        <v>3665</v>
      </c>
      <c r="H254">
        <v>13</v>
      </c>
      <c r="I254" t="s">
        <v>3888</v>
      </c>
      <c r="J254" t="s">
        <v>3497</v>
      </c>
      <c r="K254" t="s">
        <v>464</v>
      </c>
      <c r="L254">
        <v>28.32</v>
      </c>
      <c r="M254" s="453">
        <v>46119</v>
      </c>
      <c r="N254">
        <v>28.32</v>
      </c>
      <c r="O254">
        <v>23.45</v>
      </c>
      <c r="P254">
        <v>368.16</v>
      </c>
    </row>
    <row r="255" spans="1:16" x14ac:dyDescent="0.3">
      <c r="A255">
        <v>85801</v>
      </c>
      <c r="B255">
        <v>116</v>
      </c>
      <c r="C255" t="s">
        <v>568</v>
      </c>
      <c r="D255" s="453">
        <v>46143</v>
      </c>
      <c r="E255">
        <v>21944</v>
      </c>
      <c r="F255" t="s">
        <v>3936</v>
      </c>
      <c r="G255">
        <v>3748</v>
      </c>
      <c r="H255">
        <v>9</v>
      </c>
      <c r="I255" t="s">
        <v>3878</v>
      </c>
      <c r="J255" t="s">
        <v>3497</v>
      </c>
      <c r="K255" t="s">
        <v>464</v>
      </c>
      <c r="L255">
        <v>0</v>
      </c>
      <c r="N255">
        <v>0</v>
      </c>
      <c r="O255">
        <v>40.159999999999997</v>
      </c>
      <c r="P255">
        <v>361.44</v>
      </c>
    </row>
    <row r="256" spans="1:16" x14ac:dyDescent="0.3">
      <c r="A256">
        <v>85987</v>
      </c>
      <c r="B256">
        <v>116</v>
      </c>
      <c r="C256" t="s">
        <v>568</v>
      </c>
      <c r="D256" s="453">
        <v>46143</v>
      </c>
      <c r="E256">
        <v>26709</v>
      </c>
      <c r="F256" t="s">
        <v>4178</v>
      </c>
      <c r="G256">
        <v>6865</v>
      </c>
      <c r="H256">
        <v>6.5</v>
      </c>
      <c r="I256" t="s">
        <v>3892</v>
      </c>
      <c r="J256" t="s">
        <v>3469</v>
      </c>
      <c r="K256" t="s">
        <v>464</v>
      </c>
      <c r="L256">
        <v>0</v>
      </c>
      <c r="M256" s="453">
        <v>46111</v>
      </c>
      <c r="N256">
        <v>50</v>
      </c>
      <c r="O256">
        <v>50</v>
      </c>
      <c r="P256">
        <v>325</v>
      </c>
    </row>
    <row r="257" spans="1:16" x14ac:dyDescent="0.3">
      <c r="A257">
        <v>85803</v>
      </c>
      <c r="B257">
        <v>116</v>
      </c>
      <c r="C257" t="s">
        <v>568</v>
      </c>
      <c r="D257" s="453">
        <v>46143</v>
      </c>
      <c r="E257">
        <v>18685</v>
      </c>
      <c r="F257" t="s">
        <v>3945</v>
      </c>
      <c r="G257">
        <v>3040</v>
      </c>
      <c r="H257">
        <v>8.3000000000000007</v>
      </c>
      <c r="I257" t="s">
        <v>3892</v>
      </c>
      <c r="J257" t="s">
        <v>3469</v>
      </c>
      <c r="K257" t="s">
        <v>464</v>
      </c>
      <c r="L257">
        <v>39</v>
      </c>
      <c r="M257" s="453">
        <v>46134</v>
      </c>
      <c r="N257">
        <v>39</v>
      </c>
      <c r="O257">
        <v>39</v>
      </c>
      <c r="P257">
        <v>323.7</v>
      </c>
    </row>
    <row r="258" spans="1:16" x14ac:dyDescent="0.3">
      <c r="A258">
        <v>85804</v>
      </c>
      <c r="B258">
        <v>116</v>
      </c>
      <c r="C258" t="s">
        <v>568</v>
      </c>
      <c r="D258" s="453">
        <v>46143</v>
      </c>
      <c r="E258">
        <v>19578</v>
      </c>
      <c r="F258" t="s">
        <v>3985</v>
      </c>
      <c r="G258">
        <v>2640</v>
      </c>
      <c r="H258">
        <v>4</v>
      </c>
      <c r="I258" t="s">
        <v>3892</v>
      </c>
      <c r="J258" t="s">
        <v>3469</v>
      </c>
      <c r="K258" t="s">
        <v>464</v>
      </c>
      <c r="L258">
        <v>0</v>
      </c>
      <c r="M258" s="453">
        <v>46055</v>
      </c>
      <c r="N258">
        <v>80</v>
      </c>
      <c r="O258">
        <v>80</v>
      </c>
      <c r="P258">
        <v>320</v>
      </c>
    </row>
    <row r="259" spans="1:16" x14ac:dyDescent="0.3">
      <c r="A259">
        <v>85806</v>
      </c>
      <c r="B259">
        <v>116</v>
      </c>
      <c r="C259" t="s">
        <v>568</v>
      </c>
      <c r="D259" s="453">
        <v>46143</v>
      </c>
      <c r="E259">
        <v>19346</v>
      </c>
      <c r="F259" t="s">
        <v>3948</v>
      </c>
      <c r="G259">
        <v>2770</v>
      </c>
      <c r="H259">
        <v>5.3</v>
      </c>
      <c r="I259" t="s">
        <v>3892</v>
      </c>
      <c r="J259" t="s">
        <v>3469</v>
      </c>
      <c r="K259" t="s">
        <v>464</v>
      </c>
      <c r="L259">
        <v>59.15</v>
      </c>
      <c r="M259" s="453">
        <v>46126</v>
      </c>
      <c r="N259">
        <v>58.3</v>
      </c>
      <c r="O259">
        <v>58.3</v>
      </c>
      <c r="P259">
        <v>313.5</v>
      </c>
    </row>
    <row r="260" spans="1:16" x14ac:dyDescent="0.3">
      <c r="A260">
        <v>85802</v>
      </c>
      <c r="B260">
        <v>116</v>
      </c>
      <c r="C260" t="s">
        <v>568</v>
      </c>
      <c r="D260" s="453">
        <v>46143</v>
      </c>
      <c r="E260">
        <v>18172</v>
      </c>
      <c r="F260" t="s">
        <v>3923</v>
      </c>
      <c r="G260">
        <v>3450</v>
      </c>
      <c r="H260">
        <v>10.5</v>
      </c>
      <c r="I260" t="s">
        <v>3878</v>
      </c>
      <c r="J260" t="s">
        <v>3497</v>
      </c>
      <c r="K260" t="s">
        <v>464</v>
      </c>
      <c r="L260">
        <v>29.42</v>
      </c>
      <c r="M260" s="453">
        <v>46132</v>
      </c>
      <c r="N260">
        <v>27.11</v>
      </c>
      <c r="O260">
        <v>27.11</v>
      </c>
      <c r="P260">
        <v>308.91000000000003</v>
      </c>
    </row>
    <row r="261" spans="1:16" x14ac:dyDescent="0.3">
      <c r="A261">
        <v>85807</v>
      </c>
      <c r="B261">
        <v>116</v>
      </c>
      <c r="C261" t="s">
        <v>568</v>
      </c>
      <c r="D261" s="453">
        <v>46143</v>
      </c>
      <c r="E261">
        <v>20752</v>
      </c>
      <c r="F261" t="s">
        <v>3964</v>
      </c>
      <c r="G261">
        <v>2088</v>
      </c>
      <c r="H261">
        <v>3</v>
      </c>
      <c r="I261" t="s">
        <v>3886</v>
      </c>
      <c r="J261" t="s">
        <v>3469</v>
      </c>
      <c r="K261" t="s">
        <v>464</v>
      </c>
      <c r="L261">
        <v>101.44</v>
      </c>
      <c r="M261" s="453">
        <v>46127</v>
      </c>
      <c r="N261">
        <v>102.8</v>
      </c>
      <c r="O261">
        <v>102.8</v>
      </c>
      <c r="P261">
        <v>304.32</v>
      </c>
    </row>
    <row r="262" spans="1:16" x14ac:dyDescent="0.3">
      <c r="A262">
        <v>85809</v>
      </c>
      <c r="B262">
        <v>116</v>
      </c>
      <c r="C262" t="s">
        <v>568</v>
      </c>
      <c r="D262" s="453">
        <v>46143</v>
      </c>
      <c r="E262">
        <v>19984</v>
      </c>
      <c r="F262" t="s">
        <v>3904</v>
      </c>
      <c r="G262">
        <v>2351</v>
      </c>
      <c r="H262">
        <v>15</v>
      </c>
      <c r="I262" t="s">
        <v>3872</v>
      </c>
      <c r="J262" t="s">
        <v>3469</v>
      </c>
      <c r="K262" t="s">
        <v>464</v>
      </c>
      <c r="L262">
        <v>0</v>
      </c>
      <c r="M262" s="453">
        <v>46105</v>
      </c>
      <c r="N262">
        <v>19.8</v>
      </c>
      <c r="O262">
        <v>19.8</v>
      </c>
      <c r="P262">
        <v>297</v>
      </c>
    </row>
    <row r="263" spans="1:16" x14ac:dyDescent="0.3">
      <c r="A263">
        <v>85811</v>
      </c>
      <c r="B263">
        <v>116</v>
      </c>
      <c r="C263" t="s">
        <v>568</v>
      </c>
      <c r="D263" s="453">
        <v>46143</v>
      </c>
      <c r="E263">
        <v>18538</v>
      </c>
      <c r="F263" t="s">
        <v>4026</v>
      </c>
      <c r="G263">
        <v>3139</v>
      </c>
      <c r="H263">
        <v>2.7</v>
      </c>
      <c r="I263" t="s">
        <v>3878</v>
      </c>
      <c r="J263" t="s">
        <v>3497</v>
      </c>
      <c r="K263" t="s">
        <v>464</v>
      </c>
      <c r="L263">
        <v>105.9</v>
      </c>
      <c r="M263" s="453">
        <v>46119</v>
      </c>
      <c r="N263">
        <v>105.9</v>
      </c>
      <c r="O263">
        <v>105.9</v>
      </c>
      <c r="P263">
        <v>285.93</v>
      </c>
    </row>
    <row r="264" spans="1:16" x14ac:dyDescent="0.3">
      <c r="A264">
        <v>85812</v>
      </c>
      <c r="B264">
        <v>116</v>
      </c>
      <c r="C264" t="s">
        <v>568</v>
      </c>
      <c r="D264" s="453">
        <v>46143</v>
      </c>
      <c r="E264">
        <v>25196</v>
      </c>
      <c r="F264" t="s">
        <v>3873</v>
      </c>
      <c r="G264">
        <v>2357</v>
      </c>
      <c r="H264">
        <v>51</v>
      </c>
      <c r="I264" t="s">
        <v>3872</v>
      </c>
      <c r="J264" t="s">
        <v>3469</v>
      </c>
      <c r="K264" t="s">
        <v>464</v>
      </c>
      <c r="L264">
        <v>0</v>
      </c>
      <c r="M264" s="453">
        <v>45936</v>
      </c>
      <c r="N264">
        <v>5.5</v>
      </c>
      <c r="O264">
        <v>5.5</v>
      </c>
      <c r="P264">
        <v>280.5</v>
      </c>
    </row>
    <row r="265" spans="1:16" x14ac:dyDescent="0.3">
      <c r="A265">
        <v>85813</v>
      </c>
      <c r="B265">
        <v>116</v>
      </c>
      <c r="C265" t="s">
        <v>568</v>
      </c>
      <c r="D265" s="453">
        <v>46143</v>
      </c>
      <c r="E265">
        <v>18179</v>
      </c>
      <c r="F265" t="s">
        <v>3995</v>
      </c>
      <c r="G265">
        <v>3443</v>
      </c>
      <c r="H265">
        <v>2.5</v>
      </c>
      <c r="I265" t="s">
        <v>3878</v>
      </c>
      <c r="J265" t="s">
        <v>3497</v>
      </c>
      <c r="K265" t="s">
        <v>464</v>
      </c>
      <c r="L265">
        <v>0</v>
      </c>
      <c r="M265" s="453">
        <v>46091</v>
      </c>
      <c r="N265">
        <v>112.05</v>
      </c>
      <c r="O265">
        <v>116.4</v>
      </c>
      <c r="P265">
        <v>280.12</v>
      </c>
    </row>
    <row r="266" spans="1:16" x14ac:dyDescent="0.3">
      <c r="A266">
        <v>85814</v>
      </c>
      <c r="B266">
        <v>116</v>
      </c>
      <c r="C266" t="s">
        <v>568</v>
      </c>
      <c r="D266" s="453">
        <v>46143</v>
      </c>
      <c r="E266">
        <v>20555</v>
      </c>
      <c r="F266" t="s">
        <v>3959</v>
      </c>
      <c r="G266">
        <v>2139</v>
      </c>
      <c r="H266">
        <v>3.5</v>
      </c>
      <c r="I266" t="s">
        <v>3892</v>
      </c>
      <c r="J266" t="s">
        <v>3469</v>
      </c>
      <c r="K266" t="s">
        <v>464</v>
      </c>
      <c r="L266">
        <v>79</v>
      </c>
      <c r="M266" s="453">
        <v>46134</v>
      </c>
      <c r="N266">
        <v>79</v>
      </c>
      <c r="O266">
        <v>79</v>
      </c>
      <c r="P266">
        <v>276.5</v>
      </c>
    </row>
    <row r="267" spans="1:16" x14ac:dyDescent="0.3">
      <c r="A267">
        <v>85810</v>
      </c>
      <c r="B267">
        <v>116</v>
      </c>
      <c r="C267" t="s">
        <v>568</v>
      </c>
      <c r="D267" s="453">
        <v>46143</v>
      </c>
      <c r="E267">
        <v>18359</v>
      </c>
      <c r="F267" t="s">
        <v>4029</v>
      </c>
      <c r="G267">
        <v>3278</v>
      </c>
      <c r="H267">
        <v>2.9</v>
      </c>
      <c r="I267" t="s">
        <v>3878</v>
      </c>
      <c r="J267" t="s">
        <v>3497</v>
      </c>
      <c r="K267" t="s">
        <v>464</v>
      </c>
      <c r="L267">
        <v>94.8</v>
      </c>
      <c r="M267" s="453">
        <v>46119</v>
      </c>
      <c r="N267">
        <v>94.8</v>
      </c>
      <c r="O267">
        <v>94.9</v>
      </c>
      <c r="P267">
        <v>274.92</v>
      </c>
    </row>
    <row r="268" spans="1:16" x14ac:dyDescent="0.3">
      <c r="A268">
        <v>85817</v>
      </c>
      <c r="B268">
        <v>116</v>
      </c>
      <c r="C268" t="s">
        <v>568</v>
      </c>
      <c r="D268" s="453">
        <v>46143</v>
      </c>
      <c r="E268">
        <v>19287</v>
      </c>
      <c r="F268" t="s">
        <v>3974</v>
      </c>
      <c r="G268">
        <v>2778</v>
      </c>
      <c r="H268">
        <v>6.6</v>
      </c>
      <c r="I268" t="s">
        <v>3892</v>
      </c>
      <c r="J268" t="s">
        <v>3469</v>
      </c>
      <c r="K268" t="s">
        <v>464</v>
      </c>
      <c r="L268">
        <v>41.45</v>
      </c>
      <c r="M268" s="453">
        <v>46120</v>
      </c>
      <c r="N268">
        <v>41.45</v>
      </c>
      <c r="O268">
        <v>43.06</v>
      </c>
      <c r="P268">
        <v>273.57</v>
      </c>
    </row>
    <row r="269" spans="1:16" x14ac:dyDescent="0.3">
      <c r="A269">
        <v>85983</v>
      </c>
      <c r="B269">
        <v>116</v>
      </c>
      <c r="C269" t="s">
        <v>568</v>
      </c>
      <c r="D269" s="453">
        <v>46143</v>
      </c>
      <c r="E269">
        <v>17969</v>
      </c>
      <c r="F269" t="s">
        <v>4175</v>
      </c>
      <c r="G269">
        <v>3617</v>
      </c>
      <c r="H269">
        <v>12</v>
      </c>
      <c r="I269" t="s">
        <v>3888</v>
      </c>
      <c r="J269" t="s">
        <v>3497</v>
      </c>
      <c r="K269" t="s">
        <v>464</v>
      </c>
      <c r="L269">
        <v>22.7</v>
      </c>
      <c r="M269" s="453">
        <v>46118</v>
      </c>
      <c r="N269">
        <v>22.7</v>
      </c>
      <c r="O269">
        <v>22.7</v>
      </c>
      <c r="P269">
        <v>272.39999999999998</v>
      </c>
    </row>
    <row r="270" spans="1:16" x14ac:dyDescent="0.3">
      <c r="A270">
        <v>85815</v>
      </c>
      <c r="B270">
        <v>116</v>
      </c>
      <c r="C270" t="s">
        <v>568</v>
      </c>
      <c r="D270" s="453">
        <v>46143</v>
      </c>
      <c r="E270">
        <v>16974</v>
      </c>
      <c r="F270" t="s">
        <v>3996</v>
      </c>
      <c r="G270">
        <v>3711</v>
      </c>
      <c r="H270">
        <v>2</v>
      </c>
      <c r="I270" t="s">
        <v>3881</v>
      </c>
      <c r="J270" t="s">
        <v>3497</v>
      </c>
      <c r="K270" t="s">
        <v>464</v>
      </c>
      <c r="L270">
        <v>135</v>
      </c>
      <c r="M270" s="453">
        <v>46120</v>
      </c>
      <c r="N270">
        <v>135</v>
      </c>
      <c r="O270">
        <v>135</v>
      </c>
      <c r="P270">
        <v>270</v>
      </c>
    </row>
    <row r="271" spans="1:16" x14ac:dyDescent="0.3">
      <c r="A271">
        <v>85808</v>
      </c>
      <c r="B271">
        <v>116</v>
      </c>
      <c r="C271" t="s">
        <v>568</v>
      </c>
      <c r="D271" s="453">
        <v>46143</v>
      </c>
      <c r="E271">
        <v>20278</v>
      </c>
      <c r="F271" t="s">
        <v>3939</v>
      </c>
      <c r="G271">
        <v>2230</v>
      </c>
      <c r="H271">
        <v>9</v>
      </c>
      <c r="I271" t="s">
        <v>3872</v>
      </c>
      <c r="J271" t="s">
        <v>3469</v>
      </c>
      <c r="K271" t="s">
        <v>464</v>
      </c>
      <c r="L271">
        <v>29.59</v>
      </c>
      <c r="M271" s="453">
        <v>46132</v>
      </c>
      <c r="N271">
        <v>29.59</v>
      </c>
      <c r="O271">
        <v>34.03</v>
      </c>
      <c r="P271">
        <v>266.31</v>
      </c>
    </row>
    <row r="272" spans="1:16" x14ac:dyDescent="0.3">
      <c r="A272">
        <v>85818</v>
      </c>
      <c r="B272">
        <v>116</v>
      </c>
      <c r="C272" t="s">
        <v>568</v>
      </c>
      <c r="D272" s="453">
        <v>46143</v>
      </c>
      <c r="E272">
        <v>20729</v>
      </c>
      <c r="F272" t="s">
        <v>3965</v>
      </c>
      <c r="G272">
        <v>2093</v>
      </c>
      <c r="H272">
        <v>4</v>
      </c>
      <c r="I272" t="s">
        <v>3966</v>
      </c>
      <c r="J272" t="s">
        <v>3469</v>
      </c>
      <c r="K272" t="s">
        <v>464</v>
      </c>
      <c r="L272">
        <v>65.88</v>
      </c>
      <c r="M272" s="453">
        <v>46121</v>
      </c>
      <c r="N272">
        <v>65.88</v>
      </c>
      <c r="O272">
        <v>65.88</v>
      </c>
      <c r="P272">
        <v>263.52</v>
      </c>
    </row>
    <row r="273" spans="1:16" x14ac:dyDescent="0.3">
      <c r="A273">
        <v>85819</v>
      </c>
      <c r="B273">
        <v>116</v>
      </c>
      <c r="C273" t="s">
        <v>568</v>
      </c>
      <c r="D273" s="453">
        <v>46143</v>
      </c>
      <c r="E273">
        <v>20458</v>
      </c>
      <c r="F273" t="s">
        <v>4121</v>
      </c>
      <c r="G273">
        <v>2164</v>
      </c>
      <c r="H273">
        <v>8</v>
      </c>
      <c r="I273" t="s">
        <v>3892</v>
      </c>
      <c r="J273" t="s">
        <v>3469</v>
      </c>
      <c r="K273" t="s">
        <v>464</v>
      </c>
      <c r="L273">
        <v>32.9</v>
      </c>
      <c r="M273" s="453">
        <v>46126</v>
      </c>
      <c r="N273">
        <v>32.9</v>
      </c>
      <c r="O273">
        <v>32.9</v>
      </c>
      <c r="P273">
        <v>263.2</v>
      </c>
    </row>
    <row r="274" spans="1:16" x14ac:dyDescent="0.3">
      <c r="A274">
        <v>85820</v>
      </c>
      <c r="B274">
        <v>116</v>
      </c>
      <c r="C274" t="s">
        <v>568</v>
      </c>
      <c r="D274" s="453">
        <v>46143</v>
      </c>
      <c r="E274">
        <v>17903</v>
      </c>
      <c r="F274" t="s">
        <v>3971</v>
      </c>
      <c r="G274">
        <v>3658</v>
      </c>
      <c r="H274">
        <v>10</v>
      </c>
      <c r="I274" t="s">
        <v>3888</v>
      </c>
      <c r="J274" t="s">
        <v>3497</v>
      </c>
      <c r="K274" t="s">
        <v>464</v>
      </c>
      <c r="L274">
        <v>25.53</v>
      </c>
      <c r="M274" s="453">
        <v>46119</v>
      </c>
      <c r="N274">
        <v>25.53</v>
      </c>
      <c r="O274">
        <v>21.1</v>
      </c>
      <c r="P274">
        <v>255.3</v>
      </c>
    </row>
    <row r="275" spans="1:16" x14ac:dyDescent="0.3">
      <c r="A275">
        <v>85826</v>
      </c>
      <c r="B275">
        <v>116</v>
      </c>
      <c r="C275" t="s">
        <v>568</v>
      </c>
      <c r="D275" s="453">
        <v>46143</v>
      </c>
      <c r="E275">
        <v>20301</v>
      </c>
      <c r="F275" t="s">
        <v>4161</v>
      </c>
      <c r="G275">
        <v>2223</v>
      </c>
      <c r="H275">
        <v>12</v>
      </c>
      <c r="I275" t="s">
        <v>3888</v>
      </c>
      <c r="J275" t="s">
        <v>3469</v>
      </c>
      <c r="K275" t="s">
        <v>464</v>
      </c>
      <c r="L275">
        <v>21</v>
      </c>
      <c r="M275" s="453">
        <v>46120</v>
      </c>
      <c r="N275">
        <v>21</v>
      </c>
      <c r="O275">
        <v>21</v>
      </c>
      <c r="P275">
        <v>252</v>
      </c>
    </row>
    <row r="276" spans="1:16" x14ac:dyDescent="0.3">
      <c r="A276">
        <v>85821</v>
      </c>
      <c r="B276">
        <v>116</v>
      </c>
      <c r="C276" t="s">
        <v>568</v>
      </c>
      <c r="D276" s="453">
        <v>46143</v>
      </c>
      <c r="E276">
        <v>25767</v>
      </c>
      <c r="F276" t="s">
        <v>3976</v>
      </c>
      <c r="G276">
        <v>6316</v>
      </c>
      <c r="H276">
        <v>3</v>
      </c>
      <c r="I276" t="s">
        <v>3892</v>
      </c>
      <c r="J276" t="s">
        <v>3469</v>
      </c>
      <c r="K276" t="s">
        <v>464</v>
      </c>
      <c r="L276">
        <v>0</v>
      </c>
      <c r="M276" s="453">
        <v>46056</v>
      </c>
      <c r="N276">
        <v>80</v>
      </c>
      <c r="O276">
        <v>80</v>
      </c>
      <c r="P276">
        <v>240</v>
      </c>
    </row>
    <row r="277" spans="1:16" x14ac:dyDescent="0.3">
      <c r="A277">
        <v>85822</v>
      </c>
      <c r="B277">
        <v>116</v>
      </c>
      <c r="C277" t="s">
        <v>568</v>
      </c>
      <c r="D277" s="453">
        <v>46143</v>
      </c>
      <c r="E277">
        <v>20755</v>
      </c>
      <c r="F277" t="s">
        <v>4052</v>
      </c>
      <c r="G277">
        <v>2087</v>
      </c>
      <c r="H277">
        <v>2</v>
      </c>
      <c r="I277" t="s">
        <v>3966</v>
      </c>
      <c r="J277" t="s">
        <v>3469</v>
      </c>
      <c r="K277" t="s">
        <v>464</v>
      </c>
      <c r="L277">
        <v>0</v>
      </c>
      <c r="M277" s="453">
        <v>46085</v>
      </c>
      <c r="N277">
        <v>120</v>
      </c>
      <c r="O277">
        <v>120</v>
      </c>
      <c r="P277">
        <v>240</v>
      </c>
    </row>
    <row r="278" spans="1:16" x14ac:dyDescent="0.3">
      <c r="A278">
        <v>85985</v>
      </c>
      <c r="B278">
        <v>116</v>
      </c>
      <c r="C278" t="s">
        <v>568</v>
      </c>
      <c r="D278" s="453">
        <v>46143</v>
      </c>
      <c r="E278">
        <v>24006</v>
      </c>
      <c r="F278" t="s">
        <v>4177</v>
      </c>
      <c r="G278">
        <v>3609</v>
      </c>
      <c r="H278">
        <v>10</v>
      </c>
      <c r="I278" t="s">
        <v>3888</v>
      </c>
      <c r="J278" t="s">
        <v>3497</v>
      </c>
      <c r="K278" t="s">
        <v>464</v>
      </c>
      <c r="L278">
        <v>23.9</v>
      </c>
      <c r="M278" s="453">
        <v>46118</v>
      </c>
      <c r="N278">
        <v>23.9</v>
      </c>
      <c r="O278">
        <v>23.9</v>
      </c>
      <c r="P278">
        <v>239</v>
      </c>
    </row>
    <row r="279" spans="1:16" x14ac:dyDescent="0.3">
      <c r="A279">
        <v>85824</v>
      </c>
      <c r="B279">
        <v>116</v>
      </c>
      <c r="C279" t="s">
        <v>568</v>
      </c>
      <c r="D279" s="453">
        <v>46143</v>
      </c>
      <c r="E279">
        <v>18467</v>
      </c>
      <c r="F279" t="s">
        <v>4028</v>
      </c>
      <c r="G279">
        <v>3189</v>
      </c>
      <c r="H279">
        <v>3</v>
      </c>
      <c r="I279" t="s">
        <v>3878</v>
      </c>
      <c r="J279" t="s">
        <v>3497</v>
      </c>
      <c r="K279" t="s">
        <v>464</v>
      </c>
      <c r="L279">
        <v>0</v>
      </c>
      <c r="M279" s="453">
        <v>46098</v>
      </c>
      <c r="N279">
        <v>77.790000000000006</v>
      </c>
      <c r="O279">
        <v>77.790000000000006</v>
      </c>
      <c r="P279">
        <v>233.37</v>
      </c>
    </row>
    <row r="280" spans="1:16" x14ac:dyDescent="0.3">
      <c r="A280">
        <v>85825</v>
      </c>
      <c r="B280">
        <v>116</v>
      </c>
      <c r="C280" t="s">
        <v>568</v>
      </c>
      <c r="D280" s="453">
        <v>46143</v>
      </c>
      <c r="E280">
        <v>17710</v>
      </c>
      <c r="F280" t="s">
        <v>3905</v>
      </c>
      <c r="G280">
        <v>3824</v>
      </c>
      <c r="H280">
        <v>6</v>
      </c>
      <c r="I280" t="s">
        <v>3878</v>
      </c>
      <c r="J280" t="s">
        <v>3497</v>
      </c>
      <c r="K280" t="s">
        <v>464</v>
      </c>
      <c r="L280">
        <v>0</v>
      </c>
      <c r="M280" s="453">
        <v>45973</v>
      </c>
      <c r="N280">
        <v>38.86</v>
      </c>
      <c r="O280">
        <v>37.700000000000003</v>
      </c>
      <c r="P280">
        <v>233.16</v>
      </c>
    </row>
    <row r="281" spans="1:16" x14ac:dyDescent="0.3">
      <c r="A281">
        <v>85827</v>
      </c>
      <c r="B281">
        <v>116</v>
      </c>
      <c r="C281" t="s">
        <v>568</v>
      </c>
      <c r="D281" s="453">
        <v>46143</v>
      </c>
      <c r="E281">
        <v>24517</v>
      </c>
      <c r="F281" t="s">
        <v>3991</v>
      </c>
      <c r="G281">
        <v>3047</v>
      </c>
      <c r="H281">
        <v>7.9</v>
      </c>
      <c r="I281" t="s">
        <v>3892</v>
      </c>
      <c r="J281" t="s">
        <v>3469</v>
      </c>
      <c r="K281" t="s">
        <v>464</v>
      </c>
      <c r="L281">
        <v>27.99</v>
      </c>
      <c r="M281" s="453">
        <v>46126</v>
      </c>
      <c r="N281">
        <v>27.99</v>
      </c>
      <c r="O281">
        <v>27.99</v>
      </c>
      <c r="P281">
        <v>221.12</v>
      </c>
    </row>
    <row r="282" spans="1:16" x14ac:dyDescent="0.3">
      <c r="A282">
        <v>85828</v>
      </c>
      <c r="B282">
        <v>116</v>
      </c>
      <c r="C282" t="s">
        <v>568</v>
      </c>
      <c r="D282" s="453">
        <v>46143</v>
      </c>
      <c r="E282">
        <v>18004</v>
      </c>
      <c r="F282" t="s">
        <v>4140</v>
      </c>
      <c r="G282">
        <v>3592</v>
      </c>
      <c r="H282">
        <v>7</v>
      </c>
      <c r="I282" t="s">
        <v>3888</v>
      </c>
      <c r="J282" t="s">
        <v>3497</v>
      </c>
      <c r="K282" t="s">
        <v>464</v>
      </c>
      <c r="L282">
        <v>29.64</v>
      </c>
      <c r="M282" s="453">
        <v>46126</v>
      </c>
      <c r="N282">
        <v>29.64</v>
      </c>
      <c r="O282">
        <v>21.03</v>
      </c>
      <c r="P282">
        <v>207.48</v>
      </c>
    </row>
    <row r="283" spans="1:16" x14ac:dyDescent="0.3">
      <c r="A283">
        <v>85829</v>
      </c>
      <c r="B283">
        <v>116</v>
      </c>
      <c r="C283" t="s">
        <v>568</v>
      </c>
      <c r="D283" s="453">
        <v>46143</v>
      </c>
      <c r="E283">
        <v>24351</v>
      </c>
      <c r="F283" t="s">
        <v>3912</v>
      </c>
      <c r="G283">
        <v>2287</v>
      </c>
      <c r="H283">
        <v>17</v>
      </c>
      <c r="I283" t="s">
        <v>3872</v>
      </c>
      <c r="J283" t="s">
        <v>3469</v>
      </c>
      <c r="K283" t="s">
        <v>464</v>
      </c>
      <c r="L283">
        <v>12</v>
      </c>
      <c r="M283" s="453">
        <v>46121</v>
      </c>
      <c r="N283">
        <v>12</v>
      </c>
      <c r="O283">
        <v>12</v>
      </c>
      <c r="P283">
        <v>204</v>
      </c>
    </row>
    <row r="284" spans="1:16" x14ac:dyDescent="0.3">
      <c r="A284">
        <v>85997</v>
      </c>
      <c r="B284">
        <v>116</v>
      </c>
      <c r="C284" t="s">
        <v>568</v>
      </c>
      <c r="D284" s="453">
        <v>46143</v>
      </c>
      <c r="E284">
        <v>18297</v>
      </c>
      <c r="F284" t="s">
        <v>4185</v>
      </c>
      <c r="G284">
        <v>3332</v>
      </c>
      <c r="H284">
        <v>1</v>
      </c>
      <c r="I284" t="s">
        <v>3872</v>
      </c>
      <c r="J284" t="s">
        <v>3497</v>
      </c>
      <c r="K284" t="s">
        <v>464</v>
      </c>
      <c r="L284">
        <v>0</v>
      </c>
      <c r="N284">
        <v>0</v>
      </c>
      <c r="O284">
        <v>0</v>
      </c>
      <c r="P284">
        <v>193</v>
      </c>
    </row>
    <row r="285" spans="1:16" x14ac:dyDescent="0.3">
      <c r="A285">
        <v>85830</v>
      </c>
      <c r="B285">
        <v>116</v>
      </c>
      <c r="C285" t="s">
        <v>568</v>
      </c>
      <c r="D285" s="453">
        <v>46143</v>
      </c>
      <c r="E285">
        <v>18394</v>
      </c>
      <c r="F285" t="s">
        <v>4044</v>
      </c>
      <c r="G285">
        <v>3246</v>
      </c>
      <c r="H285">
        <v>1.4</v>
      </c>
      <c r="I285" t="s">
        <v>3878</v>
      </c>
      <c r="J285" t="s">
        <v>3497</v>
      </c>
      <c r="K285" t="s">
        <v>464</v>
      </c>
      <c r="L285">
        <v>0</v>
      </c>
      <c r="M285" s="453">
        <v>45978</v>
      </c>
      <c r="N285">
        <v>132</v>
      </c>
      <c r="O285">
        <v>132</v>
      </c>
      <c r="P285">
        <v>184.8</v>
      </c>
    </row>
    <row r="286" spans="1:16" x14ac:dyDescent="0.3">
      <c r="A286">
        <v>85823</v>
      </c>
      <c r="B286">
        <v>116</v>
      </c>
      <c r="C286" t="s">
        <v>568</v>
      </c>
      <c r="D286" s="453">
        <v>46143</v>
      </c>
      <c r="E286">
        <v>19264</v>
      </c>
      <c r="F286" t="s">
        <v>4082</v>
      </c>
      <c r="G286">
        <v>2781</v>
      </c>
      <c r="H286">
        <v>3.5</v>
      </c>
      <c r="I286" t="s">
        <v>3888</v>
      </c>
      <c r="J286" t="s">
        <v>3469</v>
      </c>
      <c r="K286" t="s">
        <v>464</v>
      </c>
      <c r="L286">
        <v>52.55</v>
      </c>
      <c r="M286" s="453">
        <v>46132</v>
      </c>
      <c r="N286">
        <v>56.93</v>
      </c>
      <c r="O286">
        <v>56.93</v>
      </c>
      <c r="P286">
        <v>183.92</v>
      </c>
    </row>
    <row r="287" spans="1:16" x14ac:dyDescent="0.3">
      <c r="A287">
        <v>85831</v>
      </c>
      <c r="B287">
        <v>116</v>
      </c>
      <c r="C287" t="s">
        <v>568</v>
      </c>
      <c r="D287" s="453">
        <v>46143</v>
      </c>
      <c r="E287">
        <v>18111</v>
      </c>
      <c r="F287" t="s">
        <v>4047</v>
      </c>
      <c r="G287">
        <v>3500</v>
      </c>
      <c r="H287">
        <v>2</v>
      </c>
      <c r="I287" t="s">
        <v>3878</v>
      </c>
      <c r="J287" t="s">
        <v>3497</v>
      </c>
      <c r="K287" t="s">
        <v>464</v>
      </c>
      <c r="L287">
        <v>0</v>
      </c>
      <c r="M287" s="453">
        <v>46079</v>
      </c>
      <c r="N287">
        <v>91.9</v>
      </c>
      <c r="O287">
        <v>84.8</v>
      </c>
      <c r="P287">
        <v>183.8</v>
      </c>
    </row>
    <row r="288" spans="1:16" x14ac:dyDescent="0.3">
      <c r="A288">
        <v>85998</v>
      </c>
      <c r="B288">
        <v>116</v>
      </c>
      <c r="C288" t="s">
        <v>568</v>
      </c>
      <c r="D288" s="453">
        <v>46143</v>
      </c>
      <c r="E288">
        <v>18550</v>
      </c>
      <c r="F288" t="s">
        <v>4083</v>
      </c>
      <c r="G288">
        <v>3130</v>
      </c>
      <c r="H288">
        <v>1</v>
      </c>
      <c r="I288" t="s">
        <v>3878</v>
      </c>
      <c r="J288" t="s">
        <v>3497</v>
      </c>
      <c r="K288" t="s">
        <v>464</v>
      </c>
      <c r="L288">
        <v>0</v>
      </c>
      <c r="M288" s="453">
        <v>46071</v>
      </c>
      <c r="N288">
        <v>183</v>
      </c>
      <c r="O288">
        <v>180</v>
      </c>
      <c r="P288">
        <v>183</v>
      </c>
    </row>
    <row r="289" spans="1:16" x14ac:dyDescent="0.3">
      <c r="A289">
        <v>85836</v>
      </c>
      <c r="B289">
        <v>116</v>
      </c>
      <c r="C289" t="s">
        <v>568</v>
      </c>
      <c r="D289" s="453">
        <v>46143</v>
      </c>
      <c r="E289">
        <v>20624</v>
      </c>
      <c r="F289" t="s">
        <v>3982</v>
      </c>
      <c r="G289">
        <v>2116</v>
      </c>
      <c r="H289">
        <v>2.5</v>
      </c>
      <c r="I289" t="s">
        <v>3966</v>
      </c>
      <c r="J289" t="s">
        <v>3469</v>
      </c>
      <c r="K289" t="s">
        <v>464</v>
      </c>
      <c r="L289">
        <v>72.569999999999993</v>
      </c>
      <c r="M289" s="453">
        <v>46127</v>
      </c>
      <c r="N289">
        <v>70.900000000000006</v>
      </c>
      <c r="O289">
        <v>70.900000000000006</v>
      </c>
      <c r="P289">
        <v>181.42</v>
      </c>
    </row>
    <row r="290" spans="1:16" x14ac:dyDescent="0.3">
      <c r="A290">
        <v>85833</v>
      </c>
      <c r="B290">
        <v>116</v>
      </c>
      <c r="C290" t="s">
        <v>568</v>
      </c>
      <c r="D290" s="453">
        <v>46143</v>
      </c>
      <c r="E290">
        <v>18491</v>
      </c>
      <c r="F290" t="s">
        <v>3934</v>
      </c>
      <c r="G290">
        <v>3166</v>
      </c>
      <c r="H290">
        <v>5.3</v>
      </c>
      <c r="I290" t="s">
        <v>3878</v>
      </c>
      <c r="J290" t="s">
        <v>3497</v>
      </c>
      <c r="K290" t="s">
        <v>464</v>
      </c>
      <c r="L290">
        <v>33.9</v>
      </c>
      <c r="M290" s="453">
        <v>46119</v>
      </c>
      <c r="N290">
        <v>33.9</v>
      </c>
      <c r="O290">
        <v>33.9</v>
      </c>
      <c r="P290">
        <v>179.67</v>
      </c>
    </row>
    <row r="291" spans="1:16" x14ac:dyDescent="0.3">
      <c r="A291">
        <v>85834</v>
      </c>
      <c r="B291">
        <v>116</v>
      </c>
      <c r="C291" t="s">
        <v>568</v>
      </c>
      <c r="D291" s="453">
        <v>46143</v>
      </c>
      <c r="E291">
        <v>18006</v>
      </c>
      <c r="F291" t="s">
        <v>4138</v>
      </c>
      <c r="G291">
        <v>3591</v>
      </c>
      <c r="H291">
        <v>6</v>
      </c>
      <c r="I291" t="s">
        <v>3888</v>
      </c>
      <c r="J291" t="s">
        <v>3497</v>
      </c>
      <c r="K291" t="s">
        <v>464</v>
      </c>
      <c r="L291">
        <v>29.64</v>
      </c>
      <c r="M291" s="453">
        <v>46126</v>
      </c>
      <c r="N291">
        <v>29.64</v>
      </c>
      <c r="O291">
        <v>24.97</v>
      </c>
      <c r="P291">
        <v>177.84</v>
      </c>
    </row>
    <row r="292" spans="1:16" x14ac:dyDescent="0.3">
      <c r="A292">
        <v>85835</v>
      </c>
      <c r="B292">
        <v>116</v>
      </c>
      <c r="C292" t="s">
        <v>568</v>
      </c>
      <c r="D292" s="453">
        <v>46143</v>
      </c>
      <c r="E292">
        <v>24339</v>
      </c>
      <c r="F292" t="s">
        <v>4119</v>
      </c>
      <c r="G292">
        <v>2153</v>
      </c>
      <c r="H292">
        <v>5.3</v>
      </c>
      <c r="I292" t="s">
        <v>3892</v>
      </c>
      <c r="J292" t="s">
        <v>3469</v>
      </c>
      <c r="K292" t="s">
        <v>464</v>
      </c>
      <c r="L292">
        <v>0</v>
      </c>
      <c r="M292" s="453">
        <v>46091</v>
      </c>
      <c r="N292">
        <v>32.799999999999997</v>
      </c>
      <c r="O292">
        <v>29.82</v>
      </c>
      <c r="P292">
        <v>173.84</v>
      </c>
    </row>
    <row r="293" spans="1:16" x14ac:dyDescent="0.3">
      <c r="A293">
        <v>85837</v>
      </c>
      <c r="B293">
        <v>116</v>
      </c>
      <c r="C293" t="s">
        <v>568</v>
      </c>
      <c r="D293" s="453">
        <v>46143</v>
      </c>
      <c r="E293">
        <v>18253</v>
      </c>
      <c r="F293" t="s">
        <v>3947</v>
      </c>
      <c r="G293">
        <v>3376</v>
      </c>
      <c r="H293">
        <v>6</v>
      </c>
      <c r="I293" t="s">
        <v>3878</v>
      </c>
      <c r="J293" t="s">
        <v>3497</v>
      </c>
      <c r="K293" t="s">
        <v>464</v>
      </c>
      <c r="L293">
        <v>0</v>
      </c>
      <c r="M293" s="453">
        <v>46064</v>
      </c>
      <c r="N293">
        <v>28.31</v>
      </c>
      <c r="O293">
        <v>28.31</v>
      </c>
      <c r="P293">
        <v>169.86</v>
      </c>
    </row>
    <row r="294" spans="1:16" x14ac:dyDescent="0.3">
      <c r="A294">
        <v>85838</v>
      </c>
      <c r="B294">
        <v>116</v>
      </c>
      <c r="C294" t="s">
        <v>568</v>
      </c>
      <c r="D294" s="453">
        <v>46143</v>
      </c>
      <c r="E294">
        <v>18545</v>
      </c>
      <c r="F294" t="s">
        <v>4099</v>
      </c>
      <c r="G294">
        <v>3134</v>
      </c>
      <c r="H294">
        <v>3.5</v>
      </c>
      <c r="I294" t="s">
        <v>3878</v>
      </c>
      <c r="J294" t="s">
        <v>3497</v>
      </c>
      <c r="K294" t="s">
        <v>464</v>
      </c>
      <c r="L294">
        <v>0</v>
      </c>
      <c r="M294" s="453">
        <v>46078</v>
      </c>
      <c r="N294">
        <v>47.9</v>
      </c>
      <c r="O294">
        <v>45.99</v>
      </c>
      <c r="P294">
        <v>167.65</v>
      </c>
    </row>
    <row r="295" spans="1:16" x14ac:dyDescent="0.3">
      <c r="A295">
        <v>85854</v>
      </c>
      <c r="B295">
        <v>116</v>
      </c>
      <c r="C295" t="s">
        <v>568</v>
      </c>
      <c r="D295" s="453">
        <v>46143</v>
      </c>
      <c r="E295">
        <v>19539</v>
      </c>
      <c r="F295" t="s">
        <v>4133</v>
      </c>
      <c r="G295">
        <v>2677</v>
      </c>
      <c r="H295">
        <v>18</v>
      </c>
      <c r="I295" t="s">
        <v>3892</v>
      </c>
      <c r="J295" t="s">
        <v>3469</v>
      </c>
      <c r="K295" t="s">
        <v>464</v>
      </c>
      <c r="L295">
        <v>9.3000000000000007</v>
      </c>
      <c r="M295" s="453">
        <v>46133</v>
      </c>
      <c r="N295">
        <v>8.5</v>
      </c>
      <c r="O295">
        <v>8.27</v>
      </c>
      <c r="P295">
        <v>167.4</v>
      </c>
    </row>
    <row r="296" spans="1:16" x14ac:dyDescent="0.3">
      <c r="A296">
        <v>85839</v>
      </c>
      <c r="B296">
        <v>116</v>
      </c>
      <c r="C296" t="s">
        <v>568</v>
      </c>
      <c r="D296" s="453">
        <v>46143</v>
      </c>
      <c r="E296">
        <v>19579</v>
      </c>
      <c r="F296" t="s">
        <v>4020</v>
      </c>
      <c r="G296">
        <v>2640</v>
      </c>
      <c r="H296">
        <v>3</v>
      </c>
      <c r="I296" t="s">
        <v>3892</v>
      </c>
      <c r="J296" t="s">
        <v>3469</v>
      </c>
      <c r="K296" t="s">
        <v>464</v>
      </c>
      <c r="L296">
        <v>0</v>
      </c>
      <c r="M296" s="453">
        <v>45936</v>
      </c>
      <c r="N296">
        <v>55</v>
      </c>
      <c r="O296">
        <v>0</v>
      </c>
      <c r="P296">
        <v>165</v>
      </c>
    </row>
    <row r="297" spans="1:16" x14ac:dyDescent="0.3">
      <c r="A297">
        <v>85841</v>
      </c>
      <c r="B297">
        <v>116</v>
      </c>
      <c r="C297" t="s">
        <v>568</v>
      </c>
      <c r="D297" s="453">
        <v>46143</v>
      </c>
      <c r="E297">
        <v>24200</v>
      </c>
      <c r="F297" t="s">
        <v>3975</v>
      </c>
      <c r="G297">
        <v>3039</v>
      </c>
      <c r="H297">
        <v>5</v>
      </c>
      <c r="I297" t="s">
        <v>3892</v>
      </c>
      <c r="J297" t="s">
        <v>3469</v>
      </c>
      <c r="K297" t="s">
        <v>464</v>
      </c>
      <c r="L297">
        <v>32.9</v>
      </c>
      <c r="M297" s="453">
        <v>46134</v>
      </c>
      <c r="N297">
        <v>32.9</v>
      </c>
      <c r="O297">
        <v>32.9</v>
      </c>
      <c r="P297">
        <v>164.5</v>
      </c>
    </row>
    <row r="298" spans="1:16" x14ac:dyDescent="0.3">
      <c r="A298">
        <v>85842</v>
      </c>
      <c r="B298">
        <v>116</v>
      </c>
      <c r="C298" t="s">
        <v>568</v>
      </c>
      <c r="D298" s="453">
        <v>46143</v>
      </c>
      <c r="E298">
        <v>23760</v>
      </c>
      <c r="F298" t="s">
        <v>4007</v>
      </c>
      <c r="G298">
        <v>2141</v>
      </c>
      <c r="H298">
        <v>7</v>
      </c>
      <c r="I298" t="s">
        <v>3892</v>
      </c>
      <c r="J298" t="s">
        <v>3469</v>
      </c>
      <c r="K298" t="s">
        <v>464</v>
      </c>
      <c r="L298">
        <v>0</v>
      </c>
      <c r="N298">
        <v>0</v>
      </c>
      <c r="O298">
        <v>23.3</v>
      </c>
      <c r="P298">
        <v>163.1</v>
      </c>
    </row>
    <row r="299" spans="1:16" x14ac:dyDescent="0.3">
      <c r="A299">
        <v>85832</v>
      </c>
      <c r="B299">
        <v>116</v>
      </c>
      <c r="C299" t="s">
        <v>568</v>
      </c>
      <c r="D299" s="453">
        <v>46143</v>
      </c>
      <c r="E299">
        <v>18119</v>
      </c>
      <c r="F299" t="s">
        <v>4093</v>
      </c>
      <c r="G299">
        <v>3494</v>
      </c>
      <c r="H299">
        <v>1</v>
      </c>
      <c r="I299" t="s">
        <v>3878</v>
      </c>
      <c r="J299" t="s">
        <v>3497</v>
      </c>
      <c r="K299" t="s">
        <v>464</v>
      </c>
      <c r="L299">
        <v>162.16</v>
      </c>
      <c r="M299" s="453">
        <v>46126</v>
      </c>
      <c r="N299">
        <v>162.16</v>
      </c>
      <c r="O299">
        <v>166.62</v>
      </c>
      <c r="P299">
        <v>162.16</v>
      </c>
    </row>
    <row r="300" spans="1:16" x14ac:dyDescent="0.3">
      <c r="A300">
        <v>85840</v>
      </c>
      <c r="B300">
        <v>116</v>
      </c>
      <c r="C300" t="s">
        <v>568</v>
      </c>
      <c r="D300" s="453">
        <v>46143</v>
      </c>
      <c r="E300">
        <v>20246</v>
      </c>
      <c r="F300" t="s">
        <v>3911</v>
      </c>
      <c r="G300">
        <v>2242</v>
      </c>
      <c r="H300">
        <v>18</v>
      </c>
      <c r="I300" t="s">
        <v>3872</v>
      </c>
      <c r="J300" t="s">
        <v>3469</v>
      </c>
      <c r="K300" t="s">
        <v>464</v>
      </c>
      <c r="L300">
        <v>8.91</v>
      </c>
      <c r="M300" s="453">
        <v>46120</v>
      </c>
      <c r="N300">
        <v>8.91</v>
      </c>
      <c r="O300">
        <v>9.32</v>
      </c>
      <c r="P300">
        <v>160.38</v>
      </c>
    </row>
    <row r="301" spans="1:16" x14ac:dyDescent="0.3">
      <c r="A301">
        <v>85843</v>
      </c>
      <c r="B301">
        <v>116</v>
      </c>
      <c r="C301" t="s">
        <v>568</v>
      </c>
      <c r="D301" s="453">
        <v>46143</v>
      </c>
      <c r="E301">
        <v>20007</v>
      </c>
      <c r="F301" t="s">
        <v>4009</v>
      </c>
      <c r="G301">
        <v>2343</v>
      </c>
      <c r="H301">
        <v>3</v>
      </c>
      <c r="I301" t="s">
        <v>3966</v>
      </c>
      <c r="J301" t="s">
        <v>3469</v>
      </c>
      <c r="K301" t="s">
        <v>464</v>
      </c>
      <c r="L301">
        <v>52.6</v>
      </c>
      <c r="M301" s="453">
        <v>46126</v>
      </c>
      <c r="N301">
        <v>52.6</v>
      </c>
      <c r="O301">
        <v>50.37</v>
      </c>
      <c r="P301">
        <v>157.80000000000001</v>
      </c>
    </row>
    <row r="302" spans="1:16" x14ac:dyDescent="0.3">
      <c r="A302">
        <v>85988</v>
      </c>
      <c r="B302">
        <v>116</v>
      </c>
      <c r="C302" t="s">
        <v>568</v>
      </c>
      <c r="D302" s="453">
        <v>46143</v>
      </c>
      <c r="E302">
        <v>18933</v>
      </c>
      <c r="F302" t="s">
        <v>3957</v>
      </c>
      <c r="G302">
        <v>2930</v>
      </c>
      <c r="H302">
        <v>5.6</v>
      </c>
      <c r="I302" t="s">
        <v>3892</v>
      </c>
      <c r="J302" t="s">
        <v>3469</v>
      </c>
      <c r="K302" t="s">
        <v>464</v>
      </c>
      <c r="L302">
        <v>27.9</v>
      </c>
      <c r="M302" s="453">
        <v>46119</v>
      </c>
      <c r="N302">
        <v>27.9</v>
      </c>
      <c r="O302">
        <v>32.9</v>
      </c>
      <c r="P302">
        <v>156.24</v>
      </c>
    </row>
    <row r="303" spans="1:16" x14ac:dyDescent="0.3">
      <c r="A303">
        <v>85844</v>
      </c>
      <c r="B303">
        <v>116</v>
      </c>
      <c r="C303" t="s">
        <v>568</v>
      </c>
      <c r="D303" s="453">
        <v>46143</v>
      </c>
      <c r="E303">
        <v>19566</v>
      </c>
      <c r="F303" t="s">
        <v>3986</v>
      </c>
      <c r="G303">
        <v>2651</v>
      </c>
      <c r="H303">
        <v>3</v>
      </c>
      <c r="I303" t="s">
        <v>3892</v>
      </c>
      <c r="J303" t="s">
        <v>3469</v>
      </c>
      <c r="K303" t="s">
        <v>464</v>
      </c>
      <c r="L303">
        <v>0</v>
      </c>
      <c r="M303" s="453">
        <v>46055</v>
      </c>
      <c r="N303">
        <v>50</v>
      </c>
      <c r="O303">
        <v>50</v>
      </c>
      <c r="P303">
        <v>150</v>
      </c>
    </row>
    <row r="304" spans="1:16" x14ac:dyDescent="0.3">
      <c r="A304">
        <v>85845</v>
      </c>
      <c r="B304">
        <v>116</v>
      </c>
      <c r="C304" t="s">
        <v>568</v>
      </c>
      <c r="D304" s="453">
        <v>46143</v>
      </c>
      <c r="E304">
        <v>20466</v>
      </c>
      <c r="F304" t="s">
        <v>4098</v>
      </c>
      <c r="G304">
        <v>2160</v>
      </c>
      <c r="H304">
        <v>2.2000000000000002</v>
      </c>
      <c r="I304" t="s">
        <v>3892</v>
      </c>
      <c r="J304" t="s">
        <v>3469</v>
      </c>
      <c r="K304" t="s">
        <v>464</v>
      </c>
      <c r="L304">
        <v>0</v>
      </c>
      <c r="M304" s="453">
        <v>46105</v>
      </c>
      <c r="N304">
        <v>68</v>
      </c>
      <c r="O304">
        <v>68</v>
      </c>
      <c r="P304">
        <v>149.6</v>
      </c>
    </row>
    <row r="305" spans="1:16" x14ac:dyDescent="0.3">
      <c r="A305">
        <v>85846</v>
      </c>
      <c r="B305">
        <v>116</v>
      </c>
      <c r="C305" t="s">
        <v>568</v>
      </c>
      <c r="D305" s="453">
        <v>46143</v>
      </c>
      <c r="E305">
        <v>18200</v>
      </c>
      <c r="F305" t="s">
        <v>4032</v>
      </c>
      <c r="G305">
        <v>3426</v>
      </c>
      <c r="H305">
        <v>4</v>
      </c>
      <c r="I305" t="s">
        <v>3878</v>
      </c>
      <c r="J305" t="s">
        <v>3497</v>
      </c>
      <c r="K305" t="s">
        <v>464</v>
      </c>
      <c r="L305">
        <v>0</v>
      </c>
      <c r="M305" s="453">
        <v>46078</v>
      </c>
      <c r="N305">
        <v>36.799999999999997</v>
      </c>
      <c r="O305">
        <v>36.799999999999997</v>
      </c>
      <c r="P305">
        <v>147.19999999999999</v>
      </c>
    </row>
    <row r="306" spans="1:16" x14ac:dyDescent="0.3">
      <c r="A306">
        <v>85847</v>
      </c>
      <c r="B306">
        <v>116</v>
      </c>
      <c r="C306" t="s">
        <v>568</v>
      </c>
      <c r="D306" s="453">
        <v>46143</v>
      </c>
      <c r="E306">
        <v>18232</v>
      </c>
      <c r="F306" t="s">
        <v>4091</v>
      </c>
      <c r="G306">
        <v>3396</v>
      </c>
      <c r="H306">
        <v>1.4</v>
      </c>
      <c r="I306" t="s">
        <v>3878</v>
      </c>
      <c r="J306" t="s">
        <v>3497</v>
      </c>
      <c r="K306" t="s">
        <v>464</v>
      </c>
      <c r="L306">
        <v>0</v>
      </c>
      <c r="M306" s="453">
        <v>45845</v>
      </c>
      <c r="N306">
        <v>103.99</v>
      </c>
      <c r="O306">
        <v>102</v>
      </c>
      <c r="P306">
        <v>145.59</v>
      </c>
    </row>
    <row r="307" spans="1:16" x14ac:dyDescent="0.3">
      <c r="A307">
        <v>85850</v>
      </c>
      <c r="B307">
        <v>116</v>
      </c>
      <c r="C307" t="s">
        <v>568</v>
      </c>
      <c r="D307" s="453">
        <v>46143</v>
      </c>
      <c r="E307">
        <v>17886</v>
      </c>
      <c r="F307" t="s">
        <v>3935</v>
      </c>
      <c r="G307">
        <v>3670</v>
      </c>
      <c r="H307">
        <v>4</v>
      </c>
      <c r="I307" t="s">
        <v>3888</v>
      </c>
      <c r="J307" t="s">
        <v>3497</v>
      </c>
      <c r="K307" t="s">
        <v>464</v>
      </c>
      <c r="L307">
        <v>35.28</v>
      </c>
      <c r="M307" s="453">
        <v>46128</v>
      </c>
      <c r="N307">
        <v>35.28</v>
      </c>
      <c r="O307">
        <v>23.46</v>
      </c>
      <c r="P307">
        <v>141.12</v>
      </c>
    </row>
    <row r="308" spans="1:16" x14ac:dyDescent="0.3">
      <c r="A308">
        <v>85848</v>
      </c>
      <c r="B308">
        <v>116</v>
      </c>
      <c r="C308" t="s">
        <v>568</v>
      </c>
      <c r="D308" s="453">
        <v>46143</v>
      </c>
      <c r="E308">
        <v>19573</v>
      </c>
      <c r="F308" t="s">
        <v>4163</v>
      </c>
      <c r="G308">
        <v>2645</v>
      </c>
      <c r="H308">
        <v>3</v>
      </c>
      <c r="I308" t="s">
        <v>3892</v>
      </c>
      <c r="J308" t="s">
        <v>3469</v>
      </c>
      <c r="K308" t="s">
        <v>464</v>
      </c>
      <c r="L308">
        <v>0</v>
      </c>
      <c r="M308" s="453">
        <v>46056</v>
      </c>
      <c r="N308">
        <v>46.4</v>
      </c>
      <c r="O308">
        <v>46.4</v>
      </c>
      <c r="P308">
        <v>139.19999999999999</v>
      </c>
    </row>
    <row r="309" spans="1:16" x14ac:dyDescent="0.3">
      <c r="A309">
        <v>85849</v>
      </c>
      <c r="B309">
        <v>116</v>
      </c>
      <c r="C309" t="s">
        <v>568</v>
      </c>
      <c r="D309" s="453">
        <v>46143</v>
      </c>
      <c r="E309">
        <v>25195</v>
      </c>
      <c r="F309" t="s">
        <v>3874</v>
      </c>
      <c r="G309">
        <v>2363</v>
      </c>
      <c r="H309">
        <v>22</v>
      </c>
      <c r="I309" t="s">
        <v>3872</v>
      </c>
      <c r="J309" t="s">
        <v>3469</v>
      </c>
      <c r="K309" t="s">
        <v>464</v>
      </c>
      <c r="L309">
        <v>0</v>
      </c>
      <c r="M309" s="453">
        <v>45936</v>
      </c>
      <c r="N309">
        <v>6.3</v>
      </c>
      <c r="O309">
        <v>6.3</v>
      </c>
      <c r="P309">
        <v>138.6</v>
      </c>
    </row>
    <row r="310" spans="1:16" x14ac:dyDescent="0.3">
      <c r="A310">
        <v>85984</v>
      </c>
      <c r="B310">
        <v>116</v>
      </c>
      <c r="C310" t="s">
        <v>568</v>
      </c>
      <c r="D310" s="453">
        <v>46143</v>
      </c>
      <c r="E310">
        <v>29129</v>
      </c>
      <c r="F310" t="s">
        <v>4176</v>
      </c>
      <c r="G310">
        <v>9074</v>
      </c>
      <c r="H310">
        <v>11</v>
      </c>
      <c r="I310" t="s">
        <v>3872</v>
      </c>
      <c r="J310" t="s">
        <v>3469</v>
      </c>
      <c r="K310" t="s">
        <v>464</v>
      </c>
      <c r="L310">
        <v>11.47</v>
      </c>
      <c r="M310" s="453">
        <v>46125</v>
      </c>
      <c r="N310">
        <v>11.47</v>
      </c>
      <c r="O310">
        <v>11.47</v>
      </c>
      <c r="P310">
        <v>126.17</v>
      </c>
    </row>
    <row r="311" spans="1:16" x14ac:dyDescent="0.3">
      <c r="A311">
        <v>85851</v>
      </c>
      <c r="B311">
        <v>116</v>
      </c>
      <c r="C311" t="s">
        <v>568</v>
      </c>
      <c r="D311" s="453">
        <v>46143</v>
      </c>
      <c r="E311">
        <v>24393</v>
      </c>
      <c r="F311" t="s">
        <v>4039</v>
      </c>
      <c r="G311">
        <v>3045</v>
      </c>
      <c r="H311">
        <v>9</v>
      </c>
      <c r="I311" t="s">
        <v>3892</v>
      </c>
      <c r="J311" t="s">
        <v>3469</v>
      </c>
      <c r="K311" t="s">
        <v>464</v>
      </c>
      <c r="L311">
        <v>13.99</v>
      </c>
      <c r="M311" s="453">
        <v>46121</v>
      </c>
      <c r="N311">
        <v>13.99</v>
      </c>
      <c r="O311">
        <v>13.99</v>
      </c>
      <c r="P311">
        <v>125.91</v>
      </c>
    </row>
    <row r="312" spans="1:16" x14ac:dyDescent="0.3">
      <c r="A312">
        <v>85852</v>
      </c>
      <c r="B312">
        <v>116</v>
      </c>
      <c r="C312" t="s">
        <v>568</v>
      </c>
      <c r="D312" s="453">
        <v>46143</v>
      </c>
      <c r="E312">
        <v>20500</v>
      </c>
      <c r="F312" t="s">
        <v>3954</v>
      </c>
      <c r="G312">
        <v>2154</v>
      </c>
      <c r="H312">
        <v>6</v>
      </c>
      <c r="I312" t="s">
        <v>3872</v>
      </c>
      <c r="J312" t="s">
        <v>3469</v>
      </c>
      <c r="K312" t="s">
        <v>464</v>
      </c>
      <c r="L312">
        <v>0</v>
      </c>
      <c r="M312" s="453">
        <v>45917</v>
      </c>
      <c r="N312">
        <v>20.8</v>
      </c>
      <c r="O312">
        <v>21.9</v>
      </c>
      <c r="P312">
        <v>124.8</v>
      </c>
    </row>
    <row r="313" spans="1:16" x14ac:dyDescent="0.3">
      <c r="A313">
        <v>85853</v>
      </c>
      <c r="B313">
        <v>116</v>
      </c>
      <c r="C313" t="s">
        <v>568</v>
      </c>
      <c r="D313" s="453">
        <v>46143</v>
      </c>
      <c r="E313">
        <v>18315</v>
      </c>
      <c r="F313" t="s">
        <v>4088</v>
      </c>
      <c r="G313">
        <v>3318</v>
      </c>
      <c r="H313">
        <v>1</v>
      </c>
      <c r="I313" t="s">
        <v>3878</v>
      </c>
      <c r="J313" t="s">
        <v>3497</v>
      </c>
      <c r="K313" t="s">
        <v>464</v>
      </c>
      <c r="L313">
        <v>0</v>
      </c>
      <c r="M313" s="453">
        <v>46035</v>
      </c>
      <c r="N313">
        <v>124</v>
      </c>
      <c r="O313">
        <v>130.99</v>
      </c>
      <c r="P313">
        <v>124</v>
      </c>
    </row>
    <row r="314" spans="1:16" x14ac:dyDescent="0.3">
      <c r="A314">
        <v>85855</v>
      </c>
      <c r="B314">
        <v>116</v>
      </c>
      <c r="C314" t="s">
        <v>568</v>
      </c>
      <c r="D314" s="453">
        <v>46143</v>
      </c>
      <c r="E314">
        <v>18129</v>
      </c>
      <c r="F314" t="s">
        <v>4092</v>
      </c>
      <c r="G314">
        <v>3486</v>
      </c>
      <c r="H314">
        <v>1</v>
      </c>
      <c r="I314" t="s">
        <v>3878</v>
      </c>
      <c r="J314" t="s">
        <v>3497</v>
      </c>
      <c r="K314" t="s">
        <v>464</v>
      </c>
      <c r="L314">
        <v>0</v>
      </c>
      <c r="M314" s="453">
        <v>46058</v>
      </c>
      <c r="N314">
        <v>122.36</v>
      </c>
      <c r="O314">
        <v>112.94</v>
      </c>
      <c r="P314">
        <v>122.36</v>
      </c>
    </row>
    <row r="315" spans="1:16" x14ac:dyDescent="0.3">
      <c r="A315">
        <v>85856</v>
      </c>
      <c r="B315">
        <v>116</v>
      </c>
      <c r="C315" t="s">
        <v>568</v>
      </c>
      <c r="D315" s="453">
        <v>46143</v>
      </c>
      <c r="E315">
        <v>18696</v>
      </c>
      <c r="F315" t="s">
        <v>3956</v>
      </c>
      <c r="G315">
        <v>3035</v>
      </c>
      <c r="H315">
        <v>6.8</v>
      </c>
      <c r="I315" t="s">
        <v>3892</v>
      </c>
      <c r="J315" t="s">
        <v>3469</v>
      </c>
      <c r="K315" t="s">
        <v>464</v>
      </c>
      <c r="L315">
        <v>17.989999999999998</v>
      </c>
      <c r="M315" s="453">
        <v>46121</v>
      </c>
      <c r="N315">
        <v>17.989999999999998</v>
      </c>
      <c r="O315">
        <v>17.989999999999998</v>
      </c>
      <c r="P315">
        <v>122.33</v>
      </c>
    </row>
    <row r="316" spans="1:16" x14ac:dyDescent="0.3">
      <c r="A316">
        <v>85857</v>
      </c>
      <c r="B316">
        <v>116</v>
      </c>
      <c r="C316" t="s">
        <v>568</v>
      </c>
      <c r="D316" s="453">
        <v>46143</v>
      </c>
      <c r="E316">
        <v>25167</v>
      </c>
      <c r="F316" t="s">
        <v>3951</v>
      </c>
      <c r="G316">
        <v>5930</v>
      </c>
      <c r="H316">
        <v>15</v>
      </c>
      <c r="I316" t="s">
        <v>3892</v>
      </c>
      <c r="J316" t="s">
        <v>3469</v>
      </c>
      <c r="K316" t="s">
        <v>464</v>
      </c>
      <c r="L316">
        <v>0</v>
      </c>
      <c r="M316" s="453">
        <v>45840</v>
      </c>
      <c r="N316">
        <v>7.9</v>
      </c>
      <c r="O316">
        <v>7.9</v>
      </c>
      <c r="P316">
        <v>118.5</v>
      </c>
    </row>
    <row r="317" spans="1:16" x14ac:dyDescent="0.3">
      <c r="A317">
        <v>85858</v>
      </c>
      <c r="B317">
        <v>116</v>
      </c>
      <c r="C317" t="s">
        <v>568</v>
      </c>
      <c r="D317" s="453">
        <v>46143</v>
      </c>
      <c r="E317">
        <v>18547</v>
      </c>
      <c r="F317" t="s">
        <v>3962</v>
      </c>
      <c r="G317">
        <v>3132</v>
      </c>
      <c r="H317">
        <v>3.4</v>
      </c>
      <c r="I317" t="s">
        <v>3878</v>
      </c>
      <c r="J317" t="s">
        <v>3497</v>
      </c>
      <c r="K317" t="s">
        <v>464</v>
      </c>
      <c r="L317">
        <v>0</v>
      </c>
      <c r="M317" s="453">
        <v>45770</v>
      </c>
      <c r="N317">
        <v>34.74</v>
      </c>
      <c r="O317">
        <v>37.99</v>
      </c>
      <c r="P317">
        <v>118.12</v>
      </c>
    </row>
    <row r="318" spans="1:16" x14ac:dyDescent="0.3">
      <c r="A318">
        <v>85859</v>
      </c>
      <c r="B318">
        <v>116</v>
      </c>
      <c r="C318" t="s">
        <v>568</v>
      </c>
      <c r="D318" s="453">
        <v>46143</v>
      </c>
      <c r="E318">
        <v>20457</v>
      </c>
      <c r="F318" t="s">
        <v>3999</v>
      </c>
      <c r="G318">
        <v>2165</v>
      </c>
      <c r="H318">
        <v>3</v>
      </c>
      <c r="I318" t="s">
        <v>3892</v>
      </c>
      <c r="J318" t="s">
        <v>3469</v>
      </c>
      <c r="K318" t="s">
        <v>464</v>
      </c>
      <c r="L318">
        <v>0</v>
      </c>
      <c r="M318" s="453">
        <v>46091</v>
      </c>
      <c r="N318">
        <v>39</v>
      </c>
      <c r="O318">
        <v>39</v>
      </c>
      <c r="P318">
        <v>117</v>
      </c>
    </row>
    <row r="319" spans="1:16" x14ac:dyDescent="0.3">
      <c r="A319">
        <v>85860</v>
      </c>
      <c r="B319">
        <v>116</v>
      </c>
      <c r="C319" t="s">
        <v>568</v>
      </c>
      <c r="D319" s="453">
        <v>46143</v>
      </c>
      <c r="E319">
        <v>20757</v>
      </c>
      <c r="F319" t="s">
        <v>4050</v>
      </c>
      <c r="G319">
        <v>2086</v>
      </c>
      <c r="H319">
        <v>1.5</v>
      </c>
      <c r="I319" t="s">
        <v>3966</v>
      </c>
      <c r="J319" t="s">
        <v>3469</v>
      </c>
      <c r="K319" t="s">
        <v>464</v>
      </c>
      <c r="L319">
        <v>0</v>
      </c>
      <c r="M319" s="453">
        <v>46111</v>
      </c>
      <c r="N319">
        <v>76.900000000000006</v>
      </c>
      <c r="O319">
        <v>72.900000000000006</v>
      </c>
      <c r="P319">
        <v>115.35</v>
      </c>
    </row>
    <row r="320" spans="1:16" x14ac:dyDescent="0.3">
      <c r="A320">
        <v>85861</v>
      </c>
      <c r="B320">
        <v>116</v>
      </c>
      <c r="C320" t="s">
        <v>568</v>
      </c>
      <c r="D320" s="453">
        <v>46143</v>
      </c>
      <c r="E320">
        <v>18702</v>
      </c>
      <c r="F320" t="s">
        <v>4043</v>
      </c>
      <c r="G320">
        <v>3033</v>
      </c>
      <c r="H320">
        <v>3.9</v>
      </c>
      <c r="I320" t="s">
        <v>3892</v>
      </c>
      <c r="J320" t="s">
        <v>3469</v>
      </c>
      <c r="K320" t="s">
        <v>464</v>
      </c>
      <c r="L320">
        <v>0</v>
      </c>
      <c r="M320" s="453">
        <v>45930</v>
      </c>
      <c r="N320">
        <v>28.9</v>
      </c>
      <c r="O320">
        <v>28.9</v>
      </c>
      <c r="P320">
        <v>112.71</v>
      </c>
    </row>
    <row r="321" spans="1:16" x14ac:dyDescent="0.3">
      <c r="A321">
        <v>85862</v>
      </c>
      <c r="B321">
        <v>116</v>
      </c>
      <c r="C321" t="s">
        <v>568</v>
      </c>
      <c r="D321" s="453">
        <v>46143</v>
      </c>
      <c r="E321">
        <v>18273</v>
      </c>
      <c r="F321" t="s">
        <v>4031</v>
      </c>
      <c r="G321">
        <v>3357</v>
      </c>
      <c r="H321">
        <v>3</v>
      </c>
      <c r="I321" t="s">
        <v>3878</v>
      </c>
      <c r="J321" t="s">
        <v>3497</v>
      </c>
      <c r="K321" t="s">
        <v>464</v>
      </c>
      <c r="L321">
        <v>0</v>
      </c>
      <c r="M321" s="453">
        <v>46007</v>
      </c>
      <c r="N321">
        <v>37</v>
      </c>
      <c r="O321">
        <v>39</v>
      </c>
      <c r="P321">
        <v>111</v>
      </c>
    </row>
    <row r="322" spans="1:16" x14ac:dyDescent="0.3">
      <c r="A322">
        <v>85863</v>
      </c>
      <c r="B322">
        <v>116</v>
      </c>
      <c r="C322" t="s">
        <v>568</v>
      </c>
      <c r="D322" s="453">
        <v>46143</v>
      </c>
      <c r="E322">
        <v>20456</v>
      </c>
      <c r="F322" t="s">
        <v>4000</v>
      </c>
      <c r="G322">
        <v>2166</v>
      </c>
      <c r="H322">
        <v>2.8</v>
      </c>
      <c r="I322" t="s">
        <v>3892</v>
      </c>
      <c r="J322" t="s">
        <v>3469</v>
      </c>
      <c r="K322" t="s">
        <v>464</v>
      </c>
      <c r="L322">
        <v>0</v>
      </c>
      <c r="M322" s="453">
        <v>46091</v>
      </c>
      <c r="N322">
        <v>39</v>
      </c>
      <c r="O322">
        <v>39</v>
      </c>
      <c r="P322">
        <v>109.2</v>
      </c>
    </row>
    <row r="323" spans="1:16" x14ac:dyDescent="0.3">
      <c r="A323">
        <v>85865</v>
      </c>
      <c r="B323">
        <v>116</v>
      </c>
      <c r="C323" t="s">
        <v>568</v>
      </c>
      <c r="D323" s="453">
        <v>46143</v>
      </c>
      <c r="E323">
        <v>21166</v>
      </c>
      <c r="F323" t="s">
        <v>4001</v>
      </c>
      <c r="G323">
        <v>1940</v>
      </c>
      <c r="H323">
        <v>3</v>
      </c>
      <c r="I323" t="s">
        <v>3872</v>
      </c>
      <c r="J323" t="s">
        <v>3469</v>
      </c>
      <c r="K323" t="s">
        <v>464</v>
      </c>
      <c r="L323">
        <v>0</v>
      </c>
      <c r="M323" s="453">
        <v>45615</v>
      </c>
      <c r="N323">
        <v>36</v>
      </c>
      <c r="O323">
        <v>36</v>
      </c>
      <c r="P323">
        <v>108</v>
      </c>
    </row>
    <row r="324" spans="1:16" x14ac:dyDescent="0.3">
      <c r="A324">
        <v>85866</v>
      </c>
      <c r="B324">
        <v>116</v>
      </c>
      <c r="C324" t="s">
        <v>568</v>
      </c>
      <c r="D324" s="453">
        <v>46143</v>
      </c>
      <c r="E324">
        <v>18312</v>
      </c>
      <c r="F324" t="s">
        <v>4089</v>
      </c>
      <c r="G324">
        <v>3321</v>
      </c>
      <c r="H324">
        <v>1</v>
      </c>
      <c r="I324" t="s">
        <v>3878</v>
      </c>
      <c r="J324" t="s">
        <v>3497</v>
      </c>
      <c r="K324" t="s">
        <v>464</v>
      </c>
      <c r="L324">
        <v>0</v>
      </c>
      <c r="M324" s="453">
        <v>45793</v>
      </c>
      <c r="N324">
        <v>105.9</v>
      </c>
      <c r="O324">
        <v>93.9</v>
      </c>
      <c r="P324">
        <v>105.9</v>
      </c>
    </row>
    <row r="325" spans="1:16" x14ac:dyDescent="0.3">
      <c r="A325">
        <v>85867</v>
      </c>
      <c r="B325">
        <v>116</v>
      </c>
      <c r="C325" t="s">
        <v>568</v>
      </c>
      <c r="D325" s="453">
        <v>46143</v>
      </c>
      <c r="E325">
        <v>18327</v>
      </c>
      <c r="F325" t="s">
        <v>4087</v>
      </c>
      <c r="G325">
        <v>3306</v>
      </c>
      <c r="H325">
        <v>1</v>
      </c>
      <c r="I325" t="s">
        <v>3878</v>
      </c>
      <c r="J325" t="s">
        <v>3497</v>
      </c>
      <c r="K325" t="s">
        <v>464</v>
      </c>
      <c r="L325">
        <v>0</v>
      </c>
      <c r="M325" s="453">
        <v>45967</v>
      </c>
      <c r="N325">
        <v>105.36</v>
      </c>
      <c r="O325">
        <v>98.24</v>
      </c>
      <c r="P325">
        <v>105.36</v>
      </c>
    </row>
    <row r="326" spans="1:16" x14ac:dyDescent="0.3">
      <c r="A326">
        <v>85864</v>
      </c>
      <c r="B326">
        <v>116</v>
      </c>
      <c r="C326" t="s">
        <v>568</v>
      </c>
      <c r="D326" s="453">
        <v>46143</v>
      </c>
      <c r="E326">
        <v>20809</v>
      </c>
      <c r="F326" t="s">
        <v>4005</v>
      </c>
      <c r="G326">
        <v>2074</v>
      </c>
      <c r="H326">
        <v>3.5</v>
      </c>
      <c r="I326" t="s">
        <v>3888</v>
      </c>
      <c r="J326" t="s">
        <v>3469</v>
      </c>
      <c r="K326" t="s">
        <v>464</v>
      </c>
      <c r="L326">
        <v>29.9</v>
      </c>
      <c r="M326" s="453">
        <v>46127</v>
      </c>
      <c r="N326">
        <v>29.9</v>
      </c>
      <c r="O326">
        <v>29.9</v>
      </c>
      <c r="P326">
        <v>104.65</v>
      </c>
    </row>
    <row r="327" spans="1:16" x14ac:dyDescent="0.3">
      <c r="A327">
        <v>85868</v>
      </c>
      <c r="B327">
        <v>116</v>
      </c>
      <c r="C327" t="s">
        <v>568</v>
      </c>
      <c r="D327" s="453">
        <v>46143</v>
      </c>
      <c r="E327">
        <v>25197</v>
      </c>
      <c r="F327" t="s">
        <v>4143</v>
      </c>
      <c r="G327">
        <v>2126</v>
      </c>
      <c r="H327">
        <v>11</v>
      </c>
      <c r="I327" t="s">
        <v>3872</v>
      </c>
      <c r="J327" t="s">
        <v>3469</v>
      </c>
      <c r="K327" t="s">
        <v>464</v>
      </c>
      <c r="L327">
        <v>0</v>
      </c>
      <c r="M327" s="453">
        <v>46036</v>
      </c>
      <c r="N327">
        <v>9.5</v>
      </c>
      <c r="O327">
        <v>26</v>
      </c>
      <c r="P327">
        <v>104.5</v>
      </c>
    </row>
    <row r="328" spans="1:16" x14ac:dyDescent="0.3">
      <c r="A328">
        <v>85869</v>
      </c>
      <c r="B328">
        <v>116</v>
      </c>
      <c r="C328" t="s">
        <v>568</v>
      </c>
      <c r="D328" s="453">
        <v>46143</v>
      </c>
      <c r="E328">
        <v>24343</v>
      </c>
      <c r="F328" t="s">
        <v>3990</v>
      </c>
      <c r="G328">
        <v>3044</v>
      </c>
      <c r="H328">
        <v>5.2</v>
      </c>
      <c r="I328" t="s">
        <v>3892</v>
      </c>
      <c r="J328" t="s">
        <v>3469</v>
      </c>
      <c r="K328" t="s">
        <v>464</v>
      </c>
      <c r="L328">
        <v>19.989999999999998</v>
      </c>
      <c r="M328" s="453">
        <v>46126</v>
      </c>
      <c r="N328">
        <v>19.989999999999998</v>
      </c>
      <c r="O328">
        <v>19.989999999999998</v>
      </c>
      <c r="P328">
        <v>103.95</v>
      </c>
    </row>
    <row r="329" spans="1:16" x14ac:dyDescent="0.3">
      <c r="A329">
        <v>85870</v>
      </c>
      <c r="B329">
        <v>116</v>
      </c>
      <c r="C329" t="s">
        <v>568</v>
      </c>
      <c r="D329" s="453">
        <v>46143</v>
      </c>
      <c r="E329">
        <v>27711</v>
      </c>
      <c r="F329" t="s">
        <v>3913</v>
      </c>
      <c r="G329">
        <v>7678</v>
      </c>
      <c r="H329">
        <v>3</v>
      </c>
      <c r="I329" t="s">
        <v>3872</v>
      </c>
      <c r="J329" t="s">
        <v>3469</v>
      </c>
      <c r="K329" t="s">
        <v>464</v>
      </c>
      <c r="L329">
        <v>0</v>
      </c>
      <c r="M329" s="453">
        <v>46036</v>
      </c>
      <c r="N329">
        <v>34.200000000000003</v>
      </c>
      <c r="O329">
        <v>59.5</v>
      </c>
      <c r="P329">
        <v>102.6</v>
      </c>
    </row>
    <row r="330" spans="1:16" x14ac:dyDescent="0.3">
      <c r="A330">
        <v>85871</v>
      </c>
      <c r="B330">
        <v>116</v>
      </c>
      <c r="C330" t="s">
        <v>568</v>
      </c>
      <c r="D330" s="453">
        <v>46143</v>
      </c>
      <c r="E330">
        <v>25720</v>
      </c>
      <c r="F330" t="s">
        <v>3926</v>
      </c>
      <c r="G330">
        <v>2197</v>
      </c>
      <c r="H330">
        <v>6</v>
      </c>
      <c r="I330" t="s">
        <v>3892</v>
      </c>
      <c r="J330" t="s">
        <v>3469</v>
      </c>
      <c r="K330" t="s">
        <v>464</v>
      </c>
      <c r="L330">
        <v>0</v>
      </c>
      <c r="N330">
        <v>0</v>
      </c>
      <c r="O330">
        <v>0</v>
      </c>
      <c r="P330">
        <v>101.4</v>
      </c>
    </row>
    <row r="331" spans="1:16" x14ac:dyDescent="0.3">
      <c r="A331">
        <v>85872</v>
      </c>
      <c r="B331">
        <v>116</v>
      </c>
      <c r="C331" t="s">
        <v>568</v>
      </c>
      <c r="D331" s="453">
        <v>46143</v>
      </c>
      <c r="E331">
        <v>18272</v>
      </c>
      <c r="F331" t="s">
        <v>4046</v>
      </c>
      <c r="G331">
        <v>3358</v>
      </c>
      <c r="H331">
        <v>2.7</v>
      </c>
      <c r="I331" t="s">
        <v>3878</v>
      </c>
      <c r="J331" t="s">
        <v>3497</v>
      </c>
      <c r="K331" t="s">
        <v>464</v>
      </c>
      <c r="L331">
        <v>0</v>
      </c>
      <c r="M331" s="453">
        <v>46014</v>
      </c>
      <c r="N331">
        <v>36.31</v>
      </c>
      <c r="O331">
        <v>35.9</v>
      </c>
      <c r="P331">
        <v>98.04</v>
      </c>
    </row>
    <row r="332" spans="1:16" x14ac:dyDescent="0.3">
      <c r="A332">
        <v>85873</v>
      </c>
      <c r="B332">
        <v>116</v>
      </c>
      <c r="C332" t="s">
        <v>568</v>
      </c>
      <c r="D332" s="453">
        <v>46143</v>
      </c>
      <c r="E332">
        <v>18233</v>
      </c>
      <c r="F332" t="s">
        <v>4090</v>
      </c>
      <c r="G332">
        <v>3395</v>
      </c>
      <c r="H332">
        <v>1</v>
      </c>
      <c r="I332" t="s">
        <v>3878</v>
      </c>
      <c r="J332" t="s">
        <v>3497</v>
      </c>
      <c r="K332" t="s">
        <v>464</v>
      </c>
      <c r="L332">
        <v>0</v>
      </c>
      <c r="M332" s="453">
        <v>46035</v>
      </c>
      <c r="N332">
        <v>98</v>
      </c>
      <c r="O332">
        <v>102.75</v>
      </c>
      <c r="P332">
        <v>98</v>
      </c>
    </row>
    <row r="333" spans="1:16" x14ac:dyDescent="0.3">
      <c r="A333">
        <v>85874</v>
      </c>
      <c r="B333">
        <v>116</v>
      </c>
      <c r="C333" t="s">
        <v>568</v>
      </c>
      <c r="D333" s="453">
        <v>46143</v>
      </c>
      <c r="E333">
        <v>17914</v>
      </c>
      <c r="F333" t="s">
        <v>3997</v>
      </c>
      <c r="G333">
        <v>3649</v>
      </c>
      <c r="H333">
        <v>3</v>
      </c>
      <c r="I333" t="s">
        <v>3888</v>
      </c>
      <c r="J333" t="s">
        <v>3497</v>
      </c>
      <c r="K333" t="s">
        <v>464</v>
      </c>
      <c r="L333">
        <v>0</v>
      </c>
      <c r="M333" s="453">
        <v>46064</v>
      </c>
      <c r="N333">
        <v>32.24</v>
      </c>
      <c r="O333">
        <v>32.24</v>
      </c>
      <c r="P333">
        <v>96.72</v>
      </c>
    </row>
    <row r="334" spans="1:16" x14ac:dyDescent="0.3">
      <c r="A334">
        <v>85992</v>
      </c>
      <c r="B334">
        <v>116</v>
      </c>
      <c r="C334" t="s">
        <v>568</v>
      </c>
      <c r="D334" s="453">
        <v>46143</v>
      </c>
      <c r="E334">
        <v>24194</v>
      </c>
      <c r="F334" t="s">
        <v>4181</v>
      </c>
      <c r="G334">
        <v>3038</v>
      </c>
      <c r="H334">
        <v>2.2999999999999998</v>
      </c>
      <c r="I334" t="s">
        <v>3892</v>
      </c>
      <c r="J334" t="s">
        <v>3469</v>
      </c>
      <c r="K334" t="s">
        <v>464</v>
      </c>
      <c r="L334">
        <v>42</v>
      </c>
      <c r="M334" s="453">
        <v>46134</v>
      </c>
      <c r="N334">
        <v>42</v>
      </c>
      <c r="O334">
        <v>42</v>
      </c>
      <c r="P334">
        <v>96.6</v>
      </c>
    </row>
    <row r="335" spans="1:16" x14ac:dyDescent="0.3">
      <c r="A335">
        <v>85875</v>
      </c>
      <c r="B335">
        <v>116</v>
      </c>
      <c r="C335" t="s">
        <v>568</v>
      </c>
      <c r="D335" s="453">
        <v>46143</v>
      </c>
      <c r="E335">
        <v>17883</v>
      </c>
      <c r="F335" t="s">
        <v>4136</v>
      </c>
      <c r="G335">
        <v>3673</v>
      </c>
      <c r="H335">
        <v>4</v>
      </c>
      <c r="I335" t="s">
        <v>3888</v>
      </c>
      <c r="J335" t="s">
        <v>3497</v>
      </c>
      <c r="K335" t="s">
        <v>464</v>
      </c>
      <c r="L335">
        <v>0</v>
      </c>
      <c r="M335" s="453">
        <v>46060</v>
      </c>
      <c r="N335">
        <v>23.45</v>
      </c>
      <c r="O335">
        <v>28.32</v>
      </c>
      <c r="P335">
        <v>93.8</v>
      </c>
    </row>
    <row r="336" spans="1:16" x14ac:dyDescent="0.3">
      <c r="A336">
        <v>85876</v>
      </c>
      <c r="B336">
        <v>116</v>
      </c>
      <c r="C336" t="s">
        <v>568</v>
      </c>
      <c r="D336" s="453">
        <v>46143</v>
      </c>
      <c r="E336">
        <v>19405</v>
      </c>
      <c r="F336" t="s">
        <v>4097</v>
      </c>
      <c r="G336">
        <v>2761</v>
      </c>
      <c r="H336">
        <v>0.6</v>
      </c>
      <c r="I336" t="s">
        <v>3892</v>
      </c>
      <c r="J336" t="s">
        <v>3469</v>
      </c>
      <c r="K336" t="s">
        <v>464</v>
      </c>
      <c r="L336">
        <v>0</v>
      </c>
      <c r="M336" s="453">
        <v>46051</v>
      </c>
      <c r="N336">
        <v>151.9</v>
      </c>
      <c r="O336">
        <v>183.9</v>
      </c>
      <c r="P336">
        <v>91.14</v>
      </c>
    </row>
    <row r="337" spans="1:16" x14ac:dyDescent="0.3">
      <c r="A337">
        <v>85877</v>
      </c>
      <c r="B337">
        <v>116</v>
      </c>
      <c r="C337" t="s">
        <v>568</v>
      </c>
      <c r="D337" s="453">
        <v>46143</v>
      </c>
      <c r="E337">
        <v>19574</v>
      </c>
      <c r="F337" t="s">
        <v>4077</v>
      </c>
      <c r="G337">
        <v>2644</v>
      </c>
      <c r="H337">
        <v>1</v>
      </c>
      <c r="I337" t="s">
        <v>3892</v>
      </c>
      <c r="J337" t="s">
        <v>3469</v>
      </c>
      <c r="K337" t="s">
        <v>464</v>
      </c>
      <c r="L337">
        <v>0</v>
      </c>
      <c r="M337" s="453">
        <v>46058</v>
      </c>
      <c r="N337">
        <v>90</v>
      </c>
      <c r="O337">
        <v>140</v>
      </c>
      <c r="P337">
        <v>90</v>
      </c>
    </row>
    <row r="338" spans="1:16" x14ac:dyDescent="0.3">
      <c r="A338">
        <v>85879</v>
      </c>
      <c r="B338">
        <v>116</v>
      </c>
      <c r="C338" t="s">
        <v>568</v>
      </c>
      <c r="D338" s="453">
        <v>46143</v>
      </c>
      <c r="E338">
        <v>19415</v>
      </c>
      <c r="F338" t="s">
        <v>3941</v>
      </c>
      <c r="G338">
        <v>2759</v>
      </c>
      <c r="H338">
        <v>10</v>
      </c>
      <c r="I338" t="s">
        <v>3872</v>
      </c>
      <c r="J338" t="s">
        <v>3469</v>
      </c>
      <c r="K338" t="s">
        <v>464</v>
      </c>
      <c r="L338">
        <v>8.8000000000000007</v>
      </c>
      <c r="M338" s="453">
        <v>46120</v>
      </c>
      <c r="N338">
        <v>8.8000000000000007</v>
      </c>
      <c r="O338">
        <v>8.8000000000000007</v>
      </c>
      <c r="P338">
        <v>88</v>
      </c>
    </row>
    <row r="339" spans="1:16" x14ac:dyDescent="0.3">
      <c r="A339">
        <v>85880</v>
      </c>
      <c r="B339">
        <v>116</v>
      </c>
      <c r="C339" t="s">
        <v>568</v>
      </c>
      <c r="D339" s="453">
        <v>46143</v>
      </c>
      <c r="E339">
        <v>19649</v>
      </c>
      <c r="F339" t="s">
        <v>4015</v>
      </c>
      <c r="G339">
        <v>2589</v>
      </c>
      <c r="H339">
        <v>3</v>
      </c>
      <c r="I339" t="s">
        <v>3892</v>
      </c>
      <c r="J339" t="s">
        <v>3469</v>
      </c>
      <c r="K339" t="s">
        <v>464</v>
      </c>
      <c r="L339">
        <v>0</v>
      </c>
      <c r="M339" s="453">
        <v>45831</v>
      </c>
      <c r="N339">
        <v>29</v>
      </c>
      <c r="O339">
        <v>23.5</v>
      </c>
      <c r="P339">
        <v>87</v>
      </c>
    </row>
    <row r="340" spans="1:16" x14ac:dyDescent="0.3">
      <c r="A340">
        <v>85881</v>
      </c>
      <c r="B340">
        <v>116</v>
      </c>
      <c r="C340" t="s">
        <v>568</v>
      </c>
      <c r="D340" s="453">
        <v>46143</v>
      </c>
      <c r="E340">
        <v>18534</v>
      </c>
      <c r="F340" t="s">
        <v>4084</v>
      </c>
      <c r="G340">
        <v>3143</v>
      </c>
      <c r="H340">
        <v>1</v>
      </c>
      <c r="I340" t="s">
        <v>3878</v>
      </c>
      <c r="J340" t="s">
        <v>3497</v>
      </c>
      <c r="K340" t="s">
        <v>464</v>
      </c>
      <c r="L340">
        <v>0</v>
      </c>
      <c r="N340">
        <v>0</v>
      </c>
      <c r="O340">
        <v>0</v>
      </c>
      <c r="P340">
        <v>86.89</v>
      </c>
    </row>
    <row r="341" spans="1:16" x14ac:dyDescent="0.3">
      <c r="A341">
        <v>85878</v>
      </c>
      <c r="B341">
        <v>116</v>
      </c>
      <c r="C341" t="s">
        <v>568</v>
      </c>
      <c r="D341" s="453">
        <v>46143</v>
      </c>
      <c r="E341">
        <v>19017</v>
      </c>
      <c r="F341" t="s">
        <v>4172</v>
      </c>
      <c r="G341">
        <v>2893</v>
      </c>
      <c r="H341">
        <v>6</v>
      </c>
      <c r="I341" t="s">
        <v>3892</v>
      </c>
      <c r="J341" t="s">
        <v>3469</v>
      </c>
      <c r="K341" t="s">
        <v>464</v>
      </c>
      <c r="L341">
        <v>14</v>
      </c>
      <c r="M341" s="453">
        <v>46113</v>
      </c>
      <c r="N341">
        <v>14</v>
      </c>
      <c r="O341">
        <v>15</v>
      </c>
      <c r="P341">
        <v>84</v>
      </c>
    </row>
    <row r="342" spans="1:16" x14ac:dyDescent="0.3">
      <c r="A342">
        <v>85882</v>
      </c>
      <c r="B342">
        <v>116</v>
      </c>
      <c r="C342" t="s">
        <v>568</v>
      </c>
      <c r="D342" s="453">
        <v>46143</v>
      </c>
      <c r="E342">
        <v>18666</v>
      </c>
      <c r="F342" t="s">
        <v>4003</v>
      </c>
      <c r="G342">
        <v>3053</v>
      </c>
      <c r="H342">
        <v>3.5</v>
      </c>
      <c r="I342" t="s">
        <v>3892</v>
      </c>
      <c r="J342" t="s">
        <v>3469</v>
      </c>
      <c r="K342" t="s">
        <v>464</v>
      </c>
      <c r="L342">
        <v>23.99</v>
      </c>
      <c r="M342" s="453">
        <v>46121</v>
      </c>
      <c r="N342">
        <v>23.99</v>
      </c>
      <c r="O342">
        <v>23.99</v>
      </c>
      <c r="P342">
        <v>83.96</v>
      </c>
    </row>
    <row r="343" spans="1:16" x14ac:dyDescent="0.3">
      <c r="A343">
        <v>85883</v>
      </c>
      <c r="B343">
        <v>116</v>
      </c>
      <c r="C343" t="s">
        <v>568</v>
      </c>
      <c r="D343" s="453">
        <v>46143</v>
      </c>
      <c r="E343">
        <v>21400</v>
      </c>
      <c r="F343" t="s">
        <v>4165</v>
      </c>
      <c r="G343">
        <v>2157</v>
      </c>
      <c r="H343">
        <v>2.9</v>
      </c>
      <c r="I343" t="s">
        <v>3892</v>
      </c>
      <c r="J343" t="s">
        <v>3469</v>
      </c>
      <c r="K343" t="s">
        <v>464</v>
      </c>
      <c r="L343">
        <v>28.95</v>
      </c>
      <c r="M343" s="453">
        <v>46118</v>
      </c>
      <c r="N343">
        <v>28.95</v>
      </c>
      <c r="O343">
        <v>23.59</v>
      </c>
      <c r="P343">
        <v>83.96</v>
      </c>
    </row>
    <row r="344" spans="1:16" x14ac:dyDescent="0.3">
      <c r="A344">
        <v>85885</v>
      </c>
      <c r="B344">
        <v>116</v>
      </c>
      <c r="C344" t="s">
        <v>568</v>
      </c>
      <c r="D344" s="453">
        <v>46143</v>
      </c>
      <c r="E344">
        <v>18682</v>
      </c>
      <c r="F344" t="s">
        <v>4025</v>
      </c>
      <c r="G344">
        <v>3043</v>
      </c>
      <c r="H344">
        <v>2.8</v>
      </c>
      <c r="I344" t="s">
        <v>3892</v>
      </c>
      <c r="J344" t="s">
        <v>3469</v>
      </c>
      <c r="K344" t="s">
        <v>464</v>
      </c>
      <c r="L344">
        <v>27.99</v>
      </c>
      <c r="M344" s="453">
        <v>46121</v>
      </c>
      <c r="N344">
        <v>27.99</v>
      </c>
      <c r="O344">
        <v>27.99</v>
      </c>
      <c r="P344">
        <v>78.37</v>
      </c>
    </row>
    <row r="345" spans="1:16" x14ac:dyDescent="0.3">
      <c r="A345">
        <v>85893</v>
      </c>
      <c r="B345">
        <v>116</v>
      </c>
      <c r="C345" t="s">
        <v>568</v>
      </c>
      <c r="D345" s="453">
        <v>46143</v>
      </c>
      <c r="E345">
        <v>19478</v>
      </c>
      <c r="F345" t="s">
        <v>4072</v>
      </c>
      <c r="G345">
        <v>2728</v>
      </c>
      <c r="H345">
        <v>1</v>
      </c>
      <c r="I345" t="s">
        <v>3892</v>
      </c>
      <c r="J345" t="s">
        <v>3469</v>
      </c>
      <c r="K345" t="s">
        <v>464</v>
      </c>
      <c r="L345">
        <v>75</v>
      </c>
      <c r="M345" s="453">
        <v>46128</v>
      </c>
      <c r="N345">
        <v>75</v>
      </c>
      <c r="O345">
        <v>70</v>
      </c>
      <c r="P345">
        <v>75</v>
      </c>
    </row>
    <row r="346" spans="1:16" x14ac:dyDescent="0.3">
      <c r="A346">
        <v>85887</v>
      </c>
      <c r="B346">
        <v>116</v>
      </c>
      <c r="C346" t="s">
        <v>568</v>
      </c>
      <c r="D346" s="453">
        <v>46143</v>
      </c>
      <c r="E346">
        <v>21093</v>
      </c>
      <c r="F346" t="s">
        <v>3903</v>
      </c>
      <c r="G346">
        <v>1988</v>
      </c>
      <c r="H346">
        <v>17</v>
      </c>
      <c r="I346" t="s">
        <v>3892</v>
      </c>
      <c r="J346" t="s">
        <v>3469</v>
      </c>
      <c r="K346" t="s">
        <v>464</v>
      </c>
      <c r="L346">
        <v>4.3899999999999997</v>
      </c>
      <c r="M346" s="453">
        <v>46127</v>
      </c>
      <c r="N346">
        <v>4.3899999999999997</v>
      </c>
      <c r="O346">
        <v>4.3899999999999997</v>
      </c>
      <c r="P346">
        <v>74.63</v>
      </c>
    </row>
    <row r="347" spans="1:16" x14ac:dyDescent="0.3">
      <c r="A347">
        <v>85884</v>
      </c>
      <c r="B347">
        <v>116</v>
      </c>
      <c r="C347" t="s">
        <v>568</v>
      </c>
      <c r="D347" s="453">
        <v>46143</v>
      </c>
      <c r="E347">
        <v>23095</v>
      </c>
      <c r="F347" t="s">
        <v>3882</v>
      </c>
      <c r="G347">
        <v>2754</v>
      </c>
      <c r="H347">
        <v>60</v>
      </c>
      <c r="I347" t="s">
        <v>3872</v>
      </c>
      <c r="J347" t="s">
        <v>3469</v>
      </c>
      <c r="K347" t="s">
        <v>464</v>
      </c>
      <c r="L347">
        <v>1.24</v>
      </c>
      <c r="M347" s="453">
        <v>46133</v>
      </c>
      <c r="N347">
        <v>1.25</v>
      </c>
      <c r="O347">
        <v>1.18</v>
      </c>
      <c r="P347">
        <v>74.400000000000006</v>
      </c>
    </row>
    <row r="348" spans="1:16" x14ac:dyDescent="0.3">
      <c r="A348">
        <v>85888</v>
      </c>
      <c r="B348">
        <v>116</v>
      </c>
      <c r="C348" t="s">
        <v>568</v>
      </c>
      <c r="D348" s="453">
        <v>46143</v>
      </c>
      <c r="E348">
        <v>27079</v>
      </c>
      <c r="F348" t="s">
        <v>3891</v>
      </c>
      <c r="G348">
        <v>2497</v>
      </c>
      <c r="H348">
        <v>22</v>
      </c>
      <c r="I348" t="s">
        <v>3892</v>
      </c>
      <c r="J348" t="s">
        <v>3469</v>
      </c>
      <c r="K348" t="s">
        <v>464</v>
      </c>
      <c r="L348">
        <v>0</v>
      </c>
      <c r="M348" s="453">
        <v>45813</v>
      </c>
      <c r="N348">
        <v>3.25</v>
      </c>
      <c r="O348">
        <v>3.25</v>
      </c>
      <c r="P348">
        <v>71.5</v>
      </c>
    </row>
    <row r="349" spans="1:16" x14ac:dyDescent="0.3">
      <c r="A349">
        <v>85889</v>
      </c>
      <c r="B349">
        <v>116</v>
      </c>
      <c r="C349" t="s">
        <v>568</v>
      </c>
      <c r="D349" s="453">
        <v>46143</v>
      </c>
      <c r="E349">
        <v>20661</v>
      </c>
      <c r="F349" t="s">
        <v>3919</v>
      </c>
      <c r="G349">
        <v>2110</v>
      </c>
      <c r="H349">
        <v>8</v>
      </c>
      <c r="I349" t="s">
        <v>3872</v>
      </c>
      <c r="J349" t="s">
        <v>3469</v>
      </c>
      <c r="K349" t="s">
        <v>464</v>
      </c>
      <c r="L349">
        <v>8.85</v>
      </c>
      <c r="M349" s="453">
        <v>46120</v>
      </c>
      <c r="N349">
        <v>8.85</v>
      </c>
      <c r="O349">
        <v>8.8800000000000008</v>
      </c>
      <c r="P349">
        <v>70.8</v>
      </c>
    </row>
    <row r="350" spans="1:16" x14ac:dyDescent="0.3">
      <c r="A350">
        <v>85890</v>
      </c>
      <c r="B350">
        <v>116</v>
      </c>
      <c r="C350" t="s">
        <v>568</v>
      </c>
      <c r="D350" s="453">
        <v>46143</v>
      </c>
      <c r="E350">
        <v>27475</v>
      </c>
      <c r="F350" t="s">
        <v>4162</v>
      </c>
      <c r="G350">
        <v>7475</v>
      </c>
      <c r="H350">
        <v>4</v>
      </c>
      <c r="I350" t="s">
        <v>3872</v>
      </c>
      <c r="J350" t="s">
        <v>3469</v>
      </c>
      <c r="K350" t="s">
        <v>464</v>
      </c>
      <c r="L350">
        <v>0</v>
      </c>
      <c r="M350" s="453">
        <v>46099</v>
      </c>
      <c r="N350">
        <v>16.899999999999999</v>
      </c>
      <c r="O350">
        <v>16.899999999999999</v>
      </c>
      <c r="P350">
        <v>67.599999999999994</v>
      </c>
    </row>
    <row r="351" spans="1:16" x14ac:dyDescent="0.3">
      <c r="A351">
        <v>85886</v>
      </c>
      <c r="B351">
        <v>116</v>
      </c>
      <c r="C351" t="s">
        <v>568</v>
      </c>
      <c r="D351" s="453">
        <v>46143</v>
      </c>
      <c r="E351">
        <v>24331</v>
      </c>
      <c r="F351" t="s">
        <v>3960</v>
      </c>
      <c r="G351">
        <v>2146</v>
      </c>
      <c r="H351">
        <v>3.2</v>
      </c>
      <c r="I351" t="s">
        <v>3892</v>
      </c>
      <c r="J351" t="s">
        <v>3469</v>
      </c>
      <c r="K351" t="s">
        <v>464</v>
      </c>
      <c r="L351">
        <v>20.85</v>
      </c>
      <c r="M351" s="453">
        <v>46126</v>
      </c>
      <c r="N351">
        <v>20.85</v>
      </c>
      <c r="O351">
        <v>22.41</v>
      </c>
      <c r="P351">
        <v>66.72</v>
      </c>
    </row>
    <row r="352" spans="1:16" x14ac:dyDescent="0.3">
      <c r="A352">
        <v>85892</v>
      </c>
      <c r="B352">
        <v>116</v>
      </c>
      <c r="C352" t="s">
        <v>568</v>
      </c>
      <c r="D352" s="453">
        <v>46143</v>
      </c>
      <c r="E352">
        <v>20234</v>
      </c>
      <c r="F352" t="s">
        <v>3979</v>
      </c>
      <c r="G352">
        <v>2245</v>
      </c>
      <c r="H352">
        <v>3</v>
      </c>
      <c r="I352" t="s">
        <v>3892</v>
      </c>
      <c r="J352" t="s">
        <v>3469</v>
      </c>
      <c r="K352" t="s">
        <v>464</v>
      </c>
      <c r="L352">
        <v>0</v>
      </c>
      <c r="M352" s="453">
        <v>46105</v>
      </c>
      <c r="N352">
        <v>21.99</v>
      </c>
      <c r="O352">
        <v>16.47</v>
      </c>
      <c r="P352">
        <v>65.97</v>
      </c>
    </row>
    <row r="353" spans="1:16" x14ac:dyDescent="0.3">
      <c r="A353">
        <v>85891</v>
      </c>
      <c r="B353">
        <v>116</v>
      </c>
      <c r="C353" t="s">
        <v>568</v>
      </c>
      <c r="D353" s="453">
        <v>46143</v>
      </c>
      <c r="E353">
        <v>20702</v>
      </c>
      <c r="F353" t="s">
        <v>4006</v>
      </c>
      <c r="G353">
        <v>2101</v>
      </c>
      <c r="H353">
        <v>1.5</v>
      </c>
      <c r="I353" t="s">
        <v>3966</v>
      </c>
      <c r="J353" t="s">
        <v>3469</v>
      </c>
      <c r="K353" t="s">
        <v>464</v>
      </c>
      <c r="L353">
        <v>42.9</v>
      </c>
      <c r="M353" s="453">
        <v>46127</v>
      </c>
      <c r="N353">
        <v>42.9</v>
      </c>
      <c r="O353">
        <v>42.9</v>
      </c>
      <c r="P353">
        <v>64.349999999999994</v>
      </c>
    </row>
    <row r="354" spans="1:16" x14ac:dyDescent="0.3">
      <c r="A354">
        <v>85894</v>
      </c>
      <c r="B354">
        <v>116</v>
      </c>
      <c r="C354" t="s">
        <v>568</v>
      </c>
      <c r="D354" s="453">
        <v>46143</v>
      </c>
      <c r="E354">
        <v>20358</v>
      </c>
      <c r="F354" t="s">
        <v>3952</v>
      </c>
      <c r="G354">
        <v>2200</v>
      </c>
      <c r="H354">
        <v>4.5</v>
      </c>
      <c r="I354" t="s">
        <v>3888</v>
      </c>
      <c r="J354" t="s">
        <v>3469</v>
      </c>
      <c r="K354" t="s">
        <v>464</v>
      </c>
      <c r="L354">
        <v>14.25</v>
      </c>
      <c r="M354" s="453">
        <v>46127</v>
      </c>
      <c r="N354">
        <v>14.25</v>
      </c>
      <c r="O354">
        <v>14.25</v>
      </c>
      <c r="P354">
        <v>64.12</v>
      </c>
    </row>
    <row r="355" spans="1:16" x14ac:dyDescent="0.3">
      <c r="A355">
        <v>85895</v>
      </c>
      <c r="B355">
        <v>116</v>
      </c>
      <c r="C355" t="s">
        <v>568</v>
      </c>
      <c r="D355" s="453">
        <v>46143</v>
      </c>
      <c r="E355">
        <v>17093</v>
      </c>
      <c r="F355" t="s">
        <v>3993</v>
      </c>
      <c r="G355">
        <v>4165</v>
      </c>
      <c r="H355">
        <v>8</v>
      </c>
      <c r="I355" t="s">
        <v>3888</v>
      </c>
      <c r="J355" t="s">
        <v>3497</v>
      </c>
      <c r="K355" t="s">
        <v>464</v>
      </c>
      <c r="L355">
        <v>0</v>
      </c>
      <c r="M355" s="453">
        <v>46062</v>
      </c>
      <c r="N355">
        <v>8</v>
      </c>
      <c r="O355">
        <v>10</v>
      </c>
      <c r="P355">
        <v>64</v>
      </c>
    </row>
    <row r="356" spans="1:16" x14ac:dyDescent="0.3">
      <c r="A356">
        <v>85897</v>
      </c>
      <c r="B356">
        <v>116</v>
      </c>
      <c r="C356" t="s">
        <v>568</v>
      </c>
      <c r="D356" s="453">
        <v>46143</v>
      </c>
      <c r="E356">
        <v>20227</v>
      </c>
      <c r="F356" t="s">
        <v>3968</v>
      </c>
      <c r="G356">
        <v>2248</v>
      </c>
      <c r="H356">
        <v>5</v>
      </c>
      <c r="I356" t="s">
        <v>3888</v>
      </c>
      <c r="J356" t="s">
        <v>3469</v>
      </c>
      <c r="K356" t="s">
        <v>464</v>
      </c>
      <c r="L356">
        <v>0</v>
      </c>
      <c r="M356" s="453">
        <v>46111</v>
      </c>
      <c r="N356">
        <v>12.72</v>
      </c>
      <c r="O356">
        <v>12.7</v>
      </c>
      <c r="P356">
        <v>63.6</v>
      </c>
    </row>
    <row r="357" spans="1:16" x14ac:dyDescent="0.3">
      <c r="A357">
        <v>85896</v>
      </c>
      <c r="B357">
        <v>116</v>
      </c>
      <c r="C357" t="s">
        <v>568</v>
      </c>
      <c r="D357" s="453">
        <v>46143</v>
      </c>
      <c r="E357">
        <v>20213</v>
      </c>
      <c r="F357" t="s">
        <v>4059</v>
      </c>
      <c r="G357">
        <v>2251</v>
      </c>
      <c r="H357">
        <v>2</v>
      </c>
      <c r="I357" t="s">
        <v>3888</v>
      </c>
      <c r="J357" t="s">
        <v>3469</v>
      </c>
      <c r="K357" t="s">
        <v>464</v>
      </c>
      <c r="L357">
        <v>0</v>
      </c>
      <c r="M357" s="453">
        <v>46106</v>
      </c>
      <c r="N357">
        <v>31.6</v>
      </c>
      <c r="O357">
        <v>32.340000000000003</v>
      </c>
      <c r="P357">
        <v>63.2</v>
      </c>
    </row>
    <row r="358" spans="1:16" x14ac:dyDescent="0.3">
      <c r="A358">
        <v>85790</v>
      </c>
      <c r="B358">
        <v>116</v>
      </c>
      <c r="C358" t="s">
        <v>568</v>
      </c>
      <c r="D358" s="453">
        <v>46143</v>
      </c>
      <c r="E358">
        <v>19906</v>
      </c>
      <c r="F358" t="s">
        <v>4171</v>
      </c>
      <c r="G358">
        <v>2381</v>
      </c>
      <c r="H358">
        <v>1.7</v>
      </c>
      <c r="I358" t="s">
        <v>3888</v>
      </c>
      <c r="J358" t="s">
        <v>3469</v>
      </c>
      <c r="K358" t="s">
        <v>464</v>
      </c>
      <c r="L358">
        <v>0</v>
      </c>
      <c r="M358" s="453">
        <v>46108</v>
      </c>
      <c r="N358">
        <v>36.299999999999997</v>
      </c>
      <c r="O358">
        <v>38.9</v>
      </c>
      <c r="P358">
        <v>61.71</v>
      </c>
    </row>
    <row r="359" spans="1:16" x14ac:dyDescent="0.3">
      <c r="A359">
        <v>85898</v>
      </c>
      <c r="B359">
        <v>116</v>
      </c>
      <c r="C359" t="s">
        <v>568</v>
      </c>
      <c r="D359" s="453">
        <v>46143</v>
      </c>
      <c r="E359">
        <v>20250</v>
      </c>
      <c r="F359" t="s">
        <v>4008</v>
      </c>
      <c r="G359">
        <v>2241</v>
      </c>
      <c r="H359">
        <v>1.5</v>
      </c>
      <c r="I359" t="s">
        <v>3888</v>
      </c>
      <c r="J359" t="s">
        <v>3469</v>
      </c>
      <c r="K359" t="s">
        <v>464</v>
      </c>
      <c r="L359">
        <v>40.54</v>
      </c>
      <c r="M359" s="453">
        <v>46120</v>
      </c>
      <c r="N359">
        <v>40.54</v>
      </c>
      <c r="O359">
        <v>40.54</v>
      </c>
      <c r="P359">
        <v>60.81</v>
      </c>
    </row>
    <row r="360" spans="1:16" x14ac:dyDescent="0.3">
      <c r="A360">
        <v>85899</v>
      </c>
      <c r="B360">
        <v>116</v>
      </c>
      <c r="C360" t="s">
        <v>568</v>
      </c>
      <c r="D360" s="453">
        <v>46143</v>
      </c>
      <c r="E360">
        <v>20117</v>
      </c>
      <c r="F360" t="s">
        <v>4010</v>
      </c>
      <c r="G360">
        <v>2291</v>
      </c>
      <c r="H360">
        <v>1.5</v>
      </c>
      <c r="I360" t="s">
        <v>3872</v>
      </c>
      <c r="J360" t="s">
        <v>3469</v>
      </c>
      <c r="K360" t="s">
        <v>464</v>
      </c>
      <c r="L360">
        <v>0</v>
      </c>
      <c r="M360" s="453">
        <v>46105</v>
      </c>
      <c r="N360">
        <v>37.9</v>
      </c>
      <c r="O360">
        <v>37.9</v>
      </c>
      <c r="P360">
        <v>56.85</v>
      </c>
    </row>
    <row r="361" spans="1:16" x14ac:dyDescent="0.3">
      <c r="A361">
        <v>85900</v>
      </c>
      <c r="B361">
        <v>116</v>
      </c>
      <c r="C361" t="s">
        <v>568</v>
      </c>
      <c r="D361" s="453">
        <v>46143</v>
      </c>
      <c r="E361">
        <v>19428</v>
      </c>
      <c r="F361" t="s">
        <v>4169</v>
      </c>
      <c r="G361">
        <v>2758</v>
      </c>
      <c r="H361">
        <v>10</v>
      </c>
      <c r="I361" t="s">
        <v>3872</v>
      </c>
      <c r="J361" t="s">
        <v>3469</v>
      </c>
      <c r="K361" t="s">
        <v>464</v>
      </c>
      <c r="L361">
        <v>5.5</v>
      </c>
      <c r="M361" s="453">
        <v>46126</v>
      </c>
      <c r="N361">
        <v>5.5</v>
      </c>
      <c r="O361">
        <v>5.5</v>
      </c>
      <c r="P361">
        <v>55</v>
      </c>
    </row>
    <row r="362" spans="1:16" x14ac:dyDescent="0.3">
      <c r="A362">
        <v>85901</v>
      </c>
      <c r="B362">
        <v>116</v>
      </c>
      <c r="C362" t="s">
        <v>568</v>
      </c>
      <c r="D362" s="453">
        <v>46143</v>
      </c>
      <c r="E362">
        <v>21123</v>
      </c>
      <c r="F362" t="s">
        <v>4115</v>
      </c>
      <c r="G362">
        <v>1965</v>
      </c>
      <c r="H362">
        <v>3</v>
      </c>
      <c r="I362" t="s">
        <v>3892</v>
      </c>
      <c r="J362" t="s">
        <v>3469</v>
      </c>
      <c r="K362" t="s">
        <v>464</v>
      </c>
      <c r="L362">
        <v>0</v>
      </c>
      <c r="M362" s="453">
        <v>46092</v>
      </c>
      <c r="N362">
        <v>17.899999999999999</v>
      </c>
      <c r="O362">
        <v>17.899999999999999</v>
      </c>
      <c r="P362">
        <v>53.7</v>
      </c>
    </row>
    <row r="363" spans="1:16" x14ac:dyDescent="0.3">
      <c r="A363">
        <v>85907</v>
      </c>
      <c r="B363">
        <v>116</v>
      </c>
      <c r="C363" t="s">
        <v>568</v>
      </c>
      <c r="D363" s="453">
        <v>46143</v>
      </c>
      <c r="E363">
        <v>19583</v>
      </c>
      <c r="F363" t="s">
        <v>4076</v>
      </c>
      <c r="G363">
        <v>2639</v>
      </c>
      <c r="H363">
        <v>1</v>
      </c>
      <c r="I363" t="s">
        <v>3892</v>
      </c>
      <c r="J363" t="s">
        <v>3469</v>
      </c>
      <c r="K363" t="s">
        <v>464</v>
      </c>
      <c r="L363">
        <v>0</v>
      </c>
      <c r="M363" s="453">
        <v>46107</v>
      </c>
      <c r="N363">
        <v>53.65</v>
      </c>
      <c r="O363">
        <v>52</v>
      </c>
      <c r="P363">
        <v>53.65</v>
      </c>
    </row>
    <row r="364" spans="1:16" x14ac:dyDescent="0.3">
      <c r="A364">
        <v>85911</v>
      </c>
      <c r="B364">
        <v>116</v>
      </c>
      <c r="C364" t="s">
        <v>568</v>
      </c>
      <c r="D364" s="453">
        <v>46143</v>
      </c>
      <c r="E364">
        <v>23234</v>
      </c>
      <c r="F364" t="s">
        <v>4018</v>
      </c>
      <c r="G364">
        <v>2622</v>
      </c>
      <c r="H364">
        <v>2</v>
      </c>
      <c r="I364" t="s">
        <v>3892</v>
      </c>
      <c r="J364" t="s">
        <v>3469</v>
      </c>
      <c r="K364" t="s">
        <v>464</v>
      </c>
      <c r="L364">
        <v>26.82</v>
      </c>
      <c r="M364" s="453">
        <v>46115</v>
      </c>
      <c r="N364">
        <v>26.82</v>
      </c>
      <c r="O364">
        <v>25</v>
      </c>
      <c r="P364">
        <v>53.64</v>
      </c>
    </row>
    <row r="365" spans="1:16" x14ac:dyDescent="0.3">
      <c r="A365">
        <v>85903</v>
      </c>
      <c r="B365">
        <v>116</v>
      </c>
      <c r="C365" t="s">
        <v>568</v>
      </c>
      <c r="D365" s="453">
        <v>46143</v>
      </c>
      <c r="E365">
        <v>17881</v>
      </c>
      <c r="F365" t="s">
        <v>4095</v>
      </c>
      <c r="G365">
        <v>3675</v>
      </c>
      <c r="H365">
        <v>2</v>
      </c>
      <c r="I365" t="s">
        <v>3888</v>
      </c>
      <c r="J365" t="s">
        <v>3497</v>
      </c>
      <c r="K365" t="s">
        <v>464</v>
      </c>
      <c r="L365">
        <v>25.53</v>
      </c>
      <c r="M365" s="453">
        <v>46126</v>
      </c>
      <c r="N365">
        <v>25.53</v>
      </c>
      <c r="O365">
        <v>21.46</v>
      </c>
      <c r="P365">
        <v>51.06</v>
      </c>
    </row>
    <row r="366" spans="1:16" x14ac:dyDescent="0.3">
      <c r="A366">
        <v>85904</v>
      </c>
      <c r="B366">
        <v>116</v>
      </c>
      <c r="C366" t="s">
        <v>568</v>
      </c>
      <c r="D366" s="453">
        <v>46143</v>
      </c>
      <c r="E366">
        <v>18447</v>
      </c>
      <c r="F366" t="s">
        <v>4027</v>
      </c>
      <c r="G366">
        <v>3204</v>
      </c>
      <c r="H366">
        <v>4</v>
      </c>
      <c r="I366" t="s">
        <v>3878</v>
      </c>
      <c r="J366" t="s">
        <v>3497</v>
      </c>
      <c r="K366" t="s">
        <v>464</v>
      </c>
      <c r="L366">
        <v>0</v>
      </c>
      <c r="M366" s="453">
        <v>46078</v>
      </c>
      <c r="N366">
        <v>12.49</v>
      </c>
      <c r="O366">
        <v>12.49</v>
      </c>
      <c r="P366">
        <v>49.96</v>
      </c>
    </row>
    <row r="367" spans="1:16" x14ac:dyDescent="0.3">
      <c r="A367">
        <v>85905</v>
      </c>
      <c r="B367">
        <v>116</v>
      </c>
      <c r="C367" t="s">
        <v>568</v>
      </c>
      <c r="D367" s="453">
        <v>46143</v>
      </c>
      <c r="E367">
        <v>21078</v>
      </c>
      <c r="F367" t="s">
        <v>4049</v>
      </c>
      <c r="G367">
        <v>1991</v>
      </c>
      <c r="H367">
        <v>1</v>
      </c>
      <c r="I367" t="s">
        <v>3881</v>
      </c>
      <c r="J367" t="s">
        <v>3469</v>
      </c>
      <c r="K367" t="s">
        <v>464</v>
      </c>
      <c r="L367">
        <v>0</v>
      </c>
      <c r="M367" s="453">
        <v>46008</v>
      </c>
      <c r="N367">
        <v>49.89</v>
      </c>
      <c r="O367">
        <v>49.64</v>
      </c>
      <c r="P367">
        <v>49.89</v>
      </c>
    </row>
    <row r="368" spans="1:16" x14ac:dyDescent="0.3">
      <c r="A368">
        <v>85906</v>
      </c>
      <c r="B368">
        <v>116</v>
      </c>
      <c r="C368" t="s">
        <v>568</v>
      </c>
      <c r="D368" s="453">
        <v>46143</v>
      </c>
      <c r="E368">
        <v>20287</v>
      </c>
      <c r="F368" t="s">
        <v>4053</v>
      </c>
      <c r="G368">
        <v>2229</v>
      </c>
      <c r="H368">
        <v>2</v>
      </c>
      <c r="I368" t="s">
        <v>3888</v>
      </c>
      <c r="J368" t="s">
        <v>3469</v>
      </c>
      <c r="K368" t="s">
        <v>464</v>
      </c>
      <c r="L368">
        <v>0</v>
      </c>
      <c r="M368" s="453">
        <v>46106</v>
      </c>
      <c r="N368">
        <v>24.85</v>
      </c>
      <c r="O368">
        <v>24.85</v>
      </c>
      <c r="P368">
        <v>49.7</v>
      </c>
    </row>
    <row r="369" spans="1:16" x14ac:dyDescent="0.3">
      <c r="A369">
        <v>85996</v>
      </c>
      <c r="B369">
        <v>116</v>
      </c>
      <c r="C369" t="s">
        <v>568</v>
      </c>
      <c r="D369" s="453">
        <v>46143</v>
      </c>
      <c r="E369">
        <v>18528</v>
      </c>
      <c r="F369" t="s">
        <v>4108</v>
      </c>
      <c r="G369">
        <v>3147</v>
      </c>
      <c r="H369">
        <v>1</v>
      </c>
      <c r="I369" t="s">
        <v>3878</v>
      </c>
      <c r="J369" t="s">
        <v>3497</v>
      </c>
      <c r="K369" t="s">
        <v>464</v>
      </c>
      <c r="L369">
        <v>49.69</v>
      </c>
      <c r="M369" s="453">
        <v>46119</v>
      </c>
      <c r="N369">
        <v>49.69</v>
      </c>
      <c r="O369">
        <v>49.69</v>
      </c>
      <c r="P369">
        <v>49.69</v>
      </c>
    </row>
    <row r="370" spans="1:16" x14ac:dyDescent="0.3">
      <c r="A370">
        <v>85908</v>
      </c>
      <c r="B370">
        <v>116</v>
      </c>
      <c r="C370" t="s">
        <v>568</v>
      </c>
      <c r="D370" s="453">
        <v>46143</v>
      </c>
      <c r="E370">
        <v>20231</v>
      </c>
      <c r="F370" t="s">
        <v>4123</v>
      </c>
      <c r="G370">
        <v>2247</v>
      </c>
      <c r="H370">
        <v>3</v>
      </c>
      <c r="I370" t="s">
        <v>3888</v>
      </c>
      <c r="J370" t="s">
        <v>3469</v>
      </c>
      <c r="K370" t="s">
        <v>464</v>
      </c>
      <c r="L370">
        <v>16.2</v>
      </c>
      <c r="M370" s="453">
        <v>46121</v>
      </c>
      <c r="N370">
        <v>16.2</v>
      </c>
      <c r="O370">
        <v>16.2</v>
      </c>
      <c r="P370">
        <v>48.6</v>
      </c>
    </row>
    <row r="371" spans="1:16" x14ac:dyDescent="0.3">
      <c r="A371">
        <v>85909</v>
      </c>
      <c r="B371">
        <v>116</v>
      </c>
      <c r="C371" t="s">
        <v>568</v>
      </c>
      <c r="D371" s="453">
        <v>46143</v>
      </c>
      <c r="E371">
        <v>19034</v>
      </c>
      <c r="F371" t="s">
        <v>3989</v>
      </c>
      <c r="G371">
        <v>2890</v>
      </c>
      <c r="H371">
        <v>5.4</v>
      </c>
      <c r="I371" t="s">
        <v>3892</v>
      </c>
      <c r="J371" t="s">
        <v>3469</v>
      </c>
      <c r="K371" t="s">
        <v>464</v>
      </c>
      <c r="L371">
        <v>8.99</v>
      </c>
      <c r="M371" s="453">
        <v>46126</v>
      </c>
      <c r="N371">
        <v>8.99</v>
      </c>
      <c r="O371">
        <v>8.99</v>
      </c>
      <c r="P371">
        <v>48.55</v>
      </c>
    </row>
    <row r="372" spans="1:16" x14ac:dyDescent="0.3">
      <c r="A372">
        <v>85912</v>
      </c>
      <c r="B372">
        <v>116</v>
      </c>
      <c r="C372" t="s">
        <v>568</v>
      </c>
      <c r="D372" s="453">
        <v>46143</v>
      </c>
      <c r="E372">
        <v>24185</v>
      </c>
      <c r="F372" t="s">
        <v>4040</v>
      </c>
      <c r="G372">
        <v>2331</v>
      </c>
      <c r="H372">
        <v>2</v>
      </c>
      <c r="I372" t="s">
        <v>3892</v>
      </c>
      <c r="J372" t="s">
        <v>3469</v>
      </c>
      <c r="K372" t="s">
        <v>464</v>
      </c>
      <c r="L372">
        <v>0</v>
      </c>
      <c r="M372" s="453">
        <v>46108</v>
      </c>
      <c r="N372">
        <v>23.58</v>
      </c>
      <c r="O372">
        <v>23.58</v>
      </c>
      <c r="P372">
        <v>47.16</v>
      </c>
    </row>
    <row r="373" spans="1:16" x14ac:dyDescent="0.3">
      <c r="A373">
        <v>85913</v>
      </c>
      <c r="B373">
        <v>116</v>
      </c>
      <c r="C373" t="s">
        <v>568</v>
      </c>
      <c r="D373" s="453">
        <v>46143</v>
      </c>
      <c r="E373">
        <v>19973</v>
      </c>
      <c r="F373" t="s">
        <v>3981</v>
      </c>
      <c r="G373">
        <v>2354</v>
      </c>
      <c r="H373">
        <v>3</v>
      </c>
      <c r="I373" t="s">
        <v>3872</v>
      </c>
      <c r="J373" t="s">
        <v>3469</v>
      </c>
      <c r="K373" t="s">
        <v>464</v>
      </c>
      <c r="L373">
        <v>15.25</v>
      </c>
      <c r="M373" s="453">
        <v>46126</v>
      </c>
      <c r="N373">
        <v>15.3</v>
      </c>
      <c r="O373">
        <v>15.3</v>
      </c>
      <c r="P373">
        <v>45.75</v>
      </c>
    </row>
    <row r="374" spans="1:16" x14ac:dyDescent="0.3">
      <c r="A374">
        <v>85914</v>
      </c>
      <c r="B374">
        <v>116</v>
      </c>
      <c r="C374" t="s">
        <v>568</v>
      </c>
      <c r="D374" s="453">
        <v>46143</v>
      </c>
      <c r="E374">
        <v>21085</v>
      </c>
      <c r="F374" t="s">
        <v>4114</v>
      </c>
      <c r="G374">
        <v>1989</v>
      </c>
      <c r="H374">
        <v>1</v>
      </c>
      <c r="I374" t="s">
        <v>3881</v>
      </c>
      <c r="J374" t="s">
        <v>3469</v>
      </c>
      <c r="K374" t="s">
        <v>464</v>
      </c>
      <c r="L374">
        <v>0</v>
      </c>
      <c r="M374" s="453">
        <v>46008</v>
      </c>
      <c r="N374">
        <v>45.31</v>
      </c>
      <c r="O374">
        <v>44.75</v>
      </c>
      <c r="P374">
        <v>45.31</v>
      </c>
    </row>
    <row r="375" spans="1:16" x14ac:dyDescent="0.3">
      <c r="A375">
        <v>85915</v>
      </c>
      <c r="B375">
        <v>116</v>
      </c>
      <c r="C375" t="s">
        <v>568</v>
      </c>
      <c r="D375" s="453">
        <v>46143</v>
      </c>
      <c r="E375">
        <v>19576</v>
      </c>
      <c r="F375" t="s">
        <v>4021</v>
      </c>
      <c r="G375">
        <v>2642</v>
      </c>
      <c r="H375">
        <v>3</v>
      </c>
      <c r="I375" t="s">
        <v>3892</v>
      </c>
      <c r="J375" t="s">
        <v>3469</v>
      </c>
      <c r="K375" t="s">
        <v>464</v>
      </c>
      <c r="L375">
        <v>0</v>
      </c>
      <c r="M375" s="453">
        <v>46055</v>
      </c>
      <c r="N375">
        <v>15</v>
      </c>
      <c r="O375">
        <v>15</v>
      </c>
      <c r="P375">
        <v>45</v>
      </c>
    </row>
    <row r="376" spans="1:16" x14ac:dyDescent="0.3">
      <c r="A376">
        <v>85782</v>
      </c>
      <c r="B376">
        <v>116</v>
      </c>
      <c r="C376" t="s">
        <v>568</v>
      </c>
      <c r="D376" s="453">
        <v>46143</v>
      </c>
      <c r="E376">
        <v>24599</v>
      </c>
      <c r="F376" t="s">
        <v>3897</v>
      </c>
      <c r="G376">
        <v>5676</v>
      </c>
      <c r="H376">
        <v>0.38</v>
      </c>
      <c r="I376" t="s">
        <v>3888</v>
      </c>
      <c r="J376" t="s">
        <v>3497</v>
      </c>
      <c r="K376" t="s">
        <v>464</v>
      </c>
      <c r="L376">
        <v>118.33</v>
      </c>
      <c r="M376" s="453">
        <v>46113</v>
      </c>
      <c r="N376">
        <v>118.33</v>
      </c>
      <c r="O376">
        <v>0</v>
      </c>
      <c r="P376">
        <v>44.97</v>
      </c>
    </row>
    <row r="377" spans="1:16" x14ac:dyDescent="0.3">
      <c r="A377">
        <v>85917</v>
      </c>
      <c r="B377">
        <v>116</v>
      </c>
      <c r="C377" t="s">
        <v>568</v>
      </c>
      <c r="D377" s="453">
        <v>46143</v>
      </c>
      <c r="E377">
        <v>23505</v>
      </c>
      <c r="F377" t="s">
        <v>4124</v>
      </c>
      <c r="G377">
        <v>2364</v>
      </c>
      <c r="H377">
        <v>0.5</v>
      </c>
      <c r="I377" t="s">
        <v>3892</v>
      </c>
      <c r="J377" t="s">
        <v>3469</v>
      </c>
      <c r="K377" t="s">
        <v>464</v>
      </c>
      <c r="L377">
        <v>0</v>
      </c>
      <c r="N377">
        <v>0</v>
      </c>
      <c r="O377">
        <v>0</v>
      </c>
      <c r="P377">
        <v>42.5</v>
      </c>
    </row>
    <row r="378" spans="1:16" x14ac:dyDescent="0.3">
      <c r="A378">
        <v>85944</v>
      </c>
      <c r="B378">
        <v>116</v>
      </c>
      <c r="C378" t="s">
        <v>568</v>
      </c>
      <c r="D378" s="453">
        <v>46143</v>
      </c>
      <c r="E378">
        <v>20597</v>
      </c>
      <c r="F378" t="s">
        <v>4157</v>
      </c>
      <c r="G378">
        <v>2120</v>
      </c>
      <c r="H378">
        <v>1</v>
      </c>
      <c r="I378" t="s">
        <v>3872</v>
      </c>
      <c r="J378" t="s">
        <v>3469</v>
      </c>
      <c r="K378" t="s">
        <v>464</v>
      </c>
      <c r="L378">
        <v>0</v>
      </c>
      <c r="M378" s="453">
        <v>46108</v>
      </c>
      <c r="N378">
        <v>42.35</v>
      </c>
      <c r="O378">
        <v>42.35</v>
      </c>
      <c r="P378">
        <v>42.35</v>
      </c>
    </row>
    <row r="379" spans="1:16" x14ac:dyDescent="0.3">
      <c r="A379">
        <v>85916</v>
      </c>
      <c r="B379">
        <v>116</v>
      </c>
      <c r="C379" t="s">
        <v>568</v>
      </c>
      <c r="D379" s="453">
        <v>46143</v>
      </c>
      <c r="E379">
        <v>25237</v>
      </c>
      <c r="F379" t="s">
        <v>4164</v>
      </c>
      <c r="G379">
        <v>5960</v>
      </c>
      <c r="H379">
        <v>8</v>
      </c>
      <c r="I379" t="s">
        <v>3872</v>
      </c>
      <c r="J379" t="s">
        <v>3469</v>
      </c>
      <c r="K379" t="s">
        <v>464</v>
      </c>
      <c r="L379">
        <v>0</v>
      </c>
      <c r="M379" s="453">
        <v>46112</v>
      </c>
      <c r="N379">
        <v>5.29</v>
      </c>
      <c r="O379">
        <v>5.29</v>
      </c>
      <c r="P379">
        <v>42.32</v>
      </c>
    </row>
    <row r="380" spans="1:16" x14ac:dyDescent="0.3">
      <c r="A380">
        <v>85902</v>
      </c>
      <c r="B380">
        <v>116</v>
      </c>
      <c r="C380" t="s">
        <v>568</v>
      </c>
      <c r="D380" s="453">
        <v>46143</v>
      </c>
      <c r="E380">
        <v>19740</v>
      </c>
      <c r="F380" t="s">
        <v>3933</v>
      </c>
      <c r="G380">
        <v>2513</v>
      </c>
      <c r="H380">
        <v>5</v>
      </c>
      <c r="I380" t="s">
        <v>3892</v>
      </c>
      <c r="J380" t="s">
        <v>3469</v>
      </c>
      <c r="K380" t="s">
        <v>464</v>
      </c>
      <c r="L380">
        <v>8.4499999999999993</v>
      </c>
      <c r="M380" s="453">
        <v>46133</v>
      </c>
      <c r="N380">
        <v>8.8000000000000007</v>
      </c>
      <c r="O380">
        <v>9.5</v>
      </c>
      <c r="P380">
        <v>42.25</v>
      </c>
    </row>
    <row r="381" spans="1:16" x14ac:dyDescent="0.3">
      <c r="A381">
        <v>85918</v>
      </c>
      <c r="B381">
        <v>116</v>
      </c>
      <c r="C381" t="s">
        <v>568</v>
      </c>
      <c r="D381" s="453">
        <v>46143</v>
      </c>
      <c r="E381">
        <v>17896</v>
      </c>
      <c r="F381" t="s">
        <v>3972</v>
      </c>
      <c r="G381">
        <v>3664</v>
      </c>
      <c r="H381">
        <v>1</v>
      </c>
      <c r="I381" t="s">
        <v>3888</v>
      </c>
      <c r="J381" t="s">
        <v>3497</v>
      </c>
      <c r="K381" t="s">
        <v>464</v>
      </c>
      <c r="L381">
        <v>40.29</v>
      </c>
      <c r="M381" s="453">
        <v>46123</v>
      </c>
      <c r="N381">
        <v>40.29</v>
      </c>
      <c r="O381">
        <v>34.82</v>
      </c>
      <c r="P381">
        <v>40.29</v>
      </c>
    </row>
    <row r="382" spans="1:16" x14ac:dyDescent="0.3">
      <c r="A382">
        <v>85919</v>
      </c>
      <c r="B382">
        <v>116</v>
      </c>
      <c r="C382" t="s">
        <v>568</v>
      </c>
      <c r="D382" s="453">
        <v>46143</v>
      </c>
      <c r="E382">
        <v>17897</v>
      </c>
      <c r="F382" t="s">
        <v>4094</v>
      </c>
      <c r="G382">
        <v>3664</v>
      </c>
      <c r="H382">
        <v>1</v>
      </c>
      <c r="I382" t="s">
        <v>3888</v>
      </c>
      <c r="J382" t="s">
        <v>3497</v>
      </c>
      <c r="K382" t="s">
        <v>464</v>
      </c>
      <c r="L382">
        <v>40.29</v>
      </c>
      <c r="M382" s="453">
        <v>46123</v>
      </c>
      <c r="N382">
        <v>40.29</v>
      </c>
      <c r="O382">
        <v>40.29</v>
      </c>
      <c r="P382">
        <v>40.29</v>
      </c>
    </row>
    <row r="383" spans="1:16" x14ac:dyDescent="0.3">
      <c r="A383">
        <v>85931</v>
      </c>
      <c r="B383">
        <v>116</v>
      </c>
      <c r="C383" t="s">
        <v>568</v>
      </c>
      <c r="D383" s="453">
        <v>46143</v>
      </c>
      <c r="E383">
        <v>20832</v>
      </c>
      <c r="F383" t="s">
        <v>4060</v>
      </c>
      <c r="G383">
        <v>2065</v>
      </c>
      <c r="H383">
        <v>1</v>
      </c>
      <c r="I383" t="s">
        <v>3886</v>
      </c>
      <c r="J383" t="s">
        <v>3469</v>
      </c>
      <c r="K383" t="s">
        <v>464</v>
      </c>
      <c r="L383">
        <v>39.880000000000003</v>
      </c>
      <c r="M383" s="453">
        <v>46121</v>
      </c>
      <c r="N383">
        <v>39.880000000000003</v>
      </c>
      <c r="O383">
        <v>34</v>
      </c>
      <c r="P383">
        <v>39.880000000000003</v>
      </c>
    </row>
    <row r="384" spans="1:16" x14ac:dyDescent="0.3">
      <c r="A384">
        <v>85920</v>
      </c>
      <c r="B384">
        <v>116</v>
      </c>
      <c r="C384" t="s">
        <v>568</v>
      </c>
      <c r="D384" s="453">
        <v>46143</v>
      </c>
      <c r="E384">
        <v>25769</v>
      </c>
      <c r="F384" t="s">
        <v>4013</v>
      </c>
      <c r="G384">
        <v>6318</v>
      </c>
      <c r="H384">
        <v>3</v>
      </c>
      <c r="I384" t="s">
        <v>3892</v>
      </c>
      <c r="J384" t="s">
        <v>3469</v>
      </c>
      <c r="K384" t="s">
        <v>464</v>
      </c>
      <c r="L384">
        <v>13</v>
      </c>
      <c r="M384" s="453">
        <v>46126</v>
      </c>
      <c r="N384">
        <v>13</v>
      </c>
      <c r="O384">
        <v>13</v>
      </c>
      <c r="P384">
        <v>39</v>
      </c>
    </row>
    <row r="385" spans="1:16" x14ac:dyDescent="0.3">
      <c r="A385">
        <v>85936</v>
      </c>
      <c r="B385">
        <v>116</v>
      </c>
      <c r="C385" t="s">
        <v>568</v>
      </c>
      <c r="D385" s="453">
        <v>46143</v>
      </c>
      <c r="E385">
        <v>23385</v>
      </c>
      <c r="F385" t="s">
        <v>4069</v>
      </c>
      <c r="G385">
        <v>2479</v>
      </c>
      <c r="H385">
        <v>0.5</v>
      </c>
      <c r="I385" t="s">
        <v>3892</v>
      </c>
      <c r="J385" t="s">
        <v>3469</v>
      </c>
      <c r="K385" t="s">
        <v>464</v>
      </c>
      <c r="L385">
        <v>0</v>
      </c>
      <c r="M385" s="453">
        <v>46111</v>
      </c>
      <c r="N385">
        <v>78</v>
      </c>
      <c r="O385">
        <v>78</v>
      </c>
      <c r="P385">
        <v>39</v>
      </c>
    </row>
    <row r="386" spans="1:16" x14ac:dyDescent="0.3">
      <c r="A386">
        <v>85921</v>
      </c>
      <c r="B386">
        <v>116</v>
      </c>
      <c r="C386" t="s">
        <v>568</v>
      </c>
      <c r="D386" s="453">
        <v>46143</v>
      </c>
      <c r="E386">
        <v>24403</v>
      </c>
      <c r="F386" t="s">
        <v>3992</v>
      </c>
      <c r="G386">
        <v>3049</v>
      </c>
      <c r="H386">
        <v>3</v>
      </c>
      <c r="I386" t="s">
        <v>3892</v>
      </c>
      <c r="J386" t="s">
        <v>3469</v>
      </c>
      <c r="K386" t="s">
        <v>464</v>
      </c>
      <c r="L386">
        <v>0</v>
      </c>
      <c r="M386" s="453">
        <v>46107</v>
      </c>
      <c r="N386">
        <v>12.99</v>
      </c>
      <c r="O386">
        <v>12</v>
      </c>
      <c r="P386">
        <v>38.97</v>
      </c>
    </row>
    <row r="387" spans="1:16" x14ac:dyDescent="0.3">
      <c r="A387">
        <v>85922</v>
      </c>
      <c r="B387">
        <v>116</v>
      </c>
      <c r="C387" t="s">
        <v>568</v>
      </c>
      <c r="D387" s="453">
        <v>46143</v>
      </c>
      <c r="E387">
        <v>18395</v>
      </c>
      <c r="F387" t="s">
        <v>4085</v>
      </c>
      <c r="G387">
        <v>3245</v>
      </c>
      <c r="H387">
        <v>1.2</v>
      </c>
      <c r="I387" t="s">
        <v>3878</v>
      </c>
      <c r="J387" t="s">
        <v>3497</v>
      </c>
      <c r="K387" t="s">
        <v>464</v>
      </c>
      <c r="L387">
        <v>0</v>
      </c>
      <c r="M387" s="453">
        <v>45978</v>
      </c>
      <c r="N387">
        <v>32</v>
      </c>
      <c r="O387">
        <v>30.95</v>
      </c>
      <c r="P387">
        <v>38.4</v>
      </c>
    </row>
    <row r="388" spans="1:16" x14ac:dyDescent="0.3">
      <c r="A388">
        <v>85923</v>
      </c>
      <c r="B388">
        <v>116</v>
      </c>
      <c r="C388" t="s">
        <v>568</v>
      </c>
      <c r="D388" s="453">
        <v>46143</v>
      </c>
      <c r="E388">
        <v>23515</v>
      </c>
      <c r="F388" t="s">
        <v>3980</v>
      </c>
      <c r="G388">
        <v>2353</v>
      </c>
      <c r="H388">
        <v>2</v>
      </c>
      <c r="I388" t="s">
        <v>3872</v>
      </c>
      <c r="J388" t="s">
        <v>3469</v>
      </c>
      <c r="K388" t="s">
        <v>464</v>
      </c>
      <c r="L388">
        <v>0</v>
      </c>
      <c r="M388" s="453">
        <v>45972</v>
      </c>
      <c r="N388">
        <v>19.170000000000002</v>
      </c>
      <c r="O388">
        <v>19.27</v>
      </c>
      <c r="P388">
        <v>38.340000000000003</v>
      </c>
    </row>
    <row r="389" spans="1:16" x14ac:dyDescent="0.3">
      <c r="A389">
        <v>85990</v>
      </c>
      <c r="B389">
        <v>116</v>
      </c>
      <c r="C389" t="s">
        <v>568</v>
      </c>
      <c r="D389" s="453">
        <v>46143</v>
      </c>
      <c r="E389">
        <v>20682</v>
      </c>
      <c r="F389" t="s">
        <v>3929</v>
      </c>
      <c r="G389">
        <v>2106</v>
      </c>
      <c r="H389">
        <v>3</v>
      </c>
      <c r="I389" t="s">
        <v>3872</v>
      </c>
      <c r="J389" t="s">
        <v>3469</v>
      </c>
      <c r="K389" t="s">
        <v>464</v>
      </c>
      <c r="L389">
        <v>12.78</v>
      </c>
      <c r="M389" s="453">
        <v>46121</v>
      </c>
      <c r="N389">
        <v>12.78</v>
      </c>
      <c r="O389">
        <v>12.78</v>
      </c>
      <c r="P389">
        <v>38.340000000000003</v>
      </c>
    </row>
    <row r="390" spans="1:16" x14ac:dyDescent="0.3">
      <c r="A390">
        <v>85910</v>
      </c>
      <c r="B390">
        <v>116</v>
      </c>
      <c r="C390" t="s">
        <v>568</v>
      </c>
      <c r="D390" s="453">
        <v>46143</v>
      </c>
      <c r="E390">
        <v>19572</v>
      </c>
      <c r="F390" t="s">
        <v>4023</v>
      </c>
      <c r="G390">
        <v>2646</v>
      </c>
      <c r="H390">
        <v>3</v>
      </c>
      <c r="I390" t="s">
        <v>3892</v>
      </c>
      <c r="J390" t="s">
        <v>3469</v>
      </c>
      <c r="K390" t="s">
        <v>464</v>
      </c>
      <c r="L390">
        <v>12.67</v>
      </c>
      <c r="M390" s="453">
        <v>46128</v>
      </c>
      <c r="N390">
        <v>10.95</v>
      </c>
      <c r="O390">
        <v>10.95</v>
      </c>
      <c r="P390">
        <v>38.01</v>
      </c>
    </row>
    <row r="391" spans="1:16" x14ac:dyDescent="0.3">
      <c r="A391">
        <v>85924</v>
      </c>
      <c r="B391">
        <v>116</v>
      </c>
      <c r="C391" t="s">
        <v>568</v>
      </c>
      <c r="D391" s="453">
        <v>46143</v>
      </c>
      <c r="E391">
        <v>18341</v>
      </c>
      <c r="F391" t="s">
        <v>4086</v>
      </c>
      <c r="G391">
        <v>3293</v>
      </c>
      <c r="H391">
        <v>1</v>
      </c>
      <c r="I391" t="s">
        <v>3878</v>
      </c>
      <c r="J391" t="s">
        <v>3497</v>
      </c>
      <c r="K391" t="s">
        <v>464</v>
      </c>
      <c r="L391">
        <v>0</v>
      </c>
      <c r="N391">
        <v>0</v>
      </c>
      <c r="O391">
        <v>50</v>
      </c>
      <c r="P391">
        <v>38</v>
      </c>
    </row>
    <row r="392" spans="1:16" x14ac:dyDescent="0.3">
      <c r="A392">
        <v>85925</v>
      </c>
      <c r="B392">
        <v>116</v>
      </c>
      <c r="C392" t="s">
        <v>568</v>
      </c>
      <c r="D392" s="453">
        <v>46143</v>
      </c>
      <c r="E392">
        <v>18317</v>
      </c>
      <c r="F392" t="s">
        <v>4045</v>
      </c>
      <c r="G392">
        <v>3316</v>
      </c>
      <c r="H392">
        <v>1</v>
      </c>
      <c r="I392" t="s">
        <v>3878</v>
      </c>
      <c r="J392" t="s">
        <v>3497</v>
      </c>
      <c r="K392" t="s">
        <v>464</v>
      </c>
      <c r="L392">
        <v>0</v>
      </c>
      <c r="M392" s="453">
        <v>45908</v>
      </c>
      <c r="N392">
        <v>37.25</v>
      </c>
      <c r="O392">
        <v>37.25</v>
      </c>
      <c r="P392">
        <v>37.25</v>
      </c>
    </row>
    <row r="393" spans="1:16" x14ac:dyDescent="0.3">
      <c r="A393">
        <v>85927</v>
      </c>
      <c r="B393">
        <v>116</v>
      </c>
      <c r="C393" t="s">
        <v>568</v>
      </c>
      <c r="D393" s="453">
        <v>46143</v>
      </c>
      <c r="E393">
        <v>23503</v>
      </c>
      <c r="F393" t="s">
        <v>4041</v>
      </c>
      <c r="G393">
        <v>2366</v>
      </c>
      <c r="H393">
        <v>1.5</v>
      </c>
      <c r="I393" t="s">
        <v>3892</v>
      </c>
      <c r="J393" t="s">
        <v>3469</v>
      </c>
      <c r="K393" t="s">
        <v>464</v>
      </c>
      <c r="L393">
        <v>0</v>
      </c>
      <c r="M393" s="453">
        <v>46063</v>
      </c>
      <c r="N393">
        <v>24.2</v>
      </c>
      <c r="O393">
        <v>23.3</v>
      </c>
      <c r="P393">
        <v>36.299999999999997</v>
      </c>
    </row>
    <row r="394" spans="1:16" x14ac:dyDescent="0.3">
      <c r="A394">
        <v>85929</v>
      </c>
      <c r="B394">
        <v>116</v>
      </c>
      <c r="C394" t="s">
        <v>568</v>
      </c>
      <c r="D394" s="453">
        <v>46143</v>
      </c>
      <c r="E394">
        <v>26193</v>
      </c>
      <c r="F394" t="s">
        <v>3950</v>
      </c>
      <c r="G394">
        <v>6616</v>
      </c>
      <c r="H394">
        <v>2.5</v>
      </c>
      <c r="I394" t="s">
        <v>3872</v>
      </c>
      <c r="J394" t="s">
        <v>3469</v>
      </c>
      <c r="K394" t="s">
        <v>464</v>
      </c>
      <c r="L394">
        <v>0</v>
      </c>
      <c r="M394" s="453">
        <v>46000</v>
      </c>
      <c r="N394">
        <v>13.95</v>
      </c>
      <c r="O394">
        <v>12.99</v>
      </c>
      <c r="P394">
        <v>34.880000000000003</v>
      </c>
    </row>
    <row r="395" spans="1:16" x14ac:dyDescent="0.3">
      <c r="A395">
        <v>85930</v>
      </c>
      <c r="B395">
        <v>116</v>
      </c>
      <c r="C395" t="s">
        <v>568</v>
      </c>
      <c r="D395" s="453">
        <v>46143</v>
      </c>
      <c r="E395">
        <v>19765</v>
      </c>
      <c r="F395" t="s">
        <v>4071</v>
      </c>
      <c r="G395">
        <v>2488</v>
      </c>
      <c r="H395">
        <v>1</v>
      </c>
      <c r="I395" t="s">
        <v>3892</v>
      </c>
      <c r="J395" t="s">
        <v>3469</v>
      </c>
      <c r="K395" t="s">
        <v>464</v>
      </c>
      <c r="L395">
        <v>0</v>
      </c>
      <c r="M395" s="453">
        <v>46030</v>
      </c>
      <c r="N395">
        <v>34.08</v>
      </c>
      <c r="O395">
        <v>36.25</v>
      </c>
      <c r="P395">
        <v>34.08</v>
      </c>
    </row>
    <row r="396" spans="1:16" x14ac:dyDescent="0.3">
      <c r="A396">
        <v>85928</v>
      </c>
      <c r="B396">
        <v>116</v>
      </c>
      <c r="C396" t="s">
        <v>568</v>
      </c>
      <c r="D396" s="453">
        <v>46143</v>
      </c>
      <c r="E396">
        <v>19652</v>
      </c>
      <c r="F396" t="s">
        <v>4014</v>
      </c>
      <c r="G396">
        <v>2587</v>
      </c>
      <c r="H396">
        <v>1.7</v>
      </c>
      <c r="I396" t="s">
        <v>3892</v>
      </c>
      <c r="J396" t="s">
        <v>3469</v>
      </c>
      <c r="K396" t="s">
        <v>464</v>
      </c>
      <c r="L396">
        <v>0</v>
      </c>
      <c r="M396" s="453">
        <v>46107</v>
      </c>
      <c r="N396">
        <v>19.84</v>
      </c>
      <c r="O396">
        <v>17.559999999999999</v>
      </c>
      <c r="P396">
        <v>33.729999999999997</v>
      </c>
    </row>
    <row r="397" spans="1:16" x14ac:dyDescent="0.3">
      <c r="A397">
        <v>85932</v>
      </c>
      <c r="B397">
        <v>116</v>
      </c>
      <c r="C397" t="s">
        <v>568</v>
      </c>
      <c r="D397" s="453">
        <v>46143</v>
      </c>
      <c r="E397">
        <v>20077</v>
      </c>
      <c r="F397" t="s">
        <v>4054</v>
      </c>
      <c r="G397">
        <v>2317</v>
      </c>
      <c r="H397">
        <v>2</v>
      </c>
      <c r="I397" t="s">
        <v>3888</v>
      </c>
      <c r="J397" t="s">
        <v>3469</v>
      </c>
      <c r="K397" t="s">
        <v>464</v>
      </c>
      <c r="L397">
        <v>16.350000000000001</v>
      </c>
      <c r="M397" s="453">
        <v>46126</v>
      </c>
      <c r="N397">
        <v>16.350000000000001</v>
      </c>
      <c r="O397">
        <v>16.350000000000001</v>
      </c>
      <c r="P397">
        <v>32.700000000000003</v>
      </c>
    </row>
    <row r="398" spans="1:16" x14ac:dyDescent="0.3">
      <c r="A398">
        <v>85933</v>
      </c>
      <c r="B398">
        <v>116</v>
      </c>
      <c r="C398" t="s">
        <v>568</v>
      </c>
      <c r="D398" s="453">
        <v>46143</v>
      </c>
      <c r="E398">
        <v>20949</v>
      </c>
      <c r="F398" t="s">
        <v>3983</v>
      </c>
      <c r="G398">
        <v>2023</v>
      </c>
      <c r="H398">
        <v>4</v>
      </c>
      <c r="I398" t="s">
        <v>3878</v>
      </c>
      <c r="J398" t="s">
        <v>3469</v>
      </c>
      <c r="K398" t="s">
        <v>464</v>
      </c>
      <c r="L398">
        <v>0</v>
      </c>
      <c r="M398" s="453">
        <v>46106</v>
      </c>
      <c r="N398">
        <v>7.96</v>
      </c>
      <c r="O398">
        <v>7.96</v>
      </c>
      <c r="P398">
        <v>31.84</v>
      </c>
    </row>
    <row r="399" spans="1:16" x14ac:dyDescent="0.3">
      <c r="A399">
        <v>85937</v>
      </c>
      <c r="B399">
        <v>116</v>
      </c>
      <c r="C399" t="s">
        <v>568</v>
      </c>
      <c r="D399" s="453">
        <v>46143</v>
      </c>
      <c r="E399">
        <v>19787</v>
      </c>
      <c r="F399" t="s">
        <v>3940</v>
      </c>
      <c r="G399">
        <v>2471</v>
      </c>
      <c r="H399">
        <v>5.4</v>
      </c>
      <c r="I399" t="s">
        <v>3892</v>
      </c>
      <c r="J399" t="s">
        <v>3469</v>
      </c>
      <c r="K399" t="s">
        <v>464</v>
      </c>
      <c r="L399">
        <v>5.82</v>
      </c>
      <c r="M399" s="453">
        <v>46133</v>
      </c>
      <c r="N399">
        <v>6.5</v>
      </c>
      <c r="O399">
        <v>5.6</v>
      </c>
      <c r="P399">
        <v>31.43</v>
      </c>
    </row>
    <row r="400" spans="1:16" x14ac:dyDescent="0.3">
      <c r="A400">
        <v>85935</v>
      </c>
      <c r="B400">
        <v>116</v>
      </c>
      <c r="C400" t="s">
        <v>568</v>
      </c>
      <c r="D400" s="453">
        <v>46143</v>
      </c>
      <c r="E400">
        <v>23096</v>
      </c>
      <c r="F400" t="s">
        <v>3876</v>
      </c>
      <c r="G400">
        <v>2753</v>
      </c>
      <c r="H400">
        <v>40</v>
      </c>
      <c r="I400" t="s">
        <v>3872</v>
      </c>
      <c r="J400" t="s">
        <v>3469</v>
      </c>
      <c r="K400" t="s">
        <v>464</v>
      </c>
      <c r="L400">
        <v>0.78</v>
      </c>
      <c r="M400" s="453">
        <v>46128</v>
      </c>
      <c r="N400">
        <v>0.7</v>
      </c>
      <c r="O400">
        <v>0.65</v>
      </c>
      <c r="P400">
        <v>31.2</v>
      </c>
    </row>
    <row r="401" spans="1:16" x14ac:dyDescent="0.3">
      <c r="A401">
        <v>85942</v>
      </c>
      <c r="B401">
        <v>116</v>
      </c>
      <c r="C401" t="s">
        <v>568</v>
      </c>
      <c r="D401" s="453">
        <v>46143</v>
      </c>
      <c r="E401">
        <v>20395</v>
      </c>
      <c r="F401" t="s">
        <v>4057</v>
      </c>
      <c r="G401">
        <v>2192</v>
      </c>
      <c r="H401">
        <v>1</v>
      </c>
      <c r="I401" t="s">
        <v>3872</v>
      </c>
      <c r="J401" t="s">
        <v>3469</v>
      </c>
      <c r="K401" t="s">
        <v>464</v>
      </c>
      <c r="L401">
        <v>29.43</v>
      </c>
      <c r="M401" s="453">
        <v>46121</v>
      </c>
      <c r="N401">
        <v>29.43</v>
      </c>
      <c r="O401">
        <v>29.43</v>
      </c>
      <c r="P401">
        <v>29.43</v>
      </c>
    </row>
    <row r="402" spans="1:16" x14ac:dyDescent="0.3">
      <c r="A402">
        <v>85934</v>
      </c>
      <c r="B402">
        <v>116</v>
      </c>
      <c r="C402" t="s">
        <v>568</v>
      </c>
      <c r="D402" s="453">
        <v>46143</v>
      </c>
      <c r="E402">
        <v>25768</v>
      </c>
      <c r="F402" t="s">
        <v>4012</v>
      </c>
      <c r="G402">
        <v>6317</v>
      </c>
      <c r="H402">
        <v>3</v>
      </c>
      <c r="I402" t="s">
        <v>3892</v>
      </c>
      <c r="J402" t="s">
        <v>3469</v>
      </c>
      <c r="K402" t="s">
        <v>464</v>
      </c>
      <c r="L402">
        <v>0</v>
      </c>
      <c r="M402" s="453">
        <v>46092</v>
      </c>
      <c r="N402">
        <v>9.8000000000000007</v>
      </c>
      <c r="O402">
        <v>9.9</v>
      </c>
      <c r="P402">
        <v>29.4</v>
      </c>
    </row>
    <row r="403" spans="1:16" x14ac:dyDescent="0.3">
      <c r="A403">
        <v>85989</v>
      </c>
      <c r="B403">
        <v>116</v>
      </c>
      <c r="C403" t="s">
        <v>568</v>
      </c>
      <c r="D403" s="453">
        <v>46143</v>
      </c>
      <c r="E403">
        <v>20327</v>
      </c>
      <c r="F403" t="s">
        <v>4179</v>
      </c>
      <c r="G403">
        <v>2211</v>
      </c>
      <c r="H403">
        <v>4</v>
      </c>
      <c r="I403" t="s">
        <v>3888</v>
      </c>
      <c r="J403" t="s">
        <v>3469</v>
      </c>
      <c r="K403" t="s">
        <v>464</v>
      </c>
      <c r="L403">
        <v>7.2</v>
      </c>
      <c r="M403" s="453">
        <v>46126</v>
      </c>
      <c r="N403">
        <v>7.2</v>
      </c>
      <c r="O403">
        <v>7.2</v>
      </c>
      <c r="P403">
        <v>28.8</v>
      </c>
    </row>
    <row r="404" spans="1:16" x14ac:dyDescent="0.3">
      <c r="A404">
        <v>85986</v>
      </c>
      <c r="B404">
        <v>116</v>
      </c>
      <c r="C404" t="s">
        <v>568</v>
      </c>
      <c r="D404" s="453">
        <v>46143</v>
      </c>
      <c r="E404">
        <v>19916</v>
      </c>
      <c r="F404" t="s">
        <v>4118</v>
      </c>
      <c r="G404">
        <v>2379</v>
      </c>
      <c r="H404">
        <v>0.8</v>
      </c>
      <c r="I404" t="s">
        <v>3888</v>
      </c>
      <c r="J404" t="s">
        <v>3469</v>
      </c>
      <c r="K404" t="s">
        <v>464</v>
      </c>
      <c r="L404">
        <v>35.299999999999997</v>
      </c>
      <c r="M404" s="453">
        <v>46121</v>
      </c>
      <c r="N404">
        <v>35.299999999999997</v>
      </c>
      <c r="O404">
        <v>3.68</v>
      </c>
      <c r="P404">
        <v>28.24</v>
      </c>
    </row>
    <row r="405" spans="1:16" x14ac:dyDescent="0.3">
      <c r="A405">
        <v>85938</v>
      </c>
      <c r="B405">
        <v>116</v>
      </c>
      <c r="C405" t="s">
        <v>568</v>
      </c>
      <c r="D405" s="453">
        <v>46143</v>
      </c>
      <c r="E405">
        <v>18030</v>
      </c>
      <c r="F405" t="s">
        <v>4033</v>
      </c>
      <c r="G405">
        <v>3568</v>
      </c>
      <c r="H405">
        <v>1</v>
      </c>
      <c r="I405" t="s">
        <v>3878</v>
      </c>
      <c r="J405" t="s">
        <v>3497</v>
      </c>
      <c r="K405" t="s">
        <v>464</v>
      </c>
      <c r="L405">
        <v>0</v>
      </c>
      <c r="M405" s="453">
        <v>45972</v>
      </c>
      <c r="N405">
        <v>27.5</v>
      </c>
      <c r="O405">
        <v>28</v>
      </c>
      <c r="P405">
        <v>27.5</v>
      </c>
    </row>
    <row r="406" spans="1:16" x14ac:dyDescent="0.3">
      <c r="A406">
        <v>85939</v>
      </c>
      <c r="B406">
        <v>116</v>
      </c>
      <c r="C406" t="s">
        <v>568</v>
      </c>
      <c r="D406" s="453">
        <v>46143</v>
      </c>
      <c r="E406">
        <v>24083</v>
      </c>
      <c r="F406" t="s">
        <v>3898</v>
      </c>
      <c r="G406">
        <v>2592</v>
      </c>
      <c r="H406">
        <v>5</v>
      </c>
      <c r="I406" t="s">
        <v>3892</v>
      </c>
      <c r="J406" t="s">
        <v>3469</v>
      </c>
      <c r="K406" t="s">
        <v>464</v>
      </c>
      <c r="L406">
        <v>5.32</v>
      </c>
      <c r="M406" s="453">
        <v>46128</v>
      </c>
      <c r="N406">
        <v>5.22</v>
      </c>
      <c r="O406">
        <v>5.44</v>
      </c>
      <c r="P406">
        <v>26.6</v>
      </c>
    </row>
    <row r="407" spans="1:16" x14ac:dyDescent="0.3">
      <c r="A407">
        <v>85943</v>
      </c>
      <c r="B407">
        <v>116</v>
      </c>
      <c r="C407" t="s">
        <v>568</v>
      </c>
      <c r="D407" s="453">
        <v>46143</v>
      </c>
      <c r="E407">
        <v>17942</v>
      </c>
      <c r="F407" t="s">
        <v>4035</v>
      </c>
      <c r="G407">
        <v>3630</v>
      </c>
      <c r="H407">
        <v>2</v>
      </c>
      <c r="I407" t="s">
        <v>3872</v>
      </c>
      <c r="J407" t="s">
        <v>3497</v>
      </c>
      <c r="K407" t="s">
        <v>464</v>
      </c>
      <c r="L407">
        <v>0</v>
      </c>
      <c r="M407" s="453">
        <v>46062</v>
      </c>
      <c r="N407">
        <v>13</v>
      </c>
      <c r="O407">
        <v>14</v>
      </c>
      <c r="P407">
        <v>26</v>
      </c>
    </row>
    <row r="408" spans="1:16" x14ac:dyDescent="0.3">
      <c r="A408">
        <v>85926</v>
      </c>
      <c r="B408">
        <v>116</v>
      </c>
      <c r="C408" t="s">
        <v>568</v>
      </c>
      <c r="D408" s="453">
        <v>46143</v>
      </c>
      <c r="E408">
        <v>19494</v>
      </c>
      <c r="F408" t="s">
        <v>4126</v>
      </c>
      <c r="G408">
        <v>2716</v>
      </c>
      <c r="H408">
        <v>2</v>
      </c>
      <c r="I408" t="s">
        <v>3892</v>
      </c>
      <c r="J408" t="s">
        <v>3469</v>
      </c>
      <c r="K408" t="s">
        <v>464</v>
      </c>
      <c r="L408">
        <v>12.88</v>
      </c>
      <c r="M408" s="453">
        <v>46133</v>
      </c>
      <c r="N408">
        <v>13.8</v>
      </c>
      <c r="O408">
        <v>13</v>
      </c>
      <c r="P408">
        <v>25.76</v>
      </c>
    </row>
    <row r="409" spans="1:16" x14ac:dyDescent="0.3">
      <c r="A409">
        <v>85805</v>
      </c>
      <c r="B409">
        <v>116</v>
      </c>
      <c r="C409" t="s">
        <v>568</v>
      </c>
      <c r="D409" s="453">
        <v>46143</v>
      </c>
      <c r="E409">
        <v>17905</v>
      </c>
      <c r="F409" t="s">
        <v>4139</v>
      </c>
      <c r="G409">
        <v>3656</v>
      </c>
      <c r="H409">
        <v>1</v>
      </c>
      <c r="I409" t="s">
        <v>3888</v>
      </c>
      <c r="J409" t="s">
        <v>3497</v>
      </c>
      <c r="K409" t="s">
        <v>464</v>
      </c>
      <c r="L409">
        <v>0</v>
      </c>
      <c r="M409" s="453">
        <v>46056</v>
      </c>
      <c r="N409">
        <v>0</v>
      </c>
      <c r="O409">
        <v>25.53</v>
      </c>
      <c r="P409">
        <v>25.53</v>
      </c>
    </row>
    <row r="410" spans="1:16" x14ac:dyDescent="0.3">
      <c r="A410">
        <v>85946</v>
      </c>
      <c r="B410">
        <v>116</v>
      </c>
      <c r="C410" t="s">
        <v>568</v>
      </c>
      <c r="D410" s="453">
        <v>46143</v>
      </c>
      <c r="E410">
        <v>23142</v>
      </c>
      <c r="F410" t="s">
        <v>4151</v>
      </c>
      <c r="G410">
        <v>2709</v>
      </c>
      <c r="H410">
        <v>1</v>
      </c>
      <c r="I410" t="s">
        <v>3892</v>
      </c>
      <c r="J410" t="s">
        <v>3469</v>
      </c>
      <c r="K410" t="s">
        <v>464</v>
      </c>
      <c r="L410">
        <v>23.54</v>
      </c>
      <c r="M410" s="453">
        <v>46128</v>
      </c>
      <c r="N410">
        <v>22.49</v>
      </c>
      <c r="O410">
        <v>20.8</v>
      </c>
      <c r="P410">
        <v>23.54</v>
      </c>
    </row>
    <row r="411" spans="1:16" x14ac:dyDescent="0.3">
      <c r="A411">
        <v>85945</v>
      </c>
      <c r="B411">
        <v>116</v>
      </c>
      <c r="C411" t="s">
        <v>568</v>
      </c>
      <c r="D411" s="453">
        <v>46143</v>
      </c>
      <c r="E411">
        <v>17878</v>
      </c>
      <c r="F411" t="s">
        <v>4096</v>
      </c>
      <c r="G411">
        <v>3677</v>
      </c>
      <c r="H411">
        <v>1</v>
      </c>
      <c r="I411" t="s">
        <v>3872</v>
      </c>
      <c r="J411" t="s">
        <v>3497</v>
      </c>
      <c r="K411" t="s">
        <v>464</v>
      </c>
      <c r="L411">
        <v>0</v>
      </c>
      <c r="M411" s="453">
        <v>46092</v>
      </c>
      <c r="N411">
        <v>23.5</v>
      </c>
      <c r="O411">
        <v>35.9</v>
      </c>
      <c r="P411">
        <v>23.5</v>
      </c>
    </row>
    <row r="412" spans="1:16" x14ac:dyDescent="0.3">
      <c r="A412">
        <v>85952</v>
      </c>
      <c r="B412">
        <v>116</v>
      </c>
      <c r="C412" t="s">
        <v>568</v>
      </c>
      <c r="D412" s="453">
        <v>46143</v>
      </c>
      <c r="E412">
        <v>17066</v>
      </c>
      <c r="F412" t="s">
        <v>4155</v>
      </c>
      <c r="G412">
        <v>2543</v>
      </c>
      <c r="H412">
        <v>1</v>
      </c>
      <c r="I412" t="s">
        <v>3892</v>
      </c>
      <c r="J412" t="s">
        <v>3469</v>
      </c>
      <c r="K412" t="s">
        <v>464</v>
      </c>
      <c r="L412">
        <v>22.33</v>
      </c>
      <c r="M412" s="453">
        <v>46119</v>
      </c>
      <c r="N412">
        <v>22.33</v>
      </c>
      <c r="O412">
        <v>23.78</v>
      </c>
      <c r="P412">
        <v>22.33</v>
      </c>
    </row>
    <row r="413" spans="1:16" x14ac:dyDescent="0.3">
      <c r="A413">
        <v>85948</v>
      </c>
      <c r="B413">
        <v>116</v>
      </c>
      <c r="C413" t="s">
        <v>568</v>
      </c>
      <c r="D413" s="453">
        <v>46143</v>
      </c>
      <c r="E413">
        <v>20717</v>
      </c>
      <c r="F413" t="s">
        <v>4055</v>
      </c>
      <c r="G413">
        <v>2097</v>
      </c>
      <c r="H413">
        <v>0.5</v>
      </c>
      <c r="I413" t="s">
        <v>3872</v>
      </c>
      <c r="J413" t="s">
        <v>3469</v>
      </c>
      <c r="K413" t="s">
        <v>464</v>
      </c>
      <c r="L413">
        <v>0</v>
      </c>
      <c r="M413" s="453">
        <v>46099</v>
      </c>
      <c r="N413">
        <v>43.1</v>
      </c>
      <c r="O413">
        <v>43.1</v>
      </c>
      <c r="P413">
        <v>21.55</v>
      </c>
    </row>
    <row r="414" spans="1:16" x14ac:dyDescent="0.3">
      <c r="A414">
        <v>85947</v>
      </c>
      <c r="B414">
        <v>116</v>
      </c>
      <c r="C414" t="s">
        <v>568</v>
      </c>
      <c r="D414" s="453">
        <v>46143</v>
      </c>
      <c r="E414">
        <v>23622</v>
      </c>
      <c r="F414" t="s">
        <v>4150</v>
      </c>
      <c r="G414">
        <v>2254</v>
      </c>
      <c r="H414">
        <v>1</v>
      </c>
      <c r="I414" t="s">
        <v>3892</v>
      </c>
      <c r="J414" t="s">
        <v>3469</v>
      </c>
      <c r="K414" t="s">
        <v>464</v>
      </c>
      <c r="L414">
        <v>21.5</v>
      </c>
      <c r="M414" s="453">
        <v>46126</v>
      </c>
      <c r="N414">
        <v>21.5</v>
      </c>
      <c r="O414">
        <v>20.29</v>
      </c>
      <c r="P414">
        <v>21.5</v>
      </c>
    </row>
    <row r="415" spans="1:16" x14ac:dyDescent="0.3">
      <c r="A415">
        <v>85941</v>
      </c>
      <c r="B415">
        <v>116</v>
      </c>
      <c r="C415" t="s">
        <v>568</v>
      </c>
      <c r="D415" s="453">
        <v>46143</v>
      </c>
      <c r="E415">
        <v>19498</v>
      </c>
      <c r="F415" t="s">
        <v>4065</v>
      </c>
      <c r="G415">
        <v>2712</v>
      </c>
      <c r="H415">
        <v>1.5</v>
      </c>
      <c r="I415" t="s">
        <v>3892</v>
      </c>
      <c r="J415" t="s">
        <v>3469</v>
      </c>
      <c r="K415" t="s">
        <v>464</v>
      </c>
      <c r="L415">
        <v>14.17</v>
      </c>
      <c r="M415" s="453">
        <v>46133</v>
      </c>
      <c r="N415">
        <v>13.5</v>
      </c>
      <c r="O415">
        <v>14.71</v>
      </c>
      <c r="P415">
        <v>21.26</v>
      </c>
    </row>
    <row r="416" spans="1:16" x14ac:dyDescent="0.3">
      <c r="A416">
        <v>85949</v>
      </c>
      <c r="B416">
        <v>116</v>
      </c>
      <c r="C416" t="s">
        <v>568</v>
      </c>
      <c r="D416" s="453">
        <v>46143</v>
      </c>
      <c r="E416">
        <v>20685</v>
      </c>
      <c r="F416" t="s">
        <v>4122</v>
      </c>
      <c r="G416">
        <v>2106</v>
      </c>
      <c r="H416">
        <v>6</v>
      </c>
      <c r="I416" t="s">
        <v>3872</v>
      </c>
      <c r="J416" t="s">
        <v>3469</v>
      </c>
      <c r="K416" t="s">
        <v>464</v>
      </c>
      <c r="L416">
        <v>3.54</v>
      </c>
      <c r="M416" s="453">
        <v>46126</v>
      </c>
      <c r="N416">
        <v>3.54</v>
      </c>
      <c r="O416">
        <v>3.54</v>
      </c>
      <c r="P416">
        <v>21.24</v>
      </c>
    </row>
    <row r="417" spans="1:16" x14ac:dyDescent="0.3">
      <c r="A417">
        <v>85940</v>
      </c>
      <c r="B417">
        <v>116</v>
      </c>
      <c r="C417" t="s">
        <v>568</v>
      </c>
      <c r="D417" s="453">
        <v>46143</v>
      </c>
      <c r="E417">
        <v>19751</v>
      </c>
      <c r="F417" t="s">
        <v>4019</v>
      </c>
      <c r="G417">
        <v>2502</v>
      </c>
      <c r="H417">
        <v>2</v>
      </c>
      <c r="I417" t="s">
        <v>3892</v>
      </c>
      <c r="J417" t="s">
        <v>3469</v>
      </c>
      <c r="K417" t="s">
        <v>464</v>
      </c>
      <c r="L417">
        <v>10.26</v>
      </c>
      <c r="M417" s="453">
        <v>46133</v>
      </c>
      <c r="N417">
        <v>9.8000000000000007</v>
      </c>
      <c r="O417">
        <v>10.27</v>
      </c>
      <c r="P417">
        <v>20.52</v>
      </c>
    </row>
    <row r="418" spans="1:16" x14ac:dyDescent="0.3">
      <c r="A418">
        <v>85950</v>
      </c>
      <c r="B418">
        <v>116</v>
      </c>
      <c r="C418" t="s">
        <v>568</v>
      </c>
      <c r="D418" s="453">
        <v>46143</v>
      </c>
      <c r="E418">
        <v>23270</v>
      </c>
      <c r="F418" t="s">
        <v>4103</v>
      </c>
      <c r="G418">
        <v>2590</v>
      </c>
      <c r="H418">
        <v>1</v>
      </c>
      <c r="I418" t="s">
        <v>3892</v>
      </c>
      <c r="J418" t="s">
        <v>3469</v>
      </c>
      <c r="K418" t="s">
        <v>464</v>
      </c>
      <c r="L418">
        <v>0</v>
      </c>
      <c r="M418" s="453">
        <v>46092</v>
      </c>
      <c r="N418">
        <v>19.899999999999999</v>
      </c>
      <c r="O418">
        <v>19.899999999999999</v>
      </c>
      <c r="P418">
        <v>19.899999999999999</v>
      </c>
    </row>
    <row r="419" spans="1:16" x14ac:dyDescent="0.3">
      <c r="A419">
        <v>85953</v>
      </c>
      <c r="B419">
        <v>116</v>
      </c>
      <c r="C419" t="s">
        <v>568</v>
      </c>
      <c r="D419" s="453">
        <v>46143</v>
      </c>
      <c r="E419">
        <v>23120</v>
      </c>
      <c r="F419" t="s">
        <v>4111</v>
      </c>
      <c r="G419">
        <v>2730</v>
      </c>
      <c r="H419">
        <v>0.3</v>
      </c>
      <c r="I419" t="s">
        <v>3892</v>
      </c>
      <c r="J419" t="s">
        <v>3469</v>
      </c>
      <c r="K419" t="s">
        <v>464</v>
      </c>
      <c r="L419">
        <v>65.41</v>
      </c>
      <c r="M419" s="453">
        <v>46133</v>
      </c>
      <c r="N419">
        <v>65</v>
      </c>
      <c r="O419">
        <v>65</v>
      </c>
      <c r="P419">
        <v>19.62</v>
      </c>
    </row>
    <row r="420" spans="1:16" x14ac:dyDescent="0.3">
      <c r="A420">
        <v>85954</v>
      </c>
      <c r="B420">
        <v>116</v>
      </c>
      <c r="C420" t="s">
        <v>568</v>
      </c>
      <c r="D420" s="453">
        <v>46143</v>
      </c>
      <c r="E420">
        <v>19672</v>
      </c>
      <c r="F420" t="s">
        <v>4024</v>
      </c>
      <c r="G420">
        <v>2567</v>
      </c>
      <c r="H420">
        <v>1.5</v>
      </c>
      <c r="I420" t="s">
        <v>3892</v>
      </c>
      <c r="J420" t="s">
        <v>3469</v>
      </c>
      <c r="K420" t="s">
        <v>464</v>
      </c>
      <c r="L420">
        <v>13.05</v>
      </c>
      <c r="M420" s="453">
        <v>46128</v>
      </c>
      <c r="N420">
        <v>13.05</v>
      </c>
      <c r="O420">
        <v>13.05</v>
      </c>
      <c r="P420">
        <v>19.579999999999998</v>
      </c>
    </row>
    <row r="421" spans="1:16" x14ac:dyDescent="0.3">
      <c r="A421">
        <v>85955</v>
      </c>
      <c r="B421">
        <v>116</v>
      </c>
      <c r="C421" t="s">
        <v>568</v>
      </c>
      <c r="D421" s="453">
        <v>46143</v>
      </c>
      <c r="E421">
        <v>23349</v>
      </c>
      <c r="F421" t="s">
        <v>4173</v>
      </c>
      <c r="G421">
        <v>2509</v>
      </c>
      <c r="H421">
        <v>2</v>
      </c>
      <c r="I421" t="s">
        <v>3892</v>
      </c>
      <c r="J421" t="s">
        <v>3469</v>
      </c>
      <c r="K421" t="s">
        <v>464</v>
      </c>
      <c r="L421">
        <v>9.27</v>
      </c>
      <c r="M421" s="453">
        <v>46121</v>
      </c>
      <c r="N421">
        <v>9.27</v>
      </c>
      <c r="O421">
        <v>9.27</v>
      </c>
      <c r="P421">
        <v>18.54</v>
      </c>
    </row>
    <row r="422" spans="1:16" x14ac:dyDescent="0.3">
      <c r="A422">
        <v>85795</v>
      </c>
      <c r="B422">
        <v>116</v>
      </c>
      <c r="C422" t="s">
        <v>568</v>
      </c>
      <c r="D422" s="453">
        <v>46143</v>
      </c>
      <c r="E422">
        <v>17917</v>
      </c>
      <c r="F422" t="s">
        <v>4144</v>
      </c>
      <c r="G422">
        <v>3647</v>
      </c>
      <c r="H422">
        <v>0.12</v>
      </c>
      <c r="I422" t="s">
        <v>3888</v>
      </c>
      <c r="J422" t="s">
        <v>3497</v>
      </c>
      <c r="K422" t="s">
        <v>464</v>
      </c>
      <c r="L422">
        <v>0</v>
      </c>
      <c r="N422">
        <v>0</v>
      </c>
      <c r="O422">
        <v>8.49</v>
      </c>
      <c r="P422">
        <v>18.5</v>
      </c>
    </row>
    <row r="423" spans="1:16" x14ac:dyDescent="0.3">
      <c r="A423">
        <v>85994</v>
      </c>
      <c r="B423">
        <v>116</v>
      </c>
      <c r="C423" t="s">
        <v>568</v>
      </c>
      <c r="D423" s="453">
        <v>46143</v>
      </c>
      <c r="E423">
        <v>19558</v>
      </c>
      <c r="F423" t="s">
        <v>4183</v>
      </c>
      <c r="G423">
        <v>2659</v>
      </c>
      <c r="H423">
        <v>1</v>
      </c>
      <c r="I423" t="s">
        <v>3892</v>
      </c>
      <c r="J423" t="s">
        <v>3469</v>
      </c>
      <c r="K423" t="s">
        <v>464</v>
      </c>
      <c r="L423">
        <v>17.25</v>
      </c>
      <c r="M423" s="453">
        <v>46133</v>
      </c>
      <c r="N423">
        <v>17</v>
      </c>
      <c r="O423">
        <v>13.8</v>
      </c>
      <c r="P423">
        <v>17.25</v>
      </c>
    </row>
    <row r="424" spans="1:16" x14ac:dyDescent="0.3">
      <c r="A424">
        <v>85995</v>
      </c>
      <c r="B424">
        <v>116</v>
      </c>
      <c r="C424" t="s">
        <v>568</v>
      </c>
      <c r="D424" s="453">
        <v>46143</v>
      </c>
      <c r="E424">
        <v>23195</v>
      </c>
      <c r="F424" t="s">
        <v>4184</v>
      </c>
      <c r="G424">
        <v>2660</v>
      </c>
      <c r="H424">
        <v>1</v>
      </c>
      <c r="I424" t="s">
        <v>3892</v>
      </c>
      <c r="J424" t="s">
        <v>3469</v>
      </c>
      <c r="K424" t="s">
        <v>464</v>
      </c>
      <c r="L424">
        <v>17</v>
      </c>
      <c r="M424" s="453">
        <v>46115</v>
      </c>
      <c r="N424">
        <v>17</v>
      </c>
      <c r="O424">
        <v>10</v>
      </c>
      <c r="P424">
        <v>17</v>
      </c>
    </row>
    <row r="425" spans="1:16" x14ac:dyDescent="0.3">
      <c r="A425">
        <v>85951</v>
      </c>
      <c r="B425">
        <v>116</v>
      </c>
      <c r="C425" t="s">
        <v>568</v>
      </c>
      <c r="D425" s="453">
        <v>46143</v>
      </c>
      <c r="E425">
        <v>19634</v>
      </c>
      <c r="F425" t="s">
        <v>4068</v>
      </c>
      <c r="G425">
        <v>2602</v>
      </c>
      <c r="H425">
        <v>2</v>
      </c>
      <c r="I425" t="s">
        <v>3892</v>
      </c>
      <c r="J425" t="s">
        <v>3469</v>
      </c>
      <c r="K425" t="s">
        <v>464</v>
      </c>
      <c r="L425">
        <v>7.92</v>
      </c>
      <c r="M425" s="453">
        <v>46128</v>
      </c>
      <c r="N425">
        <v>7.39</v>
      </c>
      <c r="O425">
        <v>7.8</v>
      </c>
      <c r="P425">
        <v>15.84</v>
      </c>
    </row>
    <row r="426" spans="1:16" x14ac:dyDescent="0.3">
      <c r="A426">
        <v>85957</v>
      </c>
      <c r="B426">
        <v>116</v>
      </c>
      <c r="C426" t="s">
        <v>568</v>
      </c>
      <c r="D426" s="453">
        <v>46143</v>
      </c>
      <c r="E426">
        <v>21126</v>
      </c>
      <c r="F426" t="s">
        <v>4004</v>
      </c>
      <c r="G426">
        <v>1963</v>
      </c>
      <c r="H426">
        <v>2</v>
      </c>
      <c r="I426" t="s">
        <v>3888</v>
      </c>
      <c r="J426" t="s">
        <v>3469</v>
      </c>
      <c r="K426" t="s">
        <v>464</v>
      </c>
      <c r="L426">
        <v>0</v>
      </c>
      <c r="M426" s="453">
        <v>46085</v>
      </c>
      <c r="N426">
        <v>7.8</v>
      </c>
      <c r="O426">
        <v>7.8</v>
      </c>
      <c r="P426">
        <v>15.6</v>
      </c>
    </row>
    <row r="427" spans="1:16" x14ac:dyDescent="0.3">
      <c r="A427">
        <v>85993</v>
      </c>
      <c r="B427">
        <v>116</v>
      </c>
      <c r="C427" t="s">
        <v>568</v>
      </c>
      <c r="D427" s="453">
        <v>46143</v>
      </c>
      <c r="E427">
        <v>24385</v>
      </c>
      <c r="F427" t="s">
        <v>4182</v>
      </c>
      <c r="G427">
        <v>2524</v>
      </c>
      <c r="H427">
        <v>1</v>
      </c>
      <c r="I427" t="s">
        <v>3892</v>
      </c>
      <c r="J427" t="s">
        <v>3469</v>
      </c>
      <c r="K427" t="s">
        <v>464</v>
      </c>
      <c r="L427">
        <v>15.22</v>
      </c>
      <c r="M427" s="453">
        <v>46128</v>
      </c>
      <c r="N427">
        <v>15.22</v>
      </c>
      <c r="O427">
        <v>15.22</v>
      </c>
      <c r="P427">
        <v>15.22</v>
      </c>
    </row>
    <row r="428" spans="1:16" x14ac:dyDescent="0.3">
      <c r="A428">
        <v>85959</v>
      </c>
      <c r="B428">
        <v>116</v>
      </c>
      <c r="C428" t="s">
        <v>568</v>
      </c>
      <c r="D428" s="453">
        <v>46143</v>
      </c>
      <c r="E428">
        <v>23502</v>
      </c>
      <c r="F428" t="s">
        <v>4174</v>
      </c>
      <c r="G428">
        <v>2367</v>
      </c>
      <c r="H428">
        <v>1</v>
      </c>
      <c r="I428" t="s">
        <v>3872</v>
      </c>
      <c r="J428" t="s">
        <v>3469</v>
      </c>
      <c r="K428" t="s">
        <v>464</v>
      </c>
      <c r="L428">
        <v>0</v>
      </c>
      <c r="M428" s="453">
        <v>46085</v>
      </c>
      <c r="N428">
        <v>14.9</v>
      </c>
      <c r="O428">
        <v>14.9</v>
      </c>
      <c r="P428">
        <v>14.9</v>
      </c>
    </row>
    <row r="429" spans="1:16" x14ac:dyDescent="0.3">
      <c r="A429">
        <v>85961</v>
      </c>
      <c r="B429">
        <v>116</v>
      </c>
      <c r="C429" t="s">
        <v>568</v>
      </c>
      <c r="D429" s="453">
        <v>46143</v>
      </c>
      <c r="E429">
        <v>24509</v>
      </c>
      <c r="F429" t="s">
        <v>3906</v>
      </c>
      <c r="G429">
        <v>2607</v>
      </c>
      <c r="H429">
        <v>4</v>
      </c>
      <c r="I429" t="s">
        <v>3892</v>
      </c>
      <c r="J429" t="s">
        <v>3469</v>
      </c>
      <c r="K429" t="s">
        <v>464</v>
      </c>
      <c r="L429">
        <v>3.64</v>
      </c>
      <c r="M429" s="453">
        <v>46128</v>
      </c>
      <c r="N429">
        <v>4.2</v>
      </c>
      <c r="O429">
        <v>4</v>
      </c>
      <c r="P429">
        <v>14.56</v>
      </c>
    </row>
    <row r="430" spans="1:16" x14ac:dyDescent="0.3">
      <c r="A430">
        <v>85958</v>
      </c>
      <c r="B430">
        <v>116</v>
      </c>
      <c r="C430" t="s">
        <v>568</v>
      </c>
      <c r="D430" s="453">
        <v>46143</v>
      </c>
      <c r="E430">
        <v>19689</v>
      </c>
      <c r="F430" t="s">
        <v>4073</v>
      </c>
      <c r="G430">
        <v>2551</v>
      </c>
      <c r="H430">
        <v>2</v>
      </c>
      <c r="I430" t="s">
        <v>3892</v>
      </c>
      <c r="J430" t="s">
        <v>3469</v>
      </c>
      <c r="K430" t="s">
        <v>464</v>
      </c>
      <c r="L430">
        <v>7.03</v>
      </c>
      <c r="M430" s="453">
        <v>46119</v>
      </c>
      <c r="N430">
        <v>7.03</v>
      </c>
      <c r="O430">
        <v>7.03</v>
      </c>
      <c r="P430">
        <v>14.06</v>
      </c>
    </row>
    <row r="431" spans="1:16" x14ac:dyDescent="0.3">
      <c r="A431">
        <v>85972</v>
      </c>
      <c r="B431">
        <v>116</v>
      </c>
      <c r="C431" t="s">
        <v>568</v>
      </c>
      <c r="D431" s="453">
        <v>46143</v>
      </c>
      <c r="E431">
        <v>19621</v>
      </c>
      <c r="F431" t="s">
        <v>4125</v>
      </c>
      <c r="G431">
        <v>2613</v>
      </c>
      <c r="H431">
        <v>2</v>
      </c>
      <c r="I431" t="s">
        <v>3892</v>
      </c>
      <c r="J431" t="s">
        <v>3469</v>
      </c>
      <c r="K431" t="s">
        <v>464</v>
      </c>
      <c r="L431">
        <v>6.87</v>
      </c>
      <c r="M431" s="453">
        <v>46128</v>
      </c>
      <c r="N431">
        <v>7.97</v>
      </c>
      <c r="O431">
        <v>7.97</v>
      </c>
      <c r="P431">
        <v>13.74</v>
      </c>
    </row>
    <row r="432" spans="1:16" x14ac:dyDescent="0.3">
      <c r="A432">
        <v>85956</v>
      </c>
      <c r="B432">
        <v>116</v>
      </c>
      <c r="C432" t="s">
        <v>568</v>
      </c>
      <c r="D432" s="453">
        <v>46143</v>
      </c>
      <c r="E432">
        <v>23359</v>
      </c>
      <c r="F432" t="s">
        <v>3932</v>
      </c>
      <c r="G432">
        <v>2499</v>
      </c>
      <c r="H432">
        <v>6</v>
      </c>
      <c r="I432" t="s">
        <v>3892</v>
      </c>
      <c r="J432" t="s">
        <v>3469</v>
      </c>
      <c r="K432" t="s">
        <v>464</v>
      </c>
      <c r="L432">
        <v>2.2400000000000002</v>
      </c>
      <c r="M432" s="453">
        <v>46133</v>
      </c>
      <c r="N432">
        <v>2.1</v>
      </c>
      <c r="O432">
        <v>2.2200000000000002</v>
      </c>
      <c r="P432">
        <v>13.44</v>
      </c>
    </row>
    <row r="433" spans="1:16" x14ac:dyDescent="0.3">
      <c r="A433">
        <v>85960</v>
      </c>
      <c r="B433">
        <v>116</v>
      </c>
      <c r="C433" t="s">
        <v>568</v>
      </c>
      <c r="D433" s="453">
        <v>46143</v>
      </c>
      <c r="E433">
        <v>19647</v>
      </c>
      <c r="F433" t="s">
        <v>4066</v>
      </c>
      <c r="G433">
        <v>2591</v>
      </c>
      <c r="H433">
        <v>1</v>
      </c>
      <c r="I433" t="s">
        <v>3892</v>
      </c>
      <c r="J433" t="s">
        <v>3469</v>
      </c>
      <c r="K433" t="s">
        <v>464</v>
      </c>
      <c r="L433">
        <v>13.27</v>
      </c>
      <c r="M433" s="453">
        <v>46128</v>
      </c>
      <c r="N433">
        <v>12.8</v>
      </c>
      <c r="O433">
        <v>15</v>
      </c>
      <c r="P433">
        <v>13.27</v>
      </c>
    </row>
    <row r="434" spans="1:16" x14ac:dyDescent="0.3">
      <c r="A434">
        <v>85963</v>
      </c>
      <c r="B434">
        <v>116</v>
      </c>
      <c r="C434" t="s">
        <v>568</v>
      </c>
      <c r="D434" s="453">
        <v>46143</v>
      </c>
      <c r="E434">
        <v>24212</v>
      </c>
      <c r="F434" t="s">
        <v>4056</v>
      </c>
      <c r="G434">
        <v>2064</v>
      </c>
      <c r="H434">
        <v>1</v>
      </c>
      <c r="I434" t="s">
        <v>3892</v>
      </c>
      <c r="J434" t="s">
        <v>3469</v>
      </c>
      <c r="K434" t="s">
        <v>464</v>
      </c>
      <c r="L434">
        <v>13</v>
      </c>
      <c r="M434" s="453">
        <v>46126</v>
      </c>
      <c r="N434">
        <v>13</v>
      </c>
      <c r="O434">
        <v>13</v>
      </c>
      <c r="P434">
        <v>13</v>
      </c>
    </row>
    <row r="435" spans="1:16" x14ac:dyDescent="0.3">
      <c r="A435">
        <v>85969</v>
      </c>
      <c r="B435">
        <v>116</v>
      </c>
      <c r="C435" t="s">
        <v>568</v>
      </c>
      <c r="D435" s="453">
        <v>46143</v>
      </c>
      <c r="E435">
        <v>19506</v>
      </c>
      <c r="F435" t="s">
        <v>4112</v>
      </c>
      <c r="G435">
        <v>2705</v>
      </c>
      <c r="H435">
        <v>0.2</v>
      </c>
      <c r="I435" t="s">
        <v>3892</v>
      </c>
      <c r="J435" t="s">
        <v>3469</v>
      </c>
      <c r="K435" t="s">
        <v>464</v>
      </c>
      <c r="L435">
        <v>63.75</v>
      </c>
      <c r="M435" s="453">
        <v>46128</v>
      </c>
      <c r="N435">
        <v>55</v>
      </c>
      <c r="O435">
        <v>60</v>
      </c>
      <c r="P435">
        <v>12.75</v>
      </c>
    </row>
    <row r="436" spans="1:16" x14ac:dyDescent="0.3">
      <c r="A436">
        <v>85968</v>
      </c>
      <c r="B436">
        <v>116</v>
      </c>
      <c r="C436" t="s">
        <v>568</v>
      </c>
      <c r="D436" s="453">
        <v>46143</v>
      </c>
      <c r="E436">
        <v>23113</v>
      </c>
      <c r="F436" t="s">
        <v>4079</v>
      </c>
      <c r="G436">
        <v>2736</v>
      </c>
      <c r="H436">
        <v>1</v>
      </c>
      <c r="I436" t="s">
        <v>3892</v>
      </c>
      <c r="J436" t="s">
        <v>3469</v>
      </c>
      <c r="K436" t="s">
        <v>464</v>
      </c>
      <c r="L436">
        <v>12.56</v>
      </c>
      <c r="M436" s="453">
        <v>46133</v>
      </c>
      <c r="N436">
        <v>9.73</v>
      </c>
      <c r="O436">
        <v>14.5</v>
      </c>
      <c r="P436">
        <v>12.56</v>
      </c>
    </row>
    <row r="437" spans="1:16" x14ac:dyDescent="0.3">
      <c r="A437">
        <v>85973</v>
      </c>
      <c r="B437">
        <v>116</v>
      </c>
      <c r="C437" t="s">
        <v>568</v>
      </c>
      <c r="D437" s="453">
        <v>46143</v>
      </c>
      <c r="E437">
        <v>19589</v>
      </c>
      <c r="F437" t="s">
        <v>4153</v>
      </c>
      <c r="G437">
        <v>2637</v>
      </c>
      <c r="H437">
        <v>2</v>
      </c>
      <c r="I437" t="s">
        <v>3892</v>
      </c>
      <c r="J437" t="s">
        <v>3469</v>
      </c>
      <c r="K437" t="s">
        <v>464</v>
      </c>
      <c r="L437">
        <v>6</v>
      </c>
      <c r="M437" s="453">
        <v>46115</v>
      </c>
      <c r="N437">
        <v>6</v>
      </c>
      <c r="O437">
        <v>7</v>
      </c>
      <c r="P437">
        <v>12</v>
      </c>
    </row>
    <row r="438" spans="1:16" x14ac:dyDescent="0.3">
      <c r="A438">
        <v>85964</v>
      </c>
      <c r="B438">
        <v>116</v>
      </c>
      <c r="C438" t="s">
        <v>568</v>
      </c>
      <c r="D438" s="453">
        <v>46143</v>
      </c>
      <c r="E438">
        <v>23852</v>
      </c>
      <c r="F438" t="s">
        <v>4061</v>
      </c>
      <c r="G438">
        <v>2043</v>
      </c>
      <c r="H438">
        <v>1</v>
      </c>
      <c r="I438" t="s">
        <v>3892</v>
      </c>
      <c r="J438" t="s">
        <v>3469</v>
      </c>
      <c r="K438" t="s">
        <v>464</v>
      </c>
      <c r="L438">
        <v>0</v>
      </c>
      <c r="N438">
        <v>0</v>
      </c>
      <c r="O438">
        <v>11.4</v>
      </c>
      <c r="P438">
        <v>11.4</v>
      </c>
    </row>
    <row r="439" spans="1:16" x14ac:dyDescent="0.3">
      <c r="A439">
        <v>85967</v>
      </c>
      <c r="B439">
        <v>116</v>
      </c>
      <c r="C439" t="s">
        <v>568</v>
      </c>
      <c r="D439" s="453">
        <v>46143</v>
      </c>
      <c r="E439">
        <v>23186</v>
      </c>
      <c r="F439" t="s">
        <v>3988</v>
      </c>
      <c r="G439">
        <v>2668</v>
      </c>
      <c r="H439">
        <v>2</v>
      </c>
      <c r="I439" t="s">
        <v>3892</v>
      </c>
      <c r="J439" t="s">
        <v>3469</v>
      </c>
      <c r="K439" t="s">
        <v>464</v>
      </c>
      <c r="L439">
        <v>0</v>
      </c>
      <c r="M439" s="453">
        <v>45943</v>
      </c>
      <c r="N439">
        <v>5.56</v>
      </c>
      <c r="O439">
        <v>11.7</v>
      </c>
      <c r="P439">
        <v>11.12</v>
      </c>
    </row>
    <row r="440" spans="1:16" x14ac:dyDescent="0.3">
      <c r="A440">
        <v>85962</v>
      </c>
      <c r="B440">
        <v>116</v>
      </c>
      <c r="C440" t="s">
        <v>568</v>
      </c>
      <c r="D440" s="453">
        <v>46143</v>
      </c>
      <c r="E440">
        <v>19505</v>
      </c>
      <c r="F440" t="s">
        <v>4101</v>
      </c>
      <c r="G440">
        <v>2706</v>
      </c>
      <c r="H440">
        <v>1</v>
      </c>
      <c r="I440" t="s">
        <v>3892</v>
      </c>
      <c r="J440" t="s">
        <v>3469</v>
      </c>
      <c r="K440" t="s">
        <v>464</v>
      </c>
      <c r="L440">
        <v>10.82</v>
      </c>
      <c r="M440" s="453">
        <v>46133</v>
      </c>
      <c r="N440">
        <v>9.5</v>
      </c>
      <c r="O440">
        <v>9.66</v>
      </c>
      <c r="P440">
        <v>10.82</v>
      </c>
    </row>
    <row r="441" spans="1:16" x14ac:dyDescent="0.3">
      <c r="A441">
        <v>85965</v>
      </c>
      <c r="B441">
        <v>116</v>
      </c>
      <c r="C441" t="s">
        <v>568</v>
      </c>
      <c r="D441" s="453">
        <v>46143</v>
      </c>
      <c r="E441">
        <v>19555</v>
      </c>
      <c r="F441" t="s">
        <v>4109</v>
      </c>
      <c r="G441">
        <v>2662</v>
      </c>
      <c r="H441">
        <v>0.5</v>
      </c>
      <c r="I441" t="s">
        <v>3892</v>
      </c>
      <c r="J441" t="s">
        <v>3469</v>
      </c>
      <c r="K441" t="s">
        <v>464</v>
      </c>
      <c r="L441">
        <v>21.18</v>
      </c>
      <c r="M441" s="453">
        <v>46133</v>
      </c>
      <c r="N441">
        <v>18</v>
      </c>
      <c r="O441">
        <v>15</v>
      </c>
      <c r="P441">
        <v>10.59</v>
      </c>
    </row>
    <row r="442" spans="1:16" x14ac:dyDescent="0.3">
      <c r="A442">
        <v>85816</v>
      </c>
      <c r="B442">
        <v>116</v>
      </c>
      <c r="C442" t="s">
        <v>568</v>
      </c>
      <c r="D442" s="453">
        <v>46143</v>
      </c>
      <c r="E442">
        <v>18586</v>
      </c>
      <c r="F442" t="s">
        <v>4107</v>
      </c>
      <c r="G442">
        <v>3104</v>
      </c>
      <c r="H442">
        <v>0.08</v>
      </c>
      <c r="I442" t="s">
        <v>3888</v>
      </c>
      <c r="J442" t="s">
        <v>3497</v>
      </c>
      <c r="K442" t="s">
        <v>464</v>
      </c>
      <c r="L442">
        <v>132.07</v>
      </c>
      <c r="M442" s="453">
        <v>46118</v>
      </c>
      <c r="N442">
        <v>132.07</v>
      </c>
      <c r="O442">
        <v>107.63</v>
      </c>
      <c r="P442">
        <v>10.57</v>
      </c>
    </row>
    <row r="443" spans="1:16" x14ac:dyDescent="0.3">
      <c r="A443">
        <v>85974</v>
      </c>
      <c r="B443">
        <v>116</v>
      </c>
      <c r="C443" t="s">
        <v>568</v>
      </c>
      <c r="D443" s="453">
        <v>46143</v>
      </c>
      <c r="E443">
        <v>23236</v>
      </c>
      <c r="F443" t="s">
        <v>4017</v>
      </c>
      <c r="G443">
        <v>2620</v>
      </c>
      <c r="H443">
        <v>1</v>
      </c>
      <c r="I443" t="s">
        <v>3892</v>
      </c>
      <c r="J443" t="s">
        <v>3469</v>
      </c>
      <c r="K443" t="s">
        <v>464</v>
      </c>
      <c r="L443">
        <v>10.42</v>
      </c>
      <c r="M443" s="453">
        <v>46133</v>
      </c>
      <c r="N443">
        <v>8.5</v>
      </c>
      <c r="O443">
        <v>9.39</v>
      </c>
      <c r="P443">
        <v>10.42</v>
      </c>
    </row>
    <row r="444" spans="1:16" x14ac:dyDescent="0.3">
      <c r="A444">
        <v>85978</v>
      </c>
      <c r="B444">
        <v>116</v>
      </c>
      <c r="C444" t="s">
        <v>568</v>
      </c>
      <c r="D444" s="453">
        <v>46143</v>
      </c>
      <c r="E444">
        <v>19553</v>
      </c>
      <c r="F444" t="s">
        <v>4078</v>
      </c>
      <c r="G444">
        <v>2663</v>
      </c>
      <c r="H444">
        <v>1.5</v>
      </c>
      <c r="I444" t="s">
        <v>3892</v>
      </c>
      <c r="J444" t="s">
        <v>3469</v>
      </c>
      <c r="K444" t="s">
        <v>464</v>
      </c>
      <c r="L444">
        <v>6.27</v>
      </c>
      <c r="M444" s="453">
        <v>46128</v>
      </c>
      <c r="N444">
        <v>5.8</v>
      </c>
      <c r="O444">
        <v>7.25</v>
      </c>
      <c r="P444">
        <v>9.4</v>
      </c>
    </row>
    <row r="445" spans="1:16" x14ac:dyDescent="0.3">
      <c r="A445">
        <v>85966</v>
      </c>
      <c r="B445">
        <v>116</v>
      </c>
      <c r="C445" t="s">
        <v>568</v>
      </c>
      <c r="D445" s="453">
        <v>46143</v>
      </c>
      <c r="E445">
        <v>19742</v>
      </c>
      <c r="F445" t="s">
        <v>4074</v>
      </c>
      <c r="G445">
        <v>2511</v>
      </c>
      <c r="H445">
        <v>1</v>
      </c>
      <c r="I445" t="s">
        <v>3892</v>
      </c>
      <c r="J445" t="s">
        <v>3469</v>
      </c>
      <c r="K445" t="s">
        <v>464</v>
      </c>
      <c r="L445">
        <v>9.35</v>
      </c>
      <c r="M445" s="453">
        <v>46119</v>
      </c>
      <c r="N445">
        <v>9.35</v>
      </c>
      <c r="O445">
        <v>11.38</v>
      </c>
      <c r="P445">
        <v>9.35</v>
      </c>
    </row>
    <row r="446" spans="1:16" x14ac:dyDescent="0.3">
      <c r="A446">
        <v>85976</v>
      </c>
      <c r="B446">
        <v>116</v>
      </c>
      <c r="C446" t="s">
        <v>568</v>
      </c>
      <c r="D446" s="453">
        <v>46143</v>
      </c>
      <c r="E446">
        <v>19623</v>
      </c>
      <c r="F446" t="s">
        <v>3984</v>
      </c>
      <c r="G446">
        <v>2611</v>
      </c>
      <c r="H446">
        <v>2</v>
      </c>
      <c r="I446" t="s">
        <v>3892</v>
      </c>
      <c r="J446" t="s">
        <v>3469</v>
      </c>
      <c r="K446" t="s">
        <v>464</v>
      </c>
      <c r="L446">
        <v>4.66</v>
      </c>
      <c r="M446" s="453">
        <v>46128</v>
      </c>
      <c r="N446">
        <v>5</v>
      </c>
      <c r="O446">
        <v>5.5</v>
      </c>
      <c r="P446">
        <v>9.32</v>
      </c>
    </row>
    <row r="447" spans="1:16" x14ac:dyDescent="0.3">
      <c r="A447">
        <v>85971</v>
      </c>
      <c r="B447">
        <v>116</v>
      </c>
      <c r="C447" t="s">
        <v>568</v>
      </c>
      <c r="D447" s="453">
        <v>46143</v>
      </c>
      <c r="E447">
        <v>19752</v>
      </c>
      <c r="F447" t="s">
        <v>4042</v>
      </c>
      <c r="G447">
        <v>2501</v>
      </c>
      <c r="H447">
        <v>1</v>
      </c>
      <c r="I447" t="s">
        <v>3892</v>
      </c>
      <c r="J447" t="s">
        <v>3469</v>
      </c>
      <c r="K447" t="s">
        <v>464</v>
      </c>
      <c r="L447">
        <v>8.8800000000000008</v>
      </c>
      <c r="M447" s="453">
        <v>46133</v>
      </c>
      <c r="N447">
        <v>6</v>
      </c>
      <c r="O447">
        <v>5.18</v>
      </c>
      <c r="P447">
        <v>8.8800000000000008</v>
      </c>
    </row>
    <row r="448" spans="1:16" x14ac:dyDescent="0.3">
      <c r="A448">
        <v>85970</v>
      </c>
      <c r="B448">
        <v>116</v>
      </c>
      <c r="C448" t="s">
        <v>568</v>
      </c>
      <c r="D448" s="453">
        <v>46143</v>
      </c>
      <c r="E448">
        <v>19465</v>
      </c>
      <c r="F448" t="s">
        <v>4080</v>
      </c>
      <c r="G448">
        <v>2737</v>
      </c>
      <c r="H448">
        <v>1.5</v>
      </c>
      <c r="I448" t="s">
        <v>3892</v>
      </c>
      <c r="J448" t="s">
        <v>3469</v>
      </c>
      <c r="K448" t="s">
        <v>464</v>
      </c>
      <c r="L448">
        <v>5.8</v>
      </c>
      <c r="M448" s="453">
        <v>46128</v>
      </c>
      <c r="N448">
        <v>5.8</v>
      </c>
      <c r="O448">
        <v>5.8</v>
      </c>
      <c r="P448">
        <v>8.6999999999999993</v>
      </c>
    </row>
    <row r="449" spans="1:16" x14ac:dyDescent="0.3">
      <c r="A449">
        <v>85977</v>
      </c>
      <c r="B449">
        <v>116</v>
      </c>
      <c r="C449" t="s">
        <v>568</v>
      </c>
      <c r="D449" s="453">
        <v>46143</v>
      </c>
      <c r="E449">
        <v>24400</v>
      </c>
      <c r="F449" t="s">
        <v>4149</v>
      </c>
      <c r="G449">
        <v>2368</v>
      </c>
      <c r="H449">
        <v>0.5</v>
      </c>
      <c r="I449" t="s">
        <v>3872</v>
      </c>
      <c r="J449" t="s">
        <v>3469</v>
      </c>
      <c r="K449" t="s">
        <v>464</v>
      </c>
      <c r="L449">
        <v>0</v>
      </c>
      <c r="M449" s="453">
        <v>46028</v>
      </c>
      <c r="N449">
        <v>14.5</v>
      </c>
      <c r="O449">
        <v>14</v>
      </c>
      <c r="P449">
        <v>7.25</v>
      </c>
    </row>
    <row r="450" spans="1:16" x14ac:dyDescent="0.3">
      <c r="A450">
        <v>85979</v>
      </c>
      <c r="B450">
        <v>116</v>
      </c>
      <c r="C450" t="s">
        <v>568</v>
      </c>
      <c r="D450" s="453">
        <v>46143</v>
      </c>
      <c r="E450">
        <v>24484</v>
      </c>
      <c r="F450" t="s">
        <v>4154</v>
      </c>
      <c r="G450">
        <v>2684</v>
      </c>
      <c r="H450">
        <v>0.5</v>
      </c>
      <c r="I450" t="s">
        <v>3892</v>
      </c>
      <c r="J450" t="s">
        <v>3469</v>
      </c>
      <c r="K450" t="s">
        <v>464</v>
      </c>
      <c r="L450">
        <v>13.03</v>
      </c>
      <c r="M450" s="453">
        <v>46128</v>
      </c>
      <c r="N450">
        <v>13</v>
      </c>
      <c r="O450">
        <v>13</v>
      </c>
      <c r="P450">
        <v>6.52</v>
      </c>
    </row>
    <row r="451" spans="1:16" x14ac:dyDescent="0.3">
      <c r="A451">
        <v>85980</v>
      </c>
      <c r="B451">
        <v>116</v>
      </c>
      <c r="C451" t="s">
        <v>568</v>
      </c>
      <c r="D451" s="453">
        <v>46143</v>
      </c>
      <c r="E451">
        <v>19642</v>
      </c>
      <c r="F451" t="s">
        <v>4067</v>
      </c>
      <c r="G451">
        <v>2596</v>
      </c>
      <c r="H451">
        <v>1</v>
      </c>
      <c r="I451" t="s">
        <v>3892</v>
      </c>
      <c r="J451" t="s">
        <v>3469</v>
      </c>
      <c r="K451" t="s">
        <v>464</v>
      </c>
      <c r="L451">
        <v>5.98</v>
      </c>
      <c r="M451" s="453">
        <v>46128</v>
      </c>
      <c r="N451">
        <v>5.58</v>
      </c>
      <c r="O451">
        <v>5.58</v>
      </c>
      <c r="P451">
        <v>5.98</v>
      </c>
    </row>
    <row r="452" spans="1:16" x14ac:dyDescent="0.3">
      <c r="A452">
        <v>85975</v>
      </c>
      <c r="B452">
        <v>116</v>
      </c>
      <c r="C452" t="s">
        <v>568</v>
      </c>
      <c r="D452" s="453">
        <v>46143</v>
      </c>
      <c r="E452">
        <v>19607</v>
      </c>
      <c r="F452" t="s">
        <v>4105</v>
      </c>
      <c r="G452">
        <v>2623</v>
      </c>
      <c r="H452">
        <v>0.5</v>
      </c>
      <c r="I452" t="s">
        <v>3892</v>
      </c>
      <c r="J452" t="s">
        <v>3469</v>
      </c>
      <c r="K452" t="s">
        <v>464</v>
      </c>
      <c r="L452">
        <v>10.5</v>
      </c>
      <c r="M452" s="453">
        <v>46128</v>
      </c>
      <c r="N452">
        <v>10.5</v>
      </c>
      <c r="O452">
        <v>11.53</v>
      </c>
      <c r="P452">
        <v>5.25</v>
      </c>
    </row>
    <row r="453" spans="1:16" x14ac:dyDescent="0.3">
      <c r="A453">
        <v>85999</v>
      </c>
      <c r="B453">
        <v>116</v>
      </c>
      <c r="C453" t="s">
        <v>568</v>
      </c>
      <c r="D453" s="453">
        <v>46143</v>
      </c>
      <c r="E453">
        <v>17915</v>
      </c>
      <c r="F453" t="s">
        <v>4145</v>
      </c>
      <c r="G453">
        <v>3648</v>
      </c>
      <c r="H453">
        <v>0.57999999999999996</v>
      </c>
      <c r="I453" t="s">
        <v>3888</v>
      </c>
      <c r="J453" t="s">
        <v>3497</v>
      </c>
      <c r="K453" t="s">
        <v>464</v>
      </c>
      <c r="L453">
        <v>0</v>
      </c>
      <c r="M453" s="453">
        <v>45496</v>
      </c>
      <c r="N453">
        <v>6.42</v>
      </c>
      <c r="O453">
        <v>8.49</v>
      </c>
      <c r="P453">
        <v>3.72</v>
      </c>
    </row>
    <row r="454" spans="1:16" x14ac:dyDescent="0.3">
      <c r="A454">
        <v>79521</v>
      </c>
      <c r="B454">
        <v>116</v>
      </c>
      <c r="C454" t="s">
        <v>568</v>
      </c>
      <c r="D454" s="453">
        <v>46113</v>
      </c>
      <c r="E454">
        <v>18636</v>
      </c>
      <c r="F454" t="s">
        <v>3921</v>
      </c>
      <c r="G454">
        <v>3075</v>
      </c>
      <c r="H454">
        <v>17</v>
      </c>
      <c r="I454" t="s">
        <v>3922</v>
      </c>
      <c r="J454" t="s">
        <v>3497</v>
      </c>
      <c r="K454" t="s">
        <v>463</v>
      </c>
      <c r="L454">
        <v>482.8</v>
      </c>
      <c r="M454" s="453">
        <v>46112</v>
      </c>
      <c r="N454">
        <v>482.8</v>
      </c>
      <c r="O454">
        <v>480.62</v>
      </c>
      <c r="P454">
        <v>8207.6</v>
      </c>
    </row>
    <row r="455" spans="1:16" x14ac:dyDescent="0.3">
      <c r="A455">
        <v>79503</v>
      </c>
      <c r="B455">
        <v>116</v>
      </c>
      <c r="C455" t="s">
        <v>568</v>
      </c>
      <c r="D455" s="453">
        <v>46113</v>
      </c>
      <c r="E455">
        <v>22515</v>
      </c>
      <c r="F455" t="s">
        <v>3883</v>
      </c>
      <c r="G455">
        <v>3202</v>
      </c>
      <c r="H455">
        <v>52</v>
      </c>
      <c r="I455" t="s">
        <v>3884</v>
      </c>
      <c r="J455" t="s">
        <v>3497</v>
      </c>
      <c r="K455" t="s">
        <v>463</v>
      </c>
      <c r="L455">
        <v>0</v>
      </c>
      <c r="M455" s="453">
        <v>45671</v>
      </c>
      <c r="N455">
        <v>38</v>
      </c>
      <c r="O455">
        <v>38</v>
      </c>
      <c r="P455">
        <v>1976</v>
      </c>
    </row>
    <row r="456" spans="1:16" x14ac:dyDescent="0.3">
      <c r="A456">
        <v>79514</v>
      </c>
      <c r="B456">
        <v>116</v>
      </c>
      <c r="C456" t="s">
        <v>568</v>
      </c>
      <c r="D456" s="453">
        <v>46113</v>
      </c>
      <c r="E456">
        <v>24259</v>
      </c>
      <c r="F456" t="s">
        <v>3895</v>
      </c>
      <c r="G456">
        <v>2938</v>
      </c>
      <c r="H456">
        <v>21.8</v>
      </c>
      <c r="I456" t="s">
        <v>3892</v>
      </c>
      <c r="J456" t="s">
        <v>3469</v>
      </c>
      <c r="K456" t="s">
        <v>463</v>
      </c>
      <c r="L456">
        <v>77.709999999999994</v>
      </c>
      <c r="M456" s="453">
        <v>46112</v>
      </c>
      <c r="N456">
        <v>77.599999999999994</v>
      </c>
      <c r="O456">
        <v>77.599999999999994</v>
      </c>
      <c r="P456">
        <v>1694.08</v>
      </c>
    </row>
    <row r="457" spans="1:16" x14ac:dyDescent="0.3">
      <c r="A457">
        <v>79527</v>
      </c>
      <c r="B457">
        <v>116</v>
      </c>
      <c r="C457" t="s">
        <v>568</v>
      </c>
      <c r="D457" s="453">
        <v>46113</v>
      </c>
      <c r="E457">
        <v>22734</v>
      </c>
      <c r="F457" t="s">
        <v>3955</v>
      </c>
      <c r="G457">
        <v>3024</v>
      </c>
      <c r="H457">
        <v>15</v>
      </c>
      <c r="I457" t="s">
        <v>3892</v>
      </c>
      <c r="J457" t="s">
        <v>3469</v>
      </c>
      <c r="K457" t="s">
        <v>463</v>
      </c>
      <c r="L457">
        <v>99</v>
      </c>
      <c r="M457" s="453">
        <v>46105</v>
      </c>
      <c r="N457">
        <v>99</v>
      </c>
      <c r="O457">
        <v>99</v>
      </c>
      <c r="P457">
        <v>1485</v>
      </c>
    </row>
    <row r="458" spans="1:16" x14ac:dyDescent="0.3">
      <c r="A458">
        <v>79513</v>
      </c>
      <c r="B458">
        <v>116</v>
      </c>
      <c r="C458" t="s">
        <v>568</v>
      </c>
      <c r="D458" s="453">
        <v>46113</v>
      </c>
      <c r="E458">
        <v>18247</v>
      </c>
      <c r="F458" t="s">
        <v>3877</v>
      </c>
      <c r="G458">
        <v>3383</v>
      </c>
      <c r="H458">
        <v>22</v>
      </c>
      <c r="I458" t="s">
        <v>3878</v>
      </c>
      <c r="J458" t="s">
        <v>3497</v>
      </c>
      <c r="K458" t="s">
        <v>463</v>
      </c>
      <c r="L458">
        <v>0</v>
      </c>
      <c r="N458">
        <v>0</v>
      </c>
      <c r="O458">
        <v>0</v>
      </c>
      <c r="P458">
        <v>1460.8</v>
      </c>
    </row>
    <row r="459" spans="1:16" x14ac:dyDescent="0.3">
      <c r="A459">
        <v>79588</v>
      </c>
      <c r="B459">
        <v>116</v>
      </c>
      <c r="C459" t="s">
        <v>568</v>
      </c>
      <c r="D459" s="453">
        <v>46113</v>
      </c>
      <c r="E459">
        <v>18640</v>
      </c>
      <c r="F459" t="s">
        <v>3994</v>
      </c>
      <c r="G459">
        <v>3074</v>
      </c>
      <c r="H459">
        <v>4</v>
      </c>
      <c r="I459" t="s">
        <v>3922</v>
      </c>
      <c r="J459" t="s">
        <v>3497</v>
      </c>
      <c r="K459" t="s">
        <v>463</v>
      </c>
      <c r="L459">
        <v>306</v>
      </c>
      <c r="M459" s="453">
        <v>46112</v>
      </c>
      <c r="N459">
        <v>306</v>
      </c>
      <c r="O459">
        <v>250.62</v>
      </c>
      <c r="P459">
        <v>1224</v>
      </c>
    </row>
    <row r="460" spans="1:16" x14ac:dyDescent="0.3">
      <c r="A460">
        <v>79511</v>
      </c>
      <c r="B460">
        <v>116</v>
      </c>
      <c r="C460" t="s">
        <v>568</v>
      </c>
      <c r="D460" s="453">
        <v>46113</v>
      </c>
      <c r="E460">
        <v>18832</v>
      </c>
      <c r="F460" t="s">
        <v>3900</v>
      </c>
      <c r="G460">
        <v>2950</v>
      </c>
      <c r="H460">
        <v>25</v>
      </c>
      <c r="I460" t="s">
        <v>3892</v>
      </c>
      <c r="J460" t="s">
        <v>3469</v>
      </c>
      <c r="K460" t="s">
        <v>463</v>
      </c>
      <c r="L460">
        <v>40.450000000000003</v>
      </c>
      <c r="M460" s="453">
        <v>46106</v>
      </c>
      <c r="N460">
        <v>39.9</v>
      </c>
      <c r="O460">
        <v>39.9</v>
      </c>
      <c r="P460">
        <v>1011.25</v>
      </c>
    </row>
    <row r="461" spans="1:16" x14ac:dyDescent="0.3">
      <c r="A461">
        <v>79525</v>
      </c>
      <c r="B461">
        <v>116</v>
      </c>
      <c r="C461" t="s">
        <v>568</v>
      </c>
      <c r="D461" s="453">
        <v>46113</v>
      </c>
      <c r="E461">
        <v>20539</v>
      </c>
      <c r="F461" t="s">
        <v>3908</v>
      </c>
      <c r="G461">
        <v>2145</v>
      </c>
      <c r="H461">
        <v>15.3</v>
      </c>
      <c r="I461" t="s">
        <v>3892</v>
      </c>
      <c r="J461" t="s">
        <v>3469</v>
      </c>
      <c r="K461" t="s">
        <v>463</v>
      </c>
      <c r="L461">
        <v>64.989999999999995</v>
      </c>
      <c r="M461" s="453">
        <v>46097</v>
      </c>
      <c r="N461">
        <v>65</v>
      </c>
      <c r="O461">
        <v>65</v>
      </c>
      <c r="P461">
        <v>994.35</v>
      </c>
    </row>
    <row r="462" spans="1:16" x14ac:dyDescent="0.3">
      <c r="A462">
        <v>79540</v>
      </c>
      <c r="B462">
        <v>116</v>
      </c>
      <c r="C462" t="s">
        <v>568</v>
      </c>
      <c r="D462" s="453">
        <v>46113</v>
      </c>
      <c r="E462">
        <v>19297</v>
      </c>
      <c r="F462" t="s">
        <v>3949</v>
      </c>
      <c r="G462">
        <v>2775</v>
      </c>
      <c r="H462">
        <v>11.4</v>
      </c>
      <c r="I462" t="s">
        <v>3892</v>
      </c>
      <c r="J462" t="s">
        <v>3469</v>
      </c>
      <c r="K462" t="s">
        <v>463</v>
      </c>
      <c r="L462">
        <v>0</v>
      </c>
      <c r="M462" s="453">
        <v>46073</v>
      </c>
      <c r="N462">
        <v>70.5</v>
      </c>
      <c r="O462">
        <v>60</v>
      </c>
      <c r="P462">
        <v>803.7</v>
      </c>
    </row>
    <row r="463" spans="1:16" x14ac:dyDescent="0.3">
      <c r="A463">
        <v>79542</v>
      </c>
      <c r="B463">
        <v>116</v>
      </c>
      <c r="C463" t="s">
        <v>568</v>
      </c>
      <c r="D463" s="453">
        <v>46113</v>
      </c>
      <c r="E463">
        <v>22857</v>
      </c>
      <c r="F463" t="s">
        <v>4130</v>
      </c>
      <c r="G463">
        <v>2927</v>
      </c>
      <c r="H463">
        <v>11.2</v>
      </c>
      <c r="I463" t="s">
        <v>3892</v>
      </c>
      <c r="J463" t="s">
        <v>3469</v>
      </c>
      <c r="K463" t="s">
        <v>463</v>
      </c>
      <c r="L463">
        <v>64.59</v>
      </c>
      <c r="M463" s="453">
        <v>46099</v>
      </c>
      <c r="N463">
        <v>59.99</v>
      </c>
      <c r="O463">
        <v>59.99</v>
      </c>
      <c r="P463">
        <v>723.41</v>
      </c>
    </row>
    <row r="464" spans="1:16" x14ac:dyDescent="0.3">
      <c r="A464">
        <v>79520</v>
      </c>
      <c r="B464">
        <v>116</v>
      </c>
      <c r="C464" t="s">
        <v>568</v>
      </c>
      <c r="D464" s="453">
        <v>46113</v>
      </c>
      <c r="E464">
        <v>24402</v>
      </c>
      <c r="F464" t="s">
        <v>3896</v>
      </c>
      <c r="G464">
        <v>2949</v>
      </c>
      <c r="H464">
        <v>17.45</v>
      </c>
      <c r="I464" t="s">
        <v>3892</v>
      </c>
      <c r="J464" t="s">
        <v>3469</v>
      </c>
      <c r="K464" t="s">
        <v>463</v>
      </c>
      <c r="L464">
        <v>37.44</v>
      </c>
      <c r="M464" s="453">
        <v>46098</v>
      </c>
      <c r="N464">
        <v>37.200000000000003</v>
      </c>
      <c r="O464">
        <v>37.200000000000003</v>
      </c>
      <c r="P464">
        <v>653.33000000000004</v>
      </c>
    </row>
    <row r="465" spans="1:16" x14ac:dyDescent="0.3">
      <c r="A465">
        <v>79536</v>
      </c>
      <c r="B465">
        <v>116</v>
      </c>
      <c r="C465" t="s">
        <v>568</v>
      </c>
      <c r="D465" s="453">
        <v>46113</v>
      </c>
      <c r="E465">
        <v>20519</v>
      </c>
      <c r="F465" t="s">
        <v>3902</v>
      </c>
      <c r="G465">
        <v>2150</v>
      </c>
      <c r="H465">
        <v>12.75</v>
      </c>
      <c r="I465" t="s">
        <v>3892</v>
      </c>
      <c r="J465" t="s">
        <v>3469</v>
      </c>
      <c r="K465" t="s">
        <v>463</v>
      </c>
      <c r="L465">
        <v>0</v>
      </c>
      <c r="M465" s="453">
        <v>46071</v>
      </c>
      <c r="N465">
        <v>49.75</v>
      </c>
      <c r="O465">
        <v>49.75</v>
      </c>
      <c r="P465">
        <v>634.32000000000005</v>
      </c>
    </row>
    <row r="466" spans="1:16" x14ac:dyDescent="0.3">
      <c r="A466">
        <v>79523</v>
      </c>
      <c r="B466">
        <v>116</v>
      </c>
      <c r="C466" t="s">
        <v>568</v>
      </c>
      <c r="D466" s="453">
        <v>46113</v>
      </c>
      <c r="E466">
        <v>24320</v>
      </c>
      <c r="F466" t="s">
        <v>4160</v>
      </c>
      <c r="G466">
        <v>2942</v>
      </c>
      <c r="H466">
        <v>16.5</v>
      </c>
      <c r="I466" t="s">
        <v>3892</v>
      </c>
      <c r="J466" t="s">
        <v>3469</v>
      </c>
      <c r="K466" t="s">
        <v>463</v>
      </c>
      <c r="L466">
        <v>34.909999999999997</v>
      </c>
      <c r="M466" s="453">
        <v>46098</v>
      </c>
      <c r="N466">
        <v>33.5</v>
      </c>
      <c r="O466">
        <v>34</v>
      </c>
      <c r="P466">
        <v>576.02</v>
      </c>
    </row>
    <row r="467" spans="1:16" x14ac:dyDescent="0.3">
      <c r="A467">
        <v>79510</v>
      </c>
      <c r="B467">
        <v>116</v>
      </c>
      <c r="C467" t="s">
        <v>568</v>
      </c>
      <c r="D467" s="453">
        <v>46113</v>
      </c>
      <c r="E467">
        <v>21030</v>
      </c>
      <c r="F467" t="s">
        <v>3890</v>
      </c>
      <c r="G467">
        <v>2001</v>
      </c>
      <c r="H467">
        <v>28</v>
      </c>
      <c r="I467" t="s">
        <v>3872</v>
      </c>
      <c r="J467" t="s">
        <v>3469</v>
      </c>
      <c r="K467" t="s">
        <v>463</v>
      </c>
      <c r="L467">
        <v>19.059999999999999</v>
      </c>
      <c r="M467" s="453">
        <v>46084</v>
      </c>
      <c r="N467">
        <v>19.059999999999999</v>
      </c>
      <c r="O467">
        <v>19.059999999999999</v>
      </c>
      <c r="P467">
        <v>533.67999999999995</v>
      </c>
    </row>
    <row r="468" spans="1:16" x14ac:dyDescent="0.3">
      <c r="A468">
        <v>79505</v>
      </c>
      <c r="B468">
        <v>116</v>
      </c>
      <c r="C468" t="s">
        <v>568</v>
      </c>
      <c r="D468" s="453">
        <v>46113</v>
      </c>
      <c r="E468">
        <v>26193</v>
      </c>
      <c r="F468" t="s">
        <v>3950</v>
      </c>
      <c r="G468">
        <v>6616</v>
      </c>
      <c r="H468">
        <v>38</v>
      </c>
      <c r="I468" t="s">
        <v>3872</v>
      </c>
      <c r="J468" t="s">
        <v>3469</v>
      </c>
      <c r="K468" t="s">
        <v>463</v>
      </c>
      <c r="L468">
        <v>0</v>
      </c>
      <c r="M468" s="453">
        <v>46000</v>
      </c>
      <c r="N468">
        <v>13.95</v>
      </c>
      <c r="O468">
        <v>12.55</v>
      </c>
      <c r="P468">
        <v>530.1</v>
      </c>
    </row>
    <row r="469" spans="1:16" x14ac:dyDescent="0.3">
      <c r="A469">
        <v>79620</v>
      </c>
      <c r="B469">
        <v>116</v>
      </c>
      <c r="C469" t="s">
        <v>568</v>
      </c>
      <c r="D469" s="453">
        <v>46113</v>
      </c>
      <c r="E469">
        <v>23897</v>
      </c>
      <c r="F469" t="s">
        <v>4058</v>
      </c>
      <c r="G469">
        <v>2003</v>
      </c>
      <c r="H469">
        <v>3</v>
      </c>
      <c r="I469" t="s">
        <v>3872</v>
      </c>
      <c r="J469" t="s">
        <v>3469</v>
      </c>
      <c r="K469" t="s">
        <v>463</v>
      </c>
      <c r="L469">
        <v>0</v>
      </c>
      <c r="M469" s="453">
        <v>46027</v>
      </c>
      <c r="N469">
        <v>175.9</v>
      </c>
      <c r="O469">
        <v>175.9</v>
      </c>
      <c r="P469">
        <v>527.70000000000005</v>
      </c>
    </row>
    <row r="470" spans="1:16" x14ac:dyDescent="0.3">
      <c r="A470">
        <v>79557</v>
      </c>
      <c r="B470">
        <v>116</v>
      </c>
      <c r="C470" t="s">
        <v>568</v>
      </c>
      <c r="D470" s="453">
        <v>46113</v>
      </c>
      <c r="E470">
        <v>18493</v>
      </c>
      <c r="F470" t="s">
        <v>3958</v>
      </c>
      <c r="G470">
        <v>3164</v>
      </c>
      <c r="H470">
        <v>7.5</v>
      </c>
      <c r="I470" t="s">
        <v>3878</v>
      </c>
      <c r="J470" t="s">
        <v>3497</v>
      </c>
      <c r="K470" t="s">
        <v>463</v>
      </c>
      <c r="L470">
        <v>69.900000000000006</v>
      </c>
      <c r="M470" s="453">
        <v>46083</v>
      </c>
      <c r="N470">
        <v>69.900000000000006</v>
      </c>
      <c r="O470">
        <v>69.900000000000006</v>
      </c>
      <c r="P470">
        <v>524.25</v>
      </c>
    </row>
    <row r="471" spans="1:16" x14ac:dyDescent="0.3">
      <c r="A471">
        <v>79531</v>
      </c>
      <c r="B471">
        <v>116</v>
      </c>
      <c r="C471" t="s">
        <v>568</v>
      </c>
      <c r="D471" s="453">
        <v>46113</v>
      </c>
      <c r="E471">
        <v>18684</v>
      </c>
      <c r="F471" t="s">
        <v>3925</v>
      </c>
      <c r="G471">
        <v>3041</v>
      </c>
      <c r="H471">
        <v>13.9</v>
      </c>
      <c r="I471" t="s">
        <v>3892</v>
      </c>
      <c r="J471" t="s">
        <v>3469</v>
      </c>
      <c r="K471" t="s">
        <v>463</v>
      </c>
      <c r="L471">
        <v>36</v>
      </c>
      <c r="M471" s="453">
        <v>46105</v>
      </c>
      <c r="N471">
        <v>36</v>
      </c>
      <c r="O471">
        <v>36</v>
      </c>
      <c r="P471">
        <v>500.4</v>
      </c>
    </row>
    <row r="472" spans="1:16" x14ac:dyDescent="0.3">
      <c r="A472">
        <v>79587</v>
      </c>
      <c r="B472">
        <v>116</v>
      </c>
      <c r="C472" t="s">
        <v>568</v>
      </c>
      <c r="D472" s="453">
        <v>46113</v>
      </c>
      <c r="E472">
        <v>18295</v>
      </c>
      <c r="F472" t="s">
        <v>4030</v>
      </c>
      <c r="G472">
        <v>3334</v>
      </c>
      <c r="H472">
        <v>4</v>
      </c>
      <c r="I472" t="s">
        <v>3878</v>
      </c>
      <c r="J472" t="s">
        <v>3497</v>
      </c>
      <c r="K472" t="s">
        <v>463</v>
      </c>
      <c r="L472">
        <v>124</v>
      </c>
      <c r="M472" s="453">
        <v>46111</v>
      </c>
      <c r="N472">
        <v>124</v>
      </c>
      <c r="O472">
        <v>124</v>
      </c>
      <c r="P472">
        <v>496</v>
      </c>
    </row>
    <row r="473" spans="1:16" x14ac:dyDescent="0.3">
      <c r="A473">
        <v>79566</v>
      </c>
      <c r="B473">
        <v>116</v>
      </c>
      <c r="C473" t="s">
        <v>568</v>
      </c>
      <c r="D473" s="453">
        <v>46113</v>
      </c>
      <c r="E473">
        <v>24002</v>
      </c>
      <c r="F473" t="s">
        <v>3924</v>
      </c>
      <c r="G473">
        <v>3614</v>
      </c>
      <c r="H473">
        <v>6</v>
      </c>
      <c r="I473" t="s">
        <v>3872</v>
      </c>
      <c r="J473" t="s">
        <v>3497</v>
      </c>
      <c r="K473" t="s">
        <v>463</v>
      </c>
      <c r="L473">
        <v>0</v>
      </c>
      <c r="M473" s="453">
        <v>46010</v>
      </c>
      <c r="N473">
        <v>77.42</v>
      </c>
      <c r="O473">
        <v>4.9400000000000004</v>
      </c>
      <c r="P473">
        <v>464.52</v>
      </c>
    </row>
    <row r="474" spans="1:16" x14ac:dyDescent="0.3">
      <c r="A474">
        <v>79534</v>
      </c>
      <c r="B474">
        <v>116</v>
      </c>
      <c r="C474" t="s">
        <v>568</v>
      </c>
      <c r="D474" s="453">
        <v>46113</v>
      </c>
      <c r="E474">
        <v>20278</v>
      </c>
      <c r="F474" t="s">
        <v>3939</v>
      </c>
      <c r="G474">
        <v>2230</v>
      </c>
      <c r="H474">
        <v>13</v>
      </c>
      <c r="I474" t="s">
        <v>3872</v>
      </c>
      <c r="J474" t="s">
        <v>3469</v>
      </c>
      <c r="K474" t="s">
        <v>463</v>
      </c>
      <c r="L474">
        <v>33.85</v>
      </c>
      <c r="M474" s="453">
        <v>46111</v>
      </c>
      <c r="N474">
        <v>33.270000000000003</v>
      </c>
      <c r="O474">
        <v>33.270000000000003</v>
      </c>
      <c r="P474">
        <v>440.05</v>
      </c>
    </row>
    <row r="475" spans="1:16" x14ac:dyDescent="0.3">
      <c r="A475">
        <v>79655</v>
      </c>
      <c r="B475">
        <v>116</v>
      </c>
      <c r="C475" t="s">
        <v>568</v>
      </c>
      <c r="D475" s="453">
        <v>46113</v>
      </c>
      <c r="E475">
        <v>24072</v>
      </c>
      <c r="F475" t="s">
        <v>4002</v>
      </c>
      <c r="G475">
        <v>2982</v>
      </c>
      <c r="H475">
        <v>2</v>
      </c>
      <c r="I475" t="s">
        <v>3892</v>
      </c>
      <c r="J475" t="s">
        <v>3469</v>
      </c>
      <c r="K475" t="s">
        <v>463</v>
      </c>
      <c r="L475">
        <v>220</v>
      </c>
      <c r="M475" s="453">
        <v>46105</v>
      </c>
      <c r="N475">
        <v>220</v>
      </c>
      <c r="O475">
        <v>220</v>
      </c>
      <c r="P475">
        <v>440</v>
      </c>
    </row>
    <row r="476" spans="1:16" x14ac:dyDescent="0.3">
      <c r="A476">
        <v>79533</v>
      </c>
      <c r="B476">
        <v>116</v>
      </c>
      <c r="C476" t="s">
        <v>568</v>
      </c>
      <c r="D476" s="453">
        <v>46113</v>
      </c>
      <c r="E476">
        <v>18475</v>
      </c>
      <c r="F476" t="s">
        <v>3918</v>
      </c>
      <c r="G476">
        <v>3181</v>
      </c>
      <c r="H476">
        <v>13</v>
      </c>
      <c r="I476" t="s">
        <v>3878</v>
      </c>
      <c r="J476" t="s">
        <v>3497</v>
      </c>
      <c r="K476" t="s">
        <v>463</v>
      </c>
      <c r="L476">
        <v>32.9</v>
      </c>
      <c r="M476" s="453">
        <v>46083</v>
      </c>
      <c r="N476">
        <v>32.9</v>
      </c>
      <c r="O476">
        <v>32.9</v>
      </c>
      <c r="P476">
        <v>427.7</v>
      </c>
    </row>
    <row r="477" spans="1:16" x14ac:dyDescent="0.3">
      <c r="A477">
        <v>79568</v>
      </c>
      <c r="B477">
        <v>116</v>
      </c>
      <c r="C477" t="s">
        <v>568</v>
      </c>
      <c r="D477" s="453">
        <v>46113</v>
      </c>
      <c r="E477">
        <v>18764</v>
      </c>
      <c r="F477" t="s">
        <v>3907</v>
      </c>
      <c r="G477">
        <v>3001</v>
      </c>
      <c r="H477">
        <v>5.3</v>
      </c>
      <c r="I477" t="s">
        <v>3892</v>
      </c>
      <c r="J477" t="s">
        <v>3469</v>
      </c>
      <c r="K477" t="s">
        <v>463</v>
      </c>
      <c r="L477">
        <v>79.989999999999995</v>
      </c>
      <c r="M477" s="453">
        <v>46090</v>
      </c>
      <c r="N477">
        <v>79.989999999999995</v>
      </c>
      <c r="O477">
        <v>79.989999999999995</v>
      </c>
      <c r="P477">
        <v>423.95</v>
      </c>
    </row>
    <row r="478" spans="1:16" x14ac:dyDescent="0.3">
      <c r="A478">
        <v>79524</v>
      </c>
      <c r="B478">
        <v>116</v>
      </c>
      <c r="C478" t="s">
        <v>568</v>
      </c>
      <c r="D478" s="453">
        <v>46113</v>
      </c>
      <c r="E478">
        <v>17905</v>
      </c>
      <c r="F478" t="s">
        <v>4139</v>
      </c>
      <c r="G478">
        <v>3656</v>
      </c>
      <c r="H478">
        <v>16</v>
      </c>
      <c r="I478" t="s">
        <v>3888</v>
      </c>
      <c r="J478" t="s">
        <v>3497</v>
      </c>
      <c r="K478" t="s">
        <v>463</v>
      </c>
      <c r="L478">
        <v>0</v>
      </c>
      <c r="M478" s="453">
        <v>46056</v>
      </c>
      <c r="N478">
        <v>0</v>
      </c>
      <c r="O478">
        <v>26.13</v>
      </c>
      <c r="P478">
        <v>418.08</v>
      </c>
    </row>
    <row r="479" spans="1:16" x14ac:dyDescent="0.3">
      <c r="A479">
        <v>79591</v>
      </c>
      <c r="B479">
        <v>116</v>
      </c>
      <c r="C479" t="s">
        <v>568</v>
      </c>
      <c r="D479" s="453">
        <v>46113</v>
      </c>
      <c r="E479">
        <v>20752</v>
      </c>
      <c r="F479" t="s">
        <v>3964</v>
      </c>
      <c r="G479">
        <v>2088</v>
      </c>
      <c r="H479">
        <v>4</v>
      </c>
      <c r="I479" t="s">
        <v>3886</v>
      </c>
      <c r="J479" t="s">
        <v>3469</v>
      </c>
      <c r="K479" t="s">
        <v>463</v>
      </c>
      <c r="L479">
        <v>102.8</v>
      </c>
      <c r="M479" s="453">
        <v>46100</v>
      </c>
      <c r="N479">
        <v>102.8</v>
      </c>
      <c r="O479">
        <v>102.8</v>
      </c>
      <c r="P479">
        <v>411.2</v>
      </c>
    </row>
    <row r="480" spans="1:16" x14ac:dyDescent="0.3">
      <c r="A480">
        <v>79509</v>
      </c>
      <c r="B480">
        <v>116</v>
      </c>
      <c r="C480" t="s">
        <v>568</v>
      </c>
      <c r="D480" s="453">
        <v>46113</v>
      </c>
      <c r="E480">
        <v>20703</v>
      </c>
      <c r="F480" t="s">
        <v>3893</v>
      </c>
      <c r="G480">
        <v>2100</v>
      </c>
      <c r="H480">
        <v>32</v>
      </c>
      <c r="I480" t="s">
        <v>3886</v>
      </c>
      <c r="J480" t="s">
        <v>3469</v>
      </c>
      <c r="K480" t="s">
        <v>463</v>
      </c>
      <c r="L480">
        <v>0</v>
      </c>
      <c r="M480" s="453">
        <v>45714</v>
      </c>
      <c r="N480">
        <v>12.8</v>
      </c>
      <c r="O480">
        <v>13.86</v>
      </c>
      <c r="P480">
        <v>409.6</v>
      </c>
    </row>
    <row r="481" spans="1:16" x14ac:dyDescent="0.3">
      <c r="A481">
        <v>79571</v>
      </c>
      <c r="B481">
        <v>116</v>
      </c>
      <c r="C481" t="s">
        <v>568</v>
      </c>
      <c r="D481" s="453">
        <v>46113</v>
      </c>
      <c r="E481">
        <v>20555</v>
      </c>
      <c r="F481" t="s">
        <v>3959</v>
      </c>
      <c r="G481">
        <v>2139</v>
      </c>
      <c r="H481">
        <v>5.0999999999999996</v>
      </c>
      <c r="I481" t="s">
        <v>3892</v>
      </c>
      <c r="J481" t="s">
        <v>3469</v>
      </c>
      <c r="K481" t="s">
        <v>463</v>
      </c>
      <c r="L481">
        <v>79</v>
      </c>
      <c r="M481" s="453">
        <v>46105</v>
      </c>
      <c r="N481">
        <v>79</v>
      </c>
      <c r="O481">
        <v>79</v>
      </c>
      <c r="P481">
        <v>402.9</v>
      </c>
    </row>
    <row r="482" spans="1:16" x14ac:dyDescent="0.3">
      <c r="A482">
        <v>79674</v>
      </c>
      <c r="B482">
        <v>116</v>
      </c>
      <c r="C482" t="s">
        <v>568</v>
      </c>
      <c r="D482" s="453">
        <v>46113</v>
      </c>
      <c r="E482">
        <v>23982</v>
      </c>
      <c r="F482" t="s">
        <v>3977</v>
      </c>
      <c r="G482">
        <v>1999</v>
      </c>
      <c r="H482">
        <v>1.5</v>
      </c>
      <c r="I482" t="s">
        <v>3978</v>
      </c>
      <c r="J482" t="s">
        <v>3469</v>
      </c>
      <c r="K482" t="s">
        <v>463</v>
      </c>
      <c r="L482">
        <v>240.58</v>
      </c>
      <c r="M482" s="453">
        <v>46100</v>
      </c>
      <c r="N482">
        <v>240.56</v>
      </c>
      <c r="O482">
        <v>240.56</v>
      </c>
      <c r="P482">
        <v>360.87</v>
      </c>
    </row>
    <row r="483" spans="1:16" x14ac:dyDescent="0.3">
      <c r="A483">
        <v>79544</v>
      </c>
      <c r="B483">
        <v>116</v>
      </c>
      <c r="C483" t="s">
        <v>568</v>
      </c>
      <c r="D483" s="453">
        <v>46113</v>
      </c>
      <c r="E483">
        <v>27313</v>
      </c>
      <c r="F483" t="s">
        <v>4131</v>
      </c>
      <c r="G483">
        <v>6160</v>
      </c>
      <c r="H483">
        <v>11</v>
      </c>
      <c r="I483" t="s">
        <v>3892</v>
      </c>
      <c r="J483" t="s">
        <v>3469</v>
      </c>
      <c r="K483" t="s">
        <v>463</v>
      </c>
      <c r="L483">
        <v>0</v>
      </c>
      <c r="M483" s="453">
        <v>46000</v>
      </c>
      <c r="N483">
        <v>32.799999999999997</v>
      </c>
      <c r="O483">
        <v>32.799999999999997</v>
      </c>
      <c r="P483">
        <v>360.8</v>
      </c>
    </row>
    <row r="484" spans="1:16" x14ac:dyDescent="0.3">
      <c r="A484">
        <v>79581</v>
      </c>
      <c r="B484">
        <v>116</v>
      </c>
      <c r="C484" t="s">
        <v>568</v>
      </c>
      <c r="D484" s="453">
        <v>46113</v>
      </c>
      <c r="E484">
        <v>18467</v>
      </c>
      <c r="F484" t="s">
        <v>4028</v>
      </c>
      <c r="G484">
        <v>3189</v>
      </c>
      <c r="H484">
        <v>4.5</v>
      </c>
      <c r="I484" t="s">
        <v>3878</v>
      </c>
      <c r="J484" t="s">
        <v>3497</v>
      </c>
      <c r="K484" t="s">
        <v>463</v>
      </c>
      <c r="L484">
        <v>78.849999999999994</v>
      </c>
      <c r="M484" s="453">
        <v>46098</v>
      </c>
      <c r="N484">
        <v>77.790000000000006</v>
      </c>
      <c r="O484">
        <v>77.790000000000006</v>
      </c>
      <c r="P484">
        <v>354.82</v>
      </c>
    </row>
    <row r="485" spans="1:16" x14ac:dyDescent="0.3">
      <c r="A485">
        <v>79550</v>
      </c>
      <c r="B485">
        <v>116</v>
      </c>
      <c r="C485" t="s">
        <v>568</v>
      </c>
      <c r="D485" s="453">
        <v>46113</v>
      </c>
      <c r="E485">
        <v>19324</v>
      </c>
      <c r="F485" t="s">
        <v>3937</v>
      </c>
      <c r="G485">
        <v>2773</v>
      </c>
      <c r="H485">
        <v>9.8000000000000007</v>
      </c>
      <c r="I485" t="s">
        <v>3892</v>
      </c>
      <c r="J485" t="s">
        <v>3469</v>
      </c>
      <c r="K485" t="s">
        <v>463</v>
      </c>
      <c r="L485">
        <v>35.07</v>
      </c>
      <c r="M485" s="453">
        <v>46111</v>
      </c>
      <c r="N485">
        <v>41.22</v>
      </c>
      <c r="O485">
        <v>37.94</v>
      </c>
      <c r="P485">
        <v>343.69</v>
      </c>
    </row>
    <row r="486" spans="1:16" x14ac:dyDescent="0.3">
      <c r="A486">
        <v>79603</v>
      </c>
      <c r="B486">
        <v>116</v>
      </c>
      <c r="C486" t="s">
        <v>568</v>
      </c>
      <c r="D486" s="453">
        <v>46113</v>
      </c>
      <c r="E486">
        <v>18538</v>
      </c>
      <c r="F486" t="s">
        <v>4026</v>
      </c>
      <c r="G486">
        <v>3139</v>
      </c>
      <c r="H486">
        <v>3.2</v>
      </c>
      <c r="I486" t="s">
        <v>3878</v>
      </c>
      <c r="J486" t="s">
        <v>3497</v>
      </c>
      <c r="K486" t="s">
        <v>463</v>
      </c>
      <c r="L486">
        <v>105.41</v>
      </c>
      <c r="M486" s="453">
        <v>46111</v>
      </c>
      <c r="N486">
        <v>105</v>
      </c>
      <c r="O486">
        <v>105</v>
      </c>
      <c r="P486">
        <v>337.31</v>
      </c>
    </row>
    <row r="487" spans="1:16" x14ac:dyDescent="0.3">
      <c r="A487">
        <v>79546</v>
      </c>
      <c r="B487">
        <v>116</v>
      </c>
      <c r="C487" t="s">
        <v>568</v>
      </c>
      <c r="D487" s="453">
        <v>46113</v>
      </c>
      <c r="E487">
        <v>18172</v>
      </c>
      <c r="F487" t="s">
        <v>3923</v>
      </c>
      <c r="G487">
        <v>3450</v>
      </c>
      <c r="H487">
        <v>10.7</v>
      </c>
      <c r="I487" t="s">
        <v>3878</v>
      </c>
      <c r="J487" t="s">
        <v>3497</v>
      </c>
      <c r="K487" t="s">
        <v>463</v>
      </c>
      <c r="L487">
        <v>31.41</v>
      </c>
      <c r="M487" s="453">
        <v>46111</v>
      </c>
      <c r="N487">
        <v>31.4</v>
      </c>
      <c r="O487">
        <v>31.4</v>
      </c>
      <c r="P487">
        <v>336.09</v>
      </c>
    </row>
    <row r="488" spans="1:16" x14ac:dyDescent="0.3">
      <c r="A488">
        <v>79539</v>
      </c>
      <c r="B488">
        <v>116</v>
      </c>
      <c r="C488" t="s">
        <v>568</v>
      </c>
      <c r="D488" s="453">
        <v>46113</v>
      </c>
      <c r="E488">
        <v>24517</v>
      </c>
      <c r="F488" t="s">
        <v>3991</v>
      </c>
      <c r="G488">
        <v>3047</v>
      </c>
      <c r="H488">
        <v>12</v>
      </c>
      <c r="I488" t="s">
        <v>3892</v>
      </c>
      <c r="J488" t="s">
        <v>3469</v>
      </c>
      <c r="K488" t="s">
        <v>463</v>
      </c>
      <c r="L488">
        <v>27.99</v>
      </c>
      <c r="M488" s="453">
        <v>46112</v>
      </c>
      <c r="N488">
        <v>27.99</v>
      </c>
      <c r="O488">
        <v>27.99</v>
      </c>
      <c r="P488">
        <v>335.88</v>
      </c>
    </row>
    <row r="489" spans="1:16" x14ac:dyDescent="0.3">
      <c r="A489">
        <v>79567</v>
      </c>
      <c r="B489">
        <v>116</v>
      </c>
      <c r="C489" t="s">
        <v>568</v>
      </c>
      <c r="D489" s="453">
        <v>46113</v>
      </c>
      <c r="E489">
        <v>19346</v>
      </c>
      <c r="F489" t="s">
        <v>3948</v>
      </c>
      <c r="G489">
        <v>2770</v>
      </c>
      <c r="H489">
        <v>5.7</v>
      </c>
      <c r="I489" t="s">
        <v>3892</v>
      </c>
      <c r="J489" t="s">
        <v>3469</v>
      </c>
      <c r="K489" t="s">
        <v>463</v>
      </c>
      <c r="L489">
        <v>58.3</v>
      </c>
      <c r="M489" s="453">
        <v>46085</v>
      </c>
      <c r="N489">
        <v>58.3</v>
      </c>
      <c r="O489">
        <v>60.94</v>
      </c>
      <c r="P489">
        <v>332.31</v>
      </c>
    </row>
    <row r="490" spans="1:16" x14ac:dyDescent="0.3">
      <c r="A490">
        <v>79508</v>
      </c>
      <c r="B490">
        <v>116</v>
      </c>
      <c r="C490" t="s">
        <v>568</v>
      </c>
      <c r="D490" s="453">
        <v>46113</v>
      </c>
      <c r="E490">
        <v>25197</v>
      </c>
      <c r="F490" t="s">
        <v>4143</v>
      </c>
      <c r="G490">
        <v>2126</v>
      </c>
      <c r="H490">
        <v>34</v>
      </c>
      <c r="I490" t="s">
        <v>3872</v>
      </c>
      <c r="J490" t="s">
        <v>3469</v>
      </c>
      <c r="K490" t="s">
        <v>463</v>
      </c>
      <c r="L490">
        <v>0</v>
      </c>
      <c r="M490" s="453">
        <v>46036</v>
      </c>
      <c r="N490">
        <v>9.5</v>
      </c>
      <c r="O490">
        <v>25</v>
      </c>
      <c r="P490">
        <v>323</v>
      </c>
    </row>
    <row r="491" spans="1:16" x14ac:dyDescent="0.3">
      <c r="A491">
        <v>79596</v>
      </c>
      <c r="B491">
        <v>116</v>
      </c>
      <c r="C491" t="s">
        <v>568</v>
      </c>
      <c r="D491" s="453">
        <v>46113</v>
      </c>
      <c r="E491">
        <v>25767</v>
      </c>
      <c r="F491" t="s">
        <v>3976</v>
      </c>
      <c r="G491">
        <v>6316</v>
      </c>
      <c r="H491">
        <v>4</v>
      </c>
      <c r="I491" t="s">
        <v>3892</v>
      </c>
      <c r="J491" t="s">
        <v>3469</v>
      </c>
      <c r="K491" t="s">
        <v>463</v>
      </c>
      <c r="L491">
        <v>0</v>
      </c>
      <c r="M491" s="453">
        <v>46056</v>
      </c>
      <c r="N491">
        <v>80</v>
      </c>
      <c r="O491">
        <v>80</v>
      </c>
      <c r="P491">
        <v>320</v>
      </c>
    </row>
    <row r="492" spans="1:16" x14ac:dyDescent="0.3">
      <c r="A492">
        <v>79624</v>
      </c>
      <c r="B492">
        <v>116</v>
      </c>
      <c r="C492" t="s">
        <v>568</v>
      </c>
      <c r="D492" s="453">
        <v>46113</v>
      </c>
      <c r="E492">
        <v>18179</v>
      </c>
      <c r="F492" t="s">
        <v>3995</v>
      </c>
      <c r="G492">
        <v>3443</v>
      </c>
      <c r="H492">
        <v>2.8</v>
      </c>
      <c r="I492" t="s">
        <v>3878</v>
      </c>
      <c r="J492" t="s">
        <v>3497</v>
      </c>
      <c r="K492" t="s">
        <v>463</v>
      </c>
      <c r="L492">
        <v>112.05</v>
      </c>
      <c r="M492" s="453">
        <v>46091</v>
      </c>
      <c r="N492">
        <v>112.05</v>
      </c>
      <c r="O492">
        <v>112.05</v>
      </c>
      <c r="P492">
        <v>313.74</v>
      </c>
    </row>
    <row r="493" spans="1:16" x14ac:dyDescent="0.3">
      <c r="A493">
        <v>79518</v>
      </c>
      <c r="B493">
        <v>116</v>
      </c>
      <c r="C493" t="s">
        <v>568</v>
      </c>
      <c r="D493" s="453">
        <v>46113</v>
      </c>
      <c r="E493">
        <v>17950</v>
      </c>
      <c r="F493" t="s">
        <v>4170</v>
      </c>
      <c r="G493">
        <v>3626</v>
      </c>
      <c r="H493">
        <v>18</v>
      </c>
      <c r="I493" t="s">
        <v>3888</v>
      </c>
      <c r="J493" t="s">
        <v>3497</v>
      </c>
      <c r="K493" t="s">
        <v>463</v>
      </c>
      <c r="L493">
        <v>16.989999999999998</v>
      </c>
      <c r="M493" s="453">
        <v>46091</v>
      </c>
      <c r="N493">
        <v>16.989999999999998</v>
      </c>
      <c r="O493">
        <v>16.989999999999998</v>
      </c>
      <c r="P493">
        <v>305.82</v>
      </c>
    </row>
    <row r="494" spans="1:16" x14ac:dyDescent="0.3">
      <c r="A494">
        <v>79547</v>
      </c>
      <c r="B494">
        <v>116</v>
      </c>
      <c r="C494" t="s">
        <v>568</v>
      </c>
      <c r="D494" s="453">
        <v>46113</v>
      </c>
      <c r="E494">
        <v>18682</v>
      </c>
      <c r="F494" t="s">
        <v>4025</v>
      </c>
      <c r="G494">
        <v>3043</v>
      </c>
      <c r="H494">
        <v>10.6</v>
      </c>
      <c r="I494" t="s">
        <v>3892</v>
      </c>
      <c r="J494" t="s">
        <v>3469</v>
      </c>
      <c r="K494" t="s">
        <v>463</v>
      </c>
      <c r="L494">
        <v>27.99</v>
      </c>
      <c r="M494" s="453">
        <v>46112</v>
      </c>
      <c r="N494">
        <v>27.99</v>
      </c>
      <c r="O494">
        <v>27.99</v>
      </c>
      <c r="P494">
        <v>296.69</v>
      </c>
    </row>
    <row r="495" spans="1:16" x14ac:dyDescent="0.3">
      <c r="A495">
        <v>79583</v>
      </c>
      <c r="B495">
        <v>116</v>
      </c>
      <c r="C495" t="s">
        <v>568</v>
      </c>
      <c r="D495" s="453">
        <v>46113</v>
      </c>
      <c r="E495">
        <v>20729</v>
      </c>
      <c r="F495" t="s">
        <v>3965</v>
      </c>
      <c r="G495">
        <v>2093</v>
      </c>
      <c r="H495">
        <v>4.5</v>
      </c>
      <c r="I495" t="s">
        <v>3966</v>
      </c>
      <c r="J495" t="s">
        <v>3469</v>
      </c>
      <c r="K495" t="s">
        <v>463</v>
      </c>
      <c r="L495">
        <v>65.89</v>
      </c>
      <c r="M495" s="453">
        <v>46106</v>
      </c>
      <c r="N495">
        <v>65.88</v>
      </c>
      <c r="O495">
        <v>65.88</v>
      </c>
      <c r="P495">
        <v>296.5</v>
      </c>
    </row>
    <row r="496" spans="1:16" x14ac:dyDescent="0.3">
      <c r="A496">
        <v>79528</v>
      </c>
      <c r="B496">
        <v>116</v>
      </c>
      <c r="C496" t="s">
        <v>568</v>
      </c>
      <c r="D496" s="453">
        <v>46113</v>
      </c>
      <c r="E496">
        <v>19984</v>
      </c>
      <c r="F496" t="s">
        <v>3904</v>
      </c>
      <c r="G496">
        <v>2351</v>
      </c>
      <c r="H496">
        <v>14</v>
      </c>
      <c r="I496" t="s">
        <v>3872</v>
      </c>
      <c r="J496" t="s">
        <v>3469</v>
      </c>
      <c r="K496" t="s">
        <v>463</v>
      </c>
      <c r="L496">
        <v>19.8</v>
      </c>
      <c r="M496" s="453">
        <v>46105</v>
      </c>
      <c r="N496">
        <v>19.8</v>
      </c>
      <c r="O496">
        <v>19.8</v>
      </c>
      <c r="P496">
        <v>277.2</v>
      </c>
    </row>
    <row r="497" spans="1:16" x14ac:dyDescent="0.3">
      <c r="A497">
        <v>79632</v>
      </c>
      <c r="B497">
        <v>116</v>
      </c>
      <c r="C497" t="s">
        <v>568</v>
      </c>
      <c r="D497" s="453">
        <v>46113</v>
      </c>
      <c r="E497">
        <v>16974</v>
      </c>
      <c r="F497" t="s">
        <v>3996</v>
      </c>
      <c r="G497">
        <v>3711</v>
      </c>
      <c r="H497">
        <v>2</v>
      </c>
      <c r="I497" t="s">
        <v>3881</v>
      </c>
      <c r="J497" t="s">
        <v>3497</v>
      </c>
      <c r="K497" t="s">
        <v>463</v>
      </c>
      <c r="L497">
        <v>135</v>
      </c>
      <c r="M497" s="453">
        <v>46090</v>
      </c>
      <c r="N497">
        <v>135</v>
      </c>
      <c r="O497">
        <v>147.5</v>
      </c>
      <c r="P497">
        <v>270</v>
      </c>
    </row>
    <row r="498" spans="1:16" x14ac:dyDescent="0.3">
      <c r="A498">
        <v>79560</v>
      </c>
      <c r="B498">
        <v>116</v>
      </c>
      <c r="C498" t="s">
        <v>568</v>
      </c>
      <c r="D498" s="453">
        <v>46113</v>
      </c>
      <c r="E498">
        <v>18685</v>
      </c>
      <c r="F498" t="s">
        <v>3945</v>
      </c>
      <c r="G498">
        <v>3040</v>
      </c>
      <c r="H498">
        <v>6.8</v>
      </c>
      <c r="I498" t="s">
        <v>3892</v>
      </c>
      <c r="J498" t="s">
        <v>3469</v>
      </c>
      <c r="K498" t="s">
        <v>463</v>
      </c>
      <c r="L498">
        <v>39</v>
      </c>
      <c r="M498" s="453">
        <v>46105</v>
      </c>
      <c r="N498">
        <v>39</v>
      </c>
      <c r="O498">
        <v>39</v>
      </c>
      <c r="P498">
        <v>265.2</v>
      </c>
    </row>
    <row r="499" spans="1:16" x14ac:dyDescent="0.3">
      <c r="A499">
        <v>79639</v>
      </c>
      <c r="B499">
        <v>116</v>
      </c>
      <c r="C499" t="s">
        <v>568</v>
      </c>
      <c r="D499" s="453">
        <v>46113</v>
      </c>
      <c r="E499">
        <v>18586</v>
      </c>
      <c r="F499" t="s">
        <v>4107</v>
      </c>
      <c r="G499">
        <v>3104</v>
      </c>
      <c r="H499">
        <v>2</v>
      </c>
      <c r="I499" t="s">
        <v>3888</v>
      </c>
      <c r="J499" t="s">
        <v>3497</v>
      </c>
      <c r="K499" t="s">
        <v>463</v>
      </c>
      <c r="L499">
        <v>0</v>
      </c>
      <c r="M499" s="453">
        <v>46002</v>
      </c>
      <c r="N499">
        <v>132.07</v>
      </c>
      <c r="O499">
        <v>132.07</v>
      </c>
      <c r="P499">
        <v>264.14</v>
      </c>
    </row>
    <row r="500" spans="1:16" x14ac:dyDescent="0.3">
      <c r="A500">
        <v>79504</v>
      </c>
      <c r="B500">
        <v>116</v>
      </c>
      <c r="C500" t="s">
        <v>568</v>
      </c>
      <c r="D500" s="453">
        <v>46113</v>
      </c>
      <c r="E500">
        <v>25196</v>
      </c>
      <c r="F500" t="s">
        <v>3873</v>
      </c>
      <c r="G500">
        <v>2357</v>
      </c>
      <c r="H500">
        <v>47</v>
      </c>
      <c r="I500" t="s">
        <v>3872</v>
      </c>
      <c r="J500" t="s">
        <v>3469</v>
      </c>
      <c r="K500" t="s">
        <v>463</v>
      </c>
      <c r="L500">
        <v>0</v>
      </c>
      <c r="M500" s="453">
        <v>45936</v>
      </c>
      <c r="N500">
        <v>5.5</v>
      </c>
      <c r="O500">
        <v>5.5</v>
      </c>
      <c r="P500">
        <v>258.5</v>
      </c>
    </row>
    <row r="501" spans="1:16" x14ac:dyDescent="0.3">
      <c r="A501">
        <v>79561</v>
      </c>
      <c r="B501">
        <v>116</v>
      </c>
      <c r="C501" t="s">
        <v>568</v>
      </c>
      <c r="D501" s="453">
        <v>46113</v>
      </c>
      <c r="E501">
        <v>19287</v>
      </c>
      <c r="F501" t="s">
        <v>3974</v>
      </c>
      <c r="G501">
        <v>2778</v>
      </c>
      <c r="H501">
        <v>6.4</v>
      </c>
      <c r="I501" t="s">
        <v>3892</v>
      </c>
      <c r="J501" t="s">
        <v>3469</v>
      </c>
      <c r="K501" t="s">
        <v>463</v>
      </c>
      <c r="L501">
        <v>40</v>
      </c>
      <c r="M501" s="453">
        <v>46105</v>
      </c>
      <c r="N501">
        <v>41.45</v>
      </c>
      <c r="O501">
        <v>38.67</v>
      </c>
      <c r="P501">
        <v>256</v>
      </c>
    </row>
    <row r="502" spans="1:16" x14ac:dyDescent="0.3">
      <c r="A502">
        <v>79545</v>
      </c>
      <c r="B502">
        <v>116</v>
      </c>
      <c r="C502" t="s">
        <v>568</v>
      </c>
      <c r="D502" s="453">
        <v>46113</v>
      </c>
      <c r="E502">
        <v>23760</v>
      </c>
      <c r="F502" t="s">
        <v>4007</v>
      </c>
      <c r="G502">
        <v>2141</v>
      </c>
      <c r="H502">
        <v>10.9</v>
      </c>
      <c r="I502" t="s">
        <v>3892</v>
      </c>
      <c r="J502" t="s">
        <v>3469</v>
      </c>
      <c r="K502" t="s">
        <v>463</v>
      </c>
      <c r="L502">
        <v>0</v>
      </c>
      <c r="N502">
        <v>0</v>
      </c>
      <c r="O502">
        <v>23.3</v>
      </c>
      <c r="P502">
        <v>253.97</v>
      </c>
    </row>
    <row r="503" spans="1:16" x14ac:dyDescent="0.3">
      <c r="A503">
        <v>79638</v>
      </c>
      <c r="B503">
        <v>116</v>
      </c>
      <c r="C503" t="s">
        <v>568</v>
      </c>
      <c r="D503" s="453">
        <v>46113</v>
      </c>
      <c r="E503">
        <v>18315</v>
      </c>
      <c r="F503" t="s">
        <v>4088</v>
      </c>
      <c r="G503">
        <v>3318</v>
      </c>
      <c r="H503">
        <v>2</v>
      </c>
      <c r="I503" t="s">
        <v>3878</v>
      </c>
      <c r="J503" t="s">
        <v>3497</v>
      </c>
      <c r="K503" t="s">
        <v>463</v>
      </c>
      <c r="L503">
        <v>0</v>
      </c>
      <c r="M503" s="453">
        <v>46035</v>
      </c>
      <c r="N503">
        <v>124</v>
      </c>
      <c r="O503">
        <v>133</v>
      </c>
      <c r="P503">
        <v>248</v>
      </c>
    </row>
    <row r="504" spans="1:16" x14ac:dyDescent="0.3">
      <c r="A504">
        <v>79565</v>
      </c>
      <c r="B504">
        <v>116</v>
      </c>
      <c r="C504" t="s">
        <v>568</v>
      </c>
      <c r="D504" s="453">
        <v>46113</v>
      </c>
      <c r="E504">
        <v>21944</v>
      </c>
      <c r="F504" t="s">
        <v>3936</v>
      </c>
      <c r="G504">
        <v>3748</v>
      </c>
      <c r="H504">
        <v>6</v>
      </c>
      <c r="I504" t="s">
        <v>3878</v>
      </c>
      <c r="J504" t="s">
        <v>3497</v>
      </c>
      <c r="K504" t="s">
        <v>463</v>
      </c>
      <c r="L504">
        <v>0</v>
      </c>
      <c r="N504">
        <v>0</v>
      </c>
      <c r="O504">
        <v>40.159999999999997</v>
      </c>
      <c r="P504">
        <v>240.96</v>
      </c>
    </row>
    <row r="505" spans="1:16" x14ac:dyDescent="0.3">
      <c r="A505">
        <v>79609</v>
      </c>
      <c r="B505">
        <v>116</v>
      </c>
      <c r="C505" t="s">
        <v>568</v>
      </c>
      <c r="D505" s="453">
        <v>46113</v>
      </c>
      <c r="E505">
        <v>19578</v>
      </c>
      <c r="F505" t="s">
        <v>3985</v>
      </c>
      <c r="G505">
        <v>2640</v>
      </c>
      <c r="H505">
        <v>3</v>
      </c>
      <c r="I505" t="s">
        <v>3892</v>
      </c>
      <c r="J505" t="s">
        <v>3469</v>
      </c>
      <c r="K505" t="s">
        <v>463</v>
      </c>
      <c r="L505">
        <v>0</v>
      </c>
      <c r="M505" s="453">
        <v>46055</v>
      </c>
      <c r="N505">
        <v>80</v>
      </c>
      <c r="O505">
        <v>80</v>
      </c>
      <c r="P505">
        <v>240</v>
      </c>
    </row>
    <row r="506" spans="1:16" x14ac:dyDescent="0.3">
      <c r="A506">
        <v>79549</v>
      </c>
      <c r="B506">
        <v>116</v>
      </c>
      <c r="C506" t="s">
        <v>568</v>
      </c>
      <c r="D506" s="453">
        <v>46113</v>
      </c>
      <c r="E506">
        <v>24331</v>
      </c>
      <c r="F506" t="s">
        <v>3960</v>
      </c>
      <c r="G506">
        <v>2146</v>
      </c>
      <c r="H506">
        <v>10</v>
      </c>
      <c r="I506" t="s">
        <v>3892</v>
      </c>
      <c r="J506" t="s">
        <v>3469</v>
      </c>
      <c r="K506" t="s">
        <v>463</v>
      </c>
      <c r="L506">
        <v>23.68</v>
      </c>
      <c r="M506" s="453">
        <v>46098</v>
      </c>
      <c r="N506">
        <v>26.5</v>
      </c>
      <c r="O506">
        <v>21.9</v>
      </c>
      <c r="P506">
        <v>236.8</v>
      </c>
    </row>
    <row r="507" spans="1:16" x14ac:dyDescent="0.3">
      <c r="A507">
        <v>79532</v>
      </c>
      <c r="B507">
        <v>116</v>
      </c>
      <c r="C507" t="s">
        <v>568</v>
      </c>
      <c r="D507" s="453">
        <v>46113</v>
      </c>
      <c r="E507">
        <v>17983</v>
      </c>
      <c r="F507" t="s">
        <v>4142</v>
      </c>
      <c r="G507">
        <v>3609</v>
      </c>
      <c r="H507">
        <v>13</v>
      </c>
      <c r="I507" t="s">
        <v>3888</v>
      </c>
      <c r="J507" t="s">
        <v>3497</v>
      </c>
      <c r="K507" t="s">
        <v>463</v>
      </c>
      <c r="L507">
        <v>0</v>
      </c>
      <c r="M507" s="453">
        <v>45818</v>
      </c>
      <c r="N507">
        <v>17.100000000000001</v>
      </c>
      <c r="O507">
        <v>22.2</v>
      </c>
      <c r="P507">
        <v>222.3</v>
      </c>
    </row>
    <row r="508" spans="1:16" x14ac:dyDescent="0.3">
      <c r="A508">
        <v>79631</v>
      </c>
      <c r="B508">
        <v>116</v>
      </c>
      <c r="C508" t="s">
        <v>568</v>
      </c>
      <c r="D508" s="453">
        <v>46113</v>
      </c>
      <c r="E508">
        <v>18111</v>
      </c>
      <c r="F508" t="s">
        <v>4047</v>
      </c>
      <c r="G508">
        <v>3500</v>
      </c>
      <c r="H508">
        <v>2.2999999999999998</v>
      </c>
      <c r="I508" t="s">
        <v>3878</v>
      </c>
      <c r="J508" t="s">
        <v>3497</v>
      </c>
      <c r="K508" t="s">
        <v>463</v>
      </c>
      <c r="L508">
        <v>0</v>
      </c>
      <c r="M508" s="453">
        <v>46079</v>
      </c>
      <c r="N508">
        <v>91.9</v>
      </c>
      <c r="O508">
        <v>88</v>
      </c>
      <c r="P508">
        <v>211.37</v>
      </c>
    </row>
    <row r="509" spans="1:16" x14ac:dyDescent="0.3">
      <c r="A509">
        <v>79590</v>
      </c>
      <c r="B509">
        <v>116</v>
      </c>
      <c r="C509" t="s">
        <v>568</v>
      </c>
      <c r="D509" s="453">
        <v>46113</v>
      </c>
      <c r="E509">
        <v>20007</v>
      </c>
      <c r="F509" t="s">
        <v>4009</v>
      </c>
      <c r="G509">
        <v>2343</v>
      </c>
      <c r="H509">
        <v>4</v>
      </c>
      <c r="I509" t="s">
        <v>3966</v>
      </c>
      <c r="J509" t="s">
        <v>3469</v>
      </c>
      <c r="K509" t="s">
        <v>463</v>
      </c>
      <c r="L509">
        <v>52.02</v>
      </c>
      <c r="M509" s="453">
        <v>46111</v>
      </c>
      <c r="N509">
        <v>52.6</v>
      </c>
      <c r="O509">
        <v>49.86</v>
      </c>
      <c r="P509">
        <v>208.08</v>
      </c>
    </row>
    <row r="510" spans="1:16" x14ac:dyDescent="0.3">
      <c r="A510">
        <v>79572</v>
      </c>
      <c r="B510">
        <v>116</v>
      </c>
      <c r="C510" t="s">
        <v>568</v>
      </c>
      <c r="D510" s="453">
        <v>46113</v>
      </c>
      <c r="E510">
        <v>17710</v>
      </c>
      <c r="F510" t="s">
        <v>3905</v>
      </c>
      <c r="G510">
        <v>3824</v>
      </c>
      <c r="H510">
        <v>5</v>
      </c>
      <c r="I510" t="s">
        <v>3878</v>
      </c>
      <c r="J510" t="s">
        <v>3497</v>
      </c>
      <c r="K510" t="s">
        <v>463</v>
      </c>
      <c r="L510">
        <v>0</v>
      </c>
      <c r="M510" s="453">
        <v>45973</v>
      </c>
      <c r="N510">
        <v>38.86</v>
      </c>
      <c r="O510">
        <v>37.700000000000003</v>
      </c>
      <c r="P510">
        <v>194.3</v>
      </c>
    </row>
    <row r="511" spans="1:16" x14ac:dyDescent="0.3">
      <c r="A511">
        <v>79686</v>
      </c>
      <c r="B511">
        <v>116</v>
      </c>
      <c r="C511" t="s">
        <v>568</v>
      </c>
      <c r="D511" s="453">
        <v>46113</v>
      </c>
      <c r="E511">
        <v>18119</v>
      </c>
      <c r="F511" t="s">
        <v>4093</v>
      </c>
      <c r="G511">
        <v>3494</v>
      </c>
      <c r="H511">
        <v>1</v>
      </c>
      <c r="I511" t="s">
        <v>3878</v>
      </c>
      <c r="J511" t="s">
        <v>3497</v>
      </c>
      <c r="K511" t="s">
        <v>463</v>
      </c>
      <c r="L511">
        <v>0</v>
      </c>
      <c r="M511" s="453">
        <v>46029</v>
      </c>
      <c r="N511">
        <v>181</v>
      </c>
      <c r="O511">
        <v>175.4</v>
      </c>
      <c r="P511">
        <v>181</v>
      </c>
    </row>
    <row r="512" spans="1:16" x14ac:dyDescent="0.3">
      <c r="A512">
        <v>79670</v>
      </c>
      <c r="B512">
        <v>116</v>
      </c>
      <c r="C512" t="s">
        <v>568</v>
      </c>
      <c r="D512" s="453">
        <v>46113</v>
      </c>
      <c r="E512">
        <v>20755</v>
      </c>
      <c r="F512" t="s">
        <v>4052</v>
      </c>
      <c r="G512">
        <v>2087</v>
      </c>
      <c r="H512">
        <v>1.5</v>
      </c>
      <c r="I512" t="s">
        <v>3966</v>
      </c>
      <c r="J512" t="s">
        <v>3469</v>
      </c>
      <c r="K512" t="s">
        <v>463</v>
      </c>
      <c r="L512">
        <v>120</v>
      </c>
      <c r="M512" s="453">
        <v>46085</v>
      </c>
      <c r="N512">
        <v>120</v>
      </c>
      <c r="O512">
        <v>120</v>
      </c>
      <c r="P512">
        <v>180</v>
      </c>
    </row>
    <row r="513" spans="1:16" x14ac:dyDescent="0.3">
      <c r="A513">
        <v>79661</v>
      </c>
      <c r="B513">
        <v>116</v>
      </c>
      <c r="C513" t="s">
        <v>568</v>
      </c>
      <c r="D513" s="453">
        <v>46113</v>
      </c>
      <c r="E513">
        <v>18359</v>
      </c>
      <c r="F513" t="s">
        <v>4029</v>
      </c>
      <c r="G513">
        <v>3278</v>
      </c>
      <c r="H513">
        <v>1.8</v>
      </c>
      <c r="I513" t="s">
        <v>3878</v>
      </c>
      <c r="J513" t="s">
        <v>3497</v>
      </c>
      <c r="K513" t="s">
        <v>463</v>
      </c>
      <c r="L513">
        <v>0</v>
      </c>
      <c r="M513" s="453">
        <v>46014</v>
      </c>
      <c r="N513">
        <v>99.9</v>
      </c>
      <c r="O513">
        <v>94.8</v>
      </c>
      <c r="P513">
        <v>179.82</v>
      </c>
    </row>
    <row r="514" spans="1:16" x14ac:dyDescent="0.3">
      <c r="A514">
        <v>79551</v>
      </c>
      <c r="B514">
        <v>116</v>
      </c>
      <c r="C514" t="s">
        <v>568</v>
      </c>
      <c r="D514" s="453">
        <v>46113</v>
      </c>
      <c r="E514">
        <v>20301</v>
      </c>
      <c r="F514" t="s">
        <v>4161</v>
      </c>
      <c r="G514">
        <v>2223</v>
      </c>
      <c r="H514">
        <v>9.5</v>
      </c>
      <c r="I514" t="s">
        <v>3888</v>
      </c>
      <c r="J514" t="s">
        <v>3469</v>
      </c>
      <c r="K514" t="s">
        <v>463</v>
      </c>
      <c r="L514">
        <v>18.899999999999999</v>
      </c>
      <c r="M514" s="453">
        <v>46099</v>
      </c>
      <c r="N514">
        <v>18.899999999999999</v>
      </c>
      <c r="O514">
        <v>18.899999999999999</v>
      </c>
      <c r="P514">
        <v>179.55</v>
      </c>
    </row>
    <row r="515" spans="1:16" x14ac:dyDescent="0.3">
      <c r="A515">
        <v>79599</v>
      </c>
      <c r="B515">
        <v>116</v>
      </c>
      <c r="C515" t="s">
        <v>568</v>
      </c>
      <c r="D515" s="453">
        <v>46113</v>
      </c>
      <c r="E515">
        <v>18545</v>
      </c>
      <c r="F515" t="s">
        <v>4099</v>
      </c>
      <c r="G515">
        <v>3134</v>
      </c>
      <c r="H515">
        <v>3.6</v>
      </c>
      <c r="I515" t="s">
        <v>3878</v>
      </c>
      <c r="J515" t="s">
        <v>3497</v>
      </c>
      <c r="K515" t="s">
        <v>463</v>
      </c>
      <c r="L515">
        <v>0</v>
      </c>
      <c r="M515" s="453">
        <v>46078</v>
      </c>
      <c r="N515">
        <v>47.9</v>
      </c>
      <c r="O515">
        <v>44</v>
      </c>
      <c r="P515">
        <v>172.44</v>
      </c>
    </row>
    <row r="516" spans="1:16" x14ac:dyDescent="0.3">
      <c r="A516">
        <v>79579</v>
      </c>
      <c r="B516">
        <v>116</v>
      </c>
      <c r="C516" t="s">
        <v>568</v>
      </c>
      <c r="D516" s="453">
        <v>46113</v>
      </c>
      <c r="E516">
        <v>27711</v>
      </c>
      <c r="F516" t="s">
        <v>3913</v>
      </c>
      <c r="G516">
        <v>7678</v>
      </c>
      <c r="H516">
        <v>5</v>
      </c>
      <c r="I516" t="s">
        <v>3872</v>
      </c>
      <c r="J516" t="s">
        <v>3469</v>
      </c>
      <c r="K516" t="s">
        <v>463</v>
      </c>
      <c r="L516">
        <v>0</v>
      </c>
      <c r="M516" s="453">
        <v>46036</v>
      </c>
      <c r="N516">
        <v>34.200000000000003</v>
      </c>
      <c r="O516">
        <v>34.200000000000003</v>
      </c>
      <c r="P516">
        <v>171</v>
      </c>
    </row>
    <row r="517" spans="1:16" x14ac:dyDescent="0.3">
      <c r="A517">
        <v>79522</v>
      </c>
      <c r="B517">
        <v>116</v>
      </c>
      <c r="C517" t="s">
        <v>568</v>
      </c>
      <c r="D517" s="453">
        <v>46113</v>
      </c>
      <c r="E517">
        <v>19139</v>
      </c>
      <c r="F517" t="s">
        <v>3887</v>
      </c>
      <c r="G517">
        <v>2836</v>
      </c>
      <c r="H517">
        <v>17</v>
      </c>
      <c r="I517" t="s">
        <v>3888</v>
      </c>
      <c r="J517" t="s">
        <v>3469</v>
      </c>
      <c r="K517" t="s">
        <v>463</v>
      </c>
      <c r="L517">
        <v>0</v>
      </c>
      <c r="M517" s="453">
        <v>46050</v>
      </c>
      <c r="N517">
        <v>9.9</v>
      </c>
      <c r="O517">
        <v>9.9</v>
      </c>
      <c r="P517">
        <v>168.3</v>
      </c>
    </row>
    <row r="518" spans="1:16" x14ac:dyDescent="0.3">
      <c r="A518">
        <v>79663</v>
      </c>
      <c r="B518">
        <v>116</v>
      </c>
      <c r="C518" t="s">
        <v>568</v>
      </c>
      <c r="D518" s="453">
        <v>46113</v>
      </c>
      <c r="E518">
        <v>18232</v>
      </c>
      <c r="F518" t="s">
        <v>4091</v>
      </c>
      <c r="G518">
        <v>3396</v>
      </c>
      <c r="H518">
        <v>1.6</v>
      </c>
      <c r="I518" t="s">
        <v>3878</v>
      </c>
      <c r="J518" t="s">
        <v>3497</v>
      </c>
      <c r="K518" t="s">
        <v>463</v>
      </c>
      <c r="L518">
        <v>0</v>
      </c>
      <c r="M518" s="453">
        <v>45845</v>
      </c>
      <c r="N518">
        <v>103.99</v>
      </c>
      <c r="O518">
        <v>101</v>
      </c>
      <c r="P518">
        <v>166.38</v>
      </c>
    </row>
    <row r="519" spans="1:16" x14ac:dyDescent="0.3">
      <c r="A519">
        <v>79610</v>
      </c>
      <c r="B519">
        <v>116</v>
      </c>
      <c r="C519" t="s">
        <v>568</v>
      </c>
      <c r="D519" s="453">
        <v>46113</v>
      </c>
      <c r="E519">
        <v>19579</v>
      </c>
      <c r="F519" t="s">
        <v>4020</v>
      </c>
      <c r="G519">
        <v>2640</v>
      </c>
      <c r="H519">
        <v>3</v>
      </c>
      <c r="I519" t="s">
        <v>3892</v>
      </c>
      <c r="J519" t="s">
        <v>3469</v>
      </c>
      <c r="K519" t="s">
        <v>463</v>
      </c>
      <c r="L519">
        <v>0</v>
      </c>
      <c r="M519" s="453">
        <v>45936</v>
      </c>
      <c r="N519">
        <v>55</v>
      </c>
      <c r="O519">
        <v>0</v>
      </c>
      <c r="P519">
        <v>165</v>
      </c>
    </row>
    <row r="520" spans="1:16" x14ac:dyDescent="0.3">
      <c r="A520">
        <v>79517</v>
      </c>
      <c r="B520">
        <v>116</v>
      </c>
      <c r="C520" t="s">
        <v>568</v>
      </c>
      <c r="D520" s="453">
        <v>46113</v>
      </c>
      <c r="E520">
        <v>25167</v>
      </c>
      <c r="F520" t="s">
        <v>3951</v>
      </c>
      <c r="G520">
        <v>5930</v>
      </c>
      <c r="H520">
        <v>20</v>
      </c>
      <c r="I520" t="s">
        <v>3892</v>
      </c>
      <c r="J520" t="s">
        <v>3469</v>
      </c>
      <c r="K520" t="s">
        <v>463</v>
      </c>
      <c r="L520">
        <v>0</v>
      </c>
      <c r="M520" s="453">
        <v>45840</v>
      </c>
      <c r="N520">
        <v>7.9</v>
      </c>
      <c r="O520">
        <v>7.9</v>
      </c>
      <c r="P520">
        <v>158</v>
      </c>
    </row>
    <row r="521" spans="1:16" x14ac:dyDescent="0.3">
      <c r="A521">
        <v>79553</v>
      </c>
      <c r="B521">
        <v>116</v>
      </c>
      <c r="C521" t="s">
        <v>568</v>
      </c>
      <c r="D521" s="453">
        <v>46113</v>
      </c>
      <c r="E521">
        <v>25720</v>
      </c>
      <c r="F521" t="s">
        <v>3926</v>
      </c>
      <c r="G521">
        <v>2197</v>
      </c>
      <c r="H521">
        <v>9</v>
      </c>
      <c r="I521" t="s">
        <v>3892</v>
      </c>
      <c r="J521" t="s">
        <v>3469</v>
      </c>
      <c r="K521" t="s">
        <v>463</v>
      </c>
      <c r="L521">
        <v>0</v>
      </c>
      <c r="N521">
        <v>0</v>
      </c>
      <c r="O521">
        <v>0</v>
      </c>
      <c r="P521">
        <v>152.1</v>
      </c>
    </row>
    <row r="522" spans="1:16" x14ac:dyDescent="0.3">
      <c r="A522">
        <v>79607</v>
      </c>
      <c r="B522">
        <v>116</v>
      </c>
      <c r="C522" t="s">
        <v>568</v>
      </c>
      <c r="D522" s="453">
        <v>46113</v>
      </c>
      <c r="E522">
        <v>19566</v>
      </c>
      <c r="F522" t="s">
        <v>3986</v>
      </c>
      <c r="G522">
        <v>2651</v>
      </c>
      <c r="H522">
        <v>3</v>
      </c>
      <c r="I522" t="s">
        <v>3892</v>
      </c>
      <c r="J522" t="s">
        <v>3469</v>
      </c>
      <c r="K522" t="s">
        <v>463</v>
      </c>
      <c r="L522">
        <v>0</v>
      </c>
      <c r="M522" s="453">
        <v>46055</v>
      </c>
      <c r="N522">
        <v>50</v>
      </c>
      <c r="O522">
        <v>50</v>
      </c>
      <c r="P522">
        <v>150</v>
      </c>
    </row>
    <row r="523" spans="1:16" x14ac:dyDescent="0.3">
      <c r="A523">
        <v>79582</v>
      </c>
      <c r="B523">
        <v>116</v>
      </c>
      <c r="C523" t="s">
        <v>568</v>
      </c>
      <c r="D523" s="453">
        <v>46113</v>
      </c>
      <c r="E523">
        <v>20458</v>
      </c>
      <c r="F523" t="s">
        <v>4121</v>
      </c>
      <c r="G523">
        <v>2164</v>
      </c>
      <c r="H523">
        <v>4.5</v>
      </c>
      <c r="I523" t="s">
        <v>3892</v>
      </c>
      <c r="J523" t="s">
        <v>3469</v>
      </c>
      <c r="K523" t="s">
        <v>463</v>
      </c>
      <c r="L523">
        <v>0</v>
      </c>
      <c r="M523" s="453">
        <v>46072</v>
      </c>
      <c r="N523">
        <v>32.9</v>
      </c>
      <c r="O523">
        <v>32.9</v>
      </c>
      <c r="P523">
        <v>148.05000000000001</v>
      </c>
    </row>
    <row r="524" spans="1:16" x14ac:dyDescent="0.3">
      <c r="A524">
        <v>79569</v>
      </c>
      <c r="B524">
        <v>116</v>
      </c>
      <c r="C524" t="s">
        <v>568</v>
      </c>
      <c r="D524" s="453">
        <v>46113</v>
      </c>
      <c r="E524">
        <v>18702</v>
      </c>
      <c r="F524" t="s">
        <v>4043</v>
      </c>
      <c r="G524">
        <v>3033</v>
      </c>
      <c r="H524">
        <v>5.0999999999999996</v>
      </c>
      <c r="I524" t="s">
        <v>3892</v>
      </c>
      <c r="J524" t="s">
        <v>3469</v>
      </c>
      <c r="K524" t="s">
        <v>463</v>
      </c>
      <c r="L524">
        <v>0</v>
      </c>
      <c r="M524" s="453">
        <v>45930</v>
      </c>
      <c r="N524">
        <v>28.9</v>
      </c>
      <c r="O524">
        <v>28.9</v>
      </c>
      <c r="P524">
        <v>147.38999999999999</v>
      </c>
    </row>
    <row r="525" spans="1:16" x14ac:dyDescent="0.3">
      <c r="A525">
        <v>79586</v>
      </c>
      <c r="B525">
        <v>116</v>
      </c>
      <c r="C525" t="s">
        <v>568</v>
      </c>
      <c r="D525" s="453">
        <v>46113</v>
      </c>
      <c r="E525">
        <v>18200</v>
      </c>
      <c r="F525" t="s">
        <v>4032</v>
      </c>
      <c r="G525">
        <v>3426</v>
      </c>
      <c r="H525">
        <v>4</v>
      </c>
      <c r="I525" t="s">
        <v>3878</v>
      </c>
      <c r="J525" t="s">
        <v>3497</v>
      </c>
      <c r="K525" t="s">
        <v>463</v>
      </c>
      <c r="L525">
        <v>0</v>
      </c>
      <c r="M525" s="453">
        <v>46078</v>
      </c>
      <c r="N525">
        <v>36.799999999999997</v>
      </c>
      <c r="O525">
        <v>36.799999999999997</v>
      </c>
      <c r="P525">
        <v>147.19999999999999</v>
      </c>
    </row>
    <row r="526" spans="1:16" x14ac:dyDescent="0.3">
      <c r="A526">
        <v>79512</v>
      </c>
      <c r="B526">
        <v>116</v>
      </c>
      <c r="C526" t="s">
        <v>568</v>
      </c>
      <c r="D526" s="453">
        <v>46113</v>
      </c>
      <c r="E526">
        <v>25195</v>
      </c>
      <c r="F526" t="s">
        <v>3874</v>
      </c>
      <c r="G526">
        <v>2363</v>
      </c>
      <c r="H526">
        <v>23</v>
      </c>
      <c r="I526" t="s">
        <v>3872</v>
      </c>
      <c r="J526" t="s">
        <v>3469</v>
      </c>
      <c r="K526" t="s">
        <v>463</v>
      </c>
      <c r="L526">
        <v>0</v>
      </c>
      <c r="M526" s="453">
        <v>45936</v>
      </c>
      <c r="N526">
        <v>6.3</v>
      </c>
      <c r="O526">
        <v>6.3</v>
      </c>
      <c r="P526">
        <v>144.9</v>
      </c>
    </row>
    <row r="527" spans="1:16" x14ac:dyDescent="0.3">
      <c r="A527">
        <v>79714</v>
      </c>
      <c r="B527">
        <v>116</v>
      </c>
      <c r="C527" t="s">
        <v>568</v>
      </c>
      <c r="D527" s="453">
        <v>46113</v>
      </c>
      <c r="E527">
        <v>19405</v>
      </c>
      <c r="F527" t="s">
        <v>4097</v>
      </c>
      <c r="G527">
        <v>2761</v>
      </c>
      <c r="H527">
        <v>0.9</v>
      </c>
      <c r="I527" t="s">
        <v>3892</v>
      </c>
      <c r="J527" t="s">
        <v>3469</v>
      </c>
      <c r="K527" t="s">
        <v>463</v>
      </c>
      <c r="L527">
        <v>0</v>
      </c>
      <c r="M527" s="453">
        <v>46051</v>
      </c>
      <c r="N527">
        <v>151.9</v>
      </c>
      <c r="O527">
        <v>149.1</v>
      </c>
      <c r="P527">
        <v>136.71</v>
      </c>
    </row>
    <row r="528" spans="1:16" x14ac:dyDescent="0.3">
      <c r="A528">
        <v>79651</v>
      </c>
      <c r="B528">
        <v>116</v>
      </c>
      <c r="C528" t="s">
        <v>568</v>
      </c>
      <c r="D528" s="453">
        <v>46113</v>
      </c>
      <c r="E528">
        <v>20624</v>
      </c>
      <c r="F528" t="s">
        <v>3982</v>
      </c>
      <c r="G528">
        <v>2116</v>
      </c>
      <c r="H528">
        <v>2</v>
      </c>
      <c r="I528" t="s">
        <v>3966</v>
      </c>
      <c r="J528" t="s">
        <v>3469</v>
      </c>
      <c r="K528" t="s">
        <v>463</v>
      </c>
      <c r="L528">
        <v>68.349999999999994</v>
      </c>
      <c r="M528" s="453">
        <v>46111</v>
      </c>
      <c r="N528">
        <v>72.900000000000006</v>
      </c>
      <c r="O528">
        <v>72.900000000000006</v>
      </c>
      <c r="P528">
        <v>136.69999999999999</v>
      </c>
    </row>
    <row r="529" spans="1:16" x14ac:dyDescent="0.3">
      <c r="A529">
        <v>79692</v>
      </c>
      <c r="B529">
        <v>116</v>
      </c>
      <c r="C529" t="s">
        <v>568</v>
      </c>
      <c r="D529" s="453">
        <v>46113</v>
      </c>
      <c r="E529">
        <v>18394</v>
      </c>
      <c r="F529" t="s">
        <v>4044</v>
      </c>
      <c r="G529">
        <v>3246</v>
      </c>
      <c r="H529">
        <v>1</v>
      </c>
      <c r="I529" t="s">
        <v>3878</v>
      </c>
      <c r="J529" t="s">
        <v>3497</v>
      </c>
      <c r="K529" t="s">
        <v>463</v>
      </c>
      <c r="L529">
        <v>0</v>
      </c>
      <c r="M529" s="453">
        <v>45978</v>
      </c>
      <c r="N529">
        <v>132</v>
      </c>
      <c r="O529">
        <v>132</v>
      </c>
      <c r="P529">
        <v>132</v>
      </c>
    </row>
    <row r="530" spans="1:16" x14ac:dyDescent="0.3">
      <c r="A530">
        <v>79564</v>
      </c>
      <c r="B530">
        <v>116</v>
      </c>
      <c r="C530" t="s">
        <v>568</v>
      </c>
      <c r="D530" s="453">
        <v>46113</v>
      </c>
      <c r="E530">
        <v>20234</v>
      </c>
      <c r="F530" t="s">
        <v>3979</v>
      </c>
      <c r="G530">
        <v>2245</v>
      </c>
      <c r="H530">
        <v>6</v>
      </c>
      <c r="I530" t="s">
        <v>3892</v>
      </c>
      <c r="J530" t="s">
        <v>3469</v>
      </c>
      <c r="K530" t="s">
        <v>463</v>
      </c>
      <c r="L530">
        <v>21.99</v>
      </c>
      <c r="M530" s="453">
        <v>46105</v>
      </c>
      <c r="N530">
        <v>21.99</v>
      </c>
      <c r="O530">
        <v>16.29</v>
      </c>
      <c r="P530">
        <v>131.94</v>
      </c>
    </row>
    <row r="531" spans="1:16" x14ac:dyDescent="0.3">
      <c r="A531">
        <v>79595</v>
      </c>
      <c r="B531">
        <v>116</v>
      </c>
      <c r="C531" t="s">
        <v>568</v>
      </c>
      <c r="D531" s="453">
        <v>46113</v>
      </c>
      <c r="E531">
        <v>24200</v>
      </c>
      <c r="F531" t="s">
        <v>3975</v>
      </c>
      <c r="G531">
        <v>3039</v>
      </c>
      <c r="H531">
        <v>4</v>
      </c>
      <c r="I531" t="s">
        <v>3892</v>
      </c>
      <c r="J531" t="s">
        <v>3469</v>
      </c>
      <c r="K531" t="s">
        <v>463</v>
      </c>
      <c r="L531">
        <v>32.9</v>
      </c>
      <c r="M531" s="453">
        <v>46105</v>
      </c>
      <c r="N531">
        <v>32.9</v>
      </c>
      <c r="O531">
        <v>32.9</v>
      </c>
      <c r="P531">
        <v>131.6</v>
      </c>
    </row>
    <row r="532" spans="1:16" x14ac:dyDescent="0.3">
      <c r="A532">
        <v>79602</v>
      </c>
      <c r="B532">
        <v>116</v>
      </c>
      <c r="C532" t="s">
        <v>568</v>
      </c>
      <c r="D532" s="453">
        <v>46113</v>
      </c>
      <c r="E532">
        <v>18273</v>
      </c>
      <c r="F532" t="s">
        <v>4031</v>
      </c>
      <c r="G532">
        <v>3357</v>
      </c>
      <c r="H532">
        <v>3.5</v>
      </c>
      <c r="I532" t="s">
        <v>3878</v>
      </c>
      <c r="J532" t="s">
        <v>3497</v>
      </c>
      <c r="K532" t="s">
        <v>463</v>
      </c>
      <c r="L532">
        <v>0</v>
      </c>
      <c r="M532" s="453">
        <v>46007</v>
      </c>
      <c r="N532">
        <v>37</v>
      </c>
      <c r="O532">
        <v>39</v>
      </c>
      <c r="P532">
        <v>129.5</v>
      </c>
    </row>
    <row r="533" spans="1:16" x14ac:dyDescent="0.3">
      <c r="A533">
        <v>79597</v>
      </c>
      <c r="B533">
        <v>116</v>
      </c>
      <c r="C533" t="s">
        <v>568</v>
      </c>
      <c r="D533" s="453">
        <v>46113</v>
      </c>
      <c r="E533">
        <v>18547</v>
      </c>
      <c r="F533" t="s">
        <v>3962</v>
      </c>
      <c r="G533">
        <v>3132</v>
      </c>
      <c r="H533">
        <v>3.7</v>
      </c>
      <c r="I533" t="s">
        <v>3878</v>
      </c>
      <c r="J533" t="s">
        <v>3497</v>
      </c>
      <c r="K533" t="s">
        <v>463</v>
      </c>
      <c r="L533">
        <v>0</v>
      </c>
      <c r="M533" s="453">
        <v>45770</v>
      </c>
      <c r="N533">
        <v>34.74</v>
      </c>
      <c r="O533">
        <v>37.5</v>
      </c>
      <c r="P533">
        <v>128.54</v>
      </c>
    </row>
    <row r="534" spans="1:16" x14ac:dyDescent="0.3">
      <c r="A534">
        <v>79573</v>
      </c>
      <c r="B534">
        <v>116</v>
      </c>
      <c r="C534" t="s">
        <v>568</v>
      </c>
      <c r="D534" s="453">
        <v>46113</v>
      </c>
      <c r="E534">
        <v>17903</v>
      </c>
      <c r="F534" t="s">
        <v>3971</v>
      </c>
      <c r="G534">
        <v>3658</v>
      </c>
      <c r="H534">
        <v>5</v>
      </c>
      <c r="I534" t="s">
        <v>3888</v>
      </c>
      <c r="J534" t="s">
        <v>3497</v>
      </c>
      <c r="K534" t="s">
        <v>463</v>
      </c>
      <c r="L534">
        <v>25.53</v>
      </c>
      <c r="M534" s="453">
        <v>46093</v>
      </c>
      <c r="N534">
        <v>25.53</v>
      </c>
      <c r="O534">
        <v>23</v>
      </c>
      <c r="P534">
        <v>127.65</v>
      </c>
    </row>
    <row r="535" spans="1:16" x14ac:dyDescent="0.3">
      <c r="A535">
        <v>79601</v>
      </c>
      <c r="B535">
        <v>116</v>
      </c>
      <c r="C535" t="s">
        <v>568</v>
      </c>
      <c r="D535" s="453">
        <v>46113</v>
      </c>
      <c r="E535">
        <v>18272</v>
      </c>
      <c r="F535" t="s">
        <v>4046</v>
      </c>
      <c r="G535">
        <v>3358</v>
      </c>
      <c r="H535">
        <v>3.5</v>
      </c>
      <c r="I535" t="s">
        <v>3878</v>
      </c>
      <c r="J535" t="s">
        <v>3497</v>
      </c>
      <c r="K535" t="s">
        <v>463</v>
      </c>
      <c r="L535">
        <v>0</v>
      </c>
      <c r="M535" s="453">
        <v>46014</v>
      </c>
      <c r="N535">
        <v>36.31</v>
      </c>
      <c r="O535">
        <v>36</v>
      </c>
      <c r="P535">
        <v>127.08</v>
      </c>
    </row>
    <row r="536" spans="1:16" x14ac:dyDescent="0.3">
      <c r="A536">
        <v>79612</v>
      </c>
      <c r="B536">
        <v>116</v>
      </c>
      <c r="C536" t="s">
        <v>568</v>
      </c>
      <c r="D536" s="453">
        <v>46113</v>
      </c>
      <c r="E536">
        <v>20057</v>
      </c>
      <c r="F536" t="s">
        <v>3967</v>
      </c>
      <c r="G536">
        <v>2324</v>
      </c>
      <c r="H536">
        <v>3</v>
      </c>
      <c r="I536" t="s">
        <v>3872</v>
      </c>
      <c r="J536" t="s">
        <v>3469</v>
      </c>
      <c r="K536" t="s">
        <v>463</v>
      </c>
      <c r="L536">
        <v>42.18</v>
      </c>
      <c r="M536" s="453">
        <v>46092</v>
      </c>
      <c r="N536">
        <v>42.18</v>
      </c>
      <c r="O536">
        <v>42.18</v>
      </c>
      <c r="P536">
        <v>126.54</v>
      </c>
    </row>
    <row r="537" spans="1:16" x14ac:dyDescent="0.3">
      <c r="A537">
        <v>79621</v>
      </c>
      <c r="B537">
        <v>116</v>
      </c>
      <c r="C537" t="s">
        <v>568</v>
      </c>
      <c r="D537" s="453">
        <v>46113</v>
      </c>
      <c r="E537">
        <v>24116</v>
      </c>
      <c r="F537" t="s">
        <v>3963</v>
      </c>
      <c r="G537">
        <v>2924</v>
      </c>
      <c r="H537">
        <v>3</v>
      </c>
      <c r="I537" t="s">
        <v>3892</v>
      </c>
      <c r="J537" t="s">
        <v>3469</v>
      </c>
      <c r="K537" t="s">
        <v>463</v>
      </c>
      <c r="L537">
        <v>41.9</v>
      </c>
      <c r="M537" s="453">
        <v>46098</v>
      </c>
      <c r="N537">
        <v>41.9</v>
      </c>
      <c r="O537">
        <v>41.9</v>
      </c>
      <c r="P537">
        <v>125.7</v>
      </c>
    </row>
    <row r="538" spans="1:16" x14ac:dyDescent="0.3">
      <c r="A538">
        <v>79592</v>
      </c>
      <c r="B538">
        <v>116</v>
      </c>
      <c r="C538" t="s">
        <v>568</v>
      </c>
      <c r="D538" s="453">
        <v>46113</v>
      </c>
      <c r="E538">
        <v>20809</v>
      </c>
      <c r="F538" t="s">
        <v>4005</v>
      </c>
      <c r="G538">
        <v>2074</v>
      </c>
      <c r="H538">
        <v>4</v>
      </c>
      <c r="I538" t="s">
        <v>3888</v>
      </c>
      <c r="J538" t="s">
        <v>3469</v>
      </c>
      <c r="K538" t="s">
        <v>463</v>
      </c>
      <c r="L538">
        <v>31.15</v>
      </c>
      <c r="M538" s="453">
        <v>46100</v>
      </c>
      <c r="N538">
        <v>29.9</v>
      </c>
      <c r="O538">
        <v>29.92</v>
      </c>
      <c r="P538">
        <v>124.6</v>
      </c>
    </row>
    <row r="539" spans="1:16" x14ac:dyDescent="0.3">
      <c r="A539">
        <v>79519</v>
      </c>
      <c r="B539">
        <v>116</v>
      </c>
      <c r="C539" t="s">
        <v>568</v>
      </c>
      <c r="D539" s="453">
        <v>46113</v>
      </c>
      <c r="E539">
        <v>19539</v>
      </c>
      <c r="F539" t="s">
        <v>4133</v>
      </c>
      <c r="G539">
        <v>2677</v>
      </c>
      <c r="H539">
        <v>18</v>
      </c>
      <c r="I539" t="s">
        <v>3892</v>
      </c>
      <c r="J539" t="s">
        <v>3469</v>
      </c>
      <c r="K539" t="s">
        <v>463</v>
      </c>
      <c r="L539">
        <v>6.86</v>
      </c>
      <c r="M539" s="453">
        <v>46097</v>
      </c>
      <c r="N539">
        <v>6.8</v>
      </c>
      <c r="O539">
        <v>7.25</v>
      </c>
      <c r="P539">
        <v>123.48</v>
      </c>
    </row>
    <row r="540" spans="1:16" x14ac:dyDescent="0.3">
      <c r="A540">
        <v>79687</v>
      </c>
      <c r="B540">
        <v>116</v>
      </c>
      <c r="C540" t="s">
        <v>568</v>
      </c>
      <c r="D540" s="453">
        <v>46113</v>
      </c>
      <c r="E540">
        <v>18129</v>
      </c>
      <c r="F540" t="s">
        <v>4092</v>
      </c>
      <c r="G540">
        <v>3486</v>
      </c>
      <c r="H540">
        <v>1</v>
      </c>
      <c r="I540" t="s">
        <v>3878</v>
      </c>
      <c r="J540" t="s">
        <v>3497</v>
      </c>
      <c r="K540" t="s">
        <v>463</v>
      </c>
      <c r="L540">
        <v>0</v>
      </c>
      <c r="M540" s="453">
        <v>46058</v>
      </c>
      <c r="N540">
        <v>122.36</v>
      </c>
      <c r="O540">
        <v>121.05</v>
      </c>
      <c r="P540">
        <v>122.36</v>
      </c>
    </row>
    <row r="541" spans="1:16" x14ac:dyDescent="0.3">
      <c r="A541">
        <v>79506</v>
      </c>
      <c r="B541">
        <v>116</v>
      </c>
      <c r="C541" t="s">
        <v>568</v>
      </c>
      <c r="D541" s="453">
        <v>46113</v>
      </c>
      <c r="E541">
        <v>27079</v>
      </c>
      <c r="F541" t="s">
        <v>3891</v>
      </c>
      <c r="G541">
        <v>2497</v>
      </c>
      <c r="H541">
        <v>37</v>
      </c>
      <c r="I541" t="s">
        <v>3892</v>
      </c>
      <c r="J541" t="s">
        <v>3469</v>
      </c>
      <c r="K541" t="s">
        <v>463</v>
      </c>
      <c r="L541">
        <v>0</v>
      </c>
      <c r="M541" s="453">
        <v>45813</v>
      </c>
      <c r="N541">
        <v>3.25</v>
      </c>
      <c r="O541">
        <v>3.25</v>
      </c>
      <c r="P541">
        <v>120.25</v>
      </c>
    </row>
    <row r="542" spans="1:16" x14ac:dyDescent="0.3">
      <c r="A542">
        <v>79526</v>
      </c>
      <c r="B542">
        <v>116</v>
      </c>
      <c r="C542" t="s">
        <v>568</v>
      </c>
      <c r="D542" s="453">
        <v>46113</v>
      </c>
      <c r="E542">
        <v>20985</v>
      </c>
      <c r="F542" t="s">
        <v>3914</v>
      </c>
      <c r="G542">
        <v>2011</v>
      </c>
      <c r="H542">
        <v>15</v>
      </c>
      <c r="I542" t="s">
        <v>3872</v>
      </c>
      <c r="J542" t="s">
        <v>3469</v>
      </c>
      <c r="K542" t="s">
        <v>463</v>
      </c>
      <c r="L542">
        <v>0</v>
      </c>
      <c r="M542" s="453">
        <v>45916</v>
      </c>
      <c r="N542">
        <v>7.89</v>
      </c>
      <c r="O542">
        <v>8</v>
      </c>
      <c r="P542">
        <v>118.35</v>
      </c>
    </row>
    <row r="543" spans="1:16" x14ac:dyDescent="0.3">
      <c r="A543">
        <v>79515</v>
      </c>
      <c r="B543">
        <v>116</v>
      </c>
      <c r="C543" t="s">
        <v>568</v>
      </c>
      <c r="D543" s="453">
        <v>46113</v>
      </c>
      <c r="E543">
        <v>19428</v>
      </c>
      <c r="F543" t="s">
        <v>4169</v>
      </c>
      <c r="G543">
        <v>2758</v>
      </c>
      <c r="H543">
        <v>21</v>
      </c>
      <c r="I543" t="s">
        <v>3872</v>
      </c>
      <c r="J543" t="s">
        <v>3469</v>
      </c>
      <c r="K543" t="s">
        <v>463</v>
      </c>
      <c r="L543">
        <v>5.6</v>
      </c>
      <c r="M543" s="453">
        <v>46092</v>
      </c>
      <c r="N543">
        <v>5.6</v>
      </c>
      <c r="O543">
        <v>5.6</v>
      </c>
      <c r="P543">
        <v>117.6</v>
      </c>
    </row>
    <row r="544" spans="1:16" x14ac:dyDescent="0.3">
      <c r="A544">
        <v>79678</v>
      </c>
      <c r="B544">
        <v>116</v>
      </c>
      <c r="C544" t="s">
        <v>568</v>
      </c>
      <c r="D544" s="453">
        <v>46113</v>
      </c>
      <c r="E544">
        <v>18233</v>
      </c>
      <c r="F544" t="s">
        <v>4090</v>
      </c>
      <c r="G544">
        <v>3395</v>
      </c>
      <c r="H544">
        <v>1.2</v>
      </c>
      <c r="I544" t="s">
        <v>3878</v>
      </c>
      <c r="J544" t="s">
        <v>3497</v>
      </c>
      <c r="K544" t="s">
        <v>463</v>
      </c>
      <c r="L544">
        <v>0</v>
      </c>
      <c r="M544" s="453">
        <v>46035</v>
      </c>
      <c r="N544">
        <v>98</v>
      </c>
      <c r="O544">
        <v>99.9</v>
      </c>
      <c r="P544">
        <v>117.6</v>
      </c>
    </row>
    <row r="545" spans="1:16" x14ac:dyDescent="0.3">
      <c r="A545">
        <v>79713</v>
      </c>
      <c r="B545">
        <v>116</v>
      </c>
      <c r="C545" t="s">
        <v>568</v>
      </c>
      <c r="D545" s="453">
        <v>46113</v>
      </c>
      <c r="E545">
        <v>24599</v>
      </c>
      <c r="F545" t="s">
        <v>3897</v>
      </c>
      <c r="G545">
        <v>5676</v>
      </c>
      <c r="H545">
        <v>1</v>
      </c>
      <c r="I545" t="s">
        <v>3888</v>
      </c>
      <c r="J545" t="s">
        <v>3497</v>
      </c>
      <c r="K545" t="s">
        <v>463</v>
      </c>
      <c r="L545">
        <v>116.25</v>
      </c>
      <c r="M545" s="453">
        <v>46112</v>
      </c>
      <c r="N545">
        <v>118.33</v>
      </c>
      <c r="O545">
        <v>118.33</v>
      </c>
      <c r="P545">
        <v>116.25</v>
      </c>
    </row>
    <row r="546" spans="1:16" x14ac:dyDescent="0.3">
      <c r="A546">
        <v>79671</v>
      </c>
      <c r="B546">
        <v>116</v>
      </c>
      <c r="C546" t="s">
        <v>568</v>
      </c>
      <c r="D546" s="453">
        <v>46113</v>
      </c>
      <c r="E546">
        <v>20757</v>
      </c>
      <c r="F546" t="s">
        <v>4050</v>
      </c>
      <c r="G546">
        <v>2086</v>
      </c>
      <c r="H546">
        <v>1.5</v>
      </c>
      <c r="I546" t="s">
        <v>3966</v>
      </c>
      <c r="J546" t="s">
        <v>3469</v>
      </c>
      <c r="K546" t="s">
        <v>463</v>
      </c>
      <c r="L546">
        <v>76.900000000000006</v>
      </c>
      <c r="M546" s="453">
        <v>46111</v>
      </c>
      <c r="N546">
        <v>76.900000000000006</v>
      </c>
      <c r="O546">
        <v>76.900000000000006</v>
      </c>
      <c r="P546">
        <v>115.35</v>
      </c>
    </row>
    <row r="547" spans="1:16" x14ac:dyDescent="0.3">
      <c r="A547">
        <v>79585</v>
      </c>
      <c r="B547">
        <v>116</v>
      </c>
      <c r="C547" t="s">
        <v>568</v>
      </c>
      <c r="D547" s="453">
        <v>46113</v>
      </c>
      <c r="E547">
        <v>17895</v>
      </c>
      <c r="F547" t="s">
        <v>4137</v>
      </c>
      <c r="G547">
        <v>3665</v>
      </c>
      <c r="H547">
        <v>4</v>
      </c>
      <c r="I547" t="s">
        <v>3888</v>
      </c>
      <c r="J547" t="s">
        <v>3497</v>
      </c>
      <c r="K547" t="s">
        <v>463</v>
      </c>
      <c r="L547">
        <v>28.32</v>
      </c>
      <c r="M547" s="453">
        <v>46091</v>
      </c>
      <c r="N547">
        <v>28.32</v>
      </c>
      <c r="O547">
        <v>26.57</v>
      </c>
      <c r="P547">
        <v>113.28</v>
      </c>
    </row>
    <row r="548" spans="1:16" x14ac:dyDescent="0.3">
      <c r="A548">
        <v>79600</v>
      </c>
      <c r="B548">
        <v>116</v>
      </c>
      <c r="C548" t="s">
        <v>568</v>
      </c>
      <c r="D548" s="453">
        <v>46113</v>
      </c>
      <c r="E548">
        <v>17886</v>
      </c>
      <c r="F548" t="s">
        <v>3935</v>
      </c>
      <c r="G548">
        <v>3670</v>
      </c>
      <c r="H548">
        <v>3.5</v>
      </c>
      <c r="I548" t="s">
        <v>3888</v>
      </c>
      <c r="J548" t="s">
        <v>3497</v>
      </c>
      <c r="K548" t="s">
        <v>463</v>
      </c>
      <c r="L548">
        <v>0</v>
      </c>
      <c r="M548" s="453">
        <v>46056</v>
      </c>
      <c r="N548">
        <v>0</v>
      </c>
      <c r="O548">
        <v>32.21</v>
      </c>
      <c r="P548">
        <v>112.74</v>
      </c>
    </row>
    <row r="549" spans="1:16" x14ac:dyDescent="0.3">
      <c r="A549">
        <v>79558</v>
      </c>
      <c r="B549">
        <v>116</v>
      </c>
      <c r="C549" t="s">
        <v>568</v>
      </c>
      <c r="D549" s="453">
        <v>46113</v>
      </c>
      <c r="E549">
        <v>19017</v>
      </c>
      <c r="F549" t="s">
        <v>4172</v>
      </c>
      <c r="G549">
        <v>2893</v>
      </c>
      <c r="H549">
        <v>7.5</v>
      </c>
      <c r="I549" t="s">
        <v>3892</v>
      </c>
      <c r="J549" t="s">
        <v>3469</v>
      </c>
      <c r="K549" t="s">
        <v>463</v>
      </c>
      <c r="L549">
        <v>14.99</v>
      </c>
      <c r="M549" s="453">
        <v>46091</v>
      </c>
      <c r="N549">
        <v>14.99</v>
      </c>
      <c r="O549">
        <v>13.6</v>
      </c>
      <c r="P549">
        <v>112.42</v>
      </c>
    </row>
    <row r="550" spans="1:16" x14ac:dyDescent="0.3">
      <c r="A550">
        <v>79535</v>
      </c>
      <c r="B550">
        <v>116</v>
      </c>
      <c r="C550" t="s">
        <v>568</v>
      </c>
      <c r="D550" s="453">
        <v>46113</v>
      </c>
      <c r="E550">
        <v>20661</v>
      </c>
      <c r="F550" t="s">
        <v>3919</v>
      </c>
      <c r="G550">
        <v>2110</v>
      </c>
      <c r="H550">
        <v>13</v>
      </c>
      <c r="I550" t="s">
        <v>3872</v>
      </c>
      <c r="J550" t="s">
        <v>3469</v>
      </c>
      <c r="K550" t="s">
        <v>463</v>
      </c>
      <c r="L550">
        <v>8.51</v>
      </c>
      <c r="M550" s="453">
        <v>46106</v>
      </c>
      <c r="N550">
        <v>8.2899999999999991</v>
      </c>
      <c r="O550">
        <v>8.39</v>
      </c>
      <c r="P550">
        <v>110.63</v>
      </c>
    </row>
    <row r="551" spans="1:16" x14ac:dyDescent="0.3">
      <c r="A551">
        <v>79580</v>
      </c>
      <c r="B551">
        <v>116</v>
      </c>
      <c r="C551" t="s">
        <v>568</v>
      </c>
      <c r="D551" s="453">
        <v>46113</v>
      </c>
      <c r="E551">
        <v>18666</v>
      </c>
      <c r="F551" t="s">
        <v>4003</v>
      </c>
      <c r="G551">
        <v>3053</v>
      </c>
      <c r="H551">
        <v>4.5999999999999996</v>
      </c>
      <c r="I551" t="s">
        <v>3892</v>
      </c>
      <c r="J551" t="s">
        <v>3469</v>
      </c>
      <c r="K551" t="s">
        <v>463</v>
      </c>
      <c r="L551">
        <v>23.99</v>
      </c>
      <c r="M551" s="453">
        <v>46086</v>
      </c>
      <c r="N551">
        <v>23.99</v>
      </c>
      <c r="O551">
        <v>23.99</v>
      </c>
      <c r="P551">
        <v>110.35</v>
      </c>
    </row>
    <row r="552" spans="1:16" x14ac:dyDescent="0.3">
      <c r="A552">
        <v>79537</v>
      </c>
      <c r="B552">
        <v>116</v>
      </c>
      <c r="C552" t="s">
        <v>568</v>
      </c>
      <c r="D552" s="453">
        <v>46113</v>
      </c>
      <c r="E552">
        <v>20246</v>
      </c>
      <c r="F552" t="s">
        <v>3911</v>
      </c>
      <c r="G552">
        <v>2242</v>
      </c>
      <c r="H552">
        <v>12</v>
      </c>
      <c r="I552" t="s">
        <v>3872</v>
      </c>
      <c r="J552" t="s">
        <v>3469</v>
      </c>
      <c r="K552" t="s">
        <v>463</v>
      </c>
      <c r="L552">
        <v>9.16</v>
      </c>
      <c r="M552" s="453">
        <v>46106</v>
      </c>
      <c r="N552">
        <v>9.59</v>
      </c>
      <c r="O552">
        <v>9.59</v>
      </c>
      <c r="P552">
        <v>109.92</v>
      </c>
    </row>
    <row r="553" spans="1:16" x14ac:dyDescent="0.3">
      <c r="A553">
        <v>79625</v>
      </c>
      <c r="B553">
        <v>116</v>
      </c>
      <c r="C553" t="s">
        <v>568</v>
      </c>
      <c r="D553" s="453">
        <v>46113</v>
      </c>
      <c r="E553">
        <v>20456</v>
      </c>
      <c r="F553" t="s">
        <v>4000</v>
      </c>
      <c r="G553">
        <v>2166</v>
      </c>
      <c r="H553">
        <v>2.8</v>
      </c>
      <c r="I553" t="s">
        <v>3892</v>
      </c>
      <c r="J553" t="s">
        <v>3469</v>
      </c>
      <c r="K553" t="s">
        <v>463</v>
      </c>
      <c r="L553">
        <v>39</v>
      </c>
      <c r="M553" s="453">
        <v>46091</v>
      </c>
      <c r="N553">
        <v>39</v>
      </c>
      <c r="O553">
        <v>39</v>
      </c>
      <c r="P553">
        <v>109.2</v>
      </c>
    </row>
    <row r="554" spans="1:16" x14ac:dyDescent="0.3">
      <c r="A554">
        <v>79552</v>
      </c>
      <c r="B554">
        <v>116</v>
      </c>
      <c r="C554" t="s">
        <v>568</v>
      </c>
      <c r="D554" s="453">
        <v>46113</v>
      </c>
      <c r="E554">
        <v>24351</v>
      </c>
      <c r="F554" t="s">
        <v>3912</v>
      </c>
      <c r="G554">
        <v>2287</v>
      </c>
      <c r="H554">
        <v>9</v>
      </c>
      <c r="I554" t="s">
        <v>3872</v>
      </c>
      <c r="J554" t="s">
        <v>3469</v>
      </c>
      <c r="K554" t="s">
        <v>463</v>
      </c>
      <c r="L554">
        <v>12</v>
      </c>
      <c r="M554" s="453">
        <v>46099</v>
      </c>
      <c r="N554">
        <v>12</v>
      </c>
      <c r="O554">
        <v>17.14</v>
      </c>
      <c r="P554">
        <v>108</v>
      </c>
    </row>
    <row r="555" spans="1:16" x14ac:dyDescent="0.3">
      <c r="A555">
        <v>79617</v>
      </c>
      <c r="B555">
        <v>116</v>
      </c>
      <c r="C555" t="s">
        <v>568</v>
      </c>
      <c r="D555" s="453">
        <v>46113</v>
      </c>
      <c r="E555">
        <v>21166</v>
      </c>
      <c r="F555" t="s">
        <v>4001</v>
      </c>
      <c r="G555">
        <v>1940</v>
      </c>
      <c r="H555">
        <v>3</v>
      </c>
      <c r="I555" t="s">
        <v>3872</v>
      </c>
      <c r="J555" t="s">
        <v>3469</v>
      </c>
      <c r="K555" t="s">
        <v>463</v>
      </c>
      <c r="L555">
        <v>0</v>
      </c>
      <c r="M555" s="453">
        <v>45615</v>
      </c>
      <c r="N555">
        <v>36</v>
      </c>
      <c r="O555">
        <v>36</v>
      </c>
      <c r="P555">
        <v>108</v>
      </c>
    </row>
    <row r="556" spans="1:16" x14ac:dyDescent="0.3">
      <c r="A556">
        <v>79688</v>
      </c>
      <c r="B556">
        <v>116</v>
      </c>
      <c r="C556" t="s">
        <v>568</v>
      </c>
      <c r="D556" s="453">
        <v>46113</v>
      </c>
      <c r="E556">
        <v>18312</v>
      </c>
      <c r="F556" t="s">
        <v>4089</v>
      </c>
      <c r="G556">
        <v>3321</v>
      </c>
      <c r="H556">
        <v>1</v>
      </c>
      <c r="I556" t="s">
        <v>3878</v>
      </c>
      <c r="J556" t="s">
        <v>3497</v>
      </c>
      <c r="K556" t="s">
        <v>463</v>
      </c>
      <c r="L556">
        <v>0</v>
      </c>
      <c r="M556" s="453">
        <v>45793</v>
      </c>
      <c r="N556">
        <v>105.9</v>
      </c>
      <c r="O556">
        <v>93.9</v>
      </c>
      <c r="P556">
        <v>105.9</v>
      </c>
    </row>
    <row r="557" spans="1:16" x14ac:dyDescent="0.3">
      <c r="A557">
        <v>79690</v>
      </c>
      <c r="B557">
        <v>116</v>
      </c>
      <c r="C557" t="s">
        <v>568</v>
      </c>
      <c r="D557" s="453">
        <v>46113</v>
      </c>
      <c r="E557">
        <v>18327</v>
      </c>
      <c r="F557" t="s">
        <v>4087</v>
      </c>
      <c r="G557">
        <v>3306</v>
      </c>
      <c r="H557">
        <v>1</v>
      </c>
      <c r="I557" t="s">
        <v>3878</v>
      </c>
      <c r="J557" t="s">
        <v>3497</v>
      </c>
      <c r="K557" t="s">
        <v>463</v>
      </c>
      <c r="L557">
        <v>0</v>
      </c>
      <c r="M557" s="453">
        <v>45967</v>
      </c>
      <c r="N557">
        <v>105.36</v>
      </c>
      <c r="O557">
        <v>105.9</v>
      </c>
      <c r="P557">
        <v>105.36</v>
      </c>
    </row>
    <row r="558" spans="1:16" x14ac:dyDescent="0.3">
      <c r="A558">
        <v>79575</v>
      </c>
      <c r="B558">
        <v>116</v>
      </c>
      <c r="C558" t="s">
        <v>568</v>
      </c>
      <c r="D558" s="453">
        <v>46113</v>
      </c>
      <c r="E558">
        <v>20500</v>
      </c>
      <c r="F558" t="s">
        <v>3954</v>
      </c>
      <c r="G558">
        <v>2154</v>
      </c>
      <c r="H558">
        <v>5</v>
      </c>
      <c r="I558" t="s">
        <v>3872</v>
      </c>
      <c r="J558" t="s">
        <v>3469</v>
      </c>
      <c r="K558" t="s">
        <v>463</v>
      </c>
      <c r="L558">
        <v>0</v>
      </c>
      <c r="M558" s="453">
        <v>45917</v>
      </c>
      <c r="N558">
        <v>20.8</v>
      </c>
      <c r="O558">
        <v>21.9</v>
      </c>
      <c r="P558">
        <v>104</v>
      </c>
    </row>
    <row r="559" spans="1:16" x14ac:dyDescent="0.3">
      <c r="A559">
        <v>79668</v>
      </c>
      <c r="B559">
        <v>116</v>
      </c>
      <c r="C559" t="s">
        <v>568</v>
      </c>
      <c r="D559" s="453">
        <v>46113</v>
      </c>
      <c r="E559">
        <v>20466</v>
      </c>
      <c r="F559" t="s">
        <v>4098</v>
      </c>
      <c r="G559">
        <v>2160</v>
      </c>
      <c r="H559">
        <v>1.5</v>
      </c>
      <c r="I559" t="s">
        <v>3892</v>
      </c>
      <c r="J559" t="s">
        <v>3469</v>
      </c>
      <c r="K559" t="s">
        <v>463</v>
      </c>
      <c r="L559">
        <v>68</v>
      </c>
      <c r="M559" s="453">
        <v>46105</v>
      </c>
      <c r="N559">
        <v>68</v>
      </c>
      <c r="O559">
        <v>68</v>
      </c>
      <c r="P559">
        <v>102</v>
      </c>
    </row>
    <row r="560" spans="1:16" x14ac:dyDescent="0.3">
      <c r="A560">
        <v>79554</v>
      </c>
      <c r="B560">
        <v>116</v>
      </c>
      <c r="C560" t="s">
        <v>568</v>
      </c>
      <c r="D560" s="453">
        <v>46113</v>
      </c>
      <c r="E560">
        <v>20227</v>
      </c>
      <c r="F560" t="s">
        <v>3968</v>
      </c>
      <c r="G560">
        <v>2248</v>
      </c>
      <c r="H560">
        <v>8</v>
      </c>
      <c r="I560" t="s">
        <v>3888</v>
      </c>
      <c r="J560" t="s">
        <v>3469</v>
      </c>
      <c r="K560" t="s">
        <v>463</v>
      </c>
      <c r="L560">
        <v>12.58</v>
      </c>
      <c r="M560" s="453">
        <v>46111</v>
      </c>
      <c r="N560">
        <v>12.72</v>
      </c>
      <c r="O560">
        <v>12.72</v>
      </c>
      <c r="P560">
        <v>100.64</v>
      </c>
    </row>
    <row r="561" spans="1:16" x14ac:dyDescent="0.3">
      <c r="A561">
        <v>79563</v>
      </c>
      <c r="B561">
        <v>116</v>
      </c>
      <c r="C561" t="s">
        <v>568</v>
      </c>
      <c r="D561" s="453">
        <v>46113</v>
      </c>
      <c r="E561">
        <v>20231</v>
      </c>
      <c r="F561" t="s">
        <v>4123</v>
      </c>
      <c r="G561">
        <v>2247</v>
      </c>
      <c r="H561">
        <v>6</v>
      </c>
      <c r="I561" t="s">
        <v>3888</v>
      </c>
      <c r="J561" t="s">
        <v>3469</v>
      </c>
      <c r="K561" t="s">
        <v>463</v>
      </c>
      <c r="L561">
        <v>0</v>
      </c>
      <c r="M561" s="453">
        <v>45993</v>
      </c>
      <c r="N561">
        <v>16.28</v>
      </c>
      <c r="O561">
        <v>16.2</v>
      </c>
      <c r="P561">
        <v>97.68</v>
      </c>
    </row>
    <row r="562" spans="1:16" x14ac:dyDescent="0.3">
      <c r="A562">
        <v>79675</v>
      </c>
      <c r="B562">
        <v>116</v>
      </c>
      <c r="C562" t="s">
        <v>568</v>
      </c>
      <c r="D562" s="453">
        <v>46113</v>
      </c>
      <c r="E562">
        <v>19264</v>
      </c>
      <c r="F562" t="s">
        <v>4082</v>
      </c>
      <c r="G562">
        <v>2781</v>
      </c>
      <c r="H562">
        <v>1.4</v>
      </c>
      <c r="I562" t="s">
        <v>3888</v>
      </c>
      <c r="J562" t="s">
        <v>3469</v>
      </c>
      <c r="K562" t="s">
        <v>463</v>
      </c>
      <c r="L562">
        <v>68.209999999999994</v>
      </c>
      <c r="M562" s="453">
        <v>46111</v>
      </c>
      <c r="N562">
        <v>65.95</v>
      </c>
      <c r="O562">
        <v>65.95</v>
      </c>
      <c r="P562">
        <v>95.49</v>
      </c>
    </row>
    <row r="563" spans="1:16" x14ac:dyDescent="0.3">
      <c r="A563">
        <v>79613</v>
      </c>
      <c r="B563">
        <v>116</v>
      </c>
      <c r="C563" t="s">
        <v>568</v>
      </c>
      <c r="D563" s="453">
        <v>46113</v>
      </c>
      <c r="E563">
        <v>20213</v>
      </c>
      <c r="F563" t="s">
        <v>4059</v>
      </c>
      <c r="G563">
        <v>2251</v>
      </c>
      <c r="H563">
        <v>3</v>
      </c>
      <c r="I563" t="s">
        <v>3888</v>
      </c>
      <c r="J563" t="s">
        <v>3469</v>
      </c>
      <c r="K563" t="s">
        <v>463</v>
      </c>
      <c r="L563">
        <v>31.6</v>
      </c>
      <c r="M563" s="453">
        <v>46106</v>
      </c>
      <c r="N563">
        <v>31.6</v>
      </c>
      <c r="O563">
        <v>31.6</v>
      </c>
      <c r="P563">
        <v>94.8</v>
      </c>
    </row>
    <row r="564" spans="1:16" x14ac:dyDescent="0.3">
      <c r="A564">
        <v>79641</v>
      </c>
      <c r="B564">
        <v>116</v>
      </c>
      <c r="C564" t="s">
        <v>568</v>
      </c>
      <c r="D564" s="453">
        <v>46113</v>
      </c>
      <c r="E564">
        <v>19573</v>
      </c>
      <c r="F564" t="s">
        <v>4163</v>
      </c>
      <c r="G564">
        <v>2645</v>
      </c>
      <c r="H564">
        <v>2</v>
      </c>
      <c r="I564" t="s">
        <v>3892</v>
      </c>
      <c r="J564" t="s">
        <v>3469</v>
      </c>
      <c r="K564" t="s">
        <v>463</v>
      </c>
      <c r="L564">
        <v>0</v>
      </c>
      <c r="M564" s="453">
        <v>46056</v>
      </c>
      <c r="N564">
        <v>46.4</v>
      </c>
      <c r="O564">
        <v>46.4</v>
      </c>
      <c r="P564">
        <v>92.8</v>
      </c>
    </row>
    <row r="565" spans="1:16" x14ac:dyDescent="0.3">
      <c r="A565">
        <v>79502</v>
      </c>
      <c r="B565">
        <v>116</v>
      </c>
      <c r="C565" t="s">
        <v>568</v>
      </c>
      <c r="D565" s="453">
        <v>46113</v>
      </c>
      <c r="E565">
        <v>23095</v>
      </c>
      <c r="F565" t="s">
        <v>3882</v>
      </c>
      <c r="G565">
        <v>2754</v>
      </c>
      <c r="H565">
        <v>70</v>
      </c>
      <c r="I565" t="s">
        <v>3872</v>
      </c>
      <c r="J565" t="s">
        <v>3469</v>
      </c>
      <c r="K565" t="s">
        <v>463</v>
      </c>
      <c r="L565">
        <v>1.31</v>
      </c>
      <c r="M565" s="453">
        <v>46104</v>
      </c>
      <c r="N565">
        <v>1.35</v>
      </c>
      <c r="O565">
        <v>1.35</v>
      </c>
      <c r="P565">
        <v>91.7</v>
      </c>
    </row>
    <row r="566" spans="1:16" x14ac:dyDescent="0.3">
      <c r="A566">
        <v>79516</v>
      </c>
      <c r="B566">
        <v>116</v>
      </c>
      <c r="C566" t="s">
        <v>568</v>
      </c>
      <c r="D566" s="453">
        <v>46113</v>
      </c>
      <c r="E566">
        <v>21093</v>
      </c>
      <c r="F566" t="s">
        <v>3903</v>
      </c>
      <c r="G566">
        <v>1988</v>
      </c>
      <c r="H566">
        <v>21</v>
      </c>
      <c r="I566" t="s">
        <v>3892</v>
      </c>
      <c r="J566" t="s">
        <v>3469</v>
      </c>
      <c r="K566" t="s">
        <v>463</v>
      </c>
      <c r="L566">
        <v>4.34</v>
      </c>
      <c r="M566" s="453">
        <v>46100</v>
      </c>
      <c r="N566">
        <v>4.3899999999999997</v>
      </c>
      <c r="O566">
        <v>4.3899999999999997</v>
      </c>
      <c r="P566">
        <v>91.14</v>
      </c>
    </row>
    <row r="567" spans="1:16" x14ac:dyDescent="0.3">
      <c r="A567">
        <v>79696</v>
      </c>
      <c r="B567">
        <v>116</v>
      </c>
      <c r="C567" t="s">
        <v>568</v>
      </c>
      <c r="D567" s="453">
        <v>46113</v>
      </c>
      <c r="E567">
        <v>19574</v>
      </c>
      <c r="F567" t="s">
        <v>4077</v>
      </c>
      <c r="G567">
        <v>2644</v>
      </c>
      <c r="H567">
        <v>1</v>
      </c>
      <c r="I567" t="s">
        <v>3892</v>
      </c>
      <c r="J567" t="s">
        <v>3469</v>
      </c>
      <c r="K567" t="s">
        <v>463</v>
      </c>
      <c r="L567">
        <v>0</v>
      </c>
      <c r="M567" s="453">
        <v>46058</v>
      </c>
      <c r="N567">
        <v>90</v>
      </c>
      <c r="O567">
        <v>90</v>
      </c>
      <c r="P567">
        <v>90</v>
      </c>
    </row>
    <row r="568" spans="1:16" x14ac:dyDescent="0.3">
      <c r="A568">
        <v>79548</v>
      </c>
      <c r="B568">
        <v>116</v>
      </c>
      <c r="C568" t="s">
        <v>568</v>
      </c>
      <c r="D568" s="453">
        <v>46113</v>
      </c>
      <c r="E568">
        <v>19415</v>
      </c>
      <c r="F568" t="s">
        <v>3941</v>
      </c>
      <c r="G568">
        <v>2759</v>
      </c>
      <c r="H568">
        <v>10</v>
      </c>
      <c r="I568" t="s">
        <v>3872</v>
      </c>
      <c r="J568" t="s">
        <v>3469</v>
      </c>
      <c r="K568" t="s">
        <v>463</v>
      </c>
      <c r="L568">
        <v>8.84</v>
      </c>
      <c r="M568" s="453">
        <v>46111</v>
      </c>
      <c r="N568">
        <v>8.8000000000000007</v>
      </c>
      <c r="O568">
        <v>8.8000000000000007</v>
      </c>
      <c r="P568">
        <v>88.4</v>
      </c>
    </row>
    <row r="569" spans="1:16" x14ac:dyDescent="0.3">
      <c r="A569">
        <v>79694</v>
      </c>
      <c r="B569">
        <v>116</v>
      </c>
      <c r="C569" t="s">
        <v>568</v>
      </c>
      <c r="D569" s="453">
        <v>46113</v>
      </c>
      <c r="E569">
        <v>18534</v>
      </c>
      <c r="F569" t="s">
        <v>4084</v>
      </c>
      <c r="G569">
        <v>3143</v>
      </c>
      <c r="H569">
        <v>1</v>
      </c>
      <c r="I569" t="s">
        <v>3878</v>
      </c>
      <c r="J569" t="s">
        <v>3497</v>
      </c>
      <c r="K569" t="s">
        <v>463</v>
      </c>
      <c r="L569">
        <v>0</v>
      </c>
      <c r="N569">
        <v>0</v>
      </c>
      <c r="O569">
        <v>0</v>
      </c>
      <c r="P569">
        <v>86.89</v>
      </c>
    </row>
    <row r="570" spans="1:16" x14ac:dyDescent="0.3">
      <c r="A570">
        <v>79627</v>
      </c>
      <c r="B570">
        <v>116</v>
      </c>
      <c r="C570" t="s">
        <v>568</v>
      </c>
      <c r="D570" s="453">
        <v>46113</v>
      </c>
      <c r="E570">
        <v>18491</v>
      </c>
      <c r="F570" t="s">
        <v>3934</v>
      </c>
      <c r="G570">
        <v>3166</v>
      </c>
      <c r="H570">
        <v>2.5</v>
      </c>
      <c r="I570" t="s">
        <v>3878</v>
      </c>
      <c r="J570" t="s">
        <v>3497</v>
      </c>
      <c r="K570" t="s">
        <v>463</v>
      </c>
      <c r="L570">
        <v>0</v>
      </c>
      <c r="M570" s="453">
        <v>45931</v>
      </c>
      <c r="N570">
        <v>33.9</v>
      </c>
      <c r="O570">
        <v>33.9</v>
      </c>
      <c r="P570">
        <v>84.75</v>
      </c>
    </row>
    <row r="571" spans="1:16" x14ac:dyDescent="0.3">
      <c r="A571">
        <v>79578</v>
      </c>
      <c r="B571">
        <v>116</v>
      </c>
      <c r="C571" t="s">
        <v>568</v>
      </c>
      <c r="D571" s="453">
        <v>46113</v>
      </c>
      <c r="E571">
        <v>27475</v>
      </c>
      <c r="F571" t="s">
        <v>4162</v>
      </c>
      <c r="G571">
        <v>7475</v>
      </c>
      <c r="H571">
        <v>5</v>
      </c>
      <c r="I571" t="s">
        <v>3872</v>
      </c>
      <c r="J571" t="s">
        <v>3469</v>
      </c>
      <c r="K571" t="s">
        <v>463</v>
      </c>
      <c r="L571">
        <v>16.899999999999999</v>
      </c>
      <c r="M571" s="453">
        <v>46099</v>
      </c>
      <c r="N571">
        <v>16.899999999999999</v>
      </c>
      <c r="O571">
        <v>16.899999999999999</v>
      </c>
      <c r="P571">
        <v>84.5</v>
      </c>
    </row>
    <row r="572" spans="1:16" x14ac:dyDescent="0.3">
      <c r="A572">
        <v>79623</v>
      </c>
      <c r="B572">
        <v>116</v>
      </c>
      <c r="C572" t="s">
        <v>568</v>
      </c>
      <c r="D572" s="453">
        <v>46113</v>
      </c>
      <c r="E572">
        <v>26195</v>
      </c>
      <c r="F572" t="s">
        <v>4037</v>
      </c>
      <c r="G572">
        <v>6618</v>
      </c>
      <c r="H572">
        <v>3</v>
      </c>
      <c r="I572" t="s">
        <v>3878</v>
      </c>
      <c r="J572" t="s">
        <v>3497</v>
      </c>
      <c r="K572" t="s">
        <v>463</v>
      </c>
      <c r="L572">
        <v>0</v>
      </c>
      <c r="N572">
        <v>0</v>
      </c>
      <c r="O572">
        <v>0</v>
      </c>
      <c r="P572">
        <v>83.22</v>
      </c>
    </row>
    <row r="573" spans="1:16" x14ac:dyDescent="0.3">
      <c r="A573">
        <v>79629</v>
      </c>
      <c r="B573">
        <v>116</v>
      </c>
      <c r="C573" t="s">
        <v>568</v>
      </c>
      <c r="D573" s="453">
        <v>46113</v>
      </c>
      <c r="E573">
        <v>24339</v>
      </c>
      <c r="F573" t="s">
        <v>4119</v>
      </c>
      <c r="G573">
        <v>2153</v>
      </c>
      <c r="H573">
        <v>2.5</v>
      </c>
      <c r="I573" t="s">
        <v>3892</v>
      </c>
      <c r="J573" t="s">
        <v>3469</v>
      </c>
      <c r="K573" t="s">
        <v>463</v>
      </c>
      <c r="L573">
        <v>32.799999999999997</v>
      </c>
      <c r="M573" s="453">
        <v>46091</v>
      </c>
      <c r="N573">
        <v>32.799999999999997</v>
      </c>
      <c r="O573">
        <v>24.99</v>
      </c>
      <c r="P573">
        <v>82</v>
      </c>
    </row>
    <row r="574" spans="1:16" x14ac:dyDescent="0.3">
      <c r="A574">
        <v>79633</v>
      </c>
      <c r="B574">
        <v>116</v>
      </c>
      <c r="C574" t="s">
        <v>568</v>
      </c>
      <c r="D574" s="453">
        <v>46113</v>
      </c>
      <c r="E574">
        <v>17896</v>
      </c>
      <c r="F574" t="s">
        <v>3972</v>
      </c>
      <c r="G574">
        <v>3664</v>
      </c>
      <c r="H574">
        <v>2</v>
      </c>
      <c r="I574" t="s">
        <v>3888</v>
      </c>
      <c r="J574" t="s">
        <v>3497</v>
      </c>
      <c r="K574" t="s">
        <v>463</v>
      </c>
      <c r="L574">
        <v>40.29</v>
      </c>
      <c r="M574" s="453">
        <v>46098</v>
      </c>
      <c r="N574">
        <v>40.29</v>
      </c>
      <c r="O574">
        <v>34.82</v>
      </c>
      <c r="P574">
        <v>80.58</v>
      </c>
    </row>
    <row r="575" spans="1:16" x14ac:dyDescent="0.3">
      <c r="A575">
        <v>79719</v>
      </c>
      <c r="B575">
        <v>116</v>
      </c>
      <c r="C575" t="s">
        <v>568</v>
      </c>
      <c r="D575" s="453">
        <v>46113</v>
      </c>
      <c r="E575">
        <v>17917</v>
      </c>
      <c r="F575" t="s">
        <v>4144</v>
      </c>
      <c r="G575">
        <v>3647</v>
      </c>
      <c r="H575">
        <v>0.5</v>
      </c>
      <c r="I575" t="s">
        <v>3888</v>
      </c>
      <c r="J575" t="s">
        <v>3497</v>
      </c>
      <c r="K575" t="s">
        <v>463</v>
      </c>
      <c r="L575">
        <v>0</v>
      </c>
      <c r="N575">
        <v>0</v>
      </c>
      <c r="O575">
        <v>192.96</v>
      </c>
      <c r="P575">
        <v>77.069999999999993</v>
      </c>
    </row>
    <row r="576" spans="1:16" x14ac:dyDescent="0.3">
      <c r="A576">
        <v>79594</v>
      </c>
      <c r="B576">
        <v>116</v>
      </c>
      <c r="C576" t="s">
        <v>568</v>
      </c>
      <c r="D576" s="453">
        <v>46113</v>
      </c>
      <c r="E576">
        <v>23515</v>
      </c>
      <c r="F576" t="s">
        <v>3980</v>
      </c>
      <c r="G576">
        <v>2353</v>
      </c>
      <c r="H576">
        <v>4</v>
      </c>
      <c r="I576" t="s">
        <v>3872</v>
      </c>
      <c r="J576" t="s">
        <v>3469</v>
      </c>
      <c r="K576" t="s">
        <v>463</v>
      </c>
      <c r="L576">
        <v>0</v>
      </c>
      <c r="M576" s="453">
        <v>45972</v>
      </c>
      <c r="N576">
        <v>19.170000000000002</v>
      </c>
      <c r="O576">
        <v>19.27</v>
      </c>
      <c r="P576">
        <v>76.680000000000007</v>
      </c>
    </row>
    <row r="577" spans="1:16" x14ac:dyDescent="0.3">
      <c r="A577">
        <v>79605</v>
      </c>
      <c r="B577">
        <v>116</v>
      </c>
      <c r="C577" t="s">
        <v>568</v>
      </c>
      <c r="D577" s="453">
        <v>46113</v>
      </c>
      <c r="E577">
        <v>17881</v>
      </c>
      <c r="F577" t="s">
        <v>4095</v>
      </c>
      <c r="G577">
        <v>3675</v>
      </c>
      <c r="H577">
        <v>3</v>
      </c>
      <c r="I577" t="s">
        <v>3888</v>
      </c>
      <c r="J577" t="s">
        <v>3497</v>
      </c>
      <c r="K577" t="s">
        <v>463</v>
      </c>
      <c r="L577">
        <v>25.53</v>
      </c>
      <c r="M577" s="453">
        <v>46084</v>
      </c>
      <c r="N577">
        <v>25.53</v>
      </c>
      <c r="O577">
        <v>21.01</v>
      </c>
      <c r="P577">
        <v>76.59</v>
      </c>
    </row>
    <row r="578" spans="1:16" x14ac:dyDescent="0.3">
      <c r="A578">
        <v>79529</v>
      </c>
      <c r="B578">
        <v>116</v>
      </c>
      <c r="C578" t="s">
        <v>568</v>
      </c>
      <c r="D578" s="453">
        <v>46113</v>
      </c>
      <c r="E578">
        <v>24083</v>
      </c>
      <c r="F578" t="s">
        <v>3898</v>
      </c>
      <c r="G578">
        <v>2592</v>
      </c>
      <c r="H578">
        <v>14</v>
      </c>
      <c r="I578" t="s">
        <v>3892</v>
      </c>
      <c r="J578" t="s">
        <v>3469</v>
      </c>
      <c r="K578" t="s">
        <v>463</v>
      </c>
      <c r="L578">
        <v>5.44</v>
      </c>
      <c r="M578" s="453">
        <v>46104</v>
      </c>
      <c r="N578">
        <v>5</v>
      </c>
      <c r="O578">
        <v>5.15</v>
      </c>
      <c r="P578">
        <v>76.16</v>
      </c>
    </row>
    <row r="579" spans="1:16" x14ac:dyDescent="0.3">
      <c r="A579">
        <v>79650</v>
      </c>
      <c r="B579">
        <v>116</v>
      </c>
      <c r="C579" t="s">
        <v>568</v>
      </c>
      <c r="D579" s="453">
        <v>46113</v>
      </c>
      <c r="E579">
        <v>20117</v>
      </c>
      <c r="F579" t="s">
        <v>4010</v>
      </c>
      <c r="G579">
        <v>2291</v>
      </c>
      <c r="H579">
        <v>2</v>
      </c>
      <c r="I579" t="s">
        <v>3872</v>
      </c>
      <c r="J579" t="s">
        <v>3469</v>
      </c>
      <c r="K579" t="s">
        <v>463</v>
      </c>
      <c r="L579">
        <v>38.049999999999997</v>
      </c>
      <c r="M579" s="453">
        <v>46105</v>
      </c>
      <c r="N579">
        <v>37.9</v>
      </c>
      <c r="O579">
        <v>37.9</v>
      </c>
      <c r="P579">
        <v>76.099999999999994</v>
      </c>
    </row>
    <row r="580" spans="1:16" x14ac:dyDescent="0.3">
      <c r="A580">
        <v>79530</v>
      </c>
      <c r="B580">
        <v>116</v>
      </c>
      <c r="C580" t="s">
        <v>568</v>
      </c>
      <c r="D580" s="453">
        <v>46113</v>
      </c>
      <c r="E580">
        <v>25237</v>
      </c>
      <c r="F580" t="s">
        <v>4164</v>
      </c>
      <c r="G580">
        <v>5960</v>
      </c>
      <c r="H580">
        <v>14</v>
      </c>
      <c r="I580" t="s">
        <v>3872</v>
      </c>
      <c r="J580" t="s">
        <v>3469</v>
      </c>
      <c r="K580" t="s">
        <v>463</v>
      </c>
      <c r="L580">
        <v>5.35</v>
      </c>
      <c r="M580" s="453">
        <v>46085</v>
      </c>
      <c r="N580">
        <v>5.35</v>
      </c>
      <c r="O580">
        <v>5.29</v>
      </c>
      <c r="P580">
        <v>74.900000000000006</v>
      </c>
    </row>
    <row r="581" spans="1:16" x14ac:dyDescent="0.3">
      <c r="A581">
        <v>79559</v>
      </c>
      <c r="B581">
        <v>116</v>
      </c>
      <c r="C581" t="s">
        <v>568</v>
      </c>
      <c r="D581" s="453">
        <v>46113</v>
      </c>
      <c r="E581">
        <v>19740</v>
      </c>
      <c r="F581" t="s">
        <v>3933</v>
      </c>
      <c r="G581">
        <v>2513</v>
      </c>
      <c r="H581">
        <v>7</v>
      </c>
      <c r="I581" t="s">
        <v>3892</v>
      </c>
      <c r="J581" t="s">
        <v>3469</v>
      </c>
      <c r="K581" t="s">
        <v>463</v>
      </c>
      <c r="L581">
        <v>10.66</v>
      </c>
      <c r="M581" s="453">
        <v>46104</v>
      </c>
      <c r="N581">
        <v>7.5</v>
      </c>
      <c r="O581">
        <v>7.97</v>
      </c>
      <c r="P581">
        <v>74.62</v>
      </c>
    </row>
    <row r="582" spans="1:16" x14ac:dyDescent="0.3">
      <c r="A582">
        <v>79622</v>
      </c>
      <c r="B582">
        <v>116</v>
      </c>
      <c r="C582" t="s">
        <v>568</v>
      </c>
      <c r="D582" s="453">
        <v>46113</v>
      </c>
      <c r="E582">
        <v>24185</v>
      </c>
      <c r="F582" t="s">
        <v>4040</v>
      </c>
      <c r="G582">
        <v>2331</v>
      </c>
      <c r="H582">
        <v>3</v>
      </c>
      <c r="I582" t="s">
        <v>3892</v>
      </c>
      <c r="J582" t="s">
        <v>3469</v>
      </c>
      <c r="K582" t="s">
        <v>463</v>
      </c>
      <c r="L582">
        <v>23.59</v>
      </c>
      <c r="M582" s="453">
        <v>46106</v>
      </c>
      <c r="N582">
        <v>23.58</v>
      </c>
      <c r="O582">
        <v>23.58</v>
      </c>
      <c r="P582">
        <v>70.77</v>
      </c>
    </row>
    <row r="583" spans="1:16" x14ac:dyDescent="0.3">
      <c r="A583">
        <v>79606</v>
      </c>
      <c r="B583">
        <v>116</v>
      </c>
      <c r="C583" t="s">
        <v>568</v>
      </c>
      <c r="D583" s="453">
        <v>46113</v>
      </c>
      <c r="E583">
        <v>17883</v>
      </c>
      <c r="F583" t="s">
        <v>4136</v>
      </c>
      <c r="G583">
        <v>3673</v>
      </c>
      <c r="H583">
        <v>3</v>
      </c>
      <c r="I583" t="s">
        <v>3888</v>
      </c>
      <c r="J583" t="s">
        <v>3497</v>
      </c>
      <c r="K583" t="s">
        <v>463</v>
      </c>
      <c r="L583">
        <v>0</v>
      </c>
      <c r="M583" s="453">
        <v>46060</v>
      </c>
      <c r="N583">
        <v>23.45</v>
      </c>
      <c r="O583">
        <v>28.32</v>
      </c>
      <c r="P583">
        <v>70.349999999999994</v>
      </c>
    </row>
    <row r="584" spans="1:16" x14ac:dyDescent="0.3">
      <c r="A584">
        <v>79662</v>
      </c>
      <c r="B584">
        <v>116</v>
      </c>
      <c r="C584" t="s">
        <v>568</v>
      </c>
      <c r="D584" s="453">
        <v>46113</v>
      </c>
      <c r="E584">
        <v>20457</v>
      </c>
      <c r="F584" t="s">
        <v>3999</v>
      </c>
      <c r="G584">
        <v>2165</v>
      </c>
      <c r="H584">
        <v>1.8</v>
      </c>
      <c r="I584" t="s">
        <v>3892</v>
      </c>
      <c r="J584" t="s">
        <v>3469</v>
      </c>
      <c r="K584" t="s">
        <v>463</v>
      </c>
      <c r="L584">
        <v>39</v>
      </c>
      <c r="M584" s="453">
        <v>46091</v>
      </c>
      <c r="N584">
        <v>39</v>
      </c>
      <c r="O584">
        <v>39</v>
      </c>
      <c r="P584">
        <v>70.2</v>
      </c>
    </row>
    <row r="585" spans="1:16" x14ac:dyDescent="0.3">
      <c r="A585">
        <v>79652</v>
      </c>
      <c r="B585">
        <v>116</v>
      </c>
      <c r="C585" t="s">
        <v>568</v>
      </c>
      <c r="D585" s="453">
        <v>46113</v>
      </c>
      <c r="E585">
        <v>20832</v>
      </c>
      <c r="F585" t="s">
        <v>4060</v>
      </c>
      <c r="G585">
        <v>2065</v>
      </c>
      <c r="H585">
        <v>2</v>
      </c>
      <c r="I585" t="s">
        <v>3886</v>
      </c>
      <c r="J585" t="s">
        <v>3469</v>
      </c>
      <c r="K585" t="s">
        <v>463</v>
      </c>
      <c r="L585">
        <v>0</v>
      </c>
      <c r="M585" s="453">
        <v>46050</v>
      </c>
      <c r="N585">
        <v>33</v>
      </c>
      <c r="O585">
        <v>34</v>
      </c>
      <c r="P585">
        <v>66</v>
      </c>
    </row>
    <row r="586" spans="1:16" x14ac:dyDescent="0.3">
      <c r="A586">
        <v>79669</v>
      </c>
      <c r="B586">
        <v>116</v>
      </c>
      <c r="C586" t="s">
        <v>568</v>
      </c>
      <c r="D586" s="453">
        <v>46113</v>
      </c>
      <c r="E586">
        <v>20717</v>
      </c>
      <c r="F586" t="s">
        <v>4055</v>
      </c>
      <c r="G586">
        <v>2097</v>
      </c>
      <c r="H586">
        <v>1.5</v>
      </c>
      <c r="I586" t="s">
        <v>3872</v>
      </c>
      <c r="J586" t="s">
        <v>3469</v>
      </c>
      <c r="K586" t="s">
        <v>463</v>
      </c>
      <c r="L586">
        <v>43.1</v>
      </c>
      <c r="M586" s="453">
        <v>46099</v>
      </c>
      <c r="N586">
        <v>43.1</v>
      </c>
      <c r="O586">
        <v>43.1</v>
      </c>
      <c r="P586">
        <v>64.650000000000006</v>
      </c>
    </row>
    <row r="587" spans="1:16" x14ac:dyDescent="0.3">
      <c r="A587">
        <v>79634</v>
      </c>
      <c r="B587">
        <v>116</v>
      </c>
      <c r="C587" t="s">
        <v>568</v>
      </c>
      <c r="D587" s="453">
        <v>46113</v>
      </c>
      <c r="E587">
        <v>17914</v>
      </c>
      <c r="F587" t="s">
        <v>3997</v>
      </c>
      <c r="G587">
        <v>3649</v>
      </c>
      <c r="H587">
        <v>2</v>
      </c>
      <c r="I587" t="s">
        <v>3888</v>
      </c>
      <c r="J587" t="s">
        <v>3497</v>
      </c>
      <c r="K587" t="s">
        <v>463</v>
      </c>
      <c r="L587">
        <v>0</v>
      </c>
      <c r="M587" s="453">
        <v>46064</v>
      </c>
      <c r="N587">
        <v>32.24</v>
      </c>
      <c r="O587">
        <v>32.24</v>
      </c>
      <c r="P587">
        <v>64.48</v>
      </c>
    </row>
    <row r="588" spans="1:16" x14ac:dyDescent="0.3">
      <c r="A588">
        <v>79556</v>
      </c>
      <c r="B588">
        <v>116</v>
      </c>
      <c r="C588" t="s">
        <v>568</v>
      </c>
      <c r="D588" s="453">
        <v>46113</v>
      </c>
      <c r="E588">
        <v>20949</v>
      </c>
      <c r="F588" t="s">
        <v>3983</v>
      </c>
      <c r="G588">
        <v>2023</v>
      </c>
      <c r="H588">
        <v>8</v>
      </c>
      <c r="I588" t="s">
        <v>3878</v>
      </c>
      <c r="J588" t="s">
        <v>3469</v>
      </c>
      <c r="K588" t="s">
        <v>463</v>
      </c>
      <c r="L588">
        <v>7.96</v>
      </c>
      <c r="M588" s="453">
        <v>46106</v>
      </c>
      <c r="N588">
        <v>7.96</v>
      </c>
      <c r="O588">
        <v>7.96</v>
      </c>
      <c r="P588">
        <v>63.68</v>
      </c>
    </row>
    <row r="589" spans="1:16" x14ac:dyDescent="0.3">
      <c r="A589">
        <v>79574</v>
      </c>
      <c r="B589">
        <v>116</v>
      </c>
      <c r="C589" t="s">
        <v>568</v>
      </c>
      <c r="D589" s="453">
        <v>46113</v>
      </c>
      <c r="E589">
        <v>18447</v>
      </c>
      <c r="F589" t="s">
        <v>4027</v>
      </c>
      <c r="G589">
        <v>3204</v>
      </c>
      <c r="H589">
        <v>5</v>
      </c>
      <c r="I589" t="s">
        <v>3878</v>
      </c>
      <c r="J589" t="s">
        <v>3497</v>
      </c>
      <c r="K589" t="s">
        <v>463</v>
      </c>
      <c r="L589">
        <v>0</v>
      </c>
      <c r="M589" s="453">
        <v>46078</v>
      </c>
      <c r="N589">
        <v>12.49</v>
      </c>
      <c r="O589">
        <v>12.49</v>
      </c>
      <c r="P589">
        <v>62.45</v>
      </c>
    </row>
    <row r="590" spans="1:16" x14ac:dyDescent="0.3">
      <c r="A590">
        <v>79589</v>
      </c>
      <c r="B590">
        <v>116</v>
      </c>
      <c r="C590" t="s">
        <v>568</v>
      </c>
      <c r="D590" s="453">
        <v>46113</v>
      </c>
      <c r="E590">
        <v>19576</v>
      </c>
      <c r="F590" t="s">
        <v>4021</v>
      </c>
      <c r="G590">
        <v>2642</v>
      </c>
      <c r="H590">
        <v>4</v>
      </c>
      <c r="I590" t="s">
        <v>3892</v>
      </c>
      <c r="J590" t="s">
        <v>3469</v>
      </c>
      <c r="K590" t="s">
        <v>463</v>
      </c>
      <c r="L590">
        <v>0</v>
      </c>
      <c r="M590" s="453">
        <v>46055</v>
      </c>
      <c r="N590">
        <v>15</v>
      </c>
      <c r="O590">
        <v>15</v>
      </c>
      <c r="P590">
        <v>60</v>
      </c>
    </row>
    <row r="591" spans="1:16" x14ac:dyDescent="0.3">
      <c r="A591">
        <v>79636</v>
      </c>
      <c r="B591">
        <v>116</v>
      </c>
      <c r="C591" t="s">
        <v>568</v>
      </c>
      <c r="D591" s="453">
        <v>46113</v>
      </c>
      <c r="E591">
        <v>18004</v>
      </c>
      <c r="F591" t="s">
        <v>4140</v>
      </c>
      <c r="G591">
        <v>3592</v>
      </c>
      <c r="H591">
        <v>2</v>
      </c>
      <c r="I591" t="s">
        <v>3888</v>
      </c>
      <c r="J591" t="s">
        <v>3497</v>
      </c>
      <c r="K591" t="s">
        <v>463</v>
      </c>
      <c r="L591">
        <v>0</v>
      </c>
      <c r="M591" s="453">
        <v>46049</v>
      </c>
      <c r="N591">
        <v>29.64</v>
      </c>
      <c r="O591">
        <v>29.64</v>
      </c>
      <c r="P591">
        <v>59.28</v>
      </c>
    </row>
    <row r="592" spans="1:16" x14ac:dyDescent="0.3">
      <c r="A592">
        <v>79637</v>
      </c>
      <c r="B592">
        <v>116</v>
      </c>
      <c r="C592" t="s">
        <v>568</v>
      </c>
      <c r="D592" s="453">
        <v>46113</v>
      </c>
      <c r="E592">
        <v>18006</v>
      </c>
      <c r="F592" t="s">
        <v>4138</v>
      </c>
      <c r="G592">
        <v>3591</v>
      </c>
      <c r="H592">
        <v>2</v>
      </c>
      <c r="I592" t="s">
        <v>3888</v>
      </c>
      <c r="J592" t="s">
        <v>3497</v>
      </c>
      <c r="K592" t="s">
        <v>463</v>
      </c>
      <c r="L592">
        <v>0</v>
      </c>
      <c r="M592" s="453">
        <v>46049</v>
      </c>
      <c r="N592">
        <v>29.64</v>
      </c>
      <c r="O592">
        <v>29.64</v>
      </c>
      <c r="P592">
        <v>59.28</v>
      </c>
    </row>
    <row r="593" spans="1:16" x14ac:dyDescent="0.3">
      <c r="A593">
        <v>79645</v>
      </c>
      <c r="B593">
        <v>116</v>
      </c>
      <c r="C593" t="s">
        <v>568</v>
      </c>
      <c r="D593" s="453">
        <v>46113</v>
      </c>
      <c r="E593">
        <v>19649</v>
      </c>
      <c r="F593" t="s">
        <v>4015</v>
      </c>
      <c r="G593">
        <v>2589</v>
      </c>
      <c r="H593">
        <v>2</v>
      </c>
      <c r="I593" t="s">
        <v>3892</v>
      </c>
      <c r="J593" t="s">
        <v>3469</v>
      </c>
      <c r="K593" t="s">
        <v>463</v>
      </c>
      <c r="L593">
        <v>0</v>
      </c>
      <c r="M593" s="453">
        <v>45831</v>
      </c>
      <c r="N593">
        <v>29</v>
      </c>
      <c r="O593">
        <v>23.5</v>
      </c>
      <c r="P593">
        <v>58</v>
      </c>
    </row>
    <row r="594" spans="1:16" x14ac:dyDescent="0.3">
      <c r="A594">
        <v>79604</v>
      </c>
      <c r="B594">
        <v>116</v>
      </c>
      <c r="C594" t="s">
        <v>568</v>
      </c>
      <c r="D594" s="453">
        <v>46113</v>
      </c>
      <c r="E594">
        <v>17609</v>
      </c>
      <c r="F594" t="s">
        <v>4038</v>
      </c>
      <c r="G594">
        <v>3917</v>
      </c>
      <c r="H594">
        <v>3</v>
      </c>
      <c r="I594" t="s">
        <v>3878</v>
      </c>
      <c r="J594" t="s">
        <v>3497</v>
      </c>
      <c r="K594" t="s">
        <v>463</v>
      </c>
      <c r="L594">
        <v>0</v>
      </c>
      <c r="M594" s="453">
        <v>45573</v>
      </c>
      <c r="N594">
        <v>18.899999999999999</v>
      </c>
      <c r="O594">
        <v>18.899999999999999</v>
      </c>
      <c r="P594">
        <v>56.7</v>
      </c>
    </row>
    <row r="595" spans="1:16" x14ac:dyDescent="0.3">
      <c r="A595">
        <v>79659</v>
      </c>
      <c r="B595">
        <v>116</v>
      </c>
      <c r="C595" t="s">
        <v>568</v>
      </c>
      <c r="D595" s="453">
        <v>46113</v>
      </c>
      <c r="E595">
        <v>21400</v>
      </c>
      <c r="F595" t="s">
        <v>4165</v>
      </c>
      <c r="G595">
        <v>2157</v>
      </c>
      <c r="H595">
        <v>1.9</v>
      </c>
      <c r="I595" t="s">
        <v>3892</v>
      </c>
      <c r="J595" t="s">
        <v>3469</v>
      </c>
      <c r="K595" t="s">
        <v>463</v>
      </c>
      <c r="L595">
        <v>0</v>
      </c>
      <c r="M595" s="453">
        <v>46076</v>
      </c>
      <c r="N595">
        <v>28.95</v>
      </c>
      <c r="O595">
        <v>28.95</v>
      </c>
      <c r="P595">
        <v>55.01</v>
      </c>
    </row>
    <row r="596" spans="1:16" x14ac:dyDescent="0.3">
      <c r="A596">
        <v>79616</v>
      </c>
      <c r="B596">
        <v>116</v>
      </c>
      <c r="C596" t="s">
        <v>568</v>
      </c>
      <c r="D596" s="453">
        <v>46113</v>
      </c>
      <c r="E596">
        <v>21123</v>
      </c>
      <c r="F596" t="s">
        <v>4115</v>
      </c>
      <c r="G596">
        <v>1965</v>
      </c>
      <c r="H596">
        <v>3</v>
      </c>
      <c r="I596" t="s">
        <v>3892</v>
      </c>
      <c r="J596" t="s">
        <v>3469</v>
      </c>
      <c r="K596" t="s">
        <v>463</v>
      </c>
      <c r="L596">
        <v>17.899999999999999</v>
      </c>
      <c r="M596" s="453">
        <v>46092</v>
      </c>
      <c r="N596">
        <v>17.899999999999999</v>
      </c>
      <c r="O596">
        <v>17.899999999999999</v>
      </c>
      <c r="P596">
        <v>53.7</v>
      </c>
    </row>
    <row r="597" spans="1:16" x14ac:dyDescent="0.3">
      <c r="A597">
        <v>79716</v>
      </c>
      <c r="B597">
        <v>116</v>
      </c>
      <c r="C597" t="s">
        <v>568</v>
      </c>
      <c r="D597" s="453">
        <v>46113</v>
      </c>
      <c r="E597">
        <v>19478</v>
      </c>
      <c r="F597" t="s">
        <v>4072</v>
      </c>
      <c r="G597">
        <v>2728</v>
      </c>
      <c r="H597">
        <v>0.8</v>
      </c>
      <c r="I597" t="s">
        <v>3892</v>
      </c>
      <c r="J597" t="s">
        <v>3469</v>
      </c>
      <c r="K597" t="s">
        <v>463</v>
      </c>
      <c r="L597">
        <v>0</v>
      </c>
      <c r="M597" s="453">
        <v>46065</v>
      </c>
      <c r="N597">
        <v>65</v>
      </c>
      <c r="O597">
        <v>75</v>
      </c>
      <c r="P597">
        <v>52</v>
      </c>
    </row>
    <row r="598" spans="1:16" x14ac:dyDescent="0.3">
      <c r="A598">
        <v>79715</v>
      </c>
      <c r="B598">
        <v>116</v>
      </c>
      <c r="C598" t="s">
        <v>568</v>
      </c>
      <c r="D598" s="453">
        <v>46113</v>
      </c>
      <c r="E598">
        <v>23385</v>
      </c>
      <c r="F598" t="s">
        <v>4069</v>
      </c>
      <c r="G598">
        <v>2479</v>
      </c>
      <c r="H598">
        <v>0.9</v>
      </c>
      <c r="I598" t="s">
        <v>3892</v>
      </c>
      <c r="J598" t="s">
        <v>3469</v>
      </c>
      <c r="K598" t="s">
        <v>463</v>
      </c>
      <c r="L598">
        <v>57.38</v>
      </c>
      <c r="M598" s="453">
        <v>46111</v>
      </c>
      <c r="N598">
        <v>78</v>
      </c>
      <c r="O598">
        <v>78</v>
      </c>
      <c r="P598">
        <v>51.64</v>
      </c>
    </row>
    <row r="599" spans="1:16" x14ac:dyDescent="0.3">
      <c r="A599">
        <v>79660</v>
      </c>
      <c r="B599">
        <v>116</v>
      </c>
      <c r="C599" t="s">
        <v>568</v>
      </c>
      <c r="D599" s="453">
        <v>46113</v>
      </c>
      <c r="E599">
        <v>18253</v>
      </c>
      <c r="F599" t="s">
        <v>3947</v>
      </c>
      <c r="G599">
        <v>3376</v>
      </c>
      <c r="H599">
        <v>1.8</v>
      </c>
      <c r="I599" t="s">
        <v>3878</v>
      </c>
      <c r="J599" t="s">
        <v>3497</v>
      </c>
      <c r="K599" t="s">
        <v>463</v>
      </c>
      <c r="L599">
        <v>0</v>
      </c>
      <c r="M599" s="453">
        <v>46064</v>
      </c>
      <c r="N599">
        <v>28.31</v>
      </c>
      <c r="O599">
        <v>28.6</v>
      </c>
      <c r="P599">
        <v>50.96</v>
      </c>
    </row>
    <row r="600" spans="1:16" x14ac:dyDescent="0.3">
      <c r="A600">
        <v>79630</v>
      </c>
      <c r="B600">
        <v>116</v>
      </c>
      <c r="C600" t="s">
        <v>568</v>
      </c>
      <c r="D600" s="453">
        <v>46113</v>
      </c>
      <c r="E600">
        <v>24343</v>
      </c>
      <c r="F600" t="s">
        <v>3990</v>
      </c>
      <c r="G600">
        <v>3044</v>
      </c>
      <c r="H600">
        <v>2.5</v>
      </c>
      <c r="I600" t="s">
        <v>3892</v>
      </c>
      <c r="J600" t="s">
        <v>3469</v>
      </c>
      <c r="K600" t="s">
        <v>463</v>
      </c>
      <c r="L600">
        <v>19.989999999999998</v>
      </c>
      <c r="M600" s="453">
        <v>46100</v>
      </c>
      <c r="N600">
        <v>19.989999999999998</v>
      </c>
      <c r="O600">
        <v>19.989999999999998</v>
      </c>
      <c r="P600">
        <v>49.97</v>
      </c>
    </row>
    <row r="601" spans="1:16" x14ac:dyDescent="0.3">
      <c r="A601">
        <v>79709</v>
      </c>
      <c r="B601">
        <v>116</v>
      </c>
      <c r="C601" t="s">
        <v>568</v>
      </c>
      <c r="D601" s="453">
        <v>46113</v>
      </c>
      <c r="E601">
        <v>21078</v>
      </c>
      <c r="F601" t="s">
        <v>4049</v>
      </c>
      <c r="G601">
        <v>1991</v>
      </c>
      <c r="H601">
        <v>1</v>
      </c>
      <c r="I601" t="s">
        <v>3881</v>
      </c>
      <c r="J601" t="s">
        <v>3469</v>
      </c>
      <c r="K601" t="s">
        <v>463</v>
      </c>
      <c r="L601">
        <v>0</v>
      </c>
      <c r="M601" s="453">
        <v>46008</v>
      </c>
      <c r="N601">
        <v>49.89</v>
      </c>
      <c r="O601">
        <v>49.89</v>
      </c>
      <c r="P601">
        <v>49.89</v>
      </c>
    </row>
    <row r="602" spans="1:16" x14ac:dyDescent="0.3">
      <c r="A602">
        <v>79577</v>
      </c>
      <c r="B602">
        <v>116</v>
      </c>
      <c r="C602" t="s">
        <v>568</v>
      </c>
      <c r="D602" s="453">
        <v>46113</v>
      </c>
      <c r="E602">
        <v>25768</v>
      </c>
      <c r="F602" t="s">
        <v>4012</v>
      </c>
      <c r="G602">
        <v>6317</v>
      </c>
      <c r="H602">
        <v>5</v>
      </c>
      <c r="I602" t="s">
        <v>3892</v>
      </c>
      <c r="J602" t="s">
        <v>3469</v>
      </c>
      <c r="K602" t="s">
        <v>463</v>
      </c>
      <c r="L602">
        <v>9.8000000000000007</v>
      </c>
      <c r="M602" s="453">
        <v>46092</v>
      </c>
      <c r="N602">
        <v>9.8000000000000007</v>
      </c>
      <c r="O602">
        <v>9.9</v>
      </c>
      <c r="P602">
        <v>49</v>
      </c>
    </row>
    <row r="603" spans="1:16" x14ac:dyDescent="0.3">
      <c r="A603">
        <v>79697</v>
      </c>
      <c r="B603">
        <v>116</v>
      </c>
      <c r="C603" t="s">
        <v>568</v>
      </c>
      <c r="D603" s="453">
        <v>46113</v>
      </c>
      <c r="E603">
        <v>19583</v>
      </c>
      <c r="F603" t="s">
        <v>4076</v>
      </c>
      <c r="G603">
        <v>2639</v>
      </c>
      <c r="H603">
        <v>1</v>
      </c>
      <c r="I603" t="s">
        <v>3892</v>
      </c>
      <c r="J603" t="s">
        <v>3469</v>
      </c>
      <c r="K603" t="s">
        <v>463</v>
      </c>
      <c r="L603">
        <v>0</v>
      </c>
      <c r="M603" s="453">
        <v>46065</v>
      </c>
      <c r="N603">
        <v>49</v>
      </c>
      <c r="O603">
        <v>53.65</v>
      </c>
      <c r="P603">
        <v>49</v>
      </c>
    </row>
    <row r="604" spans="1:16" x14ac:dyDescent="0.3">
      <c r="A604">
        <v>79626</v>
      </c>
      <c r="B604">
        <v>116</v>
      </c>
      <c r="C604" t="s">
        <v>568</v>
      </c>
      <c r="D604" s="453">
        <v>46113</v>
      </c>
      <c r="E604">
        <v>18696</v>
      </c>
      <c r="F604" t="s">
        <v>3956</v>
      </c>
      <c r="G604">
        <v>3035</v>
      </c>
      <c r="H604">
        <v>2.7</v>
      </c>
      <c r="I604" t="s">
        <v>3892</v>
      </c>
      <c r="J604" t="s">
        <v>3469</v>
      </c>
      <c r="K604" t="s">
        <v>463</v>
      </c>
      <c r="L604">
        <v>17.989999999999998</v>
      </c>
      <c r="M604" s="453">
        <v>46100</v>
      </c>
      <c r="N604">
        <v>17.989999999999998</v>
      </c>
      <c r="O604">
        <v>17.989999999999998</v>
      </c>
      <c r="P604">
        <v>48.57</v>
      </c>
    </row>
    <row r="605" spans="1:16" x14ac:dyDescent="0.3">
      <c r="A605">
        <v>79608</v>
      </c>
      <c r="B605">
        <v>116</v>
      </c>
      <c r="C605" t="s">
        <v>568</v>
      </c>
      <c r="D605" s="453">
        <v>46113</v>
      </c>
      <c r="E605">
        <v>19572</v>
      </c>
      <c r="F605" t="s">
        <v>4023</v>
      </c>
      <c r="G605">
        <v>2646</v>
      </c>
      <c r="H605">
        <v>3</v>
      </c>
      <c r="I605" t="s">
        <v>3892</v>
      </c>
      <c r="J605" t="s">
        <v>3469</v>
      </c>
      <c r="K605" t="s">
        <v>463</v>
      </c>
      <c r="L605">
        <v>16.13</v>
      </c>
      <c r="M605" s="453">
        <v>46097</v>
      </c>
      <c r="N605">
        <v>15</v>
      </c>
      <c r="O605">
        <v>14</v>
      </c>
      <c r="P605">
        <v>48.39</v>
      </c>
    </row>
    <row r="606" spans="1:16" x14ac:dyDescent="0.3">
      <c r="A606">
        <v>79598</v>
      </c>
      <c r="B606">
        <v>116</v>
      </c>
      <c r="C606" t="s">
        <v>568</v>
      </c>
      <c r="D606" s="453">
        <v>46113</v>
      </c>
      <c r="E606">
        <v>24403</v>
      </c>
      <c r="F606" t="s">
        <v>3992</v>
      </c>
      <c r="G606">
        <v>3049</v>
      </c>
      <c r="H606">
        <v>3.7</v>
      </c>
      <c r="I606" t="s">
        <v>3892</v>
      </c>
      <c r="J606" t="s">
        <v>3469</v>
      </c>
      <c r="K606" t="s">
        <v>463</v>
      </c>
      <c r="L606">
        <v>12.99</v>
      </c>
      <c r="M606" s="453">
        <v>46086</v>
      </c>
      <c r="N606">
        <v>12.99</v>
      </c>
      <c r="O606">
        <v>12</v>
      </c>
      <c r="P606">
        <v>48.06</v>
      </c>
    </row>
    <row r="607" spans="1:16" x14ac:dyDescent="0.3">
      <c r="A607">
        <v>79654</v>
      </c>
      <c r="B607">
        <v>116</v>
      </c>
      <c r="C607" t="s">
        <v>568</v>
      </c>
      <c r="D607" s="453">
        <v>46113</v>
      </c>
      <c r="E607">
        <v>23234</v>
      </c>
      <c r="F607" t="s">
        <v>4018</v>
      </c>
      <c r="G607">
        <v>2622</v>
      </c>
      <c r="H607">
        <v>2</v>
      </c>
      <c r="I607" t="s">
        <v>3892</v>
      </c>
      <c r="J607" t="s">
        <v>3469</v>
      </c>
      <c r="K607" t="s">
        <v>463</v>
      </c>
      <c r="L607">
        <v>23.67</v>
      </c>
      <c r="M607" s="453">
        <v>46100</v>
      </c>
      <c r="N607">
        <v>25</v>
      </c>
      <c r="O607">
        <v>25</v>
      </c>
      <c r="P607">
        <v>47.34</v>
      </c>
    </row>
    <row r="608" spans="1:16" x14ac:dyDescent="0.3">
      <c r="A608">
        <v>79570</v>
      </c>
      <c r="B608">
        <v>116</v>
      </c>
      <c r="C608" t="s">
        <v>568</v>
      </c>
      <c r="D608" s="453">
        <v>46113</v>
      </c>
      <c r="E608">
        <v>19034</v>
      </c>
      <c r="F608" t="s">
        <v>3989</v>
      </c>
      <c r="G608">
        <v>2890</v>
      </c>
      <c r="H608">
        <v>5.0999999999999996</v>
      </c>
      <c r="I608" t="s">
        <v>3892</v>
      </c>
      <c r="J608" t="s">
        <v>3469</v>
      </c>
      <c r="K608" t="s">
        <v>463</v>
      </c>
      <c r="L608">
        <v>8.99</v>
      </c>
      <c r="M608" s="453">
        <v>46091</v>
      </c>
      <c r="N608">
        <v>8.99</v>
      </c>
      <c r="O608">
        <v>7.94</v>
      </c>
      <c r="P608">
        <v>45.85</v>
      </c>
    </row>
    <row r="609" spans="1:16" x14ac:dyDescent="0.3">
      <c r="A609">
        <v>79710</v>
      </c>
      <c r="B609">
        <v>116</v>
      </c>
      <c r="C609" t="s">
        <v>568</v>
      </c>
      <c r="D609" s="453">
        <v>46113</v>
      </c>
      <c r="E609">
        <v>21085</v>
      </c>
      <c r="F609" t="s">
        <v>4114</v>
      </c>
      <c r="G609">
        <v>1989</v>
      </c>
      <c r="H609">
        <v>1</v>
      </c>
      <c r="I609" t="s">
        <v>3881</v>
      </c>
      <c r="J609" t="s">
        <v>3469</v>
      </c>
      <c r="K609" t="s">
        <v>463</v>
      </c>
      <c r="L609">
        <v>0</v>
      </c>
      <c r="M609" s="453">
        <v>46008</v>
      </c>
      <c r="N609">
        <v>45.31</v>
      </c>
      <c r="O609">
        <v>44.75</v>
      </c>
      <c r="P609">
        <v>45.31</v>
      </c>
    </row>
    <row r="610" spans="1:16" x14ac:dyDescent="0.3">
      <c r="A610">
        <v>79708</v>
      </c>
      <c r="B610">
        <v>116</v>
      </c>
      <c r="C610" t="s">
        <v>568</v>
      </c>
      <c r="D610" s="453">
        <v>46113</v>
      </c>
      <c r="E610">
        <v>20702</v>
      </c>
      <c r="F610" t="s">
        <v>4006</v>
      </c>
      <c r="G610">
        <v>2101</v>
      </c>
      <c r="H610">
        <v>1</v>
      </c>
      <c r="I610" t="s">
        <v>3966</v>
      </c>
      <c r="J610" t="s">
        <v>3469</v>
      </c>
      <c r="K610" t="s">
        <v>463</v>
      </c>
      <c r="L610">
        <v>44.98</v>
      </c>
      <c r="M610" s="453">
        <v>46105</v>
      </c>
      <c r="N610">
        <v>42.9</v>
      </c>
      <c r="O610">
        <v>42.9</v>
      </c>
      <c r="P610">
        <v>44.98</v>
      </c>
    </row>
    <row r="611" spans="1:16" x14ac:dyDescent="0.3">
      <c r="A611">
        <v>79615</v>
      </c>
      <c r="B611">
        <v>116</v>
      </c>
      <c r="C611" t="s">
        <v>568</v>
      </c>
      <c r="D611" s="453">
        <v>46113</v>
      </c>
      <c r="E611">
        <v>20358</v>
      </c>
      <c r="F611" t="s">
        <v>3952</v>
      </c>
      <c r="G611">
        <v>2200</v>
      </c>
      <c r="H611">
        <v>3</v>
      </c>
      <c r="I611" t="s">
        <v>3888</v>
      </c>
      <c r="J611" t="s">
        <v>3469</v>
      </c>
      <c r="K611" t="s">
        <v>463</v>
      </c>
      <c r="L611">
        <v>14.25</v>
      </c>
      <c r="M611" s="453">
        <v>46099</v>
      </c>
      <c r="N611">
        <v>14.25</v>
      </c>
      <c r="O611">
        <v>14.25</v>
      </c>
      <c r="P611">
        <v>42.75</v>
      </c>
    </row>
    <row r="612" spans="1:16" x14ac:dyDescent="0.3">
      <c r="A612">
        <v>79723</v>
      </c>
      <c r="B612">
        <v>116</v>
      </c>
      <c r="C612" t="s">
        <v>568</v>
      </c>
      <c r="D612" s="453">
        <v>46113</v>
      </c>
      <c r="E612">
        <v>23505</v>
      </c>
      <c r="F612" t="s">
        <v>4124</v>
      </c>
      <c r="G612">
        <v>2364</v>
      </c>
      <c r="H612">
        <v>0.5</v>
      </c>
      <c r="I612" t="s">
        <v>3892</v>
      </c>
      <c r="J612" t="s">
        <v>3469</v>
      </c>
      <c r="K612" t="s">
        <v>463</v>
      </c>
      <c r="L612">
        <v>0</v>
      </c>
      <c r="N612">
        <v>0</v>
      </c>
      <c r="O612">
        <v>0</v>
      </c>
      <c r="P612">
        <v>42.5</v>
      </c>
    </row>
    <row r="613" spans="1:16" x14ac:dyDescent="0.3">
      <c r="A613">
        <v>79646</v>
      </c>
      <c r="B613">
        <v>116</v>
      </c>
      <c r="C613" t="s">
        <v>568</v>
      </c>
      <c r="D613" s="453">
        <v>46113</v>
      </c>
      <c r="E613">
        <v>19652</v>
      </c>
      <c r="F613" t="s">
        <v>4014</v>
      </c>
      <c r="G613">
        <v>2587</v>
      </c>
      <c r="H613">
        <v>2</v>
      </c>
      <c r="I613" t="s">
        <v>3892</v>
      </c>
      <c r="J613" t="s">
        <v>3469</v>
      </c>
      <c r="K613" t="s">
        <v>463</v>
      </c>
      <c r="L613">
        <v>20.88</v>
      </c>
      <c r="M613" s="453">
        <v>46093</v>
      </c>
      <c r="N613">
        <v>20.88</v>
      </c>
      <c r="O613">
        <v>19.84</v>
      </c>
      <c r="P613">
        <v>41.76</v>
      </c>
    </row>
    <row r="614" spans="1:16" x14ac:dyDescent="0.3">
      <c r="A614">
        <v>79704</v>
      </c>
      <c r="B614">
        <v>116</v>
      </c>
      <c r="C614" t="s">
        <v>568</v>
      </c>
      <c r="D614" s="453">
        <v>46113</v>
      </c>
      <c r="E614">
        <v>20250</v>
      </c>
      <c r="F614" t="s">
        <v>4008</v>
      </c>
      <c r="G614">
        <v>2241</v>
      </c>
      <c r="H614">
        <v>1</v>
      </c>
      <c r="I614" t="s">
        <v>3888</v>
      </c>
      <c r="J614" t="s">
        <v>3469</v>
      </c>
      <c r="K614" t="s">
        <v>463</v>
      </c>
      <c r="L614">
        <v>0</v>
      </c>
      <c r="M614" s="453">
        <v>46078</v>
      </c>
      <c r="N614">
        <v>40.54</v>
      </c>
      <c r="O614">
        <v>40.5</v>
      </c>
      <c r="P614">
        <v>40.54</v>
      </c>
    </row>
    <row r="615" spans="1:16" x14ac:dyDescent="0.3">
      <c r="A615">
        <v>79684</v>
      </c>
      <c r="B615">
        <v>116</v>
      </c>
      <c r="C615" t="s">
        <v>568</v>
      </c>
      <c r="D615" s="453">
        <v>46113</v>
      </c>
      <c r="E615">
        <v>17897</v>
      </c>
      <c r="F615" t="s">
        <v>4094</v>
      </c>
      <c r="G615">
        <v>3664</v>
      </c>
      <c r="H615">
        <v>1</v>
      </c>
      <c r="I615" t="s">
        <v>3888</v>
      </c>
      <c r="J615" t="s">
        <v>3497</v>
      </c>
      <c r="K615" t="s">
        <v>463</v>
      </c>
      <c r="L615">
        <v>40.29</v>
      </c>
      <c r="M615" s="453">
        <v>46098</v>
      </c>
      <c r="N615">
        <v>40.29</v>
      </c>
      <c r="O615">
        <v>40.29</v>
      </c>
      <c r="P615">
        <v>40.29</v>
      </c>
    </row>
    <row r="616" spans="1:16" x14ac:dyDescent="0.3">
      <c r="A616">
        <v>79543</v>
      </c>
      <c r="B616">
        <v>116</v>
      </c>
      <c r="C616" t="s">
        <v>568</v>
      </c>
      <c r="D616" s="453">
        <v>46113</v>
      </c>
      <c r="E616">
        <v>19906</v>
      </c>
      <c r="F616" t="s">
        <v>4171</v>
      </c>
      <c r="G616">
        <v>2381</v>
      </c>
      <c r="H616">
        <v>1.1000000000000001</v>
      </c>
      <c r="I616" t="s">
        <v>3888</v>
      </c>
      <c r="J616" t="s">
        <v>3469</v>
      </c>
      <c r="K616" t="s">
        <v>463</v>
      </c>
      <c r="L616">
        <v>36.299999999999997</v>
      </c>
      <c r="M616" s="453">
        <v>46085</v>
      </c>
      <c r="N616">
        <v>36.299999999999997</v>
      </c>
      <c r="O616">
        <v>37.51</v>
      </c>
      <c r="P616">
        <v>39.93</v>
      </c>
    </row>
    <row r="617" spans="1:16" x14ac:dyDescent="0.3">
      <c r="A617">
        <v>79541</v>
      </c>
      <c r="B617">
        <v>116</v>
      </c>
      <c r="C617" t="s">
        <v>568</v>
      </c>
      <c r="D617" s="453">
        <v>46113</v>
      </c>
      <c r="E617">
        <v>24509</v>
      </c>
      <c r="F617" t="s">
        <v>3906</v>
      </c>
      <c r="G617">
        <v>2607</v>
      </c>
      <c r="H617">
        <v>11.4</v>
      </c>
      <c r="I617" t="s">
        <v>3892</v>
      </c>
      <c r="J617" t="s">
        <v>3469</v>
      </c>
      <c r="K617" t="s">
        <v>463</v>
      </c>
      <c r="L617">
        <v>3.44</v>
      </c>
      <c r="M617" s="453">
        <v>46097</v>
      </c>
      <c r="N617">
        <v>3.5</v>
      </c>
      <c r="O617">
        <v>3.3</v>
      </c>
      <c r="P617">
        <v>39.22</v>
      </c>
    </row>
    <row r="618" spans="1:16" x14ac:dyDescent="0.3">
      <c r="A618">
        <v>79628</v>
      </c>
      <c r="B618">
        <v>116</v>
      </c>
      <c r="C618" t="s">
        <v>568</v>
      </c>
      <c r="D618" s="453">
        <v>46113</v>
      </c>
      <c r="E618">
        <v>19973</v>
      </c>
      <c r="F618" t="s">
        <v>3981</v>
      </c>
      <c r="G618">
        <v>2354</v>
      </c>
      <c r="H618">
        <v>2.5</v>
      </c>
      <c r="I618" t="s">
        <v>3872</v>
      </c>
      <c r="J618" t="s">
        <v>3469</v>
      </c>
      <c r="K618" t="s">
        <v>463</v>
      </c>
      <c r="L618">
        <v>15.2</v>
      </c>
      <c r="M618" s="453">
        <v>46092</v>
      </c>
      <c r="N618">
        <v>15.2</v>
      </c>
      <c r="O618">
        <v>15.2</v>
      </c>
      <c r="P618">
        <v>38</v>
      </c>
    </row>
    <row r="619" spans="1:16" x14ac:dyDescent="0.3">
      <c r="A619">
        <v>79691</v>
      </c>
      <c r="B619">
        <v>116</v>
      </c>
      <c r="C619" t="s">
        <v>568</v>
      </c>
      <c r="D619" s="453">
        <v>46113</v>
      </c>
      <c r="E619">
        <v>18341</v>
      </c>
      <c r="F619" t="s">
        <v>4086</v>
      </c>
      <c r="G619">
        <v>3293</v>
      </c>
      <c r="H619">
        <v>1</v>
      </c>
      <c r="I619" t="s">
        <v>3878</v>
      </c>
      <c r="J619" t="s">
        <v>3497</v>
      </c>
      <c r="K619" t="s">
        <v>463</v>
      </c>
      <c r="L619">
        <v>0</v>
      </c>
      <c r="N619">
        <v>0</v>
      </c>
      <c r="O619">
        <v>50</v>
      </c>
      <c r="P619">
        <v>38</v>
      </c>
    </row>
    <row r="620" spans="1:16" x14ac:dyDescent="0.3">
      <c r="A620">
        <v>79667</v>
      </c>
      <c r="B620">
        <v>116</v>
      </c>
      <c r="C620" t="s">
        <v>568</v>
      </c>
      <c r="D620" s="453">
        <v>46113</v>
      </c>
      <c r="E620">
        <v>20287</v>
      </c>
      <c r="F620" t="s">
        <v>4053</v>
      </c>
      <c r="G620">
        <v>2229</v>
      </c>
      <c r="H620">
        <v>1.5</v>
      </c>
      <c r="I620" t="s">
        <v>3888</v>
      </c>
      <c r="J620" t="s">
        <v>3469</v>
      </c>
      <c r="K620" t="s">
        <v>463</v>
      </c>
      <c r="L620">
        <v>24.85</v>
      </c>
      <c r="M620" s="453">
        <v>46106</v>
      </c>
      <c r="N620">
        <v>24.85</v>
      </c>
      <c r="O620">
        <v>24.85</v>
      </c>
      <c r="P620">
        <v>37.28</v>
      </c>
    </row>
    <row r="621" spans="1:16" x14ac:dyDescent="0.3">
      <c r="A621">
        <v>79689</v>
      </c>
      <c r="B621">
        <v>116</v>
      </c>
      <c r="C621" t="s">
        <v>568</v>
      </c>
      <c r="D621" s="453">
        <v>46113</v>
      </c>
      <c r="E621">
        <v>18317</v>
      </c>
      <c r="F621" t="s">
        <v>4045</v>
      </c>
      <c r="G621">
        <v>3316</v>
      </c>
      <c r="H621">
        <v>1</v>
      </c>
      <c r="I621" t="s">
        <v>3878</v>
      </c>
      <c r="J621" t="s">
        <v>3497</v>
      </c>
      <c r="K621" t="s">
        <v>463</v>
      </c>
      <c r="L621">
        <v>0</v>
      </c>
      <c r="M621" s="453">
        <v>45908</v>
      </c>
      <c r="N621">
        <v>37.25</v>
      </c>
      <c r="O621">
        <v>37.25</v>
      </c>
      <c r="P621">
        <v>37.25</v>
      </c>
    </row>
    <row r="622" spans="1:16" x14ac:dyDescent="0.3">
      <c r="A622">
        <v>79640</v>
      </c>
      <c r="B622">
        <v>116</v>
      </c>
      <c r="C622" t="s">
        <v>568</v>
      </c>
      <c r="D622" s="453">
        <v>46113</v>
      </c>
      <c r="E622">
        <v>19494</v>
      </c>
      <c r="F622" t="s">
        <v>4126</v>
      </c>
      <c r="G622">
        <v>2716</v>
      </c>
      <c r="H622">
        <v>2</v>
      </c>
      <c r="I622" t="s">
        <v>3892</v>
      </c>
      <c r="J622" t="s">
        <v>3469</v>
      </c>
      <c r="K622" t="s">
        <v>463</v>
      </c>
      <c r="L622">
        <v>18.399999999999999</v>
      </c>
      <c r="M622" s="453">
        <v>46097</v>
      </c>
      <c r="N622">
        <v>20</v>
      </c>
      <c r="O622">
        <v>19</v>
      </c>
      <c r="P622">
        <v>36.799999999999997</v>
      </c>
    </row>
    <row r="623" spans="1:16" x14ac:dyDescent="0.3">
      <c r="A623">
        <v>79680</v>
      </c>
      <c r="B623">
        <v>116</v>
      </c>
      <c r="C623" t="s">
        <v>568</v>
      </c>
      <c r="D623" s="453">
        <v>46113</v>
      </c>
      <c r="E623">
        <v>23335</v>
      </c>
      <c r="F623" t="s">
        <v>4075</v>
      </c>
      <c r="G623">
        <v>2523</v>
      </c>
      <c r="H623">
        <v>1.2</v>
      </c>
      <c r="I623" t="s">
        <v>3892</v>
      </c>
      <c r="J623" t="s">
        <v>3469</v>
      </c>
      <c r="K623" t="s">
        <v>463</v>
      </c>
      <c r="L623">
        <v>28.75</v>
      </c>
      <c r="M623" s="453">
        <v>46097</v>
      </c>
      <c r="N623">
        <v>32.5</v>
      </c>
      <c r="O623">
        <v>33.04</v>
      </c>
      <c r="P623">
        <v>34.5</v>
      </c>
    </row>
    <row r="624" spans="1:16" x14ac:dyDescent="0.3">
      <c r="A624">
        <v>79703</v>
      </c>
      <c r="B624">
        <v>116</v>
      </c>
      <c r="C624" t="s">
        <v>568</v>
      </c>
      <c r="D624" s="453">
        <v>46113</v>
      </c>
      <c r="E624">
        <v>19765</v>
      </c>
      <c r="F624" t="s">
        <v>4071</v>
      </c>
      <c r="G624">
        <v>2488</v>
      </c>
      <c r="H624">
        <v>1</v>
      </c>
      <c r="I624" t="s">
        <v>3892</v>
      </c>
      <c r="J624" t="s">
        <v>3469</v>
      </c>
      <c r="K624" t="s">
        <v>463</v>
      </c>
      <c r="L624">
        <v>0</v>
      </c>
      <c r="M624" s="453">
        <v>46030</v>
      </c>
      <c r="N624">
        <v>34.08</v>
      </c>
      <c r="O624">
        <v>36.25</v>
      </c>
      <c r="P624">
        <v>34.08</v>
      </c>
    </row>
    <row r="625" spans="1:16" x14ac:dyDescent="0.3">
      <c r="A625">
        <v>79649</v>
      </c>
      <c r="B625">
        <v>116</v>
      </c>
      <c r="C625" t="s">
        <v>568</v>
      </c>
      <c r="D625" s="453">
        <v>46113</v>
      </c>
      <c r="E625">
        <v>20077</v>
      </c>
      <c r="F625" t="s">
        <v>4054</v>
      </c>
      <c r="G625">
        <v>2317</v>
      </c>
      <c r="H625">
        <v>2</v>
      </c>
      <c r="I625" t="s">
        <v>3888</v>
      </c>
      <c r="J625" t="s">
        <v>3469</v>
      </c>
      <c r="K625" t="s">
        <v>463</v>
      </c>
      <c r="L625">
        <v>16.350000000000001</v>
      </c>
      <c r="M625" s="453">
        <v>46111</v>
      </c>
      <c r="N625">
        <v>16.350000000000001</v>
      </c>
      <c r="O625">
        <v>16.350000000000001</v>
      </c>
      <c r="P625">
        <v>32.700000000000003</v>
      </c>
    </row>
    <row r="626" spans="1:16" x14ac:dyDescent="0.3">
      <c r="A626">
        <v>79538</v>
      </c>
      <c r="B626">
        <v>116</v>
      </c>
      <c r="C626" t="s">
        <v>568</v>
      </c>
      <c r="D626" s="453">
        <v>46113</v>
      </c>
      <c r="E626">
        <v>23359</v>
      </c>
      <c r="F626" t="s">
        <v>3932</v>
      </c>
      <c r="G626">
        <v>2499</v>
      </c>
      <c r="H626">
        <v>12</v>
      </c>
      <c r="I626" t="s">
        <v>3892</v>
      </c>
      <c r="J626" t="s">
        <v>3469</v>
      </c>
      <c r="K626" t="s">
        <v>463</v>
      </c>
      <c r="L626">
        <v>2.71</v>
      </c>
      <c r="M626" s="453">
        <v>46104</v>
      </c>
      <c r="N626">
        <v>3.13</v>
      </c>
      <c r="O626">
        <v>2.34</v>
      </c>
      <c r="P626">
        <v>32.520000000000003</v>
      </c>
    </row>
    <row r="627" spans="1:16" x14ac:dyDescent="0.3">
      <c r="A627">
        <v>79584</v>
      </c>
      <c r="B627">
        <v>116</v>
      </c>
      <c r="C627" t="s">
        <v>568</v>
      </c>
      <c r="D627" s="453">
        <v>46113</v>
      </c>
      <c r="E627">
        <v>17093</v>
      </c>
      <c r="F627" t="s">
        <v>3993</v>
      </c>
      <c r="G627">
        <v>4165</v>
      </c>
      <c r="H627">
        <v>4</v>
      </c>
      <c r="I627" t="s">
        <v>3888</v>
      </c>
      <c r="J627" t="s">
        <v>3497</v>
      </c>
      <c r="K627" t="s">
        <v>463</v>
      </c>
      <c r="L627">
        <v>0</v>
      </c>
      <c r="M627" s="453">
        <v>46062</v>
      </c>
      <c r="N627">
        <v>8</v>
      </c>
      <c r="O627">
        <v>9</v>
      </c>
      <c r="P627">
        <v>32</v>
      </c>
    </row>
    <row r="628" spans="1:16" x14ac:dyDescent="0.3">
      <c r="A628">
        <v>79693</v>
      </c>
      <c r="B628">
        <v>116</v>
      </c>
      <c r="C628" t="s">
        <v>568</v>
      </c>
      <c r="D628" s="453">
        <v>46113</v>
      </c>
      <c r="E628">
        <v>18395</v>
      </c>
      <c r="F628" t="s">
        <v>4085</v>
      </c>
      <c r="G628">
        <v>3245</v>
      </c>
      <c r="H628">
        <v>1</v>
      </c>
      <c r="I628" t="s">
        <v>3878</v>
      </c>
      <c r="J628" t="s">
        <v>3497</v>
      </c>
      <c r="K628" t="s">
        <v>463</v>
      </c>
      <c r="L628">
        <v>0</v>
      </c>
      <c r="M628" s="453">
        <v>45978</v>
      </c>
      <c r="N628">
        <v>32</v>
      </c>
      <c r="O628">
        <v>30.95</v>
      </c>
      <c r="P628">
        <v>32</v>
      </c>
    </row>
    <row r="629" spans="1:16" x14ac:dyDescent="0.3">
      <c r="A629">
        <v>79562</v>
      </c>
      <c r="B629">
        <v>116</v>
      </c>
      <c r="C629" t="s">
        <v>568</v>
      </c>
      <c r="D629" s="453">
        <v>46113</v>
      </c>
      <c r="E629">
        <v>19787</v>
      </c>
      <c r="F629" t="s">
        <v>3940</v>
      </c>
      <c r="G629">
        <v>2471</v>
      </c>
      <c r="H629">
        <v>6</v>
      </c>
      <c r="I629" t="s">
        <v>3892</v>
      </c>
      <c r="J629" t="s">
        <v>3469</v>
      </c>
      <c r="K629" t="s">
        <v>463</v>
      </c>
      <c r="L629">
        <v>5.16</v>
      </c>
      <c r="M629" s="453">
        <v>46104</v>
      </c>
      <c r="N629">
        <v>5.5</v>
      </c>
      <c r="O629">
        <v>5.5</v>
      </c>
      <c r="P629">
        <v>30.96</v>
      </c>
    </row>
    <row r="630" spans="1:16" x14ac:dyDescent="0.3">
      <c r="A630">
        <v>79681</v>
      </c>
      <c r="B630">
        <v>116</v>
      </c>
      <c r="C630" t="s">
        <v>568</v>
      </c>
      <c r="D630" s="453">
        <v>46113</v>
      </c>
      <c r="E630">
        <v>23503</v>
      </c>
      <c r="F630" t="s">
        <v>4041</v>
      </c>
      <c r="G630">
        <v>2366</v>
      </c>
      <c r="H630">
        <v>1.2</v>
      </c>
      <c r="I630" t="s">
        <v>3892</v>
      </c>
      <c r="J630" t="s">
        <v>3469</v>
      </c>
      <c r="K630" t="s">
        <v>463</v>
      </c>
      <c r="L630">
        <v>0</v>
      </c>
      <c r="M630" s="453">
        <v>46063</v>
      </c>
      <c r="N630">
        <v>24.2</v>
      </c>
      <c r="O630">
        <v>23.3</v>
      </c>
      <c r="P630">
        <v>29.04</v>
      </c>
    </row>
    <row r="631" spans="1:16" x14ac:dyDescent="0.3">
      <c r="A631">
        <v>79555</v>
      </c>
      <c r="B631">
        <v>116</v>
      </c>
      <c r="C631" t="s">
        <v>568</v>
      </c>
      <c r="D631" s="453">
        <v>46113</v>
      </c>
      <c r="E631">
        <v>20685</v>
      </c>
      <c r="F631" t="s">
        <v>4122</v>
      </c>
      <c r="G631">
        <v>2106</v>
      </c>
      <c r="H631">
        <v>8</v>
      </c>
      <c r="I631" t="s">
        <v>3872</v>
      </c>
      <c r="J631" t="s">
        <v>3469</v>
      </c>
      <c r="K631" t="s">
        <v>463</v>
      </c>
      <c r="L631">
        <v>3.54</v>
      </c>
      <c r="M631" s="453">
        <v>46111</v>
      </c>
      <c r="N631">
        <v>3.54</v>
      </c>
      <c r="O631">
        <v>3.54</v>
      </c>
      <c r="P631">
        <v>28.32</v>
      </c>
    </row>
    <row r="632" spans="1:16" x14ac:dyDescent="0.3">
      <c r="A632">
        <v>79657</v>
      </c>
      <c r="B632">
        <v>116</v>
      </c>
      <c r="C632" t="s">
        <v>568</v>
      </c>
      <c r="D632" s="453">
        <v>46113</v>
      </c>
      <c r="E632">
        <v>24393</v>
      </c>
      <c r="F632" t="s">
        <v>4039</v>
      </c>
      <c r="G632">
        <v>3045</v>
      </c>
      <c r="H632">
        <v>2</v>
      </c>
      <c r="I632" t="s">
        <v>3892</v>
      </c>
      <c r="J632" t="s">
        <v>3469</v>
      </c>
      <c r="K632" t="s">
        <v>463</v>
      </c>
      <c r="L632">
        <v>13.99</v>
      </c>
      <c r="M632" s="453">
        <v>46086</v>
      </c>
      <c r="N632">
        <v>13.99</v>
      </c>
      <c r="O632">
        <v>13.99</v>
      </c>
      <c r="P632">
        <v>27.98</v>
      </c>
    </row>
    <row r="633" spans="1:16" x14ac:dyDescent="0.3">
      <c r="A633">
        <v>79685</v>
      </c>
      <c r="B633">
        <v>116</v>
      </c>
      <c r="C633" t="s">
        <v>568</v>
      </c>
      <c r="D633" s="453">
        <v>46113</v>
      </c>
      <c r="E633">
        <v>18030</v>
      </c>
      <c r="F633" t="s">
        <v>4033</v>
      </c>
      <c r="G633">
        <v>3568</v>
      </c>
      <c r="H633">
        <v>1</v>
      </c>
      <c r="I633" t="s">
        <v>3878</v>
      </c>
      <c r="J633" t="s">
        <v>3497</v>
      </c>
      <c r="K633" t="s">
        <v>463</v>
      </c>
      <c r="L633">
        <v>0</v>
      </c>
      <c r="M633" s="453">
        <v>45972</v>
      </c>
      <c r="N633">
        <v>27.5</v>
      </c>
      <c r="O633">
        <v>27.99</v>
      </c>
      <c r="P633">
        <v>27.5</v>
      </c>
    </row>
    <row r="634" spans="1:16" x14ac:dyDescent="0.3">
      <c r="A634">
        <v>79619</v>
      </c>
      <c r="B634">
        <v>116</v>
      </c>
      <c r="C634" t="s">
        <v>568</v>
      </c>
      <c r="D634" s="453">
        <v>46113</v>
      </c>
      <c r="E634">
        <v>23349</v>
      </c>
      <c r="F634" t="s">
        <v>4173</v>
      </c>
      <c r="G634">
        <v>2509</v>
      </c>
      <c r="H634">
        <v>3</v>
      </c>
      <c r="I634" t="s">
        <v>3892</v>
      </c>
      <c r="J634" t="s">
        <v>3469</v>
      </c>
      <c r="K634" t="s">
        <v>463</v>
      </c>
      <c r="L634">
        <v>9</v>
      </c>
      <c r="M634" s="453">
        <v>46097</v>
      </c>
      <c r="N634">
        <v>9</v>
      </c>
      <c r="O634">
        <v>9</v>
      </c>
      <c r="P634">
        <v>27</v>
      </c>
    </row>
    <row r="635" spans="1:16" x14ac:dyDescent="0.3">
      <c r="A635">
        <v>79648</v>
      </c>
      <c r="B635">
        <v>116</v>
      </c>
      <c r="C635" t="s">
        <v>568</v>
      </c>
      <c r="D635" s="453">
        <v>46113</v>
      </c>
      <c r="E635">
        <v>19751</v>
      </c>
      <c r="F635" t="s">
        <v>4019</v>
      </c>
      <c r="G635">
        <v>2502</v>
      </c>
      <c r="H635">
        <v>2</v>
      </c>
      <c r="I635" t="s">
        <v>3892</v>
      </c>
      <c r="J635" t="s">
        <v>3469</v>
      </c>
      <c r="K635" t="s">
        <v>463</v>
      </c>
      <c r="L635">
        <v>13.43</v>
      </c>
      <c r="M635" s="453">
        <v>46097</v>
      </c>
      <c r="N635">
        <v>11.25</v>
      </c>
      <c r="O635">
        <v>11.5</v>
      </c>
      <c r="P635">
        <v>26.86</v>
      </c>
    </row>
    <row r="636" spans="1:16" x14ac:dyDescent="0.3">
      <c r="A636">
        <v>79705</v>
      </c>
      <c r="B636">
        <v>116</v>
      </c>
      <c r="C636" t="s">
        <v>568</v>
      </c>
      <c r="D636" s="453">
        <v>46113</v>
      </c>
      <c r="E636">
        <v>20395</v>
      </c>
      <c r="F636" t="s">
        <v>4057</v>
      </c>
      <c r="G636">
        <v>2192</v>
      </c>
      <c r="H636">
        <v>1</v>
      </c>
      <c r="I636" t="s">
        <v>3872</v>
      </c>
      <c r="J636" t="s">
        <v>3469</v>
      </c>
      <c r="K636" t="s">
        <v>463</v>
      </c>
      <c r="L636">
        <v>26.7</v>
      </c>
      <c r="M636" s="453">
        <v>46099</v>
      </c>
      <c r="N636">
        <v>26.7</v>
      </c>
      <c r="O636">
        <v>26.7</v>
      </c>
      <c r="P636">
        <v>26.7</v>
      </c>
    </row>
    <row r="637" spans="1:16" x14ac:dyDescent="0.3">
      <c r="A637">
        <v>79618</v>
      </c>
      <c r="B637">
        <v>116</v>
      </c>
      <c r="C637" t="s">
        <v>568</v>
      </c>
      <c r="D637" s="453">
        <v>46113</v>
      </c>
      <c r="E637">
        <v>23236</v>
      </c>
      <c r="F637" t="s">
        <v>4017</v>
      </c>
      <c r="G637">
        <v>2620</v>
      </c>
      <c r="H637">
        <v>3</v>
      </c>
      <c r="I637" t="s">
        <v>3892</v>
      </c>
      <c r="J637" t="s">
        <v>3469</v>
      </c>
      <c r="K637" t="s">
        <v>463</v>
      </c>
      <c r="L637">
        <v>8.7200000000000006</v>
      </c>
      <c r="M637" s="453">
        <v>46104</v>
      </c>
      <c r="N637">
        <v>12.32</v>
      </c>
      <c r="O637">
        <v>12.5</v>
      </c>
      <c r="P637">
        <v>26.16</v>
      </c>
    </row>
    <row r="638" spans="1:16" x14ac:dyDescent="0.3">
      <c r="A638">
        <v>79635</v>
      </c>
      <c r="B638">
        <v>116</v>
      </c>
      <c r="C638" t="s">
        <v>568</v>
      </c>
      <c r="D638" s="453">
        <v>46113</v>
      </c>
      <c r="E638">
        <v>17942</v>
      </c>
      <c r="F638" t="s">
        <v>4035</v>
      </c>
      <c r="G638">
        <v>3630</v>
      </c>
      <c r="H638">
        <v>2</v>
      </c>
      <c r="I638" t="s">
        <v>3872</v>
      </c>
      <c r="J638" t="s">
        <v>3497</v>
      </c>
      <c r="K638" t="s">
        <v>463</v>
      </c>
      <c r="L638">
        <v>0</v>
      </c>
      <c r="M638" s="453">
        <v>46062</v>
      </c>
      <c r="N638">
        <v>13</v>
      </c>
      <c r="O638">
        <v>14</v>
      </c>
      <c r="P638">
        <v>26</v>
      </c>
    </row>
    <row r="639" spans="1:16" x14ac:dyDescent="0.3">
      <c r="A639">
        <v>79656</v>
      </c>
      <c r="B639">
        <v>116</v>
      </c>
      <c r="C639" t="s">
        <v>568</v>
      </c>
      <c r="D639" s="453">
        <v>46113</v>
      </c>
      <c r="E639">
        <v>24212</v>
      </c>
      <c r="F639" t="s">
        <v>4056</v>
      </c>
      <c r="G639">
        <v>2064</v>
      </c>
      <c r="H639">
        <v>2</v>
      </c>
      <c r="I639" t="s">
        <v>3892</v>
      </c>
      <c r="J639" t="s">
        <v>3469</v>
      </c>
      <c r="K639" t="s">
        <v>463</v>
      </c>
      <c r="L639">
        <v>13</v>
      </c>
      <c r="M639" s="453">
        <v>46105</v>
      </c>
      <c r="N639">
        <v>13</v>
      </c>
      <c r="O639">
        <v>13</v>
      </c>
      <c r="P639">
        <v>26</v>
      </c>
    </row>
    <row r="640" spans="1:16" x14ac:dyDescent="0.3">
      <c r="A640">
        <v>79658</v>
      </c>
      <c r="B640">
        <v>116</v>
      </c>
      <c r="C640" t="s">
        <v>568</v>
      </c>
      <c r="D640" s="453">
        <v>46113</v>
      </c>
      <c r="E640">
        <v>25769</v>
      </c>
      <c r="F640" t="s">
        <v>4013</v>
      </c>
      <c r="G640">
        <v>6318</v>
      </c>
      <c r="H640">
        <v>2</v>
      </c>
      <c r="I640" t="s">
        <v>3892</v>
      </c>
      <c r="J640" t="s">
        <v>3469</v>
      </c>
      <c r="K640" t="s">
        <v>463</v>
      </c>
      <c r="L640">
        <v>13</v>
      </c>
      <c r="M640" s="453">
        <v>46111</v>
      </c>
      <c r="N640">
        <v>13</v>
      </c>
      <c r="O640">
        <v>13</v>
      </c>
      <c r="P640">
        <v>26</v>
      </c>
    </row>
    <row r="641" spans="1:16" x14ac:dyDescent="0.3">
      <c r="A641">
        <v>79576</v>
      </c>
      <c r="B641">
        <v>116</v>
      </c>
      <c r="C641" t="s">
        <v>568</v>
      </c>
      <c r="D641" s="453">
        <v>46113</v>
      </c>
      <c r="E641">
        <v>23389</v>
      </c>
      <c r="F641" t="s">
        <v>4016</v>
      </c>
      <c r="G641">
        <v>2475</v>
      </c>
      <c r="H641">
        <v>5</v>
      </c>
      <c r="I641" t="s">
        <v>3892</v>
      </c>
      <c r="J641" t="s">
        <v>3469</v>
      </c>
      <c r="K641" t="s">
        <v>463</v>
      </c>
      <c r="L641">
        <v>5.13</v>
      </c>
      <c r="M641" s="453">
        <v>46104</v>
      </c>
      <c r="N641">
        <v>5</v>
      </c>
      <c r="O641">
        <v>5</v>
      </c>
      <c r="P641">
        <v>25.65</v>
      </c>
    </row>
    <row r="642" spans="1:16" x14ac:dyDescent="0.3">
      <c r="A642">
        <v>79507</v>
      </c>
      <c r="B642">
        <v>116</v>
      </c>
      <c r="C642" t="s">
        <v>568</v>
      </c>
      <c r="D642" s="453">
        <v>46113</v>
      </c>
      <c r="E642">
        <v>23096</v>
      </c>
      <c r="F642" t="s">
        <v>3876</v>
      </c>
      <c r="G642">
        <v>2753</v>
      </c>
      <c r="H642">
        <v>35</v>
      </c>
      <c r="I642" t="s">
        <v>3872</v>
      </c>
      <c r="J642" t="s">
        <v>3469</v>
      </c>
      <c r="K642" t="s">
        <v>463</v>
      </c>
      <c r="L642">
        <v>0.73</v>
      </c>
      <c r="M642" s="453">
        <v>46100</v>
      </c>
      <c r="N642">
        <v>0.75</v>
      </c>
      <c r="O642">
        <v>0.83</v>
      </c>
      <c r="P642">
        <v>25.55</v>
      </c>
    </row>
    <row r="643" spans="1:16" x14ac:dyDescent="0.3">
      <c r="A643">
        <v>79647</v>
      </c>
      <c r="B643">
        <v>116</v>
      </c>
      <c r="C643" t="s">
        <v>568</v>
      </c>
      <c r="D643" s="453">
        <v>46113</v>
      </c>
      <c r="E643">
        <v>19672</v>
      </c>
      <c r="F643" t="s">
        <v>4024</v>
      </c>
      <c r="G643">
        <v>2567</v>
      </c>
      <c r="H643">
        <v>2</v>
      </c>
      <c r="I643" t="s">
        <v>3892</v>
      </c>
      <c r="J643" t="s">
        <v>3469</v>
      </c>
      <c r="K643" t="s">
        <v>463</v>
      </c>
      <c r="L643">
        <v>12.63</v>
      </c>
      <c r="M643" s="453">
        <v>46100</v>
      </c>
      <c r="N643">
        <v>13.05</v>
      </c>
      <c r="O643">
        <v>13.05</v>
      </c>
      <c r="P643">
        <v>25.26</v>
      </c>
    </row>
    <row r="644" spans="1:16" x14ac:dyDescent="0.3">
      <c r="A644">
        <v>79707</v>
      </c>
      <c r="B644">
        <v>116</v>
      </c>
      <c r="C644" t="s">
        <v>568</v>
      </c>
      <c r="D644" s="453">
        <v>46113</v>
      </c>
      <c r="E644">
        <v>20597</v>
      </c>
      <c r="F644" t="s">
        <v>4157</v>
      </c>
      <c r="G644">
        <v>2120</v>
      </c>
      <c r="H644">
        <v>1</v>
      </c>
      <c r="I644" t="s">
        <v>3872</v>
      </c>
      <c r="J644" t="s">
        <v>3469</v>
      </c>
      <c r="K644" t="s">
        <v>463</v>
      </c>
      <c r="L644">
        <v>0</v>
      </c>
      <c r="M644" s="453">
        <v>46027</v>
      </c>
      <c r="N644">
        <v>24.8</v>
      </c>
      <c r="O644">
        <v>42.35</v>
      </c>
      <c r="P644">
        <v>24.8</v>
      </c>
    </row>
    <row r="645" spans="1:16" x14ac:dyDescent="0.3">
      <c r="A645">
        <v>79679</v>
      </c>
      <c r="B645">
        <v>116</v>
      </c>
      <c r="C645" t="s">
        <v>568</v>
      </c>
      <c r="D645" s="453">
        <v>46113</v>
      </c>
      <c r="E645">
        <v>23270</v>
      </c>
      <c r="F645" t="s">
        <v>4103</v>
      </c>
      <c r="G645">
        <v>2590</v>
      </c>
      <c r="H645">
        <v>1.2</v>
      </c>
      <c r="I645" t="s">
        <v>3892</v>
      </c>
      <c r="J645" t="s">
        <v>3469</v>
      </c>
      <c r="K645" t="s">
        <v>463</v>
      </c>
      <c r="L645">
        <v>19.899999999999999</v>
      </c>
      <c r="M645" s="453">
        <v>46092</v>
      </c>
      <c r="N645">
        <v>19.899999999999999</v>
      </c>
      <c r="O645">
        <v>19.899999999999999</v>
      </c>
      <c r="P645">
        <v>23.88</v>
      </c>
    </row>
    <row r="646" spans="1:16" x14ac:dyDescent="0.3">
      <c r="A646">
        <v>79683</v>
      </c>
      <c r="B646">
        <v>116</v>
      </c>
      <c r="C646" t="s">
        <v>568</v>
      </c>
      <c r="D646" s="453">
        <v>46113</v>
      </c>
      <c r="E646">
        <v>17878</v>
      </c>
      <c r="F646" t="s">
        <v>4096</v>
      </c>
      <c r="G646">
        <v>3677</v>
      </c>
      <c r="H646">
        <v>1</v>
      </c>
      <c r="I646" t="s">
        <v>3872</v>
      </c>
      <c r="J646" t="s">
        <v>3497</v>
      </c>
      <c r="K646" t="s">
        <v>463</v>
      </c>
      <c r="L646">
        <v>23.5</v>
      </c>
      <c r="M646" s="453">
        <v>46092</v>
      </c>
      <c r="N646">
        <v>23.5</v>
      </c>
      <c r="O646">
        <v>22.5</v>
      </c>
      <c r="P646">
        <v>23.5</v>
      </c>
    </row>
    <row r="647" spans="1:16" x14ac:dyDescent="0.3">
      <c r="A647">
        <v>79593</v>
      </c>
      <c r="B647">
        <v>116</v>
      </c>
      <c r="C647" t="s">
        <v>568</v>
      </c>
      <c r="D647" s="453">
        <v>46113</v>
      </c>
      <c r="E647">
        <v>23186</v>
      </c>
      <c r="F647" t="s">
        <v>3988</v>
      </c>
      <c r="G647">
        <v>2668</v>
      </c>
      <c r="H647">
        <v>4</v>
      </c>
      <c r="I647" t="s">
        <v>3892</v>
      </c>
      <c r="J647" t="s">
        <v>3469</v>
      </c>
      <c r="K647" t="s">
        <v>463</v>
      </c>
      <c r="L647">
        <v>0</v>
      </c>
      <c r="M647" s="453">
        <v>45943</v>
      </c>
      <c r="N647">
        <v>5.56</v>
      </c>
      <c r="O647">
        <v>8.5500000000000007</v>
      </c>
      <c r="P647">
        <v>22.24</v>
      </c>
    </row>
    <row r="648" spans="1:16" x14ac:dyDescent="0.3">
      <c r="A648">
        <v>79711</v>
      </c>
      <c r="B648">
        <v>116</v>
      </c>
      <c r="C648" t="s">
        <v>568</v>
      </c>
      <c r="D648" s="453">
        <v>46113</v>
      </c>
      <c r="E648">
        <v>23142</v>
      </c>
      <c r="F648" t="s">
        <v>4151</v>
      </c>
      <c r="G648">
        <v>2709</v>
      </c>
      <c r="H648">
        <v>1</v>
      </c>
      <c r="I648" t="s">
        <v>3892</v>
      </c>
      <c r="J648" t="s">
        <v>3469</v>
      </c>
      <c r="K648" t="s">
        <v>463</v>
      </c>
      <c r="L648">
        <v>22.03</v>
      </c>
      <c r="M648" s="453">
        <v>46111</v>
      </c>
      <c r="N648">
        <v>21.66</v>
      </c>
      <c r="O648">
        <v>21.66</v>
      </c>
      <c r="P648">
        <v>22.03</v>
      </c>
    </row>
    <row r="649" spans="1:16" x14ac:dyDescent="0.3">
      <c r="A649">
        <v>79614</v>
      </c>
      <c r="B649">
        <v>116</v>
      </c>
      <c r="C649" t="s">
        <v>568</v>
      </c>
      <c r="D649" s="453">
        <v>46113</v>
      </c>
      <c r="E649">
        <v>20326</v>
      </c>
      <c r="F649" t="s">
        <v>3953</v>
      </c>
      <c r="G649">
        <v>2211</v>
      </c>
      <c r="H649">
        <v>3</v>
      </c>
      <c r="I649" t="s">
        <v>3892</v>
      </c>
      <c r="J649" t="s">
        <v>3469</v>
      </c>
      <c r="K649" t="s">
        <v>463</v>
      </c>
      <c r="L649">
        <v>7.15</v>
      </c>
      <c r="M649" s="453">
        <v>46099</v>
      </c>
      <c r="N649">
        <v>7.15</v>
      </c>
      <c r="O649">
        <v>7.15</v>
      </c>
      <c r="P649">
        <v>21.45</v>
      </c>
    </row>
    <row r="650" spans="1:16" x14ac:dyDescent="0.3">
      <c r="A650">
        <v>79664</v>
      </c>
      <c r="B650">
        <v>116</v>
      </c>
      <c r="C650" t="s">
        <v>568</v>
      </c>
      <c r="D650" s="453">
        <v>46113</v>
      </c>
      <c r="E650">
        <v>19505</v>
      </c>
      <c r="F650" t="s">
        <v>4101</v>
      </c>
      <c r="G650">
        <v>2706</v>
      </c>
      <c r="H650">
        <v>1.5</v>
      </c>
      <c r="I650" t="s">
        <v>3892</v>
      </c>
      <c r="J650" t="s">
        <v>3469</v>
      </c>
      <c r="K650" t="s">
        <v>463</v>
      </c>
      <c r="L650">
        <v>13.56</v>
      </c>
      <c r="M650" s="453">
        <v>46104</v>
      </c>
      <c r="N650">
        <v>14.5</v>
      </c>
      <c r="O650">
        <v>11.5</v>
      </c>
      <c r="P650">
        <v>20.34</v>
      </c>
    </row>
    <row r="651" spans="1:16" x14ac:dyDescent="0.3">
      <c r="A651">
        <v>79706</v>
      </c>
      <c r="B651">
        <v>116</v>
      </c>
      <c r="C651" t="s">
        <v>568</v>
      </c>
      <c r="D651" s="453">
        <v>46113</v>
      </c>
      <c r="E651">
        <v>20429</v>
      </c>
      <c r="F651" t="s">
        <v>4051</v>
      </c>
      <c r="G651">
        <v>2184</v>
      </c>
      <c r="H651">
        <v>1</v>
      </c>
      <c r="I651" t="s">
        <v>3872</v>
      </c>
      <c r="J651" t="s">
        <v>3469</v>
      </c>
      <c r="K651" t="s">
        <v>463</v>
      </c>
      <c r="L651">
        <v>0</v>
      </c>
      <c r="M651" s="453">
        <v>45944</v>
      </c>
      <c r="N651">
        <v>19.8</v>
      </c>
      <c r="O651">
        <v>20.2</v>
      </c>
      <c r="P651">
        <v>19.8</v>
      </c>
    </row>
    <row r="652" spans="1:16" x14ac:dyDescent="0.3">
      <c r="A652">
        <v>79644</v>
      </c>
      <c r="B652">
        <v>116</v>
      </c>
      <c r="C652" t="s">
        <v>568</v>
      </c>
      <c r="D652" s="453">
        <v>46113</v>
      </c>
      <c r="E652">
        <v>19634</v>
      </c>
      <c r="F652" t="s">
        <v>4068</v>
      </c>
      <c r="G652">
        <v>2602</v>
      </c>
      <c r="H652">
        <v>2</v>
      </c>
      <c r="I652" t="s">
        <v>3892</v>
      </c>
      <c r="J652" t="s">
        <v>3469</v>
      </c>
      <c r="K652" t="s">
        <v>463</v>
      </c>
      <c r="L652">
        <v>9.85</v>
      </c>
      <c r="M652" s="453">
        <v>46100</v>
      </c>
      <c r="N652">
        <v>9.64</v>
      </c>
      <c r="O652">
        <v>7.8</v>
      </c>
      <c r="P652">
        <v>19.7</v>
      </c>
    </row>
    <row r="653" spans="1:16" x14ac:dyDescent="0.3">
      <c r="A653">
        <v>79682</v>
      </c>
      <c r="B653">
        <v>116</v>
      </c>
      <c r="C653" t="s">
        <v>568</v>
      </c>
      <c r="D653" s="453">
        <v>46113</v>
      </c>
      <c r="E653">
        <v>17066</v>
      </c>
      <c r="F653" t="s">
        <v>4155</v>
      </c>
      <c r="G653">
        <v>2543</v>
      </c>
      <c r="H653">
        <v>1</v>
      </c>
      <c r="I653" t="s">
        <v>3892</v>
      </c>
      <c r="J653" t="s">
        <v>3469</v>
      </c>
      <c r="K653" t="s">
        <v>463</v>
      </c>
      <c r="L653">
        <v>19.43</v>
      </c>
      <c r="M653" s="453">
        <v>46097</v>
      </c>
      <c r="N653">
        <v>19.43</v>
      </c>
      <c r="O653">
        <v>20.88</v>
      </c>
      <c r="P653">
        <v>19.43</v>
      </c>
    </row>
    <row r="654" spans="1:16" x14ac:dyDescent="0.3">
      <c r="A654">
        <v>79677</v>
      </c>
      <c r="B654">
        <v>116</v>
      </c>
      <c r="C654" t="s">
        <v>568</v>
      </c>
      <c r="D654" s="453">
        <v>46113</v>
      </c>
      <c r="E654">
        <v>23502</v>
      </c>
      <c r="F654" t="s">
        <v>4174</v>
      </c>
      <c r="G654">
        <v>2367</v>
      </c>
      <c r="H654">
        <v>1.3</v>
      </c>
      <c r="I654" t="s">
        <v>3872</v>
      </c>
      <c r="J654" t="s">
        <v>3469</v>
      </c>
      <c r="K654" t="s">
        <v>463</v>
      </c>
      <c r="L654">
        <v>14.9</v>
      </c>
      <c r="M654" s="453">
        <v>46085</v>
      </c>
      <c r="N654">
        <v>14.9</v>
      </c>
      <c r="O654">
        <v>12.97</v>
      </c>
      <c r="P654">
        <v>19.37</v>
      </c>
    </row>
    <row r="655" spans="1:16" x14ac:dyDescent="0.3">
      <c r="A655">
        <v>79726</v>
      </c>
      <c r="B655">
        <v>116</v>
      </c>
      <c r="C655" t="s">
        <v>568</v>
      </c>
      <c r="D655" s="453">
        <v>46113</v>
      </c>
      <c r="E655">
        <v>23120</v>
      </c>
      <c r="F655" t="s">
        <v>4111</v>
      </c>
      <c r="G655">
        <v>2730</v>
      </c>
      <c r="H655">
        <v>0.3</v>
      </c>
      <c r="I655" t="s">
        <v>3892</v>
      </c>
      <c r="J655" t="s">
        <v>3469</v>
      </c>
      <c r="K655" t="s">
        <v>463</v>
      </c>
      <c r="L655">
        <v>63.25</v>
      </c>
      <c r="M655" s="453">
        <v>46104</v>
      </c>
      <c r="N655">
        <v>65</v>
      </c>
      <c r="O655">
        <v>65</v>
      </c>
      <c r="P655">
        <v>18.97</v>
      </c>
    </row>
    <row r="656" spans="1:16" x14ac:dyDescent="0.3">
      <c r="A656">
        <v>79695</v>
      </c>
      <c r="B656">
        <v>116</v>
      </c>
      <c r="C656" t="s">
        <v>568</v>
      </c>
      <c r="D656" s="453">
        <v>46113</v>
      </c>
      <c r="E656">
        <v>19498</v>
      </c>
      <c r="F656" t="s">
        <v>4065</v>
      </c>
      <c r="G656">
        <v>2712</v>
      </c>
      <c r="H656">
        <v>1</v>
      </c>
      <c r="I656" t="s">
        <v>3892</v>
      </c>
      <c r="J656" t="s">
        <v>3469</v>
      </c>
      <c r="K656" t="s">
        <v>463</v>
      </c>
      <c r="L656">
        <v>17.86</v>
      </c>
      <c r="M656" s="453">
        <v>46104</v>
      </c>
      <c r="N656">
        <v>18</v>
      </c>
      <c r="O656">
        <v>13</v>
      </c>
      <c r="P656">
        <v>17.86</v>
      </c>
    </row>
    <row r="657" spans="1:16" x14ac:dyDescent="0.3">
      <c r="A657">
        <v>79673</v>
      </c>
      <c r="B657">
        <v>116</v>
      </c>
      <c r="C657" t="s">
        <v>568</v>
      </c>
      <c r="D657" s="453">
        <v>46113</v>
      </c>
      <c r="E657">
        <v>23852</v>
      </c>
      <c r="F657" t="s">
        <v>4061</v>
      </c>
      <c r="G657">
        <v>2043</v>
      </c>
      <c r="H657">
        <v>1.5</v>
      </c>
      <c r="I657" t="s">
        <v>3892</v>
      </c>
      <c r="J657" t="s">
        <v>3469</v>
      </c>
      <c r="K657" t="s">
        <v>463</v>
      </c>
      <c r="L657">
        <v>0</v>
      </c>
      <c r="N657">
        <v>0</v>
      </c>
      <c r="O657">
        <v>11.4</v>
      </c>
      <c r="P657">
        <v>17.100000000000001</v>
      </c>
    </row>
    <row r="658" spans="1:16" x14ac:dyDescent="0.3">
      <c r="A658">
        <v>79672</v>
      </c>
      <c r="B658">
        <v>116</v>
      </c>
      <c r="C658" t="s">
        <v>568</v>
      </c>
      <c r="D658" s="453">
        <v>46113</v>
      </c>
      <c r="E658">
        <v>23113</v>
      </c>
      <c r="F658" t="s">
        <v>4079</v>
      </c>
      <c r="G658">
        <v>2736</v>
      </c>
      <c r="H658">
        <v>1.5</v>
      </c>
      <c r="I658" t="s">
        <v>3892</v>
      </c>
      <c r="J658" t="s">
        <v>3469</v>
      </c>
      <c r="K658" t="s">
        <v>463</v>
      </c>
      <c r="L658">
        <v>11.01</v>
      </c>
      <c r="M658" s="453">
        <v>46104</v>
      </c>
      <c r="N658">
        <v>12.5</v>
      </c>
      <c r="O658">
        <v>12.91</v>
      </c>
      <c r="P658">
        <v>16.52</v>
      </c>
    </row>
    <row r="659" spans="1:16" x14ac:dyDescent="0.3">
      <c r="A659">
        <v>79653</v>
      </c>
      <c r="B659">
        <v>116</v>
      </c>
      <c r="C659" t="s">
        <v>568</v>
      </c>
      <c r="D659" s="453">
        <v>46113</v>
      </c>
      <c r="E659">
        <v>21126</v>
      </c>
      <c r="F659" t="s">
        <v>4004</v>
      </c>
      <c r="G659">
        <v>1963</v>
      </c>
      <c r="H659">
        <v>2</v>
      </c>
      <c r="I659" t="s">
        <v>3888</v>
      </c>
      <c r="J659" t="s">
        <v>3469</v>
      </c>
      <c r="K659" t="s">
        <v>463</v>
      </c>
      <c r="L659">
        <v>7.8</v>
      </c>
      <c r="M659" s="453">
        <v>46085</v>
      </c>
      <c r="N659">
        <v>7.8</v>
      </c>
      <c r="O659">
        <v>7.8</v>
      </c>
      <c r="P659">
        <v>15.6</v>
      </c>
    </row>
    <row r="660" spans="1:16" x14ac:dyDescent="0.3">
      <c r="A660">
        <v>79712</v>
      </c>
      <c r="B660">
        <v>116</v>
      </c>
      <c r="C660" t="s">
        <v>568</v>
      </c>
      <c r="D660" s="453">
        <v>46113</v>
      </c>
      <c r="E660">
        <v>24400</v>
      </c>
      <c r="F660" t="s">
        <v>4149</v>
      </c>
      <c r="G660">
        <v>2368</v>
      </c>
      <c r="H660">
        <v>1</v>
      </c>
      <c r="I660" t="s">
        <v>3872</v>
      </c>
      <c r="J660" t="s">
        <v>3469</v>
      </c>
      <c r="K660" t="s">
        <v>463</v>
      </c>
      <c r="L660">
        <v>0</v>
      </c>
      <c r="M660" s="453">
        <v>46028</v>
      </c>
      <c r="N660">
        <v>14.5</v>
      </c>
      <c r="O660">
        <v>14</v>
      </c>
      <c r="P660">
        <v>14.5</v>
      </c>
    </row>
    <row r="661" spans="1:16" x14ac:dyDescent="0.3">
      <c r="A661">
        <v>79699</v>
      </c>
      <c r="B661">
        <v>116</v>
      </c>
      <c r="C661" t="s">
        <v>568</v>
      </c>
      <c r="D661" s="453">
        <v>46113</v>
      </c>
      <c r="E661">
        <v>19647</v>
      </c>
      <c r="F661" t="s">
        <v>4066</v>
      </c>
      <c r="G661">
        <v>2591</v>
      </c>
      <c r="H661">
        <v>1</v>
      </c>
      <c r="I661" t="s">
        <v>3892</v>
      </c>
      <c r="J661" t="s">
        <v>3469</v>
      </c>
      <c r="K661" t="s">
        <v>463</v>
      </c>
      <c r="L661">
        <v>13.93</v>
      </c>
      <c r="M661" s="453">
        <v>46097</v>
      </c>
      <c r="N661">
        <v>15</v>
      </c>
      <c r="O661">
        <v>15.5</v>
      </c>
      <c r="P661">
        <v>13.93</v>
      </c>
    </row>
    <row r="662" spans="1:16" x14ac:dyDescent="0.3">
      <c r="A662">
        <v>79611</v>
      </c>
      <c r="B662">
        <v>116</v>
      </c>
      <c r="C662" t="s">
        <v>568</v>
      </c>
      <c r="D662" s="453">
        <v>46113</v>
      </c>
      <c r="E662">
        <v>19623</v>
      </c>
      <c r="F662" t="s">
        <v>3984</v>
      </c>
      <c r="G662">
        <v>2611</v>
      </c>
      <c r="H662">
        <v>3</v>
      </c>
      <c r="I662" t="s">
        <v>3892</v>
      </c>
      <c r="J662" t="s">
        <v>3469</v>
      </c>
      <c r="K662" t="s">
        <v>463</v>
      </c>
      <c r="L662">
        <v>3.98</v>
      </c>
      <c r="M662" s="453">
        <v>46100</v>
      </c>
      <c r="N662">
        <v>4.13</v>
      </c>
      <c r="O662">
        <v>4.13</v>
      </c>
      <c r="P662">
        <v>11.94</v>
      </c>
    </row>
    <row r="663" spans="1:16" x14ac:dyDescent="0.3">
      <c r="A663">
        <v>79717</v>
      </c>
      <c r="B663">
        <v>116</v>
      </c>
      <c r="C663" t="s">
        <v>568</v>
      </c>
      <c r="D663" s="453">
        <v>46113</v>
      </c>
      <c r="E663">
        <v>19607</v>
      </c>
      <c r="F663" t="s">
        <v>4105</v>
      </c>
      <c r="G663">
        <v>2623</v>
      </c>
      <c r="H663">
        <v>0.7</v>
      </c>
      <c r="I663" t="s">
        <v>3892</v>
      </c>
      <c r="J663" t="s">
        <v>3469</v>
      </c>
      <c r="K663" t="s">
        <v>463</v>
      </c>
      <c r="L663">
        <v>16.25</v>
      </c>
      <c r="M663" s="453">
        <v>46086</v>
      </c>
      <c r="N663">
        <v>16.25</v>
      </c>
      <c r="O663">
        <v>13</v>
      </c>
      <c r="P663">
        <v>11.38</v>
      </c>
    </row>
    <row r="664" spans="1:16" x14ac:dyDescent="0.3">
      <c r="A664">
        <v>79720</v>
      </c>
      <c r="B664">
        <v>116</v>
      </c>
      <c r="C664" t="s">
        <v>568</v>
      </c>
      <c r="D664" s="453">
        <v>46113</v>
      </c>
      <c r="E664">
        <v>19555</v>
      </c>
      <c r="F664" t="s">
        <v>4109</v>
      </c>
      <c r="G664">
        <v>2662</v>
      </c>
      <c r="H664">
        <v>0.5</v>
      </c>
      <c r="I664" t="s">
        <v>3892</v>
      </c>
      <c r="J664" t="s">
        <v>3469</v>
      </c>
      <c r="K664" t="s">
        <v>463</v>
      </c>
      <c r="L664">
        <v>22.38</v>
      </c>
      <c r="M664" s="453">
        <v>46097</v>
      </c>
      <c r="N664">
        <v>20</v>
      </c>
      <c r="O664">
        <v>24.64</v>
      </c>
      <c r="P664">
        <v>11.19</v>
      </c>
    </row>
    <row r="665" spans="1:16" x14ac:dyDescent="0.3">
      <c r="A665">
        <v>79701</v>
      </c>
      <c r="B665">
        <v>116</v>
      </c>
      <c r="C665" t="s">
        <v>568</v>
      </c>
      <c r="D665" s="453">
        <v>46113</v>
      </c>
      <c r="E665">
        <v>19742</v>
      </c>
      <c r="F665" t="s">
        <v>4074</v>
      </c>
      <c r="G665">
        <v>2511</v>
      </c>
      <c r="H665">
        <v>1</v>
      </c>
      <c r="I665" t="s">
        <v>3892</v>
      </c>
      <c r="J665" t="s">
        <v>3469</v>
      </c>
      <c r="K665" t="s">
        <v>463</v>
      </c>
      <c r="L665">
        <v>11.13</v>
      </c>
      <c r="M665" s="453">
        <v>46097</v>
      </c>
      <c r="N665">
        <v>10.5</v>
      </c>
      <c r="O665">
        <v>9.35</v>
      </c>
      <c r="P665">
        <v>11.13</v>
      </c>
    </row>
    <row r="666" spans="1:16" x14ac:dyDescent="0.3">
      <c r="A666">
        <v>79666</v>
      </c>
      <c r="B666">
        <v>116</v>
      </c>
      <c r="C666" t="s">
        <v>568</v>
      </c>
      <c r="D666" s="453">
        <v>46113</v>
      </c>
      <c r="E666">
        <v>19932</v>
      </c>
      <c r="F666" t="s">
        <v>4011</v>
      </c>
      <c r="G666">
        <v>2368</v>
      </c>
      <c r="H666">
        <v>1.5</v>
      </c>
      <c r="I666" t="s">
        <v>3872</v>
      </c>
      <c r="J666" t="s">
        <v>3469</v>
      </c>
      <c r="K666" t="s">
        <v>463</v>
      </c>
      <c r="L666">
        <v>0</v>
      </c>
      <c r="M666" s="453">
        <v>46027</v>
      </c>
      <c r="N666">
        <v>7.3</v>
      </c>
      <c r="O666">
        <v>7</v>
      </c>
      <c r="P666">
        <v>10.95</v>
      </c>
    </row>
    <row r="667" spans="1:16" x14ac:dyDescent="0.3">
      <c r="A667">
        <v>79724</v>
      </c>
      <c r="B667">
        <v>116</v>
      </c>
      <c r="C667" t="s">
        <v>568</v>
      </c>
      <c r="D667" s="453">
        <v>46113</v>
      </c>
      <c r="E667">
        <v>23622</v>
      </c>
      <c r="F667" t="s">
        <v>4150</v>
      </c>
      <c r="G667">
        <v>2254</v>
      </c>
      <c r="H667">
        <v>0.5</v>
      </c>
      <c r="I667" t="s">
        <v>3892</v>
      </c>
      <c r="J667" t="s">
        <v>3469</v>
      </c>
      <c r="K667" t="s">
        <v>463</v>
      </c>
      <c r="L667">
        <v>0</v>
      </c>
      <c r="M667" s="453">
        <v>46036</v>
      </c>
      <c r="N667">
        <v>21.6</v>
      </c>
      <c r="O667">
        <v>21.5</v>
      </c>
      <c r="P667">
        <v>10.8</v>
      </c>
    </row>
    <row r="668" spans="1:16" x14ac:dyDescent="0.3">
      <c r="A668">
        <v>79721</v>
      </c>
      <c r="B668">
        <v>116</v>
      </c>
      <c r="C668" t="s">
        <v>568</v>
      </c>
      <c r="D668" s="453">
        <v>46113</v>
      </c>
      <c r="E668">
        <v>19617</v>
      </c>
      <c r="F668" t="s">
        <v>4110</v>
      </c>
      <c r="G668">
        <v>2617</v>
      </c>
      <c r="H668">
        <v>0.5</v>
      </c>
      <c r="I668" t="s">
        <v>3892</v>
      </c>
      <c r="J668" t="s">
        <v>3469</v>
      </c>
      <c r="K668" t="s">
        <v>463</v>
      </c>
      <c r="L668">
        <v>20.63</v>
      </c>
      <c r="M668" s="453">
        <v>46104</v>
      </c>
      <c r="N668">
        <v>20</v>
      </c>
      <c r="O668">
        <v>15</v>
      </c>
      <c r="P668">
        <v>10.32</v>
      </c>
    </row>
    <row r="669" spans="1:16" x14ac:dyDescent="0.3">
      <c r="A669">
        <v>79728</v>
      </c>
      <c r="B669">
        <v>116</v>
      </c>
      <c r="C669" t="s">
        <v>568</v>
      </c>
      <c r="D669" s="453">
        <v>46113</v>
      </c>
      <c r="E669">
        <v>19506</v>
      </c>
      <c r="F669" t="s">
        <v>4112</v>
      </c>
      <c r="G669">
        <v>2705</v>
      </c>
      <c r="H669">
        <v>0.2</v>
      </c>
      <c r="I669" t="s">
        <v>3892</v>
      </c>
      <c r="J669" t="s">
        <v>3469</v>
      </c>
      <c r="K669" t="s">
        <v>463</v>
      </c>
      <c r="L669">
        <v>48.83</v>
      </c>
      <c r="M669" s="453">
        <v>46111</v>
      </c>
      <c r="N669">
        <v>65</v>
      </c>
      <c r="O669">
        <v>65</v>
      </c>
      <c r="P669">
        <v>9.77</v>
      </c>
    </row>
    <row r="670" spans="1:16" x14ac:dyDescent="0.3">
      <c r="A670">
        <v>79725</v>
      </c>
      <c r="B670">
        <v>116</v>
      </c>
      <c r="C670" t="s">
        <v>568</v>
      </c>
      <c r="D670" s="453">
        <v>46113</v>
      </c>
      <c r="E670">
        <v>24037</v>
      </c>
      <c r="F670" t="s">
        <v>4104</v>
      </c>
      <c r="G670">
        <v>2590</v>
      </c>
      <c r="H670">
        <v>0.5</v>
      </c>
      <c r="I670" t="s">
        <v>3892</v>
      </c>
      <c r="J670" t="s">
        <v>3469</v>
      </c>
      <c r="K670" t="s">
        <v>463</v>
      </c>
      <c r="L670">
        <v>18.489999999999998</v>
      </c>
      <c r="M670" s="453">
        <v>46104</v>
      </c>
      <c r="N670">
        <v>18.5</v>
      </c>
      <c r="O670">
        <v>18</v>
      </c>
      <c r="P670">
        <v>9.24</v>
      </c>
    </row>
    <row r="671" spans="1:16" x14ac:dyDescent="0.3">
      <c r="A671">
        <v>79702</v>
      </c>
      <c r="B671">
        <v>116</v>
      </c>
      <c r="C671" t="s">
        <v>568</v>
      </c>
      <c r="D671" s="453">
        <v>46113</v>
      </c>
      <c r="E671">
        <v>19752</v>
      </c>
      <c r="F671" t="s">
        <v>4042</v>
      </c>
      <c r="G671">
        <v>2501</v>
      </c>
      <c r="H671">
        <v>1</v>
      </c>
      <c r="I671" t="s">
        <v>3892</v>
      </c>
      <c r="J671" t="s">
        <v>3469</v>
      </c>
      <c r="K671" t="s">
        <v>463</v>
      </c>
      <c r="L671">
        <v>9</v>
      </c>
      <c r="M671" s="453">
        <v>46097</v>
      </c>
      <c r="N671">
        <v>8</v>
      </c>
      <c r="O671">
        <v>7.5</v>
      </c>
      <c r="P671">
        <v>9</v>
      </c>
    </row>
    <row r="672" spans="1:16" x14ac:dyDescent="0.3">
      <c r="A672">
        <v>79643</v>
      </c>
      <c r="B672">
        <v>116</v>
      </c>
      <c r="C672" t="s">
        <v>568</v>
      </c>
      <c r="D672" s="453">
        <v>46113</v>
      </c>
      <c r="E672">
        <v>19621</v>
      </c>
      <c r="F672" t="s">
        <v>4125</v>
      </c>
      <c r="G672">
        <v>2613</v>
      </c>
      <c r="H672">
        <v>2</v>
      </c>
      <c r="I672" t="s">
        <v>3892</v>
      </c>
      <c r="J672" t="s">
        <v>3469</v>
      </c>
      <c r="K672" t="s">
        <v>463</v>
      </c>
      <c r="L672">
        <v>4.42</v>
      </c>
      <c r="M672" s="453">
        <v>46100</v>
      </c>
      <c r="N672">
        <v>5.8</v>
      </c>
      <c r="O672">
        <v>5.8</v>
      </c>
      <c r="P672">
        <v>8.84</v>
      </c>
    </row>
    <row r="673" spans="1:16" x14ac:dyDescent="0.3">
      <c r="A673">
        <v>79642</v>
      </c>
      <c r="B673">
        <v>116</v>
      </c>
      <c r="C673" t="s">
        <v>568</v>
      </c>
      <c r="D673" s="453">
        <v>46113</v>
      </c>
      <c r="E673">
        <v>19589</v>
      </c>
      <c r="F673" t="s">
        <v>4153</v>
      </c>
      <c r="G673">
        <v>2637</v>
      </c>
      <c r="H673">
        <v>2</v>
      </c>
      <c r="I673" t="s">
        <v>3892</v>
      </c>
      <c r="J673" t="s">
        <v>3469</v>
      </c>
      <c r="K673" t="s">
        <v>463</v>
      </c>
      <c r="L673">
        <v>4.38</v>
      </c>
      <c r="M673" s="453">
        <v>46100</v>
      </c>
      <c r="N673">
        <v>4.38</v>
      </c>
      <c r="O673">
        <v>6</v>
      </c>
      <c r="P673">
        <v>8.76</v>
      </c>
    </row>
    <row r="674" spans="1:16" x14ac:dyDescent="0.3">
      <c r="A674">
        <v>79676</v>
      </c>
      <c r="B674">
        <v>116</v>
      </c>
      <c r="C674" t="s">
        <v>568</v>
      </c>
      <c r="D674" s="453">
        <v>46113</v>
      </c>
      <c r="E674">
        <v>19465</v>
      </c>
      <c r="F674" t="s">
        <v>4080</v>
      </c>
      <c r="G674">
        <v>2737</v>
      </c>
      <c r="H674">
        <v>1.3</v>
      </c>
      <c r="I674" t="s">
        <v>3892</v>
      </c>
      <c r="J674" t="s">
        <v>3469</v>
      </c>
      <c r="K674" t="s">
        <v>463</v>
      </c>
      <c r="L674">
        <v>6.48</v>
      </c>
      <c r="M674" s="453">
        <v>46100</v>
      </c>
      <c r="N674">
        <v>5.8</v>
      </c>
      <c r="O674">
        <v>5.91</v>
      </c>
      <c r="P674">
        <v>8.42</v>
      </c>
    </row>
    <row r="675" spans="1:16" x14ac:dyDescent="0.3">
      <c r="A675">
        <v>79722</v>
      </c>
      <c r="B675">
        <v>116</v>
      </c>
      <c r="C675" t="s">
        <v>568</v>
      </c>
      <c r="D675" s="453">
        <v>46113</v>
      </c>
      <c r="E675">
        <v>19773</v>
      </c>
      <c r="F675" t="s">
        <v>4168</v>
      </c>
      <c r="G675">
        <v>2482</v>
      </c>
      <c r="H675">
        <v>0.5</v>
      </c>
      <c r="I675" t="s">
        <v>3892</v>
      </c>
      <c r="J675" t="s">
        <v>3469</v>
      </c>
      <c r="K675" t="s">
        <v>463</v>
      </c>
      <c r="L675">
        <v>16.5</v>
      </c>
      <c r="M675" s="453">
        <v>46097</v>
      </c>
      <c r="N675">
        <v>18</v>
      </c>
      <c r="O675">
        <v>17</v>
      </c>
      <c r="P675">
        <v>8.25</v>
      </c>
    </row>
    <row r="676" spans="1:16" x14ac:dyDescent="0.3">
      <c r="A676">
        <v>79700</v>
      </c>
      <c r="B676">
        <v>116</v>
      </c>
      <c r="C676" t="s">
        <v>568</v>
      </c>
      <c r="D676" s="453">
        <v>46113</v>
      </c>
      <c r="E676">
        <v>19689</v>
      </c>
      <c r="F676" t="s">
        <v>4073</v>
      </c>
      <c r="G676">
        <v>2551</v>
      </c>
      <c r="H676">
        <v>1</v>
      </c>
      <c r="I676" t="s">
        <v>3892</v>
      </c>
      <c r="J676" t="s">
        <v>3469</v>
      </c>
      <c r="K676" t="s">
        <v>463</v>
      </c>
      <c r="L676">
        <v>0</v>
      </c>
      <c r="M676" s="453">
        <v>46058</v>
      </c>
      <c r="N676">
        <v>7.5</v>
      </c>
      <c r="O676">
        <v>7.5</v>
      </c>
      <c r="P676">
        <v>7.5</v>
      </c>
    </row>
    <row r="677" spans="1:16" x14ac:dyDescent="0.3">
      <c r="A677">
        <v>79665</v>
      </c>
      <c r="B677">
        <v>116</v>
      </c>
      <c r="C677" t="s">
        <v>568</v>
      </c>
      <c r="D677" s="453">
        <v>46113</v>
      </c>
      <c r="E677">
        <v>19553</v>
      </c>
      <c r="F677" t="s">
        <v>4078</v>
      </c>
      <c r="G677">
        <v>2663</v>
      </c>
      <c r="H677">
        <v>1.5</v>
      </c>
      <c r="I677" t="s">
        <v>3892</v>
      </c>
      <c r="J677" t="s">
        <v>3469</v>
      </c>
      <c r="K677" t="s">
        <v>463</v>
      </c>
      <c r="L677">
        <v>4.5</v>
      </c>
      <c r="M677" s="453">
        <v>46097</v>
      </c>
      <c r="N677">
        <v>4.5</v>
      </c>
      <c r="O677">
        <v>4.8</v>
      </c>
      <c r="P677">
        <v>6.75</v>
      </c>
    </row>
    <row r="678" spans="1:16" x14ac:dyDescent="0.3">
      <c r="A678">
        <v>79718</v>
      </c>
      <c r="B678">
        <v>116</v>
      </c>
      <c r="C678" t="s">
        <v>568</v>
      </c>
      <c r="D678" s="453">
        <v>46113</v>
      </c>
      <c r="E678">
        <v>24484</v>
      </c>
      <c r="F678" t="s">
        <v>4154</v>
      </c>
      <c r="G678">
        <v>2684</v>
      </c>
      <c r="H678">
        <v>0.6</v>
      </c>
      <c r="I678" t="s">
        <v>3892</v>
      </c>
      <c r="J678" t="s">
        <v>3469</v>
      </c>
      <c r="K678" t="s">
        <v>463</v>
      </c>
      <c r="L678">
        <v>10.95</v>
      </c>
      <c r="M678" s="453">
        <v>46090</v>
      </c>
      <c r="N678">
        <v>10.94</v>
      </c>
      <c r="O678">
        <v>15.95</v>
      </c>
      <c r="P678">
        <v>6.57</v>
      </c>
    </row>
    <row r="679" spans="1:16" x14ac:dyDescent="0.3">
      <c r="A679">
        <v>79698</v>
      </c>
      <c r="B679">
        <v>116</v>
      </c>
      <c r="C679" t="s">
        <v>568</v>
      </c>
      <c r="D679" s="453">
        <v>46113</v>
      </c>
      <c r="E679">
        <v>19642</v>
      </c>
      <c r="F679" t="s">
        <v>4067</v>
      </c>
      <c r="G679">
        <v>2596</v>
      </c>
      <c r="H679">
        <v>1</v>
      </c>
      <c r="I679" t="s">
        <v>3892</v>
      </c>
      <c r="J679" t="s">
        <v>3469</v>
      </c>
      <c r="K679" t="s">
        <v>463</v>
      </c>
      <c r="L679">
        <v>5.26</v>
      </c>
      <c r="M679" s="453">
        <v>46111</v>
      </c>
      <c r="N679">
        <v>5.85</v>
      </c>
      <c r="O679">
        <v>5.54</v>
      </c>
      <c r="P679">
        <v>5.26</v>
      </c>
    </row>
    <row r="680" spans="1:16" x14ac:dyDescent="0.3">
      <c r="A680">
        <v>79727</v>
      </c>
      <c r="B680">
        <v>116</v>
      </c>
      <c r="C680" t="s">
        <v>568</v>
      </c>
      <c r="D680" s="453">
        <v>46113</v>
      </c>
      <c r="E680">
        <v>19480</v>
      </c>
      <c r="F680" t="s">
        <v>4113</v>
      </c>
      <c r="G680">
        <v>2726</v>
      </c>
      <c r="H680">
        <v>0.2</v>
      </c>
      <c r="I680" t="s">
        <v>3892</v>
      </c>
      <c r="J680" t="s">
        <v>3469</v>
      </c>
      <c r="K680" t="s">
        <v>463</v>
      </c>
      <c r="L680">
        <v>18</v>
      </c>
      <c r="M680" s="453">
        <v>46104</v>
      </c>
      <c r="N680">
        <v>19</v>
      </c>
      <c r="O680">
        <v>17</v>
      </c>
      <c r="P680">
        <v>3.6</v>
      </c>
    </row>
    <row r="681" spans="1:16" x14ac:dyDescent="0.3">
      <c r="A681">
        <v>75917</v>
      </c>
      <c r="B681">
        <v>116</v>
      </c>
      <c r="C681" t="s">
        <v>568</v>
      </c>
      <c r="D681" s="453">
        <v>46082</v>
      </c>
      <c r="E681">
        <v>18636</v>
      </c>
      <c r="F681" t="s">
        <v>3921</v>
      </c>
      <c r="G681">
        <v>3075</v>
      </c>
      <c r="H681">
        <v>15</v>
      </c>
      <c r="I681" t="s">
        <v>3922</v>
      </c>
      <c r="J681" t="s">
        <v>3497</v>
      </c>
      <c r="K681" t="s">
        <v>462</v>
      </c>
      <c r="L681">
        <v>482.8</v>
      </c>
      <c r="M681" s="453">
        <v>46079</v>
      </c>
      <c r="N681">
        <v>482.8</v>
      </c>
      <c r="O681">
        <v>482.8</v>
      </c>
      <c r="P681">
        <v>7242</v>
      </c>
    </row>
    <row r="682" spans="1:16" x14ac:dyDescent="0.3">
      <c r="A682">
        <v>75895</v>
      </c>
      <c r="B682">
        <v>116</v>
      </c>
      <c r="C682" t="s">
        <v>568</v>
      </c>
      <c r="D682" s="453">
        <v>46082</v>
      </c>
      <c r="E682">
        <v>22515</v>
      </c>
      <c r="F682" t="s">
        <v>3883</v>
      </c>
      <c r="G682">
        <v>3202</v>
      </c>
      <c r="H682">
        <v>71</v>
      </c>
      <c r="I682" t="s">
        <v>3884</v>
      </c>
      <c r="J682" t="s">
        <v>3497</v>
      </c>
      <c r="K682" t="s">
        <v>462</v>
      </c>
      <c r="L682">
        <v>0</v>
      </c>
      <c r="M682" s="453">
        <v>45671</v>
      </c>
      <c r="N682">
        <v>38</v>
      </c>
      <c r="O682">
        <v>38</v>
      </c>
      <c r="P682">
        <v>2698</v>
      </c>
    </row>
    <row r="683" spans="1:16" x14ac:dyDescent="0.3">
      <c r="A683">
        <v>75903</v>
      </c>
      <c r="B683">
        <v>116</v>
      </c>
      <c r="C683" t="s">
        <v>568</v>
      </c>
      <c r="D683" s="453">
        <v>46082</v>
      </c>
      <c r="E683">
        <v>18247</v>
      </c>
      <c r="F683" t="s">
        <v>3877</v>
      </c>
      <c r="G683">
        <v>3383</v>
      </c>
      <c r="H683">
        <v>30.5</v>
      </c>
      <c r="I683" t="s">
        <v>3878</v>
      </c>
      <c r="J683" t="s">
        <v>3497</v>
      </c>
      <c r="K683" t="s">
        <v>462</v>
      </c>
      <c r="L683">
        <v>0</v>
      </c>
      <c r="N683">
        <v>0</v>
      </c>
      <c r="O683">
        <v>0</v>
      </c>
      <c r="P683">
        <v>2025.2</v>
      </c>
    </row>
    <row r="684" spans="1:16" x14ac:dyDescent="0.3">
      <c r="A684">
        <v>75905</v>
      </c>
      <c r="B684">
        <v>116</v>
      </c>
      <c r="C684" t="s">
        <v>568</v>
      </c>
      <c r="D684" s="453">
        <v>46082</v>
      </c>
      <c r="E684">
        <v>20519</v>
      </c>
      <c r="F684" t="s">
        <v>3902</v>
      </c>
      <c r="G684">
        <v>2150</v>
      </c>
      <c r="H684">
        <v>22.5</v>
      </c>
      <c r="I684" t="s">
        <v>3892</v>
      </c>
      <c r="J684" t="s">
        <v>3469</v>
      </c>
      <c r="K684" t="s">
        <v>462</v>
      </c>
      <c r="L684">
        <v>49.75</v>
      </c>
      <c r="M684" s="453">
        <v>46071</v>
      </c>
      <c r="N684">
        <v>49.75</v>
      </c>
      <c r="O684">
        <v>49.75</v>
      </c>
      <c r="P684">
        <v>1119.3800000000001</v>
      </c>
    </row>
    <row r="685" spans="1:16" x14ac:dyDescent="0.3">
      <c r="A685">
        <v>75923</v>
      </c>
      <c r="B685">
        <v>116</v>
      </c>
      <c r="C685" t="s">
        <v>568</v>
      </c>
      <c r="D685" s="453">
        <v>46082</v>
      </c>
      <c r="E685">
        <v>24002</v>
      </c>
      <c r="F685" t="s">
        <v>3924</v>
      </c>
      <c r="G685">
        <v>3614</v>
      </c>
      <c r="H685">
        <v>12</v>
      </c>
      <c r="I685" t="s">
        <v>3872</v>
      </c>
      <c r="J685" t="s">
        <v>3497</v>
      </c>
      <c r="K685" t="s">
        <v>462</v>
      </c>
      <c r="L685">
        <v>0</v>
      </c>
      <c r="M685" s="453">
        <v>46010</v>
      </c>
      <c r="N685">
        <v>77.42</v>
      </c>
      <c r="O685">
        <v>4.99</v>
      </c>
      <c r="P685">
        <v>929.04</v>
      </c>
    </row>
    <row r="686" spans="1:16" x14ac:dyDescent="0.3">
      <c r="A686">
        <v>75935</v>
      </c>
      <c r="B686">
        <v>116</v>
      </c>
      <c r="C686" t="s">
        <v>568</v>
      </c>
      <c r="D686" s="453">
        <v>46082</v>
      </c>
      <c r="E686">
        <v>22734</v>
      </c>
      <c r="F686" t="s">
        <v>3955</v>
      </c>
      <c r="G686">
        <v>3024</v>
      </c>
      <c r="H686">
        <v>8.9</v>
      </c>
      <c r="I686" t="s">
        <v>3892</v>
      </c>
      <c r="J686" t="s">
        <v>3469</v>
      </c>
      <c r="K686" t="s">
        <v>462</v>
      </c>
      <c r="L686">
        <v>99</v>
      </c>
      <c r="M686" s="453">
        <v>46076</v>
      </c>
      <c r="N686">
        <v>99</v>
      </c>
      <c r="O686">
        <v>99</v>
      </c>
      <c r="P686">
        <v>881.1</v>
      </c>
    </row>
    <row r="687" spans="1:16" x14ac:dyDescent="0.3">
      <c r="A687">
        <v>75907</v>
      </c>
      <c r="B687">
        <v>116</v>
      </c>
      <c r="C687" t="s">
        <v>568</v>
      </c>
      <c r="D687" s="453">
        <v>46082</v>
      </c>
      <c r="E687">
        <v>18684</v>
      </c>
      <c r="F687" t="s">
        <v>3925</v>
      </c>
      <c r="G687">
        <v>3041</v>
      </c>
      <c r="H687">
        <v>22</v>
      </c>
      <c r="I687" t="s">
        <v>3892</v>
      </c>
      <c r="J687" t="s">
        <v>3469</v>
      </c>
      <c r="K687" t="s">
        <v>462</v>
      </c>
      <c r="L687">
        <v>36</v>
      </c>
      <c r="M687" s="453">
        <v>46064</v>
      </c>
      <c r="N687">
        <v>36</v>
      </c>
      <c r="O687">
        <v>36</v>
      </c>
      <c r="P687">
        <v>792</v>
      </c>
    </row>
    <row r="688" spans="1:16" x14ac:dyDescent="0.3">
      <c r="A688">
        <v>75924</v>
      </c>
      <c r="B688">
        <v>116</v>
      </c>
      <c r="C688" t="s">
        <v>568</v>
      </c>
      <c r="D688" s="453">
        <v>46082</v>
      </c>
      <c r="E688">
        <v>19297</v>
      </c>
      <c r="F688" t="s">
        <v>3949</v>
      </c>
      <c r="G688">
        <v>2775</v>
      </c>
      <c r="H688">
        <v>11.1</v>
      </c>
      <c r="I688" t="s">
        <v>3892</v>
      </c>
      <c r="J688" t="s">
        <v>3469</v>
      </c>
      <c r="K688" t="s">
        <v>462</v>
      </c>
      <c r="L688">
        <v>70.819999999999993</v>
      </c>
      <c r="M688" s="453">
        <v>46073</v>
      </c>
      <c r="N688">
        <v>70.5</v>
      </c>
      <c r="O688">
        <v>70.89</v>
      </c>
      <c r="P688">
        <v>786.1</v>
      </c>
    </row>
    <row r="689" spans="1:16" x14ac:dyDescent="0.3">
      <c r="A689">
        <v>75932</v>
      </c>
      <c r="B689">
        <v>116</v>
      </c>
      <c r="C689" t="s">
        <v>568</v>
      </c>
      <c r="D689" s="453">
        <v>46082</v>
      </c>
      <c r="E689">
        <v>18764</v>
      </c>
      <c r="F689" t="s">
        <v>3907</v>
      </c>
      <c r="G689">
        <v>3001</v>
      </c>
      <c r="H689">
        <v>9.5</v>
      </c>
      <c r="I689" t="s">
        <v>3892</v>
      </c>
      <c r="J689" t="s">
        <v>3469</v>
      </c>
      <c r="K689" t="s">
        <v>462</v>
      </c>
      <c r="L689">
        <v>79.900000000000006</v>
      </c>
      <c r="M689" s="453">
        <v>46061</v>
      </c>
      <c r="N689">
        <v>79.900000000000006</v>
      </c>
      <c r="O689">
        <v>79.900000000000006</v>
      </c>
      <c r="P689">
        <v>759.05</v>
      </c>
    </row>
    <row r="690" spans="1:16" x14ac:dyDescent="0.3">
      <c r="A690">
        <v>75902</v>
      </c>
      <c r="B690">
        <v>116</v>
      </c>
      <c r="C690" t="s">
        <v>568</v>
      </c>
      <c r="D690" s="453">
        <v>46082</v>
      </c>
      <c r="E690">
        <v>21030</v>
      </c>
      <c r="F690" t="s">
        <v>3890</v>
      </c>
      <c r="G690">
        <v>2001</v>
      </c>
      <c r="H690">
        <v>33</v>
      </c>
      <c r="I690" t="s">
        <v>3872</v>
      </c>
      <c r="J690" t="s">
        <v>3469</v>
      </c>
      <c r="K690" t="s">
        <v>462</v>
      </c>
      <c r="L690">
        <v>19.059999999999999</v>
      </c>
      <c r="M690" s="453">
        <v>46077</v>
      </c>
      <c r="N690">
        <v>19.059999999999999</v>
      </c>
      <c r="O690">
        <v>19.059999999999999</v>
      </c>
      <c r="P690">
        <v>628.98</v>
      </c>
    </row>
    <row r="691" spans="1:16" x14ac:dyDescent="0.3">
      <c r="A691">
        <v>75931</v>
      </c>
      <c r="B691">
        <v>116</v>
      </c>
      <c r="C691" t="s">
        <v>568</v>
      </c>
      <c r="D691" s="453">
        <v>46082</v>
      </c>
      <c r="E691">
        <v>20539</v>
      </c>
      <c r="F691" t="s">
        <v>3908</v>
      </c>
      <c r="G691">
        <v>2145</v>
      </c>
      <c r="H691">
        <v>9.5</v>
      </c>
      <c r="I691" t="s">
        <v>3892</v>
      </c>
      <c r="J691" t="s">
        <v>3469</v>
      </c>
      <c r="K691" t="s">
        <v>462</v>
      </c>
      <c r="L691">
        <v>64.98</v>
      </c>
      <c r="M691" s="453">
        <v>46072</v>
      </c>
      <c r="N691">
        <v>65</v>
      </c>
      <c r="O691">
        <v>65</v>
      </c>
      <c r="P691">
        <v>617.30999999999995</v>
      </c>
    </row>
    <row r="692" spans="1:16" x14ac:dyDescent="0.3">
      <c r="A692">
        <v>75896</v>
      </c>
      <c r="B692">
        <v>116</v>
      </c>
      <c r="C692" t="s">
        <v>568</v>
      </c>
      <c r="D692" s="453">
        <v>46082</v>
      </c>
      <c r="E692">
        <v>25197</v>
      </c>
      <c r="F692" t="s">
        <v>4143</v>
      </c>
      <c r="G692">
        <v>2126</v>
      </c>
      <c r="H692">
        <v>61</v>
      </c>
      <c r="I692" t="s">
        <v>3872</v>
      </c>
      <c r="J692" t="s">
        <v>3469</v>
      </c>
      <c r="K692" t="s">
        <v>462</v>
      </c>
      <c r="L692">
        <v>0</v>
      </c>
      <c r="M692" s="453">
        <v>46036</v>
      </c>
      <c r="N692">
        <v>9.5</v>
      </c>
      <c r="O692">
        <v>26</v>
      </c>
      <c r="P692">
        <v>579.5</v>
      </c>
    </row>
    <row r="693" spans="1:16" x14ac:dyDescent="0.3">
      <c r="A693">
        <v>75900</v>
      </c>
      <c r="B693">
        <v>116</v>
      </c>
      <c r="C693" t="s">
        <v>568</v>
      </c>
      <c r="D693" s="453">
        <v>46082</v>
      </c>
      <c r="E693">
        <v>26193</v>
      </c>
      <c r="F693" t="s">
        <v>3950</v>
      </c>
      <c r="G693">
        <v>6616</v>
      </c>
      <c r="H693">
        <v>41</v>
      </c>
      <c r="I693" t="s">
        <v>3872</v>
      </c>
      <c r="J693" t="s">
        <v>3469</v>
      </c>
      <c r="K693" t="s">
        <v>462</v>
      </c>
      <c r="L693">
        <v>0</v>
      </c>
      <c r="M693" s="453">
        <v>46000</v>
      </c>
      <c r="N693">
        <v>13.95</v>
      </c>
      <c r="O693">
        <v>12.6</v>
      </c>
      <c r="P693">
        <v>571.95000000000005</v>
      </c>
    </row>
    <row r="694" spans="1:16" x14ac:dyDescent="0.3">
      <c r="A694">
        <v>75899</v>
      </c>
      <c r="B694">
        <v>116</v>
      </c>
      <c r="C694" t="s">
        <v>568</v>
      </c>
      <c r="D694" s="453">
        <v>46082</v>
      </c>
      <c r="E694">
        <v>20703</v>
      </c>
      <c r="F694" t="s">
        <v>3893</v>
      </c>
      <c r="G694">
        <v>2100</v>
      </c>
      <c r="H694">
        <v>43</v>
      </c>
      <c r="I694" t="s">
        <v>3886</v>
      </c>
      <c r="J694" t="s">
        <v>3469</v>
      </c>
      <c r="K694" t="s">
        <v>462</v>
      </c>
      <c r="L694">
        <v>0</v>
      </c>
      <c r="M694" s="453">
        <v>45714</v>
      </c>
      <c r="N694">
        <v>12.8</v>
      </c>
      <c r="O694">
        <v>13.86</v>
      </c>
      <c r="P694">
        <v>550.4</v>
      </c>
    </row>
    <row r="695" spans="1:16" x14ac:dyDescent="0.3">
      <c r="A695">
        <v>75918</v>
      </c>
      <c r="B695">
        <v>116</v>
      </c>
      <c r="C695" t="s">
        <v>568</v>
      </c>
      <c r="D695" s="453">
        <v>46082</v>
      </c>
      <c r="E695">
        <v>17710</v>
      </c>
      <c r="F695" t="s">
        <v>3905</v>
      </c>
      <c r="G695">
        <v>3824</v>
      </c>
      <c r="H695">
        <v>14</v>
      </c>
      <c r="I695" t="s">
        <v>3878</v>
      </c>
      <c r="J695" t="s">
        <v>3497</v>
      </c>
      <c r="K695" t="s">
        <v>462</v>
      </c>
      <c r="L695">
        <v>0</v>
      </c>
      <c r="M695" s="453">
        <v>45973</v>
      </c>
      <c r="N695">
        <v>38.86</v>
      </c>
      <c r="O695">
        <v>37.700000000000003</v>
      </c>
      <c r="P695">
        <v>544.04</v>
      </c>
    </row>
    <row r="696" spans="1:16" x14ac:dyDescent="0.3">
      <c r="A696">
        <v>75943</v>
      </c>
      <c r="B696">
        <v>116</v>
      </c>
      <c r="C696" t="s">
        <v>568</v>
      </c>
      <c r="D696" s="453">
        <v>46082</v>
      </c>
      <c r="E696">
        <v>27884</v>
      </c>
      <c r="F696" t="s">
        <v>3910</v>
      </c>
      <c r="G696">
        <v>7849</v>
      </c>
      <c r="H696">
        <v>7.5</v>
      </c>
      <c r="I696" t="s">
        <v>3892</v>
      </c>
      <c r="J696" t="s">
        <v>3469</v>
      </c>
      <c r="K696" t="s">
        <v>462</v>
      </c>
      <c r="L696">
        <v>65</v>
      </c>
      <c r="M696" s="453">
        <v>46072</v>
      </c>
      <c r="N696">
        <v>65</v>
      </c>
      <c r="O696">
        <v>65</v>
      </c>
      <c r="P696">
        <v>487.5</v>
      </c>
    </row>
    <row r="697" spans="1:16" x14ac:dyDescent="0.3">
      <c r="A697">
        <v>75909</v>
      </c>
      <c r="B697">
        <v>116</v>
      </c>
      <c r="C697" t="s">
        <v>568</v>
      </c>
      <c r="D697" s="453">
        <v>46082</v>
      </c>
      <c r="E697">
        <v>17905</v>
      </c>
      <c r="F697" t="s">
        <v>4139</v>
      </c>
      <c r="G697">
        <v>3656</v>
      </c>
      <c r="H697">
        <v>20.5</v>
      </c>
      <c r="I697" t="s">
        <v>3888</v>
      </c>
      <c r="J697" t="s">
        <v>3497</v>
      </c>
      <c r="K697" t="s">
        <v>462</v>
      </c>
      <c r="L697">
        <v>0</v>
      </c>
      <c r="M697" s="453">
        <v>46056</v>
      </c>
      <c r="N697">
        <v>0</v>
      </c>
      <c r="O697">
        <v>22.75</v>
      </c>
      <c r="P697">
        <v>466.38</v>
      </c>
    </row>
    <row r="698" spans="1:16" x14ac:dyDescent="0.3">
      <c r="A698">
        <v>75920</v>
      </c>
      <c r="B698">
        <v>116</v>
      </c>
      <c r="C698" t="s">
        <v>568</v>
      </c>
      <c r="D698" s="453">
        <v>46082</v>
      </c>
      <c r="E698">
        <v>18475</v>
      </c>
      <c r="F698" t="s">
        <v>3918</v>
      </c>
      <c r="G698">
        <v>3181</v>
      </c>
      <c r="H698">
        <v>13</v>
      </c>
      <c r="I698" t="s">
        <v>3878</v>
      </c>
      <c r="J698" t="s">
        <v>3497</v>
      </c>
      <c r="K698" t="s">
        <v>462</v>
      </c>
      <c r="L698">
        <v>32.9</v>
      </c>
      <c r="M698" s="453">
        <v>46062</v>
      </c>
      <c r="N698">
        <v>32.9</v>
      </c>
      <c r="O698">
        <v>32.9</v>
      </c>
      <c r="P698">
        <v>427.7</v>
      </c>
    </row>
    <row r="699" spans="1:16" x14ac:dyDescent="0.3">
      <c r="A699">
        <v>75921</v>
      </c>
      <c r="B699">
        <v>116</v>
      </c>
      <c r="C699" t="s">
        <v>568</v>
      </c>
      <c r="D699" s="453">
        <v>46082</v>
      </c>
      <c r="E699">
        <v>24320</v>
      </c>
      <c r="F699" t="s">
        <v>4160</v>
      </c>
      <c r="G699">
        <v>2942</v>
      </c>
      <c r="H699">
        <v>12.2</v>
      </c>
      <c r="I699" t="s">
        <v>3892</v>
      </c>
      <c r="J699" t="s">
        <v>3469</v>
      </c>
      <c r="K699" t="s">
        <v>462</v>
      </c>
      <c r="L699">
        <v>34.82</v>
      </c>
      <c r="M699" s="453">
        <v>46077</v>
      </c>
      <c r="N699">
        <v>35.799999999999997</v>
      </c>
      <c r="O699">
        <v>35.9</v>
      </c>
      <c r="P699">
        <v>424.8</v>
      </c>
    </row>
    <row r="700" spans="1:16" x14ac:dyDescent="0.3">
      <c r="A700">
        <v>75987</v>
      </c>
      <c r="B700">
        <v>116</v>
      </c>
      <c r="C700" t="s">
        <v>568</v>
      </c>
      <c r="D700" s="453">
        <v>46082</v>
      </c>
      <c r="E700">
        <v>18295</v>
      </c>
      <c r="F700" t="s">
        <v>4030</v>
      </c>
      <c r="G700">
        <v>3334</v>
      </c>
      <c r="H700">
        <v>3.3</v>
      </c>
      <c r="I700" t="s">
        <v>3878</v>
      </c>
      <c r="J700" t="s">
        <v>3497</v>
      </c>
      <c r="K700" t="s">
        <v>462</v>
      </c>
      <c r="L700">
        <v>128.68</v>
      </c>
      <c r="M700" s="453">
        <v>46076</v>
      </c>
      <c r="N700">
        <v>126</v>
      </c>
      <c r="O700">
        <v>126</v>
      </c>
      <c r="P700">
        <v>424.64</v>
      </c>
    </row>
    <row r="701" spans="1:16" x14ac:dyDescent="0.3">
      <c r="A701">
        <v>75912</v>
      </c>
      <c r="B701">
        <v>116</v>
      </c>
      <c r="C701" t="s">
        <v>568</v>
      </c>
      <c r="D701" s="453">
        <v>46082</v>
      </c>
      <c r="E701">
        <v>17895</v>
      </c>
      <c r="F701" t="s">
        <v>4137</v>
      </c>
      <c r="G701">
        <v>3665</v>
      </c>
      <c r="H701">
        <v>18</v>
      </c>
      <c r="I701" t="s">
        <v>3888</v>
      </c>
      <c r="J701" t="s">
        <v>3497</v>
      </c>
      <c r="K701" t="s">
        <v>462</v>
      </c>
      <c r="L701">
        <v>0</v>
      </c>
      <c r="M701" s="453">
        <v>46056</v>
      </c>
      <c r="N701">
        <v>0</v>
      </c>
      <c r="O701">
        <v>23.06</v>
      </c>
      <c r="P701">
        <v>415.08</v>
      </c>
    </row>
    <row r="702" spans="1:16" x14ac:dyDescent="0.3">
      <c r="A702">
        <v>75894</v>
      </c>
      <c r="B702">
        <v>116</v>
      </c>
      <c r="C702" t="s">
        <v>568</v>
      </c>
      <c r="D702" s="453">
        <v>46082</v>
      </c>
      <c r="E702">
        <v>18586</v>
      </c>
      <c r="F702" t="s">
        <v>4107</v>
      </c>
      <c r="G702">
        <v>3104</v>
      </c>
      <c r="H702">
        <v>3.08</v>
      </c>
      <c r="I702" t="s">
        <v>3888</v>
      </c>
      <c r="J702" t="s">
        <v>3497</v>
      </c>
      <c r="K702" t="s">
        <v>462</v>
      </c>
      <c r="L702">
        <v>0</v>
      </c>
      <c r="M702" s="453">
        <v>46002</v>
      </c>
      <c r="N702">
        <v>132.07</v>
      </c>
      <c r="O702">
        <v>107.63</v>
      </c>
      <c r="P702">
        <v>406.78</v>
      </c>
    </row>
    <row r="703" spans="1:16" x14ac:dyDescent="0.3">
      <c r="A703">
        <v>75956</v>
      </c>
      <c r="B703">
        <v>116</v>
      </c>
      <c r="C703" t="s">
        <v>568</v>
      </c>
      <c r="D703" s="453">
        <v>46082</v>
      </c>
      <c r="E703">
        <v>24259</v>
      </c>
      <c r="F703" t="s">
        <v>3895</v>
      </c>
      <c r="G703">
        <v>2938</v>
      </c>
      <c r="H703">
        <v>5.2</v>
      </c>
      <c r="I703" t="s">
        <v>3892</v>
      </c>
      <c r="J703" t="s">
        <v>3469</v>
      </c>
      <c r="K703" t="s">
        <v>462</v>
      </c>
      <c r="L703">
        <v>77.900000000000006</v>
      </c>
      <c r="M703" s="453">
        <v>46077</v>
      </c>
      <c r="N703">
        <v>77.900000000000006</v>
      </c>
      <c r="O703">
        <v>78.08</v>
      </c>
      <c r="P703">
        <v>405.08</v>
      </c>
    </row>
    <row r="704" spans="1:16" x14ac:dyDescent="0.3">
      <c r="A704">
        <v>75953</v>
      </c>
      <c r="B704">
        <v>116</v>
      </c>
      <c r="C704" t="s">
        <v>568</v>
      </c>
      <c r="D704" s="453">
        <v>46082</v>
      </c>
      <c r="E704">
        <v>22857</v>
      </c>
      <c r="F704" t="s">
        <v>4130</v>
      </c>
      <c r="G704">
        <v>2927</v>
      </c>
      <c r="H704">
        <v>5.9</v>
      </c>
      <c r="I704" t="s">
        <v>3892</v>
      </c>
      <c r="J704" t="s">
        <v>3469</v>
      </c>
      <c r="K704" t="s">
        <v>462</v>
      </c>
      <c r="L704">
        <v>68.44</v>
      </c>
      <c r="M704" s="453">
        <v>46077</v>
      </c>
      <c r="N704">
        <v>66.97</v>
      </c>
      <c r="O704">
        <v>66.97</v>
      </c>
      <c r="P704">
        <v>403.8</v>
      </c>
    </row>
    <row r="705" spans="1:16" x14ac:dyDescent="0.3">
      <c r="A705">
        <v>75930</v>
      </c>
      <c r="B705">
        <v>116</v>
      </c>
      <c r="C705" t="s">
        <v>568</v>
      </c>
      <c r="D705" s="453">
        <v>46082</v>
      </c>
      <c r="E705">
        <v>18832</v>
      </c>
      <c r="F705" t="s">
        <v>3900</v>
      </c>
      <c r="G705">
        <v>2950</v>
      </c>
      <c r="H705">
        <v>10</v>
      </c>
      <c r="I705" t="s">
        <v>3892</v>
      </c>
      <c r="J705" t="s">
        <v>3469</v>
      </c>
      <c r="K705" t="s">
        <v>462</v>
      </c>
      <c r="L705">
        <v>39.75</v>
      </c>
      <c r="M705" s="453">
        <v>46077</v>
      </c>
      <c r="N705">
        <v>41.9</v>
      </c>
      <c r="O705">
        <v>41.9</v>
      </c>
      <c r="P705">
        <v>397.5</v>
      </c>
    </row>
    <row r="706" spans="1:16" x14ac:dyDescent="0.3">
      <c r="A706">
        <v>75897</v>
      </c>
      <c r="B706">
        <v>116</v>
      </c>
      <c r="C706" t="s">
        <v>568</v>
      </c>
      <c r="D706" s="453">
        <v>46082</v>
      </c>
      <c r="E706">
        <v>20985</v>
      </c>
      <c r="F706" t="s">
        <v>3914</v>
      </c>
      <c r="G706">
        <v>2011</v>
      </c>
      <c r="H706">
        <v>50</v>
      </c>
      <c r="I706" t="s">
        <v>3872</v>
      </c>
      <c r="J706" t="s">
        <v>3469</v>
      </c>
      <c r="K706" t="s">
        <v>462</v>
      </c>
      <c r="L706">
        <v>0</v>
      </c>
      <c r="M706" s="453">
        <v>45916</v>
      </c>
      <c r="N706">
        <v>7.89</v>
      </c>
      <c r="O706">
        <v>8</v>
      </c>
      <c r="P706">
        <v>394.5</v>
      </c>
    </row>
    <row r="707" spans="1:16" x14ac:dyDescent="0.3">
      <c r="A707">
        <v>75908</v>
      </c>
      <c r="B707">
        <v>116</v>
      </c>
      <c r="C707" t="s">
        <v>568</v>
      </c>
      <c r="D707" s="453">
        <v>46082</v>
      </c>
      <c r="E707">
        <v>17958</v>
      </c>
      <c r="F707" t="s">
        <v>4141</v>
      </c>
      <c r="G707">
        <v>3622</v>
      </c>
      <c r="H707">
        <v>22</v>
      </c>
      <c r="I707" t="s">
        <v>3888</v>
      </c>
      <c r="J707" t="s">
        <v>3497</v>
      </c>
      <c r="K707" t="s">
        <v>462</v>
      </c>
      <c r="L707">
        <v>17.7</v>
      </c>
      <c r="M707" s="453">
        <v>46071</v>
      </c>
      <c r="N707">
        <v>17.7</v>
      </c>
      <c r="O707">
        <v>17.7</v>
      </c>
      <c r="P707">
        <v>389.4</v>
      </c>
    </row>
    <row r="708" spans="1:16" x14ac:dyDescent="0.3">
      <c r="A708">
        <v>75928</v>
      </c>
      <c r="B708">
        <v>116</v>
      </c>
      <c r="C708" t="s">
        <v>568</v>
      </c>
      <c r="D708" s="453">
        <v>46082</v>
      </c>
      <c r="E708">
        <v>19287</v>
      </c>
      <c r="F708" t="s">
        <v>3974</v>
      </c>
      <c r="G708">
        <v>2778</v>
      </c>
      <c r="H708">
        <v>10.4</v>
      </c>
      <c r="I708" t="s">
        <v>3892</v>
      </c>
      <c r="J708" t="s">
        <v>3469</v>
      </c>
      <c r="K708" t="s">
        <v>462</v>
      </c>
      <c r="L708">
        <v>37.29</v>
      </c>
      <c r="M708" s="453">
        <v>46078</v>
      </c>
      <c r="N708">
        <v>36.9</v>
      </c>
      <c r="O708">
        <v>36.9</v>
      </c>
      <c r="P708">
        <v>387.82</v>
      </c>
    </row>
    <row r="709" spans="1:16" x14ac:dyDescent="0.3">
      <c r="A709">
        <v>75955</v>
      </c>
      <c r="B709">
        <v>116</v>
      </c>
      <c r="C709" t="s">
        <v>568</v>
      </c>
      <c r="D709" s="453">
        <v>46082</v>
      </c>
      <c r="E709">
        <v>18493</v>
      </c>
      <c r="F709" t="s">
        <v>3958</v>
      </c>
      <c r="G709">
        <v>3164</v>
      </c>
      <c r="H709">
        <v>5.5</v>
      </c>
      <c r="I709" t="s">
        <v>3878</v>
      </c>
      <c r="J709" t="s">
        <v>3497</v>
      </c>
      <c r="K709" t="s">
        <v>462</v>
      </c>
      <c r="L709">
        <v>69.900000000000006</v>
      </c>
      <c r="M709" s="453">
        <v>46062</v>
      </c>
      <c r="N709">
        <v>69.900000000000006</v>
      </c>
      <c r="O709">
        <v>69.900000000000006</v>
      </c>
      <c r="P709">
        <v>384.45</v>
      </c>
    </row>
    <row r="710" spans="1:16" x14ac:dyDescent="0.3">
      <c r="A710">
        <v>76038</v>
      </c>
      <c r="B710">
        <v>116</v>
      </c>
      <c r="C710" t="s">
        <v>568</v>
      </c>
      <c r="D710" s="453">
        <v>46082</v>
      </c>
      <c r="E710">
        <v>24072</v>
      </c>
      <c r="F710" t="s">
        <v>4002</v>
      </c>
      <c r="G710">
        <v>2982</v>
      </c>
      <c r="H710">
        <v>1.7</v>
      </c>
      <c r="I710" t="s">
        <v>3892</v>
      </c>
      <c r="J710" t="s">
        <v>3469</v>
      </c>
      <c r="K710" t="s">
        <v>462</v>
      </c>
      <c r="L710">
        <v>220</v>
      </c>
      <c r="M710" s="453">
        <v>46076</v>
      </c>
      <c r="N710">
        <v>220</v>
      </c>
      <c r="O710">
        <v>220</v>
      </c>
      <c r="P710">
        <v>374</v>
      </c>
    </row>
    <row r="711" spans="1:16" x14ac:dyDescent="0.3">
      <c r="A711">
        <v>75937</v>
      </c>
      <c r="B711">
        <v>116</v>
      </c>
      <c r="C711" t="s">
        <v>568</v>
      </c>
      <c r="D711" s="453">
        <v>46082</v>
      </c>
      <c r="E711">
        <v>21085</v>
      </c>
      <c r="F711" t="s">
        <v>4114</v>
      </c>
      <c r="G711">
        <v>1989</v>
      </c>
      <c r="H711">
        <v>8</v>
      </c>
      <c r="I711" t="s">
        <v>3881</v>
      </c>
      <c r="J711" t="s">
        <v>3469</v>
      </c>
      <c r="K711" t="s">
        <v>462</v>
      </c>
      <c r="L711">
        <v>0</v>
      </c>
      <c r="M711" s="453">
        <v>46008</v>
      </c>
      <c r="N711">
        <v>45.31</v>
      </c>
      <c r="O711">
        <v>45.1</v>
      </c>
      <c r="P711">
        <v>362.48</v>
      </c>
    </row>
    <row r="712" spans="1:16" x14ac:dyDescent="0.3">
      <c r="A712">
        <v>75925</v>
      </c>
      <c r="B712">
        <v>116</v>
      </c>
      <c r="C712" t="s">
        <v>568</v>
      </c>
      <c r="D712" s="453">
        <v>46082</v>
      </c>
      <c r="E712">
        <v>27313</v>
      </c>
      <c r="F712" t="s">
        <v>4131</v>
      </c>
      <c r="G712">
        <v>6160</v>
      </c>
      <c r="H712">
        <v>11</v>
      </c>
      <c r="I712" t="s">
        <v>3892</v>
      </c>
      <c r="J712" t="s">
        <v>3469</v>
      </c>
      <c r="K712" t="s">
        <v>462</v>
      </c>
      <c r="L712">
        <v>0</v>
      </c>
      <c r="M712" s="453">
        <v>46000</v>
      </c>
      <c r="N712">
        <v>32.799999999999997</v>
      </c>
      <c r="O712">
        <v>32.799999999999997</v>
      </c>
      <c r="P712">
        <v>360.8</v>
      </c>
    </row>
    <row r="713" spans="1:16" x14ac:dyDescent="0.3">
      <c r="A713">
        <v>76012</v>
      </c>
      <c r="B713">
        <v>116</v>
      </c>
      <c r="C713" t="s">
        <v>568</v>
      </c>
      <c r="D713" s="453">
        <v>46082</v>
      </c>
      <c r="E713">
        <v>16974</v>
      </c>
      <c r="F713" t="s">
        <v>3996</v>
      </c>
      <c r="G713">
        <v>3711</v>
      </c>
      <c r="H713">
        <v>2.5</v>
      </c>
      <c r="I713" t="s">
        <v>3881</v>
      </c>
      <c r="J713" t="s">
        <v>3497</v>
      </c>
      <c r="K713" t="s">
        <v>462</v>
      </c>
      <c r="L713">
        <v>135</v>
      </c>
      <c r="M713" s="453">
        <v>46058</v>
      </c>
      <c r="N713">
        <v>135</v>
      </c>
      <c r="O713">
        <v>135</v>
      </c>
      <c r="P713">
        <v>337.5</v>
      </c>
    </row>
    <row r="714" spans="1:16" x14ac:dyDescent="0.3">
      <c r="A714">
        <v>75977</v>
      </c>
      <c r="B714">
        <v>116</v>
      </c>
      <c r="C714" t="s">
        <v>568</v>
      </c>
      <c r="D714" s="453">
        <v>46082</v>
      </c>
      <c r="E714">
        <v>18594</v>
      </c>
      <c r="F714" t="s">
        <v>4147</v>
      </c>
      <c r="G714">
        <v>3100</v>
      </c>
      <c r="H714">
        <v>4</v>
      </c>
      <c r="I714" t="s">
        <v>3888</v>
      </c>
      <c r="J714" t="s">
        <v>3497</v>
      </c>
      <c r="K714" t="s">
        <v>462</v>
      </c>
      <c r="L714">
        <v>0</v>
      </c>
      <c r="M714" s="453">
        <v>45979</v>
      </c>
      <c r="N714">
        <v>82.76</v>
      </c>
      <c r="O714">
        <v>82.76</v>
      </c>
      <c r="P714">
        <v>331.04</v>
      </c>
    </row>
    <row r="715" spans="1:16" x14ac:dyDescent="0.3">
      <c r="A715">
        <v>75941</v>
      </c>
      <c r="B715">
        <v>116</v>
      </c>
      <c r="C715" t="s">
        <v>568</v>
      </c>
      <c r="D715" s="453">
        <v>46082</v>
      </c>
      <c r="E715">
        <v>21944</v>
      </c>
      <c r="F715" t="s">
        <v>3936</v>
      </c>
      <c r="G715">
        <v>3748</v>
      </c>
      <c r="H715">
        <v>8</v>
      </c>
      <c r="I715" t="s">
        <v>3878</v>
      </c>
      <c r="J715" t="s">
        <v>3497</v>
      </c>
      <c r="K715" t="s">
        <v>462</v>
      </c>
      <c r="L715">
        <v>0</v>
      </c>
      <c r="N715">
        <v>0</v>
      </c>
      <c r="O715">
        <v>40.159999999999997</v>
      </c>
      <c r="P715">
        <v>321.27999999999997</v>
      </c>
    </row>
    <row r="716" spans="1:16" x14ac:dyDescent="0.3">
      <c r="A716">
        <v>75927</v>
      </c>
      <c r="B716">
        <v>116</v>
      </c>
      <c r="C716" t="s">
        <v>568</v>
      </c>
      <c r="D716" s="453">
        <v>46082</v>
      </c>
      <c r="E716">
        <v>24388</v>
      </c>
      <c r="F716" t="s">
        <v>3915</v>
      </c>
      <c r="G716">
        <v>2945</v>
      </c>
      <c r="H716">
        <v>10.5</v>
      </c>
      <c r="I716" t="s">
        <v>3892</v>
      </c>
      <c r="J716" t="s">
        <v>3469</v>
      </c>
      <c r="K716" t="s">
        <v>462</v>
      </c>
      <c r="L716">
        <v>29.93</v>
      </c>
      <c r="M716" s="453">
        <v>46072</v>
      </c>
      <c r="N716">
        <v>29.9</v>
      </c>
      <c r="O716">
        <v>29.9</v>
      </c>
      <c r="P716">
        <v>314.26</v>
      </c>
    </row>
    <row r="717" spans="1:16" x14ac:dyDescent="0.3">
      <c r="A717">
        <v>75991</v>
      </c>
      <c r="B717">
        <v>116</v>
      </c>
      <c r="C717" t="s">
        <v>568</v>
      </c>
      <c r="D717" s="453">
        <v>46082</v>
      </c>
      <c r="E717">
        <v>20752</v>
      </c>
      <c r="F717" t="s">
        <v>3964</v>
      </c>
      <c r="G717">
        <v>2088</v>
      </c>
      <c r="H717">
        <v>3</v>
      </c>
      <c r="I717" t="s">
        <v>3886</v>
      </c>
      <c r="J717" t="s">
        <v>3469</v>
      </c>
      <c r="K717" t="s">
        <v>462</v>
      </c>
      <c r="L717">
        <v>103.85</v>
      </c>
      <c r="M717" s="453">
        <v>46073</v>
      </c>
      <c r="N717">
        <v>102.8</v>
      </c>
      <c r="O717">
        <v>102.8</v>
      </c>
      <c r="P717">
        <v>311.55</v>
      </c>
    </row>
    <row r="718" spans="1:16" x14ac:dyDescent="0.3">
      <c r="A718">
        <v>76054</v>
      </c>
      <c r="B718">
        <v>116</v>
      </c>
      <c r="C718" t="s">
        <v>568</v>
      </c>
      <c r="D718" s="453">
        <v>46082</v>
      </c>
      <c r="E718">
        <v>23982</v>
      </c>
      <c r="F718" t="s">
        <v>3977</v>
      </c>
      <c r="G718">
        <v>1999</v>
      </c>
      <c r="H718">
        <v>1.2</v>
      </c>
      <c r="I718" t="s">
        <v>3978</v>
      </c>
      <c r="J718" t="s">
        <v>3469</v>
      </c>
      <c r="K718" t="s">
        <v>462</v>
      </c>
      <c r="L718">
        <v>240.59</v>
      </c>
      <c r="M718" s="453">
        <v>46073</v>
      </c>
      <c r="N718">
        <v>240.59</v>
      </c>
      <c r="O718">
        <v>240.59</v>
      </c>
      <c r="P718">
        <v>288.70999999999998</v>
      </c>
    </row>
    <row r="719" spans="1:16" x14ac:dyDescent="0.3">
      <c r="A719">
        <v>76007</v>
      </c>
      <c r="B719">
        <v>116</v>
      </c>
      <c r="C719" t="s">
        <v>568</v>
      </c>
      <c r="D719" s="453">
        <v>46082</v>
      </c>
      <c r="E719">
        <v>18111</v>
      </c>
      <c r="F719" t="s">
        <v>4047</v>
      </c>
      <c r="G719">
        <v>3500</v>
      </c>
      <c r="H719">
        <v>3</v>
      </c>
      <c r="I719" t="s">
        <v>3878</v>
      </c>
      <c r="J719" t="s">
        <v>3497</v>
      </c>
      <c r="K719" t="s">
        <v>462</v>
      </c>
      <c r="L719">
        <v>91.9</v>
      </c>
      <c r="M719" s="453">
        <v>46079</v>
      </c>
      <c r="N719">
        <v>91.9</v>
      </c>
      <c r="O719">
        <v>91.9</v>
      </c>
      <c r="P719">
        <v>275.7</v>
      </c>
    </row>
    <row r="720" spans="1:16" x14ac:dyDescent="0.3">
      <c r="A720">
        <v>75939</v>
      </c>
      <c r="B720">
        <v>116</v>
      </c>
      <c r="C720" t="s">
        <v>568</v>
      </c>
      <c r="D720" s="453">
        <v>46082</v>
      </c>
      <c r="E720">
        <v>27711</v>
      </c>
      <c r="F720" t="s">
        <v>3913</v>
      </c>
      <c r="G720">
        <v>7678</v>
      </c>
      <c r="H720">
        <v>8</v>
      </c>
      <c r="I720" t="s">
        <v>3872</v>
      </c>
      <c r="J720" t="s">
        <v>3469</v>
      </c>
      <c r="K720" t="s">
        <v>462</v>
      </c>
      <c r="L720">
        <v>0</v>
      </c>
      <c r="M720" s="453">
        <v>46036</v>
      </c>
      <c r="N720">
        <v>34.200000000000003</v>
      </c>
      <c r="O720">
        <v>34.200000000000003</v>
      </c>
      <c r="P720">
        <v>273.60000000000002</v>
      </c>
    </row>
    <row r="721" spans="1:16" x14ac:dyDescent="0.3">
      <c r="A721">
        <v>76000</v>
      </c>
      <c r="B721">
        <v>116</v>
      </c>
      <c r="C721" t="s">
        <v>568</v>
      </c>
      <c r="D721" s="453">
        <v>46082</v>
      </c>
      <c r="E721">
        <v>19574</v>
      </c>
      <c r="F721" t="s">
        <v>4077</v>
      </c>
      <c r="G721">
        <v>2644</v>
      </c>
      <c r="H721">
        <v>3</v>
      </c>
      <c r="I721" t="s">
        <v>3892</v>
      </c>
      <c r="J721" t="s">
        <v>3469</v>
      </c>
      <c r="K721" t="s">
        <v>462</v>
      </c>
      <c r="L721">
        <v>90</v>
      </c>
      <c r="M721" s="453">
        <v>46058</v>
      </c>
      <c r="N721">
        <v>90</v>
      </c>
      <c r="O721">
        <v>90</v>
      </c>
      <c r="P721">
        <v>270</v>
      </c>
    </row>
    <row r="722" spans="1:16" x14ac:dyDescent="0.3">
      <c r="A722">
        <v>75936</v>
      </c>
      <c r="B722">
        <v>116</v>
      </c>
      <c r="C722" t="s">
        <v>568</v>
      </c>
      <c r="D722" s="453">
        <v>46082</v>
      </c>
      <c r="E722">
        <v>18172</v>
      </c>
      <c r="F722" t="s">
        <v>3923</v>
      </c>
      <c r="G722">
        <v>3450</v>
      </c>
      <c r="H722">
        <v>8.5</v>
      </c>
      <c r="I722" t="s">
        <v>3878</v>
      </c>
      <c r="J722" t="s">
        <v>3497</v>
      </c>
      <c r="K722" t="s">
        <v>462</v>
      </c>
      <c r="L722">
        <v>31.4</v>
      </c>
      <c r="M722" s="453">
        <v>46063</v>
      </c>
      <c r="N722">
        <v>31.4</v>
      </c>
      <c r="O722">
        <v>31.4</v>
      </c>
      <c r="P722">
        <v>266.89999999999998</v>
      </c>
    </row>
    <row r="723" spans="1:16" x14ac:dyDescent="0.3">
      <c r="A723">
        <v>75898</v>
      </c>
      <c r="B723">
        <v>116</v>
      </c>
      <c r="C723" t="s">
        <v>568</v>
      </c>
      <c r="D723" s="453">
        <v>46082</v>
      </c>
      <c r="E723">
        <v>25196</v>
      </c>
      <c r="F723" t="s">
        <v>3873</v>
      </c>
      <c r="G723">
        <v>2357</v>
      </c>
      <c r="H723">
        <v>47</v>
      </c>
      <c r="I723" t="s">
        <v>3872</v>
      </c>
      <c r="J723" t="s">
        <v>3469</v>
      </c>
      <c r="K723" t="s">
        <v>462</v>
      </c>
      <c r="L723">
        <v>0</v>
      </c>
      <c r="M723" s="453">
        <v>45936</v>
      </c>
      <c r="N723">
        <v>5.5</v>
      </c>
      <c r="O723">
        <v>5.5</v>
      </c>
      <c r="P723">
        <v>258.5</v>
      </c>
    </row>
    <row r="724" spans="1:16" x14ac:dyDescent="0.3">
      <c r="A724">
        <v>75919</v>
      </c>
      <c r="B724">
        <v>116</v>
      </c>
      <c r="C724" t="s">
        <v>568</v>
      </c>
      <c r="D724" s="453">
        <v>46082</v>
      </c>
      <c r="E724">
        <v>19984</v>
      </c>
      <c r="F724" t="s">
        <v>3904</v>
      </c>
      <c r="G724">
        <v>2351</v>
      </c>
      <c r="H724">
        <v>13</v>
      </c>
      <c r="I724" t="s">
        <v>3872</v>
      </c>
      <c r="J724" t="s">
        <v>3469</v>
      </c>
      <c r="K724" t="s">
        <v>462</v>
      </c>
      <c r="L724">
        <v>19.8</v>
      </c>
      <c r="M724" s="453">
        <v>46078</v>
      </c>
      <c r="N724">
        <v>19.8</v>
      </c>
      <c r="O724">
        <v>19.8</v>
      </c>
      <c r="P724">
        <v>257.39999999999998</v>
      </c>
    </row>
    <row r="725" spans="1:16" x14ac:dyDescent="0.3">
      <c r="A725">
        <v>75911</v>
      </c>
      <c r="B725">
        <v>116</v>
      </c>
      <c r="C725" t="s">
        <v>568</v>
      </c>
      <c r="D725" s="453">
        <v>46082</v>
      </c>
      <c r="E725">
        <v>24351</v>
      </c>
      <c r="F725" t="s">
        <v>3912</v>
      </c>
      <c r="G725">
        <v>2287</v>
      </c>
      <c r="H725">
        <v>20</v>
      </c>
      <c r="I725" t="s">
        <v>3872</v>
      </c>
      <c r="J725" t="s">
        <v>3469</v>
      </c>
      <c r="K725" t="s">
        <v>462</v>
      </c>
      <c r="L725">
        <v>12</v>
      </c>
      <c r="M725" s="453">
        <v>46076</v>
      </c>
      <c r="N725">
        <v>12</v>
      </c>
      <c r="O725">
        <v>30</v>
      </c>
      <c r="P725">
        <v>240</v>
      </c>
    </row>
    <row r="726" spans="1:16" x14ac:dyDescent="0.3">
      <c r="A726">
        <v>75990</v>
      </c>
      <c r="B726">
        <v>116</v>
      </c>
      <c r="C726" t="s">
        <v>568</v>
      </c>
      <c r="D726" s="453">
        <v>46082</v>
      </c>
      <c r="E726">
        <v>25767</v>
      </c>
      <c r="F726" t="s">
        <v>3976</v>
      </c>
      <c r="G726">
        <v>6316</v>
      </c>
      <c r="H726">
        <v>3</v>
      </c>
      <c r="I726" t="s">
        <v>3892</v>
      </c>
      <c r="J726" t="s">
        <v>3469</v>
      </c>
      <c r="K726" t="s">
        <v>462</v>
      </c>
      <c r="L726">
        <v>80</v>
      </c>
      <c r="M726" s="453">
        <v>46056</v>
      </c>
      <c r="N726">
        <v>80</v>
      </c>
      <c r="O726">
        <v>80</v>
      </c>
      <c r="P726">
        <v>240</v>
      </c>
    </row>
    <row r="727" spans="1:16" x14ac:dyDescent="0.3">
      <c r="A727">
        <v>75997</v>
      </c>
      <c r="B727">
        <v>116</v>
      </c>
      <c r="C727" t="s">
        <v>568</v>
      </c>
      <c r="D727" s="453">
        <v>46082</v>
      </c>
      <c r="E727">
        <v>19578</v>
      </c>
      <c r="F727" t="s">
        <v>3985</v>
      </c>
      <c r="G727">
        <v>2640</v>
      </c>
      <c r="H727">
        <v>3</v>
      </c>
      <c r="I727" t="s">
        <v>3892</v>
      </c>
      <c r="J727" t="s">
        <v>3469</v>
      </c>
      <c r="K727" t="s">
        <v>462</v>
      </c>
      <c r="L727">
        <v>80</v>
      </c>
      <c r="M727" s="453">
        <v>46055</v>
      </c>
      <c r="N727">
        <v>80</v>
      </c>
      <c r="O727">
        <v>80</v>
      </c>
      <c r="P727">
        <v>240</v>
      </c>
    </row>
    <row r="728" spans="1:16" x14ac:dyDescent="0.3">
      <c r="A728">
        <v>75934</v>
      </c>
      <c r="B728">
        <v>116</v>
      </c>
      <c r="C728" t="s">
        <v>568</v>
      </c>
      <c r="D728" s="453">
        <v>46082</v>
      </c>
      <c r="E728">
        <v>17886</v>
      </c>
      <c r="F728" t="s">
        <v>3935</v>
      </c>
      <c r="G728">
        <v>3670</v>
      </c>
      <c r="H728">
        <v>9</v>
      </c>
      <c r="I728" t="s">
        <v>3888</v>
      </c>
      <c r="J728" t="s">
        <v>3497</v>
      </c>
      <c r="K728" t="s">
        <v>462</v>
      </c>
      <c r="L728">
        <v>0</v>
      </c>
      <c r="M728" s="453">
        <v>46056</v>
      </c>
      <c r="N728">
        <v>0</v>
      </c>
      <c r="O728">
        <v>25.69</v>
      </c>
      <c r="P728">
        <v>231.21</v>
      </c>
    </row>
    <row r="729" spans="1:16" x14ac:dyDescent="0.3">
      <c r="A729">
        <v>75940</v>
      </c>
      <c r="B729">
        <v>116</v>
      </c>
      <c r="C729" t="s">
        <v>568</v>
      </c>
      <c r="D729" s="453">
        <v>46082</v>
      </c>
      <c r="E729">
        <v>24517</v>
      </c>
      <c r="F729" t="s">
        <v>3991</v>
      </c>
      <c r="G729">
        <v>3047</v>
      </c>
      <c r="H729">
        <v>8</v>
      </c>
      <c r="I729" t="s">
        <v>3892</v>
      </c>
      <c r="J729" t="s">
        <v>3469</v>
      </c>
      <c r="K729" t="s">
        <v>462</v>
      </c>
      <c r="L729">
        <v>27.99</v>
      </c>
      <c r="M729" s="453">
        <v>46079</v>
      </c>
      <c r="N729">
        <v>27.99</v>
      </c>
      <c r="O729">
        <v>27.99</v>
      </c>
      <c r="P729">
        <v>223.92</v>
      </c>
    </row>
    <row r="730" spans="1:16" x14ac:dyDescent="0.3">
      <c r="A730">
        <v>76015</v>
      </c>
      <c r="B730">
        <v>116</v>
      </c>
      <c r="C730" t="s">
        <v>568</v>
      </c>
      <c r="D730" s="453">
        <v>46082</v>
      </c>
      <c r="E730">
        <v>18359</v>
      </c>
      <c r="F730" t="s">
        <v>4029</v>
      </c>
      <c r="G730">
        <v>3278</v>
      </c>
      <c r="H730">
        <v>2.2000000000000002</v>
      </c>
      <c r="I730" t="s">
        <v>3878</v>
      </c>
      <c r="J730" t="s">
        <v>3497</v>
      </c>
      <c r="K730" t="s">
        <v>462</v>
      </c>
      <c r="L730">
        <v>0</v>
      </c>
      <c r="M730" s="453">
        <v>46014</v>
      </c>
      <c r="N730">
        <v>99.9</v>
      </c>
      <c r="O730">
        <v>94.8</v>
      </c>
      <c r="P730">
        <v>219.78</v>
      </c>
    </row>
    <row r="731" spans="1:16" x14ac:dyDescent="0.3">
      <c r="A731">
        <v>75933</v>
      </c>
      <c r="B731">
        <v>116</v>
      </c>
      <c r="C731" t="s">
        <v>568</v>
      </c>
      <c r="D731" s="453">
        <v>46082</v>
      </c>
      <c r="E731">
        <v>17903</v>
      </c>
      <c r="F731" t="s">
        <v>3971</v>
      </c>
      <c r="G731">
        <v>3658</v>
      </c>
      <c r="H731">
        <v>9</v>
      </c>
      <c r="I731" t="s">
        <v>3888</v>
      </c>
      <c r="J731" t="s">
        <v>3497</v>
      </c>
      <c r="K731" t="s">
        <v>462</v>
      </c>
      <c r="L731">
        <v>0</v>
      </c>
      <c r="M731" s="453">
        <v>46056</v>
      </c>
      <c r="N731">
        <v>0</v>
      </c>
      <c r="O731">
        <v>23.06</v>
      </c>
      <c r="P731">
        <v>207.54</v>
      </c>
    </row>
    <row r="732" spans="1:16" x14ac:dyDescent="0.3">
      <c r="A732">
        <v>75947</v>
      </c>
      <c r="B732">
        <v>116</v>
      </c>
      <c r="C732" t="s">
        <v>568</v>
      </c>
      <c r="D732" s="453">
        <v>46082</v>
      </c>
      <c r="E732">
        <v>20458</v>
      </c>
      <c r="F732" t="s">
        <v>4121</v>
      </c>
      <c r="G732">
        <v>2164</v>
      </c>
      <c r="H732">
        <v>6.3</v>
      </c>
      <c r="I732" t="s">
        <v>3892</v>
      </c>
      <c r="J732" t="s">
        <v>3469</v>
      </c>
      <c r="K732" t="s">
        <v>462</v>
      </c>
      <c r="L732">
        <v>32.9</v>
      </c>
      <c r="M732" s="453">
        <v>46072</v>
      </c>
      <c r="N732">
        <v>32.9</v>
      </c>
      <c r="O732">
        <v>32.9</v>
      </c>
      <c r="P732">
        <v>207.27</v>
      </c>
    </row>
    <row r="733" spans="1:16" x14ac:dyDescent="0.3">
      <c r="A733">
        <v>76004</v>
      </c>
      <c r="B733">
        <v>116</v>
      </c>
      <c r="C733" t="s">
        <v>568</v>
      </c>
      <c r="D733" s="453">
        <v>46082</v>
      </c>
      <c r="E733">
        <v>23203</v>
      </c>
      <c r="F733" t="s">
        <v>3987</v>
      </c>
      <c r="G733">
        <v>2652</v>
      </c>
      <c r="H733">
        <v>3</v>
      </c>
      <c r="I733" t="s">
        <v>3892</v>
      </c>
      <c r="J733" t="s">
        <v>3469</v>
      </c>
      <c r="K733" t="s">
        <v>462</v>
      </c>
      <c r="L733">
        <v>0</v>
      </c>
      <c r="N733">
        <v>0</v>
      </c>
      <c r="O733">
        <v>69</v>
      </c>
      <c r="P733">
        <v>207</v>
      </c>
    </row>
    <row r="734" spans="1:16" x14ac:dyDescent="0.3">
      <c r="A734">
        <v>75944</v>
      </c>
      <c r="B734">
        <v>116</v>
      </c>
      <c r="C734" t="s">
        <v>568</v>
      </c>
      <c r="D734" s="453">
        <v>46082</v>
      </c>
      <c r="E734">
        <v>18253</v>
      </c>
      <c r="F734" t="s">
        <v>3947</v>
      </c>
      <c r="G734">
        <v>3376</v>
      </c>
      <c r="H734">
        <v>7.3</v>
      </c>
      <c r="I734" t="s">
        <v>3878</v>
      </c>
      <c r="J734" t="s">
        <v>3497</v>
      </c>
      <c r="K734" t="s">
        <v>462</v>
      </c>
      <c r="L734">
        <v>28.31</v>
      </c>
      <c r="M734" s="453">
        <v>46064</v>
      </c>
      <c r="N734">
        <v>28.31</v>
      </c>
      <c r="O734">
        <v>29.4</v>
      </c>
      <c r="P734">
        <v>206.66</v>
      </c>
    </row>
    <row r="735" spans="1:16" x14ac:dyDescent="0.3">
      <c r="A735">
        <v>75948</v>
      </c>
      <c r="B735">
        <v>116</v>
      </c>
      <c r="C735" t="s">
        <v>568</v>
      </c>
      <c r="D735" s="453">
        <v>46082</v>
      </c>
      <c r="E735">
        <v>19324</v>
      </c>
      <c r="F735" t="s">
        <v>3937</v>
      </c>
      <c r="G735">
        <v>2773</v>
      </c>
      <c r="H735">
        <v>6.2</v>
      </c>
      <c r="I735" t="s">
        <v>3892</v>
      </c>
      <c r="J735" t="s">
        <v>3469</v>
      </c>
      <c r="K735" t="s">
        <v>462</v>
      </c>
      <c r="L735">
        <v>32.79</v>
      </c>
      <c r="M735" s="453">
        <v>46072</v>
      </c>
      <c r="N735">
        <v>32.6</v>
      </c>
      <c r="O735">
        <v>29.74</v>
      </c>
      <c r="P735">
        <v>203.3</v>
      </c>
    </row>
    <row r="736" spans="1:16" x14ac:dyDescent="0.3">
      <c r="A736">
        <v>75964</v>
      </c>
      <c r="B736">
        <v>116</v>
      </c>
      <c r="C736" t="s">
        <v>568</v>
      </c>
      <c r="D736" s="453">
        <v>46082</v>
      </c>
      <c r="E736">
        <v>18545</v>
      </c>
      <c r="F736" t="s">
        <v>4099</v>
      </c>
      <c r="G736">
        <v>3134</v>
      </c>
      <c r="H736">
        <v>4.2</v>
      </c>
      <c r="I736" t="s">
        <v>3878</v>
      </c>
      <c r="J736" t="s">
        <v>3497</v>
      </c>
      <c r="K736" t="s">
        <v>462</v>
      </c>
      <c r="L736">
        <v>47.9</v>
      </c>
      <c r="M736" s="453">
        <v>46078</v>
      </c>
      <c r="N736">
        <v>47.9</v>
      </c>
      <c r="O736">
        <v>47.9</v>
      </c>
      <c r="P736">
        <v>201.18</v>
      </c>
    </row>
    <row r="737" spans="1:16" x14ac:dyDescent="0.3">
      <c r="A737">
        <v>76047</v>
      </c>
      <c r="B737">
        <v>116</v>
      </c>
      <c r="C737" t="s">
        <v>568</v>
      </c>
      <c r="D737" s="453">
        <v>46082</v>
      </c>
      <c r="E737">
        <v>18394</v>
      </c>
      <c r="F737" t="s">
        <v>4044</v>
      </c>
      <c r="G737">
        <v>3246</v>
      </c>
      <c r="H737">
        <v>1.5</v>
      </c>
      <c r="I737" t="s">
        <v>3878</v>
      </c>
      <c r="J737" t="s">
        <v>3497</v>
      </c>
      <c r="K737" t="s">
        <v>462</v>
      </c>
      <c r="L737">
        <v>0</v>
      </c>
      <c r="M737" s="453">
        <v>45978</v>
      </c>
      <c r="N737">
        <v>132</v>
      </c>
      <c r="O737">
        <v>132</v>
      </c>
      <c r="P737">
        <v>198</v>
      </c>
    </row>
    <row r="738" spans="1:16" x14ac:dyDescent="0.3">
      <c r="A738">
        <v>75963</v>
      </c>
      <c r="B738">
        <v>116</v>
      </c>
      <c r="C738" t="s">
        <v>568</v>
      </c>
      <c r="D738" s="453">
        <v>46082</v>
      </c>
      <c r="E738">
        <v>28212</v>
      </c>
      <c r="F738" t="s">
        <v>4156</v>
      </c>
      <c r="G738">
        <v>8174</v>
      </c>
      <c r="H738">
        <v>4.4000000000000004</v>
      </c>
      <c r="I738" t="s">
        <v>3892</v>
      </c>
      <c r="J738" t="s">
        <v>3469</v>
      </c>
      <c r="K738" t="s">
        <v>462</v>
      </c>
      <c r="L738">
        <v>44</v>
      </c>
      <c r="M738" s="453">
        <v>46072</v>
      </c>
      <c r="N738">
        <v>44</v>
      </c>
      <c r="O738">
        <v>44</v>
      </c>
      <c r="P738">
        <v>193.6</v>
      </c>
    </row>
    <row r="739" spans="1:16" x14ac:dyDescent="0.3">
      <c r="A739">
        <v>76011</v>
      </c>
      <c r="B739">
        <v>116</v>
      </c>
      <c r="C739" t="s">
        <v>568</v>
      </c>
      <c r="D739" s="453">
        <v>46082</v>
      </c>
      <c r="E739">
        <v>18467</v>
      </c>
      <c r="F739" t="s">
        <v>4028</v>
      </c>
      <c r="G739">
        <v>3189</v>
      </c>
      <c r="H739">
        <v>2.5</v>
      </c>
      <c r="I739" t="s">
        <v>3878</v>
      </c>
      <c r="J739" t="s">
        <v>3497</v>
      </c>
      <c r="K739" t="s">
        <v>462</v>
      </c>
      <c r="L739">
        <v>75.900000000000006</v>
      </c>
      <c r="M739" s="453">
        <v>46062</v>
      </c>
      <c r="N739">
        <v>75.900000000000006</v>
      </c>
      <c r="O739">
        <v>75.900000000000006</v>
      </c>
      <c r="P739">
        <v>189.75</v>
      </c>
    </row>
    <row r="740" spans="1:16" x14ac:dyDescent="0.3">
      <c r="A740">
        <v>75972</v>
      </c>
      <c r="B740">
        <v>116</v>
      </c>
      <c r="C740" t="s">
        <v>568</v>
      </c>
      <c r="D740" s="453">
        <v>46082</v>
      </c>
      <c r="E740">
        <v>20007</v>
      </c>
      <c r="F740" t="s">
        <v>4009</v>
      </c>
      <c r="G740">
        <v>2343</v>
      </c>
      <c r="H740">
        <v>4</v>
      </c>
      <c r="I740" t="s">
        <v>3966</v>
      </c>
      <c r="J740" t="s">
        <v>3469</v>
      </c>
      <c r="K740" t="s">
        <v>462</v>
      </c>
      <c r="L740">
        <v>47.3</v>
      </c>
      <c r="M740" s="453">
        <v>46078</v>
      </c>
      <c r="N740">
        <v>41.9</v>
      </c>
      <c r="O740">
        <v>41.9</v>
      </c>
      <c r="P740">
        <v>189.2</v>
      </c>
    </row>
    <row r="741" spans="1:16" x14ac:dyDescent="0.3">
      <c r="A741">
        <v>75926</v>
      </c>
      <c r="B741">
        <v>116</v>
      </c>
      <c r="C741" t="s">
        <v>568</v>
      </c>
      <c r="D741" s="453">
        <v>46082</v>
      </c>
      <c r="E741">
        <v>17983</v>
      </c>
      <c r="F741" t="s">
        <v>4142</v>
      </c>
      <c r="G741">
        <v>3609</v>
      </c>
      <c r="H741">
        <v>11</v>
      </c>
      <c r="I741" t="s">
        <v>3888</v>
      </c>
      <c r="J741" t="s">
        <v>3497</v>
      </c>
      <c r="K741" t="s">
        <v>462</v>
      </c>
      <c r="L741">
        <v>0</v>
      </c>
      <c r="M741" s="453">
        <v>45818</v>
      </c>
      <c r="N741">
        <v>17.100000000000001</v>
      </c>
      <c r="O741">
        <v>22.2</v>
      </c>
      <c r="P741">
        <v>188.1</v>
      </c>
    </row>
    <row r="742" spans="1:16" x14ac:dyDescent="0.3">
      <c r="A742">
        <v>75989</v>
      </c>
      <c r="B742">
        <v>116</v>
      </c>
      <c r="C742" t="s">
        <v>568</v>
      </c>
      <c r="D742" s="453">
        <v>46082</v>
      </c>
      <c r="E742">
        <v>19346</v>
      </c>
      <c r="F742" t="s">
        <v>3948</v>
      </c>
      <c r="G742">
        <v>2770</v>
      </c>
      <c r="H742">
        <v>3.2</v>
      </c>
      <c r="I742" t="s">
        <v>3892</v>
      </c>
      <c r="J742" t="s">
        <v>3469</v>
      </c>
      <c r="K742" t="s">
        <v>462</v>
      </c>
      <c r="L742">
        <v>58.09</v>
      </c>
      <c r="M742" s="453">
        <v>46079</v>
      </c>
      <c r="N742">
        <v>58.3</v>
      </c>
      <c r="O742">
        <v>58.3</v>
      </c>
      <c r="P742">
        <v>185.89</v>
      </c>
    </row>
    <row r="743" spans="1:16" x14ac:dyDescent="0.3">
      <c r="A743">
        <v>75965</v>
      </c>
      <c r="B743">
        <v>116</v>
      </c>
      <c r="C743" t="s">
        <v>568</v>
      </c>
      <c r="D743" s="453">
        <v>46082</v>
      </c>
      <c r="E743">
        <v>19405</v>
      </c>
      <c r="F743" t="s">
        <v>4097</v>
      </c>
      <c r="G743">
        <v>2761</v>
      </c>
      <c r="H743">
        <v>1.22</v>
      </c>
      <c r="I743" t="s">
        <v>3892</v>
      </c>
      <c r="J743" t="s">
        <v>3469</v>
      </c>
      <c r="K743" t="s">
        <v>462</v>
      </c>
      <c r="L743">
        <v>0</v>
      </c>
      <c r="M743" s="453">
        <v>46051</v>
      </c>
      <c r="N743">
        <v>151.9</v>
      </c>
      <c r="O743">
        <v>145.9</v>
      </c>
      <c r="P743">
        <v>185.32</v>
      </c>
    </row>
    <row r="744" spans="1:16" x14ac:dyDescent="0.3">
      <c r="A744">
        <v>76100</v>
      </c>
      <c r="B744">
        <v>116</v>
      </c>
      <c r="C744" t="s">
        <v>568</v>
      </c>
      <c r="D744" s="453">
        <v>46082</v>
      </c>
      <c r="E744">
        <v>18119</v>
      </c>
      <c r="F744" t="s">
        <v>4093</v>
      </c>
      <c r="G744">
        <v>3494</v>
      </c>
      <c r="H744">
        <v>1</v>
      </c>
      <c r="I744" t="s">
        <v>3878</v>
      </c>
      <c r="J744" t="s">
        <v>3497</v>
      </c>
      <c r="K744" t="s">
        <v>462</v>
      </c>
      <c r="L744">
        <v>0</v>
      </c>
      <c r="M744" s="453">
        <v>46029</v>
      </c>
      <c r="N744">
        <v>181</v>
      </c>
      <c r="O744">
        <v>174.15</v>
      </c>
      <c r="P744">
        <v>181</v>
      </c>
    </row>
    <row r="745" spans="1:16" x14ac:dyDescent="0.3">
      <c r="A745">
        <v>76014</v>
      </c>
      <c r="B745">
        <v>116</v>
      </c>
      <c r="C745" t="s">
        <v>568</v>
      </c>
      <c r="D745" s="453">
        <v>46082</v>
      </c>
      <c r="E745">
        <v>20555</v>
      </c>
      <c r="F745" t="s">
        <v>3959</v>
      </c>
      <c r="G745">
        <v>2139</v>
      </c>
      <c r="H745">
        <v>2.29</v>
      </c>
      <c r="I745" t="s">
        <v>3892</v>
      </c>
      <c r="J745" t="s">
        <v>3469</v>
      </c>
      <c r="K745" t="s">
        <v>462</v>
      </c>
      <c r="L745">
        <v>79</v>
      </c>
      <c r="M745" s="453">
        <v>46072</v>
      </c>
      <c r="N745">
        <v>79</v>
      </c>
      <c r="O745">
        <v>79</v>
      </c>
      <c r="P745">
        <v>180.91</v>
      </c>
    </row>
    <row r="746" spans="1:16" x14ac:dyDescent="0.3">
      <c r="A746">
        <v>76063</v>
      </c>
      <c r="B746">
        <v>116</v>
      </c>
      <c r="C746" t="s">
        <v>568</v>
      </c>
      <c r="D746" s="453">
        <v>46082</v>
      </c>
      <c r="E746">
        <v>23897</v>
      </c>
      <c r="F746" t="s">
        <v>4058</v>
      </c>
      <c r="G746">
        <v>2003</v>
      </c>
      <c r="H746">
        <v>1</v>
      </c>
      <c r="I746" t="s">
        <v>3872</v>
      </c>
      <c r="J746" t="s">
        <v>3469</v>
      </c>
      <c r="K746" t="s">
        <v>462</v>
      </c>
      <c r="L746">
        <v>0</v>
      </c>
      <c r="M746" s="453">
        <v>46027</v>
      </c>
      <c r="N746">
        <v>175.9</v>
      </c>
      <c r="O746">
        <v>175.9</v>
      </c>
      <c r="P746">
        <v>175.9</v>
      </c>
    </row>
    <row r="747" spans="1:16" x14ac:dyDescent="0.3">
      <c r="A747">
        <v>75942</v>
      </c>
      <c r="B747">
        <v>116</v>
      </c>
      <c r="C747" t="s">
        <v>568</v>
      </c>
      <c r="D747" s="453">
        <v>46082</v>
      </c>
      <c r="E747">
        <v>23760</v>
      </c>
      <c r="F747" t="s">
        <v>4007</v>
      </c>
      <c r="G747">
        <v>2141</v>
      </c>
      <c r="H747">
        <v>7.5</v>
      </c>
      <c r="I747" t="s">
        <v>3892</v>
      </c>
      <c r="J747" t="s">
        <v>3469</v>
      </c>
      <c r="K747" t="s">
        <v>462</v>
      </c>
      <c r="L747">
        <v>0</v>
      </c>
      <c r="N747">
        <v>0</v>
      </c>
      <c r="O747">
        <v>23.3</v>
      </c>
      <c r="P747">
        <v>174.75</v>
      </c>
    </row>
    <row r="748" spans="1:16" x14ac:dyDescent="0.3">
      <c r="A748">
        <v>75961</v>
      </c>
      <c r="B748">
        <v>116</v>
      </c>
      <c r="C748" t="s">
        <v>568</v>
      </c>
      <c r="D748" s="453">
        <v>46082</v>
      </c>
      <c r="E748">
        <v>18200</v>
      </c>
      <c r="F748" t="s">
        <v>4032</v>
      </c>
      <c r="G748">
        <v>3426</v>
      </c>
      <c r="H748">
        <v>4.5</v>
      </c>
      <c r="I748" t="s">
        <v>3878</v>
      </c>
      <c r="J748" t="s">
        <v>3497</v>
      </c>
      <c r="K748" t="s">
        <v>462</v>
      </c>
      <c r="L748">
        <v>36.799999999999997</v>
      </c>
      <c r="M748" s="453">
        <v>46078</v>
      </c>
      <c r="N748">
        <v>36.799999999999997</v>
      </c>
      <c r="O748">
        <v>36.799999999999997</v>
      </c>
      <c r="P748">
        <v>165.6</v>
      </c>
    </row>
    <row r="749" spans="1:16" x14ac:dyDescent="0.3">
      <c r="A749">
        <v>75998</v>
      </c>
      <c r="B749">
        <v>116</v>
      </c>
      <c r="C749" t="s">
        <v>568</v>
      </c>
      <c r="D749" s="453">
        <v>46082</v>
      </c>
      <c r="E749">
        <v>19579</v>
      </c>
      <c r="F749" t="s">
        <v>4020</v>
      </c>
      <c r="G749">
        <v>2640</v>
      </c>
      <c r="H749">
        <v>3</v>
      </c>
      <c r="I749" t="s">
        <v>3892</v>
      </c>
      <c r="J749" t="s">
        <v>3469</v>
      </c>
      <c r="K749" t="s">
        <v>462</v>
      </c>
      <c r="L749">
        <v>0</v>
      </c>
      <c r="M749" s="453">
        <v>45936</v>
      </c>
      <c r="N749">
        <v>55</v>
      </c>
      <c r="O749">
        <v>0</v>
      </c>
      <c r="P749">
        <v>165</v>
      </c>
    </row>
    <row r="750" spans="1:16" x14ac:dyDescent="0.3">
      <c r="A750">
        <v>76052</v>
      </c>
      <c r="B750">
        <v>116</v>
      </c>
      <c r="C750" t="s">
        <v>568</v>
      </c>
      <c r="D750" s="453">
        <v>46082</v>
      </c>
      <c r="E750">
        <v>18315</v>
      </c>
      <c r="F750" t="s">
        <v>4088</v>
      </c>
      <c r="G750">
        <v>3318</v>
      </c>
      <c r="H750">
        <v>1.3</v>
      </c>
      <c r="I750" t="s">
        <v>3878</v>
      </c>
      <c r="J750" t="s">
        <v>3497</v>
      </c>
      <c r="K750" t="s">
        <v>462</v>
      </c>
      <c r="L750">
        <v>0</v>
      </c>
      <c r="M750" s="453">
        <v>46035</v>
      </c>
      <c r="N750">
        <v>124</v>
      </c>
      <c r="O750">
        <v>133</v>
      </c>
      <c r="P750">
        <v>161.19999999999999</v>
      </c>
    </row>
    <row r="751" spans="1:16" x14ac:dyDescent="0.3">
      <c r="A751">
        <v>75910</v>
      </c>
      <c r="B751">
        <v>116</v>
      </c>
      <c r="C751" t="s">
        <v>568</v>
      </c>
      <c r="D751" s="453">
        <v>46082</v>
      </c>
      <c r="E751">
        <v>25167</v>
      </c>
      <c r="F751" t="s">
        <v>3951</v>
      </c>
      <c r="G751">
        <v>5930</v>
      </c>
      <c r="H751">
        <v>20</v>
      </c>
      <c r="I751" t="s">
        <v>3892</v>
      </c>
      <c r="J751" t="s">
        <v>3469</v>
      </c>
      <c r="K751" t="s">
        <v>462</v>
      </c>
      <c r="L751">
        <v>0</v>
      </c>
      <c r="M751" s="453">
        <v>45840</v>
      </c>
      <c r="N751">
        <v>7.9</v>
      </c>
      <c r="O751">
        <v>7.9</v>
      </c>
      <c r="P751">
        <v>158</v>
      </c>
    </row>
    <row r="752" spans="1:16" x14ac:dyDescent="0.3">
      <c r="A752">
        <v>76045</v>
      </c>
      <c r="B752">
        <v>116</v>
      </c>
      <c r="C752" t="s">
        <v>568</v>
      </c>
      <c r="D752" s="453">
        <v>46082</v>
      </c>
      <c r="E752">
        <v>18538</v>
      </c>
      <c r="F752" t="s">
        <v>4026</v>
      </c>
      <c r="G752">
        <v>3139</v>
      </c>
      <c r="H752">
        <v>1.5</v>
      </c>
      <c r="I752" t="s">
        <v>3878</v>
      </c>
      <c r="J752" t="s">
        <v>3497</v>
      </c>
      <c r="K752" t="s">
        <v>462</v>
      </c>
      <c r="L752">
        <v>104.9</v>
      </c>
      <c r="M752" s="453">
        <v>46072</v>
      </c>
      <c r="N752">
        <v>104.9</v>
      </c>
      <c r="O752">
        <v>104.9</v>
      </c>
      <c r="P752">
        <v>157.35</v>
      </c>
    </row>
    <row r="753" spans="1:16" x14ac:dyDescent="0.3">
      <c r="A753">
        <v>75976</v>
      </c>
      <c r="B753">
        <v>116</v>
      </c>
      <c r="C753" t="s">
        <v>568</v>
      </c>
      <c r="D753" s="453">
        <v>46082</v>
      </c>
      <c r="E753">
        <v>18685</v>
      </c>
      <c r="F753" t="s">
        <v>3945</v>
      </c>
      <c r="G753">
        <v>3040</v>
      </c>
      <c r="H753">
        <v>4</v>
      </c>
      <c r="I753" t="s">
        <v>3892</v>
      </c>
      <c r="J753" t="s">
        <v>3469</v>
      </c>
      <c r="K753" t="s">
        <v>462</v>
      </c>
      <c r="L753">
        <v>39</v>
      </c>
      <c r="M753" s="453">
        <v>46072</v>
      </c>
      <c r="N753">
        <v>39</v>
      </c>
      <c r="O753">
        <v>39</v>
      </c>
      <c r="P753">
        <v>156</v>
      </c>
    </row>
    <row r="754" spans="1:16" x14ac:dyDescent="0.3">
      <c r="A754">
        <v>75904</v>
      </c>
      <c r="B754">
        <v>116</v>
      </c>
      <c r="C754" t="s">
        <v>568</v>
      </c>
      <c r="D754" s="453">
        <v>46082</v>
      </c>
      <c r="E754">
        <v>25195</v>
      </c>
      <c r="F754" t="s">
        <v>3874</v>
      </c>
      <c r="G754">
        <v>2363</v>
      </c>
      <c r="H754">
        <v>24</v>
      </c>
      <c r="I754" t="s">
        <v>3872</v>
      </c>
      <c r="J754" t="s">
        <v>3469</v>
      </c>
      <c r="K754" t="s">
        <v>462</v>
      </c>
      <c r="L754">
        <v>0</v>
      </c>
      <c r="M754" s="453">
        <v>45936</v>
      </c>
      <c r="N754">
        <v>6.3</v>
      </c>
      <c r="O754">
        <v>6.3</v>
      </c>
      <c r="P754">
        <v>151.19999999999999</v>
      </c>
    </row>
    <row r="755" spans="1:16" x14ac:dyDescent="0.3">
      <c r="A755">
        <v>76003</v>
      </c>
      <c r="B755">
        <v>116</v>
      </c>
      <c r="C755" t="s">
        <v>568</v>
      </c>
      <c r="D755" s="453">
        <v>46082</v>
      </c>
      <c r="E755">
        <v>19566</v>
      </c>
      <c r="F755" t="s">
        <v>3986</v>
      </c>
      <c r="G755">
        <v>2651</v>
      </c>
      <c r="H755">
        <v>3</v>
      </c>
      <c r="I755" t="s">
        <v>3892</v>
      </c>
      <c r="J755" t="s">
        <v>3469</v>
      </c>
      <c r="K755" t="s">
        <v>462</v>
      </c>
      <c r="L755">
        <v>50</v>
      </c>
      <c r="M755" s="453">
        <v>46055</v>
      </c>
      <c r="N755">
        <v>50</v>
      </c>
      <c r="O755">
        <v>50</v>
      </c>
      <c r="P755">
        <v>150</v>
      </c>
    </row>
    <row r="756" spans="1:16" x14ac:dyDescent="0.3">
      <c r="A756">
        <v>75922</v>
      </c>
      <c r="B756">
        <v>116</v>
      </c>
      <c r="C756" t="s">
        <v>568</v>
      </c>
      <c r="D756" s="453">
        <v>46082</v>
      </c>
      <c r="E756">
        <v>18447</v>
      </c>
      <c r="F756" t="s">
        <v>4027</v>
      </c>
      <c r="G756">
        <v>3204</v>
      </c>
      <c r="H756">
        <v>12</v>
      </c>
      <c r="I756" t="s">
        <v>3878</v>
      </c>
      <c r="J756" t="s">
        <v>3497</v>
      </c>
      <c r="K756" t="s">
        <v>462</v>
      </c>
      <c r="L756">
        <v>12.49</v>
      </c>
      <c r="M756" s="453">
        <v>46078</v>
      </c>
      <c r="N756">
        <v>12.49</v>
      </c>
      <c r="O756">
        <v>12.49</v>
      </c>
      <c r="P756">
        <v>149.88</v>
      </c>
    </row>
    <row r="757" spans="1:16" x14ac:dyDescent="0.3">
      <c r="A757">
        <v>75960</v>
      </c>
      <c r="B757">
        <v>116</v>
      </c>
      <c r="C757" t="s">
        <v>568</v>
      </c>
      <c r="D757" s="453">
        <v>46082</v>
      </c>
      <c r="E757">
        <v>18006</v>
      </c>
      <c r="F757" t="s">
        <v>4138</v>
      </c>
      <c r="G757">
        <v>3591</v>
      </c>
      <c r="H757">
        <v>5</v>
      </c>
      <c r="I757" t="s">
        <v>3888</v>
      </c>
      <c r="J757" t="s">
        <v>3497</v>
      </c>
      <c r="K757" t="s">
        <v>462</v>
      </c>
      <c r="L757">
        <v>0</v>
      </c>
      <c r="M757" s="453">
        <v>46049</v>
      </c>
      <c r="N757">
        <v>29.64</v>
      </c>
      <c r="O757">
        <v>29.64</v>
      </c>
      <c r="P757">
        <v>148.19999999999999</v>
      </c>
    </row>
    <row r="758" spans="1:16" x14ac:dyDescent="0.3">
      <c r="A758">
        <v>76049</v>
      </c>
      <c r="B758">
        <v>116</v>
      </c>
      <c r="C758" t="s">
        <v>568</v>
      </c>
      <c r="D758" s="453">
        <v>46082</v>
      </c>
      <c r="E758">
        <v>18233</v>
      </c>
      <c r="F758" t="s">
        <v>4090</v>
      </c>
      <c r="G758">
        <v>3395</v>
      </c>
      <c r="H758">
        <v>1.5</v>
      </c>
      <c r="I758" t="s">
        <v>3878</v>
      </c>
      <c r="J758" t="s">
        <v>3497</v>
      </c>
      <c r="K758" t="s">
        <v>462</v>
      </c>
      <c r="L758">
        <v>0</v>
      </c>
      <c r="M758" s="453">
        <v>46035</v>
      </c>
      <c r="N758">
        <v>98</v>
      </c>
      <c r="O758">
        <v>98</v>
      </c>
      <c r="P758">
        <v>147</v>
      </c>
    </row>
    <row r="759" spans="1:16" x14ac:dyDescent="0.3">
      <c r="A759">
        <v>76001</v>
      </c>
      <c r="B759">
        <v>116</v>
      </c>
      <c r="C759" t="s">
        <v>568</v>
      </c>
      <c r="D759" s="453">
        <v>46082</v>
      </c>
      <c r="E759">
        <v>19573</v>
      </c>
      <c r="F759" t="s">
        <v>4163</v>
      </c>
      <c r="G759">
        <v>2645</v>
      </c>
      <c r="H759">
        <v>3</v>
      </c>
      <c r="I759" t="s">
        <v>3892</v>
      </c>
      <c r="J759" t="s">
        <v>3469</v>
      </c>
      <c r="K759" t="s">
        <v>462</v>
      </c>
      <c r="L759">
        <v>46.4</v>
      </c>
      <c r="M759" s="453">
        <v>46056</v>
      </c>
      <c r="N759">
        <v>46.4</v>
      </c>
      <c r="O759">
        <v>46.4</v>
      </c>
      <c r="P759">
        <v>139.19999999999999</v>
      </c>
    </row>
    <row r="760" spans="1:16" x14ac:dyDescent="0.3">
      <c r="A760">
        <v>75982</v>
      </c>
      <c r="B760">
        <v>116</v>
      </c>
      <c r="C760" t="s">
        <v>568</v>
      </c>
      <c r="D760" s="453">
        <v>46082</v>
      </c>
      <c r="E760">
        <v>20456</v>
      </c>
      <c r="F760" t="s">
        <v>4000</v>
      </c>
      <c r="G760">
        <v>2166</v>
      </c>
      <c r="H760">
        <v>3.5</v>
      </c>
      <c r="I760" t="s">
        <v>3892</v>
      </c>
      <c r="J760" t="s">
        <v>3469</v>
      </c>
      <c r="K760" t="s">
        <v>462</v>
      </c>
      <c r="L760">
        <v>39</v>
      </c>
      <c r="M760" s="453">
        <v>46064</v>
      </c>
      <c r="N760">
        <v>39</v>
      </c>
      <c r="O760">
        <v>39</v>
      </c>
      <c r="P760">
        <v>136.5</v>
      </c>
    </row>
    <row r="761" spans="1:16" x14ac:dyDescent="0.3">
      <c r="A761">
        <v>75978</v>
      </c>
      <c r="B761">
        <v>116</v>
      </c>
      <c r="C761" t="s">
        <v>568</v>
      </c>
      <c r="D761" s="453">
        <v>46082</v>
      </c>
      <c r="E761">
        <v>18491</v>
      </c>
      <c r="F761" t="s">
        <v>3934</v>
      </c>
      <c r="G761">
        <v>3166</v>
      </c>
      <c r="H761">
        <v>4</v>
      </c>
      <c r="I761" t="s">
        <v>3878</v>
      </c>
      <c r="J761" t="s">
        <v>3497</v>
      </c>
      <c r="K761" t="s">
        <v>462</v>
      </c>
      <c r="L761">
        <v>0</v>
      </c>
      <c r="M761" s="453">
        <v>45931</v>
      </c>
      <c r="N761">
        <v>33.9</v>
      </c>
      <c r="O761">
        <v>33.9</v>
      </c>
      <c r="P761">
        <v>135.6</v>
      </c>
    </row>
    <row r="762" spans="1:16" x14ac:dyDescent="0.3">
      <c r="A762">
        <v>76053</v>
      </c>
      <c r="B762">
        <v>116</v>
      </c>
      <c r="C762" t="s">
        <v>568</v>
      </c>
      <c r="D762" s="453">
        <v>46082</v>
      </c>
      <c r="E762">
        <v>18232</v>
      </c>
      <c r="F762" t="s">
        <v>4091</v>
      </c>
      <c r="G762">
        <v>3396</v>
      </c>
      <c r="H762">
        <v>1.3</v>
      </c>
      <c r="I762" t="s">
        <v>3878</v>
      </c>
      <c r="J762" t="s">
        <v>3497</v>
      </c>
      <c r="K762" t="s">
        <v>462</v>
      </c>
      <c r="L762">
        <v>0</v>
      </c>
      <c r="M762" s="453">
        <v>45845</v>
      </c>
      <c r="N762">
        <v>103.99</v>
      </c>
      <c r="O762">
        <v>98</v>
      </c>
      <c r="P762">
        <v>135.19</v>
      </c>
    </row>
    <row r="763" spans="1:16" x14ac:dyDescent="0.3">
      <c r="A763">
        <v>75957</v>
      </c>
      <c r="B763">
        <v>116</v>
      </c>
      <c r="C763" t="s">
        <v>568</v>
      </c>
      <c r="D763" s="453">
        <v>46082</v>
      </c>
      <c r="E763">
        <v>20395</v>
      </c>
      <c r="F763" t="s">
        <v>4057</v>
      </c>
      <c r="G763">
        <v>2192</v>
      </c>
      <c r="H763">
        <v>5</v>
      </c>
      <c r="I763" t="s">
        <v>3872</v>
      </c>
      <c r="J763" t="s">
        <v>3469</v>
      </c>
      <c r="K763" t="s">
        <v>462</v>
      </c>
      <c r="L763">
        <v>27</v>
      </c>
      <c r="M763" s="453">
        <v>46063</v>
      </c>
      <c r="N763">
        <v>27</v>
      </c>
      <c r="O763">
        <v>26.7</v>
      </c>
      <c r="P763">
        <v>135</v>
      </c>
    </row>
    <row r="764" spans="1:16" x14ac:dyDescent="0.3">
      <c r="A764">
        <v>76005</v>
      </c>
      <c r="B764">
        <v>116</v>
      </c>
      <c r="C764" t="s">
        <v>568</v>
      </c>
      <c r="D764" s="453">
        <v>46082</v>
      </c>
      <c r="E764">
        <v>19565</v>
      </c>
      <c r="F764" t="s">
        <v>3987</v>
      </c>
      <c r="G764">
        <v>2652</v>
      </c>
      <c r="H764">
        <v>3</v>
      </c>
      <c r="I764" t="s">
        <v>3892</v>
      </c>
      <c r="J764" t="s">
        <v>3469</v>
      </c>
      <c r="K764" t="s">
        <v>462</v>
      </c>
      <c r="L764">
        <v>45</v>
      </c>
      <c r="M764" s="453">
        <v>46055</v>
      </c>
      <c r="N764">
        <v>45</v>
      </c>
      <c r="O764">
        <v>45</v>
      </c>
      <c r="P764">
        <v>135</v>
      </c>
    </row>
    <row r="765" spans="1:16" x14ac:dyDescent="0.3">
      <c r="A765">
        <v>75945</v>
      </c>
      <c r="B765">
        <v>116</v>
      </c>
      <c r="C765" t="s">
        <v>568</v>
      </c>
      <c r="D765" s="453">
        <v>46082</v>
      </c>
      <c r="E765">
        <v>20301</v>
      </c>
      <c r="F765" t="s">
        <v>4161</v>
      </c>
      <c r="G765">
        <v>2223</v>
      </c>
      <c r="H765">
        <v>7</v>
      </c>
      <c r="I765" t="s">
        <v>3888</v>
      </c>
      <c r="J765" t="s">
        <v>3469</v>
      </c>
      <c r="K765" t="s">
        <v>462</v>
      </c>
      <c r="L765">
        <v>18.899999999999999</v>
      </c>
      <c r="M765" s="453">
        <v>46072</v>
      </c>
      <c r="N765">
        <v>18.899999999999999</v>
      </c>
      <c r="O765">
        <v>18.899999999999999</v>
      </c>
      <c r="P765">
        <v>132.30000000000001</v>
      </c>
    </row>
    <row r="766" spans="1:16" x14ac:dyDescent="0.3">
      <c r="A766">
        <v>75980</v>
      </c>
      <c r="B766">
        <v>116</v>
      </c>
      <c r="C766" t="s">
        <v>568</v>
      </c>
      <c r="D766" s="453">
        <v>46082</v>
      </c>
      <c r="E766">
        <v>20832</v>
      </c>
      <c r="F766" t="s">
        <v>4060</v>
      </c>
      <c r="G766">
        <v>2065</v>
      </c>
      <c r="H766">
        <v>4</v>
      </c>
      <c r="I766" t="s">
        <v>3886</v>
      </c>
      <c r="J766" t="s">
        <v>3469</v>
      </c>
      <c r="K766" t="s">
        <v>462</v>
      </c>
      <c r="L766">
        <v>0</v>
      </c>
      <c r="M766" s="453">
        <v>46050</v>
      </c>
      <c r="N766">
        <v>33</v>
      </c>
      <c r="O766">
        <v>34</v>
      </c>
      <c r="P766">
        <v>132</v>
      </c>
    </row>
    <row r="767" spans="1:16" x14ac:dyDescent="0.3">
      <c r="A767">
        <v>76017</v>
      </c>
      <c r="B767">
        <v>116</v>
      </c>
      <c r="C767" t="s">
        <v>568</v>
      </c>
      <c r="D767" s="453">
        <v>46082</v>
      </c>
      <c r="E767">
        <v>20729</v>
      </c>
      <c r="F767" t="s">
        <v>3965</v>
      </c>
      <c r="G767">
        <v>2093</v>
      </c>
      <c r="H767">
        <v>2</v>
      </c>
      <c r="I767" t="s">
        <v>3966</v>
      </c>
      <c r="J767" t="s">
        <v>3469</v>
      </c>
      <c r="K767" t="s">
        <v>462</v>
      </c>
      <c r="L767">
        <v>65.88</v>
      </c>
      <c r="M767" s="453">
        <v>46073</v>
      </c>
      <c r="N767">
        <v>65.88</v>
      </c>
      <c r="O767">
        <v>65.88</v>
      </c>
      <c r="P767">
        <v>131.76</v>
      </c>
    </row>
    <row r="768" spans="1:16" x14ac:dyDescent="0.3">
      <c r="A768">
        <v>75981</v>
      </c>
      <c r="B768">
        <v>116</v>
      </c>
      <c r="C768" t="s">
        <v>568</v>
      </c>
      <c r="D768" s="453">
        <v>46082</v>
      </c>
      <c r="E768">
        <v>18272</v>
      </c>
      <c r="F768" t="s">
        <v>4046</v>
      </c>
      <c r="G768">
        <v>3358</v>
      </c>
      <c r="H768">
        <v>3.6</v>
      </c>
      <c r="I768" t="s">
        <v>3878</v>
      </c>
      <c r="J768" t="s">
        <v>3497</v>
      </c>
      <c r="K768" t="s">
        <v>462</v>
      </c>
      <c r="L768">
        <v>0</v>
      </c>
      <c r="M768" s="453">
        <v>46014</v>
      </c>
      <c r="N768">
        <v>36.31</v>
      </c>
      <c r="O768">
        <v>35.79</v>
      </c>
      <c r="P768">
        <v>130.72</v>
      </c>
    </row>
    <row r="769" spans="1:16" x14ac:dyDescent="0.3">
      <c r="A769">
        <v>75986</v>
      </c>
      <c r="B769">
        <v>116</v>
      </c>
      <c r="C769" t="s">
        <v>568</v>
      </c>
      <c r="D769" s="453">
        <v>46082</v>
      </c>
      <c r="E769">
        <v>18273</v>
      </c>
      <c r="F769" t="s">
        <v>4031</v>
      </c>
      <c r="G769">
        <v>3357</v>
      </c>
      <c r="H769">
        <v>3.5</v>
      </c>
      <c r="I769" t="s">
        <v>3878</v>
      </c>
      <c r="J769" t="s">
        <v>3497</v>
      </c>
      <c r="K769" t="s">
        <v>462</v>
      </c>
      <c r="L769">
        <v>0</v>
      </c>
      <c r="M769" s="453">
        <v>46007</v>
      </c>
      <c r="N769">
        <v>37</v>
      </c>
      <c r="O769">
        <v>39</v>
      </c>
      <c r="P769">
        <v>129.5</v>
      </c>
    </row>
    <row r="770" spans="1:16" x14ac:dyDescent="0.3">
      <c r="A770">
        <v>75984</v>
      </c>
      <c r="B770">
        <v>116</v>
      </c>
      <c r="C770" t="s">
        <v>568</v>
      </c>
      <c r="D770" s="453">
        <v>46082</v>
      </c>
      <c r="E770">
        <v>24402</v>
      </c>
      <c r="F770" t="s">
        <v>3896</v>
      </c>
      <c r="G770">
        <v>2949</v>
      </c>
      <c r="H770">
        <v>3.5</v>
      </c>
      <c r="I770" t="s">
        <v>3892</v>
      </c>
      <c r="J770" t="s">
        <v>3469</v>
      </c>
      <c r="K770" t="s">
        <v>462</v>
      </c>
      <c r="L770">
        <v>36.619999999999997</v>
      </c>
      <c r="M770" s="453">
        <v>46077</v>
      </c>
      <c r="N770">
        <v>37.200000000000003</v>
      </c>
      <c r="O770">
        <v>37.200000000000003</v>
      </c>
      <c r="P770">
        <v>128.16999999999999</v>
      </c>
    </row>
    <row r="771" spans="1:16" x14ac:dyDescent="0.3">
      <c r="A771">
        <v>76099</v>
      </c>
      <c r="B771">
        <v>116</v>
      </c>
      <c r="C771" t="s">
        <v>568</v>
      </c>
      <c r="D771" s="453">
        <v>46082</v>
      </c>
      <c r="E771">
        <v>18129</v>
      </c>
      <c r="F771" t="s">
        <v>4092</v>
      </c>
      <c r="G771">
        <v>3486</v>
      </c>
      <c r="H771">
        <v>1</v>
      </c>
      <c r="I771" t="s">
        <v>3878</v>
      </c>
      <c r="J771" t="s">
        <v>3497</v>
      </c>
      <c r="K771" t="s">
        <v>462</v>
      </c>
      <c r="L771">
        <v>122.36</v>
      </c>
      <c r="M771" s="453">
        <v>46058</v>
      </c>
      <c r="N771">
        <v>122.36</v>
      </c>
      <c r="O771">
        <v>116</v>
      </c>
      <c r="P771">
        <v>122.36</v>
      </c>
    </row>
    <row r="772" spans="1:16" x14ac:dyDescent="0.3">
      <c r="A772">
        <v>75985</v>
      </c>
      <c r="B772">
        <v>116</v>
      </c>
      <c r="C772" t="s">
        <v>568</v>
      </c>
      <c r="D772" s="453">
        <v>46082</v>
      </c>
      <c r="E772">
        <v>18547</v>
      </c>
      <c r="F772" t="s">
        <v>3962</v>
      </c>
      <c r="G772">
        <v>3132</v>
      </c>
      <c r="H772">
        <v>3.5</v>
      </c>
      <c r="I772" t="s">
        <v>3878</v>
      </c>
      <c r="J772" t="s">
        <v>3497</v>
      </c>
      <c r="K772" t="s">
        <v>462</v>
      </c>
      <c r="L772">
        <v>0</v>
      </c>
      <c r="M772" s="453">
        <v>45770</v>
      </c>
      <c r="N772">
        <v>34.74</v>
      </c>
      <c r="O772">
        <v>38.9</v>
      </c>
      <c r="P772">
        <v>121.59</v>
      </c>
    </row>
    <row r="773" spans="1:16" x14ac:dyDescent="0.3">
      <c r="A773">
        <v>75979</v>
      </c>
      <c r="B773">
        <v>116</v>
      </c>
      <c r="C773" t="s">
        <v>568</v>
      </c>
      <c r="D773" s="453">
        <v>46082</v>
      </c>
      <c r="E773">
        <v>18004</v>
      </c>
      <c r="F773" t="s">
        <v>4140</v>
      </c>
      <c r="G773">
        <v>3592</v>
      </c>
      <c r="H773">
        <v>4</v>
      </c>
      <c r="I773" t="s">
        <v>3888</v>
      </c>
      <c r="J773" t="s">
        <v>3497</v>
      </c>
      <c r="K773" t="s">
        <v>462</v>
      </c>
      <c r="L773">
        <v>0</v>
      </c>
      <c r="M773" s="453">
        <v>46049</v>
      </c>
      <c r="N773">
        <v>29.64</v>
      </c>
      <c r="O773">
        <v>29.64</v>
      </c>
      <c r="P773">
        <v>118.56</v>
      </c>
    </row>
    <row r="774" spans="1:16" x14ac:dyDescent="0.3">
      <c r="A774">
        <v>75958</v>
      </c>
      <c r="B774">
        <v>116</v>
      </c>
      <c r="C774" t="s">
        <v>568</v>
      </c>
      <c r="D774" s="453">
        <v>46082</v>
      </c>
      <c r="E774">
        <v>20234</v>
      </c>
      <c r="F774" t="s">
        <v>3979</v>
      </c>
      <c r="G774">
        <v>2245</v>
      </c>
      <c r="H774">
        <v>5</v>
      </c>
      <c r="I774" t="s">
        <v>3892</v>
      </c>
      <c r="J774" t="s">
        <v>3469</v>
      </c>
      <c r="K774" t="s">
        <v>462</v>
      </c>
      <c r="L774">
        <v>21.9</v>
      </c>
      <c r="M774" s="453">
        <v>46072</v>
      </c>
      <c r="N774">
        <v>21.9</v>
      </c>
      <c r="O774">
        <v>21.9</v>
      </c>
      <c r="P774">
        <v>109.5</v>
      </c>
    </row>
    <row r="775" spans="1:16" x14ac:dyDescent="0.3">
      <c r="A775">
        <v>76098</v>
      </c>
      <c r="B775">
        <v>116</v>
      </c>
      <c r="C775" t="s">
        <v>568</v>
      </c>
      <c r="D775" s="453">
        <v>46082</v>
      </c>
      <c r="E775">
        <v>18312</v>
      </c>
      <c r="F775" t="s">
        <v>4089</v>
      </c>
      <c r="G775">
        <v>3321</v>
      </c>
      <c r="H775">
        <v>1</v>
      </c>
      <c r="I775" t="s">
        <v>3878</v>
      </c>
      <c r="J775" t="s">
        <v>3497</v>
      </c>
      <c r="K775" t="s">
        <v>462</v>
      </c>
      <c r="L775">
        <v>0</v>
      </c>
      <c r="M775" s="453">
        <v>45793</v>
      </c>
      <c r="N775">
        <v>105.9</v>
      </c>
      <c r="O775">
        <v>86.57</v>
      </c>
      <c r="P775">
        <v>105.9</v>
      </c>
    </row>
    <row r="776" spans="1:16" x14ac:dyDescent="0.3">
      <c r="A776">
        <v>75962</v>
      </c>
      <c r="B776">
        <v>116</v>
      </c>
      <c r="C776" t="s">
        <v>568</v>
      </c>
      <c r="D776" s="453">
        <v>46082</v>
      </c>
      <c r="E776">
        <v>17883</v>
      </c>
      <c r="F776" t="s">
        <v>4136</v>
      </c>
      <c r="G776">
        <v>3673</v>
      </c>
      <c r="H776">
        <v>4.5</v>
      </c>
      <c r="I776" t="s">
        <v>3888</v>
      </c>
      <c r="J776" t="s">
        <v>3497</v>
      </c>
      <c r="K776" t="s">
        <v>462</v>
      </c>
      <c r="L776">
        <v>23.45</v>
      </c>
      <c r="M776" s="453">
        <v>46060</v>
      </c>
      <c r="N776">
        <v>23.45</v>
      </c>
      <c r="O776">
        <v>28.32</v>
      </c>
      <c r="P776">
        <v>105.52</v>
      </c>
    </row>
    <row r="777" spans="1:16" x14ac:dyDescent="0.3">
      <c r="A777">
        <v>76097</v>
      </c>
      <c r="B777">
        <v>116</v>
      </c>
      <c r="C777" t="s">
        <v>568</v>
      </c>
      <c r="D777" s="453">
        <v>46082</v>
      </c>
      <c r="E777">
        <v>18327</v>
      </c>
      <c r="F777" t="s">
        <v>4087</v>
      </c>
      <c r="G777">
        <v>3306</v>
      </c>
      <c r="H777">
        <v>1</v>
      </c>
      <c r="I777" t="s">
        <v>3878</v>
      </c>
      <c r="J777" t="s">
        <v>3497</v>
      </c>
      <c r="K777" t="s">
        <v>462</v>
      </c>
      <c r="L777">
        <v>0</v>
      </c>
      <c r="M777" s="453">
        <v>45967</v>
      </c>
      <c r="N777">
        <v>105.36</v>
      </c>
      <c r="O777">
        <v>104.73</v>
      </c>
      <c r="P777">
        <v>105.36</v>
      </c>
    </row>
    <row r="778" spans="1:16" x14ac:dyDescent="0.3">
      <c r="A778">
        <v>76042</v>
      </c>
      <c r="B778">
        <v>116</v>
      </c>
      <c r="C778" t="s">
        <v>568</v>
      </c>
      <c r="D778" s="453">
        <v>46082</v>
      </c>
      <c r="E778">
        <v>20624</v>
      </c>
      <c r="F778" t="s">
        <v>3982</v>
      </c>
      <c r="G778">
        <v>2116</v>
      </c>
      <c r="H778">
        <v>1.5</v>
      </c>
      <c r="I778" t="s">
        <v>3966</v>
      </c>
      <c r="J778" t="s">
        <v>3469</v>
      </c>
      <c r="K778" t="s">
        <v>462</v>
      </c>
      <c r="L778">
        <v>69.930000000000007</v>
      </c>
      <c r="M778" s="453">
        <v>46078</v>
      </c>
      <c r="N778">
        <v>69.900000000000006</v>
      </c>
      <c r="O778">
        <v>69.900000000000006</v>
      </c>
      <c r="P778">
        <v>104.9</v>
      </c>
    </row>
    <row r="779" spans="1:16" x14ac:dyDescent="0.3">
      <c r="A779">
        <v>75915</v>
      </c>
      <c r="B779">
        <v>116</v>
      </c>
      <c r="C779" t="s">
        <v>568</v>
      </c>
      <c r="D779" s="453">
        <v>46082</v>
      </c>
      <c r="E779">
        <v>20246</v>
      </c>
      <c r="F779" t="s">
        <v>3911</v>
      </c>
      <c r="G779">
        <v>2242</v>
      </c>
      <c r="H779">
        <v>15</v>
      </c>
      <c r="I779" t="s">
        <v>3872</v>
      </c>
      <c r="J779" t="s">
        <v>3469</v>
      </c>
      <c r="K779" t="s">
        <v>462</v>
      </c>
      <c r="L779">
        <v>6.88</v>
      </c>
      <c r="M779" s="453">
        <v>46057</v>
      </c>
      <c r="N779">
        <v>6.88</v>
      </c>
      <c r="O779">
        <v>6.88</v>
      </c>
      <c r="P779">
        <v>103.2</v>
      </c>
    </row>
    <row r="780" spans="1:16" x14ac:dyDescent="0.3">
      <c r="A780">
        <v>76051</v>
      </c>
      <c r="B780">
        <v>116</v>
      </c>
      <c r="C780" t="s">
        <v>568</v>
      </c>
      <c r="D780" s="453">
        <v>46082</v>
      </c>
      <c r="E780">
        <v>20757</v>
      </c>
      <c r="F780" t="s">
        <v>4050</v>
      </c>
      <c r="G780">
        <v>2086</v>
      </c>
      <c r="H780">
        <v>1.3</v>
      </c>
      <c r="I780" t="s">
        <v>3966</v>
      </c>
      <c r="J780" t="s">
        <v>3469</v>
      </c>
      <c r="K780" t="s">
        <v>462</v>
      </c>
      <c r="L780">
        <v>78.3</v>
      </c>
      <c r="M780" s="453">
        <v>46072</v>
      </c>
      <c r="N780">
        <v>78.3</v>
      </c>
      <c r="O780">
        <v>78.3</v>
      </c>
      <c r="P780">
        <v>101.79</v>
      </c>
    </row>
    <row r="781" spans="1:16" x14ac:dyDescent="0.3">
      <c r="A781">
        <v>75954</v>
      </c>
      <c r="B781">
        <v>116</v>
      </c>
      <c r="C781" t="s">
        <v>568</v>
      </c>
      <c r="D781" s="453">
        <v>46082</v>
      </c>
      <c r="E781">
        <v>18696</v>
      </c>
      <c r="F781" t="s">
        <v>3956</v>
      </c>
      <c r="G781">
        <v>3035</v>
      </c>
      <c r="H781">
        <v>5.5</v>
      </c>
      <c r="I781" t="s">
        <v>3892</v>
      </c>
      <c r="J781" t="s">
        <v>3469</v>
      </c>
      <c r="K781" t="s">
        <v>462</v>
      </c>
      <c r="L781">
        <v>17.989999999999998</v>
      </c>
      <c r="M781" s="453">
        <v>46079</v>
      </c>
      <c r="N781">
        <v>17.989999999999998</v>
      </c>
      <c r="O781">
        <v>17.989999999999998</v>
      </c>
      <c r="P781">
        <v>98.94</v>
      </c>
    </row>
    <row r="782" spans="1:16" x14ac:dyDescent="0.3">
      <c r="A782">
        <v>76008</v>
      </c>
      <c r="B782">
        <v>116</v>
      </c>
      <c r="C782" t="s">
        <v>568</v>
      </c>
      <c r="D782" s="453">
        <v>46082</v>
      </c>
      <c r="E782">
        <v>17914</v>
      </c>
      <c r="F782" t="s">
        <v>3997</v>
      </c>
      <c r="G782">
        <v>3649</v>
      </c>
      <c r="H782">
        <v>3</v>
      </c>
      <c r="I782" t="s">
        <v>3888</v>
      </c>
      <c r="J782" t="s">
        <v>3497</v>
      </c>
      <c r="K782" t="s">
        <v>462</v>
      </c>
      <c r="L782">
        <v>32.24</v>
      </c>
      <c r="M782" s="453">
        <v>46064</v>
      </c>
      <c r="N782">
        <v>32.24</v>
      </c>
      <c r="O782">
        <v>32.24</v>
      </c>
      <c r="P782">
        <v>96.72</v>
      </c>
    </row>
    <row r="783" spans="1:16" x14ac:dyDescent="0.3">
      <c r="A783">
        <v>75994</v>
      </c>
      <c r="B783">
        <v>116</v>
      </c>
      <c r="C783" t="s">
        <v>568</v>
      </c>
      <c r="D783" s="453">
        <v>46082</v>
      </c>
      <c r="E783">
        <v>19649</v>
      </c>
      <c r="F783" t="s">
        <v>4015</v>
      </c>
      <c r="G783">
        <v>2589</v>
      </c>
      <c r="H783">
        <v>3</v>
      </c>
      <c r="I783" t="s">
        <v>3892</v>
      </c>
      <c r="J783" t="s">
        <v>3469</v>
      </c>
      <c r="K783" t="s">
        <v>462</v>
      </c>
      <c r="L783">
        <v>0</v>
      </c>
      <c r="M783" s="453">
        <v>45831</v>
      </c>
      <c r="N783">
        <v>29</v>
      </c>
      <c r="O783">
        <v>23.5</v>
      </c>
      <c r="P783">
        <v>87</v>
      </c>
    </row>
    <row r="784" spans="1:16" x14ac:dyDescent="0.3">
      <c r="A784">
        <v>76095</v>
      </c>
      <c r="B784">
        <v>116</v>
      </c>
      <c r="C784" t="s">
        <v>568</v>
      </c>
      <c r="D784" s="453">
        <v>46082</v>
      </c>
      <c r="E784">
        <v>18534</v>
      </c>
      <c r="F784" t="s">
        <v>4084</v>
      </c>
      <c r="G784">
        <v>3143</v>
      </c>
      <c r="H784">
        <v>1</v>
      </c>
      <c r="I784" t="s">
        <v>3878</v>
      </c>
      <c r="J784" t="s">
        <v>3497</v>
      </c>
      <c r="K784" t="s">
        <v>462</v>
      </c>
      <c r="L784">
        <v>0</v>
      </c>
      <c r="N784">
        <v>0</v>
      </c>
      <c r="O784">
        <v>0</v>
      </c>
      <c r="P784">
        <v>86.89</v>
      </c>
    </row>
    <row r="785" spans="1:16" x14ac:dyDescent="0.3">
      <c r="A785">
        <v>75916</v>
      </c>
      <c r="B785">
        <v>116</v>
      </c>
      <c r="C785" t="s">
        <v>568</v>
      </c>
      <c r="D785" s="453">
        <v>46082</v>
      </c>
      <c r="E785">
        <v>19420</v>
      </c>
      <c r="F785" t="s">
        <v>3899</v>
      </c>
      <c r="G785">
        <v>2758</v>
      </c>
      <c r="H785">
        <v>15</v>
      </c>
      <c r="I785" t="s">
        <v>3872</v>
      </c>
      <c r="J785" t="s">
        <v>3469</v>
      </c>
      <c r="K785" t="s">
        <v>462</v>
      </c>
      <c r="L785">
        <v>0</v>
      </c>
      <c r="M785" s="453">
        <v>45845</v>
      </c>
      <c r="N785">
        <v>5.79</v>
      </c>
      <c r="O785">
        <v>5.79</v>
      </c>
      <c r="P785">
        <v>86.85</v>
      </c>
    </row>
    <row r="786" spans="1:16" x14ac:dyDescent="0.3">
      <c r="A786">
        <v>76006</v>
      </c>
      <c r="B786">
        <v>116</v>
      </c>
      <c r="C786" t="s">
        <v>568</v>
      </c>
      <c r="D786" s="453">
        <v>46082</v>
      </c>
      <c r="E786">
        <v>18682</v>
      </c>
      <c r="F786" t="s">
        <v>4025</v>
      </c>
      <c r="G786">
        <v>3043</v>
      </c>
      <c r="H786">
        <v>3</v>
      </c>
      <c r="I786" t="s">
        <v>3892</v>
      </c>
      <c r="J786" t="s">
        <v>3469</v>
      </c>
      <c r="K786" t="s">
        <v>462</v>
      </c>
      <c r="L786">
        <v>27.99</v>
      </c>
      <c r="M786" s="453">
        <v>46079</v>
      </c>
      <c r="N786">
        <v>27.99</v>
      </c>
      <c r="O786">
        <v>27.99</v>
      </c>
      <c r="P786">
        <v>83.97</v>
      </c>
    </row>
    <row r="787" spans="1:16" x14ac:dyDescent="0.3">
      <c r="A787">
        <v>75914</v>
      </c>
      <c r="B787">
        <v>116</v>
      </c>
      <c r="C787" t="s">
        <v>568</v>
      </c>
      <c r="D787" s="453">
        <v>46082</v>
      </c>
      <c r="E787">
        <v>24599</v>
      </c>
      <c r="F787" t="s">
        <v>3897</v>
      </c>
      <c r="G787">
        <v>5676</v>
      </c>
      <c r="H787">
        <v>0.71</v>
      </c>
      <c r="I787" t="s">
        <v>3888</v>
      </c>
      <c r="J787" t="s">
        <v>3497</v>
      </c>
      <c r="K787" t="s">
        <v>462</v>
      </c>
      <c r="L787">
        <v>0</v>
      </c>
      <c r="M787" s="453">
        <v>46051</v>
      </c>
      <c r="N787">
        <v>116.4</v>
      </c>
      <c r="O787">
        <v>107.97</v>
      </c>
      <c r="P787">
        <v>82.64</v>
      </c>
    </row>
    <row r="788" spans="1:16" x14ac:dyDescent="0.3">
      <c r="A788">
        <v>76021</v>
      </c>
      <c r="B788">
        <v>116</v>
      </c>
      <c r="C788" t="s">
        <v>568</v>
      </c>
      <c r="D788" s="453">
        <v>46082</v>
      </c>
      <c r="E788">
        <v>20250</v>
      </c>
      <c r="F788" t="s">
        <v>4008</v>
      </c>
      <c r="G788">
        <v>2241</v>
      </c>
      <c r="H788">
        <v>2</v>
      </c>
      <c r="I788" t="s">
        <v>3888</v>
      </c>
      <c r="J788" t="s">
        <v>3469</v>
      </c>
      <c r="K788" t="s">
        <v>462</v>
      </c>
      <c r="L788">
        <v>40.54</v>
      </c>
      <c r="M788" s="453">
        <v>46078</v>
      </c>
      <c r="N788">
        <v>40.54</v>
      </c>
      <c r="O788">
        <v>40.54</v>
      </c>
      <c r="P788">
        <v>81.08</v>
      </c>
    </row>
    <row r="789" spans="1:16" x14ac:dyDescent="0.3">
      <c r="A789">
        <v>76032</v>
      </c>
      <c r="B789">
        <v>116</v>
      </c>
      <c r="C789" t="s">
        <v>568</v>
      </c>
      <c r="D789" s="453">
        <v>46082</v>
      </c>
      <c r="E789">
        <v>17896</v>
      </c>
      <c r="F789" t="s">
        <v>3972</v>
      </c>
      <c r="G789">
        <v>3664</v>
      </c>
      <c r="H789">
        <v>2</v>
      </c>
      <c r="I789" t="s">
        <v>3888</v>
      </c>
      <c r="J789" t="s">
        <v>3497</v>
      </c>
      <c r="K789" t="s">
        <v>462</v>
      </c>
      <c r="L789">
        <v>40.29</v>
      </c>
      <c r="M789" s="453">
        <v>46064</v>
      </c>
      <c r="N789">
        <v>40.29</v>
      </c>
      <c r="O789">
        <v>34.82</v>
      </c>
      <c r="P789">
        <v>80.58</v>
      </c>
    </row>
    <row r="790" spans="1:16" x14ac:dyDescent="0.3">
      <c r="A790">
        <v>76116</v>
      </c>
      <c r="B790">
        <v>116</v>
      </c>
      <c r="C790" t="s">
        <v>568</v>
      </c>
      <c r="D790" s="453">
        <v>46082</v>
      </c>
      <c r="E790">
        <v>17917</v>
      </c>
      <c r="F790" t="s">
        <v>4144</v>
      </c>
      <c r="G790">
        <v>3647</v>
      </c>
      <c r="H790">
        <v>0.5</v>
      </c>
      <c r="I790" t="s">
        <v>3888</v>
      </c>
      <c r="J790" t="s">
        <v>3497</v>
      </c>
      <c r="K790" t="s">
        <v>462</v>
      </c>
      <c r="L790">
        <v>0</v>
      </c>
      <c r="N790">
        <v>0</v>
      </c>
      <c r="O790">
        <v>192.96</v>
      </c>
      <c r="P790">
        <v>77.069999999999993</v>
      </c>
    </row>
    <row r="791" spans="1:16" x14ac:dyDescent="0.3">
      <c r="A791">
        <v>75967</v>
      </c>
      <c r="B791">
        <v>116</v>
      </c>
      <c r="C791" t="s">
        <v>568</v>
      </c>
      <c r="D791" s="453">
        <v>46082</v>
      </c>
      <c r="E791">
        <v>27475</v>
      </c>
      <c r="F791" t="s">
        <v>4162</v>
      </c>
      <c r="G791">
        <v>7475</v>
      </c>
      <c r="H791">
        <v>4</v>
      </c>
      <c r="I791" t="s">
        <v>3872</v>
      </c>
      <c r="J791" t="s">
        <v>3469</v>
      </c>
      <c r="K791" t="s">
        <v>462</v>
      </c>
      <c r="L791">
        <v>19.2</v>
      </c>
      <c r="M791" s="453">
        <v>46056</v>
      </c>
      <c r="N791">
        <v>19.2</v>
      </c>
      <c r="O791">
        <v>19.2</v>
      </c>
      <c r="P791">
        <v>76.8</v>
      </c>
    </row>
    <row r="792" spans="1:16" x14ac:dyDescent="0.3">
      <c r="A792">
        <v>76109</v>
      </c>
      <c r="B792">
        <v>116</v>
      </c>
      <c r="C792" t="s">
        <v>568</v>
      </c>
      <c r="D792" s="453">
        <v>46082</v>
      </c>
      <c r="E792">
        <v>18179</v>
      </c>
      <c r="F792" t="s">
        <v>3995</v>
      </c>
      <c r="G792">
        <v>3443</v>
      </c>
      <c r="H792">
        <v>0.7</v>
      </c>
      <c r="I792" t="s">
        <v>3878</v>
      </c>
      <c r="J792" t="s">
        <v>3497</v>
      </c>
      <c r="K792" t="s">
        <v>462</v>
      </c>
      <c r="L792">
        <v>0</v>
      </c>
      <c r="M792" s="453">
        <v>45979</v>
      </c>
      <c r="N792">
        <v>109.71</v>
      </c>
      <c r="O792">
        <v>112.05</v>
      </c>
      <c r="P792">
        <v>76.8</v>
      </c>
    </row>
    <row r="793" spans="1:16" x14ac:dyDescent="0.3">
      <c r="A793">
        <v>75973</v>
      </c>
      <c r="B793">
        <v>116</v>
      </c>
      <c r="C793" t="s">
        <v>568</v>
      </c>
      <c r="D793" s="453">
        <v>46082</v>
      </c>
      <c r="E793">
        <v>23515</v>
      </c>
      <c r="F793" t="s">
        <v>3980</v>
      </c>
      <c r="G793">
        <v>2353</v>
      </c>
      <c r="H793">
        <v>4</v>
      </c>
      <c r="I793" t="s">
        <v>3872</v>
      </c>
      <c r="J793" t="s">
        <v>3469</v>
      </c>
      <c r="K793" t="s">
        <v>462</v>
      </c>
      <c r="L793">
        <v>0</v>
      </c>
      <c r="M793" s="453">
        <v>45972</v>
      </c>
      <c r="N793">
        <v>19.170000000000002</v>
      </c>
      <c r="O793">
        <v>19.27</v>
      </c>
      <c r="P793">
        <v>76.680000000000007</v>
      </c>
    </row>
    <row r="794" spans="1:16" x14ac:dyDescent="0.3">
      <c r="A794">
        <v>76092</v>
      </c>
      <c r="B794">
        <v>116</v>
      </c>
      <c r="C794" t="s">
        <v>568</v>
      </c>
      <c r="D794" s="453">
        <v>46082</v>
      </c>
      <c r="E794">
        <v>19264</v>
      </c>
      <c r="F794" t="s">
        <v>4082</v>
      </c>
      <c r="G794">
        <v>2781</v>
      </c>
      <c r="H794">
        <v>1</v>
      </c>
      <c r="I794" t="s">
        <v>3888</v>
      </c>
      <c r="J794" t="s">
        <v>3469</v>
      </c>
      <c r="K794" t="s">
        <v>462</v>
      </c>
      <c r="L794">
        <v>0</v>
      </c>
      <c r="M794" s="453">
        <v>46028</v>
      </c>
      <c r="N794">
        <v>76</v>
      </c>
      <c r="O794">
        <v>52.95</v>
      </c>
      <c r="P794">
        <v>76</v>
      </c>
    </row>
    <row r="795" spans="1:16" x14ac:dyDescent="0.3">
      <c r="A795">
        <v>76013</v>
      </c>
      <c r="B795">
        <v>116</v>
      </c>
      <c r="C795" t="s">
        <v>568</v>
      </c>
      <c r="D795" s="453">
        <v>46082</v>
      </c>
      <c r="E795">
        <v>24200</v>
      </c>
      <c r="F795" t="s">
        <v>3975</v>
      </c>
      <c r="G795">
        <v>3039</v>
      </c>
      <c r="H795">
        <v>2.2999999999999998</v>
      </c>
      <c r="I795" t="s">
        <v>3892</v>
      </c>
      <c r="J795" t="s">
        <v>3469</v>
      </c>
      <c r="K795" t="s">
        <v>462</v>
      </c>
      <c r="L795">
        <v>32.9</v>
      </c>
      <c r="M795" s="453">
        <v>46072</v>
      </c>
      <c r="N795">
        <v>32.9</v>
      </c>
      <c r="O795">
        <v>32.9</v>
      </c>
      <c r="P795">
        <v>75.67</v>
      </c>
    </row>
    <row r="796" spans="1:16" x14ac:dyDescent="0.3">
      <c r="A796">
        <v>76035</v>
      </c>
      <c r="B796">
        <v>116</v>
      </c>
      <c r="C796" t="s">
        <v>568</v>
      </c>
      <c r="D796" s="453">
        <v>46082</v>
      </c>
      <c r="E796">
        <v>20457</v>
      </c>
      <c r="F796" t="s">
        <v>3999</v>
      </c>
      <c r="G796">
        <v>2165</v>
      </c>
      <c r="H796">
        <v>1.9</v>
      </c>
      <c r="I796" t="s">
        <v>3892</v>
      </c>
      <c r="J796" t="s">
        <v>3469</v>
      </c>
      <c r="K796" t="s">
        <v>462</v>
      </c>
      <c r="L796">
        <v>0</v>
      </c>
      <c r="M796" s="453">
        <v>45987</v>
      </c>
      <c r="N796">
        <v>39</v>
      </c>
      <c r="O796">
        <v>39</v>
      </c>
      <c r="P796">
        <v>74.099999999999994</v>
      </c>
    </row>
    <row r="797" spans="1:16" x14ac:dyDescent="0.3">
      <c r="A797">
        <v>76010</v>
      </c>
      <c r="B797">
        <v>116</v>
      </c>
      <c r="C797" t="s">
        <v>568</v>
      </c>
      <c r="D797" s="453">
        <v>46082</v>
      </c>
      <c r="E797">
        <v>18702</v>
      </c>
      <c r="F797" t="s">
        <v>4043</v>
      </c>
      <c r="G797">
        <v>3033</v>
      </c>
      <c r="H797">
        <v>2.5</v>
      </c>
      <c r="I797" t="s">
        <v>3892</v>
      </c>
      <c r="J797" t="s">
        <v>3469</v>
      </c>
      <c r="K797" t="s">
        <v>462</v>
      </c>
      <c r="L797">
        <v>0</v>
      </c>
      <c r="M797" s="453">
        <v>45930</v>
      </c>
      <c r="N797">
        <v>28.9</v>
      </c>
      <c r="O797">
        <v>28.9</v>
      </c>
      <c r="P797">
        <v>72.25</v>
      </c>
    </row>
    <row r="798" spans="1:16" x14ac:dyDescent="0.3">
      <c r="A798">
        <v>75906</v>
      </c>
      <c r="B798">
        <v>116</v>
      </c>
      <c r="C798" t="s">
        <v>568</v>
      </c>
      <c r="D798" s="453">
        <v>46082</v>
      </c>
      <c r="E798">
        <v>27079</v>
      </c>
      <c r="F798" t="s">
        <v>3891</v>
      </c>
      <c r="G798">
        <v>2497</v>
      </c>
      <c r="H798">
        <v>22</v>
      </c>
      <c r="I798" t="s">
        <v>3892</v>
      </c>
      <c r="J798" t="s">
        <v>3469</v>
      </c>
      <c r="K798" t="s">
        <v>462</v>
      </c>
      <c r="L798">
        <v>0</v>
      </c>
      <c r="M798" s="453">
        <v>45813</v>
      </c>
      <c r="N798">
        <v>3.25</v>
      </c>
      <c r="O798">
        <v>3.25</v>
      </c>
      <c r="P798">
        <v>71.5</v>
      </c>
    </row>
    <row r="799" spans="1:16" x14ac:dyDescent="0.3">
      <c r="A799">
        <v>75938</v>
      </c>
      <c r="B799">
        <v>116</v>
      </c>
      <c r="C799" t="s">
        <v>568</v>
      </c>
      <c r="D799" s="453">
        <v>46082</v>
      </c>
      <c r="E799">
        <v>20661</v>
      </c>
      <c r="F799" t="s">
        <v>3919</v>
      </c>
      <c r="G799">
        <v>2110</v>
      </c>
      <c r="H799">
        <v>8</v>
      </c>
      <c r="I799" t="s">
        <v>3872</v>
      </c>
      <c r="J799" t="s">
        <v>3469</v>
      </c>
      <c r="K799" t="s">
        <v>462</v>
      </c>
      <c r="L799">
        <v>8.76</v>
      </c>
      <c r="M799" s="453">
        <v>46078</v>
      </c>
      <c r="N799">
        <v>8.69</v>
      </c>
      <c r="O799">
        <v>8.85</v>
      </c>
      <c r="P799">
        <v>70.08</v>
      </c>
    </row>
    <row r="800" spans="1:16" x14ac:dyDescent="0.3">
      <c r="A800">
        <v>75988</v>
      </c>
      <c r="B800">
        <v>116</v>
      </c>
      <c r="C800" t="s">
        <v>568</v>
      </c>
      <c r="D800" s="453">
        <v>46082</v>
      </c>
      <c r="E800">
        <v>24331</v>
      </c>
      <c r="F800" t="s">
        <v>3960</v>
      </c>
      <c r="G800">
        <v>2146</v>
      </c>
      <c r="H800">
        <v>3.2</v>
      </c>
      <c r="I800" t="s">
        <v>3892</v>
      </c>
      <c r="J800" t="s">
        <v>3469</v>
      </c>
      <c r="K800" t="s">
        <v>462</v>
      </c>
      <c r="L800">
        <v>21.73</v>
      </c>
      <c r="M800" s="453">
        <v>46078</v>
      </c>
      <c r="N800">
        <v>21.4</v>
      </c>
      <c r="O800">
        <v>20.85</v>
      </c>
      <c r="P800">
        <v>69.540000000000006</v>
      </c>
    </row>
    <row r="801" spans="1:16" x14ac:dyDescent="0.3">
      <c r="A801">
        <v>75969</v>
      </c>
      <c r="B801">
        <v>116</v>
      </c>
      <c r="C801" t="s">
        <v>568</v>
      </c>
      <c r="D801" s="453">
        <v>46082</v>
      </c>
      <c r="E801">
        <v>25720</v>
      </c>
      <c r="F801" t="s">
        <v>3926</v>
      </c>
      <c r="G801">
        <v>2197</v>
      </c>
      <c r="H801">
        <v>4</v>
      </c>
      <c r="I801" t="s">
        <v>3892</v>
      </c>
      <c r="J801" t="s">
        <v>3469</v>
      </c>
      <c r="K801" t="s">
        <v>462</v>
      </c>
      <c r="L801">
        <v>0</v>
      </c>
      <c r="N801">
        <v>0</v>
      </c>
      <c r="O801">
        <v>0</v>
      </c>
      <c r="P801">
        <v>67.599999999999994</v>
      </c>
    </row>
    <row r="802" spans="1:16" x14ac:dyDescent="0.3">
      <c r="A802">
        <v>75946</v>
      </c>
      <c r="B802">
        <v>116</v>
      </c>
      <c r="C802" t="s">
        <v>568</v>
      </c>
      <c r="D802" s="453">
        <v>46082</v>
      </c>
      <c r="E802">
        <v>20682</v>
      </c>
      <c r="F802" t="s">
        <v>3929</v>
      </c>
      <c r="G802">
        <v>2106</v>
      </c>
      <c r="H802">
        <v>7</v>
      </c>
      <c r="I802" t="s">
        <v>3872</v>
      </c>
      <c r="J802" t="s">
        <v>3469</v>
      </c>
      <c r="K802" t="s">
        <v>462</v>
      </c>
      <c r="L802">
        <v>9.65</v>
      </c>
      <c r="M802" s="453">
        <v>46056</v>
      </c>
      <c r="N802">
        <v>9.65</v>
      </c>
      <c r="O802">
        <v>10.95</v>
      </c>
      <c r="P802">
        <v>67.55</v>
      </c>
    </row>
    <row r="803" spans="1:16" x14ac:dyDescent="0.3">
      <c r="A803">
        <v>76018</v>
      </c>
      <c r="B803">
        <v>116</v>
      </c>
      <c r="C803" t="s">
        <v>568</v>
      </c>
      <c r="D803" s="453">
        <v>46082</v>
      </c>
      <c r="E803">
        <v>20278</v>
      </c>
      <c r="F803" t="s">
        <v>3939</v>
      </c>
      <c r="G803">
        <v>2230</v>
      </c>
      <c r="H803">
        <v>2</v>
      </c>
      <c r="I803" t="s">
        <v>3872</v>
      </c>
      <c r="J803" t="s">
        <v>3469</v>
      </c>
      <c r="K803" t="s">
        <v>462</v>
      </c>
      <c r="L803">
        <v>33.270000000000003</v>
      </c>
      <c r="M803" s="453">
        <v>46062</v>
      </c>
      <c r="N803">
        <v>33.270000000000003</v>
      </c>
      <c r="O803">
        <v>33.270000000000003</v>
      </c>
      <c r="P803">
        <v>66.540000000000006</v>
      </c>
    </row>
    <row r="804" spans="1:16" x14ac:dyDescent="0.3">
      <c r="A804">
        <v>76083</v>
      </c>
      <c r="B804">
        <v>116</v>
      </c>
      <c r="C804" t="s">
        <v>568</v>
      </c>
      <c r="D804" s="453">
        <v>46082</v>
      </c>
      <c r="E804">
        <v>19478</v>
      </c>
      <c r="F804" t="s">
        <v>4072</v>
      </c>
      <c r="G804">
        <v>2728</v>
      </c>
      <c r="H804">
        <v>1</v>
      </c>
      <c r="I804" t="s">
        <v>3892</v>
      </c>
      <c r="J804" t="s">
        <v>3469</v>
      </c>
      <c r="K804" t="s">
        <v>462</v>
      </c>
      <c r="L804">
        <v>65</v>
      </c>
      <c r="M804" s="453">
        <v>46065</v>
      </c>
      <c r="N804">
        <v>65</v>
      </c>
      <c r="O804">
        <v>75</v>
      </c>
      <c r="P804">
        <v>65</v>
      </c>
    </row>
    <row r="805" spans="1:16" x14ac:dyDescent="0.3">
      <c r="A805">
        <v>75949</v>
      </c>
      <c r="B805">
        <v>116</v>
      </c>
      <c r="C805" t="s">
        <v>568</v>
      </c>
      <c r="D805" s="453">
        <v>46082</v>
      </c>
      <c r="E805">
        <v>20227</v>
      </c>
      <c r="F805" t="s">
        <v>3968</v>
      </c>
      <c r="G805">
        <v>2248</v>
      </c>
      <c r="H805">
        <v>6</v>
      </c>
      <c r="I805" t="s">
        <v>3888</v>
      </c>
      <c r="J805" t="s">
        <v>3469</v>
      </c>
      <c r="K805" t="s">
        <v>462</v>
      </c>
      <c r="L805">
        <v>10.75</v>
      </c>
      <c r="M805" s="453">
        <v>46073</v>
      </c>
      <c r="N805">
        <v>11.5</v>
      </c>
      <c r="O805">
        <v>11.5</v>
      </c>
      <c r="P805">
        <v>64.5</v>
      </c>
    </row>
    <row r="806" spans="1:16" x14ac:dyDescent="0.3">
      <c r="A806">
        <v>76041</v>
      </c>
      <c r="B806">
        <v>116</v>
      </c>
      <c r="C806" t="s">
        <v>568</v>
      </c>
      <c r="D806" s="453">
        <v>46082</v>
      </c>
      <c r="E806">
        <v>20057</v>
      </c>
      <c r="F806" t="s">
        <v>3967</v>
      </c>
      <c r="G806">
        <v>2324</v>
      </c>
      <c r="H806">
        <v>1.5</v>
      </c>
      <c r="I806" t="s">
        <v>3872</v>
      </c>
      <c r="J806" t="s">
        <v>3469</v>
      </c>
      <c r="K806" t="s">
        <v>462</v>
      </c>
      <c r="L806">
        <v>0</v>
      </c>
      <c r="M806" s="453">
        <v>46037</v>
      </c>
      <c r="N806">
        <v>41.99</v>
      </c>
      <c r="O806">
        <v>42.18</v>
      </c>
      <c r="P806">
        <v>62.98</v>
      </c>
    </row>
    <row r="807" spans="1:16" x14ac:dyDescent="0.3">
      <c r="A807">
        <v>76050</v>
      </c>
      <c r="B807">
        <v>116</v>
      </c>
      <c r="C807" t="s">
        <v>568</v>
      </c>
      <c r="D807" s="453">
        <v>46082</v>
      </c>
      <c r="E807">
        <v>20717</v>
      </c>
      <c r="F807" t="s">
        <v>4055</v>
      </c>
      <c r="G807">
        <v>2097</v>
      </c>
      <c r="H807">
        <v>1.4</v>
      </c>
      <c r="I807" t="s">
        <v>3872</v>
      </c>
      <c r="J807" t="s">
        <v>3469</v>
      </c>
      <c r="K807" t="s">
        <v>462</v>
      </c>
      <c r="L807">
        <v>43.1</v>
      </c>
      <c r="M807" s="453">
        <v>46056</v>
      </c>
      <c r="N807">
        <v>43.1</v>
      </c>
      <c r="O807">
        <v>43.1</v>
      </c>
      <c r="P807">
        <v>60.34</v>
      </c>
    </row>
    <row r="808" spans="1:16" x14ac:dyDescent="0.3">
      <c r="A808">
        <v>75951</v>
      </c>
      <c r="B808">
        <v>116</v>
      </c>
      <c r="C808" t="s">
        <v>568</v>
      </c>
      <c r="D808" s="453">
        <v>46082</v>
      </c>
      <c r="E808">
        <v>19139</v>
      </c>
      <c r="F808" t="s">
        <v>3887</v>
      </c>
      <c r="G808">
        <v>2836</v>
      </c>
      <c r="H808">
        <v>6</v>
      </c>
      <c r="I808" t="s">
        <v>3888</v>
      </c>
      <c r="J808" t="s">
        <v>3469</v>
      </c>
      <c r="K808" t="s">
        <v>462</v>
      </c>
      <c r="L808">
        <v>0</v>
      </c>
      <c r="M808" s="453">
        <v>46050</v>
      </c>
      <c r="N808">
        <v>9.9</v>
      </c>
      <c r="O808">
        <v>9.9</v>
      </c>
      <c r="P808">
        <v>59.4</v>
      </c>
    </row>
    <row r="809" spans="1:16" x14ac:dyDescent="0.3">
      <c r="A809">
        <v>76112</v>
      </c>
      <c r="B809">
        <v>116</v>
      </c>
      <c r="C809" t="s">
        <v>568</v>
      </c>
      <c r="D809" s="453">
        <v>46082</v>
      </c>
      <c r="E809">
        <v>20755</v>
      </c>
      <c r="F809" t="s">
        <v>4052</v>
      </c>
      <c r="G809">
        <v>2087</v>
      </c>
      <c r="H809">
        <v>0.5</v>
      </c>
      <c r="I809" t="s">
        <v>3966</v>
      </c>
      <c r="J809" t="s">
        <v>3469</v>
      </c>
      <c r="K809" t="s">
        <v>462</v>
      </c>
      <c r="L809">
        <v>0</v>
      </c>
      <c r="M809" s="453">
        <v>46028</v>
      </c>
      <c r="N809">
        <v>115</v>
      </c>
      <c r="O809">
        <v>120</v>
      </c>
      <c r="P809">
        <v>57.5</v>
      </c>
    </row>
    <row r="810" spans="1:16" x14ac:dyDescent="0.3">
      <c r="A810">
        <v>75970</v>
      </c>
      <c r="B810">
        <v>116</v>
      </c>
      <c r="C810" t="s">
        <v>568</v>
      </c>
      <c r="D810" s="453">
        <v>46082</v>
      </c>
      <c r="E810">
        <v>20358</v>
      </c>
      <c r="F810" t="s">
        <v>3952</v>
      </c>
      <c r="G810">
        <v>2200</v>
      </c>
      <c r="H810">
        <v>4</v>
      </c>
      <c r="I810" t="s">
        <v>3888</v>
      </c>
      <c r="J810" t="s">
        <v>3469</v>
      </c>
      <c r="K810" t="s">
        <v>462</v>
      </c>
      <c r="L810">
        <v>0</v>
      </c>
      <c r="M810" s="453">
        <v>46029</v>
      </c>
      <c r="N810">
        <v>14.3</v>
      </c>
      <c r="O810">
        <v>14.24</v>
      </c>
      <c r="P810">
        <v>57.2</v>
      </c>
    </row>
    <row r="811" spans="1:16" x14ac:dyDescent="0.3">
      <c r="A811">
        <v>76034</v>
      </c>
      <c r="B811">
        <v>116</v>
      </c>
      <c r="C811" t="s">
        <v>568</v>
      </c>
      <c r="D811" s="453">
        <v>46082</v>
      </c>
      <c r="E811">
        <v>24339</v>
      </c>
      <c r="F811" t="s">
        <v>4119</v>
      </c>
      <c r="G811">
        <v>2153</v>
      </c>
      <c r="H811">
        <v>1.9</v>
      </c>
      <c r="I811" t="s">
        <v>3892</v>
      </c>
      <c r="J811" t="s">
        <v>3469</v>
      </c>
      <c r="K811" t="s">
        <v>462</v>
      </c>
      <c r="L811">
        <v>29.6</v>
      </c>
      <c r="M811" s="453">
        <v>46077</v>
      </c>
      <c r="N811">
        <v>32.799999999999997</v>
      </c>
      <c r="O811">
        <v>22.49</v>
      </c>
      <c r="P811">
        <v>56.24</v>
      </c>
    </row>
    <row r="812" spans="1:16" x14ac:dyDescent="0.3">
      <c r="A812">
        <v>76002</v>
      </c>
      <c r="B812">
        <v>116</v>
      </c>
      <c r="C812" t="s">
        <v>568</v>
      </c>
      <c r="D812" s="453">
        <v>46082</v>
      </c>
      <c r="E812">
        <v>19572</v>
      </c>
      <c r="F812" t="s">
        <v>4023</v>
      </c>
      <c r="G812">
        <v>2646</v>
      </c>
      <c r="H812">
        <v>3</v>
      </c>
      <c r="I812" t="s">
        <v>3892</v>
      </c>
      <c r="J812" t="s">
        <v>3469</v>
      </c>
      <c r="K812" t="s">
        <v>462</v>
      </c>
      <c r="L812">
        <v>18.71</v>
      </c>
      <c r="M812" s="453">
        <v>46075</v>
      </c>
      <c r="N812">
        <v>18.850000000000001</v>
      </c>
      <c r="O812">
        <v>18.850000000000001</v>
      </c>
      <c r="P812">
        <v>56.13</v>
      </c>
    </row>
    <row r="813" spans="1:16" x14ac:dyDescent="0.3">
      <c r="A813">
        <v>76048</v>
      </c>
      <c r="B813">
        <v>116</v>
      </c>
      <c r="C813" t="s">
        <v>568</v>
      </c>
      <c r="D813" s="453">
        <v>46082</v>
      </c>
      <c r="E813">
        <v>18317</v>
      </c>
      <c r="F813" t="s">
        <v>4045</v>
      </c>
      <c r="G813">
        <v>3316</v>
      </c>
      <c r="H813">
        <v>1.5</v>
      </c>
      <c r="I813" t="s">
        <v>3878</v>
      </c>
      <c r="J813" t="s">
        <v>3497</v>
      </c>
      <c r="K813" t="s">
        <v>462</v>
      </c>
      <c r="L813">
        <v>0</v>
      </c>
      <c r="M813" s="453">
        <v>45908</v>
      </c>
      <c r="N813">
        <v>37.25</v>
      </c>
      <c r="O813">
        <v>37.25</v>
      </c>
      <c r="P813">
        <v>55.88</v>
      </c>
    </row>
    <row r="814" spans="1:16" x14ac:dyDescent="0.3">
      <c r="A814">
        <v>76094</v>
      </c>
      <c r="B814">
        <v>116</v>
      </c>
      <c r="C814" t="s">
        <v>568</v>
      </c>
      <c r="D814" s="453">
        <v>46082</v>
      </c>
      <c r="E814">
        <v>18528</v>
      </c>
      <c r="F814" t="s">
        <v>4108</v>
      </c>
      <c r="G814">
        <v>3147</v>
      </c>
      <c r="H814">
        <v>1</v>
      </c>
      <c r="I814" t="s">
        <v>3878</v>
      </c>
      <c r="J814" t="s">
        <v>3497</v>
      </c>
      <c r="K814" t="s">
        <v>462</v>
      </c>
      <c r="L814">
        <v>0</v>
      </c>
      <c r="M814" s="453">
        <v>45994</v>
      </c>
      <c r="N814">
        <v>55.48</v>
      </c>
      <c r="O814">
        <v>55.48</v>
      </c>
      <c r="P814">
        <v>55.48</v>
      </c>
    </row>
    <row r="815" spans="1:16" x14ac:dyDescent="0.3">
      <c r="A815">
        <v>75966</v>
      </c>
      <c r="B815">
        <v>116</v>
      </c>
      <c r="C815" t="s">
        <v>568</v>
      </c>
      <c r="D815" s="453">
        <v>46082</v>
      </c>
      <c r="E815">
        <v>21123</v>
      </c>
      <c r="F815" t="s">
        <v>4115</v>
      </c>
      <c r="G815">
        <v>1965</v>
      </c>
      <c r="H815">
        <v>4</v>
      </c>
      <c r="I815" t="s">
        <v>3892</v>
      </c>
      <c r="J815" t="s">
        <v>3469</v>
      </c>
      <c r="K815" t="s">
        <v>462</v>
      </c>
      <c r="L815">
        <v>0</v>
      </c>
      <c r="M815" s="453">
        <v>46050</v>
      </c>
      <c r="N815">
        <v>13.3</v>
      </c>
      <c r="O815">
        <v>13.3</v>
      </c>
      <c r="P815">
        <v>53.2</v>
      </c>
    </row>
    <row r="816" spans="1:16" x14ac:dyDescent="0.3">
      <c r="A816">
        <v>75950</v>
      </c>
      <c r="B816">
        <v>116</v>
      </c>
      <c r="C816" t="s">
        <v>568</v>
      </c>
      <c r="D816" s="453">
        <v>46082</v>
      </c>
      <c r="E816">
        <v>19415</v>
      </c>
      <c r="F816" t="s">
        <v>3941</v>
      </c>
      <c r="G816">
        <v>2759</v>
      </c>
      <c r="H816">
        <v>6</v>
      </c>
      <c r="I816" t="s">
        <v>3872</v>
      </c>
      <c r="J816" t="s">
        <v>3469</v>
      </c>
      <c r="K816" t="s">
        <v>462</v>
      </c>
      <c r="L816">
        <v>8.81</v>
      </c>
      <c r="M816" s="453">
        <v>46078</v>
      </c>
      <c r="N816">
        <v>8.81</v>
      </c>
      <c r="O816">
        <v>8.81</v>
      </c>
      <c r="P816">
        <v>52.86</v>
      </c>
    </row>
    <row r="817" spans="1:16" x14ac:dyDescent="0.3">
      <c r="A817">
        <v>76036</v>
      </c>
      <c r="B817">
        <v>116</v>
      </c>
      <c r="C817" t="s">
        <v>568</v>
      </c>
      <c r="D817" s="453">
        <v>46082</v>
      </c>
      <c r="E817">
        <v>21400</v>
      </c>
      <c r="F817" t="s">
        <v>4165</v>
      </c>
      <c r="G817">
        <v>2157</v>
      </c>
      <c r="H817">
        <v>1.8</v>
      </c>
      <c r="I817" t="s">
        <v>3892</v>
      </c>
      <c r="J817" t="s">
        <v>3469</v>
      </c>
      <c r="K817" t="s">
        <v>462</v>
      </c>
      <c r="L817">
        <v>28.95</v>
      </c>
      <c r="M817" s="453">
        <v>46076</v>
      </c>
      <c r="N817">
        <v>28.95</v>
      </c>
      <c r="O817">
        <v>28.95</v>
      </c>
      <c r="P817">
        <v>52.11</v>
      </c>
    </row>
    <row r="818" spans="1:16" x14ac:dyDescent="0.3">
      <c r="A818">
        <v>76055</v>
      </c>
      <c r="B818">
        <v>116</v>
      </c>
      <c r="C818" t="s">
        <v>568</v>
      </c>
      <c r="D818" s="453">
        <v>46082</v>
      </c>
      <c r="E818">
        <v>20702</v>
      </c>
      <c r="F818" t="s">
        <v>4006</v>
      </c>
      <c r="G818">
        <v>2101</v>
      </c>
      <c r="H818">
        <v>1.2</v>
      </c>
      <c r="I818" t="s">
        <v>3966</v>
      </c>
      <c r="J818" t="s">
        <v>3469</v>
      </c>
      <c r="K818" t="s">
        <v>462</v>
      </c>
      <c r="L818">
        <v>42.9</v>
      </c>
      <c r="M818" s="453">
        <v>46078</v>
      </c>
      <c r="N818">
        <v>42.9</v>
      </c>
      <c r="O818">
        <v>42.9</v>
      </c>
      <c r="P818">
        <v>51.48</v>
      </c>
    </row>
    <row r="819" spans="1:16" x14ac:dyDescent="0.3">
      <c r="A819">
        <v>76108</v>
      </c>
      <c r="B819">
        <v>116</v>
      </c>
      <c r="C819" t="s">
        <v>568</v>
      </c>
      <c r="D819" s="453">
        <v>46082</v>
      </c>
      <c r="E819">
        <v>20466</v>
      </c>
      <c r="F819" t="s">
        <v>4098</v>
      </c>
      <c r="G819">
        <v>2160</v>
      </c>
      <c r="H819">
        <v>0.75</v>
      </c>
      <c r="I819" t="s">
        <v>3892</v>
      </c>
      <c r="J819" t="s">
        <v>3469</v>
      </c>
      <c r="K819" t="s">
        <v>462</v>
      </c>
      <c r="L819">
        <v>68</v>
      </c>
      <c r="M819" s="453">
        <v>46064</v>
      </c>
      <c r="N819">
        <v>68</v>
      </c>
      <c r="O819">
        <v>68</v>
      </c>
      <c r="P819">
        <v>51</v>
      </c>
    </row>
    <row r="820" spans="1:16" x14ac:dyDescent="0.3">
      <c r="A820">
        <v>76059</v>
      </c>
      <c r="B820">
        <v>116</v>
      </c>
      <c r="C820" t="s">
        <v>568</v>
      </c>
      <c r="D820" s="453">
        <v>46082</v>
      </c>
      <c r="E820">
        <v>21078</v>
      </c>
      <c r="F820" t="s">
        <v>4049</v>
      </c>
      <c r="G820">
        <v>1991</v>
      </c>
      <c r="H820">
        <v>1</v>
      </c>
      <c r="I820" t="s">
        <v>3881</v>
      </c>
      <c r="J820" t="s">
        <v>3469</v>
      </c>
      <c r="K820" t="s">
        <v>462</v>
      </c>
      <c r="L820">
        <v>0</v>
      </c>
      <c r="M820" s="453">
        <v>46008</v>
      </c>
      <c r="N820">
        <v>49.89</v>
      </c>
      <c r="O820">
        <v>49.89</v>
      </c>
      <c r="P820">
        <v>49.89</v>
      </c>
    </row>
    <row r="821" spans="1:16" x14ac:dyDescent="0.3">
      <c r="A821">
        <v>75952</v>
      </c>
      <c r="B821">
        <v>116</v>
      </c>
      <c r="C821" t="s">
        <v>568</v>
      </c>
      <c r="D821" s="453">
        <v>46082</v>
      </c>
      <c r="E821">
        <v>17093</v>
      </c>
      <c r="F821" t="s">
        <v>3993</v>
      </c>
      <c r="G821">
        <v>4165</v>
      </c>
      <c r="H821">
        <v>6</v>
      </c>
      <c r="I821" t="s">
        <v>3888</v>
      </c>
      <c r="J821" t="s">
        <v>3497</v>
      </c>
      <c r="K821" t="s">
        <v>462</v>
      </c>
      <c r="L821">
        <v>8</v>
      </c>
      <c r="M821" s="453">
        <v>46062</v>
      </c>
      <c r="N821">
        <v>8</v>
      </c>
      <c r="O821">
        <v>8.25</v>
      </c>
      <c r="P821">
        <v>48</v>
      </c>
    </row>
    <row r="822" spans="1:16" x14ac:dyDescent="0.3">
      <c r="A822">
        <v>76046</v>
      </c>
      <c r="B822">
        <v>116</v>
      </c>
      <c r="C822" t="s">
        <v>568</v>
      </c>
      <c r="D822" s="453">
        <v>46082</v>
      </c>
      <c r="E822">
        <v>18395</v>
      </c>
      <c r="F822" t="s">
        <v>4085</v>
      </c>
      <c r="G822">
        <v>3245</v>
      </c>
      <c r="H822">
        <v>1.5</v>
      </c>
      <c r="I822" t="s">
        <v>3878</v>
      </c>
      <c r="J822" t="s">
        <v>3497</v>
      </c>
      <c r="K822" t="s">
        <v>462</v>
      </c>
      <c r="L822">
        <v>0</v>
      </c>
      <c r="M822" s="453">
        <v>45978</v>
      </c>
      <c r="N822">
        <v>32</v>
      </c>
      <c r="O822">
        <v>30.95</v>
      </c>
      <c r="P822">
        <v>48</v>
      </c>
    </row>
    <row r="823" spans="1:16" x14ac:dyDescent="0.3">
      <c r="A823">
        <v>76020</v>
      </c>
      <c r="B823">
        <v>116</v>
      </c>
      <c r="C823" t="s">
        <v>568</v>
      </c>
      <c r="D823" s="453">
        <v>46082</v>
      </c>
      <c r="E823">
        <v>24185</v>
      </c>
      <c r="F823" t="s">
        <v>4040</v>
      </c>
      <c r="G823">
        <v>2331</v>
      </c>
      <c r="H823">
        <v>2</v>
      </c>
      <c r="I823" t="s">
        <v>3892</v>
      </c>
      <c r="J823" t="s">
        <v>3469</v>
      </c>
      <c r="K823" t="s">
        <v>462</v>
      </c>
      <c r="L823">
        <v>23.1</v>
      </c>
      <c r="M823" s="453">
        <v>46063</v>
      </c>
      <c r="N823">
        <v>23.1</v>
      </c>
      <c r="O823">
        <v>23.1</v>
      </c>
      <c r="P823">
        <v>46.2</v>
      </c>
    </row>
    <row r="824" spans="1:16" x14ac:dyDescent="0.3">
      <c r="A824">
        <v>75992</v>
      </c>
      <c r="B824">
        <v>116</v>
      </c>
      <c r="C824" t="s">
        <v>568</v>
      </c>
      <c r="D824" s="453">
        <v>46082</v>
      </c>
      <c r="E824">
        <v>19973</v>
      </c>
      <c r="F824" t="s">
        <v>3981</v>
      </c>
      <c r="G824">
        <v>2354</v>
      </c>
      <c r="H824">
        <v>3</v>
      </c>
      <c r="I824" t="s">
        <v>3872</v>
      </c>
      <c r="J824" t="s">
        <v>3469</v>
      </c>
      <c r="K824" t="s">
        <v>462</v>
      </c>
      <c r="L824">
        <v>15.2</v>
      </c>
      <c r="M824" s="453">
        <v>46072</v>
      </c>
      <c r="N824">
        <v>15.2</v>
      </c>
      <c r="O824">
        <v>15.2</v>
      </c>
      <c r="P824">
        <v>45.6</v>
      </c>
    </row>
    <row r="825" spans="1:16" x14ac:dyDescent="0.3">
      <c r="A825">
        <v>75974</v>
      </c>
      <c r="B825">
        <v>116</v>
      </c>
      <c r="C825" t="s">
        <v>568</v>
      </c>
      <c r="D825" s="453">
        <v>46082</v>
      </c>
      <c r="E825">
        <v>19740</v>
      </c>
      <c r="F825" t="s">
        <v>3933</v>
      </c>
      <c r="G825">
        <v>2513</v>
      </c>
      <c r="H825">
        <v>4</v>
      </c>
      <c r="I825" t="s">
        <v>3892</v>
      </c>
      <c r="J825" t="s">
        <v>3469</v>
      </c>
      <c r="K825" t="s">
        <v>462</v>
      </c>
      <c r="L825">
        <v>11.36</v>
      </c>
      <c r="M825" s="453">
        <v>46079</v>
      </c>
      <c r="N825">
        <v>15</v>
      </c>
      <c r="O825">
        <v>14.5</v>
      </c>
      <c r="P825">
        <v>45.44</v>
      </c>
    </row>
    <row r="826" spans="1:16" x14ac:dyDescent="0.3">
      <c r="A826">
        <v>75999</v>
      </c>
      <c r="B826">
        <v>116</v>
      </c>
      <c r="C826" t="s">
        <v>568</v>
      </c>
      <c r="D826" s="453">
        <v>46082</v>
      </c>
      <c r="E826">
        <v>19576</v>
      </c>
      <c r="F826" t="s">
        <v>4021</v>
      </c>
      <c r="G826">
        <v>2642</v>
      </c>
      <c r="H826">
        <v>3</v>
      </c>
      <c r="I826" t="s">
        <v>3892</v>
      </c>
      <c r="J826" t="s">
        <v>3469</v>
      </c>
      <c r="K826" t="s">
        <v>462</v>
      </c>
      <c r="L826">
        <v>15</v>
      </c>
      <c r="M826" s="453">
        <v>46055</v>
      </c>
      <c r="N826">
        <v>15</v>
      </c>
      <c r="O826">
        <v>15</v>
      </c>
      <c r="P826">
        <v>45</v>
      </c>
    </row>
    <row r="827" spans="1:16" x14ac:dyDescent="0.3">
      <c r="A827">
        <v>76043</v>
      </c>
      <c r="B827">
        <v>116</v>
      </c>
      <c r="C827" t="s">
        <v>568</v>
      </c>
      <c r="D827" s="453">
        <v>46082</v>
      </c>
      <c r="E827">
        <v>23274</v>
      </c>
      <c r="F827" t="s">
        <v>4014</v>
      </c>
      <c r="G827">
        <v>2587</v>
      </c>
      <c r="H827">
        <v>1.5</v>
      </c>
      <c r="I827" t="s">
        <v>3892</v>
      </c>
      <c r="J827" t="s">
        <v>3469</v>
      </c>
      <c r="K827" t="s">
        <v>462</v>
      </c>
      <c r="L827">
        <v>0</v>
      </c>
      <c r="N827">
        <v>0</v>
      </c>
      <c r="O827">
        <v>30</v>
      </c>
      <c r="P827">
        <v>45</v>
      </c>
    </row>
    <row r="828" spans="1:16" x14ac:dyDescent="0.3">
      <c r="A828">
        <v>76030</v>
      </c>
      <c r="B828">
        <v>116</v>
      </c>
      <c r="C828" t="s">
        <v>568</v>
      </c>
      <c r="D828" s="453">
        <v>46082</v>
      </c>
      <c r="E828">
        <v>24343</v>
      </c>
      <c r="F828" t="s">
        <v>3990</v>
      </c>
      <c r="G828">
        <v>3044</v>
      </c>
      <c r="H828">
        <v>2</v>
      </c>
      <c r="I828" t="s">
        <v>3892</v>
      </c>
      <c r="J828" t="s">
        <v>3469</v>
      </c>
      <c r="K828" t="s">
        <v>462</v>
      </c>
      <c r="L828">
        <v>22.49</v>
      </c>
      <c r="M828" s="453">
        <v>46079</v>
      </c>
      <c r="N828">
        <v>24.99</v>
      </c>
      <c r="O828">
        <v>24.99</v>
      </c>
      <c r="P828">
        <v>44.98</v>
      </c>
    </row>
    <row r="829" spans="1:16" x14ac:dyDescent="0.3">
      <c r="A829">
        <v>76087</v>
      </c>
      <c r="B829">
        <v>116</v>
      </c>
      <c r="C829" t="s">
        <v>568</v>
      </c>
      <c r="D829" s="453">
        <v>46082</v>
      </c>
      <c r="E829">
        <v>19583</v>
      </c>
      <c r="F829" t="s">
        <v>4076</v>
      </c>
      <c r="G829">
        <v>2639</v>
      </c>
      <c r="H829">
        <v>1</v>
      </c>
      <c r="I829" t="s">
        <v>3892</v>
      </c>
      <c r="J829" t="s">
        <v>3469</v>
      </c>
      <c r="K829" t="s">
        <v>462</v>
      </c>
      <c r="L829">
        <v>44.5</v>
      </c>
      <c r="M829" s="453">
        <v>46065</v>
      </c>
      <c r="N829">
        <v>49</v>
      </c>
      <c r="O829">
        <v>50</v>
      </c>
      <c r="P829">
        <v>44.5</v>
      </c>
    </row>
    <row r="830" spans="1:16" x14ac:dyDescent="0.3">
      <c r="A830">
        <v>76113</v>
      </c>
      <c r="B830">
        <v>116</v>
      </c>
      <c r="C830" t="s">
        <v>568</v>
      </c>
      <c r="D830" s="453">
        <v>46082</v>
      </c>
      <c r="E830">
        <v>23505</v>
      </c>
      <c r="F830" t="s">
        <v>4124</v>
      </c>
      <c r="G830">
        <v>2364</v>
      </c>
      <c r="H830">
        <v>0.5</v>
      </c>
      <c r="I830" t="s">
        <v>3892</v>
      </c>
      <c r="J830" t="s">
        <v>3469</v>
      </c>
      <c r="K830" t="s">
        <v>462</v>
      </c>
      <c r="L830">
        <v>0</v>
      </c>
      <c r="N830">
        <v>0</v>
      </c>
      <c r="O830">
        <v>0</v>
      </c>
      <c r="P830">
        <v>42.5</v>
      </c>
    </row>
    <row r="831" spans="1:16" x14ac:dyDescent="0.3">
      <c r="A831">
        <v>75929</v>
      </c>
      <c r="B831">
        <v>116</v>
      </c>
      <c r="C831" t="s">
        <v>568</v>
      </c>
      <c r="D831" s="453">
        <v>46082</v>
      </c>
      <c r="E831">
        <v>24083</v>
      </c>
      <c r="F831" t="s">
        <v>3898</v>
      </c>
      <c r="G831">
        <v>2592</v>
      </c>
      <c r="H831">
        <v>10</v>
      </c>
      <c r="I831" t="s">
        <v>3892</v>
      </c>
      <c r="J831" t="s">
        <v>3469</v>
      </c>
      <c r="K831" t="s">
        <v>462</v>
      </c>
      <c r="L831">
        <v>4.0599999999999996</v>
      </c>
      <c r="M831" s="453">
        <v>46079</v>
      </c>
      <c r="N831">
        <v>4.28</v>
      </c>
      <c r="O831">
        <v>4.28</v>
      </c>
      <c r="P831">
        <v>40.6</v>
      </c>
    </row>
    <row r="832" spans="1:16" x14ac:dyDescent="0.3">
      <c r="A832">
        <v>76102</v>
      </c>
      <c r="B832">
        <v>116</v>
      </c>
      <c r="C832" t="s">
        <v>568</v>
      </c>
      <c r="D832" s="453">
        <v>46082</v>
      </c>
      <c r="E832">
        <v>17897</v>
      </c>
      <c r="F832" t="s">
        <v>4094</v>
      </c>
      <c r="G832">
        <v>3664</v>
      </c>
      <c r="H832">
        <v>1</v>
      </c>
      <c r="I832" t="s">
        <v>3888</v>
      </c>
      <c r="J832" t="s">
        <v>3497</v>
      </c>
      <c r="K832" t="s">
        <v>462</v>
      </c>
      <c r="L832">
        <v>40.29</v>
      </c>
      <c r="M832" s="453">
        <v>46064</v>
      </c>
      <c r="N832">
        <v>40.29</v>
      </c>
      <c r="O832">
        <v>40.29</v>
      </c>
      <c r="P832">
        <v>40.29</v>
      </c>
    </row>
    <row r="833" spans="1:16" x14ac:dyDescent="0.3">
      <c r="A833">
        <v>75959</v>
      </c>
      <c r="B833">
        <v>116</v>
      </c>
      <c r="C833" t="s">
        <v>568</v>
      </c>
      <c r="D833" s="453">
        <v>46082</v>
      </c>
      <c r="E833">
        <v>20949</v>
      </c>
      <c r="F833" t="s">
        <v>3983</v>
      </c>
      <c r="G833">
        <v>2023</v>
      </c>
      <c r="H833">
        <v>5</v>
      </c>
      <c r="I833" t="s">
        <v>3878</v>
      </c>
      <c r="J833" t="s">
        <v>3469</v>
      </c>
      <c r="K833" t="s">
        <v>462</v>
      </c>
      <c r="L833">
        <v>0</v>
      </c>
      <c r="M833" s="453">
        <v>46050</v>
      </c>
      <c r="N833">
        <v>7.96</v>
      </c>
      <c r="O833">
        <v>7.96</v>
      </c>
      <c r="P833">
        <v>39.799999999999997</v>
      </c>
    </row>
    <row r="834" spans="1:16" x14ac:dyDescent="0.3">
      <c r="A834">
        <v>76066</v>
      </c>
      <c r="B834">
        <v>116</v>
      </c>
      <c r="C834" t="s">
        <v>568</v>
      </c>
      <c r="D834" s="453">
        <v>46082</v>
      </c>
      <c r="E834">
        <v>20117</v>
      </c>
      <c r="F834" t="s">
        <v>4010</v>
      </c>
      <c r="G834">
        <v>2291</v>
      </c>
      <c r="H834">
        <v>1</v>
      </c>
      <c r="I834" t="s">
        <v>3872</v>
      </c>
      <c r="J834" t="s">
        <v>3469</v>
      </c>
      <c r="K834" t="s">
        <v>462</v>
      </c>
      <c r="L834">
        <v>38.950000000000003</v>
      </c>
      <c r="M834" s="453">
        <v>46056</v>
      </c>
      <c r="N834">
        <v>38.950000000000003</v>
      </c>
      <c r="O834">
        <v>38.950000000000003</v>
      </c>
      <c r="P834">
        <v>38.950000000000003</v>
      </c>
    </row>
    <row r="835" spans="1:16" x14ac:dyDescent="0.3">
      <c r="A835">
        <v>76096</v>
      </c>
      <c r="B835">
        <v>116</v>
      </c>
      <c r="C835" t="s">
        <v>568</v>
      </c>
      <c r="D835" s="453">
        <v>46082</v>
      </c>
      <c r="E835">
        <v>18341</v>
      </c>
      <c r="F835" t="s">
        <v>4086</v>
      </c>
      <c r="G835">
        <v>3293</v>
      </c>
      <c r="H835">
        <v>1</v>
      </c>
      <c r="I835" t="s">
        <v>3878</v>
      </c>
      <c r="J835" t="s">
        <v>3497</v>
      </c>
      <c r="K835" t="s">
        <v>462</v>
      </c>
      <c r="L835">
        <v>0</v>
      </c>
      <c r="N835">
        <v>0</v>
      </c>
      <c r="O835">
        <v>50</v>
      </c>
      <c r="P835">
        <v>38</v>
      </c>
    </row>
    <row r="836" spans="1:16" x14ac:dyDescent="0.3">
      <c r="A836">
        <v>76033</v>
      </c>
      <c r="B836">
        <v>116</v>
      </c>
      <c r="C836" t="s">
        <v>568</v>
      </c>
      <c r="D836" s="453">
        <v>46082</v>
      </c>
      <c r="E836">
        <v>17609</v>
      </c>
      <c r="F836" t="s">
        <v>4038</v>
      </c>
      <c r="G836">
        <v>3917</v>
      </c>
      <c r="H836">
        <v>2</v>
      </c>
      <c r="I836" t="s">
        <v>3878</v>
      </c>
      <c r="J836" t="s">
        <v>3497</v>
      </c>
      <c r="K836" t="s">
        <v>462</v>
      </c>
      <c r="L836">
        <v>0</v>
      </c>
      <c r="M836" s="453">
        <v>45573</v>
      </c>
      <c r="N836">
        <v>18.899999999999999</v>
      </c>
      <c r="O836">
        <v>18.899999999999999</v>
      </c>
      <c r="P836">
        <v>37.799999999999997</v>
      </c>
    </row>
    <row r="837" spans="1:16" x14ac:dyDescent="0.3">
      <c r="A837">
        <v>76040</v>
      </c>
      <c r="B837">
        <v>116</v>
      </c>
      <c r="C837" t="s">
        <v>568</v>
      </c>
      <c r="D837" s="453">
        <v>46082</v>
      </c>
      <c r="E837">
        <v>20287</v>
      </c>
      <c r="F837" t="s">
        <v>4053</v>
      </c>
      <c r="G837">
        <v>2229</v>
      </c>
      <c r="H837">
        <v>1.5</v>
      </c>
      <c r="I837" t="s">
        <v>3888</v>
      </c>
      <c r="J837" t="s">
        <v>3469</v>
      </c>
      <c r="K837" t="s">
        <v>462</v>
      </c>
      <c r="L837">
        <v>24.85</v>
      </c>
      <c r="M837" s="453">
        <v>46063</v>
      </c>
      <c r="N837">
        <v>24.85</v>
      </c>
      <c r="O837">
        <v>24.85</v>
      </c>
      <c r="P837">
        <v>37.28</v>
      </c>
    </row>
    <row r="838" spans="1:16" x14ac:dyDescent="0.3">
      <c r="A838">
        <v>76058</v>
      </c>
      <c r="B838">
        <v>116</v>
      </c>
      <c r="C838" t="s">
        <v>568</v>
      </c>
      <c r="D838" s="453">
        <v>46082</v>
      </c>
      <c r="E838">
        <v>21166</v>
      </c>
      <c r="F838" t="s">
        <v>4001</v>
      </c>
      <c r="G838">
        <v>1940</v>
      </c>
      <c r="H838">
        <v>1</v>
      </c>
      <c r="I838" t="s">
        <v>3872</v>
      </c>
      <c r="J838" t="s">
        <v>3469</v>
      </c>
      <c r="K838" t="s">
        <v>462</v>
      </c>
      <c r="L838">
        <v>0</v>
      </c>
      <c r="M838" s="453">
        <v>45615</v>
      </c>
      <c r="N838">
        <v>36</v>
      </c>
      <c r="O838">
        <v>36</v>
      </c>
      <c r="P838">
        <v>36</v>
      </c>
    </row>
    <row r="839" spans="1:16" x14ac:dyDescent="0.3">
      <c r="A839">
        <v>76077</v>
      </c>
      <c r="B839">
        <v>116</v>
      </c>
      <c r="C839" t="s">
        <v>568</v>
      </c>
      <c r="D839" s="453">
        <v>46082</v>
      </c>
      <c r="E839">
        <v>23385</v>
      </c>
      <c r="F839" t="s">
        <v>4069</v>
      </c>
      <c r="G839">
        <v>2479</v>
      </c>
      <c r="H839">
        <v>1</v>
      </c>
      <c r="I839" t="s">
        <v>3892</v>
      </c>
      <c r="J839" t="s">
        <v>3469</v>
      </c>
      <c r="K839" t="s">
        <v>462</v>
      </c>
      <c r="L839">
        <v>35</v>
      </c>
      <c r="M839" s="453">
        <v>46072</v>
      </c>
      <c r="N839">
        <v>35</v>
      </c>
      <c r="O839">
        <v>30</v>
      </c>
      <c r="P839">
        <v>35</v>
      </c>
    </row>
    <row r="840" spans="1:16" x14ac:dyDescent="0.3">
      <c r="A840">
        <v>75983</v>
      </c>
      <c r="B840">
        <v>116</v>
      </c>
      <c r="C840" t="s">
        <v>568</v>
      </c>
      <c r="D840" s="453">
        <v>46082</v>
      </c>
      <c r="E840">
        <v>19034</v>
      </c>
      <c r="F840" t="s">
        <v>3989</v>
      </c>
      <c r="G840">
        <v>2890</v>
      </c>
      <c r="H840">
        <v>3.5</v>
      </c>
      <c r="I840" t="s">
        <v>3892</v>
      </c>
      <c r="J840" t="s">
        <v>3469</v>
      </c>
      <c r="K840" t="s">
        <v>462</v>
      </c>
      <c r="L840">
        <v>9.9</v>
      </c>
      <c r="M840" s="453">
        <v>46072</v>
      </c>
      <c r="N840">
        <v>8.99</v>
      </c>
      <c r="O840">
        <v>8.99</v>
      </c>
      <c r="P840">
        <v>34.65</v>
      </c>
    </row>
    <row r="841" spans="1:16" x14ac:dyDescent="0.3">
      <c r="A841">
        <v>76081</v>
      </c>
      <c r="B841">
        <v>116</v>
      </c>
      <c r="C841" t="s">
        <v>568</v>
      </c>
      <c r="D841" s="453">
        <v>46082</v>
      </c>
      <c r="E841">
        <v>19765</v>
      </c>
      <c r="F841" t="s">
        <v>4071</v>
      </c>
      <c r="G841">
        <v>2488</v>
      </c>
      <c r="H841">
        <v>1</v>
      </c>
      <c r="I841" t="s">
        <v>3892</v>
      </c>
      <c r="J841" t="s">
        <v>3469</v>
      </c>
      <c r="K841" t="s">
        <v>462</v>
      </c>
      <c r="L841">
        <v>0</v>
      </c>
      <c r="M841" s="453">
        <v>46030</v>
      </c>
      <c r="N841">
        <v>34.08</v>
      </c>
      <c r="O841">
        <v>35</v>
      </c>
      <c r="P841">
        <v>34.08</v>
      </c>
    </row>
    <row r="842" spans="1:16" x14ac:dyDescent="0.3">
      <c r="A842">
        <v>76016</v>
      </c>
      <c r="B842">
        <v>116</v>
      </c>
      <c r="C842" t="s">
        <v>568</v>
      </c>
      <c r="D842" s="453">
        <v>46082</v>
      </c>
      <c r="E842">
        <v>27472</v>
      </c>
      <c r="F842" t="s">
        <v>4146</v>
      </c>
      <c r="G842">
        <v>7472</v>
      </c>
      <c r="H842">
        <v>2</v>
      </c>
      <c r="I842" t="s">
        <v>3872</v>
      </c>
      <c r="J842" t="s">
        <v>3469</v>
      </c>
      <c r="K842" t="s">
        <v>462</v>
      </c>
      <c r="L842">
        <v>0</v>
      </c>
      <c r="M842" s="453">
        <v>46029</v>
      </c>
      <c r="N842">
        <v>16.72</v>
      </c>
      <c r="O842">
        <v>18.920000000000002</v>
      </c>
      <c r="P842">
        <v>33.44</v>
      </c>
    </row>
    <row r="843" spans="1:16" x14ac:dyDescent="0.3">
      <c r="A843">
        <v>76019</v>
      </c>
      <c r="B843">
        <v>116</v>
      </c>
      <c r="C843" t="s">
        <v>568</v>
      </c>
      <c r="D843" s="453">
        <v>46082</v>
      </c>
      <c r="E843">
        <v>20077</v>
      </c>
      <c r="F843" t="s">
        <v>4054</v>
      </c>
      <c r="G843">
        <v>2317</v>
      </c>
      <c r="H843">
        <v>2</v>
      </c>
      <c r="I843" t="s">
        <v>3888</v>
      </c>
      <c r="J843" t="s">
        <v>3469</v>
      </c>
      <c r="K843" t="s">
        <v>462</v>
      </c>
      <c r="L843">
        <v>16.350000000000001</v>
      </c>
      <c r="M843" s="453">
        <v>46072</v>
      </c>
      <c r="N843">
        <v>16.350000000000001</v>
      </c>
      <c r="O843">
        <v>16.350000000000001</v>
      </c>
      <c r="P843">
        <v>32.700000000000003</v>
      </c>
    </row>
    <row r="844" spans="1:16" x14ac:dyDescent="0.3">
      <c r="A844">
        <v>76022</v>
      </c>
      <c r="B844">
        <v>116</v>
      </c>
      <c r="C844" t="s">
        <v>568</v>
      </c>
      <c r="D844" s="453">
        <v>46082</v>
      </c>
      <c r="E844">
        <v>20231</v>
      </c>
      <c r="F844" t="s">
        <v>4123</v>
      </c>
      <c r="G844">
        <v>2247</v>
      </c>
      <c r="H844">
        <v>2</v>
      </c>
      <c r="I844" t="s">
        <v>3888</v>
      </c>
      <c r="J844" t="s">
        <v>3469</v>
      </c>
      <c r="K844" t="s">
        <v>462</v>
      </c>
      <c r="L844">
        <v>0</v>
      </c>
      <c r="M844" s="453">
        <v>45993</v>
      </c>
      <c r="N844">
        <v>16.28</v>
      </c>
      <c r="O844">
        <v>16.2</v>
      </c>
      <c r="P844">
        <v>32.56</v>
      </c>
    </row>
    <row r="845" spans="1:16" x14ac:dyDescent="0.3">
      <c r="A845">
        <v>76064</v>
      </c>
      <c r="B845">
        <v>116</v>
      </c>
      <c r="C845" t="s">
        <v>568</v>
      </c>
      <c r="D845" s="453">
        <v>46082</v>
      </c>
      <c r="E845">
        <v>20213</v>
      </c>
      <c r="F845" t="s">
        <v>4059</v>
      </c>
      <c r="G845">
        <v>2251</v>
      </c>
      <c r="H845">
        <v>1</v>
      </c>
      <c r="I845" t="s">
        <v>3888</v>
      </c>
      <c r="J845" t="s">
        <v>3469</v>
      </c>
      <c r="K845" t="s">
        <v>462</v>
      </c>
      <c r="L845">
        <v>31.6</v>
      </c>
      <c r="M845" s="453">
        <v>46063</v>
      </c>
      <c r="N845">
        <v>31.6</v>
      </c>
      <c r="O845">
        <v>31.6</v>
      </c>
      <c r="P845">
        <v>31.6</v>
      </c>
    </row>
    <row r="846" spans="1:16" x14ac:dyDescent="0.3">
      <c r="A846">
        <v>76061</v>
      </c>
      <c r="B846">
        <v>116</v>
      </c>
      <c r="C846" t="s">
        <v>568</v>
      </c>
      <c r="D846" s="453">
        <v>46082</v>
      </c>
      <c r="E846">
        <v>20809</v>
      </c>
      <c r="F846" t="s">
        <v>4005</v>
      </c>
      <c r="G846">
        <v>2074</v>
      </c>
      <c r="H846">
        <v>1</v>
      </c>
      <c r="I846" t="s">
        <v>3888</v>
      </c>
      <c r="J846" t="s">
        <v>3469</v>
      </c>
      <c r="K846" t="s">
        <v>462</v>
      </c>
      <c r="L846">
        <v>30.85</v>
      </c>
      <c r="M846" s="453">
        <v>46072</v>
      </c>
      <c r="N846">
        <v>30.9</v>
      </c>
      <c r="O846">
        <v>30.83</v>
      </c>
      <c r="P846">
        <v>30.85</v>
      </c>
    </row>
    <row r="847" spans="1:16" x14ac:dyDescent="0.3">
      <c r="A847">
        <v>76029</v>
      </c>
      <c r="B847">
        <v>116</v>
      </c>
      <c r="C847" t="s">
        <v>568</v>
      </c>
      <c r="D847" s="453">
        <v>46082</v>
      </c>
      <c r="E847">
        <v>19672</v>
      </c>
      <c r="F847" t="s">
        <v>4024</v>
      </c>
      <c r="G847">
        <v>2567</v>
      </c>
      <c r="H847">
        <v>2</v>
      </c>
      <c r="I847" t="s">
        <v>3892</v>
      </c>
      <c r="J847" t="s">
        <v>3469</v>
      </c>
      <c r="K847" t="s">
        <v>462</v>
      </c>
      <c r="L847">
        <v>15.21</v>
      </c>
      <c r="M847" s="453">
        <v>46079</v>
      </c>
      <c r="N847">
        <v>13.75</v>
      </c>
      <c r="O847">
        <v>13.75</v>
      </c>
      <c r="P847">
        <v>30.42</v>
      </c>
    </row>
    <row r="848" spans="1:16" x14ac:dyDescent="0.3">
      <c r="A848">
        <v>76085</v>
      </c>
      <c r="B848">
        <v>116</v>
      </c>
      <c r="C848" t="s">
        <v>568</v>
      </c>
      <c r="D848" s="453">
        <v>46082</v>
      </c>
      <c r="E848">
        <v>23335</v>
      </c>
      <c r="F848" t="s">
        <v>4075</v>
      </c>
      <c r="G848">
        <v>2523</v>
      </c>
      <c r="H848">
        <v>1</v>
      </c>
      <c r="I848" t="s">
        <v>3892</v>
      </c>
      <c r="J848" t="s">
        <v>3469</v>
      </c>
      <c r="K848" t="s">
        <v>462</v>
      </c>
      <c r="L848">
        <v>30.13</v>
      </c>
      <c r="M848" s="453">
        <v>46079</v>
      </c>
      <c r="N848">
        <v>29</v>
      </c>
      <c r="O848">
        <v>29.11</v>
      </c>
      <c r="P848">
        <v>30.13</v>
      </c>
    </row>
    <row r="849" spans="1:16" x14ac:dyDescent="0.3">
      <c r="A849">
        <v>76023</v>
      </c>
      <c r="B849">
        <v>116</v>
      </c>
      <c r="C849" t="s">
        <v>568</v>
      </c>
      <c r="D849" s="453">
        <v>46082</v>
      </c>
      <c r="E849">
        <v>24400</v>
      </c>
      <c r="F849" t="s">
        <v>4149</v>
      </c>
      <c r="G849">
        <v>2368</v>
      </c>
      <c r="H849">
        <v>2</v>
      </c>
      <c r="I849" t="s">
        <v>3872</v>
      </c>
      <c r="J849" t="s">
        <v>3469</v>
      </c>
      <c r="K849" t="s">
        <v>462</v>
      </c>
      <c r="L849">
        <v>0</v>
      </c>
      <c r="M849" s="453">
        <v>46028</v>
      </c>
      <c r="N849">
        <v>14.5</v>
      </c>
      <c r="O849">
        <v>14</v>
      </c>
      <c r="P849">
        <v>29</v>
      </c>
    </row>
    <row r="850" spans="1:16" x14ac:dyDescent="0.3">
      <c r="A850">
        <v>76028</v>
      </c>
      <c r="B850">
        <v>116</v>
      </c>
      <c r="C850" t="s">
        <v>568</v>
      </c>
      <c r="D850" s="453">
        <v>46082</v>
      </c>
      <c r="E850">
        <v>23356</v>
      </c>
      <c r="F850" t="s">
        <v>4019</v>
      </c>
      <c r="G850">
        <v>2502</v>
      </c>
      <c r="H850">
        <v>2</v>
      </c>
      <c r="I850" t="s">
        <v>3892</v>
      </c>
      <c r="J850" t="s">
        <v>3469</v>
      </c>
      <c r="K850" t="s">
        <v>462</v>
      </c>
      <c r="L850">
        <v>0</v>
      </c>
      <c r="N850">
        <v>0</v>
      </c>
      <c r="O850">
        <v>8.5</v>
      </c>
      <c r="P850">
        <v>27.98</v>
      </c>
    </row>
    <row r="851" spans="1:16" x14ac:dyDescent="0.3">
      <c r="A851">
        <v>76105</v>
      </c>
      <c r="B851">
        <v>116</v>
      </c>
      <c r="C851" t="s">
        <v>568</v>
      </c>
      <c r="D851" s="453">
        <v>46082</v>
      </c>
      <c r="E851">
        <v>26195</v>
      </c>
      <c r="F851" t="s">
        <v>4037</v>
      </c>
      <c r="G851">
        <v>6618</v>
      </c>
      <c r="H851">
        <v>1</v>
      </c>
      <c r="I851" t="s">
        <v>3878</v>
      </c>
      <c r="J851" t="s">
        <v>3497</v>
      </c>
      <c r="K851" t="s">
        <v>462</v>
      </c>
      <c r="L851">
        <v>0</v>
      </c>
      <c r="N851">
        <v>0</v>
      </c>
      <c r="O851">
        <v>0</v>
      </c>
      <c r="P851">
        <v>27.74</v>
      </c>
    </row>
    <row r="852" spans="1:16" x14ac:dyDescent="0.3">
      <c r="A852">
        <v>76101</v>
      </c>
      <c r="B852">
        <v>116</v>
      </c>
      <c r="C852" t="s">
        <v>568</v>
      </c>
      <c r="D852" s="453">
        <v>46082</v>
      </c>
      <c r="E852">
        <v>18030</v>
      </c>
      <c r="F852" t="s">
        <v>4033</v>
      </c>
      <c r="G852">
        <v>3568</v>
      </c>
      <c r="H852">
        <v>1</v>
      </c>
      <c r="I852" t="s">
        <v>3878</v>
      </c>
      <c r="J852" t="s">
        <v>3497</v>
      </c>
      <c r="K852" t="s">
        <v>462</v>
      </c>
      <c r="L852">
        <v>0</v>
      </c>
      <c r="M852" s="453">
        <v>45972</v>
      </c>
      <c r="N852">
        <v>27.5</v>
      </c>
      <c r="O852">
        <v>27.99</v>
      </c>
      <c r="P852">
        <v>27.5</v>
      </c>
    </row>
    <row r="853" spans="1:16" x14ac:dyDescent="0.3">
      <c r="A853">
        <v>76056</v>
      </c>
      <c r="B853">
        <v>116</v>
      </c>
      <c r="C853" t="s">
        <v>568</v>
      </c>
      <c r="D853" s="453">
        <v>46082</v>
      </c>
      <c r="E853">
        <v>23503</v>
      </c>
      <c r="F853" t="s">
        <v>4041</v>
      </c>
      <c r="G853">
        <v>2366</v>
      </c>
      <c r="H853">
        <v>1.1000000000000001</v>
      </c>
      <c r="I853" t="s">
        <v>3892</v>
      </c>
      <c r="J853" t="s">
        <v>3469</v>
      </c>
      <c r="K853" t="s">
        <v>462</v>
      </c>
      <c r="L853">
        <v>24.2</v>
      </c>
      <c r="M853" s="453">
        <v>46063</v>
      </c>
      <c r="N853">
        <v>24.2</v>
      </c>
      <c r="O853">
        <v>24.2</v>
      </c>
      <c r="P853">
        <v>26.62</v>
      </c>
    </row>
    <row r="854" spans="1:16" x14ac:dyDescent="0.3">
      <c r="A854">
        <v>76025</v>
      </c>
      <c r="B854">
        <v>116</v>
      </c>
      <c r="C854" t="s">
        <v>568</v>
      </c>
      <c r="D854" s="453">
        <v>46082</v>
      </c>
      <c r="E854">
        <v>25769</v>
      </c>
      <c r="F854" t="s">
        <v>4013</v>
      </c>
      <c r="G854">
        <v>6318</v>
      </c>
      <c r="H854">
        <v>2</v>
      </c>
      <c r="I854" t="s">
        <v>3892</v>
      </c>
      <c r="J854" t="s">
        <v>3469</v>
      </c>
      <c r="K854" t="s">
        <v>462</v>
      </c>
      <c r="L854">
        <v>13</v>
      </c>
      <c r="M854" s="453">
        <v>46078</v>
      </c>
      <c r="N854">
        <v>13</v>
      </c>
      <c r="O854">
        <v>13</v>
      </c>
      <c r="P854">
        <v>26</v>
      </c>
    </row>
    <row r="855" spans="1:16" x14ac:dyDescent="0.3">
      <c r="A855">
        <v>76031</v>
      </c>
      <c r="B855">
        <v>116</v>
      </c>
      <c r="C855" t="s">
        <v>568</v>
      </c>
      <c r="D855" s="453">
        <v>46082</v>
      </c>
      <c r="E855">
        <v>17942</v>
      </c>
      <c r="F855" t="s">
        <v>4035</v>
      </c>
      <c r="G855">
        <v>3630</v>
      </c>
      <c r="H855">
        <v>2</v>
      </c>
      <c r="I855" t="s">
        <v>3872</v>
      </c>
      <c r="J855" t="s">
        <v>3497</v>
      </c>
      <c r="K855" t="s">
        <v>462</v>
      </c>
      <c r="L855">
        <v>13</v>
      </c>
      <c r="M855" s="453">
        <v>46062</v>
      </c>
      <c r="N855">
        <v>13</v>
      </c>
      <c r="O855">
        <v>13</v>
      </c>
      <c r="P855">
        <v>26</v>
      </c>
    </row>
    <row r="856" spans="1:16" x14ac:dyDescent="0.3">
      <c r="A856">
        <v>76103</v>
      </c>
      <c r="B856">
        <v>116</v>
      </c>
      <c r="C856" t="s">
        <v>568</v>
      </c>
      <c r="D856" s="453">
        <v>46082</v>
      </c>
      <c r="E856">
        <v>17881</v>
      </c>
      <c r="F856" t="s">
        <v>4095</v>
      </c>
      <c r="G856">
        <v>3675</v>
      </c>
      <c r="H856">
        <v>1</v>
      </c>
      <c r="I856" t="s">
        <v>3888</v>
      </c>
      <c r="J856" t="s">
        <v>3497</v>
      </c>
      <c r="K856" t="s">
        <v>462</v>
      </c>
      <c r="L856">
        <v>0.01</v>
      </c>
      <c r="M856" s="453">
        <v>46056</v>
      </c>
      <c r="N856">
        <v>0</v>
      </c>
      <c r="O856">
        <v>25.53</v>
      </c>
      <c r="P856">
        <v>25.53</v>
      </c>
    </row>
    <row r="857" spans="1:16" x14ac:dyDescent="0.3">
      <c r="A857">
        <v>75901</v>
      </c>
      <c r="B857">
        <v>116</v>
      </c>
      <c r="C857" t="s">
        <v>568</v>
      </c>
      <c r="D857" s="453">
        <v>46082</v>
      </c>
      <c r="E857">
        <v>23096</v>
      </c>
      <c r="F857" t="s">
        <v>3876</v>
      </c>
      <c r="G857">
        <v>2753</v>
      </c>
      <c r="H857">
        <v>38</v>
      </c>
      <c r="I857" t="s">
        <v>3872</v>
      </c>
      <c r="J857" t="s">
        <v>3469</v>
      </c>
      <c r="K857" t="s">
        <v>462</v>
      </c>
      <c r="L857">
        <v>0.67</v>
      </c>
      <c r="M857" s="453">
        <v>46079</v>
      </c>
      <c r="N857">
        <v>0.66</v>
      </c>
      <c r="O857">
        <v>0.67</v>
      </c>
      <c r="P857">
        <v>25.46</v>
      </c>
    </row>
    <row r="858" spans="1:16" x14ac:dyDescent="0.3">
      <c r="A858">
        <v>76070</v>
      </c>
      <c r="B858">
        <v>116</v>
      </c>
      <c r="C858" t="s">
        <v>568</v>
      </c>
      <c r="D858" s="453">
        <v>46082</v>
      </c>
      <c r="E858">
        <v>20597</v>
      </c>
      <c r="F858" t="s">
        <v>4157</v>
      </c>
      <c r="G858">
        <v>2120</v>
      </c>
      <c r="H858">
        <v>1</v>
      </c>
      <c r="I858" t="s">
        <v>3872</v>
      </c>
      <c r="J858" t="s">
        <v>3469</v>
      </c>
      <c r="K858" t="s">
        <v>462</v>
      </c>
      <c r="L858">
        <v>0</v>
      </c>
      <c r="M858" s="453">
        <v>46027</v>
      </c>
      <c r="N858">
        <v>24.8</v>
      </c>
      <c r="O858">
        <v>24.8</v>
      </c>
      <c r="P858">
        <v>24.8</v>
      </c>
    </row>
    <row r="859" spans="1:16" x14ac:dyDescent="0.3">
      <c r="A859">
        <v>75971</v>
      </c>
      <c r="B859">
        <v>116</v>
      </c>
      <c r="C859" t="s">
        <v>568</v>
      </c>
      <c r="D859" s="453">
        <v>46082</v>
      </c>
      <c r="E859">
        <v>20326</v>
      </c>
      <c r="F859" t="s">
        <v>3953</v>
      </c>
      <c r="G859">
        <v>2211</v>
      </c>
      <c r="H859">
        <v>4</v>
      </c>
      <c r="I859" t="s">
        <v>3892</v>
      </c>
      <c r="J859" t="s">
        <v>3469</v>
      </c>
      <c r="K859" t="s">
        <v>462</v>
      </c>
      <c r="L859">
        <v>0</v>
      </c>
      <c r="M859" s="453">
        <v>46042</v>
      </c>
      <c r="N859">
        <v>6</v>
      </c>
      <c r="O859">
        <v>6</v>
      </c>
      <c r="P859">
        <v>24</v>
      </c>
    </row>
    <row r="860" spans="1:16" x14ac:dyDescent="0.3">
      <c r="A860">
        <v>76039</v>
      </c>
      <c r="B860">
        <v>116</v>
      </c>
      <c r="C860" t="s">
        <v>568</v>
      </c>
      <c r="D860" s="453">
        <v>46082</v>
      </c>
      <c r="E860">
        <v>18996</v>
      </c>
      <c r="F860" t="s">
        <v>3946</v>
      </c>
      <c r="G860">
        <v>2900</v>
      </c>
      <c r="H860">
        <v>1.6</v>
      </c>
      <c r="I860" t="s">
        <v>3892</v>
      </c>
      <c r="J860" t="s">
        <v>3469</v>
      </c>
      <c r="K860" t="s">
        <v>462</v>
      </c>
      <c r="L860">
        <v>14.99</v>
      </c>
      <c r="M860" s="453">
        <v>46072</v>
      </c>
      <c r="N860">
        <v>14.99</v>
      </c>
      <c r="O860">
        <v>15.12</v>
      </c>
      <c r="P860">
        <v>23.98</v>
      </c>
    </row>
    <row r="861" spans="1:16" x14ac:dyDescent="0.3">
      <c r="A861">
        <v>76104</v>
      </c>
      <c r="B861">
        <v>116</v>
      </c>
      <c r="C861" t="s">
        <v>568</v>
      </c>
      <c r="D861" s="453">
        <v>46082</v>
      </c>
      <c r="E861">
        <v>17878</v>
      </c>
      <c r="F861" t="s">
        <v>4096</v>
      </c>
      <c r="G861">
        <v>3677</v>
      </c>
      <c r="H861">
        <v>1</v>
      </c>
      <c r="I861" t="s">
        <v>3872</v>
      </c>
      <c r="J861" t="s">
        <v>3497</v>
      </c>
      <c r="K861" t="s">
        <v>462</v>
      </c>
      <c r="L861">
        <v>0</v>
      </c>
      <c r="M861" s="453">
        <v>46037</v>
      </c>
      <c r="N861">
        <v>23.8</v>
      </c>
      <c r="O861">
        <v>24.94</v>
      </c>
      <c r="P861">
        <v>23.8</v>
      </c>
    </row>
    <row r="862" spans="1:16" x14ac:dyDescent="0.3">
      <c r="A862">
        <v>76079</v>
      </c>
      <c r="B862">
        <v>116</v>
      </c>
      <c r="C862" t="s">
        <v>568</v>
      </c>
      <c r="D862" s="453">
        <v>46082</v>
      </c>
      <c r="E862">
        <v>23234</v>
      </c>
      <c r="F862" t="s">
        <v>4018</v>
      </c>
      <c r="G862">
        <v>2622</v>
      </c>
      <c r="H862">
        <v>1</v>
      </c>
      <c r="I862" t="s">
        <v>3892</v>
      </c>
      <c r="J862" t="s">
        <v>3469</v>
      </c>
      <c r="K862" t="s">
        <v>462</v>
      </c>
      <c r="L862">
        <v>0</v>
      </c>
      <c r="M862" s="453">
        <v>46041</v>
      </c>
      <c r="N862">
        <v>23</v>
      </c>
      <c r="O862">
        <v>23</v>
      </c>
      <c r="P862">
        <v>23</v>
      </c>
    </row>
    <row r="863" spans="1:16" x14ac:dyDescent="0.3">
      <c r="A863">
        <v>76106</v>
      </c>
      <c r="B863">
        <v>116</v>
      </c>
      <c r="C863" t="s">
        <v>568</v>
      </c>
      <c r="D863" s="453">
        <v>46082</v>
      </c>
      <c r="E863">
        <v>23142</v>
      </c>
      <c r="F863" t="s">
        <v>4151</v>
      </c>
      <c r="G863">
        <v>2709</v>
      </c>
      <c r="H863">
        <v>0.9</v>
      </c>
      <c r="I863" t="s">
        <v>3892</v>
      </c>
      <c r="J863" t="s">
        <v>3469</v>
      </c>
      <c r="K863" t="s">
        <v>462</v>
      </c>
      <c r="L863">
        <v>25</v>
      </c>
      <c r="M863" s="453">
        <v>46079</v>
      </c>
      <c r="N863">
        <v>25</v>
      </c>
      <c r="O863">
        <v>25</v>
      </c>
      <c r="P863">
        <v>22.5</v>
      </c>
    </row>
    <row r="864" spans="1:16" x14ac:dyDescent="0.3">
      <c r="A864">
        <v>75975</v>
      </c>
      <c r="B864">
        <v>116</v>
      </c>
      <c r="C864" t="s">
        <v>568</v>
      </c>
      <c r="D864" s="453">
        <v>46082</v>
      </c>
      <c r="E864">
        <v>23186</v>
      </c>
      <c r="F864" t="s">
        <v>3988</v>
      </c>
      <c r="G864">
        <v>2668</v>
      </c>
      <c r="H864">
        <v>4</v>
      </c>
      <c r="I864" t="s">
        <v>3892</v>
      </c>
      <c r="J864" t="s">
        <v>3469</v>
      </c>
      <c r="K864" t="s">
        <v>462</v>
      </c>
      <c r="L864">
        <v>0</v>
      </c>
      <c r="M864" s="453">
        <v>45943</v>
      </c>
      <c r="N864">
        <v>5.56</v>
      </c>
      <c r="O864">
        <v>7.5</v>
      </c>
      <c r="P864">
        <v>22.24</v>
      </c>
    </row>
    <row r="865" spans="1:16" x14ac:dyDescent="0.3">
      <c r="A865">
        <v>76071</v>
      </c>
      <c r="B865">
        <v>116</v>
      </c>
      <c r="C865" t="s">
        <v>568</v>
      </c>
      <c r="D865" s="453">
        <v>46082</v>
      </c>
      <c r="E865">
        <v>23622</v>
      </c>
      <c r="F865" t="s">
        <v>4150</v>
      </c>
      <c r="G865">
        <v>2254</v>
      </c>
      <c r="H865">
        <v>1</v>
      </c>
      <c r="I865" t="s">
        <v>3892</v>
      </c>
      <c r="J865" t="s">
        <v>3469</v>
      </c>
      <c r="K865" t="s">
        <v>462</v>
      </c>
      <c r="L865">
        <v>0</v>
      </c>
      <c r="M865" s="453">
        <v>46036</v>
      </c>
      <c r="N865">
        <v>21.6</v>
      </c>
      <c r="O865">
        <v>21.5</v>
      </c>
      <c r="P865">
        <v>21.6</v>
      </c>
    </row>
    <row r="866" spans="1:16" x14ac:dyDescent="0.3">
      <c r="A866">
        <v>76076</v>
      </c>
      <c r="B866">
        <v>116</v>
      </c>
      <c r="C866" t="s">
        <v>568</v>
      </c>
      <c r="D866" s="453">
        <v>46082</v>
      </c>
      <c r="E866">
        <v>19494</v>
      </c>
      <c r="F866" t="s">
        <v>4126</v>
      </c>
      <c r="G866">
        <v>2716</v>
      </c>
      <c r="H866">
        <v>1</v>
      </c>
      <c r="I866" t="s">
        <v>3892</v>
      </c>
      <c r="J866" t="s">
        <v>3469</v>
      </c>
      <c r="K866" t="s">
        <v>462</v>
      </c>
      <c r="L866">
        <v>20.85</v>
      </c>
      <c r="M866" s="453">
        <v>46079</v>
      </c>
      <c r="N866">
        <v>18</v>
      </c>
      <c r="O866">
        <v>18</v>
      </c>
      <c r="P866">
        <v>20.85</v>
      </c>
    </row>
    <row r="867" spans="1:16" x14ac:dyDescent="0.3">
      <c r="A867">
        <v>76065</v>
      </c>
      <c r="B867">
        <v>116</v>
      </c>
      <c r="C867" t="s">
        <v>568</v>
      </c>
      <c r="D867" s="453">
        <v>46082</v>
      </c>
      <c r="E867">
        <v>20500</v>
      </c>
      <c r="F867" t="s">
        <v>3954</v>
      </c>
      <c r="G867">
        <v>2154</v>
      </c>
      <c r="H867">
        <v>1</v>
      </c>
      <c r="I867" t="s">
        <v>3872</v>
      </c>
      <c r="J867" t="s">
        <v>3469</v>
      </c>
      <c r="K867" t="s">
        <v>462</v>
      </c>
      <c r="L867">
        <v>0</v>
      </c>
      <c r="M867" s="453">
        <v>45917</v>
      </c>
      <c r="N867">
        <v>20.8</v>
      </c>
      <c r="O867">
        <v>21.9</v>
      </c>
      <c r="P867">
        <v>20.8</v>
      </c>
    </row>
    <row r="868" spans="1:16" x14ac:dyDescent="0.3">
      <c r="A868">
        <v>75913</v>
      </c>
      <c r="B868">
        <v>116</v>
      </c>
      <c r="C868" t="s">
        <v>568</v>
      </c>
      <c r="D868" s="453">
        <v>46082</v>
      </c>
      <c r="E868">
        <v>23095</v>
      </c>
      <c r="F868" t="s">
        <v>3882</v>
      </c>
      <c r="G868">
        <v>2754</v>
      </c>
      <c r="H868">
        <v>17</v>
      </c>
      <c r="I868" t="s">
        <v>3872</v>
      </c>
      <c r="J868" t="s">
        <v>3469</v>
      </c>
      <c r="K868" t="s">
        <v>462</v>
      </c>
      <c r="L868">
        <v>1.22</v>
      </c>
      <c r="M868" s="453">
        <v>46076</v>
      </c>
      <c r="N868">
        <v>1.25</v>
      </c>
      <c r="O868">
        <v>1.25</v>
      </c>
      <c r="P868">
        <v>20.74</v>
      </c>
    </row>
    <row r="869" spans="1:16" x14ac:dyDescent="0.3">
      <c r="A869">
        <v>76060</v>
      </c>
      <c r="B869">
        <v>116</v>
      </c>
      <c r="C869" t="s">
        <v>568</v>
      </c>
      <c r="D869" s="453">
        <v>46082</v>
      </c>
      <c r="E869">
        <v>20429</v>
      </c>
      <c r="F869" t="s">
        <v>4051</v>
      </c>
      <c r="G869">
        <v>2184</v>
      </c>
      <c r="H869">
        <v>1</v>
      </c>
      <c r="I869" t="s">
        <v>3872</v>
      </c>
      <c r="J869" t="s">
        <v>3469</v>
      </c>
      <c r="K869" t="s">
        <v>462</v>
      </c>
      <c r="L869">
        <v>0</v>
      </c>
      <c r="M869" s="453">
        <v>45944</v>
      </c>
      <c r="N869">
        <v>19.8</v>
      </c>
      <c r="O869">
        <v>19.600000000000001</v>
      </c>
      <c r="P869">
        <v>19.8</v>
      </c>
    </row>
    <row r="870" spans="1:16" x14ac:dyDescent="0.3">
      <c r="A870">
        <v>76073</v>
      </c>
      <c r="B870">
        <v>116</v>
      </c>
      <c r="C870" t="s">
        <v>568</v>
      </c>
      <c r="D870" s="453">
        <v>46082</v>
      </c>
      <c r="E870">
        <v>24037</v>
      </c>
      <c r="F870" t="s">
        <v>4104</v>
      </c>
      <c r="G870">
        <v>2590</v>
      </c>
      <c r="H870">
        <v>1</v>
      </c>
      <c r="I870" t="s">
        <v>3892</v>
      </c>
      <c r="J870" t="s">
        <v>3469</v>
      </c>
      <c r="K870" t="s">
        <v>462</v>
      </c>
      <c r="L870">
        <v>19.5</v>
      </c>
      <c r="M870" s="453">
        <v>46079</v>
      </c>
      <c r="N870">
        <v>19.5</v>
      </c>
      <c r="O870">
        <v>19.5</v>
      </c>
      <c r="P870">
        <v>19.5</v>
      </c>
    </row>
    <row r="871" spans="1:16" x14ac:dyDescent="0.3">
      <c r="A871">
        <v>76091</v>
      </c>
      <c r="B871">
        <v>116</v>
      </c>
      <c r="C871" t="s">
        <v>568</v>
      </c>
      <c r="D871" s="453">
        <v>46082</v>
      </c>
      <c r="E871">
        <v>17066</v>
      </c>
      <c r="F871" t="s">
        <v>4155</v>
      </c>
      <c r="G871">
        <v>2543</v>
      </c>
      <c r="H871">
        <v>1</v>
      </c>
      <c r="I871" t="s">
        <v>3892</v>
      </c>
      <c r="J871" t="s">
        <v>3469</v>
      </c>
      <c r="K871" t="s">
        <v>462</v>
      </c>
      <c r="L871">
        <v>19.43</v>
      </c>
      <c r="M871" s="453">
        <v>46079</v>
      </c>
      <c r="N871">
        <v>19.43</v>
      </c>
      <c r="O871">
        <v>19.43</v>
      </c>
      <c r="P871">
        <v>19.43</v>
      </c>
    </row>
    <row r="872" spans="1:16" x14ac:dyDescent="0.3">
      <c r="A872">
        <v>76024</v>
      </c>
      <c r="B872">
        <v>116</v>
      </c>
      <c r="C872" t="s">
        <v>568</v>
      </c>
      <c r="D872" s="453">
        <v>46082</v>
      </c>
      <c r="E872">
        <v>25768</v>
      </c>
      <c r="F872" t="s">
        <v>4012</v>
      </c>
      <c r="G872">
        <v>6317</v>
      </c>
      <c r="H872">
        <v>2</v>
      </c>
      <c r="I872" t="s">
        <v>3892</v>
      </c>
      <c r="J872" t="s">
        <v>3469</v>
      </c>
      <c r="K872" t="s">
        <v>462</v>
      </c>
      <c r="L872">
        <v>0</v>
      </c>
      <c r="M872" s="453">
        <v>46050</v>
      </c>
      <c r="N872">
        <v>8.9</v>
      </c>
      <c r="O872">
        <v>8.9</v>
      </c>
      <c r="P872">
        <v>17.8</v>
      </c>
    </row>
    <row r="873" spans="1:16" x14ac:dyDescent="0.3">
      <c r="A873">
        <v>75993</v>
      </c>
      <c r="B873">
        <v>116</v>
      </c>
      <c r="C873" t="s">
        <v>568</v>
      </c>
      <c r="D873" s="453">
        <v>46082</v>
      </c>
      <c r="E873">
        <v>19787</v>
      </c>
      <c r="F873" t="s">
        <v>3940</v>
      </c>
      <c r="G873">
        <v>2471</v>
      </c>
      <c r="H873">
        <v>3</v>
      </c>
      <c r="I873" t="s">
        <v>3892</v>
      </c>
      <c r="J873" t="s">
        <v>3469</v>
      </c>
      <c r="K873" t="s">
        <v>462</v>
      </c>
      <c r="L873">
        <v>4.95</v>
      </c>
      <c r="M873" s="453">
        <v>46072</v>
      </c>
      <c r="N873">
        <v>5.4</v>
      </c>
      <c r="O873">
        <v>5</v>
      </c>
      <c r="P873">
        <v>14.85</v>
      </c>
    </row>
    <row r="874" spans="1:16" x14ac:dyDescent="0.3">
      <c r="A874">
        <v>76107</v>
      </c>
      <c r="B874">
        <v>116</v>
      </c>
      <c r="C874" t="s">
        <v>568</v>
      </c>
      <c r="D874" s="453">
        <v>46082</v>
      </c>
      <c r="E874">
        <v>19498</v>
      </c>
      <c r="F874" t="s">
        <v>4065</v>
      </c>
      <c r="G874">
        <v>2712</v>
      </c>
      <c r="H874">
        <v>0.8</v>
      </c>
      <c r="I874" t="s">
        <v>3892</v>
      </c>
      <c r="J874" t="s">
        <v>3469</v>
      </c>
      <c r="K874" t="s">
        <v>462</v>
      </c>
      <c r="L874">
        <v>18.41</v>
      </c>
      <c r="M874" s="453">
        <v>46079</v>
      </c>
      <c r="N874">
        <v>24.65</v>
      </c>
      <c r="O874">
        <v>24.26</v>
      </c>
      <c r="P874">
        <v>14.73</v>
      </c>
    </row>
    <row r="875" spans="1:16" x14ac:dyDescent="0.3">
      <c r="A875">
        <v>76115</v>
      </c>
      <c r="B875">
        <v>116</v>
      </c>
      <c r="C875" t="s">
        <v>568</v>
      </c>
      <c r="D875" s="453">
        <v>46082</v>
      </c>
      <c r="E875">
        <v>19555</v>
      </c>
      <c r="F875" t="s">
        <v>4109</v>
      </c>
      <c r="G875">
        <v>2662</v>
      </c>
      <c r="H875">
        <v>0.5</v>
      </c>
      <c r="I875" t="s">
        <v>3892</v>
      </c>
      <c r="J875" t="s">
        <v>3469</v>
      </c>
      <c r="K875" t="s">
        <v>462</v>
      </c>
      <c r="L875">
        <v>28.86</v>
      </c>
      <c r="M875" s="453">
        <v>46079</v>
      </c>
      <c r="N875">
        <v>24.64</v>
      </c>
      <c r="O875">
        <v>24.65</v>
      </c>
      <c r="P875">
        <v>14.43</v>
      </c>
    </row>
    <row r="876" spans="1:16" x14ac:dyDescent="0.3">
      <c r="A876">
        <v>76027</v>
      </c>
      <c r="B876">
        <v>116</v>
      </c>
      <c r="C876" t="s">
        <v>568</v>
      </c>
      <c r="D876" s="453">
        <v>46082</v>
      </c>
      <c r="E876">
        <v>23236</v>
      </c>
      <c r="F876" t="s">
        <v>4017</v>
      </c>
      <c r="G876">
        <v>2620</v>
      </c>
      <c r="H876">
        <v>2</v>
      </c>
      <c r="I876" t="s">
        <v>3892</v>
      </c>
      <c r="J876" t="s">
        <v>3469</v>
      </c>
      <c r="K876" t="s">
        <v>462</v>
      </c>
      <c r="L876">
        <v>7.2</v>
      </c>
      <c r="M876" s="453">
        <v>46079</v>
      </c>
      <c r="N876">
        <v>9.5</v>
      </c>
      <c r="O876">
        <v>9.5</v>
      </c>
      <c r="P876">
        <v>14.4</v>
      </c>
    </row>
    <row r="877" spans="1:16" x14ac:dyDescent="0.3">
      <c r="A877">
        <v>75968</v>
      </c>
      <c r="B877">
        <v>116</v>
      </c>
      <c r="C877" t="s">
        <v>568</v>
      </c>
      <c r="D877" s="453">
        <v>46082</v>
      </c>
      <c r="E877">
        <v>20685</v>
      </c>
      <c r="F877" t="s">
        <v>4122</v>
      </c>
      <c r="G877">
        <v>2106</v>
      </c>
      <c r="H877">
        <v>4</v>
      </c>
      <c r="I877" t="s">
        <v>3872</v>
      </c>
      <c r="J877" t="s">
        <v>3469</v>
      </c>
      <c r="K877" t="s">
        <v>462</v>
      </c>
      <c r="L877">
        <v>3.54</v>
      </c>
      <c r="M877" s="453">
        <v>46078</v>
      </c>
      <c r="N877">
        <v>3.54</v>
      </c>
      <c r="O877">
        <v>3.54</v>
      </c>
      <c r="P877">
        <v>14.16</v>
      </c>
    </row>
    <row r="878" spans="1:16" x14ac:dyDescent="0.3">
      <c r="A878">
        <v>76069</v>
      </c>
      <c r="B878">
        <v>116</v>
      </c>
      <c r="C878" t="s">
        <v>568</v>
      </c>
      <c r="D878" s="453">
        <v>46082</v>
      </c>
      <c r="E878">
        <v>23500</v>
      </c>
      <c r="F878" t="s">
        <v>4116</v>
      </c>
      <c r="G878">
        <v>2369</v>
      </c>
      <c r="H878">
        <v>1</v>
      </c>
      <c r="I878" t="s">
        <v>3892</v>
      </c>
      <c r="J878" t="s">
        <v>3469</v>
      </c>
      <c r="K878" t="s">
        <v>462</v>
      </c>
      <c r="L878">
        <v>0</v>
      </c>
      <c r="M878" s="453">
        <v>45552</v>
      </c>
      <c r="N878">
        <v>14</v>
      </c>
      <c r="O878">
        <v>13.5</v>
      </c>
      <c r="P878">
        <v>14</v>
      </c>
    </row>
    <row r="879" spans="1:16" x14ac:dyDescent="0.3">
      <c r="A879">
        <v>76009</v>
      </c>
      <c r="B879">
        <v>116</v>
      </c>
      <c r="C879" t="s">
        <v>568</v>
      </c>
      <c r="D879" s="453">
        <v>46082</v>
      </c>
      <c r="E879">
        <v>25237</v>
      </c>
      <c r="F879" t="s">
        <v>4164</v>
      </c>
      <c r="G879">
        <v>5960</v>
      </c>
      <c r="H879">
        <v>2.5</v>
      </c>
      <c r="I879" t="s">
        <v>3872</v>
      </c>
      <c r="J879" t="s">
        <v>3469</v>
      </c>
      <c r="K879" t="s">
        <v>462</v>
      </c>
      <c r="L879">
        <v>5.45</v>
      </c>
      <c r="M879" s="453">
        <v>46063</v>
      </c>
      <c r="N879">
        <v>5.45</v>
      </c>
      <c r="O879">
        <v>5.36</v>
      </c>
      <c r="P879">
        <v>13.62</v>
      </c>
    </row>
    <row r="880" spans="1:16" x14ac:dyDescent="0.3">
      <c r="A880">
        <v>76082</v>
      </c>
      <c r="B880">
        <v>116</v>
      </c>
      <c r="C880" t="s">
        <v>568</v>
      </c>
      <c r="D880" s="453">
        <v>46082</v>
      </c>
      <c r="E880">
        <v>23357</v>
      </c>
      <c r="F880" t="s">
        <v>4042</v>
      </c>
      <c r="G880">
        <v>2501</v>
      </c>
      <c r="H880">
        <v>1</v>
      </c>
      <c r="I880" t="s">
        <v>3892</v>
      </c>
      <c r="J880" t="s">
        <v>3469</v>
      </c>
      <c r="K880" t="s">
        <v>462</v>
      </c>
      <c r="L880">
        <v>0</v>
      </c>
      <c r="M880" s="453">
        <v>45680</v>
      </c>
      <c r="N880">
        <v>13</v>
      </c>
      <c r="O880">
        <v>13</v>
      </c>
      <c r="P880">
        <v>13</v>
      </c>
    </row>
    <row r="881" spans="1:16" x14ac:dyDescent="0.3">
      <c r="A881">
        <v>76118</v>
      </c>
      <c r="B881">
        <v>116</v>
      </c>
      <c r="C881" t="s">
        <v>568</v>
      </c>
      <c r="D881" s="453">
        <v>46082</v>
      </c>
      <c r="E881">
        <v>23146</v>
      </c>
      <c r="F881" t="s">
        <v>4112</v>
      </c>
      <c r="G881">
        <v>2705</v>
      </c>
      <c r="H881">
        <v>0.2</v>
      </c>
      <c r="I881" t="s">
        <v>3892</v>
      </c>
      <c r="J881" t="s">
        <v>3469</v>
      </c>
      <c r="K881" t="s">
        <v>462</v>
      </c>
      <c r="L881">
        <v>0</v>
      </c>
      <c r="N881">
        <v>0</v>
      </c>
      <c r="O881">
        <v>65</v>
      </c>
      <c r="P881">
        <v>13</v>
      </c>
    </row>
    <row r="882" spans="1:16" x14ac:dyDescent="0.3">
      <c r="A882">
        <v>76093</v>
      </c>
      <c r="B882">
        <v>116</v>
      </c>
      <c r="C882" t="s">
        <v>568</v>
      </c>
      <c r="D882" s="453">
        <v>46082</v>
      </c>
      <c r="E882">
        <v>24403</v>
      </c>
      <c r="F882" t="s">
        <v>3992</v>
      </c>
      <c r="G882">
        <v>3049</v>
      </c>
      <c r="H882">
        <v>1</v>
      </c>
      <c r="I882" t="s">
        <v>3892</v>
      </c>
      <c r="J882" t="s">
        <v>3469</v>
      </c>
      <c r="K882" t="s">
        <v>462</v>
      </c>
      <c r="L882">
        <v>12.99</v>
      </c>
      <c r="M882" s="453">
        <v>46064</v>
      </c>
      <c r="N882">
        <v>12.99</v>
      </c>
      <c r="O882">
        <v>12</v>
      </c>
      <c r="P882">
        <v>12.99</v>
      </c>
    </row>
    <row r="883" spans="1:16" x14ac:dyDescent="0.3">
      <c r="A883">
        <v>76072</v>
      </c>
      <c r="B883">
        <v>116</v>
      </c>
      <c r="C883" t="s">
        <v>568</v>
      </c>
      <c r="D883" s="453">
        <v>46082</v>
      </c>
      <c r="E883">
        <v>19647</v>
      </c>
      <c r="F883" t="s">
        <v>4066</v>
      </c>
      <c r="G883">
        <v>2591</v>
      </c>
      <c r="H883">
        <v>1</v>
      </c>
      <c r="I883" t="s">
        <v>3892</v>
      </c>
      <c r="J883" t="s">
        <v>3469</v>
      </c>
      <c r="K883" t="s">
        <v>462</v>
      </c>
      <c r="L883">
        <v>12.57</v>
      </c>
      <c r="M883" s="453">
        <v>46065</v>
      </c>
      <c r="N883">
        <v>13.05</v>
      </c>
      <c r="O883">
        <v>14.24</v>
      </c>
      <c r="P883">
        <v>12.57</v>
      </c>
    </row>
    <row r="884" spans="1:16" x14ac:dyDescent="0.3">
      <c r="A884">
        <v>76088</v>
      </c>
      <c r="B884">
        <v>116</v>
      </c>
      <c r="C884" t="s">
        <v>568</v>
      </c>
      <c r="D884" s="453">
        <v>46082</v>
      </c>
      <c r="E884">
        <v>23198</v>
      </c>
      <c r="F884" t="s">
        <v>4167</v>
      </c>
      <c r="G884">
        <v>2657</v>
      </c>
      <c r="H884">
        <v>1</v>
      </c>
      <c r="I884" t="s">
        <v>3892</v>
      </c>
      <c r="J884" t="s">
        <v>3469</v>
      </c>
      <c r="K884" t="s">
        <v>462</v>
      </c>
      <c r="L884">
        <v>12.13</v>
      </c>
      <c r="M884" s="453">
        <v>46079</v>
      </c>
      <c r="N884">
        <v>12.5</v>
      </c>
      <c r="O884">
        <v>12.5</v>
      </c>
      <c r="P884">
        <v>12.13</v>
      </c>
    </row>
    <row r="885" spans="1:16" x14ac:dyDescent="0.3">
      <c r="A885">
        <v>76067</v>
      </c>
      <c r="B885">
        <v>116</v>
      </c>
      <c r="C885" t="s">
        <v>568</v>
      </c>
      <c r="D885" s="453">
        <v>46082</v>
      </c>
      <c r="E885">
        <v>23852</v>
      </c>
      <c r="F885" t="s">
        <v>4061</v>
      </c>
      <c r="G885">
        <v>2043</v>
      </c>
      <c r="H885">
        <v>1</v>
      </c>
      <c r="I885" t="s">
        <v>3892</v>
      </c>
      <c r="J885" t="s">
        <v>3469</v>
      </c>
      <c r="K885" t="s">
        <v>462</v>
      </c>
      <c r="L885">
        <v>0</v>
      </c>
      <c r="N885">
        <v>0</v>
      </c>
      <c r="O885">
        <v>11.4</v>
      </c>
      <c r="P885">
        <v>11.4</v>
      </c>
    </row>
    <row r="886" spans="1:16" x14ac:dyDescent="0.3">
      <c r="A886">
        <v>76044</v>
      </c>
      <c r="B886">
        <v>116</v>
      </c>
      <c r="C886" t="s">
        <v>568</v>
      </c>
      <c r="D886" s="453">
        <v>46082</v>
      </c>
      <c r="E886">
        <v>19689</v>
      </c>
      <c r="F886" t="s">
        <v>4073</v>
      </c>
      <c r="G886">
        <v>2551</v>
      </c>
      <c r="H886">
        <v>1.5</v>
      </c>
      <c r="I886" t="s">
        <v>3892</v>
      </c>
      <c r="J886" t="s">
        <v>3469</v>
      </c>
      <c r="K886" t="s">
        <v>462</v>
      </c>
      <c r="L886">
        <v>7.5</v>
      </c>
      <c r="M886" s="453">
        <v>46058</v>
      </c>
      <c r="N886">
        <v>7.5</v>
      </c>
      <c r="O886">
        <v>7.5</v>
      </c>
      <c r="P886">
        <v>11.25</v>
      </c>
    </row>
    <row r="887" spans="1:16" x14ac:dyDescent="0.3">
      <c r="A887">
        <v>76080</v>
      </c>
      <c r="B887">
        <v>116</v>
      </c>
      <c r="C887" t="s">
        <v>568</v>
      </c>
      <c r="D887" s="453">
        <v>46082</v>
      </c>
      <c r="E887">
        <v>24598</v>
      </c>
      <c r="F887" t="s">
        <v>4166</v>
      </c>
      <c r="G887">
        <v>2725</v>
      </c>
      <c r="H887">
        <v>1</v>
      </c>
      <c r="I887" t="s">
        <v>3892</v>
      </c>
      <c r="J887" t="s">
        <v>3469</v>
      </c>
      <c r="K887" t="s">
        <v>462</v>
      </c>
      <c r="L887">
        <v>11.13</v>
      </c>
      <c r="M887" s="453">
        <v>46079</v>
      </c>
      <c r="N887">
        <v>10.95</v>
      </c>
      <c r="O887">
        <v>10.95</v>
      </c>
      <c r="P887">
        <v>11.13</v>
      </c>
    </row>
    <row r="888" spans="1:16" x14ac:dyDescent="0.3">
      <c r="A888">
        <v>76062</v>
      </c>
      <c r="B888">
        <v>116</v>
      </c>
      <c r="C888" t="s">
        <v>568</v>
      </c>
      <c r="D888" s="453">
        <v>46082</v>
      </c>
      <c r="E888">
        <v>24212</v>
      </c>
      <c r="F888" t="s">
        <v>4056</v>
      </c>
      <c r="G888">
        <v>2064</v>
      </c>
      <c r="H888">
        <v>1</v>
      </c>
      <c r="I888" t="s">
        <v>3892</v>
      </c>
      <c r="J888" t="s">
        <v>3469</v>
      </c>
      <c r="K888" t="s">
        <v>462</v>
      </c>
      <c r="L888">
        <v>0</v>
      </c>
      <c r="M888" s="453">
        <v>46037</v>
      </c>
      <c r="N888">
        <v>10.98</v>
      </c>
      <c r="O888">
        <v>10.98</v>
      </c>
      <c r="P888">
        <v>10.98</v>
      </c>
    </row>
    <row r="889" spans="1:16" x14ac:dyDescent="0.3">
      <c r="A889">
        <v>76026</v>
      </c>
      <c r="B889">
        <v>116</v>
      </c>
      <c r="C889" t="s">
        <v>568</v>
      </c>
      <c r="D889" s="453">
        <v>46082</v>
      </c>
      <c r="E889">
        <v>23389</v>
      </c>
      <c r="F889" t="s">
        <v>4016</v>
      </c>
      <c r="G889">
        <v>2475</v>
      </c>
      <c r="H889">
        <v>2</v>
      </c>
      <c r="I889" t="s">
        <v>3892</v>
      </c>
      <c r="J889" t="s">
        <v>3469</v>
      </c>
      <c r="K889" t="s">
        <v>462</v>
      </c>
      <c r="L889">
        <v>5.36</v>
      </c>
      <c r="M889" s="453">
        <v>46079</v>
      </c>
      <c r="N889">
        <v>5.5</v>
      </c>
      <c r="O889">
        <v>4.83</v>
      </c>
      <c r="P889">
        <v>10.72</v>
      </c>
    </row>
    <row r="890" spans="1:16" x14ac:dyDescent="0.3">
      <c r="A890">
        <v>76119</v>
      </c>
      <c r="B890">
        <v>116</v>
      </c>
      <c r="C890" t="s">
        <v>568</v>
      </c>
      <c r="D890" s="453">
        <v>46082</v>
      </c>
      <c r="E890">
        <v>19475</v>
      </c>
      <c r="F890" t="s">
        <v>4111</v>
      </c>
      <c r="G890">
        <v>2730</v>
      </c>
      <c r="H890">
        <v>0.2</v>
      </c>
      <c r="I890" t="s">
        <v>3892</v>
      </c>
      <c r="J890" t="s">
        <v>3469</v>
      </c>
      <c r="K890" t="s">
        <v>462</v>
      </c>
      <c r="L890">
        <v>0</v>
      </c>
      <c r="M890" s="453">
        <v>45831</v>
      </c>
      <c r="N890">
        <v>50</v>
      </c>
      <c r="O890">
        <v>50</v>
      </c>
      <c r="P890">
        <v>10</v>
      </c>
    </row>
    <row r="891" spans="1:16" x14ac:dyDescent="0.3">
      <c r="A891">
        <v>76084</v>
      </c>
      <c r="B891">
        <v>116</v>
      </c>
      <c r="C891" t="s">
        <v>568</v>
      </c>
      <c r="D891" s="453">
        <v>46082</v>
      </c>
      <c r="E891">
        <v>19742</v>
      </c>
      <c r="F891" t="s">
        <v>4074</v>
      </c>
      <c r="G891">
        <v>2511</v>
      </c>
      <c r="H891">
        <v>1</v>
      </c>
      <c r="I891" t="s">
        <v>3892</v>
      </c>
      <c r="J891" t="s">
        <v>3469</v>
      </c>
      <c r="K891" t="s">
        <v>462</v>
      </c>
      <c r="L891">
        <v>9.7200000000000006</v>
      </c>
      <c r="M891" s="453">
        <v>46079</v>
      </c>
      <c r="N891">
        <v>12.43</v>
      </c>
      <c r="O891">
        <v>12.41</v>
      </c>
      <c r="P891">
        <v>9.7200000000000006</v>
      </c>
    </row>
    <row r="892" spans="1:16" x14ac:dyDescent="0.3">
      <c r="A892">
        <v>76114</v>
      </c>
      <c r="B892">
        <v>116</v>
      </c>
      <c r="C892" t="s">
        <v>568</v>
      </c>
      <c r="D892" s="453">
        <v>46082</v>
      </c>
      <c r="E892">
        <v>19773</v>
      </c>
      <c r="F892" t="s">
        <v>4168</v>
      </c>
      <c r="G892">
        <v>2482</v>
      </c>
      <c r="H892">
        <v>0.5</v>
      </c>
      <c r="I892" t="s">
        <v>3892</v>
      </c>
      <c r="J892" t="s">
        <v>3469</v>
      </c>
      <c r="K892" t="s">
        <v>462</v>
      </c>
      <c r="L892">
        <v>18.5</v>
      </c>
      <c r="M892" s="453">
        <v>46070</v>
      </c>
      <c r="N892">
        <v>22</v>
      </c>
      <c r="O892">
        <v>18.5</v>
      </c>
      <c r="P892">
        <v>9.25</v>
      </c>
    </row>
    <row r="893" spans="1:16" x14ac:dyDescent="0.3">
      <c r="A893">
        <v>76057</v>
      </c>
      <c r="B893">
        <v>116</v>
      </c>
      <c r="C893" t="s">
        <v>568</v>
      </c>
      <c r="D893" s="453">
        <v>46082</v>
      </c>
      <c r="E893">
        <v>21126</v>
      </c>
      <c r="F893" t="s">
        <v>4004</v>
      </c>
      <c r="G893">
        <v>1963</v>
      </c>
      <c r="H893">
        <v>1</v>
      </c>
      <c r="I893" t="s">
        <v>3888</v>
      </c>
      <c r="J893" t="s">
        <v>3469</v>
      </c>
      <c r="K893" t="s">
        <v>462</v>
      </c>
      <c r="L893">
        <v>0</v>
      </c>
      <c r="M893" s="453">
        <v>45986</v>
      </c>
      <c r="N893">
        <v>8.1999999999999993</v>
      </c>
      <c r="O893">
        <v>8.1999999999999993</v>
      </c>
      <c r="P893">
        <v>8.1999999999999993</v>
      </c>
    </row>
    <row r="894" spans="1:16" x14ac:dyDescent="0.3">
      <c r="A894">
        <v>76068</v>
      </c>
      <c r="B894">
        <v>116</v>
      </c>
      <c r="C894" t="s">
        <v>568</v>
      </c>
      <c r="D894" s="453">
        <v>46082</v>
      </c>
      <c r="E894">
        <v>19932</v>
      </c>
      <c r="F894" t="s">
        <v>4011</v>
      </c>
      <c r="G894">
        <v>2368</v>
      </c>
      <c r="H894">
        <v>1</v>
      </c>
      <c r="I894" t="s">
        <v>3872</v>
      </c>
      <c r="J894" t="s">
        <v>3469</v>
      </c>
      <c r="K894" t="s">
        <v>462</v>
      </c>
      <c r="L894">
        <v>0</v>
      </c>
      <c r="M894" s="453">
        <v>46027</v>
      </c>
      <c r="N894">
        <v>7.3</v>
      </c>
      <c r="O894">
        <v>7</v>
      </c>
      <c r="P894">
        <v>7.3</v>
      </c>
    </row>
    <row r="895" spans="1:16" x14ac:dyDescent="0.3">
      <c r="A895">
        <v>75996</v>
      </c>
      <c r="B895">
        <v>116</v>
      </c>
      <c r="C895" t="s">
        <v>568</v>
      </c>
      <c r="D895" s="453">
        <v>46082</v>
      </c>
      <c r="E895">
        <v>24326</v>
      </c>
      <c r="F895" t="s">
        <v>3932</v>
      </c>
      <c r="G895">
        <v>2499</v>
      </c>
      <c r="H895">
        <v>3</v>
      </c>
      <c r="I895" t="s">
        <v>3892</v>
      </c>
      <c r="J895" t="s">
        <v>3469</v>
      </c>
      <c r="K895" t="s">
        <v>462</v>
      </c>
      <c r="L895">
        <v>0</v>
      </c>
      <c r="M895" s="453">
        <v>45831</v>
      </c>
      <c r="N895">
        <v>2.4</v>
      </c>
      <c r="O895">
        <v>3.8</v>
      </c>
      <c r="P895">
        <v>7.2</v>
      </c>
    </row>
    <row r="896" spans="1:16" x14ac:dyDescent="0.3">
      <c r="A896">
        <v>76075</v>
      </c>
      <c r="B896">
        <v>116</v>
      </c>
      <c r="C896" t="s">
        <v>568</v>
      </c>
      <c r="D896" s="453">
        <v>46082</v>
      </c>
      <c r="E896">
        <v>19634</v>
      </c>
      <c r="F896" t="s">
        <v>4068</v>
      </c>
      <c r="G896">
        <v>2602</v>
      </c>
      <c r="H896">
        <v>1</v>
      </c>
      <c r="I896" t="s">
        <v>3892</v>
      </c>
      <c r="J896" t="s">
        <v>3469</v>
      </c>
      <c r="K896" t="s">
        <v>462</v>
      </c>
      <c r="L896">
        <v>7.19</v>
      </c>
      <c r="M896" s="453">
        <v>46079</v>
      </c>
      <c r="N896">
        <v>7.5</v>
      </c>
      <c r="O896">
        <v>8.74</v>
      </c>
      <c r="P896">
        <v>7.19</v>
      </c>
    </row>
    <row r="897" spans="1:16" x14ac:dyDescent="0.3">
      <c r="A897">
        <v>76090</v>
      </c>
      <c r="B897">
        <v>116</v>
      </c>
      <c r="C897" t="s">
        <v>568</v>
      </c>
      <c r="D897" s="453">
        <v>46082</v>
      </c>
      <c r="E897">
        <v>19465</v>
      </c>
      <c r="F897" t="s">
        <v>4080</v>
      </c>
      <c r="G897">
        <v>2737</v>
      </c>
      <c r="H897">
        <v>1</v>
      </c>
      <c r="I897" t="s">
        <v>3892</v>
      </c>
      <c r="J897" t="s">
        <v>3469</v>
      </c>
      <c r="K897" t="s">
        <v>462</v>
      </c>
      <c r="L897">
        <v>6.53</v>
      </c>
      <c r="M897" s="453">
        <v>46075</v>
      </c>
      <c r="N897">
        <v>6.53</v>
      </c>
      <c r="O897">
        <v>6.53</v>
      </c>
      <c r="P897">
        <v>6.53</v>
      </c>
    </row>
    <row r="898" spans="1:16" x14ac:dyDescent="0.3">
      <c r="A898">
        <v>76037</v>
      </c>
      <c r="B898">
        <v>116</v>
      </c>
      <c r="C898" t="s">
        <v>568</v>
      </c>
      <c r="D898" s="453">
        <v>46082</v>
      </c>
      <c r="E898">
        <v>19623</v>
      </c>
      <c r="F898" t="s">
        <v>3984</v>
      </c>
      <c r="G898">
        <v>2611</v>
      </c>
      <c r="H898">
        <v>1.7</v>
      </c>
      <c r="I898" t="s">
        <v>3892</v>
      </c>
      <c r="J898" t="s">
        <v>3469</v>
      </c>
      <c r="K898" t="s">
        <v>462</v>
      </c>
      <c r="L898">
        <v>3.71</v>
      </c>
      <c r="M898" s="453">
        <v>46079</v>
      </c>
      <c r="N898">
        <v>3.4</v>
      </c>
      <c r="O898">
        <v>3.47</v>
      </c>
      <c r="P898">
        <v>6.31</v>
      </c>
    </row>
    <row r="899" spans="1:16" x14ac:dyDescent="0.3">
      <c r="A899">
        <v>76111</v>
      </c>
      <c r="B899">
        <v>116</v>
      </c>
      <c r="C899" t="s">
        <v>568</v>
      </c>
      <c r="D899" s="453">
        <v>46082</v>
      </c>
      <c r="E899">
        <v>24484</v>
      </c>
      <c r="F899" t="s">
        <v>4154</v>
      </c>
      <c r="G899">
        <v>2684</v>
      </c>
      <c r="H899">
        <v>0.6</v>
      </c>
      <c r="I899" t="s">
        <v>3892</v>
      </c>
      <c r="J899" t="s">
        <v>3469</v>
      </c>
      <c r="K899" t="s">
        <v>462</v>
      </c>
      <c r="L899">
        <v>10.08</v>
      </c>
      <c r="M899" s="453">
        <v>46072</v>
      </c>
      <c r="N899">
        <v>10</v>
      </c>
      <c r="O899">
        <v>10.95</v>
      </c>
      <c r="P899">
        <v>6.05</v>
      </c>
    </row>
    <row r="900" spans="1:16" x14ac:dyDescent="0.3">
      <c r="A900">
        <v>76110</v>
      </c>
      <c r="B900">
        <v>116</v>
      </c>
      <c r="C900" t="s">
        <v>568</v>
      </c>
      <c r="D900" s="453">
        <v>46082</v>
      </c>
      <c r="E900">
        <v>23113</v>
      </c>
      <c r="F900" t="s">
        <v>4079</v>
      </c>
      <c r="G900">
        <v>2736</v>
      </c>
      <c r="H900">
        <v>0.6</v>
      </c>
      <c r="I900" t="s">
        <v>3892</v>
      </c>
      <c r="J900" t="s">
        <v>3469</v>
      </c>
      <c r="K900" t="s">
        <v>462</v>
      </c>
      <c r="L900">
        <v>10.039999999999999</v>
      </c>
      <c r="M900" s="453">
        <v>46080</v>
      </c>
      <c r="N900">
        <v>11.5</v>
      </c>
      <c r="O900">
        <v>11.5</v>
      </c>
      <c r="P900">
        <v>6.02</v>
      </c>
    </row>
    <row r="901" spans="1:16" x14ac:dyDescent="0.3">
      <c r="A901">
        <v>76086</v>
      </c>
      <c r="B901">
        <v>116</v>
      </c>
      <c r="C901" t="s">
        <v>568</v>
      </c>
      <c r="D901" s="453">
        <v>46082</v>
      </c>
      <c r="E901">
        <v>19589</v>
      </c>
      <c r="F901" t="s">
        <v>4153</v>
      </c>
      <c r="G901">
        <v>2637</v>
      </c>
      <c r="H901">
        <v>1</v>
      </c>
      <c r="I901" t="s">
        <v>3892</v>
      </c>
      <c r="J901" t="s">
        <v>3469</v>
      </c>
      <c r="K901" t="s">
        <v>462</v>
      </c>
      <c r="L901">
        <v>0</v>
      </c>
      <c r="M901" s="453">
        <v>46051</v>
      </c>
      <c r="N901">
        <v>6</v>
      </c>
      <c r="O901">
        <v>5.58</v>
      </c>
      <c r="P901">
        <v>6</v>
      </c>
    </row>
    <row r="902" spans="1:16" x14ac:dyDescent="0.3">
      <c r="A902">
        <v>76117</v>
      </c>
      <c r="B902">
        <v>116</v>
      </c>
      <c r="C902" t="s">
        <v>568</v>
      </c>
      <c r="D902" s="453">
        <v>46082</v>
      </c>
      <c r="E902">
        <v>19505</v>
      </c>
      <c r="F902" t="s">
        <v>4101</v>
      </c>
      <c r="G902">
        <v>2706</v>
      </c>
      <c r="H902">
        <v>0.4</v>
      </c>
      <c r="I902" t="s">
        <v>3892</v>
      </c>
      <c r="J902" t="s">
        <v>3469</v>
      </c>
      <c r="K902" t="s">
        <v>462</v>
      </c>
      <c r="L902">
        <v>14.9</v>
      </c>
      <c r="M902" s="453">
        <v>46079</v>
      </c>
      <c r="N902">
        <v>15.63</v>
      </c>
      <c r="O902">
        <v>15.72</v>
      </c>
      <c r="P902">
        <v>5.96</v>
      </c>
    </row>
    <row r="903" spans="1:16" x14ac:dyDescent="0.3">
      <c r="A903">
        <v>75995</v>
      </c>
      <c r="B903">
        <v>116</v>
      </c>
      <c r="C903" t="s">
        <v>568</v>
      </c>
      <c r="D903" s="453">
        <v>46082</v>
      </c>
      <c r="E903">
        <v>24509</v>
      </c>
      <c r="F903" t="s">
        <v>3906</v>
      </c>
      <c r="G903">
        <v>2607</v>
      </c>
      <c r="H903">
        <v>3</v>
      </c>
      <c r="I903" t="s">
        <v>3892</v>
      </c>
      <c r="J903" t="s">
        <v>3469</v>
      </c>
      <c r="K903" t="s">
        <v>462</v>
      </c>
      <c r="L903">
        <v>1.95</v>
      </c>
      <c r="M903" s="453">
        <v>46072</v>
      </c>
      <c r="N903">
        <v>2</v>
      </c>
      <c r="O903">
        <v>2.29</v>
      </c>
      <c r="P903">
        <v>5.85</v>
      </c>
    </row>
    <row r="904" spans="1:16" x14ac:dyDescent="0.3">
      <c r="A904">
        <v>76074</v>
      </c>
      <c r="B904">
        <v>116</v>
      </c>
      <c r="C904" t="s">
        <v>568</v>
      </c>
      <c r="D904" s="453">
        <v>46082</v>
      </c>
      <c r="E904">
        <v>19642</v>
      </c>
      <c r="F904" t="s">
        <v>4067</v>
      </c>
      <c r="G904">
        <v>2596</v>
      </c>
      <c r="H904">
        <v>1</v>
      </c>
      <c r="I904" t="s">
        <v>3892</v>
      </c>
      <c r="J904" t="s">
        <v>3469</v>
      </c>
      <c r="K904" t="s">
        <v>462</v>
      </c>
      <c r="L904">
        <v>5.1100000000000003</v>
      </c>
      <c r="M904" s="453">
        <v>46075</v>
      </c>
      <c r="N904">
        <v>5.15</v>
      </c>
      <c r="O904">
        <v>4.93</v>
      </c>
      <c r="P904">
        <v>5.1100000000000003</v>
      </c>
    </row>
    <row r="905" spans="1:16" x14ac:dyDescent="0.3">
      <c r="A905">
        <v>76089</v>
      </c>
      <c r="B905">
        <v>116</v>
      </c>
      <c r="C905" t="s">
        <v>568</v>
      </c>
      <c r="D905" s="453">
        <v>46082</v>
      </c>
      <c r="E905">
        <v>19553</v>
      </c>
      <c r="F905" t="s">
        <v>4078</v>
      </c>
      <c r="G905">
        <v>2663</v>
      </c>
      <c r="H905">
        <v>1</v>
      </c>
      <c r="I905" t="s">
        <v>3892</v>
      </c>
      <c r="J905" t="s">
        <v>3469</v>
      </c>
      <c r="K905" t="s">
        <v>462</v>
      </c>
      <c r="L905">
        <v>4.38</v>
      </c>
      <c r="M905" s="453">
        <v>46079</v>
      </c>
      <c r="N905">
        <v>5.08</v>
      </c>
      <c r="O905">
        <v>5.08</v>
      </c>
      <c r="P905">
        <v>4.38</v>
      </c>
    </row>
    <row r="906" spans="1:16" x14ac:dyDescent="0.3">
      <c r="A906">
        <v>76078</v>
      </c>
      <c r="B906">
        <v>116</v>
      </c>
      <c r="C906" t="s">
        <v>568</v>
      </c>
      <c r="D906" s="453">
        <v>46082</v>
      </c>
      <c r="E906">
        <v>19621</v>
      </c>
      <c r="F906" t="s">
        <v>4125</v>
      </c>
      <c r="G906">
        <v>2613</v>
      </c>
      <c r="H906">
        <v>1</v>
      </c>
      <c r="I906" t="s">
        <v>3892</v>
      </c>
      <c r="J906" t="s">
        <v>3469</v>
      </c>
      <c r="K906" t="s">
        <v>462</v>
      </c>
      <c r="L906">
        <v>3.04</v>
      </c>
      <c r="M906" s="453">
        <v>46062</v>
      </c>
      <c r="N906">
        <v>3.04</v>
      </c>
      <c r="O906">
        <v>3.04</v>
      </c>
      <c r="P906">
        <v>3.04</v>
      </c>
    </row>
    <row r="907" spans="1:16" x14ac:dyDescent="0.3">
      <c r="A907">
        <v>76121</v>
      </c>
      <c r="B907">
        <v>116</v>
      </c>
      <c r="C907" t="s">
        <v>568</v>
      </c>
      <c r="D907" s="453">
        <v>46082</v>
      </c>
      <c r="E907">
        <v>19480</v>
      </c>
      <c r="F907" t="s">
        <v>4113</v>
      </c>
      <c r="G907">
        <v>2726</v>
      </c>
      <c r="H907">
        <v>0.1</v>
      </c>
      <c r="I907" t="s">
        <v>3892</v>
      </c>
      <c r="J907" t="s">
        <v>3469</v>
      </c>
      <c r="K907" t="s">
        <v>462</v>
      </c>
      <c r="L907">
        <v>17.13</v>
      </c>
      <c r="M907" s="453">
        <v>46079</v>
      </c>
      <c r="N907">
        <v>17</v>
      </c>
      <c r="O907">
        <v>16</v>
      </c>
      <c r="P907">
        <v>1.71</v>
      </c>
    </row>
    <row r="908" spans="1:16" x14ac:dyDescent="0.3">
      <c r="A908">
        <v>76120</v>
      </c>
      <c r="B908">
        <v>116</v>
      </c>
      <c r="C908" t="s">
        <v>568</v>
      </c>
      <c r="D908" s="453">
        <v>46082</v>
      </c>
      <c r="E908">
        <v>19607</v>
      </c>
      <c r="F908" t="s">
        <v>4105</v>
      </c>
      <c r="G908">
        <v>2623</v>
      </c>
      <c r="H908">
        <v>0.1</v>
      </c>
      <c r="I908" t="s">
        <v>3892</v>
      </c>
      <c r="J908" t="s">
        <v>3469</v>
      </c>
      <c r="K908" t="s">
        <v>462</v>
      </c>
      <c r="L908">
        <v>0</v>
      </c>
      <c r="M908" s="453">
        <v>46048</v>
      </c>
      <c r="N908">
        <v>15</v>
      </c>
      <c r="O908">
        <v>16.46</v>
      </c>
      <c r="P908">
        <v>1.5</v>
      </c>
    </row>
    <row r="909" spans="1:16" x14ac:dyDescent="0.3">
      <c r="A909">
        <v>72840</v>
      </c>
      <c r="B909">
        <v>116</v>
      </c>
      <c r="C909" t="s">
        <v>568</v>
      </c>
      <c r="D909" s="453">
        <v>46054</v>
      </c>
      <c r="E909">
        <v>18636</v>
      </c>
      <c r="F909" t="s">
        <v>3921</v>
      </c>
      <c r="G909">
        <v>3075</v>
      </c>
      <c r="H909">
        <v>7</v>
      </c>
      <c r="I909" t="s">
        <v>3922</v>
      </c>
      <c r="J909" t="s">
        <v>3497</v>
      </c>
      <c r="K909" t="s">
        <v>461</v>
      </c>
      <c r="L909">
        <v>482.8</v>
      </c>
      <c r="M909" s="453">
        <v>46051</v>
      </c>
      <c r="N909">
        <v>482.8</v>
      </c>
      <c r="O909">
        <v>482.8</v>
      </c>
      <c r="P909">
        <v>3379.6</v>
      </c>
    </row>
    <row r="910" spans="1:16" x14ac:dyDescent="0.3">
      <c r="A910">
        <v>72810</v>
      </c>
      <c r="B910">
        <v>116</v>
      </c>
      <c r="C910" t="s">
        <v>568</v>
      </c>
      <c r="D910" s="453">
        <v>46054</v>
      </c>
      <c r="E910">
        <v>25197</v>
      </c>
      <c r="F910" t="s">
        <v>4143</v>
      </c>
      <c r="G910">
        <v>2126</v>
      </c>
      <c r="H910">
        <v>84</v>
      </c>
      <c r="I910" t="s">
        <v>3872</v>
      </c>
      <c r="J910" t="s">
        <v>3469</v>
      </c>
      <c r="K910" t="s">
        <v>461</v>
      </c>
      <c r="L910">
        <v>25.25</v>
      </c>
      <c r="M910" s="453">
        <v>46041</v>
      </c>
      <c r="N910">
        <v>24</v>
      </c>
      <c r="O910">
        <v>23.9</v>
      </c>
      <c r="P910">
        <v>2121</v>
      </c>
    </row>
    <row r="911" spans="1:16" x14ac:dyDescent="0.3">
      <c r="A911">
        <v>72998</v>
      </c>
      <c r="B911">
        <v>116</v>
      </c>
      <c r="C911" t="s">
        <v>568</v>
      </c>
      <c r="D911" s="453">
        <v>46054</v>
      </c>
      <c r="E911">
        <v>18247</v>
      </c>
      <c r="F911" t="s">
        <v>3877</v>
      </c>
      <c r="G911">
        <v>3383</v>
      </c>
      <c r="H911">
        <v>29</v>
      </c>
      <c r="I911" t="s">
        <v>3878</v>
      </c>
      <c r="J911" t="s">
        <v>3497</v>
      </c>
      <c r="K911" t="s">
        <v>461</v>
      </c>
      <c r="L911">
        <v>0</v>
      </c>
      <c r="N911">
        <v>0</v>
      </c>
      <c r="O911">
        <v>0</v>
      </c>
      <c r="P911">
        <v>1925.6</v>
      </c>
    </row>
    <row r="912" spans="1:16" x14ac:dyDescent="0.3">
      <c r="A912">
        <v>72951</v>
      </c>
      <c r="B912">
        <v>116</v>
      </c>
      <c r="C912" t="s">
        <v>568</v>
      </c>
      <c r="D912" s="453">
        <v>46054</v>
      </c>
      <c r="E912">
        <v>24259</v>
      </c>
      <c r="F912" t="s">
        <v>3895</v>
      </c>
      <c r="G912">
        <v>2938</v>
      </c>
      <c r="H912">
        <v>22.7</v>
      </c>
      <c r="I912" t="s">
        <v>3892</v>
      </c>
      <c r="J912" t="s">
        <v>3469</v>
      </c>
      <c r="K912" t="s">
        <v>461</v>
      </c>
      <c r="L912">
        <v>77.5</v>
      </c>
      <c r="M912" s="453">
        <v>46052</v>
      </c>
      <c r="N912">
        <v>75.989999999999995</v>
      </c>
      <c r="O912">
        <v>75.989999999999995</v>
      </c>
      <c r="P912">
        <v>1759.25</v>
      </c>
    </row>
    <row r="913" spans="1:16" x14ac:dyDescent="0.3">
      <c r="A913">
        <v>72980</v>
      </c>
      <c r="B913">
        <v>116</v>
      </c>
      <c r="C913" t="s">
        <v>568</v>
      </c>
      <c r="D913" s="453">
        <v>46054</v>
      </c>
      <c r="E913">
        <v>22515</v>
      </c>
      <c r="F913" t="s">
        <v>3883</v>
      </c>
      <c r="G913">
        <v>3202</v>
      </c>
      <c r="H913">
        <v>35.299999999999997</v>
      </c>
      <c r="I913" t="s">
        <v>3884</v>
      </c>
      <c r="J913" t="s">
        <v>3497</v>
      </c>
      <c r="K913" t="s">
        <v>461</v>
      </c>
      <c r="L913">
        <v>0</v>
      </c>
      <c r="M913" s="453">
        <v>45671</v>
      </c>
      <c r="N913">
        <v>38</v>
      </c>
      <c r="O913">
        <v>38</v>
      </c>
      <c r="P913">
        <v>1341.4</v>
      </c>
    </row>
    <row r="914" spans="1:16" x14ac:dyDescent="0.3">
      <c r="A914">
        <v>72950</v>
      </c>
      <c r="B914">
        <v>116</v>
      </c>
      <c r="C914" t="s">
        <v>568</v>
      </c>
      <c r="D914" s="453">
        <v>46054</v>
      </c>
      <c r="E914">
        <v>18764</v>
      </c>
      <c r="F914" t="s">
        <v>3907</v>
      </c>
      <c r="G914">
        <v>3001</v>
      </c>
      <c r="H914">
        <v>12</v>
      </c>
      <c r="I914" t="s">
        <v>3892</v>
      </c>
      <c r="J914" t="s">
        <v>3469</v>
      </c>
      <c r="K914" t="s">
        <v>461</v>
      </c>
      <c r="L914">
        <v>79.900000000000006</v>
      </c>
      <c r="M914" s="453">
        <v>46052</v>
      </c>
      <c r="N914">
        <v>79.900000000000006</v>
      </c>
      <c r="O914">
        <v>79.900000000000006</v>
      </c>
      <c r="P914">
        <v>958.8</v>
      </c>
    </row>
    <row r="915" spans="1:16" x14ac:dyDescent="0.3">
      <c r="A915">
        <v>72866</v>
      </c>
      <c r="B915">
        <v>116</v>
      </c>
      <c r="C915" t="s">
        <v>568</v>
      </c>
      <c r="D915" s="453">
        <v>46054</v>
      </c>
      <c r="E915">
        <v>18640</v>
      </c>
      <c r="F915" t="s">
        <v>3994</v>
      </c>
      <c r="G915">
        <v>3074</v>
      </c>
      <c r="H915">
        <v>3</v>
      </c>
      <c r="I915" t="s">
        <v>3922</v>
      </c>
      <c r="J915" t="s">
        <v>3497</v>
      </c>
      <c r="K915" t="s">
        <v>461</v>
      </c>
      <c r="L915">
        <v>306</v>
      </c>
      <c r="M915" s="453">
        <v>46049</v>
      </c>
      <c r="N915">
        <v>306</v>
      </c>
      <c r="O915">
        <v>306</v>
      </c>
      <c r="P915">
        <v>918</v>
      </c>
    </row>
    <row r="916" spans="1:16" x14ac:dyDescent="0.3">
      <c r="A916">
        <v>72806</v>
      </c>
      <c r="B916">
        <v>116</v>
      </c>
      <c r="C916" t="s">
        <v>568</v>
      </c>
      <c r="D916" s="453">
        <v>46054</v>
      </c>
      <c r="E916">
        <v>17905</v>
      </c>
      <c r="F916" t="s">
        <v>4139</v>
      </c>
      <c r="G916">
        <v>3656</v>
      </c>
      <c r="H916">
        <v>26.92</v>
      </c>
      <c r="I916" t="s">
        <v>3888</v>
      </c>
      <c r="J916" t="s">
        <v>3497</v>
      </c>
      <c r="K916" t="s">
        <v>461</v>
      </c>
      <c r="L916">
        <v>0</v>
      </c>
      <c r="M916" s="453">
        <v>46008</v>
      </c>
      <c r="N916">
        <v>29.64</v>
      </c>
      <c r="O916">
        <v>32.729999999999997</v>
      </c>
      <c r="P916">
        <v>797.91</v>
      </c>
    </row>
    <row r="917" spans="1:16" x14ac:dyDescent="0.3">
      <c r="A917">
        <v>72826</v>
      </c>
      <c r="B917">
        <v>116</v>
      </c>
      <c r="C917" t="s">
        <v>568</v>
      </c>
      <c r="D917" s="453">
        <v>46054</v>
      </c>
      <c r="E917">
        <v>24002</v>
      </c>
      <c r="F917" t="s">
        <v>3924</v>
      </c>
      <c r="G917">
        <v>3614</v>
      </c>
      <c r="H917">
        <v>10</v>
      </c>
      <c r="I917" t="s">
        <v>3872</v>
      </c>
      <c r="J917" t="s">
        <v>3497</v>
      </c>
      <c r="K917" t="s">
        <v>461</v>
      </c>
      <c r="L917">
        <v>0</v>
      </c>
      <c r="M917" s="453">
        <v>46010</v>
      </c>
      <c r="N917">
        <v>77.42</v>
      </c>
      <c r="O917">
        <v>6.7</v>
      </c>
      <c r="P917">
        <v>774.2</v>
      </c>
    </row>
    <row r="918" spans="1:16" x14ac:dyDescent="0.3">
      <c r="A918">
        <v>72936</v>
      </c>
      <c r="B918">
        <v>116</v>
      </c>
      <c r="C918" t="s">
        <v>568</v>
      </c>
      <c r="D918" s="453">
        <v>46054</v>
      </c>
      <c r="E918">
        <v>19405</v>
      </c>
      <c r="F918" t="s">
        <v>4097</v>
      </c>
      <c r="G918">
        <v>2761</v>
      </c>
      <c r="H918">
        <v>5</v>
      </c>
      <c r="I918" t="s">
        <v>3892</v>
      </c>
      <c r="J918" t="s">
        <v>3469</v>
      </c>
      <c r="K918" t="s">
        <v>461</v>
      </c>
      <c r="L918">
        <v>151.9</v>
      </c>
      <c r="M918" s="453">
        <v>46051</v>
      </c>
      <c r="N918">
        <v>151.9</v>
      </c>
      <c r="O918">
        <v>151.9</v>
      </c>
      <c r="P918">
        <v>759.5</v>
      </c>
    </row>
    <row r="919" spans="1:16" x14ac:dyDescent="0.3">
      <c r="A919">
        <v>72940</v>
      </c>
      <c r="B919">
        <v>116</v>
      </c>
      <c r="C919" t="s">
        <v>568</v>
      </c>
      <c r="D919" s="453">
        <v>46054</v>
      </c>
      <c r="E919">
        <v>19297</v>
      </c>
      <c r="F919" t="s">
        <v>3949</v>
      </c>
      <c r="G919">
        <v>2775</v>
      </c>
      <c r="H919">
        <v>9.3000000000000007</v>
      </c>
      <c r="I919" t="s">
        <v>3892</v>
      </c>
      <c r="J919" t="s">
        <v>3469</v>
      </c>
      <c r="K919" t="s">
        <v>461</v>
      </c>
      <c r="L919">
        <v>75.959999999999994</v>
      </c>
      <c r="M919" s="453">
        <v>46050</v>
      </c>
      <c r="N919">
        <v>73.900000000000006</v>
      </c>
      <c r="O919">
        <v>74.900000000000006</v>
      </c>
      <c r="P919">
        <v>706.43</v>
      </c>
    </row>
    <row r="920" spans="1:16" x14ac:dyDescent="0.3">
      <c r="A920">
        <v>72983</v>
      </c>
      <c r="B920">
        <v>116</v>
      </c>
      <c r="C920" t="s">
        <v>568</v>
      </c>
      <c r="D920" s="453">
        <v>46054</v>
      </c>
      <c r="E920">
        <v>18475</v>
      </c>
      <c r="F920" t="s">
        <v>3918</v>
      </c>
      <c r="G920">
        <v>3181</v>
      </c>
      <c r="H920">
        <v>19</v>
      </c>
      <c r="I920" t="s">
        <v>3878</v>
      </c>
      <c r="J920" t="s">
        <v>3497</v>
      </c>
      <c r="K920" t="s">
        <v>461</v>
      </c>
      <c r="L920">
        <v>0</v>
      </c>
      <c r="M920" s="453">
        <v>46013</v>
      </c>
      <c r="N920">
        <v>32.9</v>
      </c>
      <c r="O920">
        <v>32.9</v>
      </c>
      <c r="P920">
        <v>625.1</v>
      </c>
    </row>
    <row r="921" spans="1:16" x14ac:dyDescent="0.3">
      <c r="A921">
        <v>72850</v>
      </c>
      <c r="B921">
        <v>116</v>
      </c>
      <c r="C921" t="s">
        <v>568</v>
      </c>
      <c r="D921" s="453">
        <v>46054</v>
      </c>
      <c r="E921">
        <v>20519</v>
      </c>
      <c r="F921" t="s">
        <v>3902</v>
      </c>
      <c r="G921">
        <v>2150</v>
      </c>
      <c r="H921">
        <v>12.5</v>
      </c>
      <c r="I921" t="s">
        <v>3892</v>
      </c>
      <c r="J921" t="s">
        <v>3469</v>
      </c>
      <c r="K921" t="s">
        <v>461</v>
      </c>
      <c r="L921">
        <v>0</v>
      </c>
      <c r="M921" s="453">
        <v>46021</v>
      </c>
      <c r="N921">
        <v>49.75</v>
      </c>
      <c r="O921">
        <v>49.75</v>
      </c>
      <c r="P921">
        <v>621.87</v>
      </c>
    </row>
    <row r="922" spans="1:16" x14ac:dyDescent="0.3">
      <c r="A922">
        <v>72945</v>
      </c>
      <c r="B922">
        <v>116</v>
      </c>
      <c r="C922" t="s">
        <v>568</v>
      </c>
      <c r="D922" s="453">
        <v>46054</v>
      </c>
      <c r="E922">
        <v>24072</v>
      </c>
      <c r="F922" t="s">
        <v>4002</v>
      </c>
      <c r="G922">
        <v>2982</v>
      </c>
      <c r="H922">
        <v>3</v>
      </c>
      <c r="I922" t="s">
        <v>3892</v>
      </c>
      <c r="J922" t="s">
        <v>3469</v>
      </c>
      <c r="K922" t="s">
        <v>461</v>
      </c>
      <c r="L922">
        <v>205.07</v>
      </c>
      <c r="M922" s="453">
        <v>46041</v>
      </c>
      <c r="N922">
        <v>199</v>
      </c>
      <c r="O922">
        <v>220</v>
      </c>
      <c r="P922">
        <v>615.21</v>
      </c>
    </row>
    <row r="923" spans="1:16" x14ac:dyDescent="0.3">
      <c r="A923">
        <v>72963</v>
      </c>
      <c r="B923">
        <v>116</v>
      </c>
      <c r="C923" t="s">
        <v>568</v>
      </c>
      <c r="D923" s="453">
        <v>46054</v>
      </c>
      <c r="E923">
        <v>18832</v>
      </c>
      <c r="F923" t="s">
        <v>3900</v>
      </c>
      <c r="G923">
        <v>2950</v>
      </c>
      <c r="H923">
        <v>15</v>
      </c>
      <c r="I923" t="s">
        <v>3892</v>
      </c>
      <c r="J923" t="s">
        <v>3469</v>
      </c>
      <c r="K923" t="s">
        <v>461</v>
      </c>
      <c r="L923">
        <v>38.79</v>
      </c>
      <c r="M923" s="453">
        <v>46049</v>
      </c>
      <c r="N923">
        <v>36</v>
      </c>
      <c r="O923">
        <v>39.9</v>
      </c>
      <c r="P923">
        <v>581.85</v>
      </c>
    </row>
    <row r="924" spans="1:16" x14ac:dyDescent="0.3">
      <c r="A924">
        <v>73031</v>
      </c>
      <c r="B924">
        <v>116</v>
      </c>
      <c r="C924" t="s">
        <v>568</v>
      </c>
      <c r="D924" s="453">
        <v>46054</v>
      </c>
      <c r="E924">
        <v>28537</v>
      </c>
      <c r="F924" t="s">
        <v>4159</v>
      </c>
      <c r="G924">
        <v>8502</v>
      </c>
      <c r="H924">
        <v>15</v>
      </c>
      <c r="I924" t="s">
        <v>3872</v>
      </c>
      <c r="J924" t="s">
        <v>4202</v>
      </c>
      <c r="K924" t="s">
        <v>461</v>
      </c>
      <c r="L924">
        <v>38.5</v>
      </c>
      <c r="M924" s="453">
        <v>46036</v>
      </c>
      <c r="N924">
        <v>38.5</v>
      </c>
      <c r="O924">
        <v>38.5</v>
      </c>
      <c r="P924">
        <v>577.5</v>
      </c>
    </row>
    <row r="925" spans="1:16" x14ac:dyDescent="0.3">
      <c r="A925">
        <v>73029</v>
      </c>
      <c r="B925">
        <v>116</v>
      </c>
      <c r="C925" t="s">
        <v>568</v>
      </c>
      <c r="D925" s="453">
        <v>46054</v>
      </c>
      <c r="E925">
        <v>17710</v>
      </c>
      <c r="F925" t="s">
        <v>3905</v>
      </c>
      <c r="G925">
        <v>3824</v>
      </c>
      <c r="H925">
        <v>14</v>
      </c>
      <c r="I925" t="s">
        <v>3878</v>
      </c>
      <c r="J925" t="s">
        <v>3497</v>
      </c>
      <c r="K925" t="s">
        <v>461</v>
      </c>
      <c r="L925">
        <v>0</v>
      </c>
      <c r="M925" s="453">
        <v>45973</v>
      </c>
      <c r="N925">
        <v>38.86</v>
      </c>
      <c r="O925">
        <v>37.700000000000003</v>
      </c>
      <c r="P925">
        <v>544.04</v>
      </c>
    </row>
    <row r="926" spans="1:16" x14ac:dyDescent="0.3">
      <c r="A926">
        <v>72816</v>
      </c>
      <c r="B926">
        <v>116</v>
      </c>
      <c r="C926" t="s">
        <v>568</v>
      </c>
      <c r="D926" s="453">
        <v>46054</v>
      </c>
      <c r="E926">
        <v>26193</v>
      </c>
      <c r="F926" t="s">
        <v>3950</v>
      </c>
      <c r="G926">
        <v>6616</v>
      </c>
      <c r="H926">
        <v>36</v>
      </c>
      <c r="I926" t="s">
        <v>3872</v>
      </c>
      <c r="J926" t="s">
        <v>3469</v>
      </c>
      <c r="K926" t="s">
        <v>461</v>
      </c>
      <c r="L926">
        <v>0</v>
      </c>
      <c r="M926" s="453">
        <v>46000</v>
      </c>
      <c r="N926">
        <v>13.95</v>
      </c>
      <c r="O926">
        <v>12.6</v>
      </c>
      <c r="P926">
        <v>502.2</v>
      </c>
    </row>
    <row r="927" spans="1:16" x14ac:dyDescent="0.3">
      <c r="A927">
        <v>72967</v>
      </c>
      <c r="B927">
        <v>116</v>
      </c>
      <c r="C927" t="s">
        <v>568</v>
      </c>
      <c r="D927" s="453">
        <v>46054</v>
      </c>
      <c r="E927">
        <v>27313</v>
      </c>
      <c r="F927" t="s">
        <v>4131</v>
      </c>
      <c r="G927">
        <v>6160</v>
      </c>
      <c r="H927">
        <v>15</v>
      </c>
      <c r="I927" t="s">
        <v>3892</v>
      </c>
      <c r="J927" t="s">
        <v>3469</v>
      </c>
      <c r="K927" t="s">
        <v>461</v>
      </c>
      <c r="L927">
        <v>0</v>
      </c>
      <c r="M927" s="453">
        <v>46000</v>
      </c>
      <c r="N927">
        <v>32.799999999999997</v>
      </c>
      <c r="O927">
        <v>32.799999999999997</v>
      </c>
      <c r="P927">
        <v>492</v>
      </c>
    </row>
    <row r="928" spans="1:16" x14ac:dyDescent="0.3">
      <c r="A928">
        <v>72819</v>
      </c>
      <c r="B928">
        <v>116</v>
      </c>
      <c r="C928" t="s">
        <v>568</v>
      </c>
      <c r="D928" s="453">
        <v>46054</v>
      </c>
      <c r="E928">
        <v>21030</v>
      </c>
      <c r="F928" t="s">
        <v>3890</v>
      </c>
      <c r="G928">
        <v>2001</v>
      </c>
      <c r="H928">
        <v>24</v>
      </c>
      <c r="I928" t="s">
        <v>3872</v>
      </c>
      <c r="J928" t="s">
        <v>3469</v>
      </c>
      <c r="K928" t="s">
        <v>461</v>
      </c>
      <c r="L928">
        <v>19.28</v>
      </c>
      <c r="M928" s="453">
        <v>46041</v>
      </c>
      <c r="N928">
        <v>19.2</v>
      </c>
      <c r="O928">
        <v>19.2</v>
      </c>
      <c r="P928">
        <v>462.72</v>
      </c>
    </row>
    <row r="929" spans="1:16" x14ac:dyDescent="0.3">
      <c r="A929">
        <v>72944</v>
      </c>
      <c r="B929">
        <v>116</v>
      </c>
      <c r="C929" t="s">
        <v>568</v>
      </c>
      <c r="D929" s="453">
        <v>46054</v>
      </c>
      <c r="E929">
        <v>22734</v>
      </c>
      <c r="F929" t="s">
        <v>3955</v>
      </c>
      <c r="G929">
        <v>3024</v>
      </c>
      <c r="H929">
        <v>5</v>
      </c>
      <c r="I929" t="s">
        <v>3892</v>
      </c>
      <c r="J929" t="s">
        <v>3469</v>
      </c>
      <c r="K929" t="s">
        <v>461</v>
      </c>
      <c r="L929">
        <v>89.83</v>
      </c>
      <c r="M929" s="453">
        <v>46050</v>
      </c>
      <c r="N929">
        <v>99</v>
      </c>
      <c r="O929">
        <v>99</v>
      </c>
      <c r="P929">
        <v>449.15</v>
      </c>
    </row>
    <row r="930" spans="1:16" x14ac:dyDescent="0.3">
      <c r="A930">
        <v>72962</v>
      </c>
      <c r="B930">
        <v>116</v>
      </c>
      <c r="C930" t="s">
        <v>568</v>
      </c>
      <c r="D930" s="453">
        <v>46054</v>
      </c>
      <c r="E930">
        <v>24402</v>
      </c>
      <c r="F930" t="s">
        <v>3896</v>
      </c>
      <c r="G930">
        <v>2949</v>
      </c>
      <c r="H930">
        <v>12.3</v>
      </c>
      <c r="I930" t="s">
        <v>3892</v>
      </c>
      <c r="J930" t="s">
        <v>3469</v>
      </c>
      <c r="K930" t="s">
        <v>461</v>
      </c>
      <c r="L930">
        <v>36.33</v>
      </c>
      <c r="M930" s="453">
        <v>46049</v>
      </c>
      <c r="N930">
        <v>35</v>
      </c>
      <c r="O930">
        <v>35</v>
      </c>
      <c r="P930">
        <v>446.86</v>
      </c>
    </row>
    <row r="931" spans="1:16" x14ac:dyDescent="0.3">
      <c r="A931">
        <v>72823</v>
      </c>
      <c r="B931">
        <v>116</v>
      </c>
      <c r="C931" t="s">
        <v>568</v>
      </c>
      <c r="D931" s="453">
        <v>46054</v>
      </c>
      <c r="E931">
        <v>27711</v>
      </c>
      <c r="F931" t="s">
        <v>3913</v>
      </c>
      <c r="G931">
        <v>7678</v>
      </c>
      <c r="H931">
        <v>13</v>
      </c>
      <c r="I931" t="s">
        <v>3872</v>
      </c>
      <c r="J931" t="s">
        <v>3469</v>
      </c>
      <c r="K931" t="s">
        <v>461</v>
      </c>
      <c r="L931">
        <v>34.200000000000003</v>
      </c>
      <c r="M931" s="453">
        <v>46036</v>
      </c>
      <c r="N931">
        <v>34.200000000000003</v>
      </c>
      <c r="O931">
        <v>34.200000000000003</v>
      </c>
      <c r="P931">
        <v>444.6</v>
      </c>
    </row>
    <row r="932" spans="1:16" x14ac:dyDescent="0.3">
      <c r="A932">
        <v>72804</v>
      </c>
      <c r="B932">
        <v>116</v>
      </c>
      <c r="C932" t="s">
        <v>568</v>
      </c>
      <c r="D932" s="453">
        <v>46054</v>
      </c>
      <c r="E932">
        <v>17886</v>
      </c>
      <c r="F932" t="s">
        <v>3935</v>
      </c>
      <c r="G932">
        <v>3670</v>
      </c>
      <c r="H932">
        <v>30</v>
      </c>
      <c r="I932" t="s">
        <v>3888</v>
      </c>
      <c r="J932" t="s">
        <v>3497</v>
      </c>
      <c r="K932" t="s">
        <v>461</v>
      </c>
      <c r="L932">
        <v>14.46</v>
      </c>
      <c r="M932" s="453">
        <v>46042</v>
      </c>
      <c r="N932">
        <v>33</v>
      </c>
      <c r="O932">
        <v>23.06</v>
      </c>
      <c r="P932">
        <v>433.8</v>
      </c>
    </row>
    <row r="933" spans="1:16" x14ac:dyDescent="0.3">
      <c r="A933">
        <v>72948</v>
      </c>
      <c r="B933">
        <v>116</v>
      </c>
      <c r="C933" t="s">
        <v>568</v>
      </c>
      <c r="D933" s="453">
        <v>46054</v>
      </c>
      <c r="E933">
        <v>24163</v>
      </c>
      <c r="F933" t="s">
        <v>4130</v>
      </c>
      <c r="G933">
        <v>2927</v>
      </c>
      <c r="H933">
        <v>7.9</v>
      </c>
      <c r="I933" t="s">
        <v>3892</v>
      </c>
      <c r="J933" t="s">
        <v>3469</v>
      </c>
      <c r="K933" t="s">
        <v>461</v>
      </c>
      <c r="L933">
        <v>0</v>
      </c>
      <c r="N933">
        <v>0</v>
      </c>
      <c r="O933">
        <v>54.9</v>
      </c>
      <c r="P933">
        <v>433.71</v>
      </c>
    </row>
    <row r="934" spans="1:16" x14ac:dyDescent="0.3">
      <c r="A934">
        <v>72955</v>
      </c>
      <c r="B934">
        <v>116</v>
      </c>
      <c r="C934" t="s">
        <v>568</v>
      </c>
      <c r="D934" s="453">
        <v>46054</v>
      </c>
      <c r="E934">
        <v>18684</v>
      </c>
      <c r="F934" t="s">
        <v>3925</v>
      </c>
      <c r="G934">
        <v>3041</v>
      </c>
      <c r="H934">
        <v>11.7</v>
      </c>
      <c r="I934" t="s">
        <v>3892</v>
      </c>
      <c r="J934" t="s">
        <v>3469</v>
      </c>
      <c r="K934" t="s">
        <v>461</v>
      </c>
      <c r="L934">
        <v>36</v>
      </c>
      <c r="M934" s="453">
        <v>46050</v>
      </c>
      <c r="N934">
        <v>36</v>
      </c>
      <c r="O934">
        <v>36</v>
      </c>
      <c r="P934">
        <v>421.2</v>
      </c>
    </row>
    <row r="935" spans="1:16" x14ac:dyDescent="0.3">
      <c r="A935">
        <v>72957</v>
      </c>
      <c r="B935">
        <v>116</v>
      </c>
      <c r="C935" t="s">
        <v>568</v>
      </c>
      <c r="D935" s="453">
        <v>46054</v>
      </c>
      <c r="E935">
        <v>27884</v>
      </c>
      <c r="F935" t="s">
        <v>3910</v>
      </c>
      <c r="G935">
        <v>7849</v>
      </c>
      <c r="H935">
        <v>6.4</v>
      </c>
      <c r="I935" t="s">
        <v>3892</v>
      </c>
      <c r="J935" t="s">
        <v>3469</v>
      </c>
      <c r="K935" t="s">
        <v>461</v>
      </c>
      <c r="L935">
        <v>65</v>
      </c>
      <c r="M935" s="453">
        <v>46050</v>
      </c>
      <c r="N935">
        <v>65</v>
      </c>
      <c r="O935">
        <v>65</v>
      </c>
      <c r="P935">
        <v>416</v>
      </c>
    </row>
    <row r="936" spans="1:16" x14ac:dyDescent="0.3">
      <c r="A936">
        <v>72956</v>
      </c>
      <c r="B936">
        <v>116</v>
      </c>
      <c r="C936" t="s">
        <v>568</v>
      </c>
      <c r="D936" s="453">
        <v>46054</v>
      </c>
      <c r="E936">
        <v>27312</v>
      </c>
      <c r="F936" t="s">
        <v>3927</v>
      </c>
      <c r="G936">
        <v>2942</v>
      </c>
      <c r="H936">
        <v>7.9</v>
      </c>
      <c r="I936" t="s">
        <v>3892</v>
      </c>
      <c r="J936" t="s">
        <v>3469</v>
      </c>
      <c r="K936" t="s">
        <v>461</v>
      </c>
      <c r="L936">
        <v>48.86</v>
      </c>
      <c r="M936" s="453">
        <v>46049</v>
      </c>
      <c r="N936">
        <v>49</v>
      </c>
      <c r="O936">
        <v>49</v>
      </c>
      <c r="P936">
        <v>385.99</v>
      </c>
    </row>
    <row r="937" spans="1:16" x14ac:dyDescent="0.3">
      <c r="A937">
        <v>72848</v>
      </c>
      <c r="B937">
        <v>116</v>
      </c>
      <c r="C937" t="s">
        <v>568</v>
      </c>
      <c r="D937" s="453">
        <v>46054</v>
      </c>
      <c r="E937">
        <v>20539</v>
      </c>
      <c r="F937" t="s">
        <v>3908</v>
      </c>
      <c r="G937">
        <v>2145</v>
      </c>
      <c r="H937">
        <v>6</v>
      </c>
      <c r="I937" t="s">
        <v>3892</v>
      </c>
      <c r="J937" t="s">
        <v>3469</v>
      </c>
      <c r="K937" t="s">
        <v>461</v>
      </c>
      <c r="L937">
        <v>0</v>
      </c>
      <c r="M937" s="453">
        <v>45946</v>
      </c>
      <c r="N937">
        <v>64</v>
      </c>
      <c r="O937">
        <v>64</v>
      </c>
      <c r="P937">
        <v>384</v>
      </c>
    </row>
    <row r="938" spans="1:16" x14ac:dyDescent="0.3">
      <c r="A938">
        <v>72830</v>
      </c>
      <c r="B938">
        <v>116</v>
      </c>
      <c r="C938" t="s">
        <v>568</v>
      </c>
      <c r="D938" s="453">
        <v>46054</v>
      </c>
      <c r="E938">
        <v>23760</v>
      </c>
      <c r="F938" t="s">
        <v>4007</v>
      </c>
      <c r="G938">
        <v>2141</v>
      </c>
      <c r="H938">
        <v>16.2</v>
      </c>
      <c r="I938" t="s">
        <v>3892</v>
      </c>
      <c r="J938" t="s">
        <v>3469</v>
      </c>
      <c r="K938" t="s">
        <v>461</v>
      </c>
      <c r="L938">
        <v>0</v>
      </c>
      <c r="N938">
        <v>0</v>
      </c>
      <c r="O938">
        <v>23.3</v>
      </c>
      <c r="P938">
        <v>377.46</v>
      </c>
    </row>
    <row r="939" spans="1:16" x14ac:dyDescent="0.3">
      <c r="A939">
        <v>72970</v>
      </c>
      <c r="B939">
        <v>116</v>
      </c>
      <c r="C939" t="s">
        <v>568</v>
      </c>
      <c r="D939" s="453">
        <v>46054</v>
      </c>
      <c r="E939">
        <v>23982</v>
      </c>
      <c r="F939" t="s">
        <v>3977</v>
      </c>
      <c r="G939">
        <v>1999</v>
      </c>
      <c r="H939">
        <v>1.5</v>
      </c>
      <c r="I939" t="s">
        <v>3978</v>
      </c>
      <c r="J939" t="s">
        <v>3469</v>
      </c>
      <c r="K939" t="s">
        <v>461</v>
      </c>
      <c r="L939">
        <v>240.57</v>
      </c>
      <c r="M939" s="453">
        <v>46050</v>
      </c>
      <c r="N939">
        <v>240.59</v>
      </c>
      <c r="O939">
        <v>240.59</v>
      </c>
      <c r="P939">
        <v>360.86</v>
      </c>
    </row>
    <row r="940" spans="1:16" x14ac:dyDescent="0.3">
      <c r="A940">
        <v>72808</v>
      </c>
      <c r="B940">
        <v>116</v>
      </c>
      <c r="C940" t="s">
        <v>568</v>
      </c>
      <c r="D940" s="453">
        <v>46054</v>
      </c>
      <c r="E940">
        <v>17958</v>
      </c>
      <c r="F940" t="s">
        <v>4141</v>
      </c>
      <c r="G940">
        <v>3622</v>
      </c>
      <c r="H940">
        <v>19.920000000000002</v>
      </c>
      <c r="I940" t="s">
        <v>3888</v>
      </c>
      <c r="J940" t="s">
        <v>3497</v>
      </c>
      <c r="K940" t="s">
        <v>461</v>
      </c>
      <c r="L940">
        <v>17.7</v>
      </c>
      <c r="M940" s="453">
        <v>46048</v>
      </c>
      <c r="N940">
        <v>17.7</v>
      </c>
      <c r="O940">
        <v>17.7</v>
      </c>
      <c r="P940">
        <v>352.58</v>
      </c>
    </row>
    <row r="941" spans="1:16" x14ac:dyDescent="0.3">
      <c r="A941">
        <v>72941</v>
      </c>
      <c r="B941">
        <v>116</v>
      </c>
      <c r="C941" t="s">
        <v>568</v>
      </c>
      <c r="D941" s="453">
        <v>46054</v>
      </c>
      <c r="E941">
        <v>19287</v>
      </c>
      <c r="F941" t="s">
        <v>3974</v>
      </c>
      <c r="G941">
        <v>2778</v>
      </c>
      <c r="H941">
        <v>9.1</v>
      </c>
      <c r="I941" t="s">
        <v>3892</v>
      </c>
      <c r="J941" t="s">
        <v>3469</v>
      </c>
      <c r="K941" t="s">
        <v>461</v>
      </c>
      <c r="L941">
        <v>38.36</v>
      </c>
      <c r="M941" s="453">
        <v>46050</v>
      </c>
      <c r="N941">
        <v>38.4</v>
      </c>
      <c r="O941">
        <v>38.5</v>
      </c>
      <c r="P941">
        <v>349.08</v>
      </c>
    </row>
    <row r="942" spans="1:16" x14ac:dyDescent="0.3">
      <c r="A942">
        <v>72854</v>
      </c>
      <c r="B942">
        <v>116</v>
      </c>
      <c r="C942" t="s">
        <v>568</v>
      </c>
      <c r="D942" s="453">
        <v>46054</v>
      </c>
      <c r="E942">
        <v>24351</v>
      </c>
      <c r="F942" t="s">
        <v>3912</v>
      </c>
      <c r="G942">
        <v>2287</v>
      </c>
      <c r="H942">
        <v>28</v>
      </c>
      <c r="I942" t="s">
        <v>3872</v>
      </c>
      <c r="J942" t="s">
        <v>3469</v>
      </c>
      <c r="K942" t="s">
        <v>461</v>
      </c>
      <c r="L942">
        <v>12</v>
      </c>
      <c r="M942" s="453">
        <v>46049</v>
      </c>
      <c r="N942">
        <v>12</v>
      </c>
      <c r="O942">
        <v>12</v>
      </c>
      <c r="P942">
        <v>336</v>
      </c>
    </row>
    <row r="943" spans="1:16" x14ac:dyDescent="0.3">
      <c r="A943">
        <v>72961</v>
      </c>
      <c r="B943">
        <v>116</v>
      </c>
      <c r="C943" t="s">
        <v>568</v>
      </c>
      <c r="D943" s="453">
        <v>46054</v>
      </c>
      <c r="E943">
        <v>22701</v>
      </c>
      <c r="F943" t="s">
        <v>4129</v>
      </c>
      <c r="G943">
        <v>3047</v>
      </c>
      <c r="H943">
        <v>11.2</v>
      </c>
      <c r="I943" t="s">
        <v>3892</v>
      </c>
      <c r="J943" t="s">
        <v>3469</v>
      </c>
      <c r="K943" t="s">
        <v>461</v>
      </c>
      <c r="L943">
        <v>0</v>
      </c>
      <c r="M943" s="453">
        <v>45677</v>
      </c>
      <c r="N943">
        <v>28.9</v>
      </c>
      <c r="O943">
        <v>30.28</v>
      </c>
      <c r="P943">
        <v>323.68</v>
      </c>
    </row>
    <row r="944" spans="1:16" x14ac:dyDescent="0.3">
      <c r="A944">
        <v>73026</v>
      </c>
      <c r="B944">
        <v>116</v>
      </c>
      <c r="C944" t="s">
        <v>568</v>
      </c>
      <c r="D944" s="453">
        <v>46054</v>
      </c>
      <c r="E944">
        <v>21944</v>
      </c>
      <c r="F944" t="s">
        <v>3936</v>
      </c>
      <c r="G944">
        <v>3748</v>
      </c>
      <c r="H944">
        <v>8</v>
      </c>
      <c r="I944" t="s">
        <v>3878</v>
      </c>
      <c r="J944" t="s">
        <v>3497</v>
      </c>
      <c r="K944" t="s">
        <v>461</v>
      </c>
      <c r="L944">
        <v>0</v>
      </c>
      <c r="N944">
        <v>0</v>
      </c>
      <c r="O944">
        <v>40.159999999999997</v>
      </c>
      <c r="P944">
        <v>321.27999999999997</v>
      </c>
    </row>
    <row r="945" spans="1:16" x14ac:dyDescent="0.3">
      <c r="A945">
        <v>72813</v>
      </c>
      <c r="B945">
        <v>116</v>
      </c>
      <c r="C945" t="s">
        <v>568</v>
      </c>
      <c r="D945" s="453">
        <v>46054</v>
      </c>
      <c r="E945">
        <v>25196</v>
      </c>
      <c r="F945" t="s">
        <v>3873</v>
      </c>
      <c r="G945">
        <v>2357</v>
      </c>
      <c r="H945">
        <v>57</v>
      </c>
      <c r="I945" t="s">
        <v>3872</v>
      </c>
      <c r="J945" t="s">
        <v>3469</v>
      </c>
      <c r="K945" t="s">
        <v>461</v>
      </c>
      <c r="L945">
        <v>0</v>
      </c>
      <c r="M945" s="453">
        <v>45936</v>
      </c>
      <c r="N945">
        <v>5.5</v>
      </c>
      <c r="O945">
        <v>5.5</v>
      </c>
      <c r="P945">
        <v>313.5</v>
      </c>
    </row>
    <row r="946" spans="1:16" x14ac:dyDescent="0.3">
      <c r="A946">
        <v>73030</v>
      </c>
      <c r="B946">
        <v>116</v>
      </c>
      <c r="C946" t="s">
        <v>568</v>
      </c>
      <c r="D946" s="453">
        <v>46054</v>
      </c>
      <c r="E946">
        <v>28468</v>
      </c>
      <c r="F946" t="s">
        <v>4158</v>
      </c>
      <c r="G946">
        <v>8433</v>
      </c>
      <c r="H946">
        <v>22</v>
      </c>
      <c r="I946" t="s">
        <v>3892</v>
      </c>
      <c r="J946" t="s">
        <v>3469</v>
      </c>
      <c r="K946" t="s">
        <v>461</v>
      </c>
      <c r="L946">
        <v>0</v>
      </c>
      <c r="M946" s="453">
        <v>46014</v>
      </c>
      <c r="N946">
        <v>13.99</v>
      </c>
      <c r="O946">
        <v>13.99</v>
      </c>
      <c r="P946">
        <v>307.77999999999997</v>
      </c>
    </row>
    <row r="947" spans="1:16" x14ac:dyDescent="0.3">
      <c r="A947">
        <v>72952</v>
      </c>
      <c r="B947">
        <v>116</v>
      </c>
      <c r="C947" t="s">
        <v>568</v>
      </c>
      <c r="D947" s="453">
        <v>46054</v>
      </c>
      <c r="E947">
        <v>27901</v>
      </c>
      <c r="F947" t="s">
        <v>3942</v>
      </c>
      <c r="G947">
        <v>7866</v>
      </c>
      <c r="H947">
        <v>2.4</v>
      </c>
      <c r="I947" t="s">
        <v>3892</v>
      </c>
      <c r="J947" t="s">
        <v>3469</v>
      </c>
      <c r="K947" t="s">
        <v>461</v>
      </c>
      <c r="L947">
        <v>126</v>
      </c>
      <c r="M947" s="453">
        <v>46029</v>
      </c>
      <c r="N947">
        <v>126</v>
      </c>
      <c r="O947">
        <v>126</v>
      </c>
      <c r="P947">
        <v>302.39999999999998</v>
      </c>
    </row>
    <row r="948" spans="1:16" x14ac:dyDescent="0.3">
      <c r="A948">
        <v>73003</v>
      </c>
      <c r="B948">
        <v>116</v>
      </c>
      <c r="C948" t="s">
        <v>568</v>
      </c>
      <c r="D948" s="453">
        <v>46054</v>
      </c>
      <c r="E948">
        <v>18172</v>
      </c>
      <c r="F948" t="s">
        <v>3923</v>
      </c>
      <c r="G948">
        <v>3450</v>
      </c>
      <c r="H948">
        <v>9</v>
      </c>
      <c r="I948" t="s">
        <v>3878</v>
      </c>
      <c r="J948" t="s">
        <v>3497</v>
      </c>
      <c r="K948" t="s">
        <v>461</v>
      </c>
      <c r="L948">
        <v>31.4</v>
      </c>
      <c r="M948" s="453">
        <v>46050</v>
      </c>
      <c r="N948">
        <v>31.4</v>
      </c>
      <c r="O948">
        <v>30.9</v>
      </c>
      <c r="P948">
        <v>282.60000000000002</v>
      </c>
    </row>
    <row r="949" spans="1:16" x14ac:dyDescent="0.3">
      <c r="A949">
        <v>72807</v>
      </c>
      <c r="B949">
        <v>116</v>
      </c>
      <c r="C949" t="s">
        <v>568</v>
      </c>
      <c r="D949" s="453">
        <v>46054</v>
      </c>
      <c r="E949">
        <v>17895</v>
      </c>
      <c r="F949" t="s">
        <v>4137</v>
      </c>
      <c r="G949">
        <v>3665</v>
      </c>
      <c r="H949">
        <v>23</v>
      </c>
      <c r="I949" t="s">
        <v>3888</v>
      </c>
      <c r="J949" t="s">
        <v>3497</v>
      </c>
      <c r="K949" t="s">
        <v>461</v>
      </c>
      <c r="L949">
        <v>12.26</v>
      </c>
      <c r="M949" s="453">
        <v>46042</v>
      </c>
      <c r="N949">
        <v>33</v>
      </c>
      <c r="O949">
        <v>23.06</v>
      </c>
      <c r="P949">
        <v>281.98</v>
      </c>
    </row>
    <row r="950" spans="1:16" x14ac:dyDescent="0.3">
      <c r="A950">
        <v>72939</v>
      </c>
      <c r="B950">
        <v>116</v>
      </c>
      <c r="C950" t="s">
        <v>568</v>
      </c>
      <c r="D950" s="453">
        <v>46054</v>
      </c>
      <c r="E950">
        <v>19324</v>
      </c>
      <c r="F950" t="s">
        <v>3937</v>
      </c>
      <c r="G950">
        <v>2773</v>
      </c>
      <c r="H950">
        <v>8.6999999999999993</v>
      </c>
      <c r="I950" t="s">
        <v>3892</v>
      </c>
      <c r="J950" t="s">
        <v>3469</v>
      </c>
      <c r="K950" t="s">
        <v>461</v>
      </c>
      <c r="L950">
        <v>31.49</v>
      </c>
      <c r="M950" s="453">
        <v>46050</v>
      </c>
      <c r="N950">
        <v>29.57</v>
      </c>
      <c r="O950">
        <v>29.67</v>
      </c>
      <c r="P950">
        <v>273.95999999999998</v>
      </c>
    </row>
    <row r="951" spans="1:16" x14ac:dyDescent="0.3">
      <c r="A951">
        <v>72942</v>
      </c>
      <c r="B951">
        <v>116</v>
      </c>
      <c r="C951" t="s">
        <v>568</v>
      </c>
      <c r="D951" s="453">
        <v>46054</v>
      </c>
      <c r="E951">
        <v>16974</v>
      </c>
      <c r="F951" t="s">
        <v>3996</v>
      </c>
      <c r="G951">
        <v>3711</v>
      </c>
      <c r="H951">
        <v>2</v>
      </c>
      <c r="I951" t="s">
        <v>3881</v>
      </c>
      <c r="J951" t="s">
        <v>3497</v>
      </c>
      <c r="K951" t="s">
        <v>461</v>
      </c>
      <c r="L951">
        <v>0</v>
      </c>
      <c r="M951" s="453">
        <v>45943</v>
      </c>
      <c r="N951">
        <v>135</v>
      </c>
      <c r="O951">
        <v>147.5</v>
      </c>
      <c r="P951">
        <v>270</v>
      </c>
    </row>
    <row r="952" spans="1:16" x14ac:dyDescent="0.3">
      <c r="A952">
        <v>72837</v>
      </c>
      <c r="B952">
        <v>116</v>
      </c>
      <c r="C952" t="s">
        <v>568</v>
      </c>
      <c r="D952" s="453">
        <v>46054</v>
      </c>
      <c r="E952">
        <v>20278</v>
      </c>
      <c r="F952" t="s">
        <v>3939</v>
      </c>
      <c r="G952">
        <v>2230</v>
      </c>
      <c r="H952">
        <v>8</v>
      </c>
      <c r="I952" t="s">
        <v>3872</v>
      </c>
      <c r="J952" t="s">
        <v>3469</v>
      </c>
      <c r="K952" t="s">
        <v>461</v>
      </c>
      <c r="L952">
        <v>33.270000000000003</v>
      </c>
      <c r="M952" s="453">
        <v>46041</v>
      </c>
      <c r="N952">
        <v>33.270000000000003</v>
      </c>
      <c r="O952">
        <v>33.270000000000003</v>
      </c>
      <c r="P952">
        <v>266.16000000000003</v>
      </c>
    </row>
    <row r="953" spans="1:16" x14ac:dyDescent="0.3">
      <c r="A953">
        <v>72937</v>
      </c>
      <c r="B953">
        <v>116</v>
      </c>
      <c r="C953" t="s">
        <v>568</v>
      </c>
      <c r="D953" s="453">
        <v>46054</v>
      </c>
      <c r="E953">
        <v>18586</v>
      </c>
      <c r="F953" t="s">
        <v>4107</v>
      </c>
      <c r="G953">
        <v>3104</v>
      </c>
      <c r="H953">
        <v>2</v>
      </c>
      <c r="I953" t="s">
        <v>3888</v>
      </c>
      <c r="J953" t="s">
        <v>3497</v>
      </c>
      <c r="K953" t="s">
        <v>461</v>
      </c>
      <c r="L953">
        <v>0</v>
      </c>
      <c r="M953" s="453">
        <v>46002</v>
      </c>
      <c r="N953">
        <v>132.07</v>
      </c>
      <c r="O953">
        <v>110.72</v>
      </c>
      <c r="P953">
        <v>264.14</v>
      </c>
    </row>
    <row r="954" spans="1:16" x14ac:dyDescent="0.3">
      <c r="A954">
        <v>72972</v>
      </c>
      <c r="B954">
        <v>116</v>
      </c>
      <c r="C954" t="s">
        <v>568</v>
      </c>
      <c r="D954" s="453">
        <v>46054</v>
      </c>
      <c r="E954">
        <v>23897</v>
      </c>
      <c r="F954" t="s">
        <v>4058</v>
      </c>
      <c r="G954">
        <v>2003</v>
      </c>
      <c r="H954">
        <v>1.5</v>
      </c>
      <c r="I954" t="s">
        <v>3872</v>
      </c>
      <c r="J954" t="s">
        <v>3469</v>
      </c>
      <c r="K954" t="s">
        <v>461</v>
      </c>
      <c r="L954">
        <v>175.9</v>
      </c>
      <c r="M954" s="453">
        <v>46027</v>
      </c>
      <c r="N954">
        <v>175.9</v>
      </c>
      <c r="O954">
        <v>175.9</v>
      </c>
      <c r="P954">
        <v>263.85000000000002</v>
      </c>
    </row>
    <row r="955" spans="1:16" x14ac:dyDescent="0.3">
      <c r="A955">
        <v>72857</v>
      </c>
      <c r="B955">
        <v>116</v>
      </c>
      <c r="C955" t="s">
        <v>568</v>
      </c>
      <c r="D955" s="453">
        <v>46054</v>
      </c>
      <c r="E955">
        <v>20729</v>
      </c>
      <c r="F955" t="s">
        <v>3965</v>
      </c>
      <c r="G955">
        <v>2093</v>
      </c>
      <c r="H955">
        <v>4</v>
      </c>
      <c r="I955" t="s">
        <v>3966</v>
      </c>
      <c r="J955" t="s">
        <v>3469</v>
      </c>
      <c r="K955" t="s">
        <v>461</v>
      </c>
      <c r="L955">
        <v>65.88</v>
      </c>
      <c r="M955" s="453">
        <v>46050</v>
      </c>
      <c r="N955">
        <v>65.88</v>
      </c>
      <c r="O955">
        <v>65.88</v>
      </c>
      <c r="P955">
        <v>263.52</v>
      </c>
    </row>
    <row r="956" spans="1:16" x14ac:dyDescent="0.3">
      <c r="A956">
        <v>72992</v>
      </c>
      <c r="B956">
        <v>116</v>
      </c>
      <c r="C956" t="s">
        <v>568</v>
      </c>
      <c r="D956" s="453">
        <v>46054</v>
      </c>
      <c r="E956">
        <v>18315</v>
      </c>
      <c r="F956" t="s">
        <v>4088</v>
      </c>
      <c r="G956">
        <v>3318</v>
      </c>
      <c r="H956">
        <v>2</v>
      </c>
      <c r="I956" t="s">
        <v>3878</v>
      </c>
      <c r="J956" t="s">
        <v>3497</v>
      </c>
      <c r="K956" t="s">
        <v>461</v>
      </c>
      <c r="L956">
        <v>124</v>
      </c>
      <c r="M956" s="453">
        <v>46035</v>
      </c>
      <c r="N956">
        <v>124</v>
      </c>
      <c r="O956">
        <v>129</v>
      </c>
      <c r="P956">
        <v>248</v>
      </c>
    </row>
    <row r="957" spans="1:16" x14ac:dyDescent="0.3">
      <c r="A957">
        <v>72994</v>
      </c>
      <c r="B957">
        <v>116</v>
      </c>
      <c r="C957" t="s">
        <v>568</v>
      </c>
      <c r="D957" s="453">
        <v>46054</v>
      </c>
      <c r="E957">
        <v>18295</v>
      </c>
      <c r="F957" t="s">
        <v>4030</v>
      </c>
      <c r="G957">
        <v>3334</v>
      </c>
      <c r="H957">
        <v>2</v>
      </c>
      <c r="I957" t="s">
        <v>3878</v>
      </c>
      <c r="J957" t="s">
        <v>3497</v>
      </c>
      <c r="K957" t="s">
        <v>461</v>
      </c>
      <c r="L957">
        <v>123.4</v>
      </c>
      <c r="M957" s="453">
        <v>46036</v>
      </c>
      <c r="N957">
        <v>123.4</v>
      </c>
      <c r="O957">
        <v>124.54</v>
      </c>
      <c r="P957">
        <v>246.8</v>
      </c>
    </row>
    <row r="958" spans="1:16" x14ac:dyDescent="0.3">
      <c r="A958">
        <v>72818</v>
      </c>
      <c r="B958">
        <v>116</v>
      </c>
      <c r="C958" t="s">
        <v>568</v>
      </c>
      <c r="D958" s="453">
        <v>46054</v>
      </c>
      <c r="E958">
        <v>19139</v>
      </c>
      <c r="F958" t="s">
        <v>3887</v>
      </c>
      <c r="G958">
        <v>2836</v>
      </c>
      <c r="H958">
        <v>26</v>
      </c>
      <c r="I958" t="s">
        <v>3888</v>
      </c>
      <c r="J958" t="s">
        <v>3469</v>
      </c>
      <c r="K958" t="s">
        <v>461</v>
      </c>
      <c r="L958">
        <v>9.36</v>
      </c>
      <c r="M958" s="453">
        <v>46050</v>
      </c>
      <c r="N958">
        <v>9.9</v>
      </c>
      <c r="O958">
        <v>9.9</v>
      </c>
      <c r="P958">
        <v>243.36</v>
      </c>
    </row>
    <row r="959" spans="1:16" x14ac:dyDescent="0.3">
      <c r="A959">
        <v>72954</v>
      </c>
      <c r="B959">
        <v>116</v>
      </c>
      <c r="C959" t="s">
        <v>568</v>
      </c>
      <c r="D959" s="453">
        <v>46054</v>
      </c>
      <c r="E959">
        <v>18685</v>
      </c>
      <c r="F959" t="s">
        <v>3945</v>
      </c>
      <c r="G959">
        <v>3040</v>
      </c>
      <c r="H959">
        <v>6.2</v>
      </c>
      <c r="I959" t="s">
        <v>3892</v>
      </c>
      <c r="J959" t="s">
        <v>3469</v>
      </c>
      <c r="K959" t="s">
        <v>461</v>
      </c>
      <c r="L959">
        <v>39</v>
      </c>
      <c r="M959" s="453">
        <v>46050</v>
      </c>
      <c r="N959">
        <v>39</v>
      </c>
      <c r="O959">
        <v>39</v>
      </c>
      <c r="P959">
        <v>241.8</v>
      </c>
    </row>
    <row r="960" spans="1:16" x14ac:dyDescent="0.3">
      <c r="A960">
        <v>72825</v>
      </c>
      <c r="B960">
        <v>116</v>
      </c>
      <c r="C960" t="s">
        <v>568</v>
      </c>
      <c r="D960" s="453">
        <v>46054</v>
      </c>
      <c r="E960">
        <v>19984</v>
      </c>
      <c r="F960" t="s">
        <v>3904</v>
      </c>
      <c r="G960">
        <v>2351</v>
      </c>
      <c r="H960">
        <v>12</v>
      </c>
      <c r="I960" t="s">
        <v>3872</v>
      </c>
      <c r="J960" t="s">
        <v>3469</v>
      </c>
      <c r="K960" t="s">
        <v>461</v>
      </c>
      <c r="L960">
        <v>19.8</v>
      </c>
      <c r="M960" s="453">
        <v>46041</v>
      </c>
      <c r="N960">
        <v>19.8</v>
      </c>
      <c r="O960">
        <v>19.8</v>
      </c>
      <c r="P960">
        <v>237.6</v>
      </c>
    </row>
    <row r="961" spans="1:16" x14ac:dyDescent="0.3">
      <c r="A961">
        <v>73005</v>
      </c>
      <c r="B961">
        <v>116</v>
      </c>
      <c r="C961" t="s">
        <v>568</v>
      </c>
      <c r="D961" s="453">
        <v>46054</v>
      </c>
      <c r="E961">
        <v>18119</v>
      </c>
      <c r="F961" t="s">
        <v>4093</v>
      </c>
      <c r="G961">
        <v>3494</v>
      </c>
      <c r="H961">
        <v>1.3</v>
      </c>
      <c r="I961" t="s">
        <v>3878</v>
      </c>
      <c r="J961" t="s">
        <v>3497</v>
      </c>
      <c r="K961" t="s">
        <v>461</v>
      </c>
      <c r="L961">
        <v>181</v>
      </c>
      <c r="M961" s="453">
        <v>46029</v>
      </c>
      <c r="N961">
        <v>181</v>
      </c>
      <c r="O961">
        <v>181</v>
      </c>
      <c r="P961">
        <v>235.3</v>
      </c>
    </row>
    <row r="962" spans="1:16" x14ac:dyDescent="0.3">
      <c r="A962">
        <v>72989</v>
      </c>
      <c r="B962">
        <v>116</v>
      </c>
      <c r="C962" t="s">
        <v>568</v>
      </c>
      <c r="D962" s="453">
        <v>46054</v>
      </c>
      <c r="E962">
        <v>18359</v>
      </c>
      <c r="F962" t="s">
        <v>4029</v>
      </c>
      <c r="G962">
        <v>3278</v>
      </c>
      <c r="H962">
        <v>2.2999999999999998</v>
      </c>
      <c r="I962" t="s">
        <v>3878</v>
      </c>
      <c r="J962" t="s">
        <v>3497</v>
      </c>
      <c r="K962" t="s">
        <v>461</v>
      </c>
      <c r="L962">
        <v>0</v>
      </c>
      <c r="M962" s="453">
        <v>46014</v>
      </c>
      <c r="N962">
        <v>99.9</v>
      </c>
      <c r="O962">
        <v>95.9</v>
      </c>
      <c r="P962">
        <v>229.77</v>
      </c>
    </row>
    <row r="963" spans="1:16" x14ac:dyDescent="0.3">
      <c r="A963">
        <v>72985</v>
      </c>
      <c r="B963">
        <v>116</v>
      </c>
      <c r="C963" t="s">
        <v>568</v>
      </c>
      <c r="D963" s="453">
        <v>46054</v>
      </c>
      <c r="E963">
        <v>18467</v>
      </c>
      <c r="F963" t="s">
        <v>4028</v>
      </c>
      <c r="G963">
        <v>3189</v>
      </c>
      <c r="H963">
        <v>3</v>
      </c>
      <c r="I963" t="s">
        <v>3878</v>
      </c>
      <c r="J963" t="s">
        <v>3497</v>
      </c>
      <c r="K963" t="s">
        <v>461</v>
      </c>
      <c r="L963">
        <v>75.900000000000006</v>
      </c>
      <c r="M963" s="453">
        <v>46041</v>
      </c>
      <c r="N963">
        <v>75.900000000000006</v>
      </c>
      <c r="O963">
        <v>75.900000000000006</v>
      </c>
      <c r="P963">
        <v>227.7</v>
      </c>
    </row>
    <row r="964" spans="1:16" x14ac:dyDescent="0.3">
      <c r="A964">
        <v>73002</v>
      </c>
      <c r="B964">
        <v>116</v>
      </c>
      <c r="C964" t="s">
        <v>568</v>
      </c>
      <c r="D964" s="453">
        <v>46054</v>
      </c>
      <c r="E964">
        <v>18179</v>
      </c>
      <c r="F964" t="s">
        <v>3995</v>
      </c>
      <c r="G964">
        <v>3443</v>
      </c>
      <c r="H964">
        <v>2</v>
      </c>
      <c r="I964" t="s">
        <v>3878</v>
      </c>
      <c r="J964" t="s">
        <v>3497</v>
      </c>
      <c r="K964" t="s">
        <v>461</v>
      </c>
      <c r="L964">
        <v>0</v>
      </c>
      <c r="M964" s="453">
        <v>45979</v>
      </c>
      <c r="N964">
        <v>109.71</v>
      </c>
      <c r="O964">
        <v>107.47</v>
      </c>
      <c r="P964">
        <v>219.42</v>
      </c>
    </row>
    <row r="965" spans="1:16" x14ac:dyDescent="0.3">
      <c r="A965">
        <v>72829</v>
      </c>
      <c r="B965">
        <v>116</v>
      </c>
      <c r="C965" t="s">
        <v>568</v>
      </c>
      <c r="D965" s="453">
        <v>46054</v>
      </c>
      <c r="E965">
        <v>20555</v>
      </c>
      <c r="F965" t="s">
        <v>3959</v>
      </c>
      <c r="G965">
        <v>2139</v>
      </c>
      <c r="H965">
        <v>2.7</v>
      </c>
      <c r="I965" t="s">
        <v>3892</v>
      </c>
      <c r="J965" t="s">
        <v>3469</v>
      </c>
      <c r="K965" t="s">
        <v>461</v>
      </c>
      <c r="L965">
        <v>79</v>
      </c>
      <c r="M965" s="453">
        <v>46050</v>
      </c>
      <c r="N965">
        <v>79</v>
      </c>
      <c r="O965">
        <v>79</v>
      </c>
      <c r="P965">
        <v>213.3</v>
      </c>
    </row>
    <row r="966" spans="1:16" x14ac:dyDescent="0.3">
      <c r="A966">
        <v>72981</v>
      </c>
      <c r="B966">
        <v>116</v>
      </c>
      <c r="C966" t="s">
        <v>568</v>
      </c>
      <c r="D966" s="453">
        <v>46054</v>
      </c>
      <c r="E966">
        <v>18493</v>
      </c>
      <c r="F966" t="s">
        <v>3958</v>
      </c>
      <c r="G966">
        <v>3164</v>
      </c>
      <c r="H966">
        <v>3</v>
      </c>
      <c r="I966" t="s">
        <v>3878</v>
      </c>
      <c r="J966" t="s">
        <v>3497</v>
      </c>
      <c r="K966" t="s">
        <v>461</v>
      </c>
      <c r="L966">
        <v>0</v>
      </c>
      <c r="M966" s="453">
        <v>46000</v>
      </c>
      <c r="N966">
        <v>69.900000000000006</v>
      </c>
      <c r="O966">
        <v>69.900000000000006</v>
      </c>
      <c r="P966">
        <v>209.7</v>
      </c>
    </row>
    <row r="967" spans="1:16" x14ac:dyDescent="0.3">
      <c r="A967">
        <v>73000</v>
      </c>
      <c r="B967">
        <v>116</v>
      </c>
      <c r="C967" t="s">
        <v>568</v>
      </c>
      <c r="D967" s="453">
        <v>46054</v>
      </c>
      <c r="E967">
        <v>18232</v>
      </c>
      <c r="F967" t="s">
        <v>4091</v>
      </c>
      <c r="G967">
        <v>3396</v>
      </c>
      <c r="H967">
        <v>2</v>
      </c>
      <c r="I967" t="s">
        <v>3878</v>
      </c>
      <c r="J967" t="s">
        <v>3497</v>
      </c>
      <c r="K967" t="s">
        <v>461</v>
      </c>
      <c r="L967">
        <v>0</v>
      </c>
      <c r="M967" s="453">
        <v>45845</v>
      </c>
      <c r="N967">
        <v>103.99</v>
      </c>
      <c r="O967">
        <v>97.99</v>
      </c>
      <c r="P967">
        <v>207.98</v>
      </c>
    </row>
    <row r="968" spans="1:16" x14ac:dyDescent="0.3">
      <c r="A968">
        <v>72966</v>
      </c>
      <c r="B968">
        <v>116</v>
      </c>
      <c r="C968" t="s">
        <v>568</v>
      </c>
      <c r="D968" s="453">
        <v>46054</v>
      </c>
      <c r="E968">
        <v>18682</v>
      </c>
      <c r="F968" t="s">
        <v>4025</v>
      </c>
      <c r="G968">
        <v>3043</v>
      </c>
      <c r="H968">
        <v>7.3</v>
      </c>
      <c r="I968" t="s">
        <v>3892</v>
      </c>
      <c r="J968" t="s">
        <v>3469</v>
      </c>
      <c r="K968" t="s">
        <v>461</v>
      </c>
      <c r="L968">
        <v>27.99</v>
      </c>
      <c r="M968" s="453">
        <v>46051</v>
      </c>
      <c r="N968">
        <v>27.99</v>
      </c>
      <c r="O968">
        <v>27.99</v>
      </c>
      <c r="P968">
        <v>204.33</v>
      </c>
    </row>
    <row r="969" spans="1:16" x14ac:dyDescent="0.3">
      <c r="A969">
        <v>72999</v>
      </c>
      <c r="B969">
        <v>116</v>
      </c>
      <c r="C969" t="s">
        <v>568</v>
      </c>
      <c r="D969" s="453">
        <v>46054</v>
      </c>
      <c r="E969">
        <v>18233</v>
      </c>
      <c r="F969" t="s">
        <v>4090</v>
      </c>
      <c r="G969">
        <v>3395</v>
      </c>
      <c r="H969">
        <v>2</v>
      </c>
      <c r="I969" t="s">
        <v>3878</v>
      </c>
      <c r="J969" t="s">
        <v>3497</v>
      </c>
      <c r="K969" t="s">
        <v>461</v>
      </c>
      <c r="L969">
        <v>98</v>
      </c>
      <c r="M969" s="453">
        <v>46035</v>
      </c>
      <c r="N969">
        <v>98</v>
      </c>
      <c r="O969">
        <v>98</v>
      </c>
      <c r="P969">
        <v>196</v>
      </c>
    </row>
    <row r="970" spans="1:16" x14ac:dyDescent="0.3">
      <c r="A970">
        <v>72987</v>
      </c>
      <c r="B970">
        <v>116</v>
      </c>
      <c r="C970" t="s">
        <v>568</v>
      </c>
      <c r="D970" s="453">
        <v>46054</v>
      </c>
      <c r="E970">
        <v>18394</v>
      </c>
      <c r="F970" t="s">
        <v>4044</v>
      </c>
      <c r="G970">
        <v>3246</v>
      </c>
      <c r="H970">
        <v>1.4</v>
      </c>
      <c r="I970" t="s">
        <v>3878</v>
      </c>
      <c r="J970" t="s">
        <v>3497</v>
      </c>
      <c r="K970" t="s">
        <v>461</v>
      </c>
      <c r="L970">
        <v>0</v>
      </c>
      <c r="M970" s="453">
        <v>45978</v>
      </c>
      <c r="N970">
        <v>132</v>
      </c>
      <c r="O970">
        <v>132</v>
      </c>
      <c r="P970">
        <v>184.8</v>
      </c>
    </row>
    <row r="971" spans="1:16" x14ac:dyDescent="0.3">
      <c r="A971">
        <v>72809</v>
      </c>
      <c r="B971">
        <v>116</v>
      </c>
      <c r="C971" t="s">
        <v>568</v>
      </c>
      <c r="D971" s="453">
        <v>46054</v>
      </c>
      <c r="E971">
        <v>17983</v>
      </c>
      <c r="F971" t="s">
        <v>4142</v>
      </c>
      <c r="G971">
        <v>3609</v>
      </c>
      <c r="H971">
        <v>10.67</v>
      </c>
      <c r="I971" t="s">
        <v>3888</v>
      </c>
      <c r="J971" t="s">
        <v>3497</v>
      </c>
      <c r="K971" t="s">
        <v>461</v>
      </c>
      <c r="L971">
        <v>0</v>
      </c>
      <c r="M971" s="453">
        <v>45818</v>
      </c>
      <c r="N971">
        <v>17.100000000000001</v>
      </c>
      <c r="O971">
        <v>22.2</v>
      </c>
      <c r="P971">
        <v>182.46</v>
      </c>
    </row>
    <row r="972" spans="1:16" x14ac:dyDescent="0.3">
      <c r="A972">
        <v>72947</v>
      </c>
      <c r="B972">
        <v>116</v>
      </c>
      <c r="C972" t="s">
        <v>568</v>
      </c>
      <c r="D972" s="453">
        <v>46054</v>
      </c>
      <c r="E972">
        <v>28212</v>
      </c>
      <c r="F972" t="s">
        <v>4156</v>
      </c>
      <c r="G972">
        <v>8174</v>
      </c>
      <c r="H972">
        <v>4.0999999999999996</v>
      </c>
      <c r="I972" t="s">
        <v>3892</v>
      </c>
      <c r="J972" t="s">
        <v>3469</v>
      </c>
      <c r="K972" t="s">
        <v>461</v>
      </c>
      <c r="L972">
        <v>44</v>
      </c>
      <c r="M972" s="453">
        <v>46041</v>
      </c>
      <c r="N972">
        <v>44</v>
      </c>
      <c r="O972">
        <v>44</v>
      </c>
      <c r="P972">
        <v>180.4</v>
      </c>
    </row>
    <row r="973" spans="1:16" x14ac:dyDescent="0.3">
      <c r="A973">
        <v>72835</v>
      </c>
      <c r="B973">
        <v>116</v>
      </c>
      <c r="C973" t="s">
        <v>568</v>
      </c>
      <c r="D973" s="453">
        <v>46054</v>
      </c>
      <c r="E973">
        <v>20500</v>
      </c>
      <c r="F973" t="s">
        <v>3954</v>
      </c>
      <c r="G973">
        <v>2154</v>
      </c>
      <c r="H973">
        <v>8.6</v>
      </c>
      <c r="I973" t="s">
        <v>3872</v>
      </c>
      <c r="J973" t="s">
        <v>3469</v>
      </c>
      <c r="K973" t="s">
        <v>461</v>
      </c>
      <c r="L973">
        <v>0</v>
      </c>
      <c r="M973" s="453">
        <v>45917</v>
      </c>
      <c r="N973">
        <v>20.8</v>
      </c>
      <c r="O973">
        <v>21.9</v>
      </c>
      <c r="P973">
        <v>178.88</v>
      </c>
    </row>
    <row r="974" spans="1:16" x14ac:dyDescent="0.3">
      <c r="A974">
        <v>72817</v>
      </c>
      <c r="B974">
        <v>116</v>
      </c>
      <c r="C974" t="s">
        <v>568</v>
      </c>
      <c r="D974" s="453">
        <v>46054</v>
      </c>
      <c r="E974">
        <v>25195</v>
      </c>
      <c r="F974" t="s">
        <v>3874</v>
      </c>
      <c r="G974">
        <v>2363</v>
      </c>
      <c r="H974">
        <v>27</v>
      </c>
      <c r="I974" t="s">
        <v>3872</v>
      </c>
      <c r="J974" t="s">
        <v>3469</v>
      </c>
      <c r="K974" t="s">
        <v>461</v>
      </c>
      <c r="L974">
        <v>0</v>
      </c>
      <c r="M974" s="453">
        <v>45936</v>
      </c>
      <c r="N974">
        <v>6.3</v>
      </c>
      <c r="O974">
        <v>6.3</v>
      </c>
      <c r="P974">
        <v>170.1</v>
      </c>
    </row>
    <row r="975" spans="1:16" x14ac:dyDescent="0.3">
      <c r="A975">
        <v>72938</v>
      </c>
      <c r="B975">
        <v>116</v>
      </c>
      <c r="C975" t="s">
        <v>568</v>
      </c>
      <c r="D975" s="453">
        <v>46054</v>
      </c>
      <c r="E975">
        <v>19346</v>
      </c>
      <c r="F975" t="s">
        <v>3948</v>
      </c>
      <c r="G975">
        <v>2770</v>
      </c>
      <c r="H975">
        <v>2.9</v>
      </c>
      <c r="I975" t="s">
        <v>3892</v>
      </c>
      <c r="J975" t="s">
        <v>3469</v>
      </c>
      <c r="K975" t="s">
        <v>461</v>
      </c>
      <c r="L975">
        <v>57.24</v>
      </c>
      <c r="M975" s="453">
        <v>46051</v>
      </c>
      <c r="N975">
        <v>62.27</v>
      </c>
      <c r="O975">
        <v>61.99</v>
      </c>
      <c r="P975">
        <v>166</v>
      </c>
    </row>
    <row r="976" spans="1:16" x14ac:dyDescent="0.3">
      <c r="A976">
        <v>72949</v>
      </c>
      <c r="B976">
        <v>116</v>
      </c>
      <c r="C976" t="s">
        <v>568</v>
      </c>
      <c r="D976" s="453">
        <v>46054</v>
      </c>
      <c r="E976">
        <v>24200</v>
      </c>
      <c r="F976" t="s">
        <v>3975</v>
      </c>
      <c r="G976">
        <v>3039</v>
      </c>
      <c r="H976">
        <v>5</v>
      </c>
      <c r="I976" t="s">
        <v>3892</v>
      </c>
      <c r="J976" t="s">
        <v>3469</v>
      </c>
      <c r="K976" t="s">
        <v>461</v>
      </c>
      <c r="L976">
        <v>32.9</v>
      </c>
      <c r="M976" s="453">
        <v>46050</v>
      </c>
      <c r="N976">
        <v>32.9</v>
      </c>
      <c r="O976">
        <v>32.9</v>
      </c>
      <c r="P976">
        <v>164.5</v>
      </c>
    </row>
    <row r="977" spans="1:16" x14ac:dyDescent="0.3">
      <c r="A977">
        <v>72834</v>
      </c>
      <c r="B977">
        <v>116</v>
      </c>
      <c r="C977" t="s">
        <v>568</v>
      </c>
      <c r="D977" s="453">
        <v>46054</v>
      </c>
      <c r="E977">
        <v>25167</v>
      </c>
      <c r="F977" t="s">
        <v>3951</v>
      </c>
      <c r="G977">
        <v>5930</v>
      </c>
      <c r="H977">
        <v>20</v>
      </c>
      <c r="I977" t="s">
        <v>3892</v>
      </c>
      <c r="J977" t="s">
        <v>3469</v>
      </c>
      <c r="K977" t="s">
        <v>461</v>
      </c>
      <c r="L977">
        <v>0</v>
      </c>
      <c r="M977" s="453">
        <v>45840</v>
      </c>
      <c r="N977">
        <v>7.9</v>
      </c>
      <c r="O977">
        <v>7.9</v>
      </c>
      <c r="P977">
        <v>158</v>
      </c>
    </row>
    <row r="978" spans="1:16" x14ac:dyDescent="0.3">
      <c r="A978">
        <v>72978</v>
      </c>
      <c r="B978">
        <v>116</v>
      </c>
      <c r="C978" t="s">
        <v>568</v>
      </c>
      <c r="D978" s="453">
        <v>46054</v>
      </c>
      <c r="E978">
        <v>18538</v>
      </c>
      <c r="F978" t="s">
        <v>4026</v>
      </c>
      <c r="G978">
        <v>3139</v>
      </c>
      <c r="H978">
        <v>1.5</v>
      </c>
      <c r="I978" t="s">
        <v>3878</v>
      </c>
      <c r="J978" t="s">
        <v>3497</v>
      </c>
      <c r="K978" t="s">
        <v>461</v>
      </c>
      <c r="L978">
        <v>104.9</v>
      </c>
      <c r="M978" s="453">
        <v>46035</v>
      </c>
      <c r="N978">
        <v>104.9</v>
      </c>
      <c r="O978">
        <v>104.9</v>
      </c>
      <c r="P978">
        <v>157.35</v>
      </c>
    </row>
    <row r="979" spans="1:16" x14ac:dyDescent="0.3">
      <c r="A979">
        <v>72812</v>
      </c>
      <c r="B979">
        <v>116</v>
      </c>
      <c r="C979" t="s">
        <v>568</v>
      </c>
      <c r="D979" s="453">
        <v>46054</v>
      </c>
      <c r="E979">
        <v>18006</v>
      </c>
      <c r="F979" t="s">
        <v>4138</v>
      </c>
      <c r="G979">
        <v>3591</v>
      </c>
      <c r="H979">
        <v>5.25</v>
      </c>
      <c r="I979" t="s">
        <v>3888</v>
      </c>
      <c r="J979" t="s">
        <v>3497</v>
      </c>
      <c r="K979" t="s">
        <v>461</v>
      </c>
      <c r="L979">
        <v>29.64</v>
      </c>
      <c r="M979" s="453">
        <v>46049</v>
      </c>
      <c r="N979">
        <v>29.64</v>
      </c>
      <c r="O979">
        <v>24.09</v>
      </c>
      <c r="P979">
        <v>155.61000000000001</v>
      </c>
    </row>
    <row r="980" spans="1:16" x14ac:dyDescent="0.3">
      <c r="A980">
        <v>72995</v>
      </c>
      <c r="B980">
        <v>116</v>
      </c>
      <c r="C980" t="s">
        <v>568</v>
      </c>
      <c r="D980" s="453">
        <v>46054</v>
      </c>
      <c r="E980">
        <v>18273</v>
      </c>
      <c r="F980" t="s">
        <v>4031</v>
      </c>
      <c r="G980">
        <v>3357</v>
      </c>
      <c r="H980">
        <v>4</v>
      </c>
      <c r="I980" t="s">
        <v>3878</v>
      </c>
      <c r="J980" t="s">
        <v>3497</v>
      </c>
      <c r="K980" t="s">
        <v>461</v>
      </c>
      <c r="L980">
        <v>0</v>
      </c>
      <c r="M980" s="453">
        <v>46007</v>
      </c>
      <c r="N980">
        <v>37</v>
      </c>
      <c r="O980">
        <v>42.12</v>
      </c>
      <c r="P980">
        <v>148</v>
      </c>
    </row>
    <row r="981" spans="1:16" x14ac:dyDescent="0.3">
      <c r="A981">
        <v>72851</v>
      </c>
      <c r="B981">
        <v>116</v>
      </c>
      <c r="C981" t="s">
        <v>568</v>
      </c>
      <c r="D981" s="453">
        <v>46054</v>
      </c>
      <c r="E981">
        <v>23739</v>
      </c>
      <c r="F981" t="s">
        <v>4119</v>
      </c>
      <c r="G981">
        <v>2153</v>
      </c>
      <c r="H981">
        <v>4.0999999999999996</v>
      </c>
      <c r="I981" t="s">
        <v>3892</v>
      </c>
      <c r="J981" t="s">
        <v>3469</v>
      </c>
      <c r="K981" t="s">
        <v>461</v>
      </c>
      <c r="L981">
        <v>0</v>
      </c>
      <c r="M981" s="453">
        <v>45868</v>
      </c>
      <c r="N981">
        <v>36</v>
      </c>
      <c r="O981">
        <v>36</v>
      </c>
      <c r="P981">
        <v>147.6</v>
      </c>
    </row>
    <row r="982" spans="1:16" x14ac:dyDescent="0.3">
      <c r="A982">
        <v>72820</v>
      </c>
      <c r="B982">
        <v>116</v>
      </c>
      <c r="C982" t="s">
        <v>568</v>
      </c>
      <c r="D982" s="453">
        <v>46054</v>
      </c>
      <c r="E982">
        <v>20985</v>
      </c>
      <c r="F982" t="s">
        <v>3914</v>
      </c>
      <c r="G982">
        <v>2011</v>
      </c>
      <c r="H982">
        <v>18</v>
      </c>
      <c r="I982" t="s">
        <v>3872</v>
      </c>
      <c r="J982" t="s">
        <v>3469</v>
      </c>
      <c r="K982" t="s">
        <v>461</v>
      </c>
      <c r="L982">
        <v>0</v>
      </c>
      <c r="M982" s="453">
        <v>45916</v>
      </c>
      <c r="N982">
        <v>7.89</v>
      </c>
      <c r="O982">
        <v>8</v>
      </c>
      <c r="P982">
        <v>142.02000000000001</v>
      </c>
    </row>
    <row r="983" spans="1:16" x14ac:dyDescent="0.3">
      <c r="A983">
        <v>72959</v>
      </c>
      <c r="B983">
        <v>116</v>
      </c>
      <c r="C983" t="s">
        <v>568</v>
      </c>
      <c r="D983" s="453">
        <v>46054</v>
      </c>
      <c r="E983">
        <v>24388</v>
      </c>
      <c r="F983" t="s">
        <v>3915</v>
      </c>
      <c r="G983">
        <v>2945</v>
      </c>
      <c r="H983">
        <v>4.7</v>
      </c>
      <c r="I983" t="s">
        <v>3892</v>
      </c>
      <c r="J983" t="s">
        <v>3469</v>
      </c>
      <c r="K983" t="s">
        <v>461</v>
      </c>
      <c r="L983">
        <v>29.9</v>
      </c>
      <c r="M983" s="453">
        <v>46035</v>
      </c>
      <c r="N983">
        <v>29.9</v>
      </c>
      <c r="O983">
        <v>24.99</v>
      </c>
      <c r="P983">
        <v>140.53</v>
      </c>
    </row>
    <row r="984" spans="1:16" x14ac:dyDescent="0.3">
      <c r="A984">
        <v>72923</v>
      </c>
      <c r="B984">
        <v>116</v>
      </c>
      <c r="C984" t="s">
        <v>568</v>
      </c>
      <c r="D984" s="453">
        <v>46054</v>
      </c>
      <c r="E984">
        <v>23203</v>
      </c>
      <c r="F984" t="s">
        <v>3987</v>
      </c>
      <c r="G984">
        <v>2652</v>
      </c>
      <c r="H984">
        <v>2</v>
      </c>
      <c r="I984" t="s">
        <v>3892</v>
      </c>
      <c r="J984" t="s">
        <v>3469</v>
      </c>
      <c r="K984" t="s">
        <v>461</v>
      </c>
      <c r="L984">
        <v>0</v>
      </c>
      <c r="N984">
        <v>0</v>
      </c>
      <c r="O984">
        <v>69</v>
      </c>
      <c r="P984">
        <v>138</v>
      </c>
    </row>
    <row r="985" spans="1:16" x14ac:dyDescent="0.3">
      <c r="A985">
        <v>72935</v>
      </c>
      <c r="B985">
        <v>116</v>
      </c>
      <c r="C985" t="s">
        <v>568</v>
      </c>
      <c r="D985" s="453">
        <v>46054</v>
      </c>
      <c r="E985">
        <v>20624</v>
      </c>
      <c r="F985" t="s">
        <v>3982</v>
      </c>
      <c r="G985">
        <v>2116</v>
      </c>
      <c r="H985">
        <v>2</v>
      </c>
      <c r="I985" t="s">
        <v>3966</v>
      </c>
      <c r="J985" t="s">
        <v>3469</v>
      </c>
      <c r="K985" t="s">
        <v>461</v>
      </c>
      <c r="L985">
        <v>68.5</v>
      </c>
      <c r="M985" s="453">
        <v>46050</v>
      </c>
      <c r="N985">
        <v>68.900000000000006</v>
      </c>
      <c r="O985">
        <v>69.900000000000006</v>
      </c>
      <c r="P985">
        <v>137</v>
      </c>
    </row>
    <row r="986" spans="1:16" x14ac:dyDescent="0.3">
      <c r="A986">
        <v>72982</v>
      </c>
      <c r="B986">
        <v>116</v>
      </c>
      <c r="C986" t="s">
        <v>568</v>
      </c>
      <c r="D986" s="453">
        <v>46054</v>
      </c>
      <c r="E986">
        <v>18491</v>
      </c>
      <c r="F986" t="s">
        <v>3934</v>
      </c>
      <c r="G986">
        <v>3166</v>
      </c>
      <c r="H986">
        <v>4</v>
      </c>
      <c r="I986" t="s">
        <v>3878</v>
      </c>
      <c r="J986" t="s">
        <v>3497</v>
      </c>
      <c r="K986" t="s">
        <v>461</v>
      </c>
      <c r="L986">
        <v>0</v>
      </c>
      <c r="M986" s="453">
        <v>45931</v>
      </c>
      <c r="N986">
        <v>33.9</v>
      </c>
      <c r="O986">
        <v>33.9</v>
      </c>
      <c r="P986">
        <v>135.6</v>
      </c>
    </row>
    <row r="987" spans="1:16" x14ac:dyDescent="0.3">
      <c r="A987">
        <v>72815</v>
      </c>
      <c r="B987">
        <v>116</v>
      </c>
      <c r="C987" t="s">
        <v>568</v>
      </c>
      <c r="D987" s="453">
        <v>46054</v>
      </c>
      <c r="E987">
        <v>18004</v>
      </c>
      <c r="F987" t="s">
        <v>4140</v>
      </c>
      <c r="G987">
        <v>3592</v>
      </c>
      <c r="H987">
        <v>4.5</v>
      </c>
      <c r="I987" t="s">
        <v>3888</v>
      </c>
      <c r="J987" t="s">
        <v>3497</v>
      </c>
      <c r="K987" t="s">
        <v>461</v>
      </c>
      <c r="L987">
        <v>29.64</v>
      </c>
      <c r="M987" s="453">
        <v>46049</v>
      </c>
      <c r="N987">
        <v>29.64</v>
      </c>
      <c r="O987">
        <v>23.11</v>
      </c>
      <c r="P987">
        <v>133.38</v>
      </c>
    </row>
    <row r="988" spans="1:16" x14ac:dyDescent="0.3">
      <c r="A988">
        <v>72860</v>
      </c>
      <c r="B988">
        <v>116</v>
      </c>
      <c r="C988" t="s">
        <v>568</v>
      </c>
      <c r="D988" s="453">
        <v>46054</v>
      </c>
      <c r="E988">
        <v>20057</v>
      </c>
      <c r="F988" t="s">
        <v>3967</v>
      </c>
      <c r="G988">
        <v>2324</v>
      </c>
      <c r="H988">
        <v>3</v>
      </c>
      <c r="I988" t="s">
        <v>3872</v>
      </c>
      <c r="J988" t="s">
        <v>3469</v>
      </c>
      <c r="K988" t="s">
        <v>461</v>
      </c>
      <c r="L988">
        <v>41.99</v>
      </c>
      <c r="M988" s="453">
        <v>46037</v>
      </c>
      <c r="N988">
        <v>41.99</v>
      </c>
      <c r="O988">
        <v>42.25</v>
      </c>
      <c r="P988">
        <v>125.97</v>
      </c>
    </row>
    <row r="989" spans="1:16" x14ac:dyDescent="0.3">
      <c r="A989">
        <v>72862</v>
      </c>
      <c r="B989">
        <v>116</v>
      </c>
      <c r="C989" t="s">
        <v>568</v>
      </c>
      <c r="D989" s="453">
        <v>46054</v>
      </c>
      <c r="E989">
        <v>20117</v>
      </c>
      <c r="F989" t="s">
        <v>4010</v>
      </c>
      <c r="G989">
        <v>2291</v>
      </c>
      <c r="H989">
        <v>3</v>
      </c>
      <c r="I989" t="s">
        <v>3872</v>
      </c>
      <c r="J989" t="s">
        <v>3469</v>
      </c>
      <c r="K989" t="s">
        <v>461</v>
      </c>
      <c r="L989">
        <v>40.700000000000003</v>
      </c>
      <c r="M989" s="453">
        <v>46028</v>
      </c>
      <c r="N989">
        <v>40.700000000000003</v>
      </c>
      <c r="O989">
        <v>38.950000000000003</v>
      </c>
      <c r="P989">
        <v>122.1</v>
      </c>
    </row>
    <row r="990" spans="1:16" x14ac:dyDescent="0.3">
      <c r="A990">
        <v>72824</v>
      </c>
      <c r="B990">
        <v>116</v>
      </c>
      <c r="C990" t="s">
        <v>568</v>
      </c>
      <c r="D990" s="453">
        <v>46054</v>
      </c>
      <c r="E990">
        <v>20682</v>
      </c>
      <c r="F990" t="s">
        <v>3929</v>
      </c>
      <c r="G990">
        <v>2106</v>
      </c>
      <c r="H990">
        <v>12</v>
      </c>
      <c r="I990" t="s">
        <v>3872</v>
      </c>
      <c r="J990" t="s">
        <v>3469</v>
      </c>
      <c r="K990" t="s">
        <v>461</v>
      </c>
      <c r="L990">
        <v>0</v>
      </c>
      <c r="M990" s="453">
        <v>46020</v>
      </c>
      <c r="N990">
        <v>9.98</v>
      </c>
      <c r="O990">
        <v>9.98</v>
      </c>
      <c r="P990">
        <v>119.76</v>
      </c>
    </row>
    <row r="991" spans="1:16" x14ac:dyDescent="0.3">
      <c r="A991">
        <v>72975</v>
      </c>
      <c r="B991">
        <v>116</v>
      </c>
      <c r="C991" t="s">
        <v>568</v>
      </c>
      <c r="D991" s="453">
        <v>46054</v>
      </c>
      <c r="E991">
        <v>18547</v>
      </c>
      <c r="F991" t="s">
        <v>3962</v>
      </c>
      <c r="G991">
        <v>3132</v>
      </c>
      <c r="H991">
        <v>3.4</v>
      </c>
      <c r="I991" t="s">
        <v>3878</v>
      </c>
      <c r="J991" t="s">
        <v>3497</v>
      </c>
      <c r="K991" t="s">
        <v>461</v>
      </c>
      <c r="L991">
        <v>0</v>
      </c>
      <c r="M991" s="453">
        <v>45770</v>
      </c>
      <c r="N991">
        <v>34.74</v>
      </c>
      <c r="O991">
        <v>36.99</v>
      </c>
      <c r="P991">
        <v>118.12</v>
      </c>
    </row>
    <row r="992" spans="1:16" x14ac:dyDescent="0.3">
      <c r="A992">
        <v>73022</v>
      </c>
      <c r="B992">
        <v>116</v>
      </c>
      <c r="C992" t="s">
        <v>568</v>
      </c>
      <c r="D992" s="453">
        <v>46054</v>
      </c>
      <c r="E992">
        <v>24599</v>
      </c>
      <c r="F992" t="s">
        <v>3897</v>
      </c>
      <c r="G992">
        <v>5676</v>
      </c>
      <c r="H992">
        <v>1</v>
      </c>
      <c r="I992" t="s">
        <v>3888</v>
      </c>
      <c r="J992" t="s">
        <v>3497</v>
      </c>
      <c r="K992" t="s">
        <v>461</v>
      </c>
      <c r="L992">
        <v>116.4</v>
      </c>
      <c r="M992" s="453">
        <v>46051</v>
      </c>
      <c r="N992">
        <v>116.4</v>
      </c>
      <c r="O992">
        <v>116.4</v>
      </c>
      <c r="P992">
        <v>116.4</v>
      </c>
    </row>
    <row r="993" spans="1:16" x14ac:dyDescent="0.3">
      <c r="A993">
        <v>73012</v>
      </c>
      <c r="B993">
        <v>116</v>
      </c>
      <c r="C993" t="s">
        <v>568</v>
      </c>
      <c r="D993" s="453">
        <v>46054</v>
      </c>
      <c r="E993">
        <v>20755</v>
      </c>
      <c r="F993" t="s">
        <v>4052</v>
      </c>
      <c r="G993">
        <v>2087</v>
      </c>
      <c r="H993">
        <v>1</v>
      </c>
      <c r="I993" t="s">
        <v>3966</v>
      </c>
      <c r="J993" t="s">
        <v>3469</v>
      </c>
      <c r="K993" t="s">
        <v>461</v>
      </c>
      <c r="L993">
        <v>115</v>
      </c>
      <c r="M993" s="453">
        <v>46028</v>
      </c>
      <c r="N993">
        <v>115</v>
      </c>
      <c r="O993">
        <v>115</v>
      </c>
      <c r="P993">
        <v>115</v>
      </c>
    </row>
    <row r="994" spans="1:16" x14ac:dyDescent="0.3">
      <c r="A994">
        <v>72977</v>
      </c>
      <c r="B994">
        <v>116</v>
      </c>
      <c r="C994" t="s">
        <v>568</v>
      </c>
      <c r="D994" s="453">
        <v>46054</v>
      </c>
      <c r="E994">
        <v>18545</v>
      </c>
      <c r="F994" t="s">
        <v>4099</v>
      </c>
      <c r="G994">
        <v>3134</v>
      </c>
      <c r="H994">
        <v>2.5</v>
      </c>
      <c r="I994" t="s">
        <v>3878</v>
      </c>
      <c r="J994" t="s">
        <v>3497</v>
      </c>
      <c r="K994" t="s">
        <v>461</v>
      </c>
      <c r="L994">
        <v>45.9</v>
      </c>
      <c r="M994" s="453">
        <v>46050</v>
      </c>
      <c r="N994">
        <v>45.9</v>
      </c>
      <c r="O994">
        <v>45.9</v>
      </c>
      <c r="P994">
        <v>114.75</v>
      </c>
    </row>
    <row r="995" spans="1:16" x14ac:dyDescent="0.3">
      <c r="A995">
        <v>72974</v>
      </c>
      <c r="B995">
        <v>116</v>
      </c>
      <c r="C995" t="s">
        <v>568</v>
      </c>
      <c r="D995" s="453">
        <v>46054</v>
      </c>
      <c r="E995">
        <v>19264</v>
      </c>
      <c r="F995" t="s">
        <v>4082</v>
      </c>
      <c r="G995">
        <v>2781</v>
      </c>
      <c r="H995">
        <v>1.5</v>
      </c>
      <c r="I995" t="s">
        <v>3888</v>
      </c>
      <c r="J995" t="s">
        <v>3469</v>
      </c>
      <c r="K995" t="s">
        <v>461</v>
      </c>
      <c r="L995">
        <v>76</v>
      </c>
      <c r="M995" s="453">
        <v>46028</v>
      </c>
      <c r="N995">
        <v>76</v>
      </c>
      <c r="O995">
        <v>68.319999999999993</v>
      </c>
      <c r="P995">
        <v>114</v>
      </c>
    </row>
    <row r="996" spans="1:16" x14ac:dyDescent="0.3">
      <c r="A996">
        <v>72839</v>
      </c>
      <c r="B996">
        <v>116</v>
      </c>
      <c r="C996" t="s">
        <v>568</v>
      </c>
      <c r="D996" s="453">
        <v>46054</v>
      </c>
      <c r="E996">
        <v>20242</v>
      </c>
      <c r="F996" t="s">
        <v>4120</v>
      </c>
      <c r="G996">
        <v>2242</v>
      </c>
      <c r="H996">
        <v>8</v>
      </c>
      <c r="I996" t="s">
        <v>3888</v>
      </c>
      <c r="J996" t="s">
        <v>3469</v>
      </c>
      <c r="K996" t="s">
        <v>461</v>
      </c>
      <c r="L996">
        <v>14.2</v>
      </c>
      <c r="M996" s="453">
        <v>46036</v>
      </c>
      <c r="N996">
        <v>14.2</v>
      </c>
      <c r="O996">
        <v>14.1</v>
      </c>
      <c r="P996">
        <v>113.6</v>
      </c>
    </row>
    <row r="997" spans="1:16" x14ac:dyDescent="0.3">
      <c r="A997">
        <v>72919</v>
      </c>
      <c r="B997">
        <v>116</v>
      </c>
      <c r="C997" t="s">
        <v>568</v>
      </c>
      <c r="D997" s="453">
        <v>46054</v>
      </c>
      <c r="E997">
        <v>19578</v>
      </c>
      <c r="F997" t="s">
        <v>3985</v>
      </c>
      <c r="G997">
        <v>2640</v>
      </c>
      <c r="H997">
        <v>2</v>
      </c>
      <c r="I997" t="s">
        <v>3892</v>
      </c>
      <c r="J997" t="s">
        <v>3469</v>
      </c>
      <c r="K997" t="s">
        <v>461</v>
      </c>
      <c r="L997">
        <v>0</v>
      </c>
      <c r="M997" s="453">
        <v>45936</v>
      </c>
      <c r="N997">
        <v>55</v>
      </c>
      <c r="O997">
        <v>46.4</v>
      </c>
      <c r="P997">
        <v>110</v>
      </c>
    </row>
    <row r="998" spans="1:16" x14ac:dyDescent="0.3">
      <c r="A998">
        <v>72920</v>
      </c>
      <c r="B998">
        <v>116</v>
      </c>
      <c r="C998" t="s">
        <v>568</v>
      </c>
      <c r="D998" s="453">
        <v>46054</v>
      </c>
      <c r="E998">
        <v>19579</v>
      </c>
      <c r="F998" t="s">
        <v>4020</v>
      </c>
      <c r="G998">
        <v>2640</v>
      </c>
      <c r="H998">
        <v>2</v>
      </c>
      <c r="I998" t="s">
        <v>3892</v>
      </c>
      <c r="J998" t="s">
        <v>3469</v>
      </c>
      <c r="K998" t="s">
        <v>461</v>
      </c>
      <c r="L998">
        <v>0</v>
      </c>
      <c r="M998" s="453">
        <v>45936</v>
      </c>
      <c r="N998">
        <v>55</v>
      </c>
      <c r="O998">
        <v>0</v>
      </c>
      <c r="P998">
        <v>110</v>
      </c>
    </row>
    <row r="999" spans="1:16" x14ac:dyDescent="0.3">
      <c r="A999">
        <v>73013</v>
      </c>
      <c r="B999">
        <v>116</v>
      </c>
      <c r="C999" t="s">
        <v>568</v>
      </c>
      <c r="D999" s="453">
        <v>46054</v>
      </c>
      <c r="E999">
        <v>20752</v>
      </c>
      <c r="F999" t="s">
        <v>3964</v>
      </c>
      <c r="G999">
        <v>2088</v>
      </c>
      <c r="H999">
        <v>1</v>
      </c>
      <c r="I999" t="s">
        <v>3886</v>
      </c>
      <c r="J999" t="s">
        <v>3469</v>
      </c>
      <c r="K999" t="s">
        <v>461</v>
      </c>
      <c r="L999">
        <v>108.05</v>
      </c>
      <c r="M999" s="453">
        <v>46050</v>
      </c>
      <c r="N999">
        <v>106</v>
      </c>
      <c r="O999">
        <v>106</v>
      </c>
      <c r="P999">
        <v>108.05</v>
      </c>
    </row>
    <row r="1000" spans="1:16" x14ac:dyDescent="0.3">
      <c r="A1000">
        <v>72993</v>
      </c>
      <c r="B1000">
        <v>116</v>
      </c>
      <c r="C1000" t="s">
        <v>568</v>
      </c>
      <c r="D1000" s="453">
        <v>46054</v>
      </c>
      <c r="E1000">
        <v>18312</v>
      </c>
      <c r="F1000" t="s">
        <v>4089</v>
      </c>
      <c r="G1000">
        <v>3321</v>
      </c>
      <c r="H1000">
        <v>1</v>
      </c>
      <c r="I1000" t="s">
        <v>3878</v>
      </c>
      <c r="J1000" t="s">
        <v>3497</v>
      </c>
      <c r="K1000" t="s">
        <v>461</v>
      </c>
      <c r="L1000">
        <v>0</v>
      </c>
      <c r="M1000" s="453">
        <v>45793</v>
      </c>
      <c r="N1000">
        <v>105.9</v>
      </c>
      <c r="O1000">
        <v>86.57</v>
      </c>
      <c r="P1000">
        <v>105.9</v>
      </c>
    </row>
    <row r="1001" spans="1:16" x14ac:dyDescent="0.3">
      <c r="A1001">
        <v>72990</v>
      </c>
      <c r="B1001">
        <v>116</v>
      </c>
      <c r="C1001" t="s">
        <v>568</v>
      </c>
      <c r="D1001" s="453">
        <v>46054</v>
      </c>
      <c r="E1001">
        <v>18327</v>
      </c>
      <c r="F1001" t="s">
        <v>4087</v>
      </c>
      <c r="G1001">
        <v>3306</v>
      </c>
      <c r="H1001">
        <v>1</v>
      </c>
      <c r="I1001" t="s">
        <v>3878</v>
      </c>
      <c r="J1001" t="s">
        <v>3497</v>
      </c>
      <c r="K1001" t="s">
        <v>461</v>
      </c>
      <c r="L1001">
        <v>0</v>
      </c>
      <c r="M1001" s="453">
        <v>45967</v>
      </c>
      <c r="N1001">
        <v>105.36</v>
      </c>
      <c r="O1001">
        <v>109.18</v>
      </c>
      <c r="P1001">
        <v>105.36</v>
      </c>
    </row>
    <row r="1002" spans="1:16" x14ac:dyDescent="0.3">
      <c r="A1002">
        <v>72836</v>
      </c>
      <c r="B1002">
        <v>116</v>
      </c>
      <c r="C1002" t="s">
        <v>568</v>
      </c>
      <c r="D1002" s="453">
        <v>46054</v>
      </c>
      <c r="E1002">
        <v>25720</v>
      </c>
      <c r="F1002" t="s">
        <v>3926</v>
      </c>
      <c r="G1002">
        <v>2197</v>
      </c>
      <c r="H1002">
        <v>6</v>
      </c>
      <c r="I1002" t="s">
        <v>3892</v>
      </c>
      <c r="J1002" t="s">
        <v>3469</v>
      </c>
      <c r="K1002" t="s">
        <v>461</v>
      </c>
      <c r="L1002">
        <v>0</v>
      </c>
      <c r="N1002">
        <v>0</v>
      </c>
      <c r="O1002">
        <v>0</v>
      </c>
      <c r="P1002">
        <v>101.4</v>
      </c>
    </row>
    <row r="1003" spans="1:16" x14ac:dyDescent="0.3">
      <c r="A1003">
        <v>72997</v>
      </c>
      <c r="B1003">
        <v>116</v>
      </c>
      <c r="C1003" t="s">
        <v>568</v>
      </c>
      <c r="D1003" s="453">
        <v>46054</v>
      </c>
      <c r="E1003">
        <v>18253</v>
      </c>
      <c r="F1003" t="s">
        <v>3947</v>
      </c>
      <c r="G1003">
        <v>3376</v>
      </c>
      <c r="H1003">
        <v>3.5</v>
      </c>
      <c r="I1003" t="s">
        <v>3878</v>
      </c>
      <c r="J1003" t="s">
        <v>3497</v>
      </c>
      <c r="K1003" t="s">
        <v>461</v>
      </c>
      <c r="L1003">
        <v>0</v>
      </c>
      <c r="M1003" s="453">
        <v>45918</v>
      </c>
      <c r="N1003">
        <v>28.89</v>
      </c>
      <c r="O1003">
        <v>28.31</v>
      </c>
      <c r="P1003">
        <v>101.12</v>
      </c>
    </row>
    <row r="1004" spans="1:16" x14ac:dyDescent="0.3">
      <c r="A1004">
        <v>73006</v>
      </c>
      <c r="B1004">
        <v>116</v>
      </c>
      <c r="C1004" t="s">
        <v>568</v>
      </c>
      <c r="D1004" s="453">
        <v>46054</v>
      </c>
      <c r="E1004">
        <v>18111</v>
      </c>
      <c r="F1004" t="s">
        <v>4047</v>
      </c>
      <c r="G1004">
        <v>3500</v>
      </c>
      <c r="H1004">
        <v>1.1000000000000001</v>
      </c>
      <c r="I1004" t="s">
        <v>3878</v>
      </c>
      <c r="J1004" t="s">
        <v>3497</v>
      </c>
      <c r="K1004" t="s">
        <v>461</v>
      </c>
      <c r="L1004">
        <v>0</v>
      </c>
      <c r="M1004" s="453">
        <v>45971</v>
      </c>
      <c r="N1004">
        <v>89.98</v>
      </c>
      <c r="O1004">
        <v>88.19</v>
      </c>
      <c r="P1004">
        <v>98.98</v>
      </c>
    </row>
    <row r="1005" spans="1:16" x14ac:dyDescent="0.3">
      <c r="A1005">
        <v>72821</v>
      </c>
      <c r="B1005">
        <v>116</v>
      </c>
      <c r="C1005" t="s">
        <v>568</v>
      </c>
      <c r="D1005" s="453">
        <v>46054</v>
      </c>
      <c r="E1005">
        <v>19420</v>
      </c>
      <c r="F1005" t="s">
        <v>3899</v>
      </c>
      <c r="G1005">
        <v>2758</v>
      </c>
      <c r="H1005">
        <v>17</v>
      </c>
      <c r="I1005" t="s">
        <v>3872</v>
      </c>
      <c r="J1005" t="s">
        <v>3469</v>
      </c>
      <c r="K1005" t="s">
        <v>461</v>
      </c>
      <c r="L1005">
        <v>0</v>
      </c>
      <c r="M1005" s="453">
        <v>45845</v>
      </c>
      <c r="N1005">
        <v>5.79</v>
      </c>
      <c r="O1005">
        <v>5.79</v>
      </c>
      <c r="P1005">
        <v>98.43</v>
      </c>
    </row>
    <row r="1006" spans="1:16" x14ac:dyDescent="0.3">
      <c r="A1006">
        <v>72916</v>
      </c>
      <c r="B1006">
        <v>116</v>
      </c>
      <c r="C1006" t="s">
        <v>568</v>
      </c>
      <c r="D1006" s="453">
        <v>46054</v>
      </c>
      <c r="E1006">
        <v>20007</v>
      </c>
      <c r="F1006" t="s">
        <v>4009</v>
      </c>
      <c r="G1006">
        <v>2343</v>
      </c>
      <c r="H1006">
        <v>2</v>
      </c>
      <c r="I1006" t="s">
        <v>3966</v>
      </c>
      <c r="J1006" t="s">
        <v>3469</v>
      </c>
      <c r="K1006" t="s">
        <v>461</v>
      </c>
      <c r="L1006">
        <v>48.34</v>
      </c>
      <c r="M1006" s="453">
        <v>46050</v>
      </c>
      <c r="N1006">
        <v>49.9</v>
      </c>
      <c r="O1006">
        <v>50.9</v>
      </c>
      <c r="P1006">
        <v>96.68</v>
      </c>
    </row>
    <row r="1007" spans="1:16" x14ac:dyDescent="0.3">
      <c r="A1007">
        <v>72874</v>
      </c>
      <c r="B1007">
        <v>116</v>
      </c>
      <c r="C1007" t="s">
        <v>568</v>
      </c>
      <c r="D1007" s="453">
        <v>46054</v>
      </c>
      <c r="E1007">
        <v>20466</v>
      </c>
      <c r="F1007" t="s">
        <v>4098</v>
      </c>
      <c r="G1007">
        <v>2160</v>
      </c>
      <c r="H1007">
        <v>1.4</v>
      </c>
      <c r="I1007" t="s">
        <v>3892</v>
      </c>
      <c r="J1007" t="s">
        <v>3469</v>
      </c>
      <c r="K1007" t="s">
        <v>461</v>
      </c>
      <c r="L1007">
        <v>68</v>
      </c>
      <c r="M1007" s="453">
        <v>46050</v>
      </c>
      <c r="N1007">
        <v>68</v>
      </c>
      <c r="O1007">
        <v>68</v>
      </c>
      <c r="P1007">
        <v>95.2</v>
      </c>
    </row>
    <row r="1008" spans="1:16" x14ac:dyDescent="0.3">
      <c r="A1008">
        <v>72865</v>
      </c>
      <c r="B1008">
        <v>116</v>
      </c>
      <c r="C1008" t="s">
        <v>568</v>
      </c>
      <c r="D1008" s="453">
        <v>46054</v>
      </c>
      <c r="E1008">
        <v>20976</v>
      </c>
      <c r="F1008" t="s">
        <v>4062</v>
      </c>
      <c r="G1008">
        <v>2011</v>
      </c>
      <c r="H1008">
        <v>0.5</v>
      </c>
      <c r="I1008" t="s">
        <v>3884</v>
      </c>
      <c r="J1008" t="s">
        <v>3469</v>
      </c>
      <c r="K1008" t="s">
        <v>461</v>
      </c>
      <c r="L1008">
        <v>189.88</v>
      </c>
      <c r="M1008" s="453">
        <v>46023</v>
      </c>
      <c r="N1008">
        <v>189.88</v>
      </c>
      <c r="O1008">
        <v>189.88</v>
      </c>
      <c r="P1008">
        <v>94.94</v>
      </c>
    </row>
    <row r="1009" spans="1:16" x14ac:dyDescent="0.3">
      <c r="A1009">
        <v>72996</v>
      </c>
      <c r="B1009">
        <v>116</v>
      </c>
      <c r="C1009" t="s">
        <v>568</v>
      </c>
      <c r="D1009" s="453">
        <v>46054</v>
      </c>
      <c r="E1009">
        <v>18272</v>
      </c>
      <c r="F1009" t="s">
        <v>4046</v>
      </c>
      <c r="G1009">
        <v>3358</v>
      </c>
      <c r="H1009">
        <v>2.5</v>
      </c>
      <c r="I1009" t="s">
        <v>3878</v>
      </c>
      <c r="J1009" t="s">
        <v>3497</v>
      </c>
      <c r="K1009" t="s">
        <v>461</v>
      </c>
      <c r="L1009">
        <v>0</v>
      </c>
      <c r="M1009" s="453">
        <v>46014</v>
      </c>
      <c r="N1009">
        <v>36.31</v>
      </c>
      <c r="O1009">
        <v>34</v>
      </c>
      <c r="P1009">
        <v>90.78</v>
      </c>
    </row>
    <row r="1010" spans="1:16" x14ac:dyDescent="0.3">
      <c r="A1010">
        <v>73004</v>
      </c>
      <c r="B1010">
        <v>116</v>
      </c>
      <c r="C1010" t="s">
        <v>568</v>
      </c>
      <c r="D1010" s="453">
        <v>46054</v>
      </c>
      <c r="E1010">
        <v>18129</v>
      </c>
      <c r="F1010" t="s">
        <v>4092</v>
      </c>
      <c r="G1010">
        <v>3486</v>
      </c>
      <c r="H1010">
        <v>0.7</v>
      </c>
      <c r="I1010" t="s">
        <v>3878</v>
      </c>
      <c r="J1010" t="s">
        <v>3497</v>
      </c>
      <c r="K1010" t="s">
        <v>461</v>
      </c>
      <c r="L1010">
        <v>0</v>
      </c>
      <c r="M1010" s="453">
        <v>45840</v>
      </c>
      <c r="N1010">
        <v>128.80000000000001</v>
      </c>
      <c r="O1010">
        <v>116</v>
      </c>
      <c r="P1010">
        <v>90.16</v>
      </c>
    </row>
    <row r="1011" spans="1:16" x14ac:dyDescent="0.3">
      <c r="A1011">
        <v>72869</v>
      </c>
      <c r="B1011">
        <v>116</v>
      </c>
      <c r="C1011" t="s">
        <v>568</v>
      </c>
      <c r="D1011" s="453">
        <v>46054</v>
      </c>
      <c r="E1011">
        <v>21166</v>
      </c>
      <c r="F1011" t="s">
        <v>4001</v>
      </c>
      <c r="G1011">
        <v>1940</v>
      </c>
      <c r="H1011">
        <v>2.5</v>
      </c>
      <c r="I1011" t="s">
        <v>3872</v>
      </c>
      <c r="J1011" t="s">
        <v>3469</v>
      </c>
      <c r="K1011" t="s">
        <v>461</v>
      </c>
      <c r="L1011">
        <v>0</v>
      </c>
      <c r="M1011" s="453">
        <v>45615</v>
      </c>
      <c r="N1011">
        <v>36</v>
      </c>
      <c r="O1011">
        <v>36</v>
      </c>
      <c r="P1011">
        <v>90</v>
      </c>
    </row>
    <row r="1012" spans="1:16" x14ac:dyDescent="0.3">
      <c r="A1012">
        <v>72876</v>
      </c>
      <c r="B1012">
        <v>116</v>
      </c>
      <c r="C1012" t="s">
        <v>568</v>
      </c>
      <c r="D1012" s="453">
        <v>46054</v>
      </c>
      <c r="E1012">
        <v>20457</v>
      </c>
      <c r="F1012" t="s">
        <v>3999</v>
      </c>
      <c r="G1012">
        <v>2165</v>
      </c>
      <c r="H1012">
        <v>2.2999999999999998</v>
      </c>
      <c r="I1012" t="s">
        <v>3892</v>
      </c>
      <c r="J1012" t="s">
        <v>3469</v>
      </c>
      <c r="K1012" t="s">
        <v>461</v>
      </c>
      <c r="L1012">
        <v>0</v>
      </c>
      <c r="M1012" s="453">
        <v>45987</v>
      </c>
      <c r="N1012">
        <v>39</v>
      </c>
      <c r="O1012">
        <v>39</v>
      </c>
      <c r="P1012">
        <v>89.7</v>
      </c>
    </row>
    <row r="1013" spans="1:16" x14ac:dyDescent="0.3">
      <c r="A1013">
        <v>72958</v>
      </c>
      <c r="B1013">
        <v>116</v>
      </c>
      <c r="C1013" t="s">
        <v>568</v>
      </c>
      <c r="D1013" s="453">
        <v>46054</v>
      </c>
      <c r="E1013">
        <v>22705</v>
      </c>
      <c r="F1013" t="s">
        <v>3990</v>
      </c>
      <c r="G1013">
        <v>3044</v>
      </c>
      <c r="H1013">
        <v>3</v>
      </c>
      <c r="I1013" t="s">
        <v>3892</v>
      </c>
      <c r="J1013" t="s">
        <v>3469</v>
      </c>
      <c r="K1013" t="s">
        <v>461</v>
      </c>
      <c r="L1013">
        <v>0</v>
      </c>
      <c r="M1013" s="453">
        <v>45937</v>
      </c>
      <c r="N1013">
        <v>29.8</v>
      </c>
      <c r="O1013">
        <v>29.8</v>
      </c>
      <c r="P1013">
        <v>89.4</v>
      </c>
    </row>
    <row r="1014" spans="1:16" x14ac:dyDescent="0.3">
      <c r="A1014">
        <v>72968</v>
      </c>
      <c r="B1014">
        <v>116</v>
      </c>
      <c r="C1014" t="s">
        <v>568</v>
      </c>
      <c r="D1014" s="453">
        <v>46054</v>
      </c>
      <c r="E1014">
        <v>18666</v>
      </c>
      <c r="F1014" t="s">
        <v>4003</v>
      </c>
      <c r="G1014">
        <v>3053</v>
      </c>
      <c r="H1014">
        <v>3.7</v>
      </c>
      <c r="I1014" t="s">
        <v>3892</v>
      </c>
      <c r="J1014" t="s">
        <v>3469</v>
      </c>
      <c r="K1014" t="s">
        <v>461</v>
      </c>
      <c r="L1014">
        <v>23.99</v>
      </c>
      <c r="M1014" s="453">
        <v>46042</v>
      </c>
      <c r="N1014">
        <v>23.99</v>
      </c>
      <c r="O1014">
        <v>23.99</v>
      </c>
      <c r="P1014">
        <v>88.76</v>
      </c>
    </row>
    <row r="1015" spans="1:16" x14ac:dyDescent="0.3">
      <c r="A1015">
        <v>72931</v>
      </c>
      <c r="B1015">
        <v>116</v>
      </c>
      <c r="C1015" t="s">
        <v>568</v>
      </c>
      <c r="D1015" s="453">
        <v>46054</v>
      </c>
      <c r="E1015">
        <v>19539</v>
      </c>
      <c r="F1015" t="s">
        <v>4133</v>
      </c>
      <c r="G1015">
        <v>2677</v>
      </c>
      <c r="H1015">
        <v>18</v>
      </c>
      <c r="I1015" t="s">
        <v>3892</v>
      </c>
      <c r="J1015" t="s">
        <v>3469</v>
      </c>
      <c r="K1015" t="s">
        <v>461</v>
      </c>
      <c r="L1015">
        <v>4.88</v>
      </c>
      <c r="M1015" s="453">
        <v>46051</v>
      </c>
      <c r="N1015">
        <v>4.3499999999999996</v>
      </c>
      <c r="O1015">
        <v>9.3800000000000008</v>
      </c>
      <c r="P1015">
        <v>87.84</v>
      </c>
    </row>
    <row r="1016" spans="1:16" x14ac:dyDescent="0.3">
      <c r="A1016">
        <v>72803</v>
      </c>
      <c r="B1016">
        <v>116</v>
      </c>
      <c r="C1016" t="s">
        <v>568</v>
      </c>
      <c r="D1016" s="453">
        <v>46054</v>
      </c>
      <c r="E1016">
        <v>25767</v>
      </c>
      <c r="F1016" t="s">
        <v>3976</v>
      </c>
      <c r="G1016">
        <v>6316</v>
      </c>
      <c r="H1016">
        <v>2.5</v>
      </c>
      <c r="I1016" t="s">
        <v>3892</v>
      </c>
      <c r="J1016" t="s">
        <v>3469</v>
      </c>
      <c r="K1016" t="s">
        <v>461</v>
      </c>
      <c r="L1016">
        <v>0</v>
      </c>
      <c r="M1016" s="453">
        <v>45936</v>
      </c>
      <c r="N1016">
        <v>0</v>
      </c>
      <c r="O1016">
        <v>35</v>
      </c>
      <c r="P1016">
        <v>87.5</v>
      </c>
    </row>
    <row r="1017" spans="1:16" x14ac:dyDescent="0.3">
      <c r="A1017">
        <v>72922</v>
      </c>
      <c r="B1017">
        <v>116</v>
      </c>
      <c r="C1017" t="s">
        <v>568</v>
      </c>
      <c r="D1017" s="453">
        <v>46054</v>
      </c>
      <c r="E1017">
        <v>19566</v>
      </c>
      <c r="F1017" t="s">
        <v>3986</v>
      </c>
      <c r="G1017">
        <v>2651</v>
      </c>
      <c r="H1017">
        <v>2</v>
      </c>
      <c r="I1017" t="s">
        <v>3892</v>
      </c>
      <c r="J1017" t="s">
        <v>3469</v>
      </c>
      <c r="K1017" t="s">
        <v>461</v>
      </c>
      <c r="L1017">
        <v>0</v>
      </c>
      <c r="M1017" s="453">
        <v>45936</v>
      </c>
      <c r="N1017">
        <v>43.75</v>
      </c>
      <c r="O1017">
        <v>50.76</v>
      </c>
      <c r="P1017">
        <v>87.5</v>
      </c>
    </row>
    <row r="1018" spans="1:16" x14ac:dyDescent="0.3">
      <c r="A1018">
        <v>72984</v>
      </c>
      <c r="B1018">
        <v>116</v>
      </c>
      <c r="C1018" t="s">
        <v>568</v>
      </c>
      <c r="D1018" s="453">
        <v>46054</v>
      </c>
      <c r="E1018">
        <v>18447</v>
      </c>
      <c r="F1018" t="s">
        <v>4027</v>
      </c>
      <c r="G1018">
        <v>3204</v>
      </c>
      <c r="H1018">
        <v>7</v>
      </c>
      <c r="I1018" t="s">
        <v>3878</v>
      </c>
      <c r="J1018" t="s">
        <v>3497</v>
      </c>
      <c r="K1018" t="s">
        <v>461</v>
      </c>
      <c r="L1018">
        <v>12.49</v>
      </c>
      <c r="M1018" s="453">
        <v>46050</v>
      </c>
      <c r="N1018">
        <v>12.49</v>
      </c>
      <c r="O1018">
        <v>12.49</v>
      </c>
      <c r="P1018">
        <v>87.43</v>
      </c>
    </row>
    <row r="1019" spans="1:16" x14ac:dyDescent="0.3">
      <c r="A1019">
        <v>72888</v>
      </c>
      <c r="B1019">
        <v>116</v>
      </c>
      <c r="C1019" t="s">
        <v>568</v>
      </c>
      <c r="D1019" s="453">
        <v>46054</v>
      </c>
      <c r="E1019">
        <v>19649</v>
      </c>
      <c r="F1019" t="s">
        <v>4015</v>
      </c>
      <c r="G1019">
        <v>2589</v>
      </c>
      <c r="H1019">
        <v>3</v>
      </c>
      <c r="I1019" t="s">
        <v>3892</v>
      </c>
      <c r="J1019" t="s">
        <v>3469</v>
      </c>
      <c r="K1019" t="s">
        <v>461</v>
      </c>
      <c r="L1019">
        <v>0</v>
      </c>
      <c r="M1019" s="453">
        <v>45831</v>
      </c>
      <c r="N1019">
        <v>29</v>
      </c>
      <c r="O1019">
        <v>23.5</v>
      </c>
      <c r="P1019">
        <v>87</v>
      </c>
    </row>
    <row r="1020" spans="1:16" x14ac:dyDescent="0.3">
      <c r="A1020">
        <v>72979</v>
      </c>
      <c r="B1020">
        <v>116</v>
      </c>
      <c r="C1020" t="s">
        <v>568</v>
      </c>
      <c r="D1020" s="453">
        <v>46054</v>
      </c>
      <c r="E1020">
        <v>18534</v>
      </c>
      <c r="F1020" t="s">
        <v>4084</v>
      </c>
      <c r="G1020">
        <v>3143</v>
      </c>
      <c r="H1020">
        <v>1</v>
      </c>
      <c r="I1020" t="s">
        <v>3878</v>
      </c>
      <c r="J1020" t="s">
        <v>3497</v>
      </c>
      <c r="K1020" t="s">
        <v>461</v>
      </c>
      <c r="L1020">
        <v>0</v>
      </c>
      <c r="N1020">
        <v>0</v>
      </c>
      <c r="O1020">
        <v>0</v>
      </c>
      <c r="P1020">
        <v>86.89</v>
      </c>
    </row>
    <row r="1021" spans="1:16" x14ac:dyDescent="0.3">
      <c r="A1021">
        <v>72841</v>
      </c>
      <c r="B1021">
        <v>116</v>
      </c>
      <c r="C1021" t="s">
        <v>568</v>
      </c>
      <c r="D1021" s="453">
        <v>46054</v>
      </c>
      <c r="E1021">
        <v>20358</v>
      </c>
      <c r="F1021" t="s">
        <v>3952</v>
      </c>
      <c r="G1021">
        <v>2200</v>
      </c>
      <c r="H1021">
        <v>6</v>
      </c>
      <c r="I1021" t="s">
        <v>3888</v>
      </c>
      <c r="J1021" t="s">
        <v>3469</v>
      </c>
      <c r="K1021" t="s">
        <v>461</v>
      </c>
      <c r="L1021">
        <v>14.3</v>
      </c>
      <c r="M1021" s="453">
        <v>46029</v>
      </c>
      <c r="N1021">
        <v>14.3</v>
      </c>
      <c r="O1021">
        <v>14.24</v>
      </c>
      <c r="P1021">
        <v>85.8</v>
      </c>
    </row>
    <row r="1022" spans="1:16" x14ac:dyDescent="0.3">
      <c r="A1022">
        <v>72877</v>
      </c>
      <c r="B1022">
        <v>116</v>
      </c>
      <c r="C1022" t="s">
        <v>568</v>
      </c>
      <c r="D1022" s="453">
        <v>46054</v>
      </c>
      <c r="E1022">
        <v>20456</v>
      </c>
      <c r="F1022" t="s">
        <v>4000</v>
      </c>
      <c r="G1022">
        <v>2166</v>
      </c>
      <c r="H1022">
        <v>2.2000000000000002</v>
      </c>
      <c r="I1022" t="s">
        <v>3892</v>
      </c>
      <c r="J1022" t="s">
        <v>3469</v>
      </c>
      <c r="K1022" t="s">
        <v>461</v>
      </c>
      <c r="L1022">
        <v>0</v>
      </c>
      <c r="M1022" s="453">
        <v>46011</v>
      </c>
      <c r="N1022">
        <v>39</v>
      </c>
      <c r="O1022">
        <v>39</v>
      </c>
      <c r="P1022">
        <v>85.8</v>
      </c>
    </row>
    <row r="1023" spans="1:16" x14ac:dyDescent="0.3">
      <c r="A1023">
        <v>72843</v>
      </c>
      <c r="B1023">
        <v>116</v>
      </c>
      <c r="C1023" t="s">
        <v>568</v>
      </c>
      <c r="D1023" s="453">
        <v>46054</v>
      </c>
      <c r="E1023">
        <v>20234</v>
      </c>
      <c r="F1023" t="s">
        <v>3979</v>
      </c>
      <c r="G1023">
        <v>2245</v>
      </c>
      <c r="H1023">
        <v>4</v>
      </c>
      <c r="I1023" t="s">
        <v>3892</v>
      </c>
      <c r="J1023" t="s">
        <v>3469</v>
      </c>
      <c r="K1023" t="s">
        <v>461</v>
      </c>
      <c r="L1023">
        <v>20.9</v>
      </c>
      <c r="M1023" s="453">
        <v>46036</v>
      </c>
      <c r="N1023">
        <v>20.9</v>
      </c>
      <c r="O1023">
        <v>20.9</v>
      </c>
      <c r="P1023">
        <v>83.6</v>
      </c>
    </row>
    <row r="1024" spans="1:16" x14ac:dyDescent="0.3">
      <c r="A1024">
        <v>73007</v>
      </c>
      <c r="B1024">
        <v>116</v>
      </c>
      <c r="C1024" t="s">
        <v>568</v>
      </c>
      <c r="D1024" s="453">
        <v>46054</v>
      </c>
      <c r="E1024">
        <v>18030</v>
      </c>
      <c r="F1024" t="s">
        <v>4033</v>
      </c>
      <c r="G1024">
        <v>3568</v>
      </c>
      <c r="H1024">
        <v>3</v>
      </c>
      <c r="I1024" t="s">
        <v>3878</v>
      </c>
      <c r="J1024" t="s">
        <v>3497</v>
      </c>
      <c r="K1024" t="s">
        <v>461</v>
      </c>
      <c r="L1024">
        <v>0</v>
      </c>
      <c r="M1024" s="453">
        <v>45972</v>
      </c>
      <c r="N1024">
        <v>27.5</v>
      </c>
      <c r="O1024">
        <v>27.99</v>
      </c>
      <c r="P1024">
        <v>82.5</v>
      </c>
    </row>
    <row r="1025" spans="1:16" x14ac:dyDescent="0.3">
      <c r="A1025">
        <v>72875</v>
      </c>
      <c r="B1025">
        <v>116</v>
      </c>
      <c r="C1025" t="s">
        <v>568</v>
      </c>
      <c r="D1025" s="453">
        <v>46054</v>
      </c>
      <c r="E1025">
        <v>20458</v>
      </c>
      <c r="F1025" t="s">
        <v>4121</v>
      </c>
      <c r="G1025">
        <v>2164</v>
      </c>
      <c r="H1025">
        <v>2.5</v>
      </c>
      <c r="I1025" t="s">
        <v>3892</v>
      </c>
      <c r="J1025" t="s">
        <v>3469</v>
      </c>
      <c r="K1025" t="s">
        <v>461</v>
      </c>
      <c r="L1025">
        <v>32.9</v>
      </c>
      <c r="M1025" s="453">
        <v>46050</v>
      </c>
      <c r="N1025">
        <v>32.9</v>
      </c>
      <c r="O1025">
        <v>32.9</v>
      </c>
      <c r="P1025">
        <v>82.25</v>
      </c>
    </row>
    <row r="1026" spans="1:16" x14ac:dyDescent="0.3">
      <c r="A1026">
        <v>72953</v>
      </c>
      <c r="B1026">
        <v>116</v>
      </c>
      <c r="C1026" t="s">
        <v>568</v>
      </c>
      <c r="D1026" s="453">
        <v>46054</v>
      </c>
      <c r="E1026">
        <v>17006</v>
      </c>
      <c r="F1026" t="s">
        <v>4128</v>
      </c>
      <c r="G1026">
        <v>2902</v>
      </c>
      <c r="H1026">
        <v>6.3</v>
      </c>
      <c r="I1026" t="s">
        <v>3892</v>
      </c>
      <c r="J1026" t="s">
        <v>3469</v>
      </c>
      <c r="K1026" t="s">
        <v>461</v>
      </c>
      <c r="L1026">
        <v>13</v>
      </c>
      <c r="M1026" s="453">
        <v>46052</v>
      </c>
      <c r="N1026">
        <v>13</v>
      </c>
      <c r="O1026">
        <v>13</v>
      </c>
      <c r="P1026">
        <v>81.900000000000006</v>
      </c>
    </row>
    <row r="1027" spans="1:16" x14ac:dyDescent="0.3">
      <c r="A1027">
        <v>73010</v>
      </c>
      <c r="B1027">
        <v>116</v>
      </c>
      <c r="C1027" t="s">
        <v>568</v>
      </c>
      <c r="D1027" s="453">
        <v>46054</v>
      </c>
      <c r="E1027">
        <v>20757</v>
      </c>
      <c r="F1027" t="s">
        <v>4050</v>
      </c>
      <c r="G1027">
        <v>2086</v>
      </c>
      <c r="H1027">
        <v>1</v>
      </c>
      <c r="I1027" t="s">
        <v>3966</v>
      </c>
      <c r="J1027" t="s">
        <v>3469</v>
      </c>
      <c r="K1027" t="s">
        <v>461</v>
      </c>
      <c r="L1027">
        <v>0</v>
      </c>
      <c r="M1027" s="453">
        <v>45986</v>
      </c>
      <c r="N1027">
        <v>81.540000000000006</v>
      </c>
      <c r="O1027">
        <v>78.3</v>
      </c>
      <c r="P1027">
        <v>81.540000000000006</v>
      </c>
    </row>
    <row r="1028" spans="1:16" x14ac:dyDescent="0.3">
      <c r="A1028">
        <v>72915</v>
      </c>
      <c r="B1028">
        <v>116</v>
      </c>
      <c r="C1028" t="s">
        <v>568</v>
      </c>
      <c r="D1028" s="453">
        <v>46054</v>
      </c>
      <c r="E1028">
        <v>20250</v>
      </c>
      <c r="F1028" t="s">
        <v>4008</v>
      </c>
      <c r="G1028">
        <v>2241</v>
      </c>
      <c r="H1028">
        <v>2</v>
      </c>
      <c r="I1028" t="s">
        <v>3888</v>
      </c>
      <c r="J1028" t="s">
        <v>3469</v>
      </c>
      <c r="K1028" t="s">
        <v>461</v>
      </c>
      <c r="L1028">
        <v>40.74</v>
      </c>
      <c r="M1028" s="453">
        <v>46036</v>
      </c>
      <c r="N1028">
        <v>40.74</v>
      </c>
      <c r="O1028">
        <v>40.6</v>
      </c>
      <c r="P1028">
        <v>81.48</v>
      </c>
    </row>
    <row r="1029" spans="1:16" x14ac:dyDescent="0.3">
      <c r="A1029">
        <v>72904</v>
      </c>
      <c r="B1029">
        <v>116</v>
      </c>
      <c r="C1029" t="s">
        <v>568</v>
      </c>
      <c r="D1029" s="453">
        <v>46054</v>
      </c>
      <c r="E1029">
        <v>27079</v>
      </c>
      <c r="F1029" t="s">
        <v>3891</v>
      </c>
      <c r="G1029">
        <v>2497</v>
      </c>
      <c r="H1029">
        <v>25</v>
      </c>
      <c r="I1029" t="s">
        <v>3892</v>
      </c>
      <c r="J1029" t="s">
        <v>3469</v>
      </c>
      <c r="K1029" t="s">
        <v>461</v>
      </c>
      <c r="L1029">
        <v>0</v>
      </c>
      <c r="M1029" s="453">
        <v>45813</v>
      </c>
      <c r="N1029">
        <v>3.25</v>
      </c>
      <c r="O1029">
        <v>3.25</v>
      </c>
      <c r="P1029">
        <v>81.25</v>
      </c>
    </row>
    <row r="1030" spans="1:16" x14ac:dyDescent="0.3">
      <c r="A1030">
        <v>72832</v>
      </c>
      <c r="B1030">
        <v>116</v>
      </c>
      <c r="C1030" t="s">
        <v>568</v>
      </c>
      <c r="D1030" s="453">
        <v>46054</v>
      </c>
      <c r="E1030">
        <v>20661</v>
      </c>
      <c r="F1030" t="s">
        <v>3919</v>
      </c>
      <c r="G1030">
        <v>2110</v>
      </c>
      <c r="H1030">
        <v>9</v>
      </c>
      <c r="I1030" t="s">
        <v>3872</v>
      </c>
      <c r="J1030" t="s">
        <v>3469</v>
      </c>
      <c r="K1030" t="s">
        <v>461</v>
      </c>
      <c r="L1030">
        <v>8.81</v>
      </c>
      <c r="M1030" s="453">
        <v>46050</v>
      </c>
      <c r="N1030">
        <v>8.7799999999999994</v>
      </c>
      <c r="O1030">
        <v>8.76</v>
      </c>
      <c r="P1030">
        <v>79.290000000000006</v>
      </c>
    </row>
    <row r="1031" spans="1:16" x14ac:dyDescent="0.3">
      <c r="A1031">
        <v>72858</v>
      </c>
      <c r="B1031">
        <v>116</v>
      </c>
      <c r="C1031" t="s">
        <v>568</v>
      </c>
      <c r="D1031" s="453">
        <v>46054</v>
      </c>
      <c r="E1031">
        <v>23515</v>
      </c>
      <c r="F1031" t="s">
        <v>3980</v>
      </c>
      <c r="G1031">
        <v>2353</v>
      </c>
      <c r="H1031">
        <v>4</v>
      </c>
      <c r="I1031" t="s">
        <v>3872</v>
      </c>
      <c r="J1031" t="s">
        <v>3469</v>
      </c>
      <c r="K1031" t="s">
        <v>461</v>
      </c>
      <c r="L1031">
        <v>0</v>
      </c>
      <c r="M1031" s="453">
        <v>45972</v>
      </c>
      <c r="N1031">
        <v>19.170000000000002</v>
      </c>
      <c r="O1031">
        <v>19.27</v>
      </c>
      <c r="P1031">
        <v>76.680000000000007</v>
      </c>
    </row>
    <row r="1032" spans="1:16" x14ac:dyDescent="0.3">
      <c r="A1032">
        <v>72822</v>
      </c>
      <c r="B1032">
        <v>116</v>
      </c>
      <c r="C1032" t="s">
        <v>568</v>
      </c>
      <c r="D1032" s="453">
        <v>46054</v>
      </c>
      <c r="E1032">
        <v>21093</v>
      </c>
      <c r="F1032" t="s">
        <v>3903</v>
      </c>
      <c r="G1032">
        <v>1988</v>
      </c>
      <c r="H1032">
        <v>16</v>
      </c>
      <c r="I1032" t="s">
        <v>3892</v>
      </c>
      <c r="J1032" t="s">
        <v>3469</v>
      </c>
      <c r="K1032" t="s">
        <v>461</v>
      </c>
      <c r="L1032">
        <v>4.68</v>
      </c>
      <c r="M1032" s="453">
        <v>46050</v>
      </c>
      <c r="N1032">
        <v>4.6500000000000004</v>
      </c>
      <c r="O1032">
        <v>4.6399999999999997</v>
      </c>
      <c r="P1032">
        <v>74.88</v>
      </c>
    </row>
    <row r="1033" spans="1:16" x14ac:dyDescent="0.3">
      <c r="A1033">
        <v>72908</v>
      </c>
      <c r="B1033">
        <v>116</v>
      </c>
      <c r="C1033" t="s">
        <v>568</v>
      </c>
      <c r="D1033" s="453">
        <v>46054</v>
      </c>
      <c r="E1033">
        <v>19478</v>
      </c>
      <c r="F1033" t="s">
        <v>4072</v>
      </c>
      <c r="G1033">
        <v>2728</v>
      </c>
      <c r="H1033">
        <v>1</v>
      </c>
      <c r="I1033" t="s">
        <v>3892</v>
      </c>
      <c r="J1033" t="s">
        <v>3469</v>
      </c>
      <c r="K1033" t="s">
        <v>461</v>
      </c>
      <c r="L1033">
        <v>72.91</v>
      </c>
      <c r="M1033" s="453">
        <v>46037</v>
      </c>
      <c r="N1033">
        <v>72.91</v>
      </c>
      <c r="O1033">
        <v>65</v>
      </c>
      <c r="P1033">
        <v>72.91</v>
      </c>
    </row>
    <row r="1034" spans="1:16" x14ac:dyDescent="0.3">
      <c r="A1034">
        <v>72811</v>
      </c>
      <c r="B1034">
        <v>116</v>
      </c>
      <c r="C1034" t="s">
        <v>568</v>
      </c>
      <c r="D1034" s="453">
        <v>46054</v>
      </c>
      <c r="E1034">
        <v>23095</v>
      </c>
      <c r="F1034" t="s">
        <v>3882</v>
      </c>
      <c r="G1034">
        <v>2754</v>
      </c>
      <c r="H1034">
        <v>77</v>
      </c>
      <c r="I1034" t="s">
        <v>3872</v>
      </c>
      <c r="J1034" t="s">
        <v>3469</v>
      </c>
      <c r="K1034" t="s">
        <v>461</v>
      </c>
      <c r="L1034">
        <v>0.94</v>
      </c>
      <c r="M1034" s="453">
        <v>46051</v>
      </c>
      <c r="N1034">
        <v>0.94</v>
      </c>
      <c r="O1034">
        <v>0.94</v>
      </c>
      <c r="P1034">
        <v>72.38</v>
      </c>
    </row>
    <row r="1035" spans="1:16" x14ac:dyDescent="0.3">
      <c r="A1035">
        <v>72946</v>
      </c>
      <c r="B1035">
        <v>116</v>
      </c>
      <c r="C1035" t="s">
        <v>568</v>
      </c>
      <c r="D1035" s="453">
        <v>46054</v>
      </c>
      <c r="E1035">
        <v>18702</v>
      </c>
      <c r="F1035" t="s">
        <v>4043</v>
      </c>
      <c r="G1035">
        <v>3033</v>
      </c>
      <c r="H1035">
        <v>2.5</v>
      </c>
      <c r="I1035" t="s">
        <v>3892</v>
      </c>
      <c r="J1035" t="s">
        <v>3469</v>
      </c>
      <c r="K1035" t="s">
        <v>461</v>
      </c>
      <c r="L1035">
        <v>0</v>
      </c>
      <c r="M1035" s="453">
        <v>45930</v>
      </c>
      <c r="N1035">
        <v>28.9</v>
      </c>
      <c r="O1035">
        <v>28.9</v>
      </c>
      <c r="P1035">
        <v>72.25</v>
      </c>
    </row>
    <row r="1036" spans="1:16" x14ac:dyDescent="0.3">
      <c r="A1036">
        <v>72881</v>
      </c>
      <c r="B1036">
        <v>116</v>
      </c>
      <c r="C1036" t="s">
        <v>568</v>
      </c>
      <c r="D1036" s="453">
        <v>46054</v>
      </c>
      <c r="E1036">
        <v>20949</v>
      </c>
      <c r="F1036" t="s">
        <v>3983</v>
      </c>
      <c r="G1036">
        <v>2023</v>
      </c>
      <c r="H1036">
        <v>9</v>
      </c>
      <c r="I1036" t="s">
        <v>3878</v>
      </c>
      <c r="J1036" t="s">
        <v>3469</v>
      </c>
      <c r="K1036" t="s">
        <v>461</v>
      </c>
      <c r="L1036">
        <v>7.96</v>
      </c>
      <c r="M1036" s="453">
        <v>46050</v>
      </c>
      <c r="N1036">
        <v>7.96</v>
      </c>
      <c r="O1036">
        <v>7.96</v>
      </c>
      <c r="P1036">
        <v>71.64</v>
      </c>
    </row>
    <row r="1037" spans="1:16" x14ac:dyDescent="0.3">
      <c r="A1037">
        <v>72971</v>
      </c>
      <c r="B1037">
        <v>116</v>
      </c>
      <c r="C1037" t="s">
        <v>568</v>
      </c>
      <c r="D1037" s="453">
        <v>46054</v>
      </c>
      <c r="E1037">
        <v>20702</v>
      </c>
      <c r="F1037" t="s">
        <v>4006</v>
      </c>
      <c r="G1037">
        <v>2101</v>
      </c>
      <c r="H1037">
        <v>1.5</v>
      </c>
      <c r="I1037" t="s">
        <v>3966</v>
      </c>
      <c r="J1037" t="s">
        <v>3469</v>
      </c>
      <c r="K1037" t="s">
        <v>461</v>
      </c>
      <c r="L1037">
        <v>46.57</v>
      </c>
      <c r="M1037" s="453">
        <v>46036</v>
      </c>
      <c r="N1037">
        <v>42.9</v>
      </c>
      <c r="O1037">
        <v>42.9</v>
      </c>
      <c r="P1037">
        <v>69.86</v>
      </c>
    </row>
    <row r="1038" spans="1:16" x14ac:dyDescent="0.3">
      <c r="A1038">
        <v>72901</v>
      </c>
      <c r="B1038">
        <v>116</v>
      </c>
      <c r="C1038" t="s">
        <v>568</v>
      </c>
      <c r="D1038" s="453">
        <v>46054</v>
      </c>
      <c r="E1038">
        <v>23234</v>
      </c>
      <c r="F1038" t="s">
        <v>4018</v>
      </c>
      <c r="G1038">
        <v>2622</v>
      </c>
      <c r="H1038">
        <v>3</v>
      </c>
      <c r="I1038" t="s">
        <v>3892</v>
      </c>
      <c r="J1038" t="s">
        <v>3469</v>
      </c>
      <c r="K1038" t="s">
        <v>461</v>
      </c>
      <c r="L1038">
        <v>23</v>
      </c>
      <c r="M1038" s="453">
        <v>46041</v>
      </c>
      <c r="N1038">
        <v>23</v>
      </c>
      <c r="O1038">
        <v>23</v>
      </c>
      <c r="P1038">
        <v>69</v>
      </c>
    </row>
    <row r="1039" spans="1:16" x14ac:dyDescent="0.3">
      <c r="A1039">
        <v>72855</v>
      </c>
      <c r="B1039">
        <v>116</v>
      </c>
      <c r="C1039" t="s">
        <v>568</v>
      </c>
      <c r="D1039" s="453">
        <v>46054</v>
      </c>
      <c r="E1039">
        <v>27472</v>
      </c>
      <c r="F1039" t="s">
        <v>4146</v>
      </c>
      <c r="G1039">
        <v>7472</v>
      </c>
      <c r="H1039">
        <v>4</v>
      </c>
      <c r="I1039" t="s">
        <v>3872</v>
      </c>
      <c r="J1039" t="s">
        <v>3469</v>
      </c>
      <c r="K1039" t="s">
        <v>461</v>
      </c>
      <c r="L1039">
        <v>16.72</v>
      </c>
      <c r="M1039" s="453">
        <v>46029</v>
      </c>
      <c r="N1039">
        <v>16.72</v>
      </c>
      <c r="O1039">
        <v>18.920000000000002</v>
      </c>
      <c r="P1039">
        <v>66.88</v>
      </c>
    </row>
    <row r="1040" spans="1:16" x14ac:dyDescent="0.3">
      <c r="A1040">
        <v>72842</v>
      </c>
      <c r="B1040">
        <v>116</v>
      </c>
      <c r="C1040" t="s">
        <v>568</v>
      </c>
      <c r="D1040" s="453">
        <v>46054</v>
      </c>
      <c r="E1040">
        <v>20227</v>
      </c>
      <c r="F1040" t="s">
        <v>3968</v>
      </c>
      <c r="G1040">
        <v>2248</v>
      </c>
      <c r="H1040">
        <v>6</v>
      </c>
      <c r="I1040" t="s">
        <v>3888</v>
      </c>
      <c r="J1040" t="s">
        <v>3469</v>
      </c>
      <c r="K1040" t="s">
        <v>461</v>
      </c>
      <c r="L1040">
        <v>10</v>
      </c>
      <c r="M1040" s="453">
        <v>46041</v>
      </c>
      <c r="N1040">
        <v>10</v>
      </c>
      <c r="O1040">
        <v>10</v>
      </c>
      <c r="P1040">
        <v>60</v>
      </c>
    </row>
    <row r="1041" spans="1:16" x14ac:dyDescent="0.3">
      <c r="A1041">
        <v>72833</v>
      </c>
      <c r="B1041">
        <v>116</v>
      </c>
      <c r="C1041" t="s">
        <v>568</v>
      </c>
      <c r="D1041" s="453">
        <v>46054</v>
      </c>
      <c r="E1041">
        <v>17917</v>
      </c>
      <c r="F1041" t="s">
        <v>4144</v>
      </c>
      <c r="G1041">
        <v>3647</v>
      </c>
      <c r="H1041">
        <v>0.38</v>
      </c>
      <c r="I1041" t="s">
        <v>3888</v>
      </c>
      <c r="J1041" t="s">
        <v>3497</v>
      </c>
      <c r="K1041" t="s">
        <v>461</v>
      </c>
      <c r="L1041">
        <v>0</v>
      </c>
      <c r="N1041">
        <v>0</v>
      </c>
      <c r="O1041">
        <v>154.13999999999999</v>
      </c>
      <c r="P1041">
        <v>58.57</v>
      </c>
    </row>
    <row r="1042" spans="1:16" x14ac:dyDescent="0.3">
      <c r="A1042">
        <v>72976</v>
      </c>
      <c r="B1042">
        <v>116</v>
      </c>
      <c r="C1042" t="s">
        <v>568</v>
      </c>
      <c r="D1042" s="453">
        <v>46054</v>
      </c>
      <c r="E1042">
        <v>18528</v>
      </c>
      <c r="F1042" t="s">
        <v>4108</v>
      </c>
      <c r="G1042">
        <v>3147</v>
      </c>
      <c r="H1042">
        <v>1</v>
      </c>
      <c r="I1042" t="s">
        <v>3878</v>
      </c>
      <c r="J1042" t="s">
        <v>3497</v>
      </c>
      <c r="K1042" t="s">
        <v>461</v>
      </c>
      <c r="L1042">
        <v>0</v>
      </c>
      <c r="M1042" s="453">
        <v>45994</v>
      </c>
      <c r="N1042">
        <v>55.48</v>
      </c>
      <c r="O1042">
        <v>55.48</v>
      </c>
      <c r="P1042">
        <v>55.48</v>
      </c>
    </row>
    <row r="1043" spans="1:16" x14ac:dyDescent="0.3">
      <c r="A1043">
        <v>73001</v>
      </c>
      <c r="B1043">
        <v>116</v>
      </c>
      <c r="C1043" t="s">
        <v>568</v>
      </c>
      <c r="D1043" s="453">
        <v>46054</v>
      </c>
      <c r="E1043">
        <v>18200</v>
      </c>
      <c r="F1043" t="s">
        <v>4032</v>
      </c>
      <c r="G1043">
        <v>3426</v>
      </c>
      <c r="H1043">
        <v>1.5</v>
      </c>
      <c r="I1043" t="s">
        <v>3878</v>
      </c>
      <c r="J1043" t="s">
        <v>3497</v>
      </c>
      <c r="K1043" t="s">
        <v>461</v>
      </c>
      <c r="L1043">
        <v>0</v>
      </c>
      <c r="M1043" s="453">
        <v>45978</v>
      </c>
      <c r="N1043">
        <v>34.630000000000003</v>
      </c>
      <c r="O1043">
        <v>34.630000000000003</v>
      </c>
      <c r="P1043">
        <v>51.95</v>
      </c>
    </row>
    <row r="1044" spans="1:16" x14ac:dyDescent="0.3">
      <c r="A1044">
        <v>73009</v>
      </c>
      <c r="B1044">
        <v>116</v>
      </c>
      <c r="C1044" t="s">
        <v>568</v>
      </c>
      <c r="D1044" s="453">
        <v>46054</v>
      </c>
      <c r="E1044">
        <v>21078</v>
      </c>
      <c r="F1044" t="s">
        <v>4049</v>
      </c>
      <c r="G1044">
        <v>1991</v>
      </c>
      <c r="H1044">
        <v>1</v>
      </c>
      <c r="I1044" t="s">
        <v>3881</v>
      </c>
      <c r="J1044" t="s">
        <v>3469</v>
      </c>
      <c r="K1044" t="s">
        <v>461</v>
      </c>
      <c r="L1044">
        <v>0</v>
      </c>
      <c r="M1044" s="453">
        <v>46008</v>
      </c>
      <c r="N1044">
        <v>49.89</v>
      </c>
      <c r="O1044">
        <v>49.89</v>
      </c>
      <c r="P1044">
        <v>49.89</v>
      </c>
    </row>
    <row r="1045" spans="1:16" x14ac:dyDescent="0.3">
      <c r="A1045">
        <v>73020</v>
      </c>
      <c r="B1045">
        <v>116</v>
      </c>
      <c r="C1045" t="s">
        <v>568</v>
      </c>
      <c r="D1045" s="453">
        <v>46054</v>
      </c>
      <c r="E1045">
        <v>19967</v>
      </c>
      <c r="F1045" t="s">
        <v>3930</v>
      </c>
      <c r="G1045">
        <v>2356</v>
      </c>
      <c r="H1045">
        <v>1</v>
      </c>
      <c r="I1045" t="s">
        <v>3931</v>
      </c>
      <c r="J1045" t="s">
        <v>3469</v>
      </c>
      <c r="K1045" t="s">
        <v>461</v>
      </c>
      <c r="L1045">
        <v>49.88</v>
      </c>
      <c r="M1045" s="453">
        <v>46037</v>
      </c>
      <c r="N1045">
        <v>49.88</v>
      </c>
      <c r="O1045">
        <v>49.09</v>
      </c>
      <c r="P1045">
        <v>49.88</v>
      </c>
    </row>
    <row r="1046" spans="1:16" x14ac:dyDescent="0.3">
      <c r="A1046">
        <v>72879</v>
      </c>
      <c r="B1046">
        <v>116</v>
      </c>
      <c r="C1046" t="s">
        <v>568</v>
      </c>
      <c r="D1046" s="453">
        <v>46054</v>
      </c>
      <c r="E1046">
        <v>20287</v>
      </c>
      <c r="F1046" t="s">
        <v>4053</v>
      </c>
      <c r="G1046">
        <v>2229</v>
      </c>
      <c r="H1046">
        <v>2</v>
      </c>
      <c r="I1046" t="s">
        <v>3888</v>
      </c>
      <c r="J1046" t="s">
        <v>3469</v>
      </c>
      <c r="K1046" t="s">
        <v>461</v>
      </c>
      <c r="L1046">
        <v>24.85</v>
      </c>
      <c r="M1046" s="453">
        <v>46029</v>
      </c>
      <c r="N1046">
        <v>24.85</v>
      </c>
      <c r="O1046">
        <v>24.85</v>
      </c>
      <c r="P1046">
        <v>49.7</v>
      </c>
    </row>
    <row r="1047" spans="1:16" x14ac:dyDescent="0.3">
      <c r="A1047">
        <v>72845</v>
      </c>
      <c r="B1047">
        <v>116</v>
      </c>
      <c r="C1047" t="s">
        <v>568</v>
      </c>
      <c r="D1047" s="453">
        <v>46054</v>
      </c>
      <c r="E1047">
        <v>19415</v>
      </c>
      <c r="F1047" t="s">
        <v>3941</v>
      </c>
      <c r="G1047">
        <v>2759</v>
      </c>
      <c r="H1047">
        <v>6</v>
      </c>
      <c r="I1047" t="s">
        <v>3872</v>
      </c>
      <c r="J1047" t="s">
        <v>3469</v>
      </c>
      <c r="K1047" t="s">
        <v>461</v>
      </c>
      <c r="L1047">
        <v>8.11</v>
      </c>
      <c r="M1047" s="453">
        <v>46050</v>
      </c>
      <c r="N1047">
        <v>7.8</v>
      </c>
      <c r="O1047">
        <v>8.8000000000000007</v>
      </c>
      <c r="P1047">
        <v>48.66</v>
      </c>
    </row>
    <row r="1048" spans="1:16" x14ac:dyDescent="0.3">
      <c r="A1048">
        <v>72846</v>
      </c>
      <c r="B1048">
        <v>116</v>
      </c>
      <c r="C1048" t="s">
        <v>568</v>
      </c>
      <c r="D1048" s="453">
        <v>46054</v>
      </c>
      <c r="E1048">
        <v>17093</v>
      </c>
      <c r="F1048" t="s">
        <v>3993</v>
      </c>
      <c r="G1048">
        <v>4165</v>
      </c>
      <c r="H1048">
        <v>6</v>
      </c>
      <c r="I1048" t="s">
        <v>3888</v>
      </c>
      <c r="J1048" t="s">
        <v>3497</v>
      </c>
      <c r="K1048" t="s">
        <v>461</v>
      </c>
      <c r="L1048">
        <v>0</v>
      </c>
      <c r="M1048" s="453">
        <v>45803</v>
      </c>
      <c r="N1048">
        <v>8</v>
      </c>
      <c r="O1048">
        <v>9</v>
      </c>
      <c r="P1048">
        <v>48</v>
      </c>
    </row>
    <row r="1049" spans="1:16" x14ac:dyDescent="0.3">
      <c r="A1049">
        <v>72986</v>
      </c>
      <c r="B1049">
        <v>116</v>
      </c>
      <c r="C1049" t="s">
        <v>568</v>
      </c>
      <c r="D1049" s="453">
        <v>46054</v>
      </c>
      <c r="E1049">
        <v>18395</v>
      </c>
      <c r="F1049" t="s">
        <v>4085</v>
      </c>
      <c r="G1049">
        <v>3245</v>
      </c>
      <c r="H1049">
        <v>1.5</v>
      </c>
      <c r="I1049" t="s">
        <v>3878</v>
      </c>
      <c r="J1049" t="s">
        <v>3497</v>
      </c>
      <c r="K1049" t="s">
        <v>461</v>
      </c>
      <c r="L1049">
        <v>0</v>
      </c>
      <c r="M1049" s="453">
        <v>45978</v>
      </c>
      <c r="N1049">
        <v>32</v>
      </c>
      <c r="O1049">
        <v>32.57</v>
      </c>
      <c r="P1049">
        <v>48</v>
      </c>
    </row>
    <row r="1050" spans="1:16" x14ac:dyDescent="0.3">
      <c r="A1050">
        <v>72828</v>
      </c>
      <c r="B1050">
        <v>116</v>
      </c>
      <c r="C1050" t="s">
        <v>568</v>
      </c>
      <c r="D1050" s="453">
        <v>46054</v>
      </c>
      <c r="E1050">
        <v>24185</v>
      </c>
      <c r="F1050" t="s">
        <v>4040</v>
      </c>
      <c r="G1050">
        <v>2331</v>
      </c>
      <c r="H1050">
        <v>2</v>
      </c>
      <c r="I1050" t="s">
        <v>3892</v>
      </c>
      <c r="J1050" t="s">
        <v>3469</v>
      </c>
      <c r="K1050" t="s">
        <v>461</v>
      </c>
      <c r="L1050">
        <v>23.1</v>
      </c>
      <c r="M1050" s="453">
        <v>46050</v>
      </c>
      <c r="N1050">
        <v>23.1</v>
      </c>
      <c r="O1050">
        <v>23.1</v>
      </c>
      <c r="P1050">
        <v>46.2</v>
      </c>
    </row>
    <row r="1051" spans="1:16" x14ac:dyDescent="0.3">
      <c r="A1051">
        <v>72863</v>
      </c>
      <c r="B1051">
        <v>116</v>
      </c>
      <c r="C1051" t="s">
        <v>568</v>
      </c>
      <c r="D1051" s="453">
        <v>46054</v>
      </c>
      <c r="E1051">
        <v>19973</v>
      </c>
      <c r="F1051" t="s">
        <v>3981</v>
      </c>
      <c r="G1051">
        <v>2354</v>
      </c>
      <c r="H1051">
        <v>3</v>
      </c>
      <c r="I1051" t="s">
        <v>3872</v>
      </c>
      <c r="J1051" t="s">
        <v>3469</v>
      </c>
      <c r="K1051" t="s">
        <v>461</v>
      </c>
      <c r="L1051">
        <v>15.2</v>
      </c>
      <c r="M1051" s="453">
        <v>46028</v>
      </c>
      <c r="N1051">
        <v>15.2</v>
      </c>
      <c r="O1051">
        <v>15.2</v>
      </c>
      <c r="P1051">
        <v>45.6</v>
      </c>
    </row>
    <row r="1052" spans="1:16" x14ac:dyDescent="0.3">
      <c r="A1052">
        <v>73008</v>
      </c>
      <c r="B1052">
        <v>116</v>
      </c>
      <c r="C1052" t="s">
        <v>568</v>
      </c>
      <c r="D1052" s="453">
        <v>46054</v>
      </c>
      <c r="E1052">
        <v>21085</v>
      </c>
      <c r="F1052" t="s">
        <v>4114</v>
      </c>
      <c r="G1052">
        <v>1989</v>
      </c>
      <c r="H1052">
        <v>1</v>
      </c>
      <c r="I1052" t="s">
        <v>3881</v>
      </c>
      <c r="J1052" t="s">
        <v>3469</v>
      </c>
      <c r="K1052" t="s">
        <v>461</v>
      </c>
      <c r="L1052">
        <v>0</v>
      </c>
      <c r="M1052" s="453">
        <v>46008</v>
      </c>
      <c r="N1052">
        <v>45.31</v>
      </c>
      <c r="O1052">
        <v>45.31</v>
      </c>
      <c r="P1052">
        <v>45.31</v>
      </c>
    </row>
    <row r="1053" spans="1:16" x14ac:dyDescent="0.3">
      <c r="A1053">
        <v>72831</v>
      </c>
      <c r="B1053">
        <v>116</v>
      </c>
      <c r="C1053" t="s">
        <v>568</v>
      </c>
      <c r="D1053" s="453">
        <v>46054</v>
      </c>
      <c r="E1053">
        <v>24212</v>
      </c>
      <c r="F1053" t="s">
        <v>4056</v>
      </c>
      <c r="G1053">
        <v>2064</v>
      </c>
      <c r="H1053">
        <v>4</v>
      </c>
      <c r="I1053" t="s">
        <v>3892</v>
      </c>
      <c r="J1053" t="s">
        <v>3469</v>
      </c>
      <c r="K1053" t="s">
        <v>461</v>
      </c>
      <c r="L1053">
        <v>10.98</v>
      </c>
      <c r="M1053" s="453">
        <v>46037</v>
      </c>
      <c r="N1053">
        <v>10.98</v>
      </c>
      <c r="O1053">
        <v>10.98</v>
      </c>
      <c r="P1053">
        <v>43.92</v>
      </c>
    </row>
    <row r="1054" spans="1:16" x14ac:dyDescent="0.3">
      <c r="A1054">
        <v>73016</v>
      </c>
      <c r="B1054">
        <v>116</v>
      </c>
      <c r="C1054" t="s">
        <v>568</v>
      </c>
      <c r="D1054" s="453">
        <v>46054</v>
      </c>
      <c r="E1054">
        <v>20717</v>
      </c>
      <c r="F1054" t="s">
        <v>4055</v>
      </c>
      <c r="G1054">
        <v>2097</v>
      </c>
      <c r="H1054">
        <v>1</v>
      </c>
      <c r="I1054" t="s">
        <v>3872</v>
      </c>
      <c r="J1054" t="s">
        <v>3469</v>
      </c>
      <c r="K1054" t="s">
        <v>461</v>
      </c>
      <c r="L1054">
        <v>43.4</v>
      </c>
      <c r="M1054" s="453">
        <v>46036</v>
      </c>
      <c r="N1054">
        <v>43.4</v>
      </c>
      <c r="O1054">
        <v>43.4</v>
      </c>
      <c r="P1054">
        <v>43.4</v>
      </c>
    </row>
    <row r="1055" spans="1:16" x14ac:dyDescent="0.3">
      <c r="A1055">
        <v>72892</v>
      </c>
      <c r="B1055">
        <v>116</v>
      </c>
      <c r="C1055" t="s">
        <v>568</v>
      </c>
      <c r="D1055" s="453">
        <v>46054</v>
      </c>
      <c r="E1055">
        <v>24083</v>
      </c>
      <c r="F1055" t="s">
        <v>3898</v>
      </c>
      <c r="G1055">
        <v>2592</v>
      </c>
      <c r="H1055">
        <v>11</v>
      </c>
      <c r="I1055" t="s">
        <v>3892</v>
      </c>
      <c r="J1055" t="s">
        <v>3469</v>
      </c>
      <c r="K1055" t="s">
        <v>461</v>
      </c>
      <c r="L1055">
        <v>3.94</v>
      </c>
      <c r="M1055" s="453">
        <v>46051</v>
      </c>
      <c r="N1055">
        <v>4.0599999999999996</v>
      </c>
      <c r="O1055">
        <v>4</v>
      </c>
      <c r="P1055">
        <v>43.34</v>
      </c>
    </row>
    <row r="1056" spans="1:16" x14ac:dyDescent="0.3">
      <c r="A1056">
        <v>72864</v>
      </c>
      <c r="B1056">
        <v>116</v>
      </c>
      <c r="C1056" t="s">
        <v>568</v>
      </c>
      <c r="D1056" s="453">
        <v>46054</v>
      </c>
      <c r="E1056">
        <v>23505</v>
      </c>
      <c r="F1056" t="s">
        <v>4124</v>
      </c>
      <c r="G1056">
        <v>2364</v>
      </c>
      <c r="H1056">
        <v>0.5</v>
      </c>
      <c r="I1056" t="s">
        <v>3892</v>
      </c>
      <c r="J1056" t="s">
        <v>3469</v>
      </c>
      <c r="K1056" t="s">
        <v>461</v>
      </c>
      <c r="L1056">
        <v>0</v>
      </c>
      <c r="N1056">
        <v>0</v>
      </c>
      <c r="O1056">
        <v>0</v>
      </c>
      <c r="P1056">
        <v>42.5</v>
      </c>
    </row>
    <row r="1057" spans="1:16" x14ac:dyDescent="0.3">
      <c r="A1057">
        <v>72913</v>
      </c>
      <c r="B1057">
        <v>116</v>
      </c>
      <c r="C1057" t="s">
        <v>568</v>
      </c>
      <c r="D1057" s="453">
        <v>46054</v>
      </c>
      <c r="E1057">
        <v>23345</v>
      </c>
      <c r="F1057" t="s">
        <v>3933</v>
      </c>
      <c r="G1057">
        <v>2513</v>
      </c>
      <c r="H1057">
        <v>5</v>
      </c>
      <c r="I1057" t="s">
        <v>3892</v>
      </c>
      <c r="J1057" t="s">
        <v>3469</v>
      </c>
      <c r="K1057" t="s">
        <v>461</v>
      </c>
      <c r="L1057">
        <v>0</v>
      </c>
      <c r="M1057" s="453">
        <v>45680</v>
      </c>
      <c r="N1057">
        <v>8.5</v>
      </c>
      <c r="O1057">
        <v>8.5</v>
      </c>
      <c r="P1057">
        <v>42.5</v>
      </c>
    </row>
    <row r="1058" spans="1:16" x14ac:dyDescent="0.3">
      <c r="A1058">
        <v>72918</v>
      </c>
      <c r="B1058">
        <v>116</v>
      </c>
      <c r="C1058" t="s">
        <v>568</v>
      </c>
      <c r="D1058" s="453">
        <v>46054</v>
      </c>
      <c r="E1058">
        <v>19583</v>
      </c>
      <c r="F1058" t="s">
        <v>4076</v>
      </c>
      <c r="G1058">
        <v>2639</v>
      </c>
      <c r="H1058">
        <v>1</v>
      </c>
      <c r="I1058" t="s">
        <v>3892</v>
      </c>
      <c r="J1058" t="s">
        <v>3469</v>
      </c>
      <c r="K1058" t="s">
        <v>461</v>
      </c>
      <c r="L1058">
        <v>42</v>
      </c>
      <c r="M1058" s="453">
        <v>46030</v>
      </c>
      <c r="N1058">
        <v>42</v>
      </c>
      <c r="O1058">
        <v>45</v>
      </c>
      <c r="P1058">
        <v>42</v>
      </c>
    </row>
    <row r="1059" spans="1:16" x14ac:dyDescent="0.3">
      <c r="A1059">
        <v>73023</v>
      </c>
      <c r="B1059">
        <v>116</v>
      </c>
      <c r="C1059" t="s">
        <v>568</v>
      </c>
      <c r="D1059" s="453">
        <v>46054</v>
      </c>
      <c r="E1059">
        <v>17896</v>
      </c>
      <c r="F1059" t="s">
        <v>3972</v>
      </c>
      <c r="G1059">
        <v>3664</v>
      </c>
      <c r="H1059">
        <v>1</v>
      </c>
      <c r="I1059" t="s">
        <v>3888</v>
      </c>
      <c r="J1059" t="s">
        <v>3497</v>
      </c>
      <c r="K1059" t="s">
        <v>461</v>
      </c>
      <c r="L1059">
        <v>41.45</v>
      </c>
      <c r="M1059" s="453">
        <v>46042</v>
      </c>
      <c r="N1059">
        <v>46.08</v>
      </c>
      <c r="O1059">
        <v>45.35</v>
      </c>
      <c r="P1059">
        <v>41.45</v>
      </c>
    </row>
    <row r="1060" spans="1:16" x14ac:dyDescent="0.3">
      <c r="A1060">
        <v>72890</v>
      </c>
      <c r="B1060">
        <v>116</v>
      </c>
      <c r="C1060" t="s">
        <v>568</v>
      </c>
      <c r="D1060" s="453">
        <v>46054</v>
      </c>
      <c r="E1060">
        <v>24037</v>
      </c>
      <c r="F1060" t="s">
        <v>4104</v>
      </c>
      <c r="G1060">
        <v>2590</v>
      </c>
      <c r="H1060">
        <v>2</v>
      </c>
      <c r="I1060" t="s">
        <v>3892</v>
      </c>
      <c r="J1060" t="s">
        <v>3469</v>
      </c>
      <c r="K1060" t="s">
        <v>461</v>
      </c>
      <c r="L1060">
        <v>20.65</v>
      </c>
      <c r="M1060" s="453">
        <v>46051</v>
      </c>
      <c r="N1060">
        <v>20</v>
      </c>
      <c r="O1060">
        <v>19.559999999999999</v>
      </c>
      <c r="P1060">
        <v>41.3</v>
      </c>
    </row>
    <row r="1061" spans="1:16" x14ac:dyDescent="0.3">
      <c r="A1061">
        <v>72895</v>
      </c>
      <c r="B1061">
        <v>116</v>
      </c>
      <c r="C1061" t="s">
        <v>568</v>
      </c>
      <c r="D1061" s="453">
        <v>46054</v>
      </c>
      <c r="E1061">
        <v>19494</v>
      </c>
      <c r="F1061" t="s">
        <v>4126</v>
      </c>
      <c r="G1061">
        <v>2716</v>
      </c>
      <c r="H1061">
        <v>2</v>
      </c>
      <c r="I1061" t="s">
        <v>3892</v>
      </c>
      <c r="J1061" t="s">
        <v>3469</v>
      </c>
      <c r="K1061" t="s">
        <v>461</v>
      </c>
      <c r="L1061">
        <v>20.32</v>
      </c>
      <c r="M1061" s="453">
        <v>46051</v>
      </c>
      <c r="N1061">
        <v>22.9</v>
      </c>
      <c r="O1061">
        <v>22.91</v>
      </c>
      <c r="P1061">
        <v>40.64</v>
      </c>
    </row>
    <row r="1062" spans="1:16" x14ac:dyDescent="0.3">
      <c r="A1062">
        <v>72805</v>
      </c>
      <c r="B1062">
        <v>116</v>
      </c>
      <c r="C1062" t="s">
        <v>568</v>
      </c>
      <c r="D1062" s="453">
        <v>46054</v>
      </c>
      <c r="E1062">
        <v>21123</v>
      </c>
      <c r="F1062" t="s">
        <v>4115</v>
      </c>
      <c r="G1062">
        <v>1965</v>
      </c>
      <c r="H1062">
        <v>3</v>
      </c>
      <c r="I1062" t="s">
        <v>3892</v>
      </c>
      <c r="J1062" t="s">
        <v>3469</v>
      </c>
      <c r="K1062" t="s">
        <v>461</v>
      </c>
      <c r="L1062">
        <v>13.3</v>
      </c>
      <c r="M1062" s="453">
        <v>46050</v>
      </c>
      <c r="N1062">
        <v>13.3</v>
      </c>
      <c r="O1062">
        <v>13.3</v>
      </c>
      <c r="P1062">
        <v>39.9</v>
      </c>
    </row>
    <row r="1063" spans="1:16" x14ac:dyDescent="0.3">
      <c r="A1063">
        <v>72861</v>
      </c>
      <c r="B1063">
        <v>116</v>
      </c>
      <c r="C1063" t="s">
        <v>568</v>
      </c>
      <c r="D1063" s="453">
        <v>46054</v>
      </c>
      <c r="E1063">
        <v>20703</v>
      </c>
      <c r="F1063" t="s">
        <v>3893</v>
      </c>
      <c r="G1063">
        <v>2100</v>
      </c>
      <c r="H1063">
        <v>3</v>
      </c>
      <c r="I1063" t="s">
        <v>3886</v>
      </c>
      <c r="J1063" t="s">
        <v>3469</v>
      </c>
      <c r="K1063" t="s">
        <v>461</v>
      </c>
      <c r="L1063">
        <v>0</v>
      </c>
      <c r="M1063" s="453">
        <v>45714</v>
      </c>
      <c r="N1063">
        <v>12.8</v>
      </c>
      <c r="O1063">
        <v>13.86</v>
      </c>
      <c r="P1063">
        <v>38.4</v>
      </c>
    </row>
    <row r="1064" spans="1:16" x14ac:dyDescent="0.3">
      <c r="A1064">
        <v>72838</v>
      </c>
      <c r="B1064">
        <v>116</v>
      </c>
      <c r="C1064" t="s">
        <v>568</v>
      </c>
      <c r="D1064" s="453">
        <v>46054</v>
      </c>
      <c r="E1064">
        <v>20359</v>
      </c>
      <c r="F1064" t="s">
        <v>3917</v>
      </c>
      <c r="G1064">
        <v>2199</v>
      </c>
      <c r="H1064">
        <v>8</v>
      </c>
      <c r="I1064" t="s">
        <v>3872</v>
      </c>
      <c r="J1064" t="s">
        <v>3469</v>
      </c>
      <c r="K1064" t="s">
        <v>461</v>
      </c>
      <c r="L1064">
        <v>0</v>
      </c>
      <c r="M1064" s="453">
        <v>45845</v>
      </c>
      <c r="N1064">
        <v>4.76</v>
      </c>
      <c r="O1064">
        <v>4.8</v>
      </c>
      <c r="P1064">
        <v>38.08</v>
      </c>
    </row>
    <row r="1065" spans="1:16" x14ac:dyDescent="0.3">
      <c r="A1065">
        <v>72988</v>
      </c>
      <c r="B1065">
        <v>116</v>
      </c>
      <c r="C1065" t="s">
        <v>568</v>
      </c>
      <c r="D1065" s="453">
        <v>46054</v>
      </c>
      <c r="E1065">
        <v>18341</v>
      </c>
      <c r="F1065" t="s">
        <v>4086</v>
      </c>
      <c r="G1065">
        <v>3293</v>
      </c>
      <c r="H1065">
        <v>1</v>
      </c>
      <c r="I1065" t="s">
        <v>3878</v>
      </c>
      <c r="J1065" t="s">
        <v>3497</v>
      </c>
      <c r="K1065" t="s">
        <v>461</v>
      </c>
      <c r="L1065">
        <v>0</v>
      </c>
      <c r="N1065">
        <v>0</v>
      </c>
      <c r="O1065">
        <v>50</v>
      </c>
      <c r="P1065">
        <v>38</v>
      </c>
    </row>
    <row r="1066" spans="1:16" x14ac:dyDescent="0.3">
      <c r="A1066">
        <v>72882</v>
      </c>
      <c r="B1066">
        <v>116</v>
      </c>
      <c r="C1066" t="s">
        <v>568</v>
      </c>
      <c r="D1066" s="453">
        <v>46054</v>
      </c>
      <c r="E1066">
        <v>23393</v>
      </c>
      <c r="F1066" t="s">
        <v>3940</v>
      </c>
      <c r="G1066">
        <v>2471</v>
      </c>
      <c r="H1066">
        <v>6</v>
      </c>
      <c r="I1066" t="s">
        <v>3892</v>
      </c>
      <c r="J1066" t="s">
        <v>3469</v>
      </c>
      <c r="K1066" t="s">
        <v>461</v>
      </c>
      <c r="L1066">
        <v>0</v>
      </c>
      <c r="N1066">
        <v>0</v>
      </c>
      <c r="O1066">
        <v>6.3</v>
      </c>
      <c r="P1066">
        <v>37.799999999999997</v>
      </c>
    </row>
    <row r="1067" spans="1:16" x14ac:dyDescent="0.3">
      <c r="A1067">
        <v>73028</v>
      </c>
      <c r="B1067">
        <v>116</v>
      </c>
      <c r="C1067" t="s">
        <v>568</v>
      </c>
      <c r="D1067" s="453">
        <v>46054</v>
      </c>
      <c r="E1067">
        <v>17609</v>
      </c>
      <c r="F1067" t="s">
        <v>4038</v>
      </c>
      <c r="G1067">
        <v>3917</v>
      </c>
      <c r="H1067">
        <v>2</v>
      </c>
      <c r="I1067" t="s">
        <v>3878</v>
      </c>
      <c r="J1067" t="s">
        <v>3497</v>
      </c>
      <c r="K1067" t="s">
        <v>461</v>
      </c>
      <c r="L1067">
        <v>0</v>
      </c>
      <c r="M1067" s="453">
        <v>45573</v>
      </c>
      <c r="N1067">
        <v>18.899999999999999</v>
      </c>
      <c r="O1067">
        <v>18.899999999999999</v>
      </c>
      <c r="P1067">
        <v>37.799999999999997</v>
      </c>
    </row>
    <row r="1068" spans="1:16" x14ac:dyDescent="0.3">
      <c r="A1068">
        <v>72960</v>
      </c>
      <c r="B1068">
        <v>116</v>
      </c>
      <c r="C1068" t="s">
        <v>568</v>
      </c>
      <c r="D1068" s="453">
        <v>46054</v>
      </c>
      <c r="E1068">
        <v>22704</v>
      </c>
      <c r="F1068" t="s">
        <v>4039</v>
      </c>
      <c r="G1068">
        <v>3045</v>
      </c>
      <c r="H1068">
        <v>1.7</v>
      </c>
      <c r="I1068" t="s">
        <v>3892</v>
      </c>
      <c r="J1068" t="s">
        <v>3469</v>
      </c>
      <c r="K1068" t="s">
        <v>461</v>
      </c>
      <c r="L1068">
        <v>0</v>
      </c>
      <c r="M1068" s="453">
        <v>45678</v>
      </c>
      <c r="N1068">
        <v>22</v>
      </c>
      <c r="O1068">
        <v>22</v>
      </c>
      <c r="P1068">
        <v>37.4</v>
      </c>
    </row>
    <row r="1069" spans="1:16" x14ac:dyDescent="0.3">
      <c r="A1069">
        <v>72849</v>
      </c>
      <c r="B1069">
        <v>116</v>
      </c>
      <c r="C1069" t="s">
        <v>568</v>
      </c>
      <c r="D1069" s="453">
        <v>46054</v>
      </c>
      <c r="E1069">
        <v>24331</v>
      </c>
      <c r="F1069" t="s">
        <v>3960</v>
      </c>
      <c r="G1069">
        <v>2146</v>
      </c>
      <c r="H1069">
        <v>1.7</v>
      </c>
      <c r="I1069" t="s">
        <v>3892</v>
      </c>
      <c r="J1069" t="s">
        <v>3469</v>
      </c>
      <c r="K1069" t="s">
        <v>461</v>
      </c>
      <c r="L1069">
        <v>21.96</v>
      </c>
      <c r="M1069" s="453">
        <v>46050</v>
      </c>
      <c r="N1069">
        <v>21.9</v>
      </c>
      <c r="O1069">
        <v>21.9</v>
      </c>
      <c r="P1069">
        <v>37.33</v>
      </c>
    </row>
    <row r="1070" spans="1:16" x14ac:dyDescent="0.3">
      <c r="A1070">
        <v>72991</v>
      </c>
      <c r="B1070">
        <v>116</v>
      </c>
      <c r="C1070" t="s">
        <v>568</v>
      </c>
      <c r="D1070" s="453">
        <v>46054</v>
      </c>
      <c r="E1070">
        <v>18317</v>
      </c>
      <c r="F1070" t="s">
        <v>4045</v>
      </c>
      <c r="G1070">
        <v>3316</v>
      </c>
      <c r="H1070">
        <v>1</v>
      </c>
      <c r="I1070" t="s">
        <v>3878</v>
      </c>
      <c r="J1070" t="s">
        <v>3497</v>
      </c>
      <c r="K1070" t="s">
        <v>461</v>
      </c>
      <c r="L1070">
        <v>0</v>
      </c>
      <c r="M1070" s="453">
        <v>45908</v>
      </c>
      <c r="N1070">
        <v>37.25</v>
      </c>
      <c r="O1070">
        <v>37.25</v>
      </c>
      <c r="P1070">
        <v>37.25</v>
      </c>
    </row>
    <row r="1071" spans="1:16" x14ac:dyDescent="0.3">
      <c r="A1071">
        <v>72897</v>
      </c>
      <c r="B1071">
        <v>116</v>
      </c>
      <c r="C1071" t="s">
        <v>568</v>
      </c>
      <c r="D1071" s="453">
        <v>46054</v>
      </c>
      <c r="E1071">
        <v>24509</v>
      </c>
      <c r="F1071" t="s">
        <v>3906</v>
      </c>
      <c r="G1071">
        <v>2607</v>
      </c>
      <c r="H1071">
        <v>20</v>
      </c>
      <c r="I1071" t="s">
        <v>3892</v>
      </c>
      <c r="J1071" t="s">
        <v>3469</v>
      </c>
      <c r="K1071" t="s">
        <v>461</v>
      </c>
      <c r="L1071">
        <v>1.8</v>
      </c>
      <c r="M1071" s="453">
        <v>46051</v>
      </c>
      <c r="N1071">
        <v>1.8</v>
      </c>
      <c r="O1071">
        <v>1.76</v>
      </c>
      <c r="P1071">
        <v>36</v>
      </c>
    </row>
    <row r="1072" spans="1:16" x14ac:dyDescent="0.3">
      <c r="A1072">
        <v>72902</v>
      </c>
      <c r="B1072">
        <v>116</v>
      </c>
      <c r="C1072" t="s">
        <v>568</v>
      </c>
      <c r="D1072" s="453">
        <v>46054</v>
      </c>
      <c r="E1072">
        <v>19765</v>
      </c>
      <c r="F1072" t="s">
        <v>4071</v>
      </c>
      <c r="G1072">
        <v>2488</v>
      </c>
      <c r="H1072">
        <v>1</v>
      </c>
      <c r="I1072" t="s">
        <v>3892</v>
      </c>
      <c r="J1072" t="s">
        <v>3469</v>
      </c>
      <c r="K1072" t="s">
        <v>461</v>
      </c>
      <c r="L1072">
        <v>34.08</v>
      </c>
      <c r="M1072" s="453">
        <v>46030</v>
      </c>
      <c r="N1072">
        <v>34.08</v>
      </c>
      <c r="O1072">
        <v>34.08</v>
      </c>
      <c r="P1072">
        <v>34.08</v>
      </c>
    </row>
    <row r="1073" spans="1:16" x14ac:dyDescent="0.3">
      <c r="A1073">
        <v>73014</v>
      </c>
      <c r="B1073">
        <v>116</v>
      </c>
      <c r="C1073" t="s">
        <v>568</v>
      </c>
      <c r="D1073" s="453">
        <v>46054</v>
      </c>
      <c r="E1073">
        <v>20809</v>
      </c>
      <c r="F1073" t="s">
        <v>4005</v>
      </c>
      <c r="G1073">
        <v>2074</v>
      </c>
      <c r="H1073">
        <v>1</v>
      </c>
      <c r="I1073" t="s">
        <v>3888</v>
      </c>
      <c r="J1073" t="s">
        <v>3469</v>
      </c>
      <c r="K1073" t="s">
        <v>461</v>
      </c>
      <c r="L1073">
        <v>33.96</v>
      </c>
      <c r="M1073" s="453">
        <v>46052</v>
      </c>
      <c r="N1073">
        <v>32.979999999999997</v>
      </c>
      <c r="O1073">
        <v>32.979999999999997</v>
      </c>
      <c r="P1073">
        <v>33.96</v>
      </c>
    </row>
    <row r="1074" spans="1:16" x14ac:dyDescent="0.3">
      <c r="A1074">
        <v>72867</v>
      </c>
      <c r="B1074">
        <v>116</v>
      </c>
      <c r="C1074" t="s">
        <v>568</v>
      </c>
      <c r="D1074" s="453">
        <v>46054</v>
      </c>
      <c r="E1074">
        <v>24392</v>
      </c>
      <c r="F1074" t="s">
        <v>4041</v>
      </c>
      <c r="G1074">
        <v>2366</v>
      </c>
      <c r="H1074">
        <v>1.5</v>
      </c>
      <c r="I1074" t="s">
        <v>3892</v>
      </c>
      <c r="J1074" t="s">
        <v>3469</v>
      </c>
      <c r="K1074" t="s">
        <v>461</v>
      </c>
      <c r="L1074">
        <v>0</v>
      </c>
      <c r="M1074" s="453">
        <v>45524</v>
      </c>
      <c r="N1074">
        <v>21.9</v>
      </c>
      <c r="O1074">
        <v>22.9</v>
      </c>
      <c r="P1074">
        <v>32.85</v>
      </c>
    </row>
    <row r="1075" spans="1:16" x14ac:dyDescent="0.3">
      <c r="A1075">
        <v>73019</v>
      </c>
      <c r="B1075">
        <v>116</v>
      </c>
      <c r="C1075" t="s">
        <v>568</v>
      </c>
      <c r="D1075" s="453">
        <v>46054</v>
      </c>
      <c r="E1075">
        <v>20213</v>
      </c>
      <c r="F1075" t="s">
        <v>4059</v>
      </c>
      <c r="G1075">
        <v>2251</v>
      </c>
      <c r="H1075">
        <v>1</v>
      </c>
      <c r="I1075" t="s">
        <v>3888</v>
      </c>
      <c r="J1075" t="s">
        <v>3469</v>
      </c>
      <c r="K1075" t="s">
        <v>461</v>
      </c>
      <c r="L1075">
        <v>0</v>
      </c>
      <c r="M1075" s="453">
        <v>45962</v>
      </c>
      <c r="N1075">
        <v>32.200000000000003</v>
      </c>
      <c r="O1075">
        <v>31.72</v>
      </c>
      <c r="P1075">
        <v>32.200000000000003</v>
      </c>
    </row>
    <row r="1076" spans="1:16" x14ac:dyDescent="0.3">
      <c r="A1076">
        <v>72896</v>
      </c>
      <c r="B1076">
        <v>116</v>
      </c>
      <c r="C1076" t="s">
        <v>568</v>
      </c>
      <c r="D1076" s="453">
        <v>46054</v>
      </c>
      <c r="E1076">
        <v>23385</v>
      </c>
      <c r="F1076" t="s">
        <v>4069</v>
      </c>
      <c r="G1076">
        <v>2479</v>
      </c>
      <c r="H1076">
        <v>1</v>
      </c>
      <c r="I1076" t="s">
        <v>3892</v>
      </c>
      <c r="J1076" t="s">
        <v>3469</v>
      </c>
      <c r="K1076" t="s">
        <v>461</v>
      </c>
      <c r="L1076">
        <v>31.59</v>
      </c>
      <c r="M1076" s="453">
        <v>46051</v>
      </c>
      <c r="N1076">
        <v>28.75</v>
      </c>
      <c r="O1076">
        <v>28.75</v>
      </c>
      <c r="P1076">
        <v>31.59</v>
      </c>
    </row>
    <row r="1077" spans="1:16" x14ac:dyDescent="0.3">
      <c r="A1077">
        <v>72964</v>
      </c>
      <c r="B1077">
        <v>116</v>
      </c>
      <c r="C1077" t="s">
        <v>568</v>
      </c>
      <c r="D1077" s="453">
        <v>46054</v>
      </c>
      <c r="E1077">
        <v>22699</v>
      </c>
      <c r="F1077" t="s">
        <v>4134</v>
      </c>
      <c r="G1077">
        <v>3049</v>
      </c>
      <c r="H1077">
        <v>2.6</v>
      </c>
      <c r="I1077" t="s">
        <v>3881</v>
      </c>
      <c r="J1077" t="s">
        <v>3469</v>
      </c>
      <c r="K1077" t="s">
        <v>461</v>
      </c>
      <c r="L1077">
        <v>0</v>
      </c>
      <c r="M1077" s="453">
        <v>45678</v>
      </c>
      <c r="N1077">
        <v>12</v>
      </c>
      <c r="O1077">
        <v>12</v>
      </c>
      <c r="P1077">
        <v>31.2</v>
      </c>
    </row>
    <row r="1078" spans="1:16" x14ac:dyDescent="0.3">
      <c r="A1078">
        <v>72965</v>
      </c>
      <c r="B1078">
        <v>116</v>
      </c>
      <c r="C1078" t="s">
        <v>568</v>
      </c>
      <c r="D1078" s="453">
        <v>46054</v>
      </c>
      <c r="E1078">
        <v>18996</v>
      </c>
      <c r="F1078" t="s">
        <v>3946</v>
      </c>
      <c r="G1078">
        <v>2900</v>
      </c>
      <c r="H1078">
        <v>1.8</v>
      </c>
      <c r="I1078" t="s">
        <v>3892</v>
      </c>
      <c r="J1078" t="s">
        <v>3469</v>
      </c>
      <c r="K1078" t="s">
        <v>461</v>
      </c>
      <c r="L1078">
        <v>17.239999999999998</v>
      </c>
      <c r="M1078" s="453">
        <v>46042</v>
      </c>
      <c r="N1078">
        <v>16.989999999999998</v>
      </c>
      <c r="O1078">
        <v>15.9</v>
      </c>
      <c r="P1078">
        <v>31.03</v>
      </c>
    </row>
    <row r="1079" spans="1:16" x14ac:dyDescent="0.3">
      <c r="A1079">
        <v>72887</v>
      </c>
      <c r="B1079">
        <v>116</v>
      </c>
      <c r="C1079" t="s">
        <v>568</v>
      </c>
      <c r="D1079" s="453">
        <v>46054</v>
      </c>
      <c r="E1079">
        <v>23274</v>
      </c>
      <c r="F1079" t="s">
        <v>4014</v>
      </c>
      <c r="G1079">
        <v>2587</v>
      </c>
      <c r="H1079">
        <v>1</v>
      </c>
      <c r="I1079" t="s">
        <v>3892</v>
      </c>
      <c r="J1079" t="s">
        <v>3469</v>
      </c>
      <c r="K1079" t="s">
        <v>461</v>
      </c>
      <c r="L1079">
        <v>0</v>
      </c>
      <c r="N1079">
        <v>0</v>
      </c>
      <c r="O1079">
        <v>30</v>
      </c>
      <c r="P1079">
        <v>30</v>
      </c>
    </row>
    <row r="1080" spans="1:16" x14ac:dyDescent="0.3">
      <c r="A1080">
        <v>72921</v>
      </c>
      <c r="B1080">
        <v>116</v>
      </c>
      <c r="C1080" t="s">
        <v>568</v>
      </c>
      <c r="D1080" s="453">
        <v>46054</v>
      </c>
      <c r="E1080">
        <v>19576</v>
      </c>
      <c r="F1080" t="s">
        <v>4021</v>
      </c>
      <c r="G1080">
        <v>2642</v>
      </c>
      <c r="H1080">
        <v>2</v>
      </c>
      <c r="I1080" t="s">
        <v>3892</v>
      </c>
      <c r="J1080" t="s">
        <v>3469</v>
      </c>
      <c r="K1080" t="s">
        <v>461</v>
      </c>
      <c r="L1080">
        <v>0</v>
      </c>
      <c r="M1080" s="453">
        <v>45936</v>
      </c>
      <c r="N1080">
        <v>15</v>
      </c>
      <c r="O1080">
        <v>13</v>
      </c>
      <c r="P1080">
        <v>30</v>
      </c>
    </row>
    <row r="1081" spans="1:16" x14ac:dyDescent="0.3">
      <c r="A1081">
        <v>72914</v>
      </c>
      <c r="B1081">
        <v>116</v>
      </c>
      <c r="C1081" t="s">
        <v>568</v>
      </c>
      <c r="D1081" s="453">
        <v>46054</v>
      </c>
      <c r="E1081">
        <v>23335</v>
      </c>
      <c r="F1081" t="s">
        <v>4075</v>
      </c>
      <c r="G1081">
        <v>2523</v>
      </c>
      <c r="H1081">
        <v>1</v>
      </c>
      <c r="I1081" t="s">
        <v>3892</v>
      </c>
      <c r="J1081" t="s">
        <v>3469</v>
      </c>
      <c r="K1081" t="s">
        <v>461</v>
      </c>
      <c r="L1081">
        <v>29.07</v>
      </c>
      <c r="M1081" s="453">
        <v>46051</v>
      </c>
      <c r="N1081">
        <v>37.5</v>
      </c>
      <c r="O1081">
        <v>43.5</v>
      </c>
      <c r="P1081">
        <v>29.07</v>
      </c>
    </row>
    <row r="1082" spans="1:16" x14ac:dyDescent="0.3">
      <c r="A1082">
        <v>72814</v>
      </c>
      <c r="B1082">
        <v>116</v>
      </c>
      <c r="C1082" t="s">
        <v>568</v>
      </c>
      <c r="D1082" s="453">
        <v>46054</v>
      </c>
      <c r="E1082">
        <v>23096</v>
      </c>
      <c r="F1082" t="s">
        <v>3876</v>
      </c>
      <c r="G1082">
        <v>2753</v>
      </c>
      <c r="H1082">
        <v>55</v>
      </c>
      <c r="I1082" t="s">
        <v>3872</v>
      </c>
      <c r="J1082" t="s">
        <v>3469</v>
      </c>
      <c r="K1082" t="s">
        <v>461</v>
      </c>
      <c r="L1082">
        <v>0.51</v>
      </c>
      <c r="M1082" s="453">
        <v>46051</v>
      </c>
      <c r="N1082">
        <v>0.56000000000000005</v>
      </c>
      <c r="O1082">
        <v>0.56000000000000005</v>
      </c>
      <c r="P1082">
        <v>28.05</v>
      </c>
    </row>
    <row r="1083" spans="1:16" x14ac:dyDescent="0.3">
      <c r="A1083">
        <v>72906</v>
      </c>
      <c r="B1083">
        <v>116</v>
      </c>
      <c r="C1083" t="s">
        <v>568</v>
      </c>
      <c r="D1083" s="453">
        <v>46054</v>
      </c>
      <c r="E1083">
        <v>23356</v>
      </c>
      <c r="F1083" t="s">
        <v>4019</v>
      </c>
      <c r="G1083">
        <v>2502</v>
      </c>
      <c r="H1083">
        <v>2</v>
      </c>
      <c r="I1083" t="s">
        <v>3892</v>
      </c>
      <c r="J1083" t="s">
        <v>3469</v>
      </c>
      <c r="K1083" t="s">
        <v>461</v>
      </c>
      <c r="L1083">
        <v>0</v>
      </c>
      <c r="N1083">
        <v>0</v>
      </c>
      <c r="O1083">
        <v>8.5</v>
      </c>
      <c r="P1083">
        <v>27.98</v>
      </c>
    </row>
    <row r="1084" spans="1:16" x14ac:dyDescent="0.3">
      <c r="A1084">
        <v>73027</v>
      </c>
      <c r="B1084">
        <v>116</v>
      </c>
      <c r="C1084" t="s">
        <v>568</v>
      </c>
      <c r="D1084" s="453">
        <v>46054</v>
      </c>
      <c r="E1084">
        <v>26195</v>
      </c>
      <c r="F1084" t="s">
        <v>4037</v>
      </c>
      <c r="G1084">
        <v>6618</v>
      </c>
      <c r="H1084">
        <v>1</v>
      </c>
      <c r="I1084" t="s">
        <v>3878</v>
      </c>
      <c r="J1084" t="s">
        <v>3497</v>
      </c>
      <c r="K1084" t="s">
        <v>461</v>
      </c>
      <c r="L1084">
        <v>0</v>
      </c>
      <c r="N1084">
        <v>0</v>
      </c>
      <c r="O1084">
        <v>0</v>
      </c>
      <c r="P1084">
        <v>27.74</v>
      </c>
    </row>
    <row r="1085" spans="1:16" x14ac:dyDescent="0.3">
      <c r="A1085">
        <v>72909</v>
      </c>
      <c r="B1085">
        <v>116</v>
      </c>
      <c r="C1085" t="s">
        <v>568</v>
      </c>
      <c r="D1085" s="453">
        <v>46054</v>
      </c>
      <c r="E1085">
        <v>19743</v>
      </c>
      <c r="F1085" t="s">
        <v>4152</v>
      </c>
      <c r="G1085">
        <v>2510</v>
      </c>
      <c r="H1085">
        <v>2</v>
      </c>
      <c r="I1085" t="s">
        <v>3892</v>
      </c>
      <c r="J1085" t="s">
        <v>3469</v>
      </c>
      <c r="K1085" t="s">
        <v>461</v>
      </c>
      <c r="L1085">
        <v>13.75</v>
      </c>
      <c r="M1085" s="453">
        <v>46034</v>
      </c>
      <c r="N1085">
        <v>13.75</v>
      </c>
      <c r="O1085">
        <v>13.75</v>
      </c>
      <c r="P1085">
        <v>27.5</v>
      </c>
    </row>
    <row r="1086" spans="1:16" x14ac:dyDescent="0.3">
      <c r="A1086">
        <v>73017</v>
      </c>
      <c r="B1086">
        <v>116</v>
      </c>
      <c r="C1086" t="s">
        <v>568</v>
      </c>
      <c r="D1086" s="453">
        <v>46054</v>
      </c>
      <c r="E1086">
        <v>20395</v>
      </c>
      <c r="F1086" t="s">
        <v>4057</v>
      </c>
      <c r="G1086">
        <v>2192</v>
      </c>
      <c r="H1086">
        <v>1</v>
      </c>
      <c r="I1086" t="s">
        <v>3872</v>
      </c>
      <c r="J1086" t="s">
        <v>3469</v>
      </c>
      <c r="K1086" t="s">
        <v>461</v>
      </c>
      <c r="L1086">
        <v>26.81</v>
      </c>
      <c r="M1086" s="453">
        <v>46041</v>
      </c>
      <c r="N1086">
        <v>26.81</v>
      </c>
      <c r="O1086">
        <v>26.81</v>
      </c>
      <c r="P1086">
        <v>26.81</v>
      </c>
    </row>
    <row r="1087" spans="1:16" x14ac:dyDescent="0.3">
      <c r="A1087">
        <v>72873</v>
      </c>
      <c r="B1087">
        <v>116</v>
      </c>
      <c r="C1087" t="s">
        <v>568</v>
      </c>
      <c r="D1087" s="453">
        <v>46054</v>
      </c>
      <c r="E1087">
        <v>25768</v>
      </c>
      <c r="F1087" t="s">
        <v>4012</v>
      </c>
      <c r="G1087">
        <v>6317</v>
      </c>
      <c r="H1087">
        <v>3</v>
      </c>
      <c r="I1087" t="s">
        <v>3892</v>
      </c>
      <c r="J1087" t="s">
        <v>3469</v>
      </c>
      <c r="K1087" t="s">
        <v>461</v>
      </c>
      <c r="L1087">
        <v>8.9</v>
      </c>
      <c r="M1087" s="453">
        <v>46050</v>
      </c>
      <c r="N1087">
        <v>8.9</v>
      </c>
      <c r="O1087">
        <v>8.9</v>
      </c>
      <c r="P1087">
        <v>26.7</v>
      </c>
    </row>
    <row r="1088" spans="1:16" x14ac:dyDescent="0.3">
      <c r="A1088">
        <v>72943</v>
      </c>
      <c r="B1088">
        <v>116</v>
      </c>
      <c r="C1088" t="s">
        <v>568</v>
      </c>
      <c r="D1088" s="453">
        <v>46054</v>
      </c>
      <c r="E1088">
        <v>17942</v>
      </c>
      <c r="F1088" t="s">
        <v>4035</v>
      </c>
      <c r="G1088">
        <v>3630</v>
      </c>
      <c r="H1088">
        <v>2</v>
      </c>
      <c r="I1088" t="s">
        <v>3872</v>
      </c>
      <c r="J1088" t="s">
        <v>3497</v>
      </c>
      <c r="K1088" t="s">
        <v>461</v>
      </c>
      <c r="L1088">
        <v>0</v>
      </c>
      <c r="M1088" s="453">
        <v>45803</v>
      </c>
      <c r="N1088">
        <v>13</v>
      </c>
      <c r="O1088">
        <v>14</v>
      </c>
      <c r="P1088">
        <v>26</v>
      </c>
    </row>
    <row r="1089" spans="1:16" x14ac:dyDescent="0.3">
      <c r="A1089">
        <v>72928</v>
      </c>
      <c r="B1089">
        <v>116</v>
      </c>
      <c r="C1089" t="s">
        <v>568</v>
      </c>
      <c r="D1089" s="453">
        <v>46054</v>
      </c>
      <c r="E1089">
        <v>19672</v>
      </c>
      <c r="F1089" t="s">
        <v>4024</v>
      </c>
      <c r="G1089">
        <v>2567</v>
      </c>
      <c r="H1089">
        <v>1.4</v>
      </c>
      <c r="I1089" t="s">
        <v>3892</v>
      </c>
      <c r="J1089" t="s">
        <v>3469</v>
      </c>
      <c r="K1089" t="s">
        <v>461</v>
      </c>
      <c r="L1089">
        <v>18.3</v>
      </c>
      <c r="M1089" s="453">
        <v>46051</v>
      </c>
      <c r="N1089">
        <v>15</v>
      </c>
      <c r="O1089">
        <v>15</v>
      </c>
      <c r="P1089">
        <v>25.62</v>
      </c>
    </row>
    <row r="1090" spans="1:16" x14ac:dyDescent="0.3">
      <c r="A1090">
        <v>73021</v>
      </c>
      <c r="B1090">
        <v>116</v>
      </c>
      <c r="C1090" t="s">
        <v>568</v>
      </c>
      <c r="D1090" s="453">
        <v>46054</v>
      </c>
      <c r="E1090">
        <v>20597</v>
      </c>
      <c r="F1090" t="s">
        <v>4157</v>
      </c>
      <c r="G1090">
        <v>2120</v>
      </c>
      <c r="H1090">
        <v>1</v>
      </c>
      <c r="I1090" t="s">
        <v>3872</v>
      </c>
      <c r="J1090" t="s">
        <v>3469</v>
      </c>
      <c r="K1090" t="s">
        <v>461</v>
      </c>
      <c r="L1090">
        <v>24.8</v>
      </c>
      <c r="M1090" s="453">
        <v>46027</v>
      </c>
      <c r="N1090">
        <v>24.8</v>
      </c>
      <c r="O1090">
        <v>24.8</v>
      </c>
      <c r="P1090">
        <v>24.8</v>
      </c>
    </row>
    <row r="1091" spans="1:16" x14ac:dyDescent="0.3">
      <c r="A1091">
        <v>73024</v>
      </c>
      <c r="B1091">
        <v>116</v>
      </c>
      <c r="C1091" t="s">
        <v>568</v>
      </c>
      <c r="D1091" s="453">
        <v>46054</v>
      </c>
      <c r="E1091">
        <v>17878</v>
      </c>
      <c r="F1091" t="s">
        <v>4096</v>
      </c>
      <c r="G1091">
        <v>3677</v>
      </c>
      <c r="H1091">
        <v>1</v>
      </c>
      <c r="I1091" t="s">
        <v>3872</v>
      </c>
      <c r="J1091" t="s">
        <v>3497</v>
      </c>
      <c r="K1091" t="s">
        <v>461</v>
      </c>
      <c r="L1091">
        <v>23.8</v>
      </c>
      <c r="M1091" s="453">
        <v>46037</v>
      </c>
      <c r="N1091">
        <v>23.8</v>
      </c>
      <c r="O1091">
        <v>23.8</v>
      </c>
      <c r="P1091">
        <v>23.8</v>
      </c>
    </row>
    <row r="1092" spans="1:16" x14ac:dyDescent="0.3">
      <c r="A1092">
        <v>72827</v>
      </c>
      <c r="B1092">
        <v>116</v>
      </c>
      <c r="C1092" t="s">
        <v>568</v>
      </c>
      <c r="D1092" s="453">
        <v>46054</v>
      </c>
      <c r="E1092">
        <v>17883</v>
      </c>
      <c r="F1092" t="s">
        <v>4136</v>
      </c>
      <c r="G1092">
        <v>3673</v>
      </c>
      <c r="H1092">
        <v>0.83</v>
      </c>
      <c r="I1092" t="s">
        <v>3888</v>
      </c>
      <c r="J1092" t="s">
        <v>3497</v>
      </c>
      <c r="K1092" t="s">
        <v>461</v>
      </c>
      <c r="L1092">
        <v>28.32</v>
      </c>
      <c r="M1092" s="453">
        <v>46049</v>
      </c>
      <c r="N1092">
        <v>28.32</v>
      </c>
      <c r="O1092">
        <v>41.65</v>
      </c>
      <c r="P1092">
        <v>23.51</v>
      </c>
    </row>
    <row r="1093" spans="1:16" x14ac:dyDescent="0.3">
      <c r="A1093">
        <v>72934</v>
      </c>
      <c r="B1093">
        <v>116</v>
      </c>
      <c r="C1093" t="s">
        <v>568</v>
      </c>
      <c r="D1093" s="453">
        <v>46054</v>
      </c>
      <c r="E1093">
        <v>17066</v>
      </c>
      <c r="F1093" t="s">
        <v>4155</v>
      </c>
      <c r="G1093">
        <v>2543</v>
      </c>
      <c r="H1093">
        <v>1</v>
      </c>
      <c r="I1093" t="s">
        <v>3892</v>
      </c>
      <c r="J1093" t="s">
        <v>3469</v>
      </c>
      <c r="K1093" t="s">
        <v>461</v>
      </c>
      <c r="L1093">
        <v>22.07</v>
      </c>
      <c r="M1093" s="453">
        <v>46051</v>
      </c>
      <c r="N1093">
        <v>21.02</v>
      </c>
      <c r="O1093">
        <v>19.57</v>
      </c>
      <c r="P1093">
        <v>22.07</v>
      </c>
    </row>
    <row r="1094" spans="1:16" x14ac:dyDescent="0.3">
      <c r="A1094">
        <v>72932</v>
      </c>
      <c r="B1094">
        <v>116</v>
      </c>
      <c r="C1094" t="s">
        <v>568</v>
      </c>
      <c r="D1094" s="453">
        <v>46054</v>
      </c>
      <c r="E1094">
        <v>23171</v>
      </c>
      <c r="F1094" t="s">
        <v>4132</v>
      </c>
      <c r="G1094">
        <v>2682</v>
      </c>
      <c r="H1094">
        <v>3</v>
      </c>
      <c r="I1094" t="s">
        <v>3892</v>
      </c>
      <c r="J1094" t="s">
        <v>3469</v>
      </c>
      <c r="K1094" t="s">
        <v>461</v>
      </c>
      <c r="L1094">
        <v>7.16</v>
      </c>
      <c r="M1094" s="453">
        <v>46051</v>
      </c>
      <c r="N1094">
        <v>6.16</v>
      </c>
      <c r="O1094">
        <v>6.16</v>
      </c>
      <c r="P1094">
        <v>21.48</v>
      </c>
    </row>
    <row r="1095" spans="1:16" x14ac:dyDescent="0.3">
      <c r="A1095">
        <v>73011</v>
      </c>
      <c r="B1095">
        <v>116</v>
      </c>
      <c r="C1095" t="s">
        <v>568</v>
      </c>
      <c r="D1095" s="453">
        <v>46054</v>
      </c>
      <c r="E1095">
        <v>20429</v>
      </c>
      <c r="F1095" t="s">
        <v>4051</v>
      </c>
      <c r="G1095">
        <v>2184</v>
      </c>
      <c r="H1095">
        <v>1</v>
      </c>
      <c r="I1095" t="s">
        <v>3872</v>
      </c>
      <c r="J1095" t="s">
        <v>3469</v>
      </c>
      <c r="K1095" t="s">
        <v>461</v>
      </c>
      <c r="L1095">
        <v>0</v>
      </c>
      <c r="M1095" s="453">
        <v>45944</v>
      </c>
      <c r="N1095">
        <v>19.8</v>
      </c>
      <c r="O1095">
        <v>19.600000000000001</v>
      </c>
      <c r="P1095">
        <v>19.8</v>
      </c>
    </row>
    <row r="1096" spans="1:16" x14ac:dyDescent="0.3">
      <c r="A1096">
        <v>72878</v>
      </c>
      <c r="B1096">
        <v>116</v>
      </c>
      <c r="C1096" t="s">
        <v>568</v>
      </c>
      <c r="D1096" s="453">
        <v>46054</v>
      </c>
      <c r="E1096">
        <v>25769</v>
      </c>
      <c r="F1096" t="s">
        <v>4013</v>
      </c>
      <c r="G1096">
        <v>6318</v>
      </c>
      <c r="H1096">
        <v>1.5</v>
      </c>
      <c r="I1096" t="s">
        <v>3892</v>
      </c>
      <c r="J1096" t="s">
        <v>3469</v>
      </c>
      <c r="K1096" t="s">
        <v>461</v>
      </c>
      <c r="L1096">
        <v>13</v>
      </c>
      <c r="M1096" s="453">
        <v>46050</v>
      </c>
      <c r="N1096">
        <v>12.9</v>
      </c>
      <c r="O1096">
        <v>12.9</v>
      </c>
      <c r="P1096">
        <v>19.5</v>
      </c>
    </row>
    <row r="1097" spans="1:16" x14ac:dyDescent="0.3">
      <c r="A1097">
        <v>72868</v>
      </c>
      <c r="B1097">
        <v>116</v>
      </c>
      <c r="C1097" t="s">
        <v>568</v>
      </c>
      <c r="D1097" s="453">
        <v>46054</v>
      </c>
      <c r="E1097">
        <v>17913</v>
      </c>
      <c r="F1097" t="s">
        <v>4148</v>
      </c>
      <c r="G1097">
        <v>3649</v>
      </c>
      <c r="H1097">
        <v>0.12</v>
      </c>
      <c r="I1097" t="s">
        <v>3888</v>
      </c>
      <c r="J1097" t="s">
        <v>3497</v>
      </c>
      <c r="K1097" t="s">
        <v>461</v>
      </c>
      <c r="L1097">
        <v>0</v>
      </c>
      <c r="N1097">
        <v>0</v>
      </c>
      <c r="O1097">
        <v>152.62</v>
      </c>
      <c r="P1097">
        <v>18.309999999999999</v>
      </c>
    </row>
    <row r="1098" spans="1:16" x14ac:dyDescent="0.3">
      <c r="A1098">
        <v>72844</v>
      </c>
      <c r="B1098">
        <v>116</v>
      </c>
      <c r="C1098" t="s">
        <v>568</v>
      </c>
      <c r="D1098" s="453">
        <v>46054</v>
      </c>
      <c r="E1098">
        <v>20326</v>
      </c>
      <c r="F1098" t="s">
        <v>3953</v>
      </c>
      <c r="G1098">
        <v>2211</v>
      </c>
      <c r="H1098">
        <v>3</v>
      </c>
      <c r="I1098" t="s">
        <v>3892</v>
      </c>
      <c r="J1098" t="s">
        <v>3469</v>
      </c>
      <c r="K1098" t="s">
        <v>461</v>
      </c>
      <c r="L1098">
        <v>6</v>
      </c>
      <c r="M1098" s="453">
        <v>46042</v>
      </c>
      <c r="N1098">
        <v>6</v>
      </c>
      <c r="O1098">
        <v>6</v>
      </c>
      <c r="P1098">
        <v>18</v>
      </c>
    </row>
    <row r="1099" spans="1:16" x14ac:dyDescent="0.3">
      <c r="A1099">
        <v>72852</v>
      </c>
      <c r="B1099">
        <v>116</v>
      </c>
      <c r="C1099" t="s">
        <v>568</v>
      </c>
      <c r="D1099" s="453">
        <v>46054</v>
      </c>
      <c r="E1099">
        <v>20685</v>
      </c>
      <c r="F1099" t="s">
        <v>4122</v>
      </c>
      <c r="G1099">
        <v>2106</v>
      </c>
      <c r="H1099">
        <v>5</v>
      </c>
      <c r="I1099" t="s">
        <v>3872</v>
      </c>
      <c r="J1099" t="s">
        <v>3469</v>
      </c>
      <c r="K1099" t="s">
        <v>461</v>
      </c>
      <c r="L1099">
        <v>3.55</v>
      </c>
      <c r="M1099" s="453">
        <v>46050</v>
      </c>
      <c r="N1099">
        <v>3.54</v>
      </c>
      <c r="O1099">
        <v>3.54</v>
      </c>
      <c r="P1099">
        <v>17.75</v>
      </c>
    </row>
    <row r="1100" spans="1:16" x14ac:dyDescent="0.3">
      <c r="A1100">
        <v>72917</v>
      </c>
      <c r="B1100">
        <v>116</v>
      </c>
      <c r="C1100" t="s">
        <v>568</v>
      </c>
      <c r="D1100" s="453">
        <v>46054</v>
      </c>
      <c r="E1100">
        <v>19589</v>
      </c>
      <c r="F1100" t="s">
        <v>4153</v>
      </c>
      <c r="G1100">
        <v>2637</v>
      </c>
      <c r="H1100">
        <v>2</v>
      </c>
      <c r="I1100" t="s">
        <v>3892</v>
      </c>
      <c r="J1100" t="s">
        <v>3469</v>
      </c>
      <c r="K1100" t="s">
        <v>461</v>
      </c>
      <c r="L1100">
        <v>8.8000000000000007</v>
      </c>
      <c r="M1100" s="453">
        <v>46051</v>
      </c>
      <c r="N1100">
        <v>6</v>
      </c>
      <c r="O1100">
        <v>6</v>
      </c>
      <c r="P1100">
        <v>17.600000000000001</v>
      </c>
    </row>
    <row r="1101" spans="1:16" x14ac:dyDescent="0.3">
      <c r="A1101">
        <v>72880</v>
      </c>
      <c r="B1101">
        <v>116</v>
      </c>
      <c r="C1101" t="s">
        <v>568</v>
      </c>
      <c r="D1101" s="453">
        <v>46054</v>
      </c>
      <c r="E1101">
        <v>23622</v>
      </c>
      <c r="F1101" t="s">
        <v>4150</v>
      </c>
      <c r="G1101">
        <v>2254</v>
      </c>
      <c r="H1101">
        <v>0.8</v>
      </c>
      <c r="I1101" t="s">
        <v>3892</v>
      </c>
      <c r="J1101" t="s">
        <v>3469</v>
      </c>
      <c r="K1101" t="s">
        <v>461</v>
      </c>
      <c r="L1101">
        <v>21.6</v>
      </c>
      <c r="M1101" s="453">
        <v>46036</v>
      </c>
      <c r="N1101">
        <v>21.6</v>
      </c>
      <c r="O1101">
        <v>21.6</v>
      </c>
      <c r="P1101">
        <v>17.28</v>
      </c>
    </row>
    <row r="1102" spans="1:16" x14ac:dyDescent="0.3">
      <c r="A1102">
        <v>72856</v>
      </c>
      <c r="B1102">
        <v>116</v>
      </c>
      <c r="C1102" t="s">
        <v>568</v>
      </c>
      <c r="D1102" s="453">
        <v>46054</v>
      </c>
      <c r="E1102">
        <v>23852</v>
      </c>
      <c r="F1102" t="s">
        <v>4061</v>
      </c>
      <c r="G1102">
        <v>2043</v>
      </c>
      <c r="H1102">
        <v>1.5</v>
      </c>
      <c r="I1102" t="s">
        <v>3892</v>
      </c>
      <c r="J1102" t="s">
        <v>3469</v>
      </c>
      <c r="K1102" t="s">
        <v>461</v>
      </c>
      <c r="L1102">
        <v>0</v>
      </c>
      <c r="N1102">
        <v>0</v>
      </c>
      <c r="O1102">
        <v>11.4</v>
      </c>
      <c r="P1102">
        <v>17.100000000000001</v>
      </c>
    </row>
    <row r="1103" spans="1:16" x14ac:dyDescent="0.3">
      <c r="A1103">
        <v>72929</v>
      </c>
      <c r="B1103">
        <v>116</v>
      </c>
      <c r="C1103" t="s">
        <v>568</v>
      </c>
      <c r="D1103" s="453">
        <v>46054</v>
      </c>
      <c r="E1103">
        <v>23186</v>
      </c>
      <c r="F1103" t="s">
        <v>3988</v>
      </c>
      <c r="G1103">
        <v>2668</v>
      </c>
      <c r="H1103">
        <v>3</v>
      </c>
      <c r="I1103" t="s">
        <v>3892</v>
      </c>
      <c r="J1103" t="s">
        <v>3469</v>
      </c>
      <c r="K1103" t="s">
        <v>461</v>
      </c>
      <c r="L1103">
        <v>0</v>
      </c>
      <c r="M1103" s="453">
        <v>45943</v>
      </c>
      <c r="N1103">
        <v>5.56</v>
      </c>
      <c r="O1103">
        <v>6.25</v>
      </c>
      <c r="P1103">
        <v>16.68</v>
      </c>
    </row>
    <row r="1104" spans="1:16" x14ac:dyDescent="0.3">
      <c r="A1104">
        <v>72889</v>
      </c>
      <c r="B1104">
        <v>116</v>
      </c>
      <c r="C1104" t="s">
        <v>568</v>
      </c>
      <c r="D1104" s="453">
        <v>46054</v>
      </c>
      <c r="E1104">
        <v>19647</v>
      </c>
      <c r="F1104" t="s">
        <v>4066</v>
      </c>
      <c r="G1104">
        <v>2591</v>
      </c>
      <c r="H1104">
        <v>1.5</v>
      </c>
      <c r="I1104" t="s">
        <v>3892</v>
      </c>
      <c r="J1104" t="s">
        <v>3469</v>
      </c>
      <c r="K1104" t="s">
        <v>461</v>
      </c>
      <c r="L1104">
        <v>10.98</v>
      </c>
      <c r="M1104" s="453">
        <v>46048</v>
      </c>
      <c r="N1104">
        <v>10</v>
      </c>
      <c r="O1104">
        <v>9.9</v>
      </c>
      <c r="P1104">
        <v>16.47</v>
      </c>
    </row>
    <row r="1105" spans="1:16" x14ac:dyDescent="0.3">
      <c r="A1105">
        <v>72872</v>
      </c>
      <c r="B1105">
        <v>116</v>
      </c>
      <c r="C1105" t="s">
        <v>568</v>
      </c>
      <c r="D1105" s="453">
        <v>46054</v>
      </c>
      <c r="E1105">
        <v>21126</v>
      </c>
      <c r="F1105" t="s">
        <v>4004</v>
      </c>
      <c r="G1105">
        <v>1963</v>
      </c>
      <c r="H1105">
        <v>2</v>
      </c>
      <c r="I1105" t="s">
        <v>3888</v>
      </c>
      <c r="J1105" t="s">
        <v>3469</v>
      </c>
      <c r="K1105" t="s">
        <v>461</v>
      </c>
      <c r="L1105">
        <v>0</v>
      </c>
      <c r="M1105" s="453">
        <v>45986</v>
      </c>
      <c r="N1105">
        <v>8.1999999999999993</v>
      </c>
      <c r="O1105">
        <v>8.1999999999999993</v>
      </c>
      <c r="P1105">
        <v>16.399999999999999</v>
      </c>
    </row>
    <row r="1106" spans="1:16" x14ac:dyDescent="0.3">
      <c r="A1106">
        <v>73015</v>
      </c>
      <c r="B1106">
        <v>116</v>
      </c>
      <c r="C1106" t="s">
        <v>568</v>
      </c>
      <c r="D1106" s="453">
        <v>46054</v>
      </c>
      <c r="E1106">
        <v>20077</v>
      </c>
      <c r="F1106" t="s">
        <v>4054</v>
      </c>
      <c r="G1106">
        <v>2317</v>
      </c>
      <c r="H1106">
        <v>1</v>
      </c>
      <c r="I1106" t="s">
        <v>3888</v>
      </c>
      <c r="J1106" t="s">
        <v>3469</v>
      </c>
      <c r="K1106" t="s">
        <v>461</v>
      </c>
      <c r="L1106">
        <v>16.34</v>
      </c>
      <c r="M1106" s="453">
        <v>46050</v>
      </c>
      <c r="N1106">
        <v>16.350000000000001</v>
      </c>
      <c r="O1106">
        <v>16.350000000000001</v>
      </c>
      <c r="P1106">
        <v>16.34</v>
      </c>
    </row>
    <row r="1107" spans="1:16" x14ac:dyDescent="0.3">
      <c r="A1107">
        <v>72900</v>
      </c>
      <c r="B1107">
        <v>116</v>
      </c>
      <c r="C1107" t="s">
        <v>568</v>
      </c>
      <c r="D1107" s="453">
        <v>46054</v>
      </c>
      <c r="E1107">
        <v>23236</v>
      </c>
      <c r="F1107" t="s">
        <v>4017</v>
      </c>
      <c r="G1107">
        <v>2620</v>
      </c>
      <c r="H1107">
        <v>2.9</v>
      </c>
      <c r="I1107" t="s">
        <v>3892</v>
      </c>
      <c r="J1107" t="s">
        <v>3469</v>
      </c>
      <c r="K1107" t="s">
        <v>461</v>
      </c>
      <c r="L1107">
        <v>5.62</v>
      </c>
      <c r="M1107" s="453">
        <v>46051</v>
      </c>
      <c r="N1107">
        <v>5</v>
      </c>
      <c r="O1107">
        <v>5</v>
      </c>
      <c r="P1107">
        <v>16.3</v>
      </c>
    </row>
    <row r="1108" spans="1:16" x14ac:dyDescent="0.3">
      <c r="A1108">
        <v>73018</v>
      </c>
      <c r="B1108">
        <v>116</v>
      </c>
      <c r="C1108" t="s">
        <v>568</v>
      </c>
      <c r="D1108" s="453">
        <v>46054</v>
      </c>
      <c r="E1108">
        <v>20231</v>
      </c>
      <c r="F1108" t="s">
        <v>4123</v>
      </c>
      <c r="G1108">
        <v>2247</v>
      </c>
      <c r="H1108">
        <v>1</v>
      </c>
      <c r="I1108" t="s">
        <v>3888</v>
      </c>
      <c r="J1108" t="s">
        <v>3469</v>
      </c>
      <c r="K1108" t="s">
        <v>461</v>
      </c>
      <c r="L1108">
        <v>0</v>
      </c>
      <c r="M1108" s="453">
        <v>45993</v>
      </c>
      <c r="N1108">
        <v>16.28</v>
      </c>
      <c r="O1108">
        <v>16.2</v>
      </c>
      <c r="P1108">
        <v>16.28</v>
      </c>
    </row>
    <row r="1109" spans="1:16" x14ac:dyDescent="0.3">
      <c r="A1109">
        <v>72903</v>
      </c>
      <c r="B1109">
        <v>116</v>
      </c>
      <c r="C1109" t="s">
        <v>568</v>
      </c>
      <c r="D1109" s="453">
        <v>46054</v>
      </c>
      <c r="E1109">
        <v>19607</v>
      </c>
      <c r="F1109" t="s">
        <v>4105</v>
      </c>
      <c r="G1109">
        <v>2623</v>
      </c>
      <c r="H1109">
        <v>1</v>
      </c>
      <c r="I1109" t="s">
        <v>3892</v>
      </c>
      <c r="J1109" t="s">
        <v>3469</v>
      </c>
      <c r="K1109" t="s">
        <v>461</v>
      </c>
      <c r="L1109">
        <v>15</v>
      </c>
      <c r="M1109" s="453">
        <v>46048</v>
      </c>
      <c r="N1109">
        <v>15</v>
      </c>
      <c r="O1109">
        <v>17.5</v>
      </c>
      <c r="P1109">
        <v>15</v>
      </c>
    </row>
    <row r="1110" spans="1:16" x14ac:dyDescent="0.3">
      <c r="A1110">
        <v>72870</v>
      </c>
      <c r="B1110">
        <v>116</v>
      </c>
      <c r="C1110" t="s">
        <v>568</v>
      </c>
      <c r="D1110" s="453">
        <v>46054</v>
      </c>
      <c r="E1110">
        <v>24400</v>
      </c>
      <c r="F1110" t="s">
        <v>4149</v>
      </c>
      <c r="G1110">
        <v>2368</v>
      </c>
      <c r="H1110">
        <v>1</v>
      </c>
      <c r="I1110" t="s">
        <v>3872</v>
      </c>
      <c r="J1110" t="s">
        <v>3469</v>
      </c>
      <c r="K1110" t="s">
        <v>461</v>
      </c>
      <c r="L1110">
        <v>14.5</v>
      </c>
      <c r="M1110" s="453">
        <v>46028</v>
      </c>
      <c r="N1110">
        <v>14.5</v>
      </c>
      <c r="O1110">
        <v>14.5</v>
      </c>
      <c r="P1110">
        <v>14.5</v>
      </c>
    </row>
    <row r="1111" spans="1:16" x14ac:dyDescent="0.3">
      <c r="A1111">
        <v>72894</v>
      </c>
      <c r="B1111">
        <v>116</v>
      </c>
      <c r="C1111" t="s">
        <v>568</v>
      </c>
      <c r="D1111" s="453">
        <v>46054</v>
      </c>
      <c r="E1111">
        <v>19634</v>
      </c>
      <c r="F1111" t="s">
        <v>4068</v>
      </c>
      <c r="G1111">
        <v>2602</v>
      </c>
      <c r="H1111">
        <v>2</v>
      </c>
      <c r="I1111" t="s">
        <v>3892</v>
      </c>
      <c r="J1111" t="s">
        <v>3469</v>
      </c>
      <c r="K1111" t="s">
        <v>461</v>
      </c>
      <c r="L1111">
        <v>7.25</v>
      </c>
      <c r="M1111" s="453">
        <v>46051</v>
      </c>
      <c r="N1111">
        <v>7</v>
      </c>
      <c r="O1111">
        <v>7.61</v>
      </c>
      <c r="P1111">
        <v>14.5</v>
      </c>
    </row>
    <row r="1112" spans="1:16" x14ac:dyDescent="0.3">
      <c r="A1112">
        <v>72859</v>
      </c>
      <c r="B1112">
        <v>116</v>
      </c>
      <c r="C1112" t="s">
        <v>568</v>
      </c>
      <c r="D1112" s="453">
        <v>46054</v>
      </c>
      <c r="E1112">
        <v>18594</v>
      </c>
      <c r="F1112" t="s">
        <v>4147</v>
      </c>
      <c r="G1112">
        <v>3100</v>
      </c>
      <c r="H1112">
        <v>0.17</v>
      </c>
      <c r="I1112" t="s">
        <v>3888</v>
      </c>
      <c r="J1112" t="s">
        <v>3497</v>
      </c>
      <c r="K1112" t="s">
        <v>461</v>
      </c>
      <c r="L1112">
        <v>0</v>
      </c>
      <c r="M1112" s="453">
        <v>45979</v>
      </c>
      <c r="N1112">
        <v>82.76</v>
      </c>
      <c r="O1112">
        <v>82.76</v>
      </c>
      <c r="P1112">
        <v>14.07</v>
      </c>
    </row>
    <row r="1113" spans="1:16" x14ac:dyDescent="0.3">
      <c r="A1113">
        <v>72871</v>
      </c>
      <c r="B1113">
        <v>116</v>
      </c>
      <c r="C1113" t="s">
        <v>568</v>
      </c>
      <c r="D1113" s="453">
        <v>46054</v>
      </c>
      <c r="E1113">
        <v>23500</v>
      </c>
      <c r="F1113" t="s">
        <v>4116</v>
      </c>
      <c r="G1113">
        <v>2369</v>
      </c>
      <c r="H1113">
        <v>1</v>
      </c>
      <c r="I1113" t="s">
        <v>3892</v>
      </c>
      <c r="J1113" t="s">
        <v>3469</v>
      </c>
      <c r="K1113" t="s">
        <v>461</v>
      </c>
      <c r="L1113">
        <v>0</v>
      </c>
      <c r="M1113" s="453">
        <v>45552</v>
      </c>
      <c r="N1113">
        <v>14</v>
      </c>
      <c r="O1113">
        <v>13.5</v>
      </c>
      <c r="P1113">
        <v>14</v>
      </c>
    </row>
    <row r="1114" spans="1:16" x14ac:dyDescent="0.3">
      <c r="A1114">
        <v>72883</v>
      </c>
      <c r="B1114">
        <v>116</v>
      </c>
      <c r="C1114" t="s">
        <v>568</v>
      </c>
      <c r="D1114" s="453">
        <v>46054</v>
      </c>
      <c r="E1114">
        <v>23146</v>
      </c>
      <c r="F1114" t="s">
        <v>4112</v>
      </c>
      <c r="G1114">
        <v>2705</v>
      </c>
      <c r="H1114">
        <v>0.2</v>
      </c>
      <c r="I1114" t="s">
        <v>3892</v>
      </c>
      <c r="J1114" t="s">
        <v>3469</v>
      </c>
      <c r="K1114" t="s">
        <v>461</v>
      </c>
      <c r="L1114">
        <v>0</v>
      </c>
      <c r="N1114">
        <v>0</v>
      </c>
      <c r="O1114">
        <v>65</v>
      </c>
      <c r="P1114">
        <v>13</v>
      </c>
    </row>
    <row r="1115" spans="1:16" x14ac:dyDescent="0.3">
      <c r="A1115">
        <v>72905</v>
      </c>
      <c r="B1115">
        <v>116</v>
      </c>
      <c r="C1115" t="s">
        <v>568</v>
      </c>
      <c r="D1115" s="453">
        <v>46054</v>
      </c>
      <c r="E1115">
        <v>23357</v>
      </c>
      <c r="F1115" t="s">
        <v>4042</v>
      </c>
      <c r="G1115">
        <v>2501</v>
      </c>
      <c r="H1115">
        <v>1</v>
      </c>
      <c r="I1115" t="s">
        <v>3892</v>
      </c>
      <c r="J1115" t="s">
        <v>3469</v>
      </c>
      <c r="K1115" t="s">
        <v>461</v>
      </c>
      <c r="L1115">
        <v>0</v>
      </c>
      <c r="M1115" s="453">
        <v>45680</v>
      </c>
      <c r="N1115">
        <v>13</v>
      </c>
      <c r="O1115">
        <v>13</v>
      </c>
      <c r="P1115">
        <v>13</v>
      </c>
    </row>
    <row r="1116" spans="1:16" x14ac:dyDescent="0.3">
      <c r="A1116">
        <v>72926</v>
      </c>
      <c r="B1116">
        <v>116</v>
      </c>
      <c r="C1116" t="s">
        <v>568</v>
      </c>
      <c r="D1116" s="453">
        <v>46054</v>
      </c>
      <c r="E1116">
        <v>23113</v>
      </c>
      <c r="F1116" t="s">
        <v>4079</v>
      </c>
      <c r="G1116">
        <v>2736</v>
      </c>
      <c r="H1116">
        <v>1</v>
      </c>
      <c r="I1116" t="s">
        <v>3892</v>
      </c>
      <c r="J1116" t="s">
        <v>3469</v>
      </c>
      <c r="K1116" t="s">
        <v>461</v>
      </c>
      <c r="L1116">
        <v>12.32</v>
      </c>
      <c r="M1116" s="453">
        <v>46051</v>
      </c>
      <c r="N1116">
        <v>8.5</v>
      </c>
      <c r="O1116">
        <v>8.5</v>
      </c>
      <c r="P1116">
        <v>12.32</v>
      </c>
    </row>
    <row r="1117" spans="1:16" x14ac:dyDescent="0.3">
      <c r="A1117">
        <v>72886</v>
      </c>
      <c r="B1117">
        <v>116</v>
      </c>
      <c r="C1117" t="s">
        <v>568</v>
      </c>
      <c r="D1117" s="453">
        <v>46054</v>
      </c>
      <c r="E1117">
        <v>19498</v>
      </c>
      <c r="F1117" t="s">
        <v>4065</v>
      </c>
      <c r="G1117">
        <v>2712</v>
      </c>
      <c r="H1117">
        <v>1</v>
      </c>
      <c r="I1117" t="s">
        <v>3892</v>
      </c>
      <c r="J1117" t="s">
        <v>3469</v>
      </c>
      <c r="K1117" t="s">
        <v>461</v>
      </c>
      <c r="L1117">
        <v>11.6</v>
      </c>
      <c r="M1117" s="453">
        <v>46051</v>
      </c>
      <c r="N1117">
        <v>12.5</v>
      </c>
      <c r="O1117">
        <v>12.5</v>
      </c>
      <c r="P1117">
        <v>11.6</v>
      </c>
    </row>
    <row r="1118" spans="1:16" x14ac:dyDescent="0.3">
      <c r="A1118">
        <v>73025</v>
      </c>
      <c r="B1118">
        <v>116</v>
      </c>
      <c r="C1118" t="s">
        <v>568</v>
      </c>
      <c r="D1118" s="453">
        <v>46054</v>
      </c>
      <c r="E1118">
        <v>20304</v>
      </c>
      <c r="F1118" t="s">
        <v>3938</v>
      </c>
      <c r="G1118">
        <v>2223</v>
      </c>
      <c r="H1118">
        <v>0.5</v>
      </c>
      <c r="I1118" t="s">
        <v>3888</v>
      </c>
      <c r="J1118" t="s">
        <v>3469</v>
      </c>
      <c r="K1118" t="s">
        <v>461</v>
      </c>
      <c r="L1118">
        <v>23</v>
      </c>
      <c r="M1118" s="453">
        <v>46037</v>
      </c>
      <c r="N1118">
        <v>34.5</v>
      </c>
      <c r="O1118">
        <v>36.299999999999997</v>
      </c>
      <c r="P1118">
        <v>11.5</v>
      </c>
    </row>
    <row r="1119" spans="1:16" x14ac:dyDescent="0.3">
      <c r="A1119">
        <v>72891</v>
      </c>
      <c r="B1119">
        <v>116</v>
      </c>
      <c r="C1119" t="s">
        <v>568</v>
      </c>
      <c r="D1119" s="453">
        <v>46054</v>
      </c>
      <c r="E1119">
        <v>23389</v>
      </c>
      <c r="F1119" t="s">
        <v>4016</v>
      </c>
      <c r="G1119">
        <v>2475</v>
      </c>
      <c r="H1119">
        <v>2</v>
      </c>
      <c r="I1119" t="s">
        <v>3892</v>
      </c>
      <c r="J1119" t="s">
        <v>3469</v>
      </c>
      <c r="K1119" t="s">
        <v>461</v>
      </c>
      <c r="L1119">
        <v>5.48</v>
      </c>
      <c r="M1119" s="453">
        <v>46051</v>
      </c>
      <c r="N1119">
        <v>5</v>
      </c>
      <c r="O1119">
        <v>4.8</v>
      </c>
      <c r="P1119">
        <v>10.96</v>
      </c>
    </row>
    <row r="1120" spans="1:16" x14ac:dyDescent="0.3">
      <c r="A1120">
        <v>72973</v>
      </c>
      <c r="B1120">
        <v>116</v>
      </c>
      <c r="C1120" t="s">
        <v>568</v>
      </c>
      <c r="D1120" s="453">
        <v>46054</v>
      </c>
      <c r="E1120">
        <v>19932</v>
      </c>
      <c r="F1120" t="s">
        <v>4011</v>
      </c>
      <c r="G1120">
        <v>2368</v>
      </c>
      <c r="H1120">
        <v>1.5</v>
      </c>
      <c r="I1120" t="s">
        <v>3872</v>
      </c>
      <c r="J1120" t="s">
        <v>3469</v>
      </c>
      <c r="K1120" t="s">
        <v>461</v>
      </c>
      <c r="L1120">
        <v>7.3</v>
      </c>
      <c r="M1120" s="453">
        <v>46027</v>
      </c>
      <c r="N1120">
        <v>7.3</v>
      </c>
      <c r="O1120">
        <v>7</v>
      </c>
      <c r="P1120">
        <v>10.95</v>
      </c>
    </row>
    <row r="1121" spans="1:16" x14ac:dyDescent="0.3">
      <c r="A1121">
        <v>72853</v>
      </c>
      <c r="B1121">
        <v>116</v>
      </c>
      <c r="C1121" t="s">
        <v>568</v>
      </c>
      <c r="D1121" s="453">
        <v>46054</v>
      </c>
      <c r="E1121">
        <v>17881</v>
      </c>
      <c r="F1121" t="s">
        <v>4095</v>
      </c>
      <c r="G1121">
        <v>3675</v>
      </c>
      <c r="H1121">
        <v>0.42</v>
      </c>
      <c r="I1121" t="s">
        <v>3888</v>
      </c>
      <c r="J1121" t="s">
        <v>3497</v>
      </c>
      <c r="K1121" t="s">
        <v>461</v>
      </c>
      <c r="L1121">
        <v>25.53</v>
      </c>
      <c r="M1121" s="453">
        <v>46049</v>
      </c>
      <c r="N1121">
        <v>25.53</v>
      </c>
      <c r="O1121">
        <v>20.11</v>
      </c>
      <c r="P1121">
        <v>10.72</v>
      </c>
    </row>
    <row r="1122" spans="1:16" x14ac:dyDescent="0.3">
      <c r="A1122">
        <v>72911</v>
      </c>
      <c r="B1122">
        <v>116</v>
      </c>
      <c r="C1122" t="s">
        <v>568</v>
      </c>
      <c r="D1122" s="453">
        <v>46054</v>
      </c>
      <c r="E1122">
        <v>19742</v>
      </c>
      <c r="F1122" t="s">
        <v>4074</v>
      </c>
      <c r="G1122">
        <v>2511</v>
      </c>
      <c r="H1122">
        <v>1</v>
      </c>
      <c r="I1122" t="s">
        <v>3892</v>
      </c>
      <c r="J1122" t="s">
        <v>3469</v>
      </c>
      <c r="K1122" t="s">
        <v>461</v>
      </c>
      <c r="L1122">
        <v>10.56</v>
      </c>
      <c r="M1122" s="453">
        <v>46051</v>
      </c>
      <c r="N1122">
        <v>9.5</v>
      </c>
      <c r="O1122">
        <v>10.15</v>
      </c>
      <c r="P1122">
        <v>10.56</v>
      </c>
    </row>
    <row r="1123" spans="1:16" x14ac:dyDescent="0.3">
      <c r="A1123">
        <v>72885</v>
      </c>
      <c r="B1123">
        <v>116</v>
      </c>
      <c r="C1123" t="s">
        <v>568</v>
      </c>
      <c r="D1123" s="453">
        <v>46054</v>
      </c>
      <c r="E1123">
        <v>23142</v>
      </c>
      <c r="F1123" t="s">
        <v>4151</v>
      </c>
      <c r="G1123">
        <v>2709</v>
      </c>
      <c r="H1123">
        <v>0.4</v>
      </c>
      <c r="I1123" t="s">
        <v>3892</v>
      </c>
      <c r="J1123" t="s">
        <v>3469</v>
      </c>
      <c r="K1123" t="s">
        <v>461</v>
      </c>
      <c r="L1123">
        <v>25.14</v>
      </c>
      <c r="M1123" s="453">
        <v>46051</v>
      </c>
      <c r="N1123">
        <v>29</v>
      </c>
      <c r="O1123">
        <v>29</v>
      </c>
      <c r="P1123">
        <v>10.06</v>
      </c>
    </row>
    <row r="1124" spans="1:16" x14ac:dyDescent="0.3">
      <c r="A1124">
        <v>72910</v>
      </c>
      <c r="B1124">
        <v>116</v>
      </c>
      <c r="C1124" t="s">
        <v>568</v>
      </c>
      <c r="D1124" s="453">
        <v>46054</v>
      </c>
      <c r="E1124">
        <v>19689</v>
      </c>
      <c r="F1124" t="s">
        <v>4073</v>
      </c>
      <c r="G1124">
        <v>2551</v>
      </c>
      <c r="H1124">
        <v>1</v>
      </c>
      <c r="I1124" t="s">
        <v>3892</v>
      </c>
      <c r="J1124" t="s">
        <v>3469</v>
      </c>
      <c r="K1124" t="s">
        <v>461</v>
      </c>
      <c r="L1124">
        <v>0</v>
      </c>
      <c r="M1124" s="453">
        <v>45999</v>
      </c>
      <c r="N1124">
        <v>10</v>
      </c>
      <c r="O1124">
        <v>10</v>
      </c>
      <c r="P1124">
        <v>10</v>
      </c>
    </row>
    <row r="1125" spans="1:16" x14ac:dyDescent="0.3">
      <c r="A1125">
        <v>72912</v>
      </c>
      <c r="B1125">
        <v>116</v>
      </c>
      <c r="C1125" t="s">
        <v>568</v>
      </c>
      <c r="D1125" s="453">
        <v>46054</v>
      </c>
      <c r="E1125">
        <v>19475</v>
      </c>
      <c r="F1125" t="s">
        <v>4111</v>
      </c>
      <c r="G1125">
        <v>2730</v>
      </c>
      <c r="H1125">
        <v>0.2</v>
      </c>
      <c r="I1125" t="s">
        <v>3892</v>
      </c>
      <c r="J1125" t="s">
        <v>3469</v>
      </c>
      <c r="K1125" t="s">
        <v>461</v>
      </c>
      <c r="L1125">
        <v>0</v>
      </c>
      <c r="M1125" s="453">
        <v>45831</v>
      </c>
      <c r="N1125">
        <v>50</v>
      </c>
      <c r="O1125">
        <v>50</v>
      </c>
      <c r="P1125">
        <v>10</v>
      </c>
    </row>
    <row r="1126" spans="1:16" x14ac:dyDescent="0.3">
      <c r="A1126">
        <v>72884</v>
      </c>
      <c r="B1126">
        <v>116</v>
      </c>
      <c r="C1126" t="s">
        <v>568</v>
      </c>
      <c r="D1126" s="453">
        <v>46054</v>
      </c>
      <c r="E1126">
        <v>19505</v>
      </c>
      <c r="F1126" t="s">
        <v>4101</v>
      </c>
      <c r="G1126">
        <v>2706</v>
      </c>
      <c r="H1126">
        <v>0.8</v>
      </c>
      <c r="I1126" t="s">
        <v>3892</v>
      </c>
      <c r="J1126" t="s">
        <v>3469</v>
      </c>
      <c r="K1126" t="s">
        <v>461</v>
      </c>
      <c r="L1126">
        <v>10.93</v>
      </c>
      <c r="M1126" s="453">
        <v>46051</v>
      </c>
      <c r="N1126">
        <v>12.5</v>
      </c>
      <c r="O1126">
        <v>12.5</v>
      </c>
      <c r="P1126">
        <v>8.74</v>
      </c>
    </row>
    <row r="1127" spans="1:16" x14ac:dyDescent="0.3">
      <c r="A1127">
        <v>72924</v>
      </c>
      <c r="B1127">
        <v>116</v>
      </c>
      <c r="C1127" t="s">
        <v>568</v>
      </c>
      <c r="D1127" s="453">
        <v>46054</v>
      </c>
      <c r="E1127">
        <v>19555</v>
      </c>
      <c r="F1127" t="s">
        <v>4109</v>
      </c>
      <c r="G1127">
        <v>2662</v>
      </c>
      <c r="H1127">
        <v>0.3</v>
      </c>
      <c r="I1127" t="s">
        <v>3892</v>
      </c>
      <c r="J1127" t="s">
        <v>3469</v>
      </c>
      <c r="K1127" t="s">
        <v>461</v>
      </c>
      <c r="L1127">
        <v>25.3</v>
      </c>
      <c r="M1127" s="453">
        <v>46051</v>
      </c>
      <c r="N1127">
        <v>35</v>
      </c>
      <c r="O1127">
        <v>35</v>
      </c>
      <c r="P1127">
        <v>7.59</v>
      </c>
    </row>
    <row r="1128" spans="1:16" x14ac:dyDescent="0.3">
      <c r="A1128">
        <v>72927</v>
      </c>
      <c r="B1128">
        <v>116</v>
      </c>
      <c r="C1128" t="s">
        <v>568</v>
      </c>
      <c r="D1128" s="453">
        <v>46054</v>
      </c>
      <c r="E1128">
        <v>19465</v>
      </c>
      <c r="F1128" t="s">
        <v>4080</v>
      </c>
      <c r="G1128">
        <v>2737</v>
      </c>
      <c r="H1128">
        <v>1.5</v>
      </c>
      <c r="I1128" t="s">
        <v>3892</v>
      </c>
      <c r="J1128" t="s">
        <v>3469</v>
      </c>
      <c r="K1128" t="s">
        <v>461</v>
      </c>
      <c r="L1128">
        <v>4.88</v>
      </c>
      <c r="M1128" s="453">
        <v>46051</v>
      </c>
      <c r="N1128">
        <v>5</v>
      </c>
      <c r="O1128">
        <v>5</v>
      </c>
      <c r="P1128">
        <v>7.32</v>
      </c>
    </row>
    <row r="1129" spans="1:16" x14ac:dyDescent="0.3">
      <c r="A1129">
        <v>72907</v>
      </c>
      <c r="B1129">
        <v>116</v>
      </c>
      <c r="C1129" t="s">
        <v>568</v>
      </c>
      <c r="D1129" s="453">
        <v>46054</v>
      </c>
      <c r="E1129">
        <v>24326</v>
      </c>
      <c r="F1129" t="s">
        <v>3932</v>
      </c>
      <c r="G1129">
        <v>2499</v>
      </c>
      <c r="H1129">
        <v>3</v>
      </c>
      <c r="I1129" t="s">
        <v>3892</v>
      </c>
      <c r="J1129" t="s">
        <v>3469</v>
      </c>
      <c r="K1129" t="s">
        <v>461</v>
      </c>
      <c r="L1129">
        <v>0</v>
      </c>
      <c r="M1129" s="453">
        <v>45831</v>
      </c>
      <c r="N1129">
        <v>2.4</v>
      </c>
      <c r="O1129">
        <v>3.8</v>
      </c>
      <c r="P1129">
        <v>7.2</v>
      </c>
    </row>
    <row r="1130" spans="1:16" x14ac:dyDescent="0.3">
      <c r="A1130">
        <v>72969</v>
      </c>
      <c r="B1130">
        <v>116</v>
      </c>
      <c r="C1130" t="s">
        <v>568</v>
      </c>
      <c r="D1130" s="453">
        <v>46054</v>
      </c>
      <c r="E1130">
        <v>17897</v>
      </c>
      <c r="F1130" t="s">
        <v>4094</v>
      </c>
      <c r="G1130">
        <v>3664</v>
      </c>
      <c r="H1130">
        <v>0.17</v>
      </c>
      <c r="I1130" t="s">
        <v>3888</v>
      </c>
      <c r="J1130" t="s">
        <v>3497</v>
      </c>
      <c r="K1130" t="s">
        <v>461</v>
      </c>
      <c r="L1130">
        <v>40.29</v>
      </c>
      <c r="M1130" s="453">
        <v>46031</v>
      </c>
      <c r="N1130">
        <v>40.29</v>
      </c>
      <c r="O1130">
        <v>40.29</v>
      </c>
      <c r="P1130">
        <v>6.85</v>
      </c>
    </row>
    <row r="1131" spans="1:16" x14ac:dyDescent="0.3">
      <c r="A1131">
        <v>72898</v>
      </c>
      <c r="B1131">
        <v>116</v>
      </c>
      <c r="C1131" t="s">
        <v>568</v>
      </c>
      <c r="D1131" s="453">
        <v>46054</v>
      </c>
      <c r="E1131">
        <v>19623</v>
      </c>
      <c r="F1131" t="s">
        <v>3984</v>
      </c>
      <c r="G1131">
        <v>2611</v>
      </c>
      <c r="H1131">
        <v>1.6</v>
      </c>
      <c r="I1131" t="s">
        <v>3892</v>
      </c>
      <c r="J1131" t="s">
        <v>3469</v>
      </c>
      <c r="K1131" t="s">
        <v>461</v>
      </c>
      <c r="L1131">
        <v>4.0999999999999996</v>
      </c>
      <c r="M1131" s="453">
        <v>46051</v>
      </c>
      <c r="N1131">
        <v>3.8</v>
      </c>
      <c r="O1131">
        <v>3.8</v>
      </c>
      <c r="P1131">
        <v>6.56</v>
      </c>
    </row>
    <row r="1132" spans="1:16" x14ac:dyDescent="0.3">
      <c r="A1132">
        <v>72899</v>
      </c>
      <c r="B1132">
        <v>116</v>
      </c>
      <c r="C1132" t="s">
        <v>568</v>
      </c>
      <c r="D1132" s="453">
        <v>46054</v>
      </c>
      <c r="E1132">
        <v>19621</v>
      </c>
      <c r="F1132" t="s">
        <v>4125</v>
      </c>
      <c r="G1132">
        <v>2613</v>
      </c>
      <c r="H1132">
        <v>2.1</v>
      </c>
      <c r="I1132" t="s">
        <v>3892</v>
      </c>
      <c r="J1132" t="s">
        <v>3469</v>
      </c>
      <c r="K1132" t="s">
        <v>461</v>
      </c>
      <c r="L1132">
        <v>3.03</v>
      </c>
      <c r="M1132" s="453">
        <v>46051</v>
      </c>
      <c r="N1132">
        <v>2.5</v>
      </c>
      <c r="O1132">
        <v>2.54</v>
      </c>
      <c r="P1132">
        <v>6.36</v>
      </c>
    </row>
    <row r="1133" spans="1:16" x14ac:dyDescent="0.3">
      <c r="A1133">
        <v>72893</v>
      </c>
      <c r="B1133">
        <v>116</v>
      </c>
      <c r="C1133" t="s">
        <v>568</v>
      </c>
      <c r="D1133" s="453">
        <v>46054</v>
      </c>
      <c r="E1133">
        <v>19642</v>
      </c>
      <c r="F1133" t="s">
        <v>4067</v>
      </c>
      <c r="G1133">
        <v>2596</v>
      </c>
      <c r="H1133">
        <v>1</v>
      </c>
      <c r="I1133" t="s">
        <v>3892</v>
      </c>
      <c r="J1133" t="s">
        <v>3469</v>
      </c>
      <c r="K1133" t="s">
        <v>461</v>
      </c>
      <c r="L1133">
        <v>6.07</v>
      </c>
      <c r="M1133" s="453">
        <v>46051</v>
      </c>
      <c r="N1133">
        <v>5.5</v>
      </c>
      <c r="O1133">
        <v>5.98</v>
      </c>
      <c r="P1133">
        <v>6.07</v>
      </c>
    </row>
    <row r="1134" spans="1:16" x14ac:dyDescent="0.3">
      <c r="A1134">
        <v>72933</v>
      </c>
      <c r="B1134">
        <v>116</v>
      </c>
      <c r="C1134" t="s">
        <v>568</v>
      </c>
      <c r="D1134" s="453">
        <v>46054</v>
      </c>
      <c r="E1134">
        <v>24484</v>
      </c>
      <c r="F1134" t="s">
        <v>4154</v>
      </c>
      <c r="G1134">
        <v>2684</v>
      </c>
      <c r="H1134">
        <v>0.5</v>
      </c>
      <c r="I1134" t="s">
        <v>3892</v>
      </c>
      <c r="J1134" t="s">
        <v>3469</v>
      </c>
      <c r="K1134" t="s">
        <v>461</v>
      </c>
      <c r="L1134">
        <v>9.56</v>
      </c>
      <c r="M1134" s="453">
        <v>46051</v>
      </c>
      <c r="N1134">
        <v>9.8000000000000007</v>
      </c>
      <c r="O1134">
        <v>9.8000000000000007</v>
      </c>
      <c r="P1134">
        <v>4.78</v>
      </c>
    </row>
    <row r="1135" spans="1:16" x14ac:dyDescent="0.3">
      <c r="A1135">
        <v>72930</v>
      </c>
      <c r="B1135">
        <v>116</v>
      </c>
      <c r="C1135" t="s">
        <v>568</v>
      </c>
      <c r="D1135" s="453">
        <v>46054</v>
      </c>
      <c r="E1135">
        <v>23184</v>
      </c>
      <c r="F1135" t="s">
        <v>3894</v>
      </c>
      <c r="G1135">
        <v>2670</v>
      </c>
      <c r="H1135">
        <v>0.5</v>
      </c>
      <c r="I1135" t="s">
        <v>3892</v>
      </c>
      <c r="J1135" t="s">
        <v>3469</v>
      </c>
      <c r="K1135" t="s">
        <v>461</v>
      </c>
      <c r="L1135">
        <v>0</v>
      </c>
      <c r="M1135" s="453">
        <v>46013</v>
      </c>
      <c r="N1135">
        <v>8.4</v>
      </c>
      <c r="O1135">
        <v>8.75</v>
      </c>
      <c r="P1135">
        <v>4.2</v>
      </c>
    </row>
    <row r="1136" spans="1:16" x14ac:dyDescent="0.3">
      <c r="A1136">
        <v>72925</v>
      </c>
      <c r="B1136">
        <v>116</v>
      </c>
      <c r="C1136" t="s">
        <v>568</v>
      </c>
      <c r="D1136" s="453">
        <v>46054</v>
      </c>
      <c r="E1136">
        <v>19553</v>
      </c>
      <c r="F1136" t="s">
        <v>4078</v>
      </c>
      <c r="G1136">
        <v>2663</v>
      </c>
      <c r="H1136">
        <v>1</v>
      </c>
      <c r="I1136" t="s">
        <v>3892</v>
      </c>
      <c r="J1136" t="s">
        <v>3469</v>
      </c>
      <c r="K1136" t="s">
        <v>461</v>
      </c>
      <c r="L1136">
        <v>2.86</v>
      </c>
      <c r="M1136" s="453">
        <v>46048</v>
      </c>
      <c r="N1136">
        <v>3</v>
      </c>
      <c r="O1136">
        <v>3</v>
      </c>
      <c r="P1136">
        <v>2.86</v>
      </c>
    </row>
    <row r="1137" spans="1:16" x14ac:dyDescent="0.3">
      <c r="A1137">
        <v>72847</v>
      </c>
      <c r="B1137">
        <v>116</v>
      </c>
      <c r="C1137" t="s">
        <v>568</v>
      </c>
      <c r="D1137" s="453">
        <v>46054</v>
      </c>
      <c r="E1137">
        <v>17915</v>
      </c>
      <c r="F1137" t="s">
        <v>4145</v>
      </c>
      <c r="G1137">
        <v>3648</v>
      </c>
      <c r="H1137">
        <v>0.25</v>
      </c>
      <c r="I1137" t="s">
        <v>3888</v>
      </c>
      <c r="J1137" t="s">
        <v>3497</v>
      </c>
      <c r="K1137" t="s">
        <v>461</v>
      </c>
      <c r="L1137">
        <v>0</v>
      </c>
      <c r="M1137" s="453">
        <v>45496</v>
      </c>
      <c r="N1137">
        <v>6.42</v>
      </c>
      <c r="O1137">
        <v>152.62</v>
      </c>
      <c r="P1137">
        <v>1.6</v>
      </c>
    </row>
    <row r="1138" spans="1:16" x14ac:dyDescent="0.3">
      <c r="A1138">
        <v>67468</v>
      </c>
      <c r="B1138">
        <v>116</v>
      </c>
      <c r="C1138" t="s">
        <v>568</v>
      </c>
      <c r="D1138" s="453">
        <v>46023</v>
      </c>
      <c r="E1138">
        <v>18636</v>
      </c>
      <c r="F1138" t="s">
        <v>3921</v>
      </c>
      <c r="G1138">
        <v>3075</v>
      </c>
      <c r="H1138">
        <v>18</v>
      </c>
      <c r="I1138" t="s">
        <v>3922</v>
      </c>
      <c r="J1138" t="s">
        <v>3497</v>
      </c>
      <c r="K1138" t="s">
        <v>460</v>
      </c>
      <c r="L1138">
        <v>482.8</v>
      </c>
      <c r="M1138" s="453">
        <v>46021</v>
      </c>
      <c r="N1138">
        <v>482.8</v>
      </c>
      <c r="O1138">
        <v>118.84</v>
      </c>
      <c r="P1138">
        <v>8690.4</v>
      </c>
    </row>
    <row r="1139" spans="1:16" x14ac:dyDescent="0.3">
      <c r="A1139">
        <v>67495</v>
      </c>
      <c r="B1139">
        <v>116</v>
      </c>
      <c r="C1139" t="s">
        <v>568</v>
      </c>
      <c r="D1139" s="453">
        <v>46023</v>
      </c>
      <c r="E1139">
        <v>17957</v>
      </c>
      <c r="F1139" t="s">
        <v>3879</v>
      </c>
      <c r="G1139">
        <v>3622</v>
      </c>
      <c r="H1139">
        <v>192</v>
      </c>
      <c r="I1139" t="s">
        <v>3872</v>
      </c>
      <c r="J1139" t="s">
        <v>3497</v>
      </c>
      <c r="K1139" t="s">
        <v>460</v>
      </c>
      <c r="L1139">
        <v>0</v>
      </c>
      <c r="M1139" s="453">
        <v>45964</v>
      </c>
      <c r="N1139">
        <v>15.9</v>
      </c>
      <c r="O1139">
        <v>15.9</v>
      </c>
      <c r="P1139">
        <v>3052.8</v>
      </c>
    </row>
    <row r="1140" spans="1:16" x14ac:dyDescent="0.3">
      <c r="A1140">
        <v>67471</v>
      </c>
      <c r="B1140">
        <v>116</v>
      </c>
      <c r="C1140" t="s">
        <v>568</v>
      </c>
      <c r="D1140" s="453">
        <v>46023</v>
      </c>
      <c r="E1140">
        <v>18247</v>
      </c>
      <c r="F1140" t="s">
        <v>3877</v>
      </c>
      <c r="G1140">
        <v>3383</v>
      </c>
      <c r="H1140">
        <v>37</v>
      </c>
      <c r="I1140" t="s">
        <v>3878</v>
      </c>
      <c r="J1140" t="s">
        <v>3497</v>
      </c>
      <c r="K1140" t="s">
        <v>460</v>
      </c>
      <c r="L1140">
        <v>0</v>
      </c>
      <c r="N1140">
        <v>0</v>
      </c>
      <c r="O1140">
        <v>0</v>
      </c>
      <c r="P1140">
        <v>2456.8000000000002</v>
      </c>
    </row>
    <row r="1141" spans="1:16" x14ac:dyDescent="0.3">
      <c r="A1141">
        <v>67480</v>
      </c>
      <c r="B1141">
        <v>116</v>
      </c>
      <c r="C1141" t="s">
        <v>568</v>
      </c>
      <c r="D1141" s="453">
        <v>46023</v>
      </c>
      <c r="E1141">
        <v>22515</v>
      </c>
      <c r="F1141" t="s">
        <v>3883</v>
      </c>
      <c r="G1141">
        <v>3202</v>
      </c>
      <c r="H1141">
        <v>54</v>
      </c>
      <c r="I1141" t="s">
        <v>3884</v>
      </c>
      <c r="J1141" t="s">
        <v>3497</v>
      </c>
      <c r="K1141" t="s">
        <v>460</v>
      </c>
      <c r="L1141">
        <v>0</v>
      </c>
      <c r="M1141" s="453">
        <v>45671</v>
      </c>
      <c r="N1141">
        <v>38</v>
      </c>
      <c r="O1141">
        <v>38</v>
      </c>
      <c r="P1141">
        <v>2052</v>
      </c>
    </row>
    <row r="1142" spans="1:16" x14ac:dyDescent="0.3">
      <c r="A1142">
        <v>67438</v>
      </c>
      <c r="B1142">
        <v>116</v>
      </c>
      <c r="C1142" t="s">
        <v>568</v>
      </c>
      <c r="D1142" s="453">
        <v>46023</v>
      </c>
      <c r="E1142">
        <v>18684</v>
      </c>
      <c r="F1142" t="s">
        <v>3925</v>
      </c>
      <c r="G1142">
        <v>3041</v>
      </c>
      <c r="H1142">
        <v>46</v>
      </c>
      <c r="I1142" t="s">
        <v>3892</v>
      </c>
      <c r="J1142" t="s">
        <v>3469</v>
      </c>
      <c r="K1142" t="s">
        <v>460</v>
      </c>
      <c r="L1142">
        <v>36.68</v>
      </c>
      <c r="M1142" s="453">
        <v>46007</v>
      </c>
      <c r="N1142">
        <v>36</v>
      </c>
      <c r="O1142">
        <v>36</v>
      </c>
      <c r="P1142">
        <v>1687.28</v>
      </c>
    </row>
    <row r="1143" spans="1:16" x14ac:dyDescent="0.3">
      <c r="A1143">
        <v>67361</v>
      </c>
      <c r="B1143">
        <v>116</v>
      </c>
      <c r="C1143" t="s">
        <v>568</v>
      </c>
      <c r="D1143" s="453">
        <v>46023</v>
      </c>
      <c r="E1143">
        <v>20519</v>
      </c>
      <c r="F1143" t="s">
        <v>3902</v>
      </c>
      <c r="G1143">
        <v>2150</v>
      </c>
      <c r="H1143">
        <v>23.7</v>
      </c>
      <c r="I1143" t="s">
        <v>3892</v>
      </c>
      <c r="J1143" t="s">
        <v>3469</v>
      </c>
      <c r="K1143" t="s">
        <v>460</v>
      </c>
      <c r="L1143">
        <v>49.75</v>
      </c>
      <c r="M1143" s="453">
        <v>46021</v>
      </c>
      <c r="N1143">
        <v>49.75</v>
      </c>
      <c r="O1143">
        <v>49.75</v>
      </c>
      <c r="P1143">
        <v>1179.08</v>
      </c>
    </row>
    <row r="1144" spans="1:16" x14ac:dyDescent="0.3">
      <c r="A1144">
        <v>67454</v>
      </c>
      <c r="B1144">
        <v>116</v>
      </c>
      <c r="C1144" t="s">
        <v>568</v>
      </c>
      <c r="D1144" s="453">
        <v>46023</v>
      </c>
      <c r="E1144">
        <v>27312</v>
      </c>
      <c r="F1144" t="s">
        <v>3927</v>
      </c>
      <c r="G1144">
        <v>2942</v>
      </c>
      <c r="H1144">
        <v>20.7</v>
      </c>
      <c r="I1144" t="s">
        <v>3892</v>
      </c>
      <c r="J1144" t="s">
        <v>3469</v>
      </c>
      <c r="K1144" t="s">
        <v>460</v>
      </c>
      <c r="L1144">
        <v>49.81</v>
      </c>
      <c r="M1144" s="453">
        <v>46021</v>
      </c>
      <c r="N1144">
        <v>48.8</v>
      </c>
      <c r="O1144">
        <v>48.8</v>
      </c>
      <c r="P1144">
        <v>1031.07</v>
      </c>
    </row>
    <row r="1145" spans="1:16" x14ac:dyDescent="0.3">
      <c r="A1145">
        <v>67441</v>
      </c>
      <c r="B1145">
        <v>116</v>
      </c>
      <c r="C1145" t="s">
        <v>568</v>
      </c>
      <c r="D1145" s="453">
        <v>46023</v>
      </c>
      <c r="E1145">
        <v>19297</v>
      </c>
      <c r="F1145" t="s">
        <v>3949</v>
      </c>
      <c r="G1145">
        <v>2775</v>
      </c>
      <c r="H1145">
        <v>11.4</v>
      </c>
      <c r="I1145" t="s">
        <v>3892</v>
      </c>
      <c r="J1145" t="s">
        <v>3469</v>
      </c>
      <c r="K1145" t="s">
        <v>460</v>
      </c>
      <c r="L1145">
        <v>84.76</v>
      </c>
      <c r="M1145" s="453">
        <v>46029</v>
      </c>
      <c r="N1145">
        <v>78.900000000000006</v>
      </c>
      <c r="O1145">
        <v>591.70000000000005</v>
      </c>
      <c r="P1145">
        <v>966.26</v>
      </c>
    </row>
    <row r="1146" spans="1:16" x14ac:dyDescent="0.3">
      <c r="A1146">
        <v>67423</v>
      </c>
      <c r="B1146">
        <v>116</v>
      </c>
      <c r="C1146" t="s">
        <v>568</v>
      </c>
      <c r="D1146" s="453">
        <v>46023</v>
      </c>
      <c r="E1146">
        <v>27884</v>
      </c>
      <c r="F1146" t="s">
        <v>3910</v>
      </c>
      <c r="G1146">
        <v>7849</v>
      </c>
      <c r="H1146">
        <v>14.5</v>
      </c>
      <c r="I1146" t="s">
        <v>3892</v>
      </c>
      <c r="J1146" t="s">
        <v>3469</v>
      </c>
      <c r="K1146" t="s">
        <v>460</v>
      </c>
      <c r="L1146">
        <v>65</v>
      </c>
      <c r="M1146" s="453">
        <v>46028</v>
      </c>
      <c r="N1146">
        <v>65</v>
      </c>
      <c r="O1146">
        <v>65</v>
      </c>
      <c r="P1146">
        <v>942.5</v>
      </c>
    </row>
    <row r="1147" spans="1:16" x14ac:dyDescent="0.3">
      <c r="A1147">
        <v>67466</v>
      </c>
      <c r="B1147">
        <v>116</v>
      </c>
      <c r="C1147" t="s">
        <v>568</v>
      </c>
      <c r="D1147" s="453">
        <v>46023</v>
      </c>
      <c r="E1147">
        <v>18475</v>
      </c>
      <c r="F1147" t="s">
        <v>3918</v>
      </c>
      <c r="G1147">
        <v>3181</v>
      </c>
      <c r="H1147">
        <v>28</v>
      </c>
      <c r="I1147" t="s">
        <v>3878</v>
      </c>
      <c r="J1147" t="s">
        <v>3497</v>
      </c>
      <c r="K1147" t="s">
        <v>460</v>
      </c>
      <c r="L1147">
        <v>32.9</v>
      </c>
      <c r="M1147" s="453">
        <v>46013</v>
      </c>
      <c r="N1147">
        <v>32.9</v>
      </c>
      <c r="O1147">
        <v>32.9</v>
      </c>
      <c r="P1147">
        <v>921.2</v>
      </c>
    </row>
    <row r="1148" spans="1:16" x14ac:dyDescent="0.3">
      <c r="A1148">
        <v>67323</v>
      </c>
      <c r="B1148">
        <v>116</v>
      </c>
      <c r="C1148" t="s">
        <v>568</v>
      </c>
      <c r="D1148" s="453">
        <v>46023</v>
      </c>
      <c r="E1148">
        <v>20539</v>
      </c>
      <c r="F1148" t="s">
        <v>3908</v>
      </c>
      <c r="G1148">
        <v>2145</v>
      </c>
      <c r="H1148">
        <v>13.9</v>
      </c>
      <c r="I1148" t="s">
        <v>3892</v>
      </c>
      <c r="J1148" t="s">
        <v>3469</v>
      </c>
      <c r="K1148" t="s">
        <v>460</v>
      </c>
      <c r="L1148">
        <v>0</v>
      </c>
      <c r="M1148" s="453">
        <v>45946</v>
      </c>
      <c r="N1148">
        <v>64</v>
      </c>
      <c r="O1148">
        <v>64</v>
      </c>
      <c r="P1148">
        <v>889.6</v>
      </c>
    </row>
    <row r="1149" spans="1:16" x14ac:dyDescent="0.3">
      <c r="A1149">
        <v>67446</v>
      </c>
      <c r="B1149">
        <v>116</v>
      </c>
      <c r="C1149" t="s">
        <v>568</v>
      </c>
      <c r="D1149" s="453">
        <v>46023</v>
      </c>
      <c r="E1149">
        <v>24259</v>
      </c>
      <c r="F1149" t="s">
        <v>3895</v>
      </c>
      <c r="G1149">
        <v>2938</v>
      </c>
      <c r="H1149">
        <v>8.4</v>
      </c>
      <c r="I1149" t="s">
        <v>3892</v>
      </c>
      <c r="J1149" t="s">
        <v>3469</v>
      </c>
      <c r="K1149" t="s">
        <v>460</v>
      </c>
      <c r="L1149">
        <v>83.47</v>
      </c>
      <c r="M1149" s="453">
        <v>46029</v>
      </c>
      <c r="N1149">
        <v>76.989999999999995</v>
      </c>
      <c r="O1149">
        <v>78.900000000000006</v>
      </c>
      <c r="P1149">
        <v>701.15</v>
      </c>
    </row>
    <row r="1150" spans="1:16" x14ac:dyDescent="0.3">
      <c r="A1150">
        <v>67432</v>
      </c>
      <c r="B1150">
        <v>116</v>
      </c>
      <c r="C1150" t="s">
        <v>568</v>
      </c>
      <c r="D1150" s="453">
        <v>46023</v>
      </c>
      <c r="E1150">
        <v>24163</v>
      </c>
      <c r="F1150" t="s">
        <v>4130</v>
      </c>
      <c r="G1150">
        <v>2927</v>
      </c>
      <c r="H1150">
        <v>12.3</v>
      </c>
      <c r="I1150" t="s">
        <v>3892</v>
      </c>
      <c r="J1150" t="s">
        <v>3469</v>
      </c>
      <c r="K1150" t="s">
        <v>460</v>
      </c>
      <c r="L1150">
        <v>0</v>
      </c>
      <c r="N1150">
        <v>0</v>
      </c>
      <c r="O1150">
        <v>54.9</v>
      </c>
      <c r="P1150">
        <v>675.27</v>
      </c>
    </row>
    <row r="1151" spans="1:16" x14ac:dyDescent="0.3">
      <c r="A1151">
        <v>67429</v>
      </c>
      <c r="B1151">
        <v>116</v>
      </c>
      <c r="C1151" t="s">
        <v>568</v>
      </c>
      <c r="D1151" s="453">
        <v>46023</v>
      </c>
      <c r="E1151">
        <v>18832</v>
      </c>
      <c r="F1151" t="s">
        <v>3900</v>
      </c>
      <c r="G1151">
        <v>2950</v>
      </c>
      <c r="H1151">
        <v>15</v>
      </c>
      <c r="I1151" t="s">
        <v>3892</v>
      </c>
      <c r="J1151" t="s">
        <v>3469</v>
      </c>
      <c r="K1151" t="s">
        <v>460</v>
      </c>
      <c r="L1151">
        <v>40.19</v>
      </c>
      <c r="M1151" s="453">
        <v>46019</v>
      </c>
      <c r="N1151">
        <v>37.5</v>
      </c>
      <c r="O1151">
        <v>39.9</v>
      </c>
      <c r="P1151">
        <v>602.85</v>
      </c>
    </row>
    <row r="1152" spans="1:16" x14ac:dyDescent="0.3">
      <c r="A1152">
        <v>67428</v>
      </c>
      <c r="B1152">
        <v>116</v>
      </c>
      <c r="C1152" t="s">
        <v>568</v>
      </c>
      <c r="D1152" s="453">
        <v>46023</v>
      </c>
      <c r="E1152">
        <v>27901</v>
      </c>
      <c r="F1152" t="s">
        <v>3942</v>
      </c>
      <c r="G1152">
        <v>7866</v>
      </c>
      <c r="H1152">
        <v>6</v>
      </c>
      <c r="I1152" t="s">
        <v>3892</v>
      </c>
      <c r="J1152" t="s">
        <v>3469</v>
      </c>
      <c r="K1152" t="s">
        <v>460</v>
      </c>
      <c r="L1152">
        <v>99</v>
      </c>
      <c r="M1152" s="453">
        <v>45993</v>
      </c>
      <c r="N1152">
        <v>99</v>
      </c>
      <c r="O1152">
        <v>126</v>
      </c>
      <c r="P1152">
        <v>594</v>
      </c>
    </row>
    <row r="1153" spans="1:16" x14ac:dyDescent="0.3">
      <c r="A1153">
        <v>67436</v>
      </c>
      <c r="B1153">
        <v>116</v>
      </c>
      <c r="C1153" t="s">
        <v>568</v>
      </c>
      <c r="D1153" s="453">
        <v>46023</v>
      </c>
      <c r="E1153">
        <v>18727</v>
      </c>
      <c r="F1153" t="s">
        <v>3955</v>
      </c>
      <c r="G1153">
        <v>3024</v>
      </c>
      <c r="H1153">
        <v>7</v>
      </c>
      <c r="I1153" t="s">
        <v>3892</v>
      </c>
      <c r="J1153" t="s">
        <v>3469</v>
      </c>
      <c r="K1153" t="s">
        <v>460</v>
      </c>
      <c r="L1153">
        <v>0</v>
      </c>
      <c r="M1153" s="453">
        <v>45930</v>
      </c>
      <c r="N1153">
        <v>79</v>
      </c>
      <c r="O1153">
        <v>79</v>
      </c>
      <c r="P1153">
        <v>553</v>
      </c>
    </row>
    <row r="1154" spans="1:16" x14ac:dyDescent="0.3">
      <c r="A1154">
        <v>67435</v>
      </c>
      <c r="B1154">
        <v>116</v>
      </c>
      <c r="C1154" t="s">
        <v>568</v>
      </c>
      <c r="D1154" s="453">
        <v>46023</v>
      </c>
      <c r="E1154">
        <v>24072</v>
      </c>
      <c r="F1154" t="s">
        <v>4002</v>
      </c>
      <c r="G1154">
        <v>2982</v>
      </c>
      <c r="H1154">
        <v>2.5</v>
      </c>
      <c r="I1154" t="s">
        <v>3892</v>
      </c>
      <c r="J1154" t="s">
        <v>3469</v>
      </c>
      <c r="K1154" t="s">
        <v>460</v>
      </c>
      <c r="L1154">
        <v>213</v>
      </c>
      <c r="M1154" s="453">
        <v>46028</v>
      </c>
      <c r="N1154">
        <v>220</v>
      </c>
      <c r="O1154">
        <v>220</v>
      </c>
      <c r="P1154">
        <v>532.5</v>
      </c>
    </row>
    <row r="1155" spans="1:16" x14ac:dyDescent="0.3">
      <c r="A1155">
        <v>66973</v>
      </c>
      <c r="B1155">
        <v>116</v>
      </c>
      <c r="C1155" t="s">
        <v>568</v>
      </c>
      <c r="D1155" s="453">
        <v>46023</v>
      </c>
      <c r="E1155">
        <v>21030</v>
      </c>
      <c r="F1155" t="s">
        <v>3890</v>
      </c>
      <c r="G1155">
        <v>2001</v>
      </c>
      <c r="H1155">
        <v>25</v>
      </c>
      <c r="I1155" t="s">
        <v>3872</v>
      </c>
      <c r="J1155" t="s">
        <v>3469</v>
      </c>
      <c r="K1155" t="s">
        <v>460</v>
      </c>
      <c r="L1155">
        <v>19.350000000000001</v>
      </c>
      <c r="M1155" s="453">
        <v>46029</v>
      </c>
      <c r="N1155">
        <v>19.3</v>
      </c>
      <c r="O1155">
        <v>19.3</v>
      </c>
      <c r="P1155">
        <v>483.75</v>
      </c>
    </row>
    <row r="1156" spans="1:16" x14ac:dyDescent="0.3">
      <c r="A1156">
        <v>67357</v>
      </c>
      <c r="B1156">
        <v>116</v>
      </c>
      <c r="C1156" t="s">
        <v>568</v>
      </c>
      <c r="D1156" s="453">
        <v>46023</v>
      </c>
      <c r="E1156">
        <v>25196</v>
      </c>
      <c r="F1156" t="s">
        <v>3873</v>
      </c>
      <c r="G1156">
        <v>2357</v>
      </c>
      <c r="H1156">
        <v>79</v>
      </c>
      <c r="I1156" t="s">
        <v>3872</v>
      </c>
      <c r="J1156" t="s">
        <v>3469</v>
      </c>
      <c r="K1156" t="s">
        <v>460</v>
      </c>
      <c r="L1156">
        <v>0</v>
      </c>
      <c r="M1156" s="453">
        <v>45936</v>
      </c>
      <c r="N1156">
        <v>5.5</v>
      </c>
      <c r="O1156">
        <v>5.5</v>
      </c>
      <c r="P1156">
        <v>434.5</v>
      </c>
    </row>
    <row r="1157" spans="1:16" x14ac:dyDescent="0.3">
      <c r="A1157">
        <v>67465</v>
      </c>
      <c r="B1157">
        <v>116</v>
      </c>
      <c r="C1157" t="s">
        <v>568</v>
      </c>
      <c r="D1157" s="453">
        <v>46023</v>
      </c>
      <c r="E1157">
        <v>18493</v>
      </c>
      <c r="F1157" t="s">
        <v>3958</v>
      </c>
      <c r="G1157">
        <v>3164</v>
      </c>
      <c r="H1157">
        <v>6</v>
      </c>
      <c r="I1157" t="s">
        <v>3878</v>
      </c>
      <c r="J1157" t="s">
        <v>3497</v>
      </c>
      <c r="K1157" t="s">
        <v>460</v>
      </c>
      <c r="L1157">
        <v>69.900000000000006</v>
      </c>
      <c r="M1157" s="453">
        <v>46000</v>
      </c>
      <c r="N1157">
        <v>69.900000000000006</v>
      </c>
      <c r="O1157">
        <v>69.900000000000006</v>
      </c>
      <c r="P1157">
        <v>419.4</v>
      </c>
    </row>
    <row r="1158" spans="1:16" x14ac:dyDescent="0.3">
      <c r="A1158">
        <v>67483</v>
      </c>
      <c r="B1158">
        <v>116</v>
      </c>
      <c r="C1158" t="s">
        <v>568</v>
      </c>
      <c r="D1158" s="453">
        <v>46023</v>
      </c>
      <c r="E1158">
        <v>21944</v>
      </c>
      <c r="F1158" t="s">
        <v>3936</v>
      </c>
      <c r="G1158">
        <v>3748</v>
      </c>
      <c r="H1158">
        <v>10</v>
      </c>
      <c r="I1158" t="s">
        <v>3878</v>
      </c>
      <c r="J1158" t="s">
        <v>3497</v>
      </c>
      <c r="K1158" t="s">
        <v>460</v>
      </c>
      <c r="L1158">
        <v>0</v>
      </c>
      <c r="N1158">
        <v>0</v>
      </c>
      <c r="O1158">
        <v>40.159999999999997</v>
      </c>
      <c r="P1158">
        <v>401.6</v>
      </c>
    </row>
    <row r="1159" spans="1:16" x14ac:dyDescent="0.3">
      <c r="A1159">
        <v>67514</v>
      </c>
      <c r="B1159">
        <v>116</v>
      </c>
      <c r="C1159" t="s">
        <v>568</v>
      </c>
      <c r="D1159" s="453">
        <v>46023</v>
      </c>
      <c r="E1159">
        <v>17710</v>
      </c>
      <c r="F1159" t="s">
        <v>3905</v>
      </c>
      <c r="G1159">
        <v>3824</v>
      </c>
      <c r="H1159">
        <v>10</v>
      </c>
      <c r="I1159" t="s">
        <v>3878</v>
      </c>
      <c r="J1159" t="s">
        <v>3497</v>
      </c>
      <c r="K1159" t="s">
        <v>460</v>
      </c>
      <c r="L1159">
        <v>0</v>
      </c>
      <c r="M1159" s="453">
        <v>45973</v>
      </c>
      <c r="N1159">
        <v>38.86</v>
      </c>
      <c r="O1159">
        <v>37.700000000000003</v>
      </c>
      <c r="P1159">
        <v>388.6</v>
      </c>
    </row>
    <row r="1160" spans="1:16" x14ac:dyDescent="0.3">
      <c r="A1160">
        <v>67326</v>
      </c>
      <c r="B1160">
        <v>116</v>
      </c>
      <c r="C1160" t="s">
        <v>568</v>
      </c>
      <c r="D1160" s="453">
        <v>46023</v>
      </c>
      <c r="E1160">
        <v>19916</v>
      </c>
      <c r="F1160" t="s">
        <v>4118</v>
      </c>
      <c r="G1160">
        <v>2379</v>
      </c>
      <c r="H1160">
        <v>11</v>
      </c>
      <c r="I1160" t="s">
        <v>3888</v>
      </c>
      <c r="J1160" t="s">
        <v>3469</v>
      </c>
      <c r="K1160" t="s">
        <v>460</v>
      </c>
      <c r="L1160">
        <v>33.9</v>
      </c>
      <c r="M1160" s="453">
        <v>46008</v>
      </c>
      <c r="N1160">
        <v>33.9</v>
      </c>
      <c r="O1160">
        <v>3.45</v>
      </c>
      <c r="P1160">
        <v>372.9</v>
      </c>
    </row>
    <row r="1161" spans="1:16" x14ac:dyDescent="0.3">
      <c r="A1161">
        <v>66970</v>
      </c>
      <c r="B1161">
        <v>116</v>
      </c>
      <c r="C1161" t="s">
        <v>568</v>
      </c>
      <c r="D1161" s="453">
        <v>46023</v>
      </c>
      <c r="E1161">
        <v>23982</v>
      </c>
      <c r="F1161" t="s">
        <v>3977</v>
      </c>
      <c r="G1161">
        <v>1999</v>
      </c>
      <c r="H1161">
        <v>1.5</v>
      </c>
      <c r="I1161" t="s">
        <v>3978</v>
      </c>
      <c r="J1161" t="s">
        <v>3469</v>
      </c>
      <c r="K1161" t="s">
        <v>460</v>
      </c>
      <c r="L1161">
        <v>240.5</v>
      </c>
      <c r="M1161" s="453">
        <v>46029</v>
      </c>
      <c r="N1161">
        <v>240.59</v>
      </c>
      <c r="O1161">
        <v>240.59</v>
      </c>
      <c r="P1161">
        <v>360.75</v>
      </c>
    </row>
    <row r="1162" spans="1:16" x14ac:dyDescent="0.3">
      <c r="A1162">
        <v>67519</v>
      </c>
      <c r="B1162">
        <v>116</v>
      </c>
      <c r="C1162" t="s">
        <v>568</v>
      </c>
      <c r="D1162" s="453">
        <v>46023</v>
      </c>
      <c r="E1162">
        <v>17905</v>
      </c>
      <c r="F1162" t="s">
        <v>4139</v>
      </c>
      <c r="G1162">
        <v>3656</v>
      </c>
      <c r="H1162">
        <v>12</v>
      </c>
      <c r="I1162" t="s">
        <v>3888</v>
      </c>
      <c r="J1162" t="s">
        <v>3497</v>
      </c>
      <c r="K1162" t="s">
        <v>460</v>
      </c>
      <c r="L1162">
        <v>29.64</v>
      </c>
      <c r="M1162" s="453">
        <v>46008</v>
      </c>
      <c r="N1162">
        <v>29.64</v>
      </c>
      <c r="O1162">
        <v>32.729999999999997</v>
      </c>
      <c r="P1162">
        <v>355.68</v>
      </c>
    </row>
    <row r="1163" spans="1:16" x14ac:dyDescent="0.3">
      <c r="A1163">
        <v>67367</v>
      </c>
      <c r="B1163">
        <v>116</v>
      </c>
      <c r="C1163" t="s">
        <v>568</v>
      </c>
      <c r="D1163" s="453">
        <v>46023</v>
      </c>
      <c r="E1163">
        <v>23897</v>
      </c>
      <c r="F1163" t="s">
        <v>4058</v>
      </c>
      <c r="G1163">
        <v>2003</v>
      </c>
      <c r="H1163">
        <v>2</v>
      </c>
      <c r="I1163" t="s">
        <v>3872</v>
      </c>
      <c r="J1163" t="s">
        <v>3469</v>
      </c>
      <c r="K1163" t="s">
        <v>460</v>
      </c>
      <c r="L1163">
        <v>176.1</v>
      </c>
      <c r="M1163" s="453">
        <v>46027</v>
      </c>
      <c r="N1163">
        <v>175.9</v>
      </c>
      <c r="O1163">
        <v>175.9</v>
      </c>
      <c r="P1163">
        <v>352.2</v>
      </c>
    </row>
    <row r="1164" spans="1:16" x14ac:dyDescent="0.3">
      <c r="A1164">
        <v>67433</v>
      </c>
      <c r="B1164">
        <v>116</v>
      </c>
      <c r="C1164" t="s">
        <v>568</v>
      </c>
      <c r="D1164" s="453">
        <v>46023</v>
      </c>
      <c r="E1164">
        <v>27313</v>
      </c>
      <c r="F1164" t="s">
        <v>4131</v>
      </c>
      <c r="G1164">
        <v>6160</v>
      </c>
      <c r="H1164">
        <v>10.199999999999999</v>
      </c>
      <c r="I1164" t="s">
        <v>3892</v>
      </c>
      <c r="J1164" t="s">
        <v>3469</v>
      </c>
      <c r="K1164" t="s">
        <v>460</v>
      </c>
      <c r="L1164">
        <v>32.799999999999997</v>
      </c>
      <c r="M1164" s="453">
        <v>46000</v>
      </c>
      <c r="N1164">
        <v>32.799999999999997</v>
      </c>
      <c r="O1164">
        <v>32.799999999999997</v>
      </c>
      <c r="P1164">
        <v>334.56</v>
      </c>
    </row>
    <row r="1165" spans="1:16" x14ac:dyDescent="0.3">
      <c r="A1165">
        <v>67491</v>
      </c>
      <c r="B1165">
        <v>116</v>
      </c>
      <c r="C1165" t="s">
        <v>568</v>
      </c>
      <c r="D1165" s="453">
        <v>46023</v>
      </c>
      <c r="E1165">
        <v>18179</v>
      </c>
      <c r="F1165" t="s">
        <v>3995</v>
      </c>
      <c r="G1165">
        <v>3443</v>
      </c>
      <c r="H1165">
        <v>3</v>
      </c>
      <c r="I1165" t="s">
        <v>3878</v>
      </c>
      <c r="J1165" t="s">
        <v>3497</v>
      </c>
      <c r="K1165" t="s">
        <v>460</v>
      </c>
      <c r="L1165">
        <v>0</v>
      </c>
      <c r="M1165" s="453">
        <v>45979</v>
      </c>
      <c r="N1165">
        <v>109.71</v>
      </c>
      <c r="O1165">
        <v>195</v>
      </c>
      <c r="P1165">
        <v>329.13</v>
      </c>
    </row>
    <row r="1166" spans="1:16" x14ac:dyDescent="0.3">
      <c r="A1166">
        <v>67451</v>
      </c>
      <c r="B1166">
        <v>116</v>
      </c>
      <c r="C1166" t="s">
        <v>568</v>
      </c>
      <c r="D1166" s="453">
        <v>46023</v>
      </c>
      <c r="E1166">
        <v>19346</v>
      </c>
      <c r="F1166" t="s">
        <v>3948</v>
      </c>
      <c r="G1166">
        <v>2770</v>
      </c>
      <c r="H1166">
        <v>6</v>
      </c>
      <c r="I1166" t="s">
        <v>3892</v>
      </c>
      <c r="J1166" t="s">
        <v>3469</v>
      </c>
      <c r="K1166" t="s">
        <v>460</v>
      </c>
      <c r="L1166">
        <v>49.9</v>
      </c>
      <c r="M1166" s="453">
        <v>46027</v>
      </c>
      <c r="N1166">
        <v>49.9</v>
      </c>
      <c r="O1166">
        <v>49.9</v>
      </c>
      <c r="P1166">
        <v>299.39999999999998</v>
      </c>
    </row>
    <row r="1167" spans="1:16" x14ac:dyDescent="0.3">
      <c r="A1167">
        <v>67414</v>
      </c>
      <c r="B1167">
        <v>116</v>
      </c>
      <c r="C1167" t="s">
        <v>568</v>
      </c>
      <c r="D1167" s="453">
        <v>46023</v>
      </c>
      <c r="E1167">
        <v>22705</v>
      </c>
      <c r="F1167" t="s">
        <v>3990</v>
      </c>
      <c r="G1167">
        <v>3044</v>
      </c>
      <c r="H1167">
        <v>10</v>
      </c>
      <c r="I1167" t="s">
        <v>3892</v>
      </c>
      <c r="J1167" t="s">
        <v>3469</v>
      </c>
      <c r="K1167" t="s">
        <v>460</v>
      </c>
      <c r="L1167">
        <v>0</v>
      </c>
      <c r="M1167" s="453">
        <v>45937</v>
      </c>
      <c r="N1167">
        <v>29.8</v>
      </c>
      <c r="O1167">
        <v>29.8</v>
      </c>
      <c r="P1167">
        <v>298</v>
      </c>
    </row>
    <row r="1168" spans="1:16" x14ac:dyDescent="0.3">
      <c r="A1168">
        <v>67322</v>
      </c>
      <c r="B1168">
        <v>116</v>
      </c>
      <c r="C1168" t="s">
        <v>568</v>
      </c>
      <c r="D1168" s="453">
        <v>46023</v>
      </c>
      <c r="E1168">
        <v>25195</v>
      </c>
      <c r="F1168" t="s">
        <v>3874</v>
      </c>
      <c r="G1168">
        <v>2363</v>
      </c>
      <c r="H1168">
        <v>47</v>
      </c>
      <c r="I1168" t="s">
        <v>3872</v>
      </c>
      <c r="J1168" t="s">
        <v>3469</v>
      </c>
      <c r="K1168" t="s">
        <v>460</v>
      </c>
      <c r="L1168">
        <v>0</v>
      </c>
      <c r="M1168" s="453">
        <v>45936</v>
      </c>
      <c r="N1168">
        <v>6.3</v>
      </c>
      <c r="O1168">
        <v>6.3</v>
      </c>
      <c r="P1168">
        <v>296.10000000000002</v>
      </c>
    </row>
    <row r="1169" spans="1:16" x14ac:dyDescent="0.3">
      <c r="A1169">
        <v>67448</v>
      </c>
      <c r="B1169">
        <v>116</v>
      </c>
      <c r="C1169" t="s">
        <v>568</v>
      </c>
      <c r="D1169" s="453">
        <v>46023</v>
      </c>
      <c r="E1169">
        <v>24116</v>
      </c>
      <c r="F1169" t="s">
        <v>3963</v>
      </c>
      <c r="G1169">
        <v>2924</v>
      </c>
      <c r="H1169">
        <v>7</v>
      </c>
      <c r="I1169" t="s">
        <v>3892</v>
      </c>
      <c r="J1169" t="s">
        <v>3469</v>
      </c>
      <c r="K1169" t="s">
        <v>460</v>
      </c>
      <c r="L1169">
        <v>41.9</v>
      </c>
      <c r="M1169" s="453">
        <v>46022</v>
      </c>
      <c r="N1169">
        <v>41.9</v>
      </c>
      <c r="O1169">
        <v>41.9</v>
      </c>
      <c r="P1169">
        <v>293.3</v>
      </c>
    </row>
    <row r="1170" spans="1:16" x14ac:dyDescent="0.3">
      <c r="A1170">
        <v>67321</v>
      </c>
      <c r="B1170">
        <v>116</v>
      </c>
      <c r="C1170" t="s">
        <v>568</v>
      </c>
      <c r="D1170" s="453">
        <v>46023</v>
      </c>
      <c r="E1170">
        <v>20988</v>
      </c>
      <c r="F1170" t="s">
        <v>4117</v>
      </c>
      <c r="G1170">
        <v>2011</v>
      </c>
      <c r="H1170">
        <v>33</v>
      </c>
      <c r="I1170" t="s">
        <v>3931</v>
      </c>
      <c r="J1170" t="s">
        <v>3469</v>
      </c>
      <c r="K1170" t="s">
        <v>460</v>
      </c>
      <c r="L1170">
        <v>8.6</v>
      </c>
      <c r="M1170" s="453">
        <v>46027</v>
      </c>
      <c r="N1170">
        <v>8.4</v>
      </c>
      <c r="O1170">
        <v>8.81</v>
      </c>
      <c r="P1170">
        <v>283.8</v>
      </c>
    </row>
    <row r="1171" spans="1:16" x14ac:dyDescent="0.3">
      <c r="A1171">
        <v>67368</v>
      </c>
      <c r="B1171">
        <v>116</v>
      </c>
      <c r="C1171" t="s">
        <v>568</v>
      </c>
      <c r="D1171" s="453">
        <v>46023</v>
      </c>
      <c r="E1171">
        <v>20703</v>
      </c>
      <c r="F1171" t="s">
        <v>3893</v>
      </c>
      <c r="G1171">
        <v>2100</v>
      </c>
      <c r="H1171">
        <v>22</v>
      </c>
      <c r="I1171" t="s">
        <v>3886</v>
      </c>
      <c r="J1171" t="s">
        <v>3469</v>
      </c>
      <c r="K1171" t="s">
        <v>460</v>
      </c>
      <c r="L1171">
        <v>0</v>
      </c>
      <c r="M1171" s="453">
        <v>45714</v>
      </c>
      <c r="N1171">
        <v>12.8</v>
      </c>
      <c r="O1171">
        <v>13.86</v>
      </c>
      <c r="P1171">
        <v>281.60000000000002</v>
      </c>
    </row>
    <row r="1172" spans="1:16" x14ac:dyDescent="0.3">
      <c r="A1172">
        <v>67459</v>
      </c>
      <c r="B1172">
        <v>116</v>
      </c>
      <c r="C1172" t="s">
        <v>568</v>
      </c>
      <c r="D1172" s="453">
        <v>46023</v>
      </c>
      <c r="E1172">
        <v>22820</v>
      </c>
      <c r="F1172" t="s">
        <v>3896</v>
      </c>
      <c r="G1172">
        <v>2949</v>
      </c>
      <c r="H1172">
        <v>8.3000000000000007</v>
      </c>
      <c r="I1172" t="s">
        <v>3892</v>
      </c>
      <c r="J1172" t="s">
        <v>3469</v>
      </c>
      <c r="K1172" t="s">
        <v>460</v>
      </c>
      <c r="L1172">
        <v>0</v>
      </c>
      <c r="M1172" s="453">
        <v>45938</v>
      </c>
      <c r="N1172">
        <v>33.799999999999997</v>
      </c>
      <c r="O1172">
        <v>33.799999999999997</v>
      </c>
      <c r="P1172">
        <v>280.54000000000002</v>
      </c>
    </row>
    <row r="1173" spans="1:16" x14ac:dyDescent="0.3">
      <c r="A1173">
        <v>66963</v>
      </c>
      <c r="B1173">
        <v>116</v>
      </c>
      <c r="C1173" t="s">
        <v>568</v>
      </c>
      <c r="D1173" s="453">
        <v>46023</v>
      </c>
      <c r="E1173">
        <v>20304</v>
      </c>
      <c r="F1173" t="s">
        <v>3938</v>
      </c>
      <c r="G1173">
        <v>2223</v>
      </c>
      <c r="H1173">
        <v>8</v>
      </c>
      <c r="I1173" t="s">
        <v>3888</v>
      </c>
      <c r="J1173" t="s">
        <v>3469</v>
      </c>
      <c r="K1173" t="s">
        <v>460</v>
      </c>
      <c r="L1173">
        <v>34.590000000000003</v>
      </c>
      <c r="M1173" s="453">
        <v>46020</v>
      </c>
      <c r="N1173">
        <v>34.5</v>
      </c>
      <c r="O1173">
        <v>34.5</v>
      </c>
      <c r="P1173">
        <v>276.72000000000003</v>
      </c>
    </row>
    <row r="1174" spans="1:16" x14ac:dyDescent="0.3">
      <c r="A1174">
        <v>67443</v>
      </c>
      <c r="B1174">
        <v>116</v>
      </c>
      <c r="C1174" t="s">
        <v>568</v>
      </c>
      <c r="D1174" s="453">
        <v>46023</v>
      </c>
      <c r="E1174">
        <v>19324</v>
      </c>
      <c r="F1174" t="s">
        <v>3937</v>
      </c>
      <c r="G1174">
        <v>2773</v>
      </c>
      <c r="H1174">
        <v>8.3000000000000007</v>
      </c>
      <c r="I1174" t="s">
        <v>3892</v>
      </c>
      <c r="J1174" t="s">
        <v>3469</v>
      </c>
      <c r="K1174" t="s">
        <v>460</v>
      </c>
      <c r="L1174">
        <v>33.19</v>
      </c>
      <c r="M1174" s="453">
        <v>46027</v>
      </c>
      <c r="N1174">
        <v>33.299999999999997</v>
      </c>
      <c r="O1174">
        <v>33.799999999999997</v>
      </c>
      <c r="P1174">
        <v>275.48</v>
      </c>
    </row>
    <row r="1175" spans="1:16" x14ac:dyDescent="0.3">
      <c r="A1175">
        <v>67502</v>
      </c>
      <c r="B1175">
        <v>116</v>
      </c>
      <c r="C1175" t="s">
        <v>568</v>
      </c>
      <c r="D1175" s="453">
        <v>46023</v>
      </c>
      <c r="E1175">
        <v>17903</v>
      </c>
      <c r="F1175" t="s">
        <v>3971</v>
      </c>
      <c r="G1175">
        <v>3658</v>
      </c>
      <c r="H1175">
        <v>9</v>
      </c>
      <c r="I1175" t="s">
        <v>3888</v>
      </c>
      <c r="J1175" t="s">
        <v>3497</v>
      </c>
      <c r="K1175" t="s">
        <v>460</v>
      </c>
      <c r="L1175">
        <v>29.64</v>
      </c>
      <c r="M1175" s="453">
        <v>46000</v>
      </c>
      <c r="N1175">
        <v>29.64</v>
      </c>
      <c r="O1175">
        <v>36.119999999999997</v>
      </c>
      <c r="P1175">
        <v>266.76</v>
      </c>
    </row>
    <row r="1176" spans="1:16" x14ac:dyDescent="0.3">
      <c r="A1176">
        <v>67335</v>
      </c>
      <c r="B1176">
        <v>116</v>
      </c>
      <c r="C1176" t="s">
        <v>568</v>
      </c>
      <c r="D1176" s="453">
        <v>46023</v>
      </c>
      <c r="E1176">
        <v>19984</v>
      </c>
      <c r="F1176" t="s">
        <v>3904</v>
      </c>
      <c r="G1176">
        <v>2351</v>
      </c>
      <c r="H1176">
        <v>13</v>
      </c>
      <c r="I1176" t="s">
        <v>3872</v>
      </c>
      <c r="J1176" t="s">
        <v>3469</v>
      </c>
      <c r="K1176" t="s">
        <v>460</v>
      </c>
      <c r="L1176">
        <v>19.8</v>
      </c>
      <c r="M1176" s="453">
        <v>46007</v>
      </c>
      <c r="N1176">
        <v>19.8</v>
      </c>
      <c r="O1176">
        <v>19.8</v>
      </c>
      <c r="P1176">
        <v>257.39999999999998</v>
      </c>
    </row>
    <row r="1177" spans="1:16" x14ac:dyDescent="0.3">
      <c r="A1177">
        <v>67421</v>
      </c>
      <c r="B1177">
        <v>116</v>
      </c>
      <c r="C1177" t="s">
        <v>568</v>
      </c>
      <c r="D1177" s="453">
        <v>46023</v>
      </c>
      <c r="E1177">
        <v>18764</v>
      </c>
      <c r="F1177" t="s">
        <v>3907</v>
      </c>
      <c r="G1177">
        <v>3001</v>
      </c>
      <c r="H1177">
        <v>3.2</v>
      </c>
      <c r="I1177" t="s">
        <v>3892</v>
      </c>
      <c r="J1177" t="s">
        <v>3469</v>
      </c>
      <c r="K1177" t="s">
        <v>460</v>
      </c>
      <c r="L1177">
        <v>79.989999999999995</v>
      </c>
      <c r="M1177" s="453">
        <v>46027</v>
      </c>
      <c r="N1177">
        <v>79.900000000000006</v>
      </c>
      <c r="O1177">
        <v>79.900000000000006</v>
      </c>
      <c r="P1177">
        <v>255.97</v>
      </c>
    </row>
    <row r="1178" spans="1:16" x14ac:dyDescent="0.3">
      <c r="A1178">
        <v>67527</v>
      </c>
      <c r="B1178">
        <v>116</v>
      </c>
      <c r="C1178" t="s">
        <v>568</v>
      </c>
      <c r="D1178" s="453">
        <v>46023</v>
      </c>
      <c r="E1178">
        <v>18295</v>
      </c>
      <c r="F1178" t="s">
        <v>4030</v>
      </c>
      <c r="G1178">
        <v>3334</v>
      </c>
      <c r="H1178">
        <v>2</v>
      </c>
      <c r="I1178" t="s">
        <v>3878</v>
      </c>
      <c r="J1178" t="s">
        <v>3497</v>
      </c>
      <c r="K1178" t="s">
        <v>460</v>
      </c>
      <c r="L1178">
        <v>124.54</v>
      </c>
      <c r="M1178" s="453">
        <v>46013</v>
      </c>
      <c r="N1178">
        <v>124.54</v>
      </c>
      <c r="O1178">
        <v>124.54</v>
      </c>
      <c r="P1178">
        <v>249.08</v>
      </c>
    </row>
    <row r="1179" spans="1:16" x14ac:dyDescent="0.3">
      <c r="A1179">
        <v>67455</v>
      </c>
      <c r="B1179">
        <v>116</v>
      </c>
      <c r="C1179" t="s">
        <v>568</v>
      </c>
      <c r="D1179" s="453">
        <v>46023</v>
      </c>
      <c r="E1179">
        <v>22710</v>
      </c>
      <c r="F1179" t="s">
        <v>3945</v>
      </c>
      <c r="G1179">
        <v>3040</v>
      </c>
      <c r="H1179">
        <v>6.1</v>
      </c>
      <c r="I1179" t="s">
        <v>3892</v>
      </c>
      <c r="J1179" t="s">
        <v>3469</v>
      </c>
      <c r="K1179" t="s">
        <v>460</v>
      </c>
      <c r="L1179">
        <v>0</v>
      </c>
      <c r="N1179">
        <v>0</v>
      </c>
      <c r="O1179">
        <v>39</v>
      </c>
      <c r="P1179">
        <v>237.9</v>
      </c>
    </row>
    <row r="1180" spans="1:16" x14ac:dyDescent="0.3">
      <c r="A1180">
        <v>67355</v>
      </c>
      <c r="B1180">
        <v>116</v>
      </c>
      <c r="C1180" t="s">
        <v>568</v>
      </c>
      <c r="D1180" s="453">
        <v>46023</v>
      </c>
      <c r="E1180">
        <v>23760</v>
      </c>
      <c r="F1180" t="s">
        <v>4007</v>
      </c>
      <c r="G1180">
        <v>2141</v>
      </c>
      <c r="H1180">
        <v>10</v>
      </c>
      <c r="I1180" t="s">
        <v>3892</v>
      </c>
      <c r="J1180" t="s">
        <v>3469</v>
      </c>
      <c r="K1180" t="s">
        <v>460</v>
      </c>
      <c r="L1180">
        <v>0</v>
      </c>
      <c r="N1180">
        <v>0</v>
      </c>
      <c r="O1180">
        <v>23.3</v>
      </c>
      <c r="P1180">
        <v>233</v>
      </c>
    </row>
    <row r="1181" spans="1:16" x14ac:dyDescent="0.3">
      <c r="A1181">
        <v>67489</v>
      </c>
      <c r="B1181">
        <v>116</v>
      </c>
      <c r="C1181" t="s">
        <v>568</v>
      </c>
      <c r="D1181" s="453">
        <v>46023</v>
      </c>
      <c r="E1181">
        <v>24002</v>
      </c>
      <c r="F1181" t="s">
        <v>3924</v>
      </c>
      <c r="G1181">
        <v>3614</v>
      </c>
      <c r="H1181">
        <v>3</v>
      </c>
      <c r="I1181" t="s">
        <v>3872</v>
      </c>
      <c r="J1181" t="s">
        <v>3497</v>
      </c>
      <c r="K1181" t="s">
        <v>460</v>
      </c>
      <c r="L1181">
        <v>77.42</v>
      </c>
      <c r="M1181" s="453">
        <v>46010</v>
      </c>
      <c r="N1181">
        <v>77.42</v>
      </c>
      <c r="O1181">
        <v>6.8</v>
      </c>
      <c r="P1181">
        <v>232.26</v>
      </c>
    </row>
    <row r="1182" spans="1:16" x14ac:dyDescent="0.3">
      <c r="A1182">
        <v>67506</v>
      </c>
      <c r="B1182">
        <v>116</v>
      </c>
      <c r="C1182" t="s">
        <v>568</v>
      </c>
      <c r="D1182" s="453">
        <v>46023</v>
      </c>
      <c r="E1182">
        <v>18172</v>
      </c>
      <c r="F1182" t="s">
        <v>3923</v>
      </c>
      <c r="G1182">
        <v>3450</v>
      </c>
      <c r="H1182">
        <v>7</v>
      </c>
      <c r="I1182" t="s">
        <v>3878</v>
      </c>
      <c r="J1182" t="s">
        <v>3497</v>
      </c>
      <c r="K1182" t="s">
        <v>460</v>
      </c>
      <c r="L1182">
        <v>30.18</v>
      </c>
      <c r="M1182" s="453">
        <v>46013</v>
      </c>
      <c r="N1182">
        <v>29.9</v>
      </c>
      <c r="O1182">
        <v>31.4</v>
      </c>
      <c r="P1182">
        <v>211.26</v>
      </c>
    </row>
    <row r="1183" spans="1:16" x14ac:dyDescent="0.3">
      <c r="A1183">
        <v>67487</v>
      </c>
      <c r="B1183">
        <v>116</v>
      </c>
      <c r="C1183" t="s">
        <v>568</v>
      </c>
      <c r="D1183" s="453">
        <v>46023</v>
      </c>
      <c r="E1183">
        <v>22108</v>
      </c>
      <c r="F1183" t="s">
        <v>3871</v>
      </c>
      <c r="G1183">
        <v>3609</v>
      </c>
      <c r="H1183">
        <v>146</v>
      </c>
      <c r="I1183" t="s">
        <v>3872</v>
      </c>
      <c r="J1183" t="s">
        <v>3497</v>
      </c>
      <c r="K1183" t="s">
        <v>460</v>
      </c>
      <c r="L1183">
        <v>0</v>
      </c>
      <c r="M1183" s="453">
        <v>45670</v>
      </c>
      <c r="N1183">
        <v>1.43</v>
      </c>
      <c r="O1183">
        <v>1.85</v>
      </c>
      <c r="P1183">
        <v>208.05</v>
      </c>
    </row>
    <row r="1184" spans="1:16" x14ac:dyDescent="0.3">
      <c r="A1184">
        <v>67512</v>
      </c>
      <c r="B1184">
        <v>116</v>
      </c>
      <c r="C1184" t="s">
        <v>568</v>
      </c>
      <c r="D1184" s="453">
        <v>46023</v>
      </c>
      <c r="E1184">
        <v>18233</v>
      </c>
      <c r="F1184" t="s">
        <v>4090</v>
      </c>
      <c r="G1184">
        <v>3395</v>
      </c>
      <c r="H1184">
        <v>2</v>
      </c>
      <c r="I1184" t="s">
        <v>3878</v>
      </c>
      <c r="J1184" t="s">
        <v>3497</v>
      </c>
      <c r="K1184" t="s">
        <v>460</v>
      </c>
      <c r="L1184">
        <v>0</v>
      </c>
      <c r="M1184" s="453">
        <v>45909</v>
      </c>
      <c r="N1184">
        <v>101.7</v>
      </c>
      <c r="O1184">
        <v>97.5</v>
      </c>
      <c r="P1184">
        <v>203.4</v>
      </c>
    </row>
    <row r="1185" spans="1:16" x14ac:dyDescent="0.3">
      <c r="A1185">
        <v>67354</v>
      </c>
      <c r="B1185">
        <v>116</v>
      </c>
      <c r="C1185" t="s">
        <v>568</v>
      </c>
      <c r="D1185" s="453">
        <v>46023</v>
      </c>
      <c r="E1185">
        <v>25720</v>
      </c>
      <c r="F1185" t="s">
        <v>3926</v>
      </c>
      <c r="G1185">
        <v>2197</v>
      </c>
      <c r="H1185">
        <v>12</v>
      </c>
      <c r="I1185" t="s">
        <v>3892</v>
      </c>
      <c r="J1185" t="s">
        <v>3469</v>
      </c>
      <c r="K1185" t="s">
        <v>460</v>
      </c>
      <c r="L1185">
        <v>0</v>
      </c>
      <c r="N1185">
        <v>0</v>
      </c>
      <c r="O1185">
        <v>0</v>
      </c>
      <c r="P1185">
        <v>202.8</v>
      </c>
    </row>
    <row r="1186" spans="1:16" x14ac:dyDescent="0.3">
      <c r="A1186">
        <v>67488</v>
      </c>
      <c r="B1186">
        <v>116</v>
      </c>
      <c r="C1186" t="s">
        <v>568</v>
      </c>
      <c r="D1186" s="453">
        <v>46023</v>
      </c>
      <c r="E1186">
        <v>18359</v>
      </c>
      <c r="F1186" t="s">
        <v>4029</v>
      </c>
      <c r="G1186">
        <v>3278</v>
      </c>
      <c r="H1186">
        <v>2</v>
      </c>
      <c r="I1186" t="s">
        <v>3878</v>
      </c>
      <c r="J1186" t="s">
        <v>3497</v>
      </c>
      <c r="K1186" t="s">
        <v>460</v>
      </c>
      <c r="L1186">
        <v>99.9</v>
      </c>
      <c r="M1186" s="453">
        <v>46014</v>
      </c>
      <c r="N1186">
        <v>99.9</v>
      </c>
      <c r="O1186">
        <v>96.9</v>
      </c>
      <c r="P1186">
        <v>199.8</v>
      </c>
    </row>
    <row r="1187" spans="1:16" x14ac:dyDescent="0.3">
      <c r="A1187">
        <v>67359</v>
      </c>
      <c r="B1187">
        <v>116</v>
      </c>
      <c r="C1187" t="s">
        <v>568</v>
      </c>
      <c r="D1187" s="453">
        <v>46023</v>
      </c>
      <c r="E1187">
        <v>24351</v>
      </c>
      <c r="F1187" t="s">
        <v>3912</v>
      </c>
      <c r="G1187">
        <v>2287</v>
      </c>
      <c r="H1187">
        <v>16.5</v>
      </c>
      <c r="I1187" t="s">
        <v>3872</v>
      </c>
      <c r="J1187" t="s">
        <v>3469</v>
      </c>
      <c r="K1187" t="s">
        <v>460</v>
      </c>
      <c r="L1187">
        <v>12</v>
      </c>
      <c r="M1187" s="453">
        <v>46013</v>
      </c>
      <c r="N1187">
        <v>12</v>
      </c>
      <c r="O1187">
        <v>12</v>
      </c>
      <c r="P1187">
        <v>198</v>
      </c>
    </row>
    <row r="1188" spans="1:16" x14ac:dyDescent="0.3">
      <c r="A1188">
        <v>67422</v>
      </c>
      <c r="B1188">
        <v>116</v>
      </c>
      <c r="C1188" t="s">
        <v>568</v>
      </c>
      <c r="D1188" s="453">
        <v>46023</v>
      </c>
      <c r="E1188">
        <v>24200</v>
      </c>
      <c r="F1188" t="s">
        <v>3975</v>
      </c>
      <c r="G1188">
        <v>3039</v>
      </c>
      <c r="H1188">
        <v>6</v>
      </c>
      <c r="I1188" t="s">
        <v>3892</v>
      </c>
      <c r="J1188" t="s">
        <v>3469</v>
      </c>
      <c r="K1188" t="s">
        <v>460</v>
      </c>
      <c r="L1188">
        <v>32.9</v>
      </c>
      <c r="M1188" s="453">
        <v>46028</v>
      </c>
      <c r="N1188">
        <v>32.9</v>
      </c>
      <c r="O1188">
        <v>32.9</v>
      </c>
      <c r="P1188">
        <v>197.4</v>
      </c>
    </row>
    <row r="1189" spans="1:16" x14ac:dyDescent="0.3">
      <c r="A1189">
        <v>67382</v>
      </c>
      <c r="B1189">
        <v>116</v>
      </c>
      <c r="C1189" t="s">
        <v>568</v>
      </c>
      <c r="D1189" s="453">
        <v>46023</v>
      </c>
      <c r="E1189">
        <v>25167</v>
      </c>
      <c r="F1189" t="s">
        <v>3951</v>
      </c>
      <c r="G1189">
        <v>5930</v>
      </c>
      <c r="H1189">
        <v>24</v>
      </c>
      <c r="I1189" t="s">
        <v>3892</v>
      </c>
      <c r="J1189" t="s">
        <v>3469</v>
      </c>
      <c r="K1189" t="s">
        <v>460</v>
      </c>
      <c r="L1189">
        <v>0</v>
      </c>
      <c r="M1189" s="453">
        <v>45840</v>
      </c>
      <c r="N1189">
        <v>7.9</v>
      </c>
      <c r="O1189">
        <v>7.9</v>
      </c>
      <c r="P1189">
        <v>189.6</v>
      </c>
    </row>
    <row r="1190" spans="1:16" x14ac:dyDescent="0.3">
      <c r="A1190">
        <v>67461</v>
      </c>
      <c r="B1190">
        <v>116</v>
      </c>
      <c r="C1190" t="s">
        <v>568</v>
      </c>
      <c r="D1190" s="453">
        <v>46023</v>
      </c>
      <c r="E1190">
        <v>19287</v>
      </c>
      <c r="F1190" t="s">
        <v>3974</v>
      </c>
      <c r="G1190">
        <v>2778</v>
      </c>
      <c r="H1190">
        <v>4.9000000000000004</v>
      </c>
      <c r="I1190" t="s">
        <v>3892</v>
      </c>
      <c r="J1190" t="s">
        <v>3469</v>
      </c>
      <c r="K1190" t="s">
        <v>460</v>
      </c>
      <c r="L1190">
        <v>38.020000000000003</v>
      </c>
      <c r="M1190" s="453">
        <v>46027</v>
      </c>
      <c r="N1190">
        <v>38.200000000000003</v>
      </c>
      <c r="O1190">
        <v>38.4</v>
      </c>
      <c r="P1190">
        <v>186.3</v>
      </c>
    </row>
    <row r="1191" spans="1:16" x14ac:dyDescent="0.3">
      <c r="A1191">
        <v>67507</v>
      </c>
      <c r="B1191">
        <v>116</v>
      </c>
      <c r="C1191" t="s">
        <v>568</v>
      </c>
      <c r="D1191" s="453">
        <v>46023</v>
      </c>
      <c r="E1191">
        <v>18119</v>
      </c>
      <c r="F1191" t="s">
        <v>4093</v>
      </c>
      <c r="G1191">
        <v>3494</v>
      </c>
      <c r="H1191">
        <v>1</v>
      </c>
      <c r="I1191" t="s">
        <v>3878</v>
      </c>
      <c r="J1191" t="s">
        <v>3497</v>
      </c>
      <c r="K1191" t="s">
        <v>460</v>
      </c>
      <c r="L1191">
        <v>0</v>
      </c>
      <c r="M1191" s="453">
        <v>46029</v>
      </c>
      <c r="N1191">
        <v>181</v>
      </c>
      <c r="O1191">
        <v>181</v>
      </c>
      <c r="P1191">
        <v>181</v>
      </c>
    </row>
    <row r="1192" spans="1:16" x14ac:dyDescent="0.3">
      <c r="A1192">
        <v>67343</v>
      </c>
      <c r="B1192">
        <v>116</v>
      </c>
      <c r="C1192" t="s">
        <v>568</v>
      </c>
      <c r="D1192" s="453">
        <v>46023</v>
      </c>
      <c r="E1192">
        <v>20682</v>
      </c>
      <c r="F1192" t="s">
        <v>3929</v>
      </c>
      <c r="G1192">
        <v>2106</v>
      </c>
      <c r="H1192">
        <v>18</v>
      </c>
      <c r="I1192" t="s">
        <v>3872</v>
      </c>
      <c r="J1192" t="s">
        <v>3469</v>
      </c>
      <c r="K1192" t="s">
        <v>460</v>
      </c>
      <c r="L1192">
        <v>9.99</v>
      </c>
      <c r="M1192" s="453">
        <v>46020</v>
      </c>
      <c r="N1192">
        <v>9.98</v>
      </c>
      <c r="O1192">
        <v>9.98</v>
      </c>
      <c r="P1192">
        <v>179.82</v>
      </c>
    </row>
    <row r="1193" spans="1:16" x14ac:dyDescent="0.3">
      <c r="A1193">
        <v>67425</v>
      </c>
      <c r="B1193">
        <v>116</v>
      </c>
      <c r="C1193" t="s">
        <v>568</v>
      </c>
      <c r="D1193" s="453">
        <v>46023</v>
      </c>
      <c r="E1193">
        <v>22701</v>
      </c>
      <c r="F1193" t="s">
        <v>4129</v>
      </c>
      <c r="G1193">
        <v>3047</v>
      </c>
      <c r="H1193">
        <v>6.1</v>
      </c>
      <c r="I1193" t="s">
        <v>3892</v>
      </c>
      <c r="J1193" t="s">
        <v>3469</v>
      </c>
      <c r="K1193" t="s">
        <v>460</v>
      </c>
      <c r="L1193">
        <v>0</v>
      </c>
      <c r="M1193" s="453">
        <v>45677</v>
      </c>
      <c r="N1193">
        <v>28.9</v>
      </c>
      <c r="O1193">
        <v>30.28</v>
      </c>
      <c r="P1193">
        <v>176.29</v>
      </c>
    </row>
    <row r="1194" spans="1:16" x14ac:dyDescent="0.3">
      <c r="A1194">
        <v>67497</v>
      </c>
      <c r="B1194">
        <v>116</v>
      </c>
      <c r="C1194" t="s">
        <v>568</v>
      </c>
      <c r="D1194" s="453">
        <v>46023</v>
      </c>
      <c r="E1194">
        <v>17895</v>
      </c>
      <c r="F1194" t="s">
        <v>4137</v>
      </c>
      <c r="G1194">
        <v>3665</v>
      </c>
      <c r="H1194">
        <v>6</v>
      </c>
      <c r="I1194" t="s">
        <v>3888</v>
      </c>
      <c r="J1194" t="s">
        <v>3497</v>
      </c>
      <c r="K1194" t="s">
        <v>460</v>
      </c>
      <c r="L1194">
        <v>28.32</v>
      </c>
      <c r="M1194" s="453">
        <v>46000</v>
      </c>
      <c r="N1194">
        <v>28.32</v>
      </c>
      <c r="O1194">
        <v>32.21</v>
      </c>
      <c r="P1194">
        <v>169.92</v>
      </c>
    </row>
    <row r="1195" spans="1:16" x14ac:dyDescent="0.3">
      <c r="A1195">
        <v>67526</v>
      </c>
      <c r="B1195">
        <v>116</v>
      </c>
      <c r="C1195" t="s">
        <v>568</v>
      </c>
      <c r="D1195" s="453">
        <v>46023</v>
      </c>
      <c r="E1195">
        <v>18491</v>
      </c>
      <c r="F1195" t="s">
        <v>3934</v>
      </c>
      <c r="G1195">
        <v>3166</v>
      </c>
      <c r="H1195">
        <v>5</v>
      </c>
      <c r="I1195" t="s">
        <v>3878</v>
      </c>
      <c r="J1195" t="s">
        <v>3497</v>
      </c>
      <c r="K1195" t="s">
        <v>460</v>
      </c>
      <c r="L1195">
        <v>0</v>
      </c>
      <c r="M1195" s="453">
        <v>45931</v>
      </c>
      <c r="N1195">
        <v>33.9</v>
      </c>
      <c r="O1195">
        <v>33.9</v>
      </c>
      <c r="P1195">
        <v>169.5</v>
      </c>
    </row>
    <row r="1196" spans="1:16" x14ac:dyDescent="0.3">
      <c r="A1196">
        <v>67475</v>
      </c>
      <c r="B1196">
        <v>116</v>
      </c>
      <c r="C1196" t="s">
        <v>568</v>
      </c>
      <c r="D1196" s="453">
        <v>46023</v>
      </c>
      <c r="E1196">
        <v>18550</v>
      </c>
      <c r="F1196" t="s">
        <v>4083</v>
      </c>
      <c r="G1196">
        <v>3130</v>
      </c>
      <c r="H1196">
        <v>1</v>
      </c>
      <c r="I1196" t="s">
        <v>3878</v>
      </c>
      <c r="J1196" t="s">
        <v>3497</v>
      </c>
      <c r="K1196" t="s">
        <v>460</v>
      </c>
      <c r="L1196">
        <v>0</v>
      </c>
      <c r="N1196">
        <v>0</v>
      </c>
      <c r="O1196">
        <v>159.9</v>
      </c>
      <c r="P1196">
        <v>165.45</v>
      </c>
    </row>
    <row r="1197" spans="1:16" x14ac:dyDescent="0.3">
      <c r="A1197">
        <v>67413</v>
      </c>
      <c r="B1197">
        <v>116</v>
      </c>
      <c r="C1197" t="s">
        <v>568</v>
      </c>
      <c r="D1197" s="453">
        <v>46023</v>
      </c>
      <c r="E1197">
        <v>19579</v>
      </c>
      <c r="F1197" t="s">
        <v>4020</v>
      </c>
      <c r="G1197">
        <v>2640</v>
      </c>
      <c r="H1197">
        <v>3</v>
      </c>
      <c r="I1197" t="s">
        <v>3892</v>
      </c>
      <c r="J1197" t="s">
        <v>3469</v>
      </c>
      <c r="K1197" t="s">
        <v>460</v>
      </c>
      <c r="L1197">
        <v>0</v>
      </c>
      <c r="M1197" s="453">
        <v>45936</v>
      </c>
      <c r="N1197">
        <v>55</v>
      </c>
      <c r="O1197">
        <v>0</v>
      </c>
      <c r="P1197">
        <v>165</v>
      </c>
    </row>
    <row r="1198" spans="1:16" x14ac:dyDescent="0.3">
      <c r="A1198">
        <v>67427</v>
      </c>
      <c r="B1198">
        <v>116</v>
      </c>
      <c r="C1198" t="s">
        <v>568</v>
      </c>
      <c r="D1198" s="453">
        <v>46023</v>
      </c>
      <c r="E1198">
        <v>24388</v>
      </c>
      <c r="F1198" t="s">
        <v>3915</v>
      </c>
      <c r="G1198">
        <v>2945</v>
      </c>
      <c r="H1198">
        <v>5</v>
      </c>
      <c r="I1198" t="s">
        <v>3892</v>
      </c>
      <c r="J1198" t="s">
        <v>3469</v>
      </c>
      <c r="K1198" t="s">
        <v>460</v>
      </c>
      <c r="L1198">
        <v>32.799999999999997</v>
      </c>
      <c r="M1198" s="453">
        <v>46029</v>
      </c>
      <c r="N1198">
        <v>29.9</v>
      </c>
      <c r="O1198">
        <v>29.9</v>
      </c>
      <c r="P1198">
        <v>164</v>
      </c>
    </row>
    <row r="1199" spans="1:16" x14ac:dyDescent="0.3">
      <c r="A1199">
        <v>66975</v>
      </c>
      <c r="B1199">
        <v>116</v>
      </c>
      <c r="C1199" t="s">
        <v>568</v>
      </c>
      <c r="D1199" s="453">
        <v>46023</v>
      </c>
      <c r="E1199">
        <v>20752</v>
      </c>
      <c r="F1199" t="s">
        <v>3964</v>
      </c>
      <c r="G1199">
        <v>2088</v>
      </c>
      <c r="H1199">
        <v>1.5</v>
      </c>
      <c r="I1199" t="s">
        <v>3886</v>
      </c>
      <c r="J1199" t="s">
        <v>3469</v>
      </c>
      <c r="K1199" t="s">
        <v>460</v>
      </c>
      <c r="L1199">
        <v>108.83</v>
      </c>
      <c r="M1199" s="453">
        <v>46029</v>
      </c>
      <c r="N1199">
        <v>108.8</v>
      </c>
      <c r="O1199">
        <v>108.8</v>
      </c>
      <c r="P1199">
        <v>163.25</v>
      </c>
    </row>
    <row r="1200" spans="1:16" x14ac:dyDescent="0.3">
      <c r="A1200">
        <v>67450</v>
      </c>
      <c r="B1200">
        <v>116</v>
      </c>
      <c r="C1200" t="s">
        <v>568</v>
      </c>
      <c r="D1200" s="453">
        <v>46023</v>
      </c>
      <c r="E1200">
        <v>19405</v>
      </c>
      <c r="F1200" t="s">
        <v>4097</v>
      </c>
      <c r="G1200">
        <v>2761</v>
      </c>
      <c r="H1200">
        <v>1</v>
      </c>
      <c r="I1200" t="s">
        <v>3892</v>
      </c>
      <c r="J1200" t="s">
        <v>3469</v>
      </c>
      <c r="K1200" t="s">
        <v>460</v>
      </c>
      <c r="L1200">
        <v>0</v>
      </c>
      <c r="M1200" s="453">
        <v>45986</v>
      </c>
      <c r="N1200">
        <v>152.9</v>
      </c>
      <c r="O1200">
        <v>165.9</v>
      </c>
      <c r="P1200">
        <v>152.9</v>
      </c>
    </row>
    <row r="1201" spans="1:16" x14ac:dyDescent="0.3">
      <c r="A1201">
        <v>67473</v>
      </c>
      <c r="B1201">
        <v>116</v>
      </c>
      <c r="C1201" t="s">
        <v>568</v>
      </c>
      <c r="D1201" s="453">
        <v>46023</v>
      </c>
      <c r="E1201">
        <v>18467</v>
      </c>
      <c r="F1201" t="s">
        <v>4028</v>
      </c>
      <c r="G1201">
        <v>3189</v>
      </c>
      <c r="H1201">
        <v>2</v>
      </c>
      <c r="I1201" t="s">
        <v>3878</v>
      </c>
      <c r="J1201" t="s">
        <v>3497</v>
      </c>
      <c r="K1201" t="s">
        <v>460</v>
      </c>
      <c r="L1201">
        <v>75.08</v>
      </c>
      <c r="M1201" s="453">
        <v>46000</v>
      </c>
      <c r="N1201">
        <v>75.08</v>
      </c>
      <c r="O1201">
        <v>75.08</v>
      </c>
      <c r="P1201">
        <v>150.16</v>
      </c>
    </row>
    <row r="1202" spans="1:16" x14ac:dyDescent="0.3">
      <c r="A1202">
        <v>67520</v>
      </c>
      <c r="B1202">
        <v>116</v>
      </c>
      <c r="C1202" t="s">
        <v>568</v>
      </c>
      <c r="D1202" s="453">
        <v>46023</v>
      </c>
      <c r="E1202">
        <v>18004</v>
      </c>
      <c r="F1202" t="s">
        <v>4140</v>
      </c>
      <c r="G1202">
        <v>3592</v>
      </c>
      <c r="H1202">
        <v>5</v>
      </c>
      <c r="I1202" t="s">
        <v>3888</v>
      </c>
      <c r="J1202" t="s">
        <v>3497</v>
      </c>
      <c r="K1202" t="s">
        <v>460</v>
      </c>
      <c r="L1202">
        <v>29.64</v>
      </c>
      <c r="M1202" s="453">
        <v>46008</v>
      </c>
      <c r="N1202">
        <v>29.64</v>
      </c>
      <c r="O1202">
        <v>29.64</v>
      </c>
      <c r="P1202">
        <v>148.19999999999999</v>
      </c>
    </row>
    <row r="1203" spans="1:16" x14ac:dyDescent="0.3">
      <c r="A1203">
        <v>67505</v>
      </c>
      <c r="B1203">
        <v>116</v>
      </c>
      <c r="C1203" t="s">
        <v>568</v>
      </c>
      <c r="D1203" s="453">
        <v>46023</v>
      </c>
      <c r="E1203">
        <v>18273</v>
      </c>
      <c r="F1203" t="s">
        <v>4031</v>
      </c>
      <c r="G1203">
        <v>3357</v>
      </c>
      <c r="H1203">
        <v>4</v>
      </c>
      <c r="I1203" t="s">
        <v>3878</v>
      </c>
      <c r="J1203" t="s">
        <v>3497</v>
      </c>
      <c r="K1203" t="s">
        <v>460</v>
      </c>
      <c r="L1203">
        <v>37</v>
      </c>
      <c r="M1203" s="453">
        <v>46007</v>
      </c>
      <c r="N1203">
        <v>37</v>
      </c>
      <c r="O1203">
        <v>37</v>
      </c>
      <c r="P1203">
        <v>148</v>
      </c>
    </row>
    <row r="1204" spans="1:16" x14ac:dyDescent="0.3">
      <c r="A1204">
        <v>67352</v>
      </c>
      <c r="B1204">
        <v>116</v>
      </c>
      <c r="C1204" t="s">
        <v>568</v>
      </c>
      <c r="D1204" s="453">
        <v>46023</v>
      </c>
      <c r="E1204">
        <v>20007</v>
      </c>
      <c r="F1204" t="s">
        <v>4009</v>
      </c>
      <c r="G1204">
        <v>2343</v>
      </c>
      <c r="H1204">
        <v>3</v>
      </c>
      <c r="I1204" t="s">
        <v>3966</v>
      </c>
      <c r="J1204" t="s">
        <v>3469</v>
      </c>
      <c r="K1204" t="s">
        <v>460</v>
      </c>
      <c r="L1204">
        <v>48.63</v>
      </c>
      <c r="M1204" s="453">
        <v>46028</v>
      </c>
      <c r="N1204">
        <v>47.9</v>
      </c>
      <c r="O1204">
        <v>48.5</v>
      </c>
      <c r="P1204">
        <v>145.88999999999999</v>
      </c>
    </row>
    <row r="1205" spans="1:16" x14ac:dyDescent="0.3">
      <c r="A1205">
        <v>67482</v>
      </c>
      <c r="B1205">
        <v>116</v>
      </c>
      <c r="C1205" t="s">
        <v>568</v>
      </c>
      <c r="D1205" s="453">
        <v>46023</v>
      </c>
      <c r="E1205">
        <v>17881</v>
      </c>
      <c r="F1205" t="s">
        <v>4095</v>
      </c>
      <c r="G1205">
        <v>3675</v>
      </c>
      <c r="H1205">
        <v>5</v>
      </c>
      <c r="I1205" t="s">
        <v>3888</v>
      </c>
      <c r="J1205" t="s">
        <v>3497</v>
      </c>
      <c r="K1205" t="s">
        <v>460</v>
      </c>
      <c r="L1205">
        <v>28.32</v>
      </c>
      <c r="M1205" s="453">
        <v>45993</v>
      </c>
      <c r="N1205">
        <v>28.32</v>
      </c>
      <c r="O1205">
        <v>25.53</v>
      </c>
      <c r="P1205">
        <v>141.6</v>
      </c>
    </row>
    <row r="1206" spans="1:16" x14ac:dyDescent="0.3">
      <c r="A1206">
        <v>67467</v>
      </c>
      <c r="B1206">
        <v>116</v>
      </c>
      <c r="C1206" t="s">
        <v>568</v>
      </c>
      <c r="D1206" s="453">
        <v>46023</v>
      </c>
      <c r="E1206">
        <v>18547</v>
      </c>
      <c r="F1206" t="s">
        <v>3962</v>
      </c>
      <c r="G1206">
        <v>3132</v>
      </c>
      <c r="H1206">
        <v>4</v>
      </c>
      <c r="I1206" t="s">
        <v>3878</v>
      </c>
      <c r="J1206" t="s">
        <v>3497</v>
      </c>
      <c r="K1206" t="s">
        <v>460</v>
      </c>
      <c r="L1206">
        <v>0</v>
      </c>
      <c r="M1206" s="453">
        <v>45770</v>
      </c>
      <c r="N1206">
        <v>34.74</v>
      </c>
      <c r="O1206">
        <v>36.5</v>
      </c>
      <c r="P1206">
        <v>138.96</v>
      </c>
    </row>
    <row r="1207" spans="1:16" x14ac:dyDescent="0.3">
      <c r="A1207">
        <v>67442</v>
      </c>
      <c r="B1207">
        <v>116</v>
      </c>
      <c r="C1207" t="s">
        <v>568</v>
      </c>
      <c r="D1207" s="453">
        <v>46023</v>
      </c>
      <c r="E1207">
        <v>23203</v>
      </c>
      <c r="F1207" t="s">
        <v>3987</v>
      </c>
      <c r="G1207">
        <v>2652</v>
      </c>
      <c r="H1207">
        <v>2</v>
      </c>
      <c r="I1207" t="s">
        <v>3892</v>
      </c>
      <c r="J1207" t="s">
        <v>3469</v>
      </c>
      <c r="K1207" t="s">
        <v>460</v>
      </c>
      <c r="L1207">
        <v>0</v>
      </c>
      <c r="N1207">
        <v>0</v>
      </c>
      <c r="O1207">
        <v>69</v>
      </c>
      <c r="P1207">
        <v>138</v>
      </c>
    </row>
    <row r="1208" spans="1:16" x14ac:dyDescent="0.3">
      <c r="A1208">
        <v>67314</v>
      </c>
      <c r="B1208">
        <v>116</v>
      </c>
      <c r="C1208" t="s">
        <v>568</v>
      </c>
      <c r="D1208" s="453">
        <v>46023</v>
      </c>
      <c r="E1208">
        <v>20809</v>
      </c>
      <c r="F1208" t="s">
        <v>4005</v>
      </c>
      <c r="G1208">
        <v>2074</v>
      </c>
      <c r="H1208">
        <v>4</v>
      </c>
      <c r="I1208" t="s">
        <v>3888</v>
      </c>
      <c r="J1208" t="s">
        <v>3469</v>
      </c>
      <c r="K1208" t="s">
        <v>460</v>
      </c>
      <c r="L1208">
        <v>34.39</v>
      </c>
      <c r="M1208" s="453">
        <v>46020</v>
      </c>
      <c r="N1208">
        <v>33.880000000000003</v>
      </c>
      <c r="O1208">
        <v>33.880000000000003</v>
      </c>
      <c r="P1208">
        <v>137.56</v>
      </c>
    </row>
    <row r="1209" spans="1:16" x14ac:dyDescent="0.3">
      <c r="A1209">
        <v>67524</v>
      </c>
      <c r="B1209">
        <v>116</v>
      </c>
      <c r="C1209" t="s">
        <v>568</v>
      </c>
      <c r="D1209" s="453">
        <v>46023</v>
      </c>
      <c r="E1209">
        <v>16974</v>
      </c>
      <c r="F1209" t="s">
        <v>3996</v>
      </c>
      <c r="G1209">
        <v>3711</v>
      </c>
      <c r="H1209">
        <v>1</v>
      </c>
      <c r="I1209" t="s">
        <v>3881</v>
      </c>
      <c r="J1209" t="s">
        <v>3497</v>
      </c>
      <c r="K1209" t="s">
        <v>460</v>
      </c>
      <c r="L1209">
        <v>0</v>
      </c>
      <c r="M1209" s="453">
        <v>45943</v>
      </c>
      <c r="N1209">
        <v>135</v>
      </c>
      <c r="O1209">
        <v>135</v>
      </c>
      <c r="P1209">
        <v>135</v>
      </c>
    </row>
    <row r="1210" spans="1:16" x14ac:dyDescent="0.3">
      <c r="A1210">
        <v>67374</v>
      </c>
      <c r="B1210">
        <v>116</v>
      </c>
      <c r="C1210" t="s">
        <v>568</v>
      </c>
      <c r="D1210" s="453">
        <v>46023</v>
      </c>
      <c r="E1210">
        <v>24331</v>
      </c>
      <c r="F1210" t="s">
        <v>3960</v>
      </c>
      <c r="G1210">
        <v>2146</v>
      </c>
      <c r="H1210">
        <v>5.9</v>
      </c>
      <c r="I1210" t="s">
        <v>3892</v>
      </c>
      <c r="J1210" t="s">
        <v>3469</v>
      </c>
      <c r="K1210" t="s">
        <v>460</v>
      </c>
      <c r="L1210">
        <v>22.8</v>
      </c>
      <c r="M1210" s="453">
        <v>46022</v>
      </c>
      <c r="N1210">
        <v>21.9</v>
      </c>
      <c r="O1210">
        <v>21.9</v>
      </c>
      <c r="P1210">
        <v>134.52000000000001</v>
      </c>
    </row>
    <row r="1211" spans="1:16" x14ac:dyDescent="0.3">
      <c r="A1211">
        <v>67490</v>
      </c>
      <c r="B1211">
        <v>116</v>
      </c>
      <c r="C1211" t="s">
        <v>568</v>
      </c>
      <c r="D1211" s="453">
        <v>46023</v>
      </c>
      <c r="E1211">
        <v>18586</v>
      </c>
      <c r="F1211" t="s">
        <v>4107</v>
      </c>
      <c r="G1211">
        <v>3104</v>
      </c>
      <c r="H1211">
        <v>1</v>
      </c>
      <c r="I1211" t="s">
        <v>3888</v>
      </c>
      <c r="J1211" t="s">
        <v>3497</v>
      </c>
      <c r="K1211" t="s">
        <v>460</v>
      </c>
      <c r="L1211">
        <v>132.07</v>
      </c>
      <c r="M1211" s="453">
        <v>46002</v>
      </c>
      <c r="N1211">
        <v>132.07</v>
      </c>
      <c r="O1211">
        <v>96.64</v>
      </c>
      <c r="P1211">
        <v>132.07</v>
      </c>
    </row>
    <row r="1212" spans="1:16" x14ac:dyDescent="0.3">
      <c r="A1212">
        <v>67477</v>
      </c>
      <c r="B1212">
        <v>116</v>
      </c>
      <c r="C1212" t="s">
        <v>568</v>
      </c>
      <c r="D1212" s="453">
        <v>46023</v>
      </c>
      <c r="E1212">
        <v>18394</v>
      </c>
      <c r="F1212" t="s">
        <v>4044</v>
      </c>
      <c r="G1212">
        <v>3246</v>
      </c>
      <c r="H1212">
        <v>1</v>
      </c>
      <c r="I1212" t="s">
        <v>3878</v>
      </c>
      <c r="J1212" t="s">
        <v>3497</v>
      </c>
      <c r="K1212" t="s">
        <v>460</v>
      </c>
      <c r="L1212">
        <v>0</v>
      </c>
      <c r="M1212" s="453">
        <v>45978</v>
      </c>
      <c r="N1212">
        <v>132</v>
      </c>
      <c r="O1212">
        <v>132</v>
      </c>
      <c r="P1212">
        <v>132</v>
      </c>
    </row>
    <row r="1213" spans="1:16" x14ac:dyDescent="0.3">
      <c r="A1213">
        <v>67365</v>
      </c>
      <c r="B1213">
        <v>116</v>
      </c>
      <c r="C1213" t="s">
        <v>568</v>
      </c>
      <c r="D1213" s="453">
        <v>46023</v>
      </c>
      <c r="E1213">
        <v>20621</v>
      </c>
      <c r="F1213" t="s">
        <v>3885</v>
      </c>
      <c r="G1213">
        <v>2117</v>
      </c>
      <c r="H1213">
        <v>5</v>
      </c>
      <c r="I1213" t="s">
        <v>3886</v>
      </c>
      <c r="J1213" t="s">
        <v>3469</v>
      </c>
      <c r="K1213" t="s">
        <v>460</v>
      </c>
      <c r="L1213">
        <v>0</v>
      </c>
      <c r="M1213" s="453">
        <v>46029</v>
      </c>
      <c r="N1213">
        <v>26</v>
      </c>
      <c r="O1213">
        <v>26</v>
      </c>
      <c r="P1213">
        <v>130</v>
      </c>
    </row>
    <row r="1214" spans="1:16" x14ac:dyDescent="0.3">
      <c r="A1214">
        <v>67356</v>
      </c>
      <c r="B1214">
        <v>116</v>
      </c>
      <c r="C1214" t="s">
        <v>568</v>
      </c>
      <c r="D1214" s="453">
        <v>46023</v>
      </c>
      <c r="E1214">
        <v>20227</v>
      </c>
      <c r="F1214" t="s">
        <v>3968</v>
      </c>
      <c r="G1214">
        <v>2248</v>
      </c>
      <c r="H1214">
        <v>13</v>
      </c>
      <c r="I1214" t="s">
        <v>3888</v>
      </c>
      <c r="J1214" t="s">
        <v>3469</v>
      </c>
      <c r="K1214" t="s">
        <v>460</v>
      </c>
      <c r="L1214">
        <v>9.99</v>
      </c>
      <c r="M1214" s="453">
        <v>46015</v>
      </c>
      <c r="N1214">
        <v>9.98</v>
      </c>
      <c r="O1214">
        <v>10.220000000000001</v>
      </c>
      <c r="P1214">
        <v>129.87</v>
      </c>
    </row>
    <row r="1215" spans="1:16" x14ac:dyDescent="0.3">
      <c r="A1215">
        <v>66971</v>
      </c>
      <c r="B1215">
        <v>116</v>
      </c>
      <c r="C1215" t="s">
        <v>568</v>
      </c>
      <c r="D1215" s="453">
        <v>46023</v>
      </c>
      <c r="E1215">
        <v>20729</v>
      </c>
      <c r="F1215" t="s">
        <v>3965</v>
      </c>
      <c r="G1215">
        <v>2093</v>
      </c>
      <c r="H1215">
        <v>2</v>
      </c>
      <c r="I1215" t="s">
        <v>3966</v>
      </c>
      <c r="J1215" t="s">
        <v>3469</v>
      </c>
      <c r="K1215" t="s">
        <v>460</v>
      </c>
      <c r="L1215">
        <v>64.459999999999994</v>
      </c>
      <c r="M1215" s="453">
        <v>46029</v>
      </c>
      <c r="N1215">
        <v>65.88</v>
      </c>
      <c r="O1215">
        <v>65.88</v>
      </c>
      <c r="P1215">
        <v>128.91999999999999</v>
      </c>
    </row>
    <row r="1216" spans="1:16" x14ac:dyDescent="0.3">
      <c r="A1216">
        <v>67528</v>
      </c>
      <c r="B1216">
        <v>116</v>
      </c>
      <c r="C1216" t="s">
        <v>568</v>
      </c>
      <c r="D1216" s="453">
        <v>46023</v>
      </c>
      <c r="E1216">
        <v>18129</v>
      </c>
      <c r="F1216" t="s">
        <v>4092</v>
      </c>
      <c r="G1216">
        <v>3486</v>
      </c>
      <c r="H1216">
        <v>1</v>
      </c>
      <c r="I1216" t="s">
        <v>3878</v>
      </c>
      <c r="J1216" t="s">
        <v>3497</v>
      </c>
      <c r="K1216" t="s">
        <v>460</v>
      </c>
      <c r="L1216">
        <v>0</v>
      </c>
      <c r="M1216" s="453">
        <v>45840</v>
      </c>
      <c r="N1216">
        <v>128.80000000000001</v>
      </c>
      <c r="O1216">
        <v>114</v>
      </c>
      <c r="P1216">
        <v>128.80000000000001</v>
      </c>
    </row>
    <row r="1217" spans="1:16" x14ac:dyDescent="0.3">
      <c r="A1217">
        <v>67462</v>
      </c>
      <c r="B1217">
        <v>116</v>
      </c>
      <c r="C1217" t="s">
        <v>568</v>
      </c>
      <c r="D1217" s="453">
        <v>46023</v>
      </c>
      <c r="E1217">
        <v>17093</v>
      </c>
      <c r="F1217" t="s">
        <v>3993</v>
      </c>
      <c r="G1217">
        <v>4165</v>
      </c>
      <c r="H1217">
        <v>16</v>
      </c>
      <c r="I1217" t="s">
        <v>3888</v>
      </c>
      <c r="J1217" t="s">
        <v>3497</v>
      </c>
      <c r="K1217" t="s">
        <v>460</v>
      </c>
      <c r="L1217">
        <v>0</v>
      </c>
      <c r="M1217" s="453">
        <v>45803</v>
      </c>
      <c r="N1217">
        <v>8</v>
      </c>
      <c r="O1217">
        <v>8</v>
      </c>
      <c r="P1217">
        <v>128</v>
      </c>
    </row>
    <row r="1218" spans="1:16" x14ac:dyDescent="0.3">
      <c r="A1218">
        <v>67331</v>
      </c>
      <c r="B1218">
        <v>116</v>
      </c>
      <c r="C1218" t="s">
        <v>568</v>
      </c>
      <c r="D1218" s="453">
        <v>46023</v>
      </c>
      <c r="E1218">
        <v>20242</v>
      </c>
      <c r="F1218" t="s">
        <v>4120</v>
      </c>
      <c r="G1218">
        <v>2242</v>
      </c>
      <c r="H1218">
        <v>9</v>
      </c>
      <c r="I1218" t="s">
        <v>3888</v>
      </c>
      <c r="J1218" t="s">
        <v>3469</v>
      </c>
      <c r="K1218" t="s">
        <v>460</v>
      </c>
      <c r="L1218">
        <v>14.19</v>
      </c>
      <c r="M1218" s="453">
        <v>46015</v>
      </c>
      <c r="N1218">
        <v>14.18</v>
      </c>
      <c r="O1218">
        <v>14.18</v>
      </c>
      <c r="P1218">
        <v>127.71</v>
      </c>
    </row>
    <row r="1219" spans="1:16" x14ac:dyDescent="0.3">
      <c r="A1219">
        <v>67337</v>
      </c>
      <c r="B1219">
        <v>116</v>
      </c>
      <c r="C1219" t="s">
        <v>568</v>
      </c>
      <c r="D1219" s="453">
        <v>46023</v>
      </c>
      <c r="E1219">
        <v>20458</v>
      </c>
      <c r="F1219" t="s">
        <v>4121</v>
      </c>
      <c r="G1219">
        <v>2164</v>
      </c>
      <c r="H1219">
        <v>3.8</v>
      </c>
      <c r="I1219" t="s">
        <v>3892</v>
      </c>
      <c r="J1219" t="s">
        <v>3469</v>
      </c>
      <c r="K1219" t="s">
        <v>460</v>
      </c>
      <c r="L1219">
        <v>32.9</v>
      </c>
      <c r="M1219" s="453">
        <v>46007</v>
      </c>
      <c r="N1219">
        <v>32.9</v>
      </c>
      <c r="O1219">
        <v>32.9</v>
      </c>
      <c r="P1219">
        <v>125.02</v>
      </c>
    </row>
    <row r="1220" spans="1:16" x14ac:dyDescent="0.3">
      <c r="A1220">
        <v>67316</v>
      </c>
      <c r="B1220">
        <v>116</v>
      </c>
      <c r="C1220" t="s">
        <v>568</v>
      </c>
      <c r="D1220" s="453">
        <v>46023</v>
      </c>
      <c r="E1220">
        <v>20287</v>
      </c>
      <c r="F1220" t="s">
        <v>4053</v>
      </c>
      <c r="G1220">
        <v>2229</v>
      </c>
      <c r="H1220">
        <v>5</v>
      </c>
      <c r="I1220" t="s">
        <v>3888</v>
      </c>
      <c r="J1220" t="s">
        <v>3469</v>
      </c>
      <c r="K1220" t="s">
        <v>460</v>
      </c>
      <c r="L1220">
        <v>24.85</v>
      </c>
      <c r="M1220" s="453">
        <v>46029</v>
      </c>
      <c r="N1220">
        <v>24.85</v>
      </c>
      <c r="O1220">
        <v>24.85</v>
      </c>
      <c r="P1220">
        <v>124.25</v>
      </c>
    </row>
    <row r="1221" spans="1:16" x14ac:dyDescent="0.3">
      <c r="A1221">
        <v>67481</v>
      </c>
      <c r="B1221">
        <v>116</v>
      </c>
      <c r="C1221" t="s">
        <v>568</v>
      </c>
      <c r="D1221" s="453">
        <v>46023</v>
      </c>
      <c r="E1221">
        <v>22054</v>
      </c>
      <c r="F1221" t="s">
        <v>3998</v>
      </c>
      <c r="G1221">
        <v>3647</v>
      </c>
      <c r="H1221">
        <v>18</v>
      </c>
      <c r="I1221" t="s">
        <v>3872</v>
      </c>
      <c r="J1221" t="s">
        <v>3497</v>
      </c>
      <c r="K1221" t="s">
        <v>460</v>
      </c>
      <c r="L1221">
        <v>0</v>
      </c>
      <c r="M1221" s="453">
        <v>45566</v>
      </c>
      <c r="N1221">
        <v>6.82</v>
      </c>
      <c r="O1221">
        <v>6.82</v>
      </c>
      <c r="P1221">
        <v>122.76</v>
      </c>
    </row>
    <row r="1222" spans="1:16" x14ac:dyDescent="0.3">
      <c r="A1222">
        <v>66964</v>
      </c>
      <c r="B1222">
        <v>116</v>
      </c>
      <c r="C1222" t="s">
        <v>568</v>
      </c>
      <c r="D1222" s="453">
        <v>46023</v>
      </c>
      <c r="E1222">
        <v>20757</v>
      </c>
      <c r="F1222" t="s">
        <v>4050</v>
      </c>
      <c r="G1222">
        <v>2086</v>
      </c>
      <c r="H1222">
        <v>1.5</v>
      </c>
      <c r="I1222" t="s">
        <v>3966</v>
      </c>
      <c r="J1222" t="s">
        <v>3469</v>
      </c>
      <c r="K1222" t="s">
        <v>460</v>
      </c>
      <c r="L1222">
        <v>0</v>
      </c>
      <c r="M1222" s="453">
        <v>45986</v>
      </c>
      <c r="N1222">
        <v>81.540000000000006</v>
      </c>
      <c r="O1222">
        <v>79.400000000000006</v>
      </c>
      <c r="P1222">
        <v>122.31</v>
      </c>
    </row>
    <row r="1223" spans="1:16" x14ac:dyDescent="0.3">
      <c r="A1223">
        <v>67311</v>
      </c>
      <c r="B1223">
        <v>116</v>
      </c>
      <c r="C1223" t="s">
        <v>568</v>
      </c>
      <c r="D1223" s="453">
        <v>46023</v>
      </c>
      <c r="E1223">
        <v>20057</v>
      </c>
      <c r="F1223" t="s">
        <v>3967</v>
      </c>
      <c r="G1223">
        <v>2324</v>
      </c>
      <c r="H1223">
        <v>3</v>
      </c>
      <c r="I1223" t="s">
        <v>3872</v>
      </c>
      <c r="J1223" t="s">
        <v>3469</v>
      </c>
      <c r="K1223" t="s">
        <v>460</v>
      </c>
      <c r="L1223">
        <v>0</v>
      </c>
      <c r="M1223" s="453">
        <v>45989</v>
      </c>
      <c r="N1223">
        <v>40.1</v>
      </c>
      <c r="O1223">
        <v>42.56</v>
      </c>
      <c r="P1223">
        <v>120.3</v>
      </c>
    </row>
    <row r="1224" spans="1:16" x14ac:dyDescent="0.3">
      <c r="A1224">
        <v>67328</v>
      </c>
      <c r="B1224">
        <v>116</v>
      </c>
      <c r="C1224" t="s">
        <v>568</v>
      </c>
      <c r="D1224" s="453">
        <v>46023</v>
      </c>
      <c r="E1224">
        <v>23739</v>
      </c>
      <c r="F1224" t="s">
        <v>4119</v>
      </c>
      <c r="G1224">
        <v>2153</v>
      </c>
      <c r="H1224">
        <v>3.3</v>
      </c>
      <c r="I1224" t="s">
        <v>3892</v>
      </c>
      <c r="J1224" t="s">
        <v>3469</v>
      </c>
      <c r="K1224" t="s">
        <v>460</v>
      </c>
      <c r="L1224">
        <v>0</v>
      </c>
      <c r="M1224" s="453">
        <v>45868</v>
      </c>
      <c r="N1224">
        <v>36</v>
      </c>
      <c r="O1224">
        <v>36</v>
      </c>
      <c r="P1224">
        <v>118.8</v>
      </c>
    </row>
    <row r="1225" spans="1:16" x14ac:dyDescent="0.3">
      <c r="A1225">
        <v>67525</v>
      </c>
      <c r="B1225">
        <v>116</v>
      </c>
      <c r="C1225" t="s">
        <v>568</v>
      </c>
      <c r="D1225" s="453">
        <v>46023</v>
      </c>
      <c r="E1225">
        <v>18315</v>
      </c>
      <c r="F1225" t="s">
        <v>4088</v>
      </c>
      <c r="G1225">
        <v>3318</v>
      </c>
      <c r="H1225">
        <v>1</v>
      </c>
      <c r="I1225" t="s">
        <v>3878</v>
      </c>
      <c r="J1225" t="s">
        <v>3497</v>
      </c>
      <c r="K1225" t="s">
        <v>460</v>
      </c>
      <c r="L1225">
        <v>0</v>
      </c>
      <c r="M1225" s="453">
        <v>45962</v>
      </c>
      <c r="N1225">
        <v>116.3</v>
      </c>
      <c r="O1225">
        <v>124</v>
      </c>
      <c r="P1225">
        <v>116.3</v>
      </c>
    </row>
    <row r="1226" spans="1:16" x14ac:dyDescent="0.3">
      <c r="A1226">
        <v>67529</v>
      </c>
      <c r="B1226">
        <v>116</v>
      </c>
      <c r="C1226" t="s">
        <v>568</v>
      </c>
      <c r="D1226" s="453">
        <v>46023</v>
      </c>
      <c r="E1226">
        <v>18253</v>
      </c>
      <c r="F1226" t="s">
        <v>3947</v>
      </c>
      <c r="G1226">
        <v>3376</v>
      </c>
      <c r="H1226">
        <v>4</v>
      </c>
      <c r="I1226" t="s">
        <v>3878</v>
      </c>
      <c r="J1226" t="s">
        <v>3497</v>
      </c>
      <c r="K1226" t="s">
        <v>460</v>
      </c>
      <c r="L1226">
        <v>0</v>
      </c>
      <c r="M1226" s="453">
        <v>45918</v>
      </c>
      <c r="N1226">
        <v>28.89</v>
      </c>
      <c r="O1226">
        <v>28.55</v>
      </c>
      <c r="P1226">
        <v>115.56</v>
      </c>
    </row>
    <row r="1227" spans="1:16" x14ac:dyDescent="0.3">
      <c r="A1227">
        <v>67348</v>
      </c>
      <c r="B1227">
        <v>116</v>
      </c>
      <c r="C1227" t="s">
        <v>568</v>
      </c>
      <c r="D1227" s="453">
        <v>46023</v>
      </c>
      <c r="E1227">
        <v>20358</v>
      </c>
      <c r="F1227" t="s">
        <v>3952</v>
      </c>
      <c r="G1227">
        <v>2200</v>
      </c>
      <c r="H1227">
        <v>8</v>
      </c>
      <c r="I1227" t="s">
        <v>3888</v>
      </c>
      <c r="J1227" t="s">
        <v>3469</v>
      </c>
      <c r="K1227" t="s">
        <v>460</v>
      </c>
      <c r="L1227">
        <v>14.3</v>
      </c>
      <c r="M1227" s="453">
        <v>46029</v>
      </c>
      <c r="N1227">
        <v>14.3</v>
      </c>
      <c r="O1227">
        <v>14.3</v>
      </c>
      <c r="P1227">
        <v>114.4</v>
      </c>
    </row>
    <row r="1228" spans="1:16" x14ac:dyDescent="0.3">
      <c r="A1228">
        <v>67405</v>
      </c>
      <c r="B1228">
        <v>116</v>
      </c>
      <c r="C1228" t="s">
        <v>568</v>
      </c>
      <c r="D1228" s="453">
        <v>46023</v>
      </c>
      <c r="E1228">
        <v>27079</v>
      </c>
      <c r="F1228" t="s">
        <v>3891</v>
      </c>
      <c r="G1228">
        <v>2497</v>
      </c>
      <c r="H1228">
        <v>34</v>
      </c>
      <c r="I1228" t="s">
        <v>3892</v>
      </c>
      <c r="J1228" t="s">
        <v>3469</v>
      </c>
      <c r="K1228" t="s">
        <v>460</v>
      </c>
      <c r="L1228">
        <v>0</v>
      </c>
      <c r="M1228" s="453">
        <v>45813</v>
      </c>
      <c r="N1228">
        <v>3.25</v>
      </c>
      <c r="O1228">
        <v>0</v>
      </c>
      <c r="P1228">
        <v>110.5</v>
      </c>
    </row>
    <row r="1229" spans="1:16" x14ac:dyDescent="0.3">
      <c r="A1229">
        <v>67408</v>
      </c>
      <c r="B1229">
        <v>116</v>
      </c>
      <c r="C1229" t="s">
        <v>568</v>
      </c>
      <c r="D1229" s="453">
        <v>46023</v>
      </c>
      <c r="E1229">
        <v>19578</v>
      </c>
      <c r="F1229" t="s">
        <v>3985</v>
      </c>
      <c r="G1229">
        <v>2640</v>
      </c>
      <c r="H1229">
        <v>2</v>
      </c>
      <c r="I1229" t="s">
        <v>3892</v>
      </c>
      <c r="J1229" t="s">
        <v>3469</v>
      </c>
      <c r="K1229" t="s">
        <v>460</v>
      </c>
      <c r="L1229">
        <v>0</v>
      </c>
      <c r="M1229" s="453">
        <v>45936</v>
      </c>
      <c r="N1229">
        <v>55</v>
      </c>
      <c r="O1229">
        <v>46.4</v>
      </c>
      <c r="P1229">
        <v>110</v>
      </c>
    </row>
    <row r="1230" spans="1:16" x14ac:dyDescent="0.3">
      <c r="A1230">
        <v>67377</v>
      </c>
      <c r="B1230">
        <v>116</v>
      </c>
      <c r="C1230" t="s">
        <v>568</v>
      </c>
      <c r="D1230" s="453">
        <v>46023</v>
      </c>
      <c r="E1230">
        <v>20456</v>
      </c>
      <c r="F1230" t="s">
        <v>4000</v>
      </c>
      <c r="G1230">
        <v>2166</v>
      </c>
      <c r="H1230">
        <v>2.8</v>
      </c>
      <c r="I1230" t="s">
        <v>3892</v>
      </c>
      <c r="J1230" t="s">
        <v>3469</v>
      </c>
      <c r="K1230" t="s">
        <v>460</v>
      </c>
      <c r="L1230">
        <v>39</v>
      </c>
      <c r="M1230" s="453">
        <v>46011</v>
      </c>
      <c r="N1230">
        <v>39</v>
      </c>
      <c r="O1230">
        <v>39</v>
      </c>
      <c r="P1230">
        <v>109.2</v>
      </c>
    </row>
    <row r="1231" spans="1:16" x14ac:dyDescent="0.3">
      <c r="A1231">
        <v>67523</v>
      </c>
      <c r="B1231">
        <v>116</v>
      </c>
      <c r="C1231" t="s">
        <v>568</v>
      </c>
      <c r="D1231" s="453">
        <v>46023</v>
      </c>
      <c r="E1231">
        <v>18272</v>
      </c>
      <c r="F1231" t="s">
        <v>4046</v>
      </c>
      <c r="G1231">
        <v>3358</v>
      </c>
      <c r="H1231">
        <v>3</v>
      </c>
      <c r="I1231" t="s">
        <v>3878</v>
      </c>
      <c r="J1231" t="s">
        <v>3497</v>
      </c>
      <c r="K1231" t="s">
        <v>460</v>
      </c>
      <c r="L1231">
        <v>36.31</v>
      </c>
      <c r="M1231" s="453">
        <v>46014</v>
      </c>
      <c r="N1231">
        <v>36.31</v>
      </c>
      <c r="O1231">
        <v>33.49</v>
      </c>
      <c r="P1231">
        <v>108.93</v>
      </c>
    </row>
    <row r="1232" spans="1:16" x14ac:dyDescent="0.3">
      <c r="A1232">
        <v>67469</v>
      </c>
      <c r="B1232">
        <v>116</v>
      </c>
      <c r="C1232" t="s">
        <v>568</v>
      </c>
      <c r="D1232" s="453">
        <v>46023</v>
      </c>
      <c r="E1232">
        <v>24599</v>
      </c>
      <c r="F1232" t="s">
        <v>3897</v>
      </c>
      <c r="G1232">
        <v>5676</v>
      </c>
      <c r="H1232">
        <v>1</v>
      </c>
      <c r="I1232" t="s">
        <v>3888</v>
      </c>
      <c r="J1232" t="s">
        <v>3497</v>
      </c>
      <c r="K1232" t="s">
        <v>460</v>
      </c>
      <c r="L1232">
        <v>0</v>
      </c>
      <c r="M1232" s="453">
        <v>45962</v>
      </c>
      <c r="N1232">
        <v>108.72</v>
      </c>
      <c r="O1232">
        <v>114.25</v>
      </c>
      <c r="P1232">
        <v>108.72</v>
      </c>
    </row>
    <row r="1233" spans="1:16" x14ac:dyDescent="0.3">
      <c r="A1233">
        <v>67479</v>
      </c>
      <c r="B1233">
        <v>116</v>
      </c>
      <c r="C1233" t="s">
        <v>568</v>
      </c>
      <c r="D1233" s="453">
        <v>46023</v>
      </c>
      <c r="E1233">
        <v>18312</v>
      </c>
      <c r="F1233" t="s">
        <v>4089</v>
      </c>
      <c r="G1233">
        <v>3321</v>
      </c>
      <c r="H1233">
        <v>1</v>
      </c>
      <c r="I1233" t="s">
        <v>3878</v>
      </c>
      <c r="J1233" t="s">
        <v>3497</v>
      </c>
      <c r="K1233" t="s">
        <v>460</v>
      </c>
      <c r="L1233">
        <v>0</v>
      </c>
      <c r="M1233" s="453">
        <v>45793</v>
      </c>
      <c r="N1233">
        <v>105.9</v>
      </c>
      <c r="O1233">
        <v>86.57</v>
      </c>
      <c r="P1233">
        <v>105.9</v>
      </c>
    </row>
    <row r="1234" spans="1:16" x14ac:dyDescent="0.3">
      <c r="A1234">
        <v>67492</v>
      </c>
      <c r="B1234">
        <v>116</v>
      </c>
      <c r="C1234" t="s">
        <v>568</v>
      </c>
      <c r="D1234" s="453">
        <v>46023</v>
      </c>
      <c r="E1234">
        <v>18327</v>
      </c>
      <c r="F1234" t="s">
        <v>4087</v>
      </c>
      <c r="G1234">
        <v>3306</v>
      </c>
      <c r="H1234">
        <v>1</v>
      </c>
      <c r="I1234" t="s">
        <v>3878</v>
      </c>
      <c r="J1234" t="s">
        <v>3497</v>
      </c>
      <c r="K1234" t="s">
        <v>460</v>
      </c>
      <c r="L1234">
        <v>0</v>
      </c>
      <c r="M1234" s="453">
        <v>45967</v>
      </c>
      <c r="N1234">
        <v>105.36</v>
      </c>
      <c r="O1234">
        <v>109.18</v>
      </c>
      <c r="P1234">
        <v>105.36</v>
      </c>
    </row>
    <row r="1235" spans="1:16" x14ac:dyDescent="0.3">
      <c r="A1235">
        <v>67509</v>
      </c>
      <c r="B1235">
        <v>116</v>
      </c>
      <c r="C1235" t="s">
        <v>568</v>
      </c>
      <c r="D1235" s="453">
        <v>46023</v>
      </c>
      <c r="E1235">
        <v>18232</v>
      </c>
      <c r="F1235" t="s">
        <v>4091</v>
      </c>
      <c r="G1235">
        <v>3396</v>
      </c>
      <c r="H1235">
        <v>1</v>
      </c>
      <c r="I1235" t="s">
        <v>3878</v>
      </c>
      <c r="J1235" t="s">
        <v>3497</v>
      </c>
      <c r="K1235" t="s">
        <v>460</v>
      </c>
      <c r="L1235">
        <v>0</v>
      </c>
      <c r="M1235" s="453">
        <v>45845</v>
      </c>
      <c r="N1235">
        <v>103.99</v>
      </c>
      <c r="O1235">
        <v>97.5</v>
      </c>
      <c r="P1235">
        <v>103.99</v>
      </c>
    </row>
    <row r="1236" spans="1:16" x14ac:dyDescent="0.3">
      <c r="A1236">
        <v>67334</v>
      </c>
      <c r="B1236">
        <v>116</v>
      </c>
      <c r="C1236" t="s">
        <v>568</v>
      </c>
      <c r="D1236" s="453">
        <v>46023</v>
      </c>
      <c r="E1236">
        <v>20702</v>
      </c>
      <c r="F1236" t="s">
        <v>4006</v>
      </c>
      <c r="G1236">
        <v>2101</v>
      </c>
      <c r="H1236">
        <v>2</v>
      </c>
      <c r="I1236" t="s">
        <v>3966</v>
      </c>
      <c r="J1236" t="s">
        <v>3469</v>
      </c>
      <c r="K1236" t="s">
        <v>460</v>
      </c>
      <c r="L1236">
        <v>51.95</v>
      </c>
      <c r="M1236" s="453">
        <v>46027</v>
      </c>
      <c r="N1236">
        <v>53.9</v>
      </c>
      <c r="O1236">
        <v>53.14</v>
      </c>
      <c r="P1236">
        <v>103.9</v>
      </c>
    </row>
    <row r="1237" spans="1:16" x14ac:dyDescent="0.3">
      <c r="A1237">
        <v>67366</v>
      </c>
      <c r="B1237">
        <v>116</v>
      </c>
      <c r="C1237" t="s">
        <v>568</v>
      </c>
      <c r="D1237" s="453">
        <v>46023</v>
      </c>
      <c r="E1237">
        <v>20624</v>
      </c>
      <c r="F1237" t="s">
        <v>3982</v>
      </c>
      <c r="G1237">
        <v>2116</v>
      </c>
      <c r="H1237">
        <v>1.5</v>
      </c>
      <c r="I1237" t="s">
        <v>3966</v>
      </c>
      <c r="J1237" t="s">
        <v>3469</v>
      </c>
      <c r="K1237" t="s">
        <v>460</v>
      </c>
      <c r="L1237">
        <v>68.5</v>
      </c>
      <c r="M1237" s="453">
        <v>46027</v>
      </c>
      <c r="N1237">
        <v>68.2</v>
      </c>
      <c r="O1237">
        <v>68.3</v>
      </c>
      <c r="P1237">
        <v>102.75</v>
      </c>
    </row>
    <row r="1238" spans="1:16" x14ac:dyDescent="0.3">
      <c r="A1238">
        <v>67350</v>
      </c>
      <c r="B1238">
        <v>116</v>
      </c>
      <c r="C1238" t="s">
        <v>568</v>
      </c>
      <c r="D1238" s="453">
        <v>46023</v>
      </c>
      <c r="E1238">
        <v>27711</v>
      </c>
      <c r="F1238" t="s">
        <v>3913</v>
      </c>
      <c r="G1238">
        <v>7678</v>
      </c>
      <c r="H1238">
        <v>3</v>
      </c>
      <c r="I1238" t="s">
        <v>3872</v>
      </c>
      <c r="J1238" t="s">
        <v>3469</v>
      </c>
      <c r="K1238" t="s">
        <v>460</v>
      </c>
      <c r="L1238">
        <v>0</v>
      </c>
      <c r="M1238" s="453">
        <v>45936</v>
      </c>
      <c r="N1238">
        <v>34.200000000000003</v>
      </c>
      <c r="O1238">
        <v>34.200000000000003</v>
      </c>
      <c r="P1238">
        <v>102.6</v>
      </c>
    </row>
    <row r="1239" spans="1:16" x14ac:dyDescent="0.3">
      <c r="A1239">
        <v>67484</v>
      </c>
      <c r="B1239">
        <v>116</v>
      </c>
      <c r="C1239" t="s">
        <v>568</v>
      </c>
      <c r="D1239" s="453">
        <v>46023</v>
      </c>
      <c r="E1239">
        <v>18538</v>
      </c>
      <c r="F1239" t="s">
        <v>4026</v>
      </c>
      <c r="G1239">
        <v>3139</v>
      </c>
      <c r="H1239">
        <v>1</v>
      </c>
      <c r="I1239" t="s">
        <v>3878</v>
      </c>
      <c r="J1239" t="s">
        <v>3497</v>
      </c>
      <c r="K1239" t="s">
        <v>460</v>
      </c>
      <c r="L1239">
        <v>102</v>
      </c>
      <c r="M1239" s="453">
        <v>46028</v>
      </c>
      <c r="N1239">
        <v>104.9</v>
      </c>
      <c r="O1239">
        <v>104.9</v>
      </c>
      <c r="P1239">
        <v>102</v>
      </c>
    </row>
    <row r="1240" spans="1:16" x14ac:dyDescent="0.3">
      <c r="A1240">
        <v>67434</v>
      </c>
      <c r="B1240">
        <v>116</v>
      </c>
      <c r="C1240" t="s">
        <v>568</v>
      </c>
      <c r="D1240" s="453">
        <v>46023</v>
      </c>
      <c r="E1240">
        <v>19264</v>
      </c>
      <c r="F1240" t="s">
        <v>4082</v>
      </c>
      <c r="G1240">
        <v>2781</v>
      </c>
      <c r="H1240">
        <v>1.5</v>
      </c>
      <c r="I1240" t="s">
        <v>3888</v>
      </c>
      <c r="J1240" t="s">
        <v>3469</v>
      </c>
      <c r="K1240" t="s">
        <v>460</v>
      </c>
      <c r="L1240">
        <v>67.2</v>
      </c>
      <c r="M1240" s="453">
        <v>46028</v>
      </c>
      <c r="N1240">
        <v>76</v>
      </c>
      <c r="O1240">
        <v>56.93</v>
      </c>
      <c r="P1240">
        <v>100.8</v>
      </c>
    </row>
    <row r="1241" spans="1:16" x14ac:dyDescent="0.3">
      <c r="A1241">
        <v>67449</v>
      </c>
      <c r="B1241">
        <v>116</v>
      </c>
      <c r="C1241" t="s">
        <v>568</v>
      </c>
      <c r="D1241" s="453">
        <v>46023</v>
      </c>
      <c r="E1241">
        <v>19539</v>
      </c>
      <c r="F1241" t="s">
        <v>4133</v>
      </c>
      <c r="G1241">
        <v>2677</v>
      </c>
      <c r="H1241">
        <v>18</v>
      </c>
      <c r="I1241" t="s">
        <v>3892</v>
      </c>
      <c r="J1241" t="s">
        <v>3469</v>
      </c>
      <c r="K1241" t="s">
        <v>460</v>
      </c>
      <c r="L1241">
        <v>5.3</v>
      </c>
      <c r="M1241" s="453">
        <v>46027</v>
      </c>
      <c r="N1241">
        <v>4.8</v>
      </c>
      <c r="O1241">
        <v>4.3499999999999996</v>
      </c>
      <c r="P1241">
        <v>95.4</v>
      </c>
    </row>
    <row r="1242" spans="1:16" x14ac:dyDescent="0.3">
      <c r="A1242">
        <v>67376</v>
      </c>
      <c r="B1242">
        <v>116</v>
      </c>
      <c r="C1242" t="s">
        <v>568</v>
      </c>
      <c r="D1242" s="453">
        <v>46023</v>
      </c>
      <c r="E1242">
        <v>20466</v>
      </c>
      <c r="F1242" t="s">
        <v>4098</v>
      </c>
      <c r="G1242">
        <v>2160</v>
      </c>
      <c r="H1242">
        <v>1.4</v>
      </c>
      <c r="I1242" t="s">
        <v>3892</v>
      </c>
      <c r="J1242" t="s">
        <v>3469</v>
      </c>
      <c r="K1242" t="s">
        <v>460</v>
      </c>
      <c r="L1242">
        <v>68</v>
      </c>
      <c r="M1242" s="453">
        <v>46007</v>
      </c>
      <c r="N1242">
        <v>68</v>
      </c>
      <c r="O1242">
        <v>68</v>
      </c>
      <c r="P1242">
        <v>95.2</v>
      </c>
    </row>
    <row r="1243" spans="1:16" x14ac:dyDescent="0.3">
      <c r="A1243">
        <v>67360</v>
      </c>
      <c r="B1243">
        <v>116</v>
      </c>
      <c r="C1243" t="s">
        <v>568</v>
      </c>
      <c r="D1243" s="453">
        <v>46023</v>
      </c>
      <c r="E1243">
        <v>20985</v>
      </c>
      <c r="F1243" t="s">
        <v>3914</v>
      </c>
      <c r="G1243">
        <v>2011</v>
      </c>
      <c r="H1243">
        <v>12</v>
      </c>
      <c r="I1243" t="s">
        <v>3872</v>
      </c>
      <c r="J1243" t="s">
        <v>3469</v>
      </c>
      <c r="K1243" t="s">
        <v>460</v>
      </c>
      <c r="L1243">
        <v>0</v>
      </c>
      <c r="M1243" s="453">
        <v>45916</v>
      </c>
      <c r="N1243">
        <v>7.89</v>
      </c>
      <c r="O1243">
        <v>8</v>
      </c>
      <c r="P1243">
        <v>94.68</v>
      </c>
    </row>
    <row r="1244" spans="1:16" x14ac:dyDescent="0.3">
      <c r="A1244">
        <v>67456</v>
      </c>
      <c r="B1244">
        <v>116</v>
      </c>
      <c r="C1244" t="s">
        <v>568</v>
      </c>
      <c r="D1244" s="453">
        <v>46023</v>
      </c>
      <c r="E1244">
        <v>18702</v>
      </c>
      <c r="F1244" t="s">
        <v>4043</v>
      </c>
      <c r="G1244">
        <v>3033</v>
      </c>
      <c r="H1244">
        <v>3.2</v>
      </c>
      <c r="I1244" t="s">
        <v>3892</v>
      </c>
      <c r="J1244" t="s">
        <v>3469</v>
      </c>
      <c r="K1244" t="s">
        <v>460</v>
      </c>
      <c r="L1244">
        <v>0</v>
      </c>
      <c r="M1244" s="453">
        <v>45930</v>
      </c>
      <c r="N1244">
        <v>28.9</v>
      </c>
      <c r="O1244">
        <v>28.9</v>
      </c>
      <c r="P1244">
        <v>92.48</v>
      </c>
    </row>
    <row r="1245" spans="1:16" x14ac:dyDescent="0.3">
      <c r="A1245">
        <v>67464</v>
      </c>
      <c r="B1245">
        <v>116</v>
      </c>
      <c r="C1245" t="s">
        <v>568</v>
      </c>
      <c r="D1245" s="453">
        <v>46023</v>
      </c>
      <c r="E1245">
        <v>18545</v>
      </c>
      <c r="F1245" t="s">
        <v>4099</v>
      </c>
      <c r="G1245">
        <v>3134</v>
      </c>
      <c r="H1245">
        <v>2</v>
      </c>
      <c r="I1245" t="s">
        <v>3878</v>
      </c>
      <c r="J1245" t="s">
        <v>3497</v>
      </c>
      <c r="K1245" t="s">
        <v>460</v>
      </c>
      <c r="L1245">
        <v>45.77</v>
      </c>
      <c r="M1245" s="453">
        <v>45994</v>
      </c>
      <c r="N1245">
        <v>45.77</v>
      </c>
      <c r="O1245">
        <v>49.2</v>
      </c>
      <c r="P1245">
        <v>91.54</v>
      </c>
    </row>
    <row r="1246" spans="1:16" x14ac:dyDescent="0.3">
      <c r="A1246">
        <v>67416</v>
      </c>
      <c r="B1246">
        <v>116</v>
      </c>
      <c r="C1246" t="s">
        <v>568</v>
      </c>
      <c r="D1246" s="453">
        <v>46023</v>
      </c>
      <c r="E1246">
        <v>23213</v>
      </c>
      <c r="F1246" t="s">
        <v>4022</v>
      </c>
      <c r="G1246">
        <v>2643</v>
      </c>
      <c r="H1246">
        <v>2</v>
      </c>
      <c r="I1246" t="s">
        <v>3892</v>
      </c>
      <c r="J1246" t="s">
        <v>3469</v>
      </c>
      <c r="K1246" t="s">
        <v>460</v>
      </c>
      <c r="L1246">
        <v>0</v>
      </c>
      <c r="N1246">
        <v>0</v>
      </c>
      <c r="O1246">
        <v>45</v>
      </c>
      <c r="P1246">
        <v>90</v>
      </c>
    </row>
    <row r="1247" spans="1:16" x14ac:dyDescent="0.3">
      <c r="A1247">
        <v>67500</v>
      </c>
      <c r="B1247">
        <v>116</v>
      </c>
      <c r="C1247" t="s">
        <v>568</v>
      </c>
      <c r="D1247" s="453">
        <v>46023</v>
      </c>
      <c r="E1247">
        <v>18111</v>
      </c>
      <c r="F1247" t="s">
        <v>4047</v>
      </c>
      <c r="G1247">
        <v>3500</v>
      </c>
      <c r="H1247">
        <v>1</v>
      </c>
      <c r="I1247" t="s">
        <v>3878</v>
      </c>
      <c r="J1247" t="s">
        <v>3497</v>
      </c>
      <c r="K1247" t="s">
        <v>460</v>
      </c>
      <c r="L1247">
        <v>0</v>
      </c>
      <c r="M1247" s="453">
        <v>45971</v>
      </c>
      <c r="N1247">
        <v>89.98</v>
      </c>
      <c r="O1247">
        <v>89.06</v>
      </c>
      <c r="P1247">
        <v>89.98</v>
      </c>
    </row>
    <row r="1248" spans="1:16" x14ac:dyDescent="0.3">
      <c r="A1248">
        <v>66961</v>
      </c>
      <c r="B1248">
        <v>116</v>
      </c>
      <c r="C1248" t="s">
        <v>568</v>
      </c>
      <c r="D1248" s="453">
        <v>46023</v>
      </c>
      <c r="E1248">
        <v>25767</v>
      </c>
      <c r="F1248" t="s">
        <v>3976</v>
      </c>
      <c r="G1248">
        <v>6316</v>
      </c>
      <c r="H1248">
        <v>2.5</v>
      </c>
      <c r="I1248" t="s">
        <v>3892</v>
      </c>
      <c r="J1248" t="s">
        <v>3469</v>
      </c>
      <c r="K1248" t="s">
        <v>460</v>
      </c>
      <c r="L1248">
        <v>0</v>
      </c>
      <c r="M1248" s="453">
        <v>45936</v>
      </c>
      <c r="N1248">
        <v>0</v>
      </c>
      <c r="O1248">
        <v>35</v>
      </c>
      <c r="P1248">
        <v>87.5</v>
      </c>
    </row>
    <row r="1249" spans="1:16" x14ac:dyDescent="0.3">
      <c r="A1249">
        <v>67410</v>
      </c>
      <c r="B1249">
        <v>116</v>
      </c>
      <c r="C1249" t="s">
        <v>568</v>
      </c>
      <c r="D1249" s="453">
        <v>46023</v>
      </c>
      <c r="E1249">
        <v>19566</v>
      </c>
      <c r="F1249" t="s">
        <v>3986</v>
      </c>
      <c r="G1249">
        <v>2651</v>
      </c>
      <c r="H1249">
        <v>2</v>
      </c>
      <c r="I1249" t="s">
        <v>3892</v>
      </c>
      <c r="J1249" t="s">
        <v>3469</v>
      </c>
      <c r="K1249" t="s">
        <v>460</v>
      </c>
      <c r="L1249">
        <v>0</v>
      </c>
      <c r="M1249" s="453">
        <v>45936</v>
      </c>
      <c r="N1249">
        <v>43.75</v>
      </c>
      <c r="O1249">
        <v>50.76</v>
      </c>
      <c r="P1249">
        <v>87.5</v>
      </c>
    </row>
    <row r="1250" spans="1:16" x14ac:dyDescent="0.3">
      <c r="A1250">
        <v>67503</v>
      </c>
      <c r="B1250">
        <v>116</v>
      </c>
      <c r="C1250" t="s">
        <v>568</v>
      </c>
      <c r="D1250" s="453">
        <v>46023</v>
      </c>
      <c r="E1250">
        <v>18534</v>
      </c>
      <c r="F1250" t="s">
        <v>4084</v>
      </c>
      <c r="G1250">
        <v>3143</v>
      </c>
      <c r="H1250">
        <v>1</v>
      </c>
      <c r="I1250" t="s">
        <v>3878</v>
      </c>
      <c r="J1250" t="s">
        <v>3497</v>
      </c>
      <c r="K1250" t="s">
        <v>460</v>
      </c>
      <c r="L1250">
        <v>0</v>
      </c>
      <c r="N1250">
        <v>0</v>
      </c>
      <c r="O1250">
        <v>0</v>
      </c>
      <c r="P1250">
        <v>86.89</v>
      </c>
    </row>
    <row r="1251" spans="1:16" x14ac:dyDescent="0.3">
      <c r="A1251">
        <v>67498</v>
      </c>
      <c r="B1251">
        <v>116</v>
      </c>
      <c r="C1251" t="s">
        <v>568</v>
      </c>
      <c r="D1251" s="453">
        <v>46023</v>
      </c>
      <c r="E1251">
        <v>22053</v>
      </c>
      <c r="F1251" t="s">
        <v>3970</v>
      </c>
      <c r="G1251">
        <v>3648</v>
      </c>
      <c r="H1251">
        <v>11</v>
      </c>
      <c r="I1251" t="s">
        <v>3872</v>
      </c>
      <c r="J1251" t="s">
        <v>3497</v>
      </c>
      <c r="K1251" t="s">
        <v>460</v>
      </c>
      <c r="L1251">
        <v>0</v>
      </c>
      <c r="M1251" s="453">
        <v>45635</v>
      </c>
      <c r="N1251">
        <v>7.66</v>
      </c>
      <c r="O1251">
        <v>6.18</v>
      </c>
      <c r="P1251">
        <v>84.26</v>
      </c>
    </row>
    <row r="1252" spans="1:16" x14ac:dyDescent="0.3">
      <c r="A1252">
        <v>67342</v>
      </c>
      <c r="B1252">
        <v>116</v>
      </c>
      <c r="C1252" t="s">
        <v>568</v>
      </c>
      <c r="D1252" s="453">
        <v>46023</v>
      </c>
      <c r="E1252">
        <v>26193</v>
      </c>
      <c r="F1252" t="s">
        <v>3950</v>
      </c>
      <c r="G1252">
        <v>6616</v>
      </c>
      <c r="H1252">
        <v>6</v>
      </c>
      <c r="I1252" t="s">
        <v>3872</v>
      </c>
      <c r="J1252" t="s">
        <v>3469</v>
      </c>
      <c r="K1252" t="s">
        <v>460</v>
      </c>
      <c r="L1252">
        <v>13.95</v>
      </c>
      <c r="M1252" s="453">
        <v>46000</v>
      </c>
      <c r="N1252">
        <v>13.95</v>
      </c>
      <c r="O1252">
        <v>13.95</v>
      </c>
      <c r="P1252">
        <v>83.7</v>
      </c>
    </row>
    <row r="1253" spans="1:16" x14ac:dyDescent="0.3">
      <c r="A1253">
        <v>67522</v>
      </c>
      <c r="B1253">
        <v>116</v>
      </c>
      <c r="C1253" t="s">
        <v>568</v>
      </c>
      <c r="D1253" s="453">
        <v>46023</v>
      </c>
      <c r="E1253">
        <v>18030</v>
      </c>
      <c r="F1253" t="s">
        <v>4033</v>
      </c>
      <c r="G1253">
        <v>3568</v>
      </c>
      <c r="H1253">
        <v>3</v>
      </c>
      <c r="I1253" t="s">
        <v>3878</v>
      </c>
      <c r="J1253" t="s">
        <v>3497</v>
      </c>
      <c r="K1253" t="s">
        <v>460</v>
      </c>
      <c r="L1253">
        <v>0</v>
      </c>
      <c r="M1253" s="453">
        <v>45972</v>
      </c>
      <c r="N1253">
        <v>27.5</v>
      </c>
      <c r="O1253">
        <v>27.5</v>
      </c>
      <c r="P1253">
        <v>82.5</v>
      </c>
    </row>
    <row r="1254" spans="1:16" x14ac:dyDescent="0.3">
      <c r="A1254">
        <v>67363</v>
      </c>
      <c r="B1254">
        <v>116</v>
      </c>
      <c r="C1254" t="s">
        <v>568</v>
      </c>
      <c r="D1254" s="453">
        <v>46023</v>
      </c>
      <c r="E1254">
        <v>20457</v>
      </c>
      <c r="F1254" t="s">
        <v>3999</v>
      </c>
      <c r="G1254">
        <v>2165</v>
      </c>
      <c r="H1254">
        <v>2.1</v>
      </c>
      <c r="I1254" t="s">
        <v>3892</v>
      </c>
      <c r="J1254" t="s">
        <v>3469</v>
      </c>
      <c r="K1254" t="s">
        <v>460</v>
      </c>
      <c r="L1254">
        <v>0</v>
      </c>
      <c r="M1254" s="453">
        <v>45987</v>
      </c>
      <c r="N1254">
        <v>39</v>
      </c>
      <c r="O1254">
        <v>39</v>
      </c>
      <c r="P1254">
        <v>81.900000000000006</v>
      </c>
    </row>
    <row r="1255" spans="1:16" x14ac:dyDescent="0.3">
      <c r="A1255">
        <v>67508</v>
      </c>
      <c r="B1255">
        <v>116</v>
      </c>
      <c r="C1255" t="s">
        <v>568</v>
      </c>
      <c r="D1255" s="453">
        <v>46023</v>
      </c>
      <c r="E1255">
        <v>17896</v>
      </c>
      <c r="F1255" t="s">
        <v>3972</v>
      </c>
      <c r="G1255">
        <v>3664</v>
      </c>
      <c r="H1255">
        <v>2</v>
      </c>
      <c r="I1255" t="s">
        <v>3888</v>
      </c>
      <c r="J1255" t="s">
        <v>3497</v>
      </c>
      <c r="K1255" t="s">
        <v>460</v>
      </c>
      <c r="L1255">
        <v>40.29</v>
      </c>
      <c r="M1255" s="453">
        <v>46014</v>
      </c>
      <c r="N1255">
        <v>40.29</v>
      </c>
      <c r="O1255">
        <v>40.29</v>
      </c>
      <c r="P1255">
        <v>80.58</v>
      </c>
    </row>
    <row r="1256" spans="1:16" x14ac:dyDescent="0.3">
      <c r="A1256">
        <v>67517</v>
      </c>
      <c r="B1256">
        <v>116</v>
      </c>
      <c r="C1256" t="s">
        <v>568</v>
      </c>
      <c r="D1256" s="453">
        <v>46023</v>
      </c>
      <c r="E1256">
        <v>17897</v>
      </c>
      <c r="F1256" t="s">
        <v>4094</v>
      </c>
      <c r="G1256">
        <v>3664</v>
      </c>
      <c r="H1256">
        <v>2</v>
      </c>
      <c r="I1256" t="s">
        <v>3888</v>
      </c>
      <c r="J1256" t="s">
        <v>3497</v>
      </c>
      <c r="K1256" t="s">
        <v>460</v>
      </c>
      <c r="L1256">
        <v>40.29</v>
      </c>
      <c r="M1256" s="453">
        <v>46000</v>
      </c>
      <c r="N1256">
        <v>40.29</v>
      </c>
      <c r="O1256">
        <v>40.29</v>
      </c>
      <c r="P1256">
        <v>80.58</v>
      </c>
    </row>
    <row r="1257" spans="1:16" x14ac:dyDescent="0.3">
      <c r="A1257">
        <v>67381</v>
      </c>
      <c r="B1257">
        <v>116</v>
      </c>
      <c r="C1257" t="s">
        <v>568</v>
      </c>
      <c r="D1257" s="453">
        <v>46023</v>
      </c>
      <c r="E1257">
        <v>23732</v>
      </c>
      <c r="F1257" t="s">
        <v>3973</v>
      </c>
      <c r="G1257">
        <v>2157</v>
      </c>
      <c r="H1257">
        <v>3.5</v>
      </c>
      <c r="I1257" t="s">
        <v>3892</v>
      </c>
      <c r="J1257" t="s">
        <v>3469</v>
      </c>
      <c r="K1257" t="s">
        <v>460</v>
      </c>
      <c r="L1257">
        <v>0</v>
      </c>
      <c r="M1257" s="453">
        <v>45962</v>
      </c>
      <c r="N1257">
        <v>22.89</v>
      </c>
      <c r="O1257">
        <v>28.75</v>
      </c>
      <c r="P1257">
        <v>80.12</v>
      </c>
    </row>
    <row r="1258" spans="1:16" x14ac:dyDescent="0.3">
      <c r="A1258">
        <v>67486</v>
      </c>
      <c r="B1258">
        <v>116</v>
      </c>
      <c r="C1258" t="s">
        <v>568</v>
      </c>
      <c r="D1258" s="453">
        <v>46023</v>
      </c>
      <c r="E1258">
        <v>18447</v>
      </c>
      <c r="F1258" t="s">
        <v>4027</v>
      </c>
      <c r="G1258">
        <v>3204</v>
      </c>
      <c r="H1258">
        <v>5</v>
      </c>
      <c r="I1258" t="s">
        <v>3878</v>
      </c>
      <c r="J1258" t="s">
        <v>3497</v>
      </c>
      <c r="K1258" t="s">
        <v>460</v>
      </c>
      <c r="L1258">
        <v>0</v>
      </c>
      <c r="M1258" s="453">
        <v>45931</v>
      </c>
      <c r="N1258">
        <v>15.8</v>
      </c>
      <c r="O1258">
        <v>15.8</v>
      </c>
      <c r="P1258">
        <v>79</v>
      </c>
    </row>
    <row r="1259" spans="1:16" x14ac:dyDescent="0.3">
      <c r="A1259">
        <v>67510</v>
      </c>
      <c r="B1259">
        <v>116</v>
      </c>
      <c r="C1259" t="s">
        <v>568</v>
      </c>
      <c r="D1259" s="453">
        <v>46023</v>
      </c>
      <c r="E1259">
        <v>18317</v>
      </c>
      <c r="F1259" t="s">
        <v>4045</v>
      </c>
      <c r="G1259">
        <v>3316</v>
      </c>
      <c r="H1259">
        <v>2</v>
      </c>
      <c r="I1259" t="s">
        <v>3878</v>
      </c>
      <c r="J1259" t="s">
        <v>3497</v>
      </c>
      <c r="K1259" t="s">
        <v>460</v>
      </c>
      <c r="L1259">
        <v>0</v>
      </c>
      <c r="M1259" s="453">
        <v>45908</v>
      </c>
      <c r="N1259">
        <v>37.25</v>
      </c>
      <c r="O1259">
        <v>37.25</v>
      </c>
      <c r="P1259">
        <v>74.5</v>
      </c>
    </row>
    <row r="1260" spans="1:16" x14ac:dyDescent="0.3">
      <c r="A1260">
        <v>67333</v>
      </c>
      <c r="B1260">
        <v>116</v>
      </c>
      <c r="C1260" t="s">
        <v>568</v>
      </c>
      <c r="D1260" s="453">
        <v>46023</v>
      </c>
      <c r="E1260">
        <v>19649</v>
      </c>
      <c r="F1260" t="s">
        <v>4015</v>
      </c>
      <c r="G1260">
        <v>2589</v>
      </c>
      <c r="H1260">
        <v>2.5</v>
      </c>
      <c r="I1260" t="s">
        <v>3892</v>
      </c>
      <c r="J1260" t="s">
        <v>3469</v>
      </c>
      <c r="K1260" t="s">
        <v>460</v>
      </c>
      <c r="L1260">
        <v>0</v>
      </c>
      <c r="M1260" s="453">
        <v>45831</v>
      </c>
      <c r="N1260">
        <v>29</v>
      </c>
      <c r="O1260">
        <v>23.5</v>
      </c>
      <c r="P1260">
        <v>72.5</v>
      </c>
    </row>
    <row r="1261" spans="1:16" x14ac:dyDescent="0.3">
      <c r="A1261">
        <v>67330</v>
      </c>
      <c r="B1261">
        <v>116</v>
      </c>
      <c r="C1261" t="s">
        <v>568</v>
      </c>
      <c r="D1261" s="453">
        <v>46023</v>
      </c>
      <c r="E1261">
        <v>20555</v>
      </c>
      <c r="F1261" t="s">
        <v>3959</v>
      </c>
      <c r="G1261">
        <v>2139</v>
      </c>
      <c r="H1261">
        <v>0.9</v>
      </c>
      <c r="I1261" t="s">
        <v>3892</v>
      </c>
      <c r="J1261" t="s">
        <v>3469</v>
      </c>
      <c r="K1261" t="s">
        <v>460</v>
      </c>
      <c r="L1261">
        <v>79</v>
      </c>
      <c r="M1261" s="453">
        <v>46021</v>
      </c>
      <c r="N1261">
        <v>79</v>
      </c>
      <c r="O1261">
        <v>79</v>
      </c>
      <c r="P1261">
        <v>71.099999999999994</v>
      </c>
    </row>
    <row r="1262" spans="1:16" x14ac:dyDescent="0.3">
      <c r="A1262">
        <v>67472</v>
      </c>
      <c r="B1262">
        <v>116</v>
      </c>
      <c r="C1262" t="s">
        <v>568</v>
      </c>
      <c r="D1262" s="453">
        <v>46023</v>
      </c>
      <c r="E1262">
        <v>18200</v>
      </c>
      <c r="F1262" t="s">
        <v>4032</v>
      </c>
      <c r="G1262">
        <v>3426</v>
      </c>
      <c r="H1262">
        <v>2</v>
      </c>
      <c r="I1262" t="s">
        <v>3878</v>
      </c>
      <c r="J1262" t="s">
        <v>3497</v>
      </c>
      <c r="K1262" t="s">
        <v>460</v>
      </c>
      <c r="L1262">
        <v>0</v>
      </c>
      <c r="M1262" s="453">
        <v>45978</v>
      </c>
      <c r="N1262">
        <v>34.630000000000003</v>
      </c>
      <c r="O1262">
        <v>34.630000000000003</v>
      </c>
      <c r="P1262">
        <v>69.260000000000005</v>
      </c>
    </row>
    <row r="1263" spans="1:16" x14ac:dyDescent="0.3">
      <c r="A1263">
        <v>67383</v>
      </c>
      <c r="B1263">
        <v>116</v>
      </c>
      <c r="C1263" t="s">
        <v>568</v>
      </c>
      <c r="D1263" s="453">
        <v>46023</v>
      </c>
      <c r="E1263">
        <v>20359</v>
      </c>
      <c r="F1263" t="s">
        <v>3917</v>
      </c>
      <c r="G1263">
        <v>2199</v>
      </c>
      <c r="H1263">
        <v>14.5</v>
      </c>
      <c r="I1263" t="s">
        <v>3872</v>
      </c>
      <c r="J1263" t="s">
        <v>3469</v>
      </c>
      <c r="K1263" t="s">
        <v>460</v>
      </c>
      <c r="L1263">
        <v>0</v>
      </c>
      <c r="M1263" s="453">
        <v>45845</v>
      </c>
      <c r="N1263">
        <v>4.76</v>
      </c>
      <c r="O1263">
        <v>4.8</v>
      </c>
      <c r="P1263">
        <v>69.02</v>
      </c>
    </row>
    <row r="1264" spans="1:16" x14ac:dyDescent="0.3">
      <c r="A1264">
        <v>67313</v>
      </c>
      <c r="B1264">
        <v>116</v>
      </c>
      <c r="C1264" t="s">
        <v>568</v>
      </c>
      <c r="D1264" s="453">
        <v>46023</v>
      </c>
      <c r="E1264">
        <v>20278</v>
      </c>
      <c r="F1264" t="s">
        <v>3939</v>
      </c>
      <c r="G1264">
        <v>2230</v>
      </c>
      <c r="H1264">
        <v>2</v>
      </c>
      <c r="I1264" t="s">
        <v>3872</v>
      </c>
      <c r="J1264" t="s">
        <v>3469</v>
      </c>
      <c r="K1264" t="s">
        <v>460</v>
      </c>
      <c r="L1264">
        <v>33.270000000000003</v>
      </c>
      <c r="M1264" s="453">
        <v>46013</v>
      </c>
      <c r="N1264">
        <v>33.270000000000003</v>
      </c>
      <c r="O1264">
        <v>33.270000000000003</v>
      </c>
      <c r="P1264">
        <v>66.540000000000006</v>
      </c>
    </row>
    <row r="1265" spans="1:16" x14ac:dyDescent="0.3">
      <c r="A1265">
        <v>67439</v>
      </c>
      <c r="B1265">
        <v>116</v>
      </c>
      <c r="C1265" t="s">
        <v>568</v>
      </c>
      <c r="D1265" s="453">
        <v>46023</v>
      </c>
      <c r="E1265">
        <v>22704</v>
      </c>
      <c r="F1265" t="s">
        <v>4039</v>
      </c>
      <c r="G1265">
        <v>3045</v>
      </c>
      <c r="H1265">
        <v>3</v>
      </c>
      <c r="I1265" t="s">
        <v>3892</v>
      </c>
      <c r="J1265" t="s">
        <v>3469</v>
      </c>
      <c r="K1265" t="s">
        <v>460</v>
      </c>
      <c r="L1265">
        <v>0</v>
      </c>
      <c r="M1265" s="453">
        <v>45678</v>
      </c>
      <c r="N1265">
        <v>22</v>
      </c>
      <c r="O1265">
        <v>22</v>
      </c>
      <c r="P1265">
        <v>66</v>
      </c>
    </row>
    <row r="1266" spans="1:16" x14ac:dyDescent="0.3">
      <c r="A1266">
        <v>67327</v>
      </c>
      <c r="B1266">
        <v>116</v>
      </c>
      <c r="C1266" t="s">
        <v>568</v>
      </c>
      <c r="D1266" s="453">
        <v>46023</v>
      </c>
      <c r="E1266">
        <v>20717</v>
      </c>
      <c r="F1266" t="s">
        <v>4055</v>
      </c>
      <c r="G1266">
        <v>2097</v>
      </c>
      <c r="H1266">
        <v>1.5</v>
      </c>
      <c r="I1266" t="s">
        <v>3872</v>
      </c>
      <c r="J1266" t="s">
        <v>3469</v>
      </c>
      <c r="K1266" t="s">
        <v>460</v>
      </c>
      <c r="L1266">
        <v>0</v>
      </c>
      <c r="M1266" s="453">
        <v>45986</v>
      </c>
      <c r="N1266">
        <v>43.1</v>
      </c>
      <c r="O1266">
        <v>43.1</v>
      </c>
      <c r="P1266">
        <v>64.650000000000006</v>
      </c>
    </row>
    <row r="1267" spans="1:16" x14ac:dyDescent="0.3">
      <c r="A1267">
        <v>67496</v>
      </c>
      <c r="B1267">
        <v>116</v>
      </c>
      <c r="C1267" t="s">
        <v>568</v>
      </c>
      <c r="D1267" s="453">
        <v>46023</v>
      </c>
      <c r="E1267">
        <v>17914</v>
      </c>
      <c r="F1267" t="s">
        <v>3997</v>
      </c>
      <c r="G1267">
        <v>3649</v>
      </c>
      <c r="H1267">
        <v>2</v>
      </c>
      <c r="I1267" t="s">
        <v>3888</v>
      </c>
      <c r="J1267" t="s">
        <v>3497</v>
      </c>
      <c r="K1267" t="s">
        <v>460</v>
      </c>
      <c r="L1267">
        <v>0</v>
      </c>
      <c r="M1267" s="453">
        <v>45979</v>
      </c>
      <c r="N1267">
        <v>32.24</v>
      </c>
      <c r="O1267">
        <v>32.24</v>
      </c>
      <c r="P1267">
        <v>64.48</v>
      </c>
    </row>
    <row r="1268" spans="1:16" x14ac:dyDescent="0.3">
      <c r="A1268">
        <v>67380</v>
      </c>
      <c r="B1268">
        <v>116</v>
      </c>
      <c r="C1268" t="s">
        <v>568</v>
      </c>
      <c r="D1268" s="453">
        <v>46023</v>
      </c>
      <c r="E1268">
        <v>20965</v>
      </c>
      <c r="F1268" t="s">
        <v>3969</v>
      </c>
      <c r="G1268">
        <v>2013</v>
      </c>
      <c r="H1268">
        <v>4</v>
      </c>
      <c r="I1268" t="s">
        <v>3872</v>
      </c>
      <c r="J1268" t="s">
        <v>3469</v>
      </c>
      <c r="K1268" t="s">
        <v>460</v>
      </c>
      <c r="L1268">
        <v>0</v>
      </c>
      <c r="M1268" s="453">
        <v>45951</v>
      </c>
      <c r="N1268">
        <v>15.9</v>
      </c>
      <c r="O1268">
        <v>15.9</v>
      </c>
      <c r="P1268">
        <v>63.6</v>
      </c>
    </row>
    <row r="1269" spans="1:16" x14ac:dyDescent="0.3">
      <c r="A1269">
        <v>67521</v>
      </c>
      <c r="B1269">
        <v>116</v>
      </c>
      <c r="C1269" t="s">
        <v>568</v>
      </c>
      <c r="D1269" s="453">
        <v>46023</v>
      </c>
      <c r="E1269">
        <v>24414</v>
      </c>
      <c r="F1269" t="s">
        <v>3943</v>
      </c>
      <c r="G1269">
        <v>3670</v>
      </c>
      <c r="H1269">
        <v>28</v>
      </c>
      <c r="I1269" t="s">
        <v>3872</v>
      </c>
      <c r="J1269" t="s">
        <v>3497</v>
      </c>
      <c r="K1269" t="s">
        <v>460</v>
      </c>
      <c r="L1269">
        <v>0</v>
      </c>
      <c r="M1269" s="453">
        <v>45544</v>
      </c>
      <c r="N1269">
        <v>2.19</v>
      </c>
      <c r="O1269">
        <v>2.19</v>
      </c>
      <c r="P1269">
        <v>61.32</v>
      </c>
    </row>
    <row r="1270" spans="1:16" x14ac:dyDescent="0.3">
      <c r="A1270">
        <v>67518</v>
      </c>
      <c r="B1270">
        <v>116</v>
      </c>
      <c r="C1270" t="s">
        <v>568</v>
      </c>
      <c r="D1270" s="453">
        <v>46023</v>
      </c>
      <c r="E1270">
        <v>18006</v>
      </c>
      <c r="F1270" t="s">
        <v>4138</v>
      </c>
      <c r="G1270">
        <v>3591</v>
      </c>
      <c r="H1270">
        <v>2</v>
      </c>
      <c r="I1270" t="s">
        <v>3888</v>
      </c>
      <c r="J1270" t="s">
        <v>3497</v>
      </c>
      <c r="K1270" t="s">
        <v>460</v>
      </c>
      <c r="L1270">
        <v>29.64</v>
      </c>
      <c r="M1270" s="453">
        <v>46008</v>
      </c>
      <c r="N1270">
        <v>29.64</v>
      </c>
      <c r="O1270">
        <v>36.119999999999997</v>
      </c>
      <c r="P1270">
        <v>59.28</v>
      </c>
    </row>
    <row r="1271" spans="1:16" x14ac:dyDescent="0.3">
      <c r="A1271">
        <v>67345</v>
      </c>
      <c r="B1271">
        <v>116</v>
      </c>
      <c r="C1271" t="s">
        <v>568</v>
      </c>
      <c r="D1271" s="453">
        <v>46023</v>
      </c>
      <c r="E1271">
        <v>20949</v>
      </c>
      <c r="F1271" t="s">
        <v>3983</v>
      </c>
      <c r="G1271">
        <v>2023</v>
      </c>
      <c r="H1271">
        <v>7</v>
      </c>
      <c r="I1271" t="s">
        <v>3878</v>
      </c>
      <c r="J1271" t="s">
        <v>3469</v>
      </c>
      <c r="K1271" t="s">
        <v>460</v>
      </c>
      <c r="L1271">
        <v>8.35</v>
      </c>
      <c r="M1271" s="453">
        <v>45993</v>
      </c>
      <c r="N1271">
        <v>8.35</v>
      </c>
      <c r="O1271">
        <v>7.96</v>
      </c>
      <c r="P1271">
        <v>58.45</v>
      </c>
    </row>
    <row r="1272" spans="1:16" x14ac:dyDescent="0.3">
      <c r="A1272">
        <v>67445</v>
      </c>
      <c r="B1272">
        <v>116</v>
      </c>
      <c r="C1272" t="s">
        <v>568</v>
      </c>
      <c r="D1272" s="453">
        <v>46023</v>
      </c>
      <c r="E1272">
        <v>19420</v>
      </c>
      <c r="F1272" t="s">
        <v>3899</v>
      </c>
      <c r="G1272">
        <v>2758</v>
      </c>
      <c r="H1272">
        <v>10</v>
      </c>
      <c r="I1272" t="s">
        <v>3872</v>
      </c>
      <c r="J1272" t="s">
        <v>3469</v>
      </c>
      <c r="K1272" t="s">
        <v>460</v>
      </c>
      <c r="L1272">
        <v>0</v>
      </c>
      <c r="M1272" s="453">
        <v>45845</v>
      </c>
      <c r="N1272">
        <v>5.79</v>
      </c>
      <c r="O1272">
        <v>5.79</v>
      </c>
      <c r="P1272">
        <v>57.9</v>
      </c>
    </row>
    <row r="1273" spans="1:16" x14ac:dyDescent="0.3">
      <c r="A1273">
        <v>67340</v>
      </c>
      <c r="B1273">
        <v>116</v>
      </c>
      <c r="C1273" t="s">
        <v>568</v>
      </c>
      <c r="D1273" s="453">
        <v>46023</v>
      </c>
      <c r="E1273">
        <v>23515</v>
      </c>
      <c r="F1273" t="s">
        <v>3980</v>
      </c>
      <c r="G1273">
        <v>2353</v>
      </c>
      <c r="H1273">
        <v>3</v>
      </c>
      <c r="I1273" t="s">
        <v>3872</v>
      </c>
      <c r="J1273" t="s">
        <v>3469</v>
      </c>
      <c r="K1273" t="s">
        <v>460</v>
      </c>
      <c r="L1273">
        <v>0</v>
      </c>
      <c r="M1273" s="453">
        <v>45972</v>
      </c>
      <c r="N1273">
        <v>19.170000000000002</v>
      </c>
      <c r="O1273">
        <v>19.27</v>
      </c>
      <c r="P1273">
        <v>57.51</v>
      </c>
    </row>
    <row r="1274" spans="1:16" x14ac:dyDescent="0.3">
      <c r="A1274">
        <v>66968</v>
      </c>
      <c r="B1274">
        <v>116</v>
      </c>
      <c r="C1274" t="s">
        <v>568</v>
      </c>
      <c r="D1274" s="453">
        <v>46023</v>
      </c>
      <c r="E1274">
        <v>20755</v>
      </c>
      <c r="F1274" t="s">
        <v>4052</v>
      </c>
      <c r="G1274">
        <v>2087</v>
      </c>
      <c r="H1274">
        <v>0.5</v>
      </c>
      <c r="I1274" t="s">
        <v>3966</v>
      </c>
      <c r="J1274" t="s">
        <v>3469</v>
      </c>
      <c r="K1274" t="s">
        <v>460</v>
      </c>
      <c r="L1274">
        <v>0</v>
      </c>
      <c r="M1274" s="453">
        <v>46028</v>
      </c>
      <c r="N1274">
        <v>115</v>
      </c>
      <c r="O1274">
        <v>115</v>
      </c>
      <c r="P1274">
        <v>57.5</v>
      </c>
    </row>
    <row r="1275" spans="1:16" x14ac:dyDescent="0.3">
      <c r="A1275">
        <v>67493</v>
      </c>
      <c r="B1275">
        <v>116</v>
      </c>
      <c r="C1275" t="s">
        <v>568</v>
      </c>
      <c r="D1275" s="453">
        <v>46023</v>
      </c>
      <c r="E1275">
        <v>17883</v>
      </c>
      <c r="F1275" t="s">
        <v>4136</v>
      </c>
      <c r="G1275">
        <v>3673</v>
      </c>
      <c r="H1275">
        <v>2</v>
      </c>
      <c r="I1275" t="s">
        <v>3888</v>
      </c>
      <c r="J1275" t="s">
        <v>3497</v>
      </c>
      <c r="K1275" t="s">
        <v>460</v>
      </c>
      <c r="L1275">
        <v>28.32</v>
      </c>
      <c r="M1275" s="453">
        <v>46000</v>
      </c>
      <c r="N1275">
        <v>28.32</v>
      </c>
      <c r="O1275">
        <v>28.32</v>
      </c>
      <c r="P1275">
        <v>56.64</v>
      </c>
    </row>
    <row r="1276" spans="1:16" x14ac:dyDescent="0.3">
      <c r="A1276">
        <v>67494</v>
      </c>
      <c r="B1276">
        <v>116</v>
      </c>
      <c r="C1276" t="s">
        <v>568</v>
      </c>
      <c r="D1276" s="453">
        <v>46023</v>
      </c>
      <c r="E1276">
        <v>26195</v>
      </c>
      <c r="F1276" t="s">
        <v>4037</v>
      </c>
      <c r="G1276">
        <v>6618</v>
      </c>
      <c r="H1276">
        <v>2</v>
      </c>
      <c r="I1276" t="s">
        <v>3878</v>
      </c>
      <c r="J1276" t="s">
        <v>3497</v>
      </c>
      <c r="K1276" t="s">
        <v>460</v>
      </c>
      <c r="L1276">
        <v>0</v>
      </c>
      <c r="N1276">
        <v>0</v>
      </c>
      <c r="O1276">
        <v>0</v>
      </c>
      <c r="P1276">
        <v>55.48</v>
      </c>
    </row>
    <row r="1277" spans="1:16" x14ac:dyDescent="0.3">
      <c r="A1277">
        <v>67501</v>
      </c>
      <c r="B1277">
        <v>116</v>
      </c>
      <c r="C1277" t="s">
        <v>568</v>
      </c>
      <c r="D1277" s="453">
        <v>46023</v>
      </c>
      <c r="E1277">
        <v>18528</v>
      </c>
      <c r="F1277" t="s">
        <v>4108</v>
      </c>
      <c r="G1277">
        <v>3147</v>
      </c>
      <c r="H1277">
        <v>1</v>
      </c>
      <c r="I1277" t="s">
        <v>3878</v>
      </c>
      <c r="J1277" t="s">
        <v>3497</v>
      </c>
      <c r="K1277" t="s">
        <v>460</v>
      </c>
      <c r="L1277">
        <v>55.48</v>
      </c>
      <c r="M1277" s="453">
        <v>45994</v>
      </c>
      <c r="N1277">
        <v>55.48</v>
      </c>
      <c r="O1277">
        <v>55.48</v>
      </c>
      <c r="P1277">
        <v>55.48</v>
      </c>
    </row>
    <row r="1278" spans="1:16" x14ac:dyDescent="0.3">
      <c r="A1278">
        <v>67344</v>
      </c>
      <c r="B1278">
        <v>116</v>
      </c>
      <c r="C1278" t="s">
        <v>568</v>
      </c>
      <c r="D1278" s="453">
        <v>46023</v>
      </c>
      <c r="E1278">
        <v>20610</v>
      </c>
      <c r="F1278" t="s">
        <v>4064</v>
      </c>
      <c r="G1278">
        <v>2120</v>
      </c>
      <c r="H1278">
        <v>2</v>
      </c>
      <c r="I1278" t="s">
        <v>3884</v>
      </c>
      <c r="J1278" t="s">
        <v>3469</v>
      </c>
      <c r="K1278" t="s">
        <v>460</v>
      </c>
      <c r="L1278">
        <v>0</v>
      </c>
      <c r="M1278" s="453">
        <v>45770</v>
      </c>
      <c r="N1278">
        <v>26.9</v>
      </c>
      <c r="O1278">
        <v>31.2</v>
      </c>
      <c r="P1278">
        <v>53.8</v>
      </c>
    </row>
    <row r="1279" spans="1:16" x14ac:dyDescent="0.3">
      <c r="A1279">
        <v>67384</v>
      </c>
      <c r="B1279">
        <v>116</v>
      </c>
      <c r="C1279" t="s">
        <v>568</v>
      </c>
      <c r="D1279" s="453">
        <v>46023</v>
      </c>
      <c r="E1279">
        <v>20661</v>
      </c>
      <c r="F1279" t="s">
        <v>3919</v>
      </c>
      <c r="G1279">
        <v>2110</v>
      </c>
      <c r="H1279">
        <v>6</v>
      </c>
      <c r="I1279" t="s">
        <v>3872</v>
      </c>
      <c r="J1279" t="s">
        <v>3469</v>
      </c>
      <c r="K1279" t="s">
        <v>460</v>
      </c>
      <c r="L1279">
        <v>8.74</v>
      </c>
      <c r="M1279" s="453">
        <v>46029</v>
      </c>
      <c r="N1279">
        <v>8.7899999999999991</v>
      </c>
      <c r="O1279">
        <v>8.7899999999999991</v>
      </c>
      <c r="P1279">
        <v>52.44</v>
      </c>
    </row>
    <row r="1280" spans="1:16" x14ac:dyDescent="0.3">
      <c r="A1280">
        <v>67415</v>
      </c>
      <c r="B1280">
        <v>116</v>
      </c>
      <c r="C1280" t="s">
        <v>568</v>
      </c>
      <c r="D1280" s="453">
        <v>46023</v>
      </c>
      <c r="E1280">
        <v>19572</v>
      </c>
      <c r="F1280" t="s">
        <v>4023</v>
      </c>
      <c r="G1280">
        <v>2646</v>
      </c>
      <c r="H1280">
        <v>3</v>
      </c>
      <c r="I1280" t="s">
        <v>3892</v>
      </c>
      <c r="J1280" t="s">
        <v>3469</v>
      </c>
      <c r="K1280" t="s">
        <v>460</v>
      </c>
      <c r="L1280">
        <v>17.04</v>
      </c>
      <c r="M1280" s="453">
        <v>46014</v>
      </c>
      <c r="N1280">
        <v>17.399999999999999</v>
      </c>
      <c r="O1280">
        <v>20</v>
      </c>
      <c r="P1280">
        <v>51.12</v>
      </c>
    </row>
    <row r="1281" spans="1:16" x14ac:dyDescent="0.3">
      <c r="A1281">
        <v>66974</v>
      </c>
      <c r="B1281">
        <v>116</v>
      </c>
      <c r="C1281" t="s">
        <v>568</v>
      </c>
      <c r="D1281" s="453">
        <v>46023</v>
      </c>
      <c r="E1281">
        <v>21078</v>
      </c>
      <c r="F1281" t="s">
        <v>4049</v>
      </c>
      <c r="G1281">
        <v>1991</v>
      </c>
      <c r="H1281">
        <v>1</v>
      </c>
      <c r="I1281" t="s">
        <v>3881</v>
      </c>
      <c r="J1281" t="s">
        <v>3469</v>
      </c>
      <c r="K1281" t="s">
        <v>460</v>
      </c>
      <c r="L1281">
        <v>49.89</v>
      </c>
      <c r="M1281" s="453">
        <v>46008</v>
      </c>
      <c r="N1281">
        <v>49.89</v>
      </c>
      <c r="O1281">
        <v>49.89</v>
      </c>
      <c r="P1281">
        <v>49.89</v>
      </c>
    </row>
    <row r="1282" spans="1:16" x14ac:dyDescent="0.3">
      <c r="A1282">
        <v>67474</v>
      </c>
      <c r="B1282">
        <v>116</v>
      </c>
      <c r="C1282" t="s">
        <v>568</v>
      </c>
      <c r="D1282" s="453">
        <v>46023</v>
      </c>
      <c r="E1282">
        <v>17886</v>
      </c>
      <c r="F1282" t="s">
        <v>3935</v>
      </c>
      <c r="G1282">
        <v>3670</v>
      </c>
      <c r="H1282">
        <v>2</v>
      </c>
      <c r="I1282" t="s">
        <v>3888</v>
      </c>
      <c r="J1282" t="s">
        <v>3497</v>
      </c>
      <c r="K1282" t="s">
        <v>460</v>
      </c>
      <c r="L1282">
        <v>24.77</v>
      </c>
      <c r="M1282" s="453">
        <v>46008</v>
      </c>
      <c r="N1282">
        <v>22.64</v>
      </c>
      <c r="O1282">
        <v>28.32</v>
      </c>
      <c r="P1282">
        <v>49.54</v>
      </c>
    </row>
    <row r="1283" spans="1:16" x14ac:dyDescent="0.3">
      <c r="A1283">
        <v>67444</v>
      </c>
      <c r="B1283">
        <v>116</v>
      </c>
      <c r="C1283" t="s">
        <v>568</v>
      </c>
      <c r="D1283" s="453">
        <v>46023</v>
      </c>
      <c r="E1283">
        <v>18666</v>
      </c>
      <c r="F1283" t="s">
        <v>4003</v>
      </c>
      <c r="G1283">
        <v>3053</v>
      </c>
      <c r="H1283">
        <v>2</v>
      </c>
      <c r="I1283" t="s">
        <v>3892</v>
      </c>
      <c r="J1283" t="s">
        <v>3469</v>
      </c>
      <c r="K1283" t="s">
        <v>460</v>
      </c>
      <c r="L1283">
        <v>23.99</v>
      </c>
      <c r="M1283" s="453">
        <v>46008</v>
      </c>
      <c r="N1283">
        <v>23.99</v>
      </c>
      <c r="O1283">
        <v>23.99</v>
      </c>
      <c r="P1283">
        <v>47.98</v>
      </c>
    </row>
    <row r="1284" spans="1:16" x14ac:dyDescent="0.3">
      <c r="A1284">
        <v>67411</v>
      </c>
      <c r="B1284">
        <v>116</v>
      </c>
      <c r="C1284" t="s">
        <v>568</v>
      </c>
      <c r="D1284" s="453">
        <v>46023</v>
      </c>
      <c r="E1284">
        <v>19415</v>
      </c>
      <c r="F1284" t="s">
        <v>3941</v>
      </c>
      <c r="G1284">
        <v>2759</v>
      </c>
      <c r="H1284">
        <v>6</v>
      </c>
      <c r="I1284" t="s">
        <v>3872</v>
      </c>
      <c r="J1284" t="s">
        <v>3469</v>
      </c>
      <c r="K1284" t="s">
        <v>460</v>
      </c>
      <c r="L1284">
        <v>7.9</v>
      </c>
      <c r="M1284" s="453">
        <v>46028</v>
      </c>
      <c r="N1284">
        <v>7.9</v>
      </c>
      <c r="O1284">
        <v>13.99</v>
      </c>
      <c r="P1284">
        <v>47.4</v>
      </c>
    </row>
    <row r="1285" spans="1:16" x14ac:dyDescent="0.3">
      <c r="A1285">
        <v>67426</v>
      </c>
      <c r="B1285">
        <v>116</v>
      </c>
      <c r="C1285" t="s">
        <v>568</v>
      </c>
      <c r="D1285" s="453">
        <v>46023</v>
      </c>
      <c r="E1285">
        <v>18996</v>
      </c>
      <c r="F1285" t="s">
        <v>3946</v>
      </c>
      <c r="G1285">
        <v>2900</v>
      </c>
      <c r="H1285">
        <v>2.5</v>
      </c>
      <c r="I1285" t="s">
        <v>3892</v>
      </c>
      <c r="J1285" t="s">
        <v>3469</v>
      </c>
      <c r="K1285" t="s">
        <v>460</v>
      </c>
      <c r="L1285">
        <v>18.5</v>
      </c>
      <c r="M1285" s="453">
        <v>46029</v>
      </c>
      <c r="N1285">
        <v>17.5</v>
      </c>
      <c r="O1285">
        <v>17.5</v>
      </c>
      <c r="P1285">
        <v>46.25</v>
      </c>
    </row>
    <row r="1286" spans="1:16" x14ac:dyDescent="0.3">
      <c r="A1286">
        <v>67339</v>
      </c>
      <c r="B1286">
        <v>116</v>
      </c>
      <c r="C1286" t="s">
        <v>568</v>
      </c>
      <c r="D1286" s="453">
        <v>46023</v>
      </c>
      <c r="E1286">
        <v>24185</v>
      </c>
      <c r="F1286" t="s">
        <v>4040</v>
      </c>
      <c r="G1286">
        <v>2331</v>
      </c>
      <c r="H1286">
        <v>2</v>
      </c>
      <c r="I1286" t="s">
        <v>3892</v>
      </c>
      <c r="J1286" t="s">
        <v>3469</v>
      </c>
      <c r="K1286" t="s">
        <v>460</v>
      </c>
      <c r="L1286">
        <v>23.1</v>
      </c>
      <c r="M1286" s="453">
        <v>46029</v>
      </c>
      <c r="N1286">
        <v>23.1</v>
      </c>
      <c r="O1286">
        <v>23.1</v>
      </c>
      <c r="P1286">
        <v>46.2</v>
      </c>
    </row>
    <row r="1287" spans="1:16" x14ac:dyDescent="0.3">
      <c r="A1287">
        <v>67353</v>
      </c>
      <c r="B1287">
        <v>116</v>
      </c>
      <c r="C1287" t="s">
        <v>568</v>
      </c>
      <c r="D1287" s="453">
        <v>46023</v>
      </c>
      <c r="E1287">
        <v>19973</v>
      </c>
      <c r="F1287" t="s">
        <v>3981</v>
      </c>
      <c r="G1287">
        <v>2354</v>
      </c>
      <c r="H1287">
        <v>3</v>
      </c>
      <c r="I1287" t="s">
        <v>3872</v>
      </c>
      <c r="J1287" t="s">
        <v>3469</v>
      </c>
      <c r="K1287" t="s">
        <v>460</v>
      </c>
      <c r="L1287">
        <v>15.2</v>
      </c>
      <c r="M1287" s="453">
        <v>46028</v>
      </c>
      <c r="N1287">
        <v>15.2</v>
      </c>
      <c r="O1287">
        <v>15.2</v>
      </c>
      <c r="P1287">
        <v>45.6</v>
      </c>
    </row>
    <row r="1288" spans="1:16" x14ac:dyDescent="0.3">
      <c r="A1288">
        <v>67430</v>
      </c>
      <c r="B1288">
        <v>116</v>
      </c>
      <c r="C1288" t="s">
        <v>568</v>
      </c>
      <c r="D1288" s="453">
        <v>46023</v>
      </c>
      <c r="E1288">
        <v>19139</v>
      </c>
      <c r="F1288" t="s">
        <v>3887</v>
      </c>
      <c r="G1288">
        <v>2836</v>
      </c>
      <c r="H1288">
        <v>5</v>
      </c>
      <c r="I1288" t="s">
        <v>3888</v>
      </c>
      <c r="J1288" t="s">
        <v>3469</v>
      </c>
      <c r="K1288" t="s">
        <v>460</v>
      </c>
      <c r="L1288">
        <v>9.1</v>
      </c>
      <c r="M1288" s="453">
        <v>46028</v>
      </c>
      <c r="N1288">
        <v>9.1</v>
      </c>
      <c r="O1288">
        <v>9.1</v>
      </c>
      <c r="P1288">
        <v>45.5</v>
      </c>
    </row>
    <row r="1289" spans="1:16" x14ac:dyDescent="0.3">
      <c r="A1289">
        <v>66966</v>
      </c>
      <c r="B1289">
        <v>116</v>
      </c>
      <c r="C1289" t="s">
        <v>568</v>
      </c>
      <c r="D1289" s="453">
        <v>46023</v>
      </c>
      <c r="E1289">
        <v>21085</v>
      </c>
      <c r="F1289" t="s">
        <v>4114</v>
      </c>
      <c r="G1289">
        <v>1989</v>
      </c>
      <c r="H1289">
        <v>1</v>
      </c>
      <c r="I1289" t="s">
        <v>3881</v>
      </c>
      <c r="J1289" t="s">
        <v>3469</v>
      </c>
      <c r="K1289" t="s">
        <v>460</v>
      </c>
      <c r="L1289">
        <v>45.31</v>
      </c>
      <c r="M1289" s="453">
        <v>46008</v>
      </c>
      <c r="N1289">
        <v>45.31</v>
      </c>
      <c r="O1289">
        <v>45.31</v>
      </c>
      <c r="P1289">
        <v>45.31</v>
      </c>
    </row>
    <row r="1290" spans="1:16" x14ac:dyDescent="0.3">
      <c r="A1290">
        <v>67409</v>
      </c>
      <c r="B1290">
        <v>116</v>
      </c>
      <c r="C1290" t="s">
        <v>568</v>
      </c>
      <c r="D1290" s="453">
        <v>46023</v>
      </c>
      <c r="E1290">
        <v>23212</v>
      </c>
      <c r="F1290" t="s">
        <v>4077</v>
      </c>
      <c r="G1290">
        <v>2644</v>
      </c>
      <c r="H1290">
        <v>1</v>
      </c>
      <c r="I1290" t="s">
        <v>3892</v>
      </c>
      <c r="J1290" t="s">
        <v>3469</v>
      </c>
      <c r="K1290" t="s">
        <v>460</v>
      </c>
      <c r="L1290">
        <v>0</v>
      </c>
      <c r="N1290">
        <v>0</v>
      </c>
      <c r="O1290">
        <v>45</v>
      </c>
      <c r="P1290">
        <v>45</v>
      </c>
    </row>
    <row r="1291" spans="1:16" x14ac:dyDescent="0.3">
      <c r="A1291">
        <v>67388</v>
      </c>
      <c r="B1291">
        <v>116</v>
      </c>
      <c r="C1291" t="s">
        <v>568</v>
      </c>
      <c r="D1291" s="453">
        <v>46023</v>
      </c>
      <c r="E1291">
        <v>24230</v>
      </c>
      <c r="F1291" t="s">
        <v>4018</v>
      </c>
      <c r="G1291">
        <v>2622</v>
      </c>
      <c r="H1291">
        <v>2</v>
      </c>
      <c r="I1291" t="s">
        <v>3892</v>
      </c>
      <c r="J1291" t="s">
        <v>3469</v>
      </c>
      <c r="K1291" t="s">
        <v>460</v>
      </c>
      <c r="L1291">
        <v>0</v>
      </c>
      <c r="M1291" s="453">
        <v>45820</v>
      </c>
      <c r="N1291">
        <v>21.5</v>
      </c>
      <c r="O1291">
        <v>0</v>
      </c>
      <c r="P1291">
        <v>43</v>
      </c>
    </row>
    <row r="1292" spans="1:16" x14ac:dyDescent="0.3">
      <c r="A1292">
        <v>67347</v>
      </c>
      <c r="B1292">
        <v>116</v>
      </c>
      <c r="C1292" t="s">
        <v>568</v>
      </c>
      <c r="D1292" s="453">
        <v>46023</v>
      </c>
      <c r="E1292">
        <v>23505</v>
      </c>
      <c r="F1292" t="s">
        <v>4124</v>
      </c>
      <c r="G1292">
        <v>2364</v>
      </c>
      <c r="H1292">
        <v>0.5</v>
      </c>
      <c r="I1292" t="s">
        <v>3892</v>
      </c>
      <c r="J1292" t="s">
        <v>3469</v>
      </c>
      <c r="K1292" t="s">
        <v>460</v>
      </c>
      <c r="L1292">
        <v>0</v>
      </c>
      <c r="N1292">
        <v>0</v>
      </c>
      <c r="O1292">
        <v>0</v>
      </c>
      <c r="P1292">
        <v>42.5</v>
      </c>
    </row>
    <row r="1293" spans="1:16" x14ac:dyDescent="0.3">
      <c r="A1293">
        <v>67417</v>
      </c>
      <c r="B1293">
        <v>116</v>
      </c>
      <c r="C1293" t="s">
        <v>568</v>
      </c>
      <c r="D1293" s="453">
        <v>46023</v>
      </c>
      <c r="E1293">
        <v>19583</v>
      </c>
      <c r="F1293" t="s">
        <v>4076</v>
      </c>
      <c r="G1293">
        <v>2639</v>
      </c>
      <c r="H1293">
        <v>1</v>
      </c>
      <c r="I1293" t="s">
        <v>3892</v>
      </c>
      <c r="J1293" t="s">
        <v>3469</v>
      </c>
      <c r="K1293" t="s">
        <v>460</v>
      </c>
      <c r="L1293">
        <v>0</v>
      </c>
      <c r="M1293" s="453">
        <v>46030</v>
      </c>
      <c r="N1293">
        <v>42</v>
      </c>
      <c r="O1293">
        <v>42</v>
      </c>
      <c r="P1293">
        <v>42</v>
      </c>
    </row>
    <row r="1294" spans="1:16" x14ac:dyDescent="0.3">
      <c r="A1294">
        <v>67418</v>
      </c>
      <c r="B1294">
        <v>116</v>
      </c>
      <c r="C1294" t="s">
        <v>568</v>
      </c>
      <c r="D1294" s="453">
        <v>46023</v>
      </c>
      <c r="E1294">
        <v>19672</v>
      </c>
      <c r="F1294" t="s">
        <v>4024</v>
      </c>
      <c r="G1294">
        <v>2567</v>
      </c>
      <c r="H1294">
        <v>3</v>
      </c>
      <c r="I1294" t="s">
        <v>3892</v>
      </c>
      <c r="J1294" t="s">
        <v>3469</v>
      </c>
      <c r="K1294" t="s">
        <v>460</v>
      </c>
      <c r="L1294">
        <v>13.63</v>
      </c>
      <c r="M1294" s="453">
        <v>46030</v>
      </c>
      <c r="N1294">
        <v>20</v>
      </c>
      <c r="O1294">
        <v>20</v>
      </c>
      <c r="P1294">
        <v>40.89</v>
      </c>
    </row>
    <row r="1295" spans="1:16" x14ac:dyDescent="0.3">
      <c r="A1295">
        <v>67332</v>
      </c>
      <c r="B1295">
        <v>116</v>
      </c>
      <c r="C1295" t="s">
        <v>568</v>
      </c>
      <c r="D1295" s="453">
        <v>46023</v>
      </c>
      <c r="E1295">
        <v>20250</v>
      </c>
      <c r="F1295" t="s">
        <v>4008</v>
      </c>
      <c r="G1295">
        <v>2241</v>
      </c>
      <c r="H1295">
        <v>1</v>
      </c>
      <c r="I1295" t="s">
        <v>3888</v>
      </c>
      <c r="J1295" t="s">
        <v>3469</v>
      </c>
      <c r="K1295" t="s">
        <v>460</v>
      </c>
      <c r="L1295">
        <v>40.74</v>
      </c>
      <c r="M1295" s="453">
        <v>45993</v>
      </c>
      <c r="N1295">
        <v>40.74</v>
      </c>
      <c r="O1295">
        <v>40.74</v>
      </c>
      <c r="P1295">
        <v>40.74</v>
      </c>
    </row>
    <row r="1296" spans="1:16" x14ac:dyDescent="0.3">
      <c r="A1296">
        <v>67453</v>
      </c>
      <c r="B1296">
        <v>116</v>
      </c>
      <c r="C1296" t="s">
        <v>568</v>
      </c>
      <c r="D1296" s="453">
        <v>46023</v>
      </c>
      <c r="E1296">
        <v>19034</v>
      </c>
      <c r="F1296" t="s">
        <v>3989</v>
      </c>
      <c r="G1296">
        <v>2890</v>
      </c>
      <c r="H1296">
        <v>3.7</v>
      </c>
      <c r="I1296" t="s">
        <v>3892</v>
      </c>
      <c r="J1296" t="s">
        <v>3469</v>
      </c>
      <c r="K1296" t="s">
        <v>460</v>
      </c>
      <c r="L1296">
        <v>10.85</v>
      </c>
      <c r="M1296" s="453">
        <v>46013</v>
      </c>
      <c r="N1296">
        <v>10.8</v>
      </c>
      <c r="O1296">
        <v>10</v>
      </c>
      <c r="P1296">
        <v>40.15</v>
      </c>
    </row>
    <row r="1297" spans="1:16" x14ac:dyDescent="0.3">
      <c r="A1297">
        <v>67424</v>
      </c>
      <c r="B1297">
        <v>116</v>
      </c>
      <c r="C1297" t="s">
        <v>568</v>
      </c>
      <c r="D1297" s="453">
        <v>46023</v>
      </c>
      <c r="E1297">
        <v>17006</v>
      </c>
      <c r="F1297" t="s">
        <v>4128</v>
      </c>
      <c r="G1297">
        <v>2902</v>
      </c>
      <c r="H1297">
        <v>3</v>
      </c>
      <c r="I1297" t="s">
        <v>3892</v>
      </c>
      <c r="J1297" t="s">
        <v>3469</v>
      </c>
      <c r="K1297" t="s">
        <v>460</v>
      </c>
      <c r="L1297">
        <v>13</v>
      </c>
      <c r="M1297" s="453">
        <v>46030</v>
      </c>
      <c r="N1297">
        <v>13</v>
      </c>
      <c r="O1297">
        <v>13</v>
      </c>
      <c r="P1297">
        <v>39</v>
      </c>
    </row>
    <row r="1298" spans="1:16" x14ac:dyDescent="0.3">
      <c r="A1298">
        <v>67463</v>
      </c>
      <c r="B1298">
        <v>116</v>
      </c>
      <c r="C1298" t="s">
        <v>568</v>
      </c>
      <c r="D1298" s="453">
        <v>46023</v>
      </c>
      <c r="E1298">
        <v>24140</v>
      </c>
      <c r="F1298" t="s">
        <v>3889</v>
      </c>
      <c r="G1298">
        <v>3100</v>
      </c>
      <c r="H1298">
        <v>0.5</v>
      </c>
      <c r="I1298" t="s">
        <v>3872</v>
      </c>
      <c r="J1298" t="s">
        <v>3497</v>
      </c>
      <c r="K1298" t="s">
        <v>460</v>
      </c>
      <c r="L1298">
        <v>0</v>
      </c>
      <c r="M1298" s="453">
        <v>45699</v>
      </c>
      <c r="N1298">
        <v>77.959999999999994</v>
      </c>
      <c r="O1298">
        <v>0</v>
      </c>
      <c r="P1298">
        <v>38.979999999999997</v>
      </c>
    </row>
    <row r="1299" spans="1:16" x14ac:dyDescent="0.3">
      <c r="A1299">
        <v>67338</v>
      </c>
      <c r="B1299">
        <v>116</v>
      </c>
      <c r="C1299" t="s">
        <v>568</v>
      </c>
      <c r="D1299" s="453">
        <v>46023</v>
      </c>
      <c r="E1299">
        <v>20685</v>
      </c>
      <c r="F1299" t="s">
        <v>4122</v>
      </c>
      <c r="G1299">
        <v>2106</v>
      </c>
      <c r="H1299">
        <v>12</v>
      </c>
      <c r="I1299" t="s">
        <v>3872</v>
      </c>
      <c r="J1299" t="s">
        <v>3469</v>
      </c>
      <c r="K1299" t="s">
        <v>460</v>
      </c>
      <c r="L1299">
        <v>3.24</v>
      </c>
      <c r="M1299" s="453">
        <v>46027</v>
      </c>
      <c r="N1299">
        <v>3.55</v>
      </c>
      <c r="O1299">
        <v>3.55</v>
      </c>
      <c r="P1299">
        <v>38.880000000000003</v>
      </c>
    </row>
    <row r="1300" spans="1:16" x14ac:dyDescent="0.3">
      <c r="A1300">
        <v>67358</v>
      </c>
      <c r="B1300">
        <v>116</v>
      </c>
      <c r="C1300" t="s">
        <v>568</v>
      </c>
      <c r="D1300" s="453">
        <v>46023</v>
      </c>
      <c r="E1300">
        <v>20117</v>
      </c>
      <c r="F1300" t="s">
        <v>4010</v>
      </c>
      <c r="G1300">
        <v>2291</v>
      </c>
      <c r="H1300">
        <v>1</v>
      </c>
      <c r="I1300" t="s">
        <v>3872</v>
      </c>
      <c r="J1300" t="s">
        <v>3469</v>
      </c>
      <c r="K1300" t="s">
        <v>460</v>
      </c>
      <c r="L1300">
        <v>38.799999999999997</v>
      </c>
      <c r="M1300" s="453">
        <v>46028</v>
      </c>
      <c r="N1300">
        <v>40.700000000000003</v>
      </c>
      <c r="O1300">
        <v>40.700000000000003</v>
      </c>
      <c r="P1300">
        <v>38.799999999999997</v>
      </c>
    </row>
    <row r="1301" spans="1:16" x14ac:dyDescent="0.3">
      <c r="A1301">
        <v>67499</v>
      </c>
      <c r="B1301">
        <v>116</v>
      </c>
      <c r="C1301" t="s">
        <v>568</v>
      </c>
      <c r="D1301" s="453">
        <v>46023</v>
      </c>
      <c r="E1301">
        <v>18341</v>
      </c>
      <c r="F1301" t="s">
        <v>4086</v>
      </c>
      <c r="G1301">
        <v>3293</v>
      </c>
      <c r="H1301">
        <v>1</v>
      </c>
      <c r="I1301" t="s">
        <v>3878</v>
      </c>
      <c r="J1301" t="s">
        <v>3497</v>
      </c>
      <c r="K1301" t="s">
        <v>460</v>
      </c>
      <c r="L1301">
        <v>0</v>
      </c>
      <c r="N1301">
        <v>0</v>
      </c>
      <c r="O1301">
        <v>50</v>
      </c>
      <c r="P1301">
        <v>38</v>
      </c>
    </row>
    <row r="1302" spans="1:16" x14ac:dyDescent="0.3">
      <c r="A1302">
        <v>67511</v>
      </c>
      <c r="B1302">
        <v>116</v>
      </c>
      <c r="C1302" t="s">
        <v>568</v>
      </c>
      <c r="D1302" s="453">
        <v>46023</v>
      </c>
      <c r="E1302">
        <v>17609</v>
      </c>
      <c r="F1302" t="s">
        <v>4038</v>
      </c>
      <c r="G1302">
        <v>3917</v>
      </c>
      <c r="H1302">
        <v>2</v>
      </c>
      <c r="I1302" t="s">
        <v>3878</v>
      </c>
      <c r="J1302" t="s">
        <v>3497</v>
      </c>
      <c r="K1302" t="s">
        <v>460</v>
      </c>
      <c r="L1302">
        <v>0</v>
      </c>
      <c r="M1302" s="453">
        <v>45573</v>
      </c>
      <c r="N1302">
        <v>18.899999999999999</v>
      </c>
      <c r="O1302">
        <v>18.899999999999999</v>
      </c>
      <c r="P1302">
        <v>37.799999999999997</v>
      </c>
    </row>
    <row r="1303" spans="1:16" x14ac:dyDescent="0.3">
      <c r="A1303">
        <v>67369</v>
      </c>
      <c r="B1303">
        <v>116</v>
      </c>
      <c r="C1303" t="s">
        <v>568</v>
      </c>
      <c r="D1303" s="453">
        <v>46023</v>
      </c>
      <c r="E1303">
        <v>25768</v>
      </c>
      <c r="F1303" t="s">
        <v>4012</v>
      </c>
      <c r="G1303">
        <v>6317</v>
      </c>
      <c r="H1303">
        <v>5</v>
      </c>
      <c r="I1303" t="s">
        <v>3892</v>
      </c>
      <c r="J1303" t="s">
        <v>3469</v>
      </c>
      <c r="K1303" t="s">
        <v>460</v>
      </c>
      <c r="L1303">
        <v>7.5</v>
      </c>
      <c r="M1303" s="453">
        <v>46000</v>
      </c>
      <c r="N1303">
        <v>7.5</v>
      </c>
      <c r="O1303">
        <v>7.5</v>
      </c>
      <c r="P1303">
        <v>37.5</v>
      </c>
    </row>
    <row r="1304" spans="1:16" x14ac:dyDescent="0.3">
      <c r="A1304">
        <v>67362</v>
      </c>
      <c r="B1304">
        <v>116</v>
      </c>
      <c r="C1304" t="s">
        <v>568</v>
      </c>
      <c r="D1304" s="453">
        <v>46023</v>
      </c>
      <c r="E1304">
        <v>19917</v>
      </c>
      <c r="F1304" t="s">
        <v>3920</v>
      </c>
      <c r="G1304">
        <v>2379</v>
      </c>
      <c r="H1304">
        <v>12</v>
      </c>
      <c r="I1304" t="s">
        <v>3888</v>
      </c>
      <c r="J1304" t="s">
        <v>3469</v>
      </c>
      <c r="K1304" t="s">
        <v>460</v>
      </c>
      <c r="L1304">
        <v>0</v>
      </c>
      <c r="M1304" s="453">
        <v>45581</v>
      </c>
      <c r="N1304">
        <v>3.09</v>
      </c>
      <c r="O1304">
        <v>3.35</v>
      </c>
      <c r="P1304">
        <v>37.08</v>
      </c>
    </row>
    <row r="1305" spans="1:16" x14ac:dyDescent="0.3">
      <c r="A1305">
        <v>67420</v>
      </c>
      <c r="B1305">
        <v>116</v>
      </c>
      <c r="C1305" t="s">
        <v>568</v>
      </c>
      <c r="D1305" s="453">
        <v>46023</v>
      </c>
      <c r="E1305">
        <v>19466</v>
      </c>
      <c r="F1305" t="s">
        <v>4127</v>
      </c>
      <c r="G1305">
        <v>2736</v>
      </c>
      <c r="H1305">
        <v>1</v>
      </c>
      <c r="I1305" t="s">
        <v>3892</v>
      </c>
      <c r="J1305" t="s">
        <v>3469</v>
      </c>
      <c r="K1305" t="s">
        <v>460</v>
      </c>
      <c r="L1305">
        <v>0</v>
      </c>
      <c r="N1305">
        <v>0</v>
      </c>
      <c r="O1305">
        <v>0</v>
      </c>
      <c r="P1305">
        <v>36.04</v>
      </c>
    </row>
    <row r="1306" spans="1:16" x14ac:dyDescent="0.3">
      <c r="A1306">
        <v>66962</v>
      </c>
      <c r="B1306">
        <v>116</v>
      </c>
      <c r="C1306" t="s">
        <v>568</v>
      </c>
      <c r="D1306" s="453">
        <v>46023</v>
      </c>
      <c r="E1306">
        <v>21166</v>
      </c>
      <c r="F1306" t="s">
        <v>4001</v>
      </c>
      <c r="G1306">
        <v>1940</v>
      </c>
      <c r="H1306">
        <v>1</v>
      </c>
      <c r="I1306" t="s">
        <v>3872</v>
      </c>
      <c r="J1306" t="s">
        <v>3469</v>
      </c>
      <c r="K1306" t="s">
        <v>460</v>
      </c>
      <c r="L1306">
        <v>0</v>
      </c>
      <c r="M1306" s="453">
        <v>45615</v>
      </c>
      <c r="N1306">
        <v>36</v>
      </c>
      <c r="O1306">
        <v>36</v>
      </c>
      <c r="P1306">
        <v>36</v>
      </c>
    </row>
    <row r="1307" spans="1:16" x14ac:dyDescent="0.3">
      <c r="A1307">
        <v>67457</v>
      </c>
      <c r="B1307">
        <v>116</v>
      </c>
      <c r="C1307" t="s">
        <v>568</v>
      </c>
      <c r="D1307" s="453">
        <v>46023</v>
      </c>
      <c r="E1307">
        <v>22699</v>
      </c>
      <c r="F1307" t="s">
        <v>4134</v>
      </c>
      <c r="G1307">
        <v>3049</v>
      </c>
      <c r="H1307">
        <v>3</v>
      </c>
      <c r="I1307" t="s">
        <v>3881</v>
      </c>
      <c r="J1307" t="s">
        <v>3469</v>
      </c>
      <c r="K1307" t="s">
        <v>460</v>
      </c>
      <c r="L1307">
        <v>0</v>
      </c>
      <c r="M1307" s="453">
        <v>45678</v>
      </c>
      <c r="N1307">
        <v>12</v>
      </c>
      <c r="O1307">
        <v>12</v>
      </c>
      <c r="P1307">
        <v>36</v>
      </c>
    </row>
    <row r="1308" spans="1:16" x14ac:dyDescent="0.3">
      <c r="A1308">
        <v>67319</v>
      </c>
      <c r="B1308">
        <v>116</v>
      </c>
      <c r="C1308" t="s">
        <v>568</v>
      </c>
      <c r="D1308" s="453">
        <v>46023</v>
      </c>
      <c r="E1308">
        <v>20832</v>
      </c>
      <c r="F1308" t="s">
        <v>4060</v>
      </c>
      <c r="G1308">
        <v>2065</v>
      </c>
      <c r="H1308">
        <v>1</v>
      </c>
      <c r="I1308" t="s">
        <v>3886</v>
      </c>
      <c r="J1308" t="s">
        <v>3469</v>
      </c>
      <c r="K1308" t="s">
        <v>460</v>
      </c>
      <c r="L1308">
        <v>0</v>
      </c>
      <c r="M1308" s="453">
        <v>45978</v>
      </c>
      <c r="N1308">
        <v>34.200000000000003</v>
      </c>
      <c r="O1308">
        <v>40.119999999999997</v>
      </c>
      <c r="P1308">
        <v>34.200000000000003</v>
      </c>
    </row>
    <row r="1309" spans="1:16" x14ac:dyDescent="0.3">
      <c r="A1309">
        <v>67394</v>
      </c>
      <c r="B1309">
        <v>116</v>
      </c>
      <c r="C1309" t="s">
        <v>568</v>
      </c>
      <c r="D1309" s="453">
        <v>46023</v>
      </c>
      <c r="E1309">
        <v>23345</v>
      </c>
      <c r="F1309" t="s">
        <v>3933</v>
      </c>
      <c r="G1309">
        <v>2513</v>
      </c>
      <c r="H1309">
        <v>4</v>
      </c>
      <c r="I1309" t="s">
        <v>3892</v>
      </c>
      <c r="J1309" t="s">
        <v>3469</v>
      </c>
      <c r="K1309" t="s">
        <v>460</v>
      </c>
      <c r="L1309">
        <v>0</v>
      </c>
      <c r="M1309" s="453">
        <v>45680</v>
      </c>
      <c r="N1309">
        <v>8.5</v>
      </c>
      <c r="O1309">
        <v>0</v>
      </c>
      <c r="P1309">
        <v>34</v>
      </c>
    </row>
    <row r="1310" spans="1:16" x14ac:dyDescent="0.3">
      <c r="A1310">
        <v>67312</v>
      </c>
      <c r="B1310">
        <v>116</v>
      </c>
      <c r="C1310" t="s">
        <v>568</v>
      </c>
      <c r="D1310" s="453">
        <v>46023</v>
      </c>
      <c r="E1310">
        <v>20077</v>
      </c>
      <c r="F1310" t="s">
        <v>4054</v>
      </c>
      <c r="G1310">
        <v>2317</v>
      </c>
      <c r="H1310">
        <v>2</v>
      </c>
      <c r="I1310" t="s">
        <v>3888</v>
      </c>
      <c r="J1310" t="s">
        <v>3469</v>
      </c>
      <c r="K1310" t="s">
        <v>460</v>
      </c>
      <c r="L1310">
        <v>16.32</v>
      </c>
      <c r="M1310" s="453">
        <v>46027</v>
      </c>
      <c r="N1310">
        <v>16.32</v>
      </c>
      <c r="O1310">
        <v>16.32</v>
      </c>
      <c r="P1310">
        <v>32.64</v>
      </c>
    </row>
    <row r="1311" spans="1:16" x14ac:dyDescent="0.3">
      <c r="A1311">
        <v>67341</v>
      </c>
      <c r="B1311">
        <v>116</v>
      </c>
      <c r="C1311" t="s">
        <v>568</v>
      </c>
      <c r="D1311" s="453">
        <v>46023</v>
      </c>
      <c r="E1311">
        <v>20231</v>
      </c>
      <c r="F1311" t="s">
        <v>4123</v>
      </c>
      <c r="G1311">
        <v>2247</v>
      </c>
      <c r="H1311">
        <v>2</v>
      </c>
      <c r="I1311" t="s">
        <v>3888</v>
      </c>
      <c r="J1311" t="s">
        <v>3469</v>
      </c>
      <c r="K1311" t="s">
        <v>460</v>
      </c>
      <c r="L1311">
        <v>16.28</v>
      </c>
      <c r="M1311" s="453">
        <v>45993</v>
      </c>
      <c r="N1311">
        <v>16.28</v>
      </c>
      <c r="O1311">
        <v>16.2</v>
      </c>
      <c r="P1311">
        <v>32.56</v>
      </c>
    </row>
    <row r="1312" spans="1:16" x14ac:dyDescent="0.3">
      <c r="A1312">
        <v>67372</v>
      </c>
      <c r="B1312">
        <v>116</v>
      </c>
      <c r="C1312" t="s">
        <v>568</v>
      </c>
      <c r="D1312" s="453">
        <v>46023</v>
      </c>
      <c r="E1312">
        <v>20213</v>
      </c>
      <c r="F1312" t="s">
        <v>4059</v>
      </c>
      <c r="G1312">
        <v>2251</v>
      </c>
      <c r="H1312">
        <v>1</v>
      </c>
      <c r="I1312" t="s">
        <v>3888</v>
      </c>
      <c r="J1312" t="s">
        <v>3469</v>
      </c>
      <c r="K1312" t="s">
        <v>460</v>
      </c>
      <c r="L1312">
        <v>0</v>
      </c>
      <c r="M1312" s="453">
        <v>45962</v>
      </c>
      <c r="N1312">
        <v>32.200000000000003</v>
      </c>
      <c r="O1312">
        <v>31.72</v>
      </c>
      <c r="P1312">
        <v>32.200000000000003</v>
      </c>
    </row>
    <row r="1313" spans="1:16" x14ac:dyDescent="0.3">
      <c r="A1313">
        <v>67470</v>
      </c>
      <c r="B1313">
        <v>116</v>
      </c>
      <c r="C1313" t="s">
        <v>568</v>
      </c>
      <c r="D1313" s="453">
        <v>46023</v>
      </c>
      <c r="E1313">
        <v>18395</v>
      </c>
      <c r="F1313" t="s">
        <v>4085</v>
      </c>
      <c r="G1313">
        <v>3245</v>
      </c>
      <c r="H1313">
        <v>1</v>
      </c>
      <c r="I1313" t="s">
        <v>3878</v>
      </c>
      <c r="J1313" t="s">
        <v>3497</v>
      </c>
      <c r="K1313" t="s">
        <v>460</v>
      </c>
      <c r="L1313">
        <v>0</v>
      </c>
      <c r="M1313" s="453">
        <v>45978</v>
      </c>
      <c r="N1313">
        <v>32</v>
      </c>
      <c r="O1313">
        <v>32.57</v>
      </c>
      <c r="P1313">
        <v>32</v>
      </c>
    </row>
    <row r="1314" spans="1:16" x14ac:dyDescent="0.3">
      <c r="A1314">
        <v>67371</v>
      </c>
      <c r="B1314">
        <v>116</v>
      </c>
      <c r="C1314" t="s">
        <v>568</v>
      </c>
      <c r="D1314" s="453">
        <v>46023</v>
      </c>
      <c r="E1314">
        <v>23393</v>
      </c>
      <c r="F1314" t="s">
        <v>3940</v>
      </c>
      <c r="G1314">
        <v>2471</v>
      </c>
      <c r="H1314">
        <v>4.9000000000000004</v>
      </c>
      <c r="I1314" t="s">
        <v>3892</v>
      </c>
      <c r="J1314" t="s">
        <v>3469</v>
      </c>
      <c r="K1314" t="s">
        <v>460</v>
      </c>
      <c r="L1314">
        <v>0</v>
      </c>
      <c r="N1314">
        <v>0</v>
      </c>
      <c r="O1314">
        <v>6.3</v>
      </c>
      <c r="P1314">
        <v>30.87</v>
      </c>
    </row>
    <row r="1315" spans="1:16" x14ac:dyDescent="0.3">
      <c r="A1315">
        <v>67373</v>
      </c>
      <c r="B1315">
        <v>116</v>
      </c>
      <c r="C1315" t="s">
        <v>568</v>
      </c>
      <c r="D1315" s="453">
        <v>46023</v>
      </c>
      <c r="E1315">
        <v>23274</v>
      </c>
      <c r="F1315" t="s">
        <v>4014</v>
      </c>
      <c r="G1315">
        <v>2587</v>
      </c>
      <c r="H1315">
        <v>1</v>
      </c>
      <c r="I1315" t="s">
        <v>3892</v>
      </c>
      <c r="J1315" t="s">
        <v>3469</v>
      </c>
      <c r="K1315" t="s">
        <v>460</v>
      </c>
      <c r="L1315">
        <v>0</v>
      </c>
      <c r="N1315">
        <v>0</v>
      </c>
      <c r="O1315">
        <v>30</v>
      </c>
      <c r="P1315">
        <v>30</v>
      </c>
    </row>
    <row r="1316" spans="1:16" x14ac:dyDescent="0.3">
      <c r="A1316">
        <v>67412</v>
      </c>
      <c r="B1316">
        <v>116</v>
      </c>
      <c r="C1316" t="s">
        <v>568</v>
      </c>
      <c r="D1316" s="453">
        <v>46023</v>
      </c>
      <c r="E1316">
        <v>19576</v>
      </c>
      <c r="F1316" t="s">
        <v>4021</v>
      </c>
      <c r="G1316">
        <v>2642</v>
      </c>
      <c r="H1316">
        <v>2</v>
      </c>
      <c r="I1316" t="s">
        <v>3892</v>
      </c>
      <c r="J1316" t="s">
        <v>3469</v>
      </c>
      <c r="K1316" t="s">
        <v>460</v>
      </c>
      <c r="L1316">
        <v>0</v>
      </c>
      <c r="M1316" s="453">
        <v>45936</v>
      </c>
      <c r="N1316">
        <v>15</v>
      </c>
      <c r="O1316">
        <v>13</v>
      </c>
      <c r="P1316">
        <v>30</v>
      </c>
    </row>
    <row r="1317" spans="1:16" x14ac:dyDescent="0.3">
      <c r="A1317">
        <v>67391</v>
      </c>
      <c r="B1317">
        <v>116</v>
      </c>
      <c r="C1317" t="s">
        <v>568</v>
      </c>
      <c r="D1317" s="453">
        <v>46023</v>
      </c>
      <c r="E1317">
        <v>19779</v>
      </c>
      <c r="F1317" t="s">
        <v>4069</v>
      </c>
      <c r="G1317">
        <v>2479</v>
      </c>
      <c r="H1317">
        <v>0.8</v>
      </c>
      <c r="I1317" t="s">
        <v>3892</v>
      </c>
      <c r="J1317" t="s">
        <v>3469</v>
      </c>
      <c r="K1317" t="s">
        <v>460</v>
      </c>
      <c r="L1317">
        <v>0</v>
      </c>
      <c r="M1317" s="453">
        <v>45826</v>
      </c>
      <c r="N1317">
        <v>37</v>
      </c>
      <c r="O1317">
        <v>0</v>
      </c>
      <c r="P1317">
        <v>29.6</v>
      </c>
    </row>
    <row r="1318" spans="1:16" x14ac:dyDescent="0.3">
      <c r="A1318">
        <v>67485</v>
      </c>
      <c r="B1318">
        <v>116</v>
      </c>
      <c r="C1318" t="s">
        <v>568</v>
      </c>
      <c r="D1318" s="453">
        <v>46023</v>
      </c>
      <c r="E1318">
        <v>24307</v>
      </c>
      <c r="F1318" t="s">
        <v>3928</v>
      </c>
      <c r="G1318">
        <v>3656</v>
      </c>
      <c r="H1318">
        <v>13</v>
      </c>
      <c r="I1318" t="s">
        <v>3872</v>
      </c>
      <c r="J1318" t="s">
        <v>3497</v>
      </c>
      <c r="K1318" t="s">
        <v>460</v>
      </c>
      <c r="L1318">
        <v>0</v>
      </c>
      <c r="M1318" s="453">
        <v>45616</v>
      </c>
      <c r="N1318">
        <v>2.19</v>
      </c>
      <c r="O1318">
        <v>2.19</v>
      </c>
      <c r="P1318">
        <v>28.47</v>
      </c>
    </row>
    <row r="1319" spans="1:16" x14ac:dyDescent="0.3">
      <c r="A1319">
        <v>67399</v>
      </c>
      <c r="B1319">
        <v>116</v>
      </c>
      <c r="C1319" t="s">
        <v>568</v>
      </c>
      <c r="D1319" s="453">
        <v>46023</v>
      </c>
      <c r="E1319">
        <v>19730</v>
      </c>
      <c r="F1319" t="s">
        <v>4075</v>
      </c>
      <c r="G1319">
        <v>2523</v>
      </c>
      <c r="H1319">
        <v>1</v>
      </c>
      <c r="I1319" t="s">
        <v>3892</v>
      </c>
      <c r="J1319" t="s">
        <v>3469</v>
      </c>
      <c r="K1319" t="s">
        <v>460</v>
      </c>
      <c r="L1319">
        <v>0</v>
      </c>
      <c r="M1319" s="453">
        <v>45708</v>
      </c>
      <c r="N1319">
        <v>28</v>
      </c>
      <c r="O1319">
        <v>0</v>
      </c>
      <c r="P1319">
        <v>28</v>
      </c>
    </row>
    <row r="1320" spans="1:16" x14ac:dyDescent="0.3">
      <c r="A1320">
        <v>67396</v>
      </c>
      <c r="B1320">
        <v>116</v>
      </c>
      <c r="C1320" t="s">
        <v>568</v>
      </c>
      <c r="D1320" s="453">
        <v>46023</v>
      </c>
      <c r="E1320">
        <v>23356</v>
      </c>
      <c r="F1320" t="s">
        <v>4019</v>
      </c>
      <c r="G1320">
        <v>2502</v>
      </c>
      <c r="H1320">
        <v>2</v>
      </c>
      <c r="I1320" t="s">
        <v>3892</v>
      </c>
      <c r="J1320" t="s">
        <v>3469</v>
      </c>
      <c r="K1320" t="s">
        <v>460</v>
      </c>
      <c r="L1320">
        <v>0</v>
      </c>
      <c r="N1320">
        <v>0</v>
      </c>
      <c r="O1320">
        <v>8.5</v>
      </c>
      <c r="P1320">
        <v>27.98</v>
      </c>
    </row>
    <row r="1321" spans="1:16" x14ac:dyDescent="0.3">
      <c r="A1321">
        <v>67324</v>
      </c>
      <c r="B1321">
        <v>116</v>
      </c>
      <c r="C1321" t="s">
        <v>568</v>
      </c>
      <c r="D1321" s="453">
        <v>46023</v>
      </c>
      <c r="E1321">
        <v>20395</v>
      </c>
      <c r="F1321" t="s">
        <v>4057</v>
      </c>
      <c r="G1321">
        <v>2192</v>
      </c>
      <c r="H1321">
        <v>1</v>
      </c>
      <c r="I1321" t="s">
        <v>3872</v>
      </c>
      <c r="J1321" t="s">
        <v>3469</v>
      </c>
      <c r="K1321" t="s">
        <v>460</v>
      </c>
      <c r="L1321">
        <v>0</v>
      </c>
      <c r="M1321" s="453">
        <v>46028</v>
      </c>
      <c r="N1321">
        <v>26.81</v>
      </c>
      <c r="O1321">
        <v>26.81</v>
      </c>
      <c r="P1321">
        <v>26.81</v>
      </c>
    </row>
    <row r="1322" spans="1:16" x14ac:dyDescent="0.3">
      <c r="A1322">
        <v>67504</v>
      </c>
      <c r="B1322">
        <v>116</v>
      </c>
      <c r="C1322" t="s">
        <v>568</v>
      </c>
      <c r="D1322" s="453">
        <v>46023</v>
      </c>
      <c r="E1322">
        <v>22034</v>
      </c>
      <c r="F1322" t="s">
        <v>4036</v>
      </c>
      <c r="G1322">
        <v>3665</v>
      </c>
      <c r="H1322">
        <v>12</v>
      </c>
      <c r="I1322" t="s">
        <v>3872</v>
      </c>
      <c r="J1322" t="s">
        <v>3497</v>
      </c>
      <c r="K1322" t="s">
        <v>460</v>
      </c>
      <c r="L1322">
        <v>0</v>
      </c>
      <c r="M1322" s="453">
        <v>45677</v>
      </c>
      <c r="N1322">
        <v>2.19</v>
      </c>
      <c r="O1322">
        <v>2.19</v>
      </c>
      <c r="P1322">
        <v>26.28</v>
      </c>
    </row>
    <row r="1323" spans="1:16" x14ac:dyDescent="0.3">
      <c r="A1323">
        <v>67515</v>
      </c>
      <c r="B1323">
        <v>116</v>
      </c>
      <c r="C1323" t="s">
        <v>568</v>
      </c>
      <c r="D1323" s="453">
        <v>46023</v>
      </c>
      <c r="E1323">
        <v>17942</v>
      </c>
      <c r="F1323" t="s">
        <v>4035</v>
      </c>
      <c r="G1323">
        <v>3630</v>
      </c>
      <c r="H1323">
        <v>2</v>
      </c>
      <c r="I1323" t="s">
        <v>3872</v>
      </c>
      <c r="J1323" t="s">
        <v>3497</v>
      </c>
      <c r="K1323" t="s">
        <v>460</v>
      </c>
      <c r="L1323">
        <v>0</v>
      </c>
      <c r="M1323" s="453">
        <v>45803</v>
      </c>
      <c r="N1323">
        <v>13</v>
      </c>
      <c r="O1323">
        <v>13</v>
      </c>
      <c r="P1323">
        <v>26</v>
      </c>
    </row>
    <row r="1324" spans="1:16" x14ac:dyDescent="0.3">
      <c r="A1324">
        <v>67516</v>
      </c>
      <c r="B1324">
        <v>116</v>
      </c>
      <c r="C1324" t="s">
        <v>568</v>
      </c>
      <c r="D1324" s="453">
        <v>46023</v>
      </c>
      <c r="E1324">
        <v>22127</v>
      </c>
      <c r="F1324" t="s">
        <v>3875</v>
      </c>
      <c r="G1324">
        <v>3591</v>
      </c>
      <c r="H1324">
        <v>11</v>
      </c>
      <c r="I1324" t="s">
        <v>3872</v>
      </c>
      <c r="J1324" t="s">
        <v>3497</v>
      </c>
      <c r="K1324" t="s">
        <v>460</v>
      </c>
      <c r="L1324">
        <v>0</v>
      </c>
      <c r="M1324" s="453">
        <v>45635</v>
      </c>
      <c r="N1324">
        <v>2.19</v>
      </c>
      <c r="O1324">
        <v>2.19</v>
      </c>
      <c r="P1324">
        <v>24.09</v>
      </c>
    </row>
    <row r="1325" spans="1:16" x14ac:dyDescent="0.3">
      <c r="A1325">
        <v>67349</v>
      </c>
      <c r="B1325">
        <v>116</v>
      </c>
      <c r="C1325" t="s">
        <v>568</v>
      </c>
      <c r="D1325" s="453">
        <v>46023</v>
      </c>
      <c r="E1325">
        <v>20326</v>
      </c>
      <c r="F1325" t="s">
        <v>3953</v>
      </c>
      <c r="G1325">
        <v>2211</v>
      </c>
      <c r="H1325">
        <v>5</v>
      </c>
      <c r="I1325" t="s">
        <v>3892</v>
      </c>
      <c r="J1325" t="s">
        <v>3469</v>
      </c>
      <c r="K1325" t="s">
        <v>460</v>
      </c>
      <c r="L1325">
        <v>0</v>
      </c>
      <c r="M1325" s="453">
        <v>45986</v>
      </c>
      <c r="N1325">
        <v>4.8</v>
      </c>
      <c r="O1325">
        <v>7.26</v>
      </c>
      <c r="P1325">
        <v>24</v>
      </c>
    </row>
    <row r="1326" spans="1:16" x14ac:dyDescent="0.3">
      <c r="A1326">
        <v>67325</v>
      </c>
      <c r="B1326">
        <v>116</v>
      </c>
      <c r="C1326" t="s">
        <v>568</v>
      </c>
      <c r="D1326" s="453">
        <v>46023</v>
      </c>
      <c r="E1326">
        <v>19902</v>
      </c>
      <c r="F1326" t="s">
        <v>3909</v>
      </c>
      <c r="G1326">
        <v>2382</v>
      </c>
      <c r="H1326">
        <v>1</v>
      </c>
      <c r="I1326" t="s">
        <v>3881</v>
      </c>
      <c r="J1326" t="s">
        <v>3469</v>
      </c>
      <c r="K1326" t="s">
        <v>460</v>
      </c>
      <c r="L1326">
        <v>23.9</v>
      </c>
      <c r="M1326" s="453">
        <v>46008</v>
      </c>
      <c r="N1326">
        <v>23.9</v>
      </c>
      <c r="O1326">
        <v>26.29</v>
      </c>
      <c r="P1326">
        <v>23.9</v>
      </c>
    </row>
    <row r="1327" spans="1:16" x14ac:dyDescent="0.3">
      <c r="A1327">
        <v>67370</v>
      </c>
      <c r="B1327">
        <v>116</v>
      </c>
      <c r="C1327" t="s">
        <v>568</v>
      </c>
      <c r="D1327" s="453">
        <v>46023</v>
      </c>
      <c r="E1327">
        <v>25769</v>
      </c>
      <c r="F1327" t="s">
        <v>4013</v>
      </c>
      <c r="G1327">
        <v>6318</v>
      </c>
      <c r="H1327">
        <v>2</v>
      </c>
      <c r="I1327" t="s">
        <v>3892</v>
      </c>
      <c r="J1327" t="s">
        <v>3469</v>
      </c>
      <c r="K1327" t="s">
        <v>460</v>
      </c>
      <c r="L1327">
        <v>11.05</v>
      </c>
      <c r="M1327" s="453">
        <v>46028</v>
      </c>
      <c r="N1327">
        <v>13.9</v>
      </c>
      <c r="O1327">
        <v>13.9</v>
      </c>
      <c r="P1327">
        <v>22.1</v>
      </c>
    </row>
    <row r="1328" spans="1:16" x14ac:dyDescent="0.3">
      <c r="A1328">
        <v>67320</v>
      </c>
      <c r="B1328">
        <v>116</v>
      </c>
      <c r="C1328" t="s">
        <v>568</v>
      </c>
      <c r="D1328" s="453">
        <v>46023</v>
      </c>
      <c r="E1328">
        <v>23500</v>
      </c>
      <c r="F1328" t="s">
        <v>4116</v>
      </c>
      <c r="G1328">
        <v>2369</v>
      </c>
      <c r="H1328">
        <v>1.5</v>
      </c>
      <c r="I1328" t="s">
        <v>3892</v>
      </c>
      <c r="J1328" t="s">
        <v>3469</v>
      </c>
      <c r="K1328" t="s">
        <v>460</v>
      </c>
      <c r="L1328">
        <v>0</v>
      </c>
      <c r="M1328" s="453">
        <v>45552</v>
      </c>
      <c r="N1328">
        <v>14</v>
      </c>
      <c r="O1328">
        <v>13.5</v>
      </c>
      <c r="P1328">
        <v>21</v>
      </c>
    </row>
    <row r="1329" spans="1:16" x14ac:dyDescent="0.3">
      <c r="A1329">
        <v>67315</v>
      </c>
      <c r="B1329">
        <v>116</v>
      </c>
      <c r="C1329" t="s">
        <v>568</v>
      </c>
      <c r="D1329" s="453">
        <v>46023</v>
      </c>
      <c r="E1329">
        <v>21262</v>
      </c>
      <c r="F1329" t="s">
        <v>4056</v>
      </c>
      <c r="G1329">
        <v>2064</v>
      </c>
      <c r="H1329">
        <v>1</v>
      </c>
      <c r="I1329" t="s">
        <v>3892</v>
      </c>
      <c r="J1329" t="s">
        <v>3469</v>
      </c>
      <c r="K1329" t="s">
        <v>460</v>
      </c>
      <c r="L1329">
        <v>0</v>
      </c>
      <c r="N1329">
        <v>0</v>
      </c>
      <c r="O1329">
        <v>0</v>
      </c>
      <c r="P1329">
        <v>20.99</v>
      </c>
    </row>
    <row r="1330" spans="1:16" x14ac:dyDescent="0.3">
      <c r="A1330">
        <v>67318</v>
      </c>
      <c r="B1330">
        <v>116</v>
      </c>
      <c r="C1330" t="s">
        <v>568</v>
      </c>
      <c r="D1330" s="453">
        <v>46023</v>
      </c>
      <c r="E1330">
        <v>20500</v>
      </c>
      <c r="F1330" t="s">
        <v>3954</v>
      </c>
      <c r="G1330">
        <v>2154</v>
      </c>
      <c r="H1330">
        <v>1</v>
      </c>
      <c r="I1330" t="s">
        <v>3872</v>
      </c>
      <c r="J1330" t="s">
        <v>3469</v>
      </c>
      <c r="K1330" t="s">
        <v>460</v>
      </c>
      <c r="L1330">
        <v>0</v>
      </c>
      <c r="M1330" s="453">
        <v>45917</v>
      </c>
      <c r="N1330">
        <v>20.8</v>
      </c>
      <c r="O1330">
        <v>21.9</v>
      </c>
      <c r="P1330">
        <v>20.8</v>
      </c>
    </row>
    <row r="1331" spans="1:16" x14ac:dyDescent="0.3">
      <c r="A1331">
        <v>66972</v>
      </c>
      <c r="B1331">
        <v>116</v>
      </c>
      <c r="C1331" t="s">
        <v>568</v>
      </c>
      <c r="D1331" s="453">
        <v>46023</v>
      </c>
      <c r="E1331">
        <v>20429</v>
      </c>
      <c r="F1331" t="s">
        <v>4051</v>
      </c>
      <c r="G1331">
        <v>2184</v>
      </c>
      <c r="H1331">
        <v>1</v>
      </c>
      <c r="I1331" t="s">
        <v>3872</v>
      </c>
      <c r="J1331" t="s">
        <v>3469</v>
      </c>
      <c r="K1331" t="s">
        <v>460</v>
      </c>
      <c r="L1331">
        <v>0</v>
      </c>
      <c r="M1331" s="453">
        <v>45944</v>
      </c>
      <c r="N1331">
        <v>19.8</v>
      </c>
      <c r="O1331">
        <v>19.600000000000001</v>
      </c>
      <c r="P1331">
        <v>19.8</v>
      </c>
    </row>
    <row r="1332" spans="1:16" x14ac:dyDescent="0.3">
      <c r="A1332">
        <v>67431</v>
      </c>
      <c r="B1332">
        <v>116</v>
      </c>
      <c r="C1332" t="s">
        <v>568</v>
      </c>
      <c r="D1332" s="453">
        <v>46023</v>
      </c>
      <c r="E1332">
        <v>19710</v>
      </c>
      <c r="F1332" t="s">
        <v>4106</v>
      </c>
      <c r="G1332">
        <v>2540</v>
      </c>
      <c r="H1332">
        <v>1</v>
      </c>
      <c r="I1332" t="s">
        <v>3888</v>
      </c>
      <c r="J1332" t="s">
        <v>3469</v>
      </c>
      <c r="K1332" t="s">
        <v>460</v>
      </c>
      <c r="L1332">
        <v>0</v>
      </c>
      <c r="M1332" s="453">
        <v>45933</v>
      </c>
      <c r="N1332">
        <v>19.8</v>
      </c>
      <c r="O1332">
        <v>21.5</v>
      </c>
      <c r="P1332">
        <v>19.8</v>
      </c>
    </row>
    <row r="1333" spans="1:16" x14ac:dyDescent="0.3">
      <c r="A1333">
        <v>67392</v>
      </c>
      <c r="B1333">
        <v>116</v>
      </c>
      <c r="C1333" t="s">
        <v>568</v>
      </c>
      <c r="D1333" s="453">
        <v>46023</v>
      </c>
      <c r="E1333">
        <v>19765</v>
      </c>
      <c r="F1333" t="s">
        <v>4071</v>
      </c>
      <c r="G1333">
        <v>2488</v>
      </c>
      <c r="H1333">
        <v>0.6</v>
      </c>
      <c r="I1333" t="s">
        <v>3892</v>
      </c>
      <c r="J1333" t="s">
        <v>3469</v>
      </c>
      <c r="K1333" t="s">
        <v>460</v>
      </c>
      <c r="L1333">
        <v>0</v>
      </c>
      <c r="M1333" s="453">
        <v>45943</v>
      </c>
      <c r="N1333">
        <v>32</v>
      </c>
      <c r="O1333">
        <v>0</v>
      </c>
      <c r="P1333">
        <v>19.2</v>
      </c>
    </row>
    <row r="1334" spans="1:16" x14ac:dyDescent="0.3">
      <c r="A1334">
        <v>67406</v>
      </c>
      <c r="B1334">
        <v>116</v>
      </c>
      <c r="C1334" t="s">
        <v>568</v>
      </c>
      <c r="D1334" s="453">
        <v>46023</v>
      </c>
      <c r="E1334">
        <v>23095</v>
      </c>
      <c r="F1334" t="s">
        <v>3882</v>
      </c>
      <c r="G1334">
        <v>2754</v>
      </c>
      <c r="H1334">
        <v>20</v>
      </c>
      <c r="I1334" t="s">
        <v>3872</v>
      </c>
      <c r="J1334" t="s">
        <v>3469</v>
      </c>
      <c r="K1334" t="s">
        <v>460</v>
      </c>
      <c r="L1334">
        <v>0.95</v>
      </c>
      <c r="M1334" s="453">
        <v>46030</v>
      </c>
      <c r="N1334">
        <v>0.94</v>
      </c>
      <c r="O1334">
        <v>0</v>
      </c>
      <c r="P1334">
        <v>19</v>
      </c>
    </row>
    <row r="1335" spans="1:16" x14ac:dyDescent="0.3">
      <c r="A1335">
        <v>67476</v>
      </c>
      <c r="B1335">
        <v>116</v>
      </c>
      <c r="C1335" t="s">
        <v>568</v>
      </c>
      <c r="D1335" s="453">
        <v>46023</v>
      </c>
      <c r="E1335">
        <v>17878</v>
      </c>
      <c r="F1335" t="s">
        <v>4096</v>
      </c>
      <c r="G1335">
        <v>3677</v>
      </c>
      <c r="H1335">
        <v>1</v>
      </c>
      <c r="I1335" t="s">
        <v>3872</v>
      </c>
      <c r="J1335" t="s">
        <v>3497</v>
      </c>
      <c r="K1335" t="s">
        <v>460</v>
      </c>
      <c r="L1335">
        <v>0</v>
      </c>
      <c r="M1335" s="453">
        <v>45987</v>
      </c>
      <c r="N1335">
        <v>18.7</v>
      </c>
      <c r="O1335">
        <v>23.8</v>
      </c>
      <c r="P1335">
        <v>18.7</v>
      </c>
    </row>
    <row r="1336" spans="1:16" x14ac:dyDescent="0.3">
      <c r="A1336">
        <v>67401</v>
      </c>
      <c r="B1336">
        <v>116</v>
      </c>
      <c r="C1336" t="s">
        <v>568</v>
      </c>
      <c r="D1336" s="453">
        <v>46023</v>
      </c>
      <c r="E1336">
        <v>19478</v>
      </c>
      <c r="F1336" t="s">
        <v>4072</v>
      </c>
      <c r="G1336">
        <v>2728</v>
      </c>
      <c r="H1336">
        <v>0.5</v>
      </c>
      <c r="I1336" t="s">
        <v>3892</v>
      </c>
      <c r="J1336" t="s">
        <v>3469</v>
      </c>
      <c r="K1336" t="s">
        <v>460</v>
      </c>
      <c r="L1336">
        <v>0</v>
      </c>
      <c r="M1336" s="453">
        <v>45950</v>
      </c>
      <c r="N1336">
        <v>36.979999999999997</v>
      </c>
      <c r="O1336">
        <v>0</v>
      </c>
      <c r="P1336">
        <v>18.489999999999998</v>
      </c>
    </row>
    <row r="1337" spans="1:16" x14ac:dyDescent="0.3">
      <c r="A1337">
        <v>66969</v>
      </c>
      <c r="B1337">
        <v>116</v>
      </c>
      <c r="C1337" t="s">
        <v>568</v>
      </c>
      <c r="D1337" s="453">
        <v>46023</v>
      </c>
      <c r="E1337">
        <v>21123</v>
      </c>
      <c r="F1337" t="s">
        <v>4115</v>
      </c>
      <c r="G1337">
        <v>1965</v>
      </c>
      <c r="H1337">
        <v>3</v>
      </c>
      <c r="I1337" t="s">
        <v>3892</v>
      </c>
      <c r="J1337" t="s">
        <v>3469</v>
      </c>
      <c r="K1337" t="s">
        <v>460</v>
      </c>
      <c r="L1337">
        <v>6</v>
      </c>
      <c r="M1337" s="453">
        <v>45994</v>
      </c>
      <c r="N1337">
        <v>6</v>
      </c>
      <c r="O1337">
        <v>6</v>
      </c>
      <c r="P1337">
        <v>18</v>
      </c>
    </row>
    <row r="1338" spans="1:16" x14ac:dyDescent="0.3">
      <c r="A1338">
        <v>67387</v>
      </c>
      <c r="B1338">
        <v>116</v>
      </c>
      <c r="C1338" t="s">
        <v>568</v>
      </c>
      <c r="D1338" s="453">
        <v>46023</v>
      </c>
      <c r="E1338">
        <v>23250</v>
      </c>
      <c r="F1338" t="s">
        <v>3906</v>
      </c>
      <c r="G1338">
        <v>2607</v>
      </c>
      <c r="H1338">
        <v>5</v>
      </c>
      <c r="I1338" t="s">
        <v>3892</v>
      </c>
      <c r="J1338" t="s">
        <v>3469</v>
      </c>
      <c r="K1338" t="s">
        <v>460</v>
      </c>
      <c r="L1338">
        <v>0</v>
      </c>
      <c r="N1338">
        <v>0</v>
      </c>
      <c r="O1338">
        <v>2.6</v>
      </c>
      <c r="P1338">
        <v>17.45</v>
      </c>
    </row>
    <row r="1339" spans="1:16" x14ac:dyDescent="0.3">
      <c r="A1339">
        <v>67390</v>
      </c>
      <c r="B1339">
        <v>116</v>
      </c>
      <c r="C1339" t="s">
        <v>568</v>
      </c>
      <c r="D1339" s="453">
        <v>46023</v>
      </c>
      <c r="E1339">
        <v>23389</v>
      </c>
      <c r="F1339" t="s">
        <v>4016</v>
      </c>
      <c r="G1339">
        <v>2475</v>
      </c>
      <c r="H1339">
        <v>3</v>
      </c>
      <c r="I1339" t="s">
        <v>3892</v>
      </c>
      <c r="J1339" t="s">
        <v>3469</v>
      </c>
      <c r="K1339" t="s">
        <v>460</v>
      </c>
      <c r="L1339">
        <v>5.75</v>
      </c>
      <c r="M1339" s="453">
        <v>46027</v>
      </c>
      <c r="N1339">
        <v>5.19</v>
      </c>
      <c r="O1339">
        <v>0</v>
      </c>
      <c r="P1339">
        <v>17.25</v>
      </c>
    </row>
    <row r="1340" spans="1:16" x14ac:dyDescent="0.3">
      <c r="A1340">
        <v>67395</v>
      </c>
      <c r="B1340">
        <v>116</v>
      </c>
      <c r="C1340" t="s">
        <v>568</v>
      </c>
      <c r="D1340" s="453">
        <v>46023</v>
      </c>
      <c r="E1340">
        <v>19494</v>
      </c>
      <c r="F1340" t="s">
        <v>4126</v>
      </c>
      <c r="G1340">
        <v>2716</v>
      </c>
      <c r="H1340">
        <v>1.5</v>
      </c>
      <c r="I1340" t="s">
        <v>3892</v>
      </c>
      <c r="J1340" t="s">
        <v>3469</v>
      </c>
      <c r="K1340" t="s">
        <v>460</v>
      </c>
      <c r="L1340">
        <v>11.47</v>
      </c>
      <c r="M1340" s="453">
        <v>46027</v>
      </c>
      <c r="N1340">
        <v>12.32</v>
      </c>
      <c r="O1340">
        <v>0</v>
      </c>
      <c r="P1340">
        <v>17.21</v>
      </c>
    </row>
    <row r="1341" spans="1:16" x14ac:dyDescent="0.3">
      <c r="A1341">
        <v>66967</v>
      </c>
      <c r="B1341">
        <v>116</v>
      </c>
      <c r="C1341" t="s">
        <v>568</v>
      </c>
      <c r="D1341" s="453">
        <v>46023</v>
      </c>
      <c r="E1341">
        <v>21126</v>
      </c>
      <c r="F1341" t="s">
        <v>4004</v>
      </c>
      <c r="G1341">
        <v>1963</v>
      </c>
      <c r="H1341">
        <v>2</v>
      </c>
      <c r="I1341" t="s">
        <v>3888</v>
      </c>
      <c r="J1341" t="s">
        <v>3469</v>
      </c>
      <c r="K1341" t="s">
        <v>460</v>
      </c>
      <c r="L1341">
        <v>0</v>
      </c>
      <c r="M1341" s="453">
        <v>45986</v>
      </c>
      <c r="N1341">
        <v>8.1999999999999993</v>
      </c>
      <c r="O1341">
        <v>8.1999999999999993</v>
      </c>
      <c r="P1341">
        <v>16.399999999999999</v>
      </c>
    </row>
    <row r="1342" spans="1:16" x14ac:dyDescent="0.3">
      <c r="A1342">
        <v>67458</v>
      </c>
      <c r="B1342">
        <v>116</v>
      </c>
      <c r="C1342" t="s">
        <v>568</v>
      </c>
      <c r="D1342" s="453">
        <v>46023</v>
      </c>
      <c r="E1342">
        <v>23322</v>
      </c>
      <c r="F1342" t="s">
        <v>4135</v>
      </c>
      <c r="G1342">
        <v>2537</v>
      </c>
      <c r="H1342">
        <v>1</v>
      </c>
      <c r="I1342" t="s">
        <v>3892</v>
      </c>
      <c r="J1342" t="s">
        <v>3469</v>
      </c>
      <c r="K1342" t="s">
        <v>460</v>
      </c>
      <c r="L1342">
        <v>0</v>
      </c>
      <c r="N1342">
        <v>0</v>
      </c>
      <c r="O1342">
        <v>16</v>
      </c>
      <c r="P1342">
        <v>16</v>
      </c>
    </row>
    <row r="1343" spans="1:16" x14ac:dyDescent="0.3">
      <c r="A1343">
        <v>67513</v>
      </c>
      <c r="B1343">
        <v>116</v>
      </c>
      <c r="C1343" t="s">
        <v>568</v>
      </c>
      <c r="D1343" s="453">
        <v>46023</v>
      </c>
      <c r="E1343">
        <v>24467</v>
      </c>
      <c r="F1343" t="s">
        <v>3944</v>
      </c>
      <c r="G1343">
        <v>3673</v>
      </c>
      <c r="H1343">
        <v>8</v>
      </c>
      <c r="I1343" t="s">
        <v>3872</v>
      </c>
      <c r="J1343" t="s">
        <v>3497</v>
      </c>
      <c r="K1343" t="s">
        <v>460</v>
      </c>
      <c r="L1343">
        <v>0</v>
      </c>
      <c r="M1343" s="453">
        <v>45510</v>
      </c>
      <c r="N1343">
        <v>1.99</v>
      </c>
      <c r="O1343">
        <v>2.19</v>
      </c>
      <c r="P1343">
        <v>15.92</v>
      </c>
    </row>
    <row r="1344" spans="1:16" x14ac:dyDescent="0.3">
      <c r="A1344">
        <v>67397</v>
      </c>
      <c r="B1344">
        <v>116</v>
      </c>
      <c r="C1344" t="s">
        <v>568</v>
      </c>
      <c r="D1344" s="453">
        <v>46023</v>
      </c>
      <c r="E1344">
        <v>19623</v>
      </c>
      <c r="F1344" t="s">
        <v>3984</v>
      </c>
      <c r="G1344">
        <v>2611</v>
      </c>
      <c r="H1344">
        <v>3</v>
      </c>
      <c r="I1344" t="s">
        <v>3892</v>
      </c>
      <c r="J1344" t="s">
        <v>3469</v>
      </c>
      <c r="K1344" t="s">
        <v>460</v>
      </c>
      <c r="L1344">
        <v>5.0599999999999996</v>
      </c>
      <c r="M1344" s="453">
        <v>46030</v>
      </c>
      <c r="N1344">
        <v>4.5999999999999996</v>
      </c>
      <c r="O1344">
        <v>0</v>
      </c>
      <c r="P1344">
        <v>15.18</v>
      </c>
    </row>
    <row r="1345" spans="1:16" x14ac:dyDescent="0.3">
      <c r="A1345">
        <v>67447</v>
      </c>
      <c r="B1345">
        <v>116</v>
      </c>
      <c r="C1345" t="s">
        <v>568</v>
      </c>
      <c r="D1345" s="453">
        <v>46023</v>
      </c>
      <c r="E1345">
        <v>23171</v>
      </c>
      <c r="F1345" t="s">
        <v>4132</v>
      </c>
      <c r="G1345">
        <v>2682</v>
      </c>
      <c r="H1345">
        <v>3</v>
      </c>
      <c r="I1345" t="s">
        <v>3892</v>
      </c>
      <c r="J1345" t="s">
        <v>3469</v>
      </c>
      <c r="K1345" t="s">
        <v>460</v>
      </c>
      <c r="L1345">
        <v>4.99</v>
      </c>
      <c r="M1345" s="453">
        <v>46027</v>
      </c>
      <c r="N1345">
        <v>6.45</v>
      </c>
      <c r="O1345">
        <v>6.45</v>
      </c>
      <c r="P1345">
        <v>14.97</v>
      </c>
    </row>
    <row r="1346" spans="1:16" x14ac:dyDescent="0.3">
      <c r="A1346">
        <v>67364</v>
      </c>
      <c r="B1346">
        <v>116</v>
      </c>
      <c r="C1346" t="s">
        <v>568</v>
      </c>
      <c r="D1346" s="453">
        <v>46023</v>
      </c>
      <c r="E1346">
        <v>24037</v>
      </c>
      <c r="F1346" t="s">
        <v>4104</v>
      </c>
      <c r="G1346">
        <v>2590</v>
      </c>
      <c r="H1346">
        <v>0.7</v>
      </c>
      <c r="I1346" t="s">
        <v>3892</v>
      </c>
      <c r="J1346" t="s">
        <v>3469</v>
      </c>
      <c r="K1346" t="s">
        <v>460</v>
      </c>
      <c r="L1346">
        <v>20.22</v>
      </c>
      <c r="M1346" s="453">
        <v>46030</v>
      </c>
      <c r="N1346">
        <v>21</v>
      </c>
      <c r="O1346">
        <v>21</v>
      </c>
      <c r="P1346">
        <v>14.15</v>
      </c>
    </row>
    <row r="1347" spans="1:16" x14ac:dyDescent="0.3">
      <c r="A1347">
        <v>67317</v>
      </c>
      <c r="B1347">
        <v>116</v>
      </c>
      <c r="C1347" t="s">
        <v>568</v>
      </c>
      <c r="D1347" s="453">
        <v>46023</v>
      </c>
      <c r="E1347">
        <v>23270</v>
      </c>
      <c r="F1347" t="s">
        <v>4103</v>
      </c>
      <c r="G1347">
        <v>2590</v>
      </c>
      <c r="H1347">
        <v>0.5</v>
      </c>
      <c r="I1347" t="s">
        <v>3892</v>
      </c>
      <c r="J1347" t="s">
        <v>3469</v>
      </c>
      <c r="K1347" t="s">
        <v>460</v>
      </c>
      <c r="L1347">
        <v>26.66</v>
      </c>
      <c r="M1347" s="453">
        <v>46008</v>
      </c>
      <c r="N1347">
        <v>26.66</v>
      </c>
      <c r="O1347">
        <v>26.44</v>
      </c>
      <c r="P1347">
        <v>13.33</v>
      </c>
    </row>
    <row r="1348" spans="1:16" x14ac:dyDescent="0.3">
      <c r="A1348">
        <v>67400</v>
      </c>
      <c r="B1348">
        <v>116</v>
      </c>
      <c r="C1348" t="s">
        <v>568</v>
      </c>
      <c r="D1348" s="453">
        <v>46023</v>
      </c>
      <c r="E1348">
        <v>23357</v>
      </c>
      <c r="F1348" t="s">
        <v>4042</v>
      </c>
      <c r="G1348">
        <v>2501</v>
      </c>
      <c r="H1348">
        <v>1</v>
      </c>
      <c r="I1348" t="s">
        <v>3892</v>
      </c>
      <c r="J1348" t="s">
        <v>3469</v>
      </c>
      <c r="K1348" t="s">
        <v>460</v>
      </c>
      <c r="L1348">
        <v>0</v>
      </c>
      <c r="M1348" s="453">
        <v>45680</v>
      </c>
      <c r="N1348">
        <v>13</v>
      </c>
      <c r="O1348">
        <v>0</v>
      </c>
      <c r="P1348">
        <v>13</v>
      </c>
    </row>
    <row r="1349" spans="1:16" x14ac:dyDescent="0.3">
      <c r="A1349">
        <v>67407</v>
      </c>
      <c r="B1349">
        <v>116</v>
      </c>
      <c r="C1349" t="s">
        <v>568</v>
      </c>
      <c r="D1349" s="453">
        <v>46023</v>
      </c>
      <c r="E1349">
        <v>19689</v>
      </c>
      <c r="F1349" t="s">
        <v>4073</v>
      </c>
      <c r="G1349">
        <v>2551</v>
      </c>
      <c r="H1349">
        <v>1.3</v>
      </c>
      <c r="I1349" t="s">
        <v>3892</v>
      </c>
      <c r="J1349" t="s">
        <v>3469</v>
      </c>
      <c r="K1349" t="s">
        <v>460</v>
      </c>
      <c r="L1349">
        <v>10</v>
      </c>
      <c r="M1349" s="453">
        <v>45999</v>
      </c>
      <c r="N1349">
        <v>10</v>
      </c>
      <c r="O1349">
        <v>0</v>
      </c>
      <c r="P1349">
        <v>13</v>
      </c>
    </row>
    <row r="1350" spans="1:16" x14ac:dyDescent="0.3">
      <c r="A1350">
        <v>67336</v>
      </c>
      <c r="B1350">
        <v>116</v>
      </c>
      <c r="C1350" t="s">
        <v>568</v>
      </c>
      <c r="D1350" s="453">
        <v>46023</v>
      </c>
      <c r="E1350">
        <v>23852</v>
      </c>
      <c r="F1350" t="s">
        <v>4061</v>
      </c>
      <c r="G1350">
        <v>2043</v>
      </c>
      <c r="H1350">
        <v>1</v>
      </c>
      <c r="I1350" t="s">
        <v>3892</v>
      </c>
      <c r="J1350" t="s">
        <v>3469</v>
      </c>
      <c r="K1350" t="s">
        <v>460</v>
      </c>
      <c r="L1350">
        <v>0</v>
      </c>
      <c r="N1350">
        <v>0</v>
      </c>
      <c r="O1350">
        <v>11.4</v>
      </c>
      <c r="P1350">
        <v>11.4</v>
      </c>
    </row>
    <row r="1351" spans="1:16" x14ac:dyDescent="0.3">
      <c r="A1351">
        <v>67460</v>
      </c>
      <c r="B1351">
        <v>116</v>
      </c>
      <c r="C1351" t="s">
        <v>568</v>
      </c>
      <c r="D1351" s="453">
        <v>46023</v>
      </c>
      <c r="E1351">
        <v>23186</v>
      </c>
      <c r="F1351" t="s">
        <v>3988</v>
      </c>
      <c r="G1351">
        <v>2668</v>
      </c>
      <c r="H1351">
        <v>2</v>
      </c>
      <c r="I1351" t="s">
        <v>3892</v>
      </c>
      <c r="J1351" t="s">
        <v>3469</v>
      </c>
      <c r="K1351" t="s">
        <v>460</v>
      </c>
      <c r="L1351">
        <v>0</v>
      </c>
      <c r="M1351" s="453">
        <v>45943</v>
      </c>
      <c r="N1351">
        <v>5.56</v>
      </c>
      <c r="O1351">
        <v>9</v>
      </c>
      <c r="P1351">
        <v>11.12</v>
      </c>
    </row>
    <row r="1352" spans="1:16" x14ac:dyDescent="0.3">
      <c r="A1352">
        <v>67379</v>
      </c>
      <c r="B1352">
        <v>116</v>
      </c>
      <c r="C1352" t="s">
        <v>568</v>
      </c>
      <c r="D1352" s="453">
        <v>46023</v>
      </c>
      <c r="E1352">
        <v>24392</v>
      </c>
      <c r="F1352" t="s">
        <v>4041</v>
      </c>
      <c r="G1352">
        <v>2366</v>
      </c>
      <c r="H1352">
        <v>0.5</v>
      </c>
      <c r="I1352" t="s">
        <v>3892</v>
      </c>
      <c r="J1352" t="s">
        <v>3469</v>
      </c>
      <c r="K1352" t="s">
        <v>460</v>
      </c>
      <c r="L1352">
        <v>0</v>
      </c>
      <c r="M1352" s="453">
        <v>45524</v>
      </c>
      <c r="N1352">
        <v>21.9</v>
      </c>
      <c r="O1352">
        <v>22.9</v>
      </c>
      <c r="P1352">
        <v>10.95</v>
      </c>
    </row>
    <row r="1353" spans="1:16" x14ac:dyDescent="0.3">
      <c r="A1353">
        <v>67404</v>
      </c>
      <c r="B1353">
        <v>116</v>
      </c>
      <c r="C1353" t="s">
        <v>568</v>
      </c>
      <c r="D1353" s="453">
        <v>46023</v>
      </c>
      <c r="E1353">
        <v>19475</v>
      </c>
      <c r="F1353" t="s">
        <v>4111</v>
      </c>
      <c r="G1353">
        <v>2730</v>
      </c>
      <c r="H1353">
        <v>0.2</v>
      </c>
      <c r="I1353" t="s">
        <v>3892</v>
      </c>
      <c r="J1353" t="s">
        <v>3469</v>
      </c>
      <c r="K1353" t="s">
        <v>460</v>
      </c>
      <c r="L1353">
        <v>0</v>
      </c>
      <c r="M1353" s="453">
        <v>45831</v>
      </c>
      <c r="N1353">
        <v>50</v>
      </c>
      <c r="O1353">
        <v>0</v>
      </c>
      <c r="P1353">
        <v>10</v>
      </c>
    </row>
    <row r="1354" spans="1:16" x14ac:dyDescent="0.3">
      <c r="A1354">
        <v>67346</v>
      </c>
      <c r="B1354">
        <v>116</v>
      </c>
      <c r="C1354" t="s">
        <v>568</v>
      </c>
      <c r="D1354" s="453">
        <v>46023</v>
      </c>
      <c r="E1354">
        <v>23146</v>
      </c>
      <c r="F1354" t="s">
        <v>4112</v>
      </c>
      <c r="G1354">
        <v>2705</v>
      </c>
      <c r="H1354">
        <v>0.15</v>
      </c>
      <c r="I1354" t="s">
        <v>3892</v>
      </c>
      <c r="J1354" t="s">
        <v>3469</v>
      </c>
      <c r="K1354" t="s">
        <v>460</v>
      </c>
      <c r="L1354">
        <v>0</v>
      </c>
      <c r="N1354">
        <v>0</v>
      </c>
      <c r="O1354">
        <v>65</v>
      </c>
      <c r="P1354">
        <v>9.75</v>
      </c>
    </row>
    <row r="1355" spans="1:16" x14ac:dyDescent="0.3">
      <c r="A1355">
        <v>67398</v>
      </c>
      <c r="B1355">
        <v>116</v>
      </c>
      <c r="C1355" t="s">
        <v>568</v>
      </c>
      <c r="D1355" s="453">
        <v>46023</v>
      </c>
      <c r="E1355">
        <v>24326</v>
      </c>
      <c r="F1355" t="s">
        <v>3932</v>
      </c>
      <c r="G1355">
        <v>2499</v>
      </c>
      <c r="H1355">
        <v>4</v>
      </c>
      <c r="I1355" t="s">
        <v>3892</v>
      </c>
      <c r="J1355" t="s">
        <v>3469</v>
      </c>
      <c r="K1355" t="s">
        <v>460</v>
      </c>
      <c r="L1355">
        <v>0</v>
      </c>
      <c r="M1355" s="453">
        <v>45831</v>
      </c>
      <c r="N1355">
        <v>2.4</v>
      </c>
      <c r="O1355">
        <v>0</v>
      </c>
      <c r="P1355">
        <v>9.6</v>
      </c>
    </row>
    <row r="1356" spans="1:16" x14ac:dyDescent="0.3">
      <c r="A1356">
        <v>67386</v>
      </c>
      <c r="B1356">
        <v>116</v>
      </c>
      <c r="C1356" t="s">
        <v>568</v>
      </c>
      <c r="D1356" s="453">
        <v>46023</v>
      </c>
      <c r="E1356">
        <v>23256</v>
      </c>
      <c r="F1356" t="s">
        <v>4068</v>
      </c>
      <c r="G1356">
        <v>2602</v>
      </c>
      <c r="H1356">
        <v>2</v>
      </c>
      <c r="I1356" t="s">
        <v>3892</v>
      </c>
      <c r="J1356" t="s">
        <v>3469</v>
      </c>
      <c r="K1356" t="s">
        <v>460</v>
      </c>
      <c r="L1356">
        <v>0</v>
      </c>
      <c r="N1356">
        <v>0</v>
      </c>
      <c r="O1356">
        <v>7.5</v>
      </c>
      <c r="P1356">
        <v>6.98</v>
      </c>
    </row>
    <row r="1357" spans="1:16" x14ac:dyDescent="0.3">
      <c r="A1357">
        <v>67378</v>
      </c>
      <c r="B1357">
        <v>116</v>
      </c>
      <c r="C1357" t="s">
        <v>568</v>
      </c>
      <c r="D1357" s="453">
        <v>46023</v>
      </c>
      <c r="E1357">
        <v>19647</v>
      </c>
      <c r="F1357" t="s">
        <v>4066</v>
      </c>
      <c r="G1357">
        <v>2591</v>
      </c>
      <c r="H1357">
        <v>1.1000000000000001</v>
      </c>
      <c r="I1357" t="s">
        <v>3892</v>
      </c>
      <c r="J1357" t="s">
        <v>3469</v>
      </c>
      <c r="K1357" t="s">
        <v>460</v>
      </c>
      <c r="L1357">
        <v>6.33</v>
      </c>
      <c r="M1357" s="453">
        <v>46024</v>
      </c>
      <c r="N1357">
        <v>13.4</v>
      </c>
      <c r="O1357">
        <v>10</v>
      </c>
      <c r="P1357">
        <v>6.96</v>
      </c>
    </row>
    <row r="1358" spans="1:16" x14ac:dyDescent="0.3">
      <c r="A1358">
        <v>67403</v>
      </c>
      <c r="B1358">
        <v>116</v>
      </c>
      <c r="C1358" t="s">
        <v>568</v>
      </c>
      <c r="D1358" s="453">
        <v>46023</v>
      </c>
      <c r="E1358">
        <v>23096</v>
      </c>
      <c r="F1358" t="s">
        <v>3876</v>
      </c>
      <c r="G1358">
        <v>2753</v>
      </c>
      <c r="H1358">
        <v>12</v>
      </c>
      <c r="I1358" t="s">
        <v>3872</v>
      </c>
      <c r="J1358" t="s">
        <v>3469</v>
      </c>
      <c r="K1358" t="s">
        <v>460</v>
      </c>
      <c r="L1358">
        <v>0.57999999999999996</v>
      </c>
      <c r="M1358" s="453">
        <v>46030</v>
      </c>
      <c r="N1358">
        <v>0.51</v>
      </c>
      <c r="O1358">
        <v>0</v>
      </c>
      <c r="P1358">
        <v>6.96</v>
      </c>
    </row>
    <row r="1359" spans="1:16" x14ac:dyDescent="0.3">
      <c r="A1359">
        <v>67402</v>
      </c>
      <c r="B1359">
        <v>116</v>
      </c>
      <c r="C1359" t="s">
        <v>568</v>
      </c>
      <c r="D1359" s="453">
        <v>46023</v>
      </c>
      <c r="E1359">
        <v>23347</v>
      </c>
      <c r="F1359" t="s">
        <v>4074</v>
      </c>
      <c r="G1359">
        <v>2511</v>
      </c>
      <c r="H1359">
        <v>1</v>
      </c>
      <c r="I1359" t="s">
        <v>3892</v>
      </c>
      <c r="J1359" t="s">
        <v>3469</v>
      </c>
      <c r="K1359" t="s">
        <v>460</v>
      </c>
      <c r="L1359">
        <v>0</v>
      </c>
      <c r="M1359" s="453">
        <v>45677</v>
      </c>
      <c r="N1359">
        <v>6.8</v>
      </c>
      <c r="O1359">
        <v>0</v>
      </c>
      <c r="P1359">
        <v>6.8</v>
      </c>
    </row>
    <row r="1360" spans="1:16" x14ac:dyDescent="0.3">
      <c r="A1360">
        <v>67351</v>
      </c>
      <c r="B1360">
        <v>116</v>
      </c>
      <c r="C1360" t="s">
        <v>568</v>
      </c>
      <c r="D1360" s="453">
        <v>46023</v>
      </c>
      <c r="E1360">
        <v>19498</v>
      </c>
      <c r="F1360" t="s">
        <v>4065</v>
      </c>
      <c r="G1360">
        <v>2712</v>
      </c>
      <c r="H1360">
        <v>0.75</v>
      </c>
      <c r="I1360" t="s">
        <v>3892</v>
      </c>
      <c r="J1360" t="s">
        <v>3469</v>
      </c>
      <c r="K1360" t="s">
        <v>460</v>
      </c>
      <c r="L1360">
        <v>7.9</v>
      </c>
      <c r="M1360" s="453">
        <v>46030</v>
      </c>
      <c r="N1360">
        <v>8.5</v>
      </c>
      <c r="O1360">
        <v>8.43</v>
      </c>
      <c r="P1360">
        <v>5.93</v>
      </c>
    </row>
    <row r="1361" spans="1:16" x14ac:dyDescent="0.3">
      <c r="A1361">
        <v>67440</v>
      </c>
      <c r="B1361">
        <v>116</v>
      </c>
      <c r="C1361" t="s">
        <v>568</v>
      </c>
      <c r="D1361" s="453">
        <v>46023</v>
      </c>
      <c r="E1361">
        <v>19555</v>
      </c>
      <c r="F1361" t="s">
        <v>4109</v>
      </c>
      <c r="G1361">
        <v>2662</v>
      </c>
      <c r="H1361">
        <v>0.3</v>
      </c>
      <c r="I1361" t="s">
        <v>3892</v>
      </c>
      <c r="J1361" t="s">
        <v>3469</v>
      </c>
      <c r="K1361" t="s">
        <v>460</v>
      </c>
      <c r="L1361">
        <v>17.96</v>
      </c>
      <c r="M1361" s="453">
        <v>46027</v>
      </c>
      <c r="N1361">
        <v>22.5</v>
      </c>
      <c r="O1361">
        <v>22.5</v>
      </c>
      <c r="P1361">
        <v>5.39</v>
      </c>
    </row>
    <row r="1362" spans="1:16" x14ac:dyDescent="0.3">
      <c r="A1362">
        <v>67375</v>
      </c>
      <c r="B1362">
        <v>116</v>
      </c>
      <c r="C1362" t="s">
        <v>568</v>
      </c>
      <c r="D1362" s="453">
        <v>46023</v>
      </c>
      <c r="E1362">
        <v>19932</v>
      </c>
      <c r="F1362" t="s">
        <v>4011</v>
      </c>
      <c r="G1362">
        <v>2368</v>
      </c>
      <c r="H1362">
        <v>0.7</v>
      </c>
      <c r="I1362" t="s">
        <v>3872</v>
      </c>
      <c r="J1362" t="s">
        <v>3469</v>
      </c>
      <c r="K1362" t="s">
        <v>460</v>
      </c>
      <c r="L1362">
        <v>7.3</v>
      </c>
      <c r="M1362" s="453">
        <v>46027</v>
      </c>
      <c r="N1362">
        <v>7.3</v>
      </c>
      <c r="O1362">
        <v>7.2</v>
      </c>
      <c r="P1362">
        <v>5.1100000000000003</v>
      </c>
    </row>
    <row r="1363" spans="1:16" x14ac:dyDescent="0.3">
      <c r="A1363">
        <v>67329</v>
      </c>
      <c r="B1363">
        <v>116</v>
      </c>
      <c r="C1363" t="s">
        <v>568</v>
      </c>
      <c r="D1363" s="453">
        <v>46023</v>
      </c>
      <c r="E1363">
        <v>23145</v>
      </c>
      <c r="F1363" t="s">
        <v>4101</v>
      </c>
      <c r="G1363">
        <v>2706</v>
      </c>
      <c r="H1363">
        <v>0.9</v>
      </c>
      <c r="I1363" t="s">
        <v>3892</v>
      </c>
      <c r="J1363" t="s">
        <v>3469</v>
      </c>
      <c r="K1363" t="s">
        <v>460</v>
      </c>
      <c r="L1363">
        <v>0</v>
      </c>
      <c r="M1363" s="453">
        <v>45589</v>
      </c>
      <c r="N1363">
        <v>5.41</v>
      </c>
      <c r="O1363">
        <v>10.74</v>
      </c>
      <c r="P1363">
        <v>4.87</v>
      </c>
    </row>
    <row r="1364" spans="1:16" x14ac:dyDescent="0.3">
      <c r="A1364">
        <v>67452</v>
      </c>
      <c r="B1364">
        <v>116</v>
      </c>
      <c r="C1364" t="s">
        <v>568</v>
      </c>
      <c r="D1364" s="453">
        <v>46023</v>
      </c>
      <c r="E1364">
        <v>19465</v>
      </c>
      <c r="F1364" t="s">
        <v>4080</v>
      </c>
      <c r="G1364">
        <v>2737</v>
      </c>
      <c r="H1364">
        <v>1</v>
      </c>
      <c r="I1364" t="s">
        <v>3892</v>
      </c>
      <c r="J1364" t="s">
        <v>3469</v>
      </c>
      <c r="K1364" t="s">
        <v>460</v>
      </c>
      <c r="L1364">
        <v>4.84</v>
      </c>
      <c r="M1364" s="453">
        <v>46024</v>
      </c>
      <c r="N1364">
        <v>5.5</v>
      </c>
      <c r="O1364">
        <v>5.8</v>
      </c>
      <c r="P1364">
        <v>4.84</v>
      </c>
    </row>
    <row r="1365" spans="1:16" x14ac:dyDescent="0.3">
      <c r="A1365">
        <v>66965</v>
      </c>
      <c r="B1365">
        <v>116</v>
      </c>
      <c r="C1365" t="s">
        <v>568</v>
      </c>
      <c r="D1365" s="453">
        <v>46023</v>
      </c>
      <c r="E1365">
        <v>21093</v>
      </c>
      <c r="F1365" t="s">
        <v>3903</v>
      </c>
      <c r="G1365">
        <v>1988</v>
      </c>
      <c r="H1365">
        <v>1</v>
      </c>
      <c r="I1365" t="s">
        <v>3892</v>
      </c>
      <c r="J1365" t="s">
        <v>3469</v>
      </c>
      <c r="K1365" t="s">
        <v>460</v>
      </c>
      <c r="L1365">
        <v>4.76</v>
      </c>
      <c r="M1365" s="453">
        <v>46028</v>
      </c>
      <c r="N1365">
        <v>4.7</v>
      </c>
      <c r="O1365">
        <v>4.76</v>
      </c>
      <c r="P1365">
        <v>4.76</v>
      </c>
    </row>
    <row r="1366" spans="1:16" x14ac:dyDescent="0.3">
      <c r="A1366">
        <v>67393</v>
      </c>
      <c r="B1366">
        <v>116</v>
      </c>
      <c r="C1366" t="s">
        <v>568</v>
      </c>
      <c r="D1366" s="453">
        <v>46023</v>
      </c>
      <c r="E1366">
        <v>23244</v>
      </c>
      <c r="F1366" t="s">
        <v>4125</v>
      </c>
      <c r="G1366">
        <v>2613</v>
      </c>
      <c r="H1366">
        <v>2</v>
      </c>
      <c r="I1366" t="s">
        <v>3892</v>
      </c>
      <c r="J1366" t="s">
        <v>3469</v>
      </c>
      <c r="K1366" t="s">
        <v>460</v>
      </c>
      <c r="L1366">
        <v>0</v>
      </c>
      <c r="M1366" s="453">
        <v>45551</v>
      </c>
      <c r="N1366">
        <v>2.35</v>
      </c>
      <c r="O1366">
        <v>0</v>
      </c>
      <c r="P1366">
        <v>4.7</v>
      </c>
    </row>
    <row r="1367" spans="1:16" x14ac:dyDescent="0.3">
      <c r="A1367">
        <v>67385</v>
      </c>
      <c r="B1367">
        <v>116</v>
      </c>
      <c r="C1367" t="s">
        <v>568</v>
      </c>
      <c r="D1367" s="453">
        <v>46023</v>
      </c>
      <c r="E1367">
        <v>19642</v>
      </c>
      <c r="F1367" t="s">
        <v>4067</v>
      </c>
      <c r="G1367">
        <v>2596</v>
      </c>
      <c r="H1367">
        <v>1</v>
      </c>
      <c r="I1367" t="s">
        <v>3892</v>
      </c>
      <c r="J1367" t="s">
        <v>3469</v>
      </c>
      <c r="K1367" t="s">
        <v>460</v>
      </c>
      <c r="L1367">
        <v>4.57</v>
      </c>
      <c r="M1367" s="453">
        <v>46024</v>
      </c>
      <c r="N1367">
        <v>7.5</v>
      </c>
      <c r="O1367">
        <v>0</v>
      </c>
      <c r="P1367">
        <v>4.57</v>
      </c>
    </row>
    <row r="1368" spans="1:16" x14ac:dyDescent="0.3">
      <c r="A1368">
        <v>67478</v>
      </c>
      <c r="B1368">
        <v>116</v>
      </c>
      <c r="C1368" t="s">
        <v>568</v>
      </c>
      <c r="D1368" s="453">
        <v>46023</v>
      </c>
      <c r="E1368">
        <v>22042</v>
      </c>
      <c r="F1368" t="s">
        <v>3901</v>
      </c>
      <c r="G1368">
        <v>3658</v>
      </c>
      <c r="H1368">
        <v>2</v>
      </c>
      <c r="I1368" t="s">
        <v>3872</v>
      </c>
      <c r="J1368" t="s">
        <v>3497</v>
      </c>
      <c r="K1368" t="s">
        <v>460</v>
      </c>
      <c r="L1368">
        <v>0</v>
      </c>
      <c r="M1368" s="453">
        <v>45677</v>
      </c>
      <c r="N1368">
        <v>2.19</v>
      </c>
      <c r="O1368">
        <v>1.99</v>
      </c>
      <c r="P1368">
        <v>4.38</v>
      </c>
    </row>
    <row r="1369" spans="1:16" x14ac:dyDescent="0.3">
      <c r="A1369">
        <v>67419</v>
      </c>
      <c r="B1369">
        <v>116</v>
      </c>
      <c r="C1369" t="s">
        <v>568</v>
      </c>
      <c r="D1369" s="453">
        <v>46023</v>
      </c>
      <c r="E1369">
        <v>23184</v>
      </c>
      <c r="F1369" t="s">
        <v>3894</v>
      </c>
      <c r="G1369">
        <v>2670</v>
      </c>
      <c r="H1369">
        <v>0.5</v>
      </c>
      <c r="I1369" t="s">
        <v>3892</v>
      </c>
      <c r="J1369" t="s">
        <v>3469</v>
      </c>
      <c r="K1369" t="s">
        <v>460</v>
      </c>
      <c r="L1369">
        <v>8.2200000000000006</v>
      </c>
      <c r="M1369" s="453">
        <v>46013</v>
      </c>
      <c r="N1369">
        <v>8.4</v>
      </c>
      <c r="O1369">
        <v>8.75</v>
      </c>
      <c r="P1369">
        <v>4.1100000000000003</v>
      </c>
    </row>
    <row r="1370" spans="1:16" x14ac:dyDescent="0.3">
      <c r="A1370">
        <v>67389</v>
      </c>
      <c r="B1370">
        <v>116</v>
      </c>
      <c r="C1370" t="s">
        <v>568</v>
      </c>
      <c r="D1370" s="453">
        <v>46023</v>
      </c>
      <c r="E1370">
        <v>19607</v>
      </c>
      <c r="F1370" t="s">
        <v>4105</v>
      </c>
      <c r="G1370">
        <v>2623</v>
      </c>
      <c r="H1370">
        <v>0.5</v>
      </c>
      <c r="I1370" t="s">
        <v>3892</v>
      </c>
      <c r="J1370" t="s">
        <v>3469</v>
      </c>
      <c r="K1370" t="s">
        <v>460</v>
      </c>
      <c r="L1370">
        <v>6.16</v>
      </c>
      <c r="M1370" s="453">
        <v>45995</v>
      </c>
      <c r="N1370">
        <v>6.16</v>
      </c>
      <c r="O1370">
        <v>0</v>
      </c>
      <c r="P1370">
        <v>3.08</v>
      </c>
    </row>
    <row r="1371" spans="1:16" x14ac:dyDescent="0.3">
      <c r="A1371">
        <v>67437</v>
      </c>
      <c r="B1371">
        <v>116</v>
      </c>
      <c r="C1371" t="s">
        <v>568</v>
      </c>
      <c r="D1371" s="453">
        <v>46023</v>
      </c>
      <c r="E1371">
        <v>19553</v>
      </c>
      <c r="F1371" t="s">
        <v>4078</v>
      </c>
      <c r="G1371">
        <v>2663</v>
      </c>
      <c r="H1371">
        <v>1</v>
      </c>
      <c r="I1371" t="s">
        <v>3892</v>
      </c>
      <c r="J1371" t="s">
        <v>3469</v>
      </c>
      <c r="K1371" t="s">
        <v>460</v>
      </c>
      <c r="L1371">
        <v>2.66</v>
      </c>
      <c r="M1371" s="453">
        <v>46030</v>
      </c>
      <c r="N1371">
        <v>2.5</v>
      </c>
      <c r="O1371">
        <v>2.5</v>
      </c>
      <c r="P1371">
        <v>2.66</v>
      </c>
    </row>
    <row r="1372" spans="1:16" x14ac:dyDescent="0.3">
      <c r="A1372">
        <v>63146</v>
      </c>
      <c r="B1372">
        <v>116</v>
      </c>
      <c r="C1372" t="s">
        <v>568</v>
      </c>
      <c r="D1372" s="453">
        <v>45992</v>
      </c>
      <c r="E1372">
        <v>18636</v>
      </c>
      <c r="F1372" t="s">
        <v>3921</v>
      </c>
      <c r="G1372">
        <v>3075</v>
      </c>
      <c r="H1372">
        <v>9</v>
      </c>
      <c r="I1372" t="s">
        <v>3922</v>
      </c>
      <c r="J1372" t="s">
        <v>3497</v>
      </c>
      <c r="K1372" t="s">
        <v>3393</v>
      </c>
      <c r="L1372">
        <v>470.21</v>
      </c>
      <c r="M1372" s="453">
        <v>45988</v>
      </c>
      <c r="N1372">
        <v>482.8</v>
      </c>
      <c r="O1372">
        <v>482.8</v>
      </c>
      <c r="P1372">
        <v>4231.8900000000003</v>
      </c>
    </row>
    <row r="1373" spans="1:16" x14ac:dyDescent="0.3">
      <c r="A1373">
        <v>63108</v>
      </c>
      <c r="B1373">
        <v>116</v>
      </c>
      <c r="C1373" t="s">
        <v>568</v>
      </c>
      <c r="D1373" s="453">
        <v>45992</v>
      </c>
      <c r="E1373">
        <v>18247</v>
      </c>
      <c r="F1373" t="s">
        <v>3877</v>
      </c>
      <c r="G1373">
        <v>3383</v>
      </c>
      <c r="H1373">
        <v>36.299999999999997</v>
      </c>
      <c r="I1373" t="s">
        <v>3878</v>
      </c>
      <c r="J1373" t="s">
        <v>3497</v>
      </c>
      <c r="K1373" t="s">
        <v>3393</v>
      </c>
      <c r="L1373">
        <v>0</v>
      </c>
      <c r="N1373">
        <v>0</v>
      </c>
      <c r="O1373">
        <v>0</v>
      </c>
      <c r="P1373">
        <v>2410.3200000000002</v>
      </c>
    </row>
    <row r="1374" spans="1:16" x14ac:dyDescent="0.3">
      <c r="A1374">
        <v>63115</v>
      </c>
      <c r="B1374">
        <v>116</v>
      </c>
      <c r="C1374" t="s">
        <v>568</v>
      </c>
      <c r="D1374" s="453">
        <v>45992</v>
      </c>
      <c r="E1374">
        <v>24140</v>
      </c>
      <c r="F1374" t="s">
        <v>3889</v>
      </c>
      <c r="G1374">
        <v>3100</v>
      </c>
      <c r="H1374">
        <v>24</v>
      </c>
      <c r="I1374" t="s">
        <v>3872</v>
      </c>
      <c r="J1374" t="s">
        <v>3497</v>
      </c>
      <c r="K1374" t="s">
        <v>3393</v>
      </c>
      <c r="L1374">
        <v>0</v>
      </c>
      <c r="M1374" s="453">
        <v>45699</v>
      </c>
      <c r="N1374">
        <v>77.959999999999994</v>
      </c>
      <c r="O1374">
        <v>0</v>
      </c>
      <c r="P1374">
        <v>1871.04</v>
      </c>
    </row>
    <row r="1375" spans="1:16" x14ac:dyDescent="0.3">
      <c r="A1375">
        <v>63122</v>
      </c>
      <c r="B1375">
        <v>116</v>
      </c>
      <c r="C1375" t="s">
        <v>568</v>
      </c>
      <c r="D1375" s="453">
        <v>45992</v>
      </c>
      <c r="E1375">
        <v>24599</v>
      </c>
      <c r="F1375" t="s">
        <v>3897</v>
      </c>
      <c r="G1375">
        <v>5676</v>
      </c>
      <c r="H1375">
        <v>16</v>
      </c>
      <c r="I1375" t="s">
        <v>3888</v>
      </c>
      <c r="J1375" t="s">
        <v>3497</v>
      </c>
      <c r="K1375" t="s">
        <v>3393</v>
      </c>
      <c r="L1375">
        <v>108.72</v>
      </c>
      <c r="M1375" s="453">
        <v>45962</v>
      </c>
      <c r="N1375">
        <v>108.72</v>
      </c>
      <c r="O1375">
        <v>109.94</v>
      </c>
      <c r="P1375">
        <v>1739.52</v>
      </c>
    </row>
    <row r="1376" spans="1:16" x14ac:dyDescent="0.3">
      <c r="A1376">
        <v>63120</v>
      </c>
      <c r="B1376">
        <v>116</v>
      </c>
      <c r="C1376" t="s">
        <v>568</v>
      </c>
      <c r="D1376" s="453">
        <v>45992</v>
      </c>
      <c r="E1376">
        <v>24259</v>
      </c>
      <c r="F1376" t="s">
        <v>3895</v>
      </c>
      <c r="G1376">
        <v>2938</v>
      </c>
      <c r="H1376">
        <v>17.5</v>
      </c>
      <c r="I1376" t="s">
        <v>3892</v>
      </c>
      <c r="J1376" t="s">
        <v>3469</v>
      </c>
      <c r="K1376" t="s">
        <v>3393</v>
      </c>
      <c r="L1376">
        <v>71.92</v>
      </c>
      <c r="M1376" s="453">
        <v>45987</v>
      </c>
      <c r="N1376">
        <v>78</v>
      </c>
      <c r="O1376">
        <v>79.900000000000006</v>
      </c>
      <c r="P1376">
        <v>1258.5999999999999</v>
      </c>
    </row>
    <row r="1377" spans="1:16" x14ac:dyDescent="0.3">
      <c r="A1377">
        <v>63112</v>
      </c>
      <c r="B1377">
        <v>116</v>
      </c>
      <c r="C1377" t="s">
        <v>568</v>
      </c>
      <c r="D1377" s="453">
        <v>45992</v>
      </c>
      <c r="E1377">
        <v>22515</v>
      </c>
      <c r="F1377" t="s">
        <v>3883</v>
      </c>
      <c r="G1377">
        <v>3202</v>
      </c>
      <c r="H1377">
        <v>29</v>
      </c>
      <c r="I1377" t="s">
        <v>3884</v>
      </c>
      <c r="J1377" t="s">
        <v>3497</v>
      </c>
      <c r="K1377" t="s">
        <v>3393</v>
      </c>
      <c r="L1377">
        <v>0</v>
      </c>
      <c r="M1377" s="453">
        <v>45671</v>
      </c>
      <c r="N1377">
        <v>38</v>
      </c>
      <c r="O1377">
        <v>38</v>
      </c>
      <c r="P1377">
        <v>1102</v>
      </c>
    </row>
    <row r="1378" spans="1:16" x14ac:dyDescent="0.3">
      <c r="A1378">
        <v>63132</v>
      </c>
      <c r="B1378">
        <v>116</v>
      </c>
      <c r="C1378" t="s">
        <v>568</v>
      </c>
      <c r="D1378" s="453">
        <v>45992</v>
      </c>
      <c r="E1378">
        <v>18764</v>
      </c>
      <c r="F1378" t="s">
        <v>3907</v>
      </c>
      <c r="G1378">
        <v>3001</v>
      </c>
      <c r="H1378">
        <v>13</v>
      </c>
      <c r="I1378" t="s">
        <v>3892</v>
      </c>
      <c r="J1378" t="s">
        <v>3469</v>
      </c>
      <c r="K1378" t="s">
        <v>3393</v>
      </c>
      <c r="L1378">
        <v>82.68</v>
      </c>
      <c r="M1378" s="453">
        <v>45978</v>
      </c>
      <c r="N1378">
        <v>79.900000000000006</v>
      </c>
      <c r="O1378">
        <v>79.900000000000006</v>
      </c>
      <c r="P1378">
        <v>1074.8399999999999</v>
      </c>
    </row>
    <row r="1379" spans="1:16" x14ac:dyDescent="0.3">
      <c r="A1379">
        <v>63110</v>
      </c>
      <c r="B1379">
        <v>116</v>
      </c>
      <c r="C1379" t="s">
        <v>568</v>
      </c>
      <c r="D1379" s="453">
        <v>45992</v>
      </c>
      <c r="E1379">
        <v>22118</v>
      </c>
      <c r="F1379" t="s">
        <v>3880</v>
      </c>
      <c r="G1379">
        <v>3600</v>
      </c>
      <c r="H1379">
        <v>32</v>
      </c>
      <c r="I1379" t="s">
        <v>3881</v>
      </c>
      <c r="J1379" t="s">
        <v>3497</v>
      </c>
      <c r="K1379" t="s">
        <v>3393</v>
      </c>
      <c r="L1379">
        <v>0</v>
      </c>
      <c r="M1379" s="453">
        <v>45854</v>
      </c>
      <c r="N1379">
        <v>29.64</v>
      </c>
      <c r="O1379">
        <v>29.64</v>
      </c>
      <c r="P1379">
        <v>948.48</v>
      </c>
    </row>
    <row r="1380" spans="1:16" x14ac:dyDescent="0.3">
      <c r="A1380">
        <v>63133</v>
      </c>
      <c r="B1380">
        <v>116</v>
      </c>
      <c r="C1380" t="s">
        <v>568</v>
      </c>
      <c r="D1380" s="453">
        <v>45992</v>
      </c>
      <c r="E1380">
        <v>20539</v>
      </c>
      <c r="F1380" t="s">
        <v>3908</v>
      </c>
      <c r="G1380">
        <v>2145</v>
      </c>
      <c r="H1380">
        <v>12.6</v>
      </c>
      <c r="I1380" t="s">
        <v>3892</v>
      </c>
      <c r="J1380" t="s">
        <v>3469</v>
      </c>
      <c r="K1380" t="s">
        <v>3393</v>
      </c>
      <c r="L1380">
        <v>0</v>
      </c>
      <c r="M1380" s="453">
        <v>45946</v>
      </c>
      <c r="N1380">
        <v>64</v>
      </c>
      <c r="O1380">
        <v>64</v>
      </c>
      <c r="P1380">
        <v>806.4</v>
      </c>
    </row>
    <row r="1381" spans="1:16" x14ac:dyDescent="0.3">
      <c r="A1381">
        <v>63135</v>
      </c>
      <c r="B1381">
        <v>116</v>
      </c>
      <c r="C1381" t="s">
        <v>568</v>
      </c>
      <c r="D1381" s="453">
        <v>45992</v>
      </c>
      <c r="E1381">
        <v>27884</v>
      </c>
      <c r="F1381" t="s">
        <v>3910</v>
      </c>
      <c r="G1381">
        <v>7849</v>
      </c>
      <c r="H1381">
        <v>12.4</v>
      </c>
      <c r="I1381" t="s">
        <v>3892</v>
      </c>
      <c r="J1381" t="s">
        <v>3469</v>
      </c>
      <c r="K1381" t="s">
        <v>3393</v>
      </c>
      <c r="L1381">
        <v>65</v>
      </c>
      <c r="M1381" s="453">
        <v>45989</v>
      </c>
      <c r="N1381">
        <v>65</v>
      </c>
      <c r="O1381">
        <v>65</v>
      </c>
      <c r="P1381">
        <v>806</v>
      </c>
    </row>
    <row r="1382" spans="1:16" x14ac:dyDescent="0.3">
      <c r="A1382">
        <v>63215</v>
      </c>
      <c r="B1382">
        <v>116</v>
      </c>
      <c r="C1382" t="s">
        <v>568</v>
      </c>
      <c r="D1382" s="453">
        <v>45992</v>
      </c>
      <c r="E1382">
        <v>18640</v>
      </c>
      <c r="F1382" t="s">
        <v>3994</v>
      </c>
      <c r="G1382">
        <v>3074</v>
      </c>
      <c r="H1382">
        <v>3</v>
      </c>
      <c r="I1382" t="s">
        <v>3922</v>
      </c>
      <c r="J1382" t="s">
        <v>3497</v>
      </c>
      <c r="K1382" t="s">
        <v>3393</v>
      </c>
      <c r="L1382">
        <v>260.55</v>
      </c>
      <c r="M1382" s="453">
        <v>45988</v>
      </c>
      <c r="N1382">
        <v>306</v>
      </c>
      <c r="O1382">
        <v>0</v>
      </c>
      <c r="P1382">
        <v>781.65</v>
      </c>
    </row>
    <row r="1383" spans="1:16" x14ac:dyDescent="0.3">
      <c r="A1383">
        <v>63199</v>
      </c>
      <c r="B1383">
        <v>116</v>
      </c>
      <c r="C1383" t="s">
        <v>568</v>
      </c>
      <c r="D1383" s="453">
        <v>45992</v>
      </c>
      <c r="E1383">
        <v>23982</v>
      </c>
      <c r="F1383" t="s">
        <v>3977</v>
      </c>
      <c r="G1383">
        <v>1999</v>
      </c>
      <c r="H1383">
        <v>3</v>
      </c>
      <c r="I1383" t="s">
        <v>3978</v>
      </c>
      <c r="J1383" t="s">
        <v>3469</v>
      </c>
      <c r="K1383" t="s">
        <v>3393</v>
      </c>
      <c r="L1383">
        <v>245.39</v>
      </c>
      <c r="M1383" s="453">
        <v>45972</v>
      </c>
      <c r="N1383">
        <v>245.39</v>
      </c>
      <c r="O1383">
        <v>239.5</v>
      </c>
      <c r="P1383">
        <v>736.17</v>
      </c>
    </row>
    <row r="1384" spans="1:16" x14ac:dyDescent="0.3">
      <c r="A1384">
        <v>63127</v>
      </c>
      <c r="B1384">
        <v>116</v>
      </c>
      <c r="C1384" t="s">
        <v>568</v>
      </c>
      <c r="D1384" s="453">
        <v>45992</v>
      </c>
      <c r="E1384">
        <v>20519</v>
      </c>
      <c r="F1384" t="s">
        <v>3902</v>
      </c>
      <c r="G1384">
        <v>2150</v>
      </c>
      <c r="H1384">
        <v>14.5</v>
      </c>
      <c r="I1384" t="s">
        <v>3892</v>
      </c>
      <c r="J1384" t="s">
        <v>3469</v>
      </c>
      <c r="K1384" t="s">
        <v>3393</v>
      </c>
      <c r="L1384">
        <v>49.75</v>
      </c>
      <c r="M1384" s="453">
        <v>45972</v>
      </c>
      <c r="N1384">
        <v>49.75</v>
      </c>
      <c r="O1384">
        <v>49.75</v>
      </c>
      <c r="P1384">
        <v>721.38</v>
      </c>
    </row>
    <row r="1385" spans="1:16" x14ac:dyDescent="0.3">
      <c r="A1385">
        <v>63113</v>
      </c>
      <c r="B1385">
        <v>116</v>
      </c>
      <c r="C1385" t="s">
        <v>568</v>
      </c>
      <c r="D1385" s="453">
        <v>45992</v>
      </c>
      <c r="E1385">
        <v>20621</v>
      </c>
      <c r="F1385" t="s">
        <v>3885</v>
      </c>
      <c r="G1385">
        <v>2117</v>
      </c>
      <c r="H1385">
        <v>26</v>
      </c>
      <c r="I1385" t="s">
        <v>3886</v>
      </c>
      <c r="J1385" t="s">
        <v>3469</v>
      </c>
      <c r="K1385" t="s">
        <v>3393</v>
      </c>
      <c r="L1385">
        <v>0</v>
      </c>
      <c r="M1385" s="453">
        <v>45937</v>
      </c>
      <c r="N1385">
        <v>26</v>
      </c>
      <c r="O1385">
        <v>26</v>
      </c>
      <c r="P1385">
        <v>676</v>
      </c>
    </row>
    <row r="1386" spans="1:16" x14ac:dyDescent="0.3">
      <c r="A1386">
        <v>63125</v>
      </c>
      <c r="B1386">
        <v>116</v>
      </c>
      <c r="C1386" t="s">
        <v>568</v>
      </c>
      <c r="D1386" s="453">
        <v>45992</v>
      </c>
      <c r="E1386">
        <v>18832</v>
      </c>
      <c r="F1386" t="s">
        <v>3900</v>
      </c>
      <c r="G1386">
        <v>2950</v>
      </c>
      <c r="H1386">
        <v>15</v>
      </c>
      <c r="I1386" t="s">
        <v>3892</v>
      </c>
      <c r="J1386" t="s">
        <v>3469</v>
      </c>
      <c r="K1386" t="s">
        <v>3393</v>
      </c>
      <c r="L1386">
        <v>40.56</v>
      </c>
      <c r="M1386" s="453">
        <v>45980</v>
      </c>
      <c r="N1386">
        <v>39.9</v>
      </c>
      <c r="O1386">
        <v>41.9</v>
      </c>
      <c r="P1386">
        <v>608.4</v>
      </c>
    </row>
    <row r="1387" spans="1:16" x14ac:dyDescent="0.3">
      <c r="A1387">
        <v>63121</v>
      </c>
      <c r="B1387">
        <v>116</v>
      </c>
      <c r="C1387" t="s">
        <v>568</v>
      </c>
      <c r="D1387" s="453">
        <v>45992</v>
      </c>
      <c r="E1387">
        <v>24402</v>
      </c>
      <c r="F1387" t="s">
        <v>3896</v>
      </c>
      <c r="G1387">
        <v>2949</v>
      </c>
      <c r="H1387">
        <v>16.7</v>
      </c>
      <c r="I1387" t="s">
        <v>3892</v>
      </c>
      <c r="J1387" t="s">
        <v>3469</v>
      </c>
      <c r="K1387" t="s">
        <v>3393</v>
      </c>
      <c r="L1387">
        <v>36.07</v>
      </c>
      <c r="M1387" s="453">
        <v>45990</v>
      </c>
      <c r="N1387">
        <v>37.200000000000003</v>
      </c>
      <c r="O1387">
        <v>37.200000000000003</v>
      </c>
      <c r="P1387">
        <v>602.37</v>
      </c>
    </row>
    <row r="1388" spans="1:16" x14ac:dyDescent="0.3">
      <c r="A1388">
        <v>63165</v>
      </c>
      <c r="B1388">
        <v>116</v>
      </c>
      <c r="C1388" t="s">
        <v>568</v>
      </c>
      <c r="D1388" s="453">
        <v>45992</v>
      </c>
      <c r="E1388">
        <v>27901</v>
      </c>
      <c r="F1388" t="s">
        <v>3942</v>
      </c>
      <c r="G1388">
        <v>7866</v>
      </c>
      <c r="H1388">
        <v>6</v>
      </c>
      <c r="I1388" t="s">
        <v>3892</v>
      </c>
      <c r="J1388" t="s">
        <v>3469</v>
      </c>
      <c r="K1388" t="s">
        <v>3393</v>
      </c>
      <c r="L1388">
        <v>99</v>
      </c>
      <c r="M1388" s="453">
        <v>45979</v>
      </c>
      <c r="N1388">
        <v>99</v>
      </c>
      <c r="O1388">
        <v>99</v>
      </c>
      <c r="P1388">
        <v>594</v>
      </c>
    </row>
    <row r="1389" spans="1:16" x14ac:dyDescent="0.3">
      <c r="A1389">
        <v>63109</v>
      </c>
      <c r="B1389">
        <v>116</v>
      </c>
      <c r="C1389" t="s">
        <v>568</v>
      </c>
      <c r="D1389" s="453">
        <v>45992</v>
      </c>
      <c r="E1389">
        <v>17957</v>
      </c>
      <c r="F1389" t="s">
        <v>3879</v>
      </c>
      <c r="G1389">
        <v>3622</v>
      </c>
      <c r="H1389">
        <v>36</v>
      </c>
      <c r="I1389" t="s">
        <v>3872</v>
      </c>
      <c r="J1389" t="s">
        <v>3497</v>
      </c>
      <c r="K1389" t="s">
        <v>3393</v>
      </c>
      <c r="L1389">
        <v>15.9</v>
      </c>
      <c r="M1389" s="453">
        <v>45964</v>
      </c>
      <c r="N1389">
        <v>15.9</v>
      </c>
      <c r="O1389">
        <v>15.9</v>
      </c>
      <c r="P1389">
        <v>572.4</v>
      </c>
    </row>
    <row r="1390" spans="1:16" x14ac:dyDescent="0.3">
      <c r="A1390">
        <v>63130</v>
      </c>
      <c r="B1390">
        <v>116</v>
      </c>
      <c r="C1390" t="s">
        <v>568</v>
      </c>
      <c r="D1390" s="453">
        <v>45992</v>
      </c>
      <c r="E1390">
        <v>17710</v>
      </c>
      <c r="F1390" t="s">
        <v>3905</v>
      </c>
      <c r="G1390">
        <v>3824</v>
      </c>
      <c r="H1390">
        <v>14</v>
      </c>
      <c r="I1390" t="s">
        <v>3878</v>
      </c>
      <c r="J1390" t="s">
        <v>3497</v>
      </c>
      <c r="K1390" t="s">
        <v>3393</v>
      </c>
      <c r="L1390">
        <v>38.86</v>
      </c>
      <c r="M1390" s="453">
        <v>45973</v>
      </c>
      <c r="N1390">
        <v>38.86</v>
      </c>
      <c r="O1390">
        <v>37.700000000000003</v>
      </c>
      <c r="P1390">
        <v>544.04</v>
      </c>
    </row>
    <row r="1391" spans="1:16" x14ac:dyDescent="0.3">
      <c r="A1391">
        <v>63223</v>
      </c>
      <c r="B1391">
        <v>116</v>
      </c>
      <c r="C1391" t="s">
        <v>568</v>
      </c>
      <c r="D1391" s="453">
        <v>45992</v>
      </c>
      <c r="E1391">
        <v>24072</v>
      </c>
      <c r="F1391" t="s">
        <v>4002</v>
      </c>
      <c r="G1391">
        <v>2982</v>
      </c>
      <c r="H1391">
        <v>2.5</v>
      </c>
      <c r="I1391" t="s">
        <v>3892</v>
      </c>
      <c r="J1391" t="s">
        <v>3469</v>
      </c>
      <c r="K1391" t="s">
        <v>3393</v>
      </c>
      <c r="L1391">
        <v>199</v>
      </c>
      <c r="M1391" s="453">
        <v>45971</v>
      </c>
      <c r="N1391">
        <v>199</v>
      </c>
      <c r="O1391">
        <v>199</v>
      </c>
      <c r="P1391">
        <v>497.5</v>
      </c>
    </row>
    <row r="1392" spans="1:16" x14ac:dyDescent="0.3">
      <c r="A1392">
        <v>63187</v>
      </c>
      <c r="B1392">
        <v>116</v>
      </c>
      <c r="C1392" t="s">
        <v>568</v>
      </c>
      <c r="D1392" s="453">
        <v>45992</v>
      </c>
      <c r="E1392">
        <v>20752</v>
      </c>
      <c r="F1392" t="s">
        <v>3964</v>
      </c>
      <c r="G1392">
        <v>2088</v>
      </c>
      <c r="H1392">
        <v>4</v>
      </c>
      <c r="I1392" t="s">
        <v>3886</v>
      </c>
      <c r="J1392" t="s">
        <v>3469</v>
      </c>
      <c r="K1392" t="s">
        <v>3393</v>
      </c>
      <c r="L1392">
        <v>111.49</v>
      </c>
      <c r="M1392" s="453">
        <v>45989</v>
      </c>
      <c r="N1392">
        <v>108.9</v>
      </c>
      <c r="O1392">
        <v>108.9</v>
      </c>
      <c r="P1392">
        <v>445.96</v>
      </c>
    </row>
    <row r="1393" spans="1:16" x14ac:dyDescent="0.3">
      <c r="A1393">
        <v>63178</v>
      </c>
      <c r="B1393">
        <v>116</v>
      </c>
      <c r="C1393" t="s">
        <v>568</v>
      </c>
      <c r="D1393" s="453">
        <v>45992</v>
      </c>
      <c r="E1393">
        <v>22734</v>
      </c>
      <c r="F1393" t="s">
        <v>3955</v>
      </c>
      <c r="G1393">
        <v>3024</v>
      </c>
      <c r="H1393">
        <v>5</v>
      </c>
      <c r="I1393" t="s">
        <v>3892</v>
      </c>
      <c r="J1393" t="s">
        <v>3469</v>
      </c>
      <c r="K1393" t="s">
        <v>3393</v>
      </c>
      <c r="L1393">
        <v>88</v>
      </c>
      <c r="M1393" s="453">
        <v>45987</v>
      </c>
      <c r="N1393">
        <v>88</v>
      </c>
      <c r="O1393">
        <v>189.2</v>
      </c>
      <c r="P1393">
        <v>440</v>
      </c>
    </row>
    <row r="1394" spans="1:16" x14ac:dyDescent="0.3">
      <c r="A1394">
        <v>63116</v>
      </c>
      <c r="B1394">
        <v>116</v>
      </c>
      <c r="C1394" t="s">
        <v>568</v>
      </c>
      <c r="D1394" s="453">
        <v>45992</v>
      </c>
      <c r="E1394">
        <v>21030</v>
      </c>
      <c r="F1394" t="s">
        <v>3890</v>
      </c>
      <c r="G1394">
        <v>2001</v>
      </c>
      <c r="H1394">
        <v>23</v>
      </c>
      <c r="I1394" t="s">
        <v>3872</v>
      </c>
      <c r="J1394" t="s">
        <v>3469</v>
      </c>
      <c r="K1394" t="s">
        <v>3393</v>
      </c>
      <c r="L1394">
        <v>19.03</v>
      </c>
      <c r="M1394" s="453">
        <v>45986</v>
      </c>
      <c r="N1394">
        <v>19.3</v>
      </c>
      <c r="O1394">
        <v>19.010000000000002</v>
      </c>
      <c r="P1394">
        <v>437.69</v>
      </c>
    </row>
    <row r="1395" spans="1:16" x14ac:dyDescent="0.3">
      <c r="A1395">
        <v>63138</v>
      </c>
      <c r="B1395">
        <v>116</v>
      </c>
      <c r="C1395" t="s">
        <v>568</v>
      </c>
      <c r="D1395" s="453">
        <v>45992</v>
      </c>
      <c r="E1395">
        <v>27711</v>
      </c>
      <c r="F1395" t="s">
        <v>3913</v>
      </c>
      <c r="G1395">
        <v>7678</v>
      </c>
      <c r="H1395">
        <v>12</v>
      </c>
      <c r="I1395" t="s">
        <v>3872</v>
      </c>
      <c r="J1395" t="s">
        <v>3469</v>
      </c>
      <c r="K1395" t="s">
        <v>3393</v>
      </c>
      <c r="L1395">
        <v>0</v>
      </c>
      <c r="M1395" s="453">
        <v>45936</v>
      </c>
      <c r="N1395">
        <v>34.200000000000003</v>
      </c>
      <c r="O1395">
        <v>34.200000000000003</v>
      </c>
      <c r="P1395">
        <v>410.4</v>
      </c>
    </row>
    <row r="1396" spans="1:16" x14ac:dyDescent="0.3">
      <c r="A1396">
        <v>63217</v>
      </c>
      <c r="B1396">
        <v>116</v>
      </c>
      <c r="C1396" t="s">
        <v>568</v>
      </c>
      <c r="D1396" s="453">
        <v>45992</v>
      </c>
      <c r="E1396">
        <v>16974</v>
      </c>
      <c r="F1396" t="s">
        <v>3996</v>
      </c>
      <c r="G1396">
        <v>3711</v>
      </c>
      <c r="H1396">
        <v>3</v>
      </c>
      <c r="I1396" t="s">
        <v>3881</v>
      </c>
      <c r="J1396" t="s">
        <v>3497</v>
      </c>
      <c r="K1396" t="s">
        <v>3393</v>
      </c>
      <c r="L1396">
        <v>0</v>
      </c>
      <c r="M1396" s="453">
        <v>45943</v>
      </c>
      <c r="N1396">
        <v>135</v>
      </c>
      <c r="O1396">
        <v>135</v>
      </c>
      <c r="P1396">
        <v>405</v>
      </c>
    </row>
    <row r="1397" spans="1:16" x14ac:dyDescent="0.3">
      <c r="A1397">
        <v>63151</v>
      </c>
      <c r="B1397">
        <v>116</v>
      </c>
      <c r="C1397" t="s">
        <v>568</v>
      </c>
      <c r="D1397" s="453">
        <v>45992</v>
      </c>
      <c r="E1397">
        <v>27312</v>
      </c>
      <c r="F1397" t="s">
        <v>3927</v>
      </c>
      <c r="G1397">
        <v>2942</v>
      </c>
      <c r="H1397">
        <v>8</v>
      </c>
      <c r="I1397" t="s">
        <v>3892</v>
      </c>
      <c r="J1397" t="s">
        <v>3469</v>
      </c>
      <c r="K1397" t="s">
        <v>3393</v>
      </c>
      <c r="L1397">
        <v>48.55</v>
      </c>
      <c r="M1397" s="453">
        <v>45987</v>
      </c>
      <c r="N1397">
        <v>48.7</v>
      </c>
      <c r="O1397">
        <v>48.7</v>
      </c>
      <c r="P1397">
        <v>388.4</v>
      </c>
    </row>
    <row r="1398" spans="1:16" x14ac:dyDescent="0.3">
      <c r="A1398">
        <v>63182</v>
      </c>
      <c r="B1398">
        <v>116</v>
      </c>
      <c r="C1398" t="s">
        <v>568</v>
      </c>
      <c r="D1398" s="453">
        <v>45992</v>
      </c>
      <c r="E1398">
        <v>20555</v>
      </c>
      <c r="F1398" t="s">
        <v>3959</v>
      </c>
      <c r="G1398">
        <v>2139</v>
      </c>
      <c r="H1398">
        <v>4.8</v>
      </c>
      <c r="I1398" t="s">
        <v>3892</v>
      </c>
      <c r="J1398" t="s">
        <v>3469</v>
      </c>
      <c r="K1398" t="s">
        <v>3393</v>
      </c>
      <c r="L1398">
        <v>79</v>
      </c>
      <c r="M1398" s="453">
        <v>45989</v>
      </c>
      <c r="N1398">
        <v>79</v>
      </c>
      <c r="O1398">
        <v>79</v>
      </c>
      <c r="P1398">
        <v>379.2</v>
      </c>
    </row>
    <row r="1399" spans="1:16" x14ac:dyDescent="0.3">
      <c r="A1399">
        <v>63104</v>
      </c>
      <c r="B1399">
        <v>116</v>
      </c>
      <c r="C1399" t="s">
        <v>568</v>
      </c>
      <c r="D1399" s="453">
        <v>45992</v>
      </c>
      <c r="E1399">
        <v>25196</v>
      </c>
      <c r="F1399" t="s">
        <v>3873</v>
      </c>
      <c r="G1399">
        <v>2357</v>
      </c>
      <c r="H1399">
        <v>68</v>
      </c>
      <c r="I1399" t="s">
        <v>3872</v>
      </c>
      <c r="J1399" t="s">
        <v>3469</v>
      </c>
      <c r="K1399" t="s">
        <v>3393</v>
      </c>
      <c r="L1399">
        <v>0</v>
      </c>
      <c r="M1399" s="453">
        <v>45936</v>
      </c>
      <c r="N1399">
        <v>5.5</v>
      </c>
      <c r="O1399">
        <v>5.5</v>
      </c>
      <c r="P1399">
        <v>374</v>
      </c>
    </row>
    <row r="1400" spans="1:16" x14ac:dyDescent="0.3">
      <c r="A1400">
        <v>63172</v>
      </c>
      <c r="B1400">
        <v>116</v>
      </c>
      <c r="C1400" t="s">
        <v>568</v>
      </c>
      <c r="D1400" s="453">
        <v>45992</v>
      </c>
      <c r="E1400">
        <v>19297</v>
      </c>
      <c r="F1400" t="s">
        <v>3949</v>
      </c>
      <c r="G1400">
        <v>2775</v>
      </c>
      <c r="H1400">
        <v>5.0999999999999996</v>
      </c>
      <c r="I1400" t="s">
        <v>3892</v>
      </c>
      <c r="J1400" t="s">
        <v>3469</v>
      </c>
      <c r="K1400" t="s">
        <v>3393</v>
      </c>
      <c r="L1400">
        <v>69.77</v>
      </c>
      <c r="M1400" s="453">
        <v>45986</v>
      </c>
      <c r="N1400">
        <v>69.8</v>
      </c>
      <c r="O1400">
        <v>75.849999999999994</v>
      </c>
      <c r="P1400">
        <v>355.83</v>
      </c>
    </row>
    <row r="1401" spans="1:16" x14ac:dyDescent="0.3">
      <c r="A1401">
        <v>63181</v>
      </c>
      <c r="B1401">
        <v>116</v>
      </c>
      <c r="C1401" t="s">
        <v>568</v>
      </c>
      <c r="D1401" s="453">
        <v>45992</v>
      </c>
      <c r="E1401">
        <v>18493</v>
      </c>
      <c r="F1401" t="s">
        <v>3958</v>
      </c>
      <c r="G1401">
        <v>3164</v>
      </c>
      <c r="H1401">
        <v>5</v>
      </c>
      <c r="I1401" t="s">
        <v>3878</v>
      </c>
      <c r="J1401" t="s">
        <v>3497</v>
      </c>
      <c r="K1401" t="s">
        <v>3393</v>
      </c>
      <c r="L1401">
        <v>69.900000000000006</v>
      </c>
      <c r="M1401" s="453">
        <v>45972</v>
      </c>
      <c r="N1401">
        <v>69.900000000000006</v>
      </c>
      <c r="O1401">
        <v>69.900000000000006</v>
      </c>
      <c r="P1401">
        <v>349.5</v>
      </c>
    </row>
    <row r="1402" spans="1:16" x14ac:dyDescent="0.3">
      <c r="A1402">
        <v>63105</v>
      </c>
      <c r="B1402">
        <v>116</v>
      </c>
      <c r="C1402" t="s">
        <v>568</v>
      </c>
      <c r="D1402" s="453">
        <v>45992</v>
      </c>
      <c r="E1402">
        <v>25195</v>
      </c>
      <c r="F1402" t="s">
        <v>3874</v>
      </c>
      <c r="G1402">
        <v>2363</v>
      </c>
      <c r="H1402">
        <v>54</v>
      </c>
      <c r="I1402" t="s">
        <v>3872</v>
      </c>
      <c r="J1402" t="s">
        <v>3469</v>
      </c>
      <c r="K1402" t="s">
        <v>3393</v>
      </c>
      <c r="L1402">
        <v>0</v>
      </c>
      <c r="M1402" s="453">
        <v>45936</v>
      </c>
      <c r="N1402">
        <v>6.3</v>
      </c>
      <c r="O1402">
        <v>6.3</v>
      </c>
      <c r="P1402">
        <v>340.2</v>
      </c>
    </row>
    <row r="1403" spans="1:16" x14ac:dyDescent="0.3">
      <c r="A1403">
        <v>63140</v>
      </c>
      <c r="B1403">
        <v>116</v>
      </c>
      <c r="C1403" t="s">
        <v>568</v>
      </c>
      <c r="D1403" s="453">
        <v>45992</v>
      </c>
      <c r="E1403">
        <v>24388</v>
      </c>
      <c r="F1403" t="s">
        <v>3915</v>
      </c>
      <c r="G1403">
        <v>2945</v>
      </c>
      <c r="H1403">
        <v>11.7</v>
      </c>
      <c r="I1403" t="s">
        <v>3892</v>
      </c>
      <c r="J1403" t="s">
        <v>3469</v>
      </c>
      <c r="K1403" t="s">
        <v>3393</v>
      </c>
      <c r="L1403">
        <v>28.36</v>
      </c>
      <c r="M1403" s="453">
        <v>45990</v>
      </c>
      <c r="N1403">
        <v>29.9</v>
      </c>
      <c r="O1403">
        <v>29.9</v>
      </c>
      <c r="P1403">
        <v>331.81</v>
      </c>
    </row>
    <row r="1404" spans="1:16" x14ac:dyDescent="0.3">
      <c r="A1404">
        <v>63154</v>
      </c>
      <c r="B1404">
        <v>116</v>
      </c>
      <c r="C1404" t="s">
        <v>568</v>
      </c>
      <c r="D1404" s="453">
        <v>45992</v>
      </c>
      <c r="E1404">
        <v>19967</v>
      </c>
      <c r="F1404" t="s">
        <v>3930</v>
      </c>
      <c r="G1404">
        <v>2356</v>
      </c>
      <c r="H1404">
        <v>7</v>
      </c>
      <c r="I1404" t="s">
        <v>3931</v>
      </c>
      <c r="J1404" t="s">
        <v>3469</v>
      </c>
      <c r="K1404" t="s">
        <v>3393</v>
      </c>
      <c r="L1404">
        <v>0</v>
      </c>
      <c r="M1404" s="453">
        <v>45937</v>
      </c>
      <c r="N1404">
        <v>47.19</v>
      </c>
      <c r="O1404">
        <v>49.9</v>
      </c>
      <c r="P1404">
        <v>330.33</v>
      </c>
    </row>
    <row r="1405" spans="1:16" x14ac:dyDescent="0.3">
      <c r="A1405">
        <v>63216</v>
      </c>
      <c r="B1405">
        <v>116</v>
      </c>
      <c r="C1405" t="s">
        <v>568</v>
      </c>
      <c r="D1405" s="453">
        <v>45992</v>
      </c>
      <c r="E1405">
        <v>18179</v>
      </c>
      <c r="F1405" t="s">
        <v>3995</v>
      </c>
      <c r="G1405">
        <v>3443</v>
      </c>
      <c r="H1405">
        <v>3</v>
      </c>
      <c r="I1405" t="s">
        <v>3878</v>
      </c>
      <c r="J1405" t="s">
        <v>3497</v>
      </c>
      <c r="K1405" t="s">
        <v>3393</v>
      </c>
      <c r="L1405">
        <v>109.71</v>
      </c>
      <c r="M1405" s="453">
        <v>45979</v>
      </c>
      <c r="N1405">
        <v>109.71</v>
      </c>
      <c r="O1405">
        <v>108.49</v>
      </c>
      <c r="P1405">
        <v>329.13</v>
      </c>
    </row>
    <row r="1406" spans="1:16" x14ac:dyDescent="0.3">
      <c r="A1406">
        <v>63143</v>
      </c>
      <c r="B1406">
        <v>116</v>
      </c>
      <c r="C1406" t="s">
        <v>568</v>
      </c>
      <c r="D1406" s="453">
        <v>45992</v>
      </c>
      <c r="E1406">
        <v>18475</v>
      </c>
      <c r="F1406" t="s">
        <v>3918</v>
      </c>
      <c r="G1406">
        <v>3181</v>
      </c>
      <c r="H1406">
        <v>10</v>
      </c>
      <c r="I1406" t="s">
        <v>3878</v>
      </c>
      <c r="J1406" t="s">
        <v>3497</v>
      </c>
      <c r="K1406" t="s">
        <v>3393</v>
      </c>
      <c r="L1406">
        <v>32.9</v>
      </c>
      <c r="M1406" s="453">
        <v>45972</v>
      </c>
      <c r="N1406">
        <v>32.9</v>
      </c>
      <c r="O1406">
        <v>32.9</v>
      </c>
      <c r="P1406">
        <v>329</v>
      </c>
    </row>
    <row r="1407" spans="1:16" x14ac:dyDescent="0.3">
      <c r="A1407">
        <v>63141</v>
      </c>
      <c r="B1407">
        <v>116</v>
      </c>
      <c r="C1407" t="s">
        <v>568</v>
      </c>
      <c r="D1407" s="453">
        <v>45992</v>
      </c>
      <c r="E1407">
        <v>18818</v>
      </c>
      <c r="F1407" t="s">
        <v>3916</v>
      </c>
      <c r="G1407">
        <v>2956</v>
      </c>
      <c r="H1407">
        <v>11.2</v>
      </c>
      <c r="I1407" t="s">
        <v>3892</v>
      </c>
      <c r="J1407" t="s">
        <v>3469</v>
      </c>
      <c r="K1407" t="s">
        <v>3393</v>
      </c>
      <c r="L1407">
        <v>28.24</v>
      </c>
      <c r="M1407" s="453">
        <v>45985</v>
      </c>
      <c r="N1407">
        <v>24.5</v>
      </c>
      <c r="O1407">
        <v>24.5</v>
      </c>
      <c r="P1407">
        <v>316.29000000000002</v>
      </c>
    </row>
    <row r="1408" spans="1:16" x14ac:dyDescent="0.3">
      <c r="A1408">
        <v>63149</v>
      </c>
      <c r="B1408">
        <v>116</v>
      </c>
      <c r="C1408" t="s">
        <v>568</v>
      </c>
      <c r="D1408" s="453">
        <v>45992</v>
      </c>
      <c r="E1408">
        <v>18684</v>
      </c>
      <c r="F1408" t="s">
        <v>3925</v>
      </c>
      <c r="G1408">
        <v>3041</v>
      </c>
      <c r="H1408">
        <v>8.4</v>
      </c>
      <c r="I1408" t="s">
        <v>3892</v>
      </c>
      <c r="J1408" t="s">
        <v>3469</v>
      </c>
      <c r="K1408" t="s">
        <v>3393</v>
      </c>
      <c r="L1408">
        <v>36</v>
      </c>
      <c r="M1408" s="453">
        <v>45987</v>
      </c>
      <c r="N1408">
        <v>36</v>
      </c>
      <c r="O1408">
        <v>36</v>
      </c>
      <c r="P1408">
        <v>302.39999999999998</v>
      </c>
    </row>
    <row r="1409" spans="1:16" x14ac:dyDescent="0.3">
      <c r="A1409">
        <v>63134</v>
      </c>
      <c r="B1409">
        <v>116</v>
      </c>
      <c r="C1409" t="s">
        <v>568</v>
      </c>
      <c r="D1409" s="453">
        <v>45992</v>
      </c>
      <c r="E1409">
        <v>19902</v>
      </c>
      <c r="F1409" t="s">
        <v>3909</v>
      </c>
      <c r="G1409">
        <v>2382</v>
      </c>
      <c r="H1409">
        <v>12.5</v>
      </c>
      <c r="I1409" t="s">
        <v>3881</v>
      </c>
      <c r="J1409" t="s">
        <v>3469</v>
      </c>
      <c r="K1409" t="s">
        <v>3393</v>
      </c>
      <c r="L1409">
        <v>23.5</v>
      </c>
      <c r="M1409" s="453">
        <v>45987</v>
      </c>
      <c r="N1409">
        <v>23.5</v>
      </c>
      <c r="O1409">
        <v>23.5</v>
      </c>
      <c r="P1409">
        <v>293.75</v>
      </c>
    </row>
    <row r="1410" spans="1:16" x14ac:dyDescent="0.3">
      <c r="A1410">
        <v>63184</v>
      </c>
      <c r="B1410">
        <v>116</v>
      </c>
      <c r="C1410" t="s">
        <v>568</v>
      </c>
      <c r="D1410" s="453">
        <v>45992</v>
      </c>
      <c r="E1410">
        <v>18948</v>
      </c>
      <c r="F1410" t="s">
        <v>3961</v>
      </c>
      <c r="G1410">
        <v>2927</v>
      </c>
      <c r="H1410">
        <v>4.5</v>
      </c>
      <c r="I1410" t="s">
        <v>3892</v>
      </c>
      <c r="J1410" t="s">
        <v>3469</v>
      </c>
      <c r="K1410" t="s">
        <v>3393</v>
      </c>
      <c r="L1410">
        <v>63.5</v>
      </c>
      <c r="M1410" s="453">
        <v>45987</v>
      </c>
      <c r="N1410">
        <v>63.5</v>
      </c>
      <c r="O1410">
        <v>63.5</v>
      </c>
      <c r="P1410">
        <v>285.75</v>
      </c>
    </row>
    <row r="1411" spans="1:16" x14ac:dyDescent="0.3">
      <c r="A1411">
        <v>63159</v>
      </c>
      <c r="B1411">
        <v>116</v>
      </c>
      <c r="C1411" t="s">
        <v>568</v>
      </c>
      <c r="D1411" s="453">
        <v>45992</v>
      </c>
      <c r="E1411">
        <v>21944</v>
      </c>
      <c r="F1411" t="s">
        <v>3936</v>
      </c>
      <c r="G1411">
        <v>3748</v>
      </c>
      <c r="H1411">
        <v>7</v>
      </c>
      <c r="I1411" t="s">
        <v>3878</v>
      </c>
      <c r="J1411" t="s">
        <v>3497</v>
      </c>
      <c r="K1411" t="s">
        <v>3393</v>
      </c>
      <c r="L1411">
        <v>0</v>
      </c>
      <c r="N1411">
        <v>0</v>
      </c>
      <c r="O1411">
        <v>40.159999999999997</v>
      </c>
      <c r="P1411">
        <v>281.12</v>
      </c>
    </row>
    <row r="1412" spans="1:16" x14ac:dyDescent="0.3">
      <c r="A1412">
        <v>63129</v>
      </c>
      <c r="B1412">
        <v>116</v>
      </c>
      <c r="C1412" t="s">
        <v>568</v>
      </c>
      <c r="D1412" s="453">
        <v>45992</v>
      </c>
      <c r="E1412">
        <v>19984</v>
      </c>
      <c r="F1412" t="s">
        <v>3904</v>
      </c>
      <c r="G1412">
        <v>2351</v>
      </c>
      <c r="H1412">
        <v>14</v>
      </c>
      <c r="I1412" t="s">
        <v>3872</v>
      </c>
      <c r="J1412" t="s">
        <v>3469</v>
      </c>
      <c r="K1412" t="s">
        <v>3393</v>
      </c>
      <c r="L1412">
        <v>19.8</v>
      </c>
      <c r="M1412" s="453">
        <v>45978</v>
      </c>
      <c r="N1412">
        <v>19.8</v>
      </c>
      <c r="O1412">
        <v>19.8</v>
      </c>
      <c r="P1412">
        <v>277.2</v>
      </c>
    </row>
    <row r="1413" spans="1:16" x14ac:dyDescent="0.3">
      <c r="A1413">
        <v>63147</v>
      </c>
      <c r="B1413">
        <v>116</v>
      </c>
      <c r="C1413" t="s">
        <v>568</v>
      </c>
      <c r="D1413" s="453">
        <v>45992</v>
      </c>
      <c r="E1413">
        <v>18172</v>
      </c>
      <c r="F1413" t="s">
        <v>3923</v>
      </c>
      <c r="G1413">
        <v>3450</v>
      </c>
      <c r="H1413">
        <v>9</v>
      </c>
      <c r="I1413" t="s">
        <v>3878</v>
      </c>
      <c r="J1413" t="s">
        <v>3497</v>
      </c>
      <c r="K1413" t="s">
        <v>3393</v>
      </c>
      <c r="L1413">
        <v>30.4</v>
      </c>
      <c r="M1413" s="453">
        <v>45986</v>
      </c>
      <c r="N1413">
        <v>29.9</v>
      </c>
      <c r="O1413">
        <v>29.9</v>
      </c>
      <c r="P1413">
        <v>273.60000000000002</v>
      </c>
    </row>
    <row r="1414" spans="1:16" x14ac:dyDescent="0.3">
      <c r="A1414">
        <v>63171</v>
      </c>
      <c r="B1414">
        <v>116</v>
      </c>
      <c r="C1414" t="s">
        <v>568</v>
      </c>
      <c r="D1414" s="453">
        <v>45992</v>
      </c>
      <c r="E1414">
        <v>19346</v>
      </c>
      <c r="F1414" t="s">
        <v>3948</v>
      </c>
      <c r="G1414">
        <v>2770</v>
      </c>
      <c r="H1414">
        <v>5.2</v>
      </c>
      <c r="I1414" t="s">
        <v>3892</v>
      </c>
      <c r="J1414" t="s">
        <v>3469</v>
      </c>
      <c r="K1414" t="s">
        <v>3393</v>
      </c>
      <c r="L1414">
        <v>51.23</v>
      </c>
      <c r="M1414" s="453">
        <v>45986</v>
      </c>
      <c r="N1414">
        <v>49.9</v>
      </c>
      <c r="O1414">
        <v>49.9</v>
      </c>
      <c r="P1414">
        <v>266.39999999999998</v>
      </c>
    </row>
    <row r="1415" spans="1:16" x14ac:dyDescent="0.3">
      <c r="A1415">
        <v>63188</v>
      </c>
      <c r="B1415">
        <v>116</v>
      </c>
      <c r="C1415" t="s">
        <v>568</v>
      </c>
      <c r="D1415" s="453">
        <v>45992</v>
      </c>
      <c r="E1415">
        <v>20729</v>
      </c>
      <c r="F1415" t="s">
        <v>3965</v>
      </c>
      <c r="G1415">
        <v>2093</v>
      </c>
      <c r="H1415">
        <v>4</v>
      </c>
      <c r="I1415" t="s">
        <v>3966</v>
      </c>
      <c r="J1415" t="s">
        <v>3469</v>
      </c>
      <c r="K1415" t="s">
        <v>3393</v>
      </c>
      <c r="L1415">
        <v>64.099999999999994</v>
      </c>
      <c r="M1415" s="453">
        <v>45989</v>
      </c>
      <c r="N1415">
        <v>64.099999999999994</v>
      </c>
      <c r="O1415">
        <v>64.099999999999994</v>
      </c>
      <c r="P1415">
        <v>256.39999999999998</v>
      </c>
    </row>
    <row r="1416" spans="1:16" x14ac:dyDescent="0.3">
      <c r="A1416">
        <v>63251</v>
      </c>
      <c r="B1416">
        <v>116</v>
      </c>
      <c r="C1416" t="s">
        <v>568</v>
      </c>
      <c r="D1416" s="453">
        <v>45992</v>
      </c>
      <c r="E1416">
        <v>18295</v>
      </c>
      <c r="F1416" t="s">
        <v>4030</v>
      </c>
      <c r="G1416">
        <v>3334</v>
      </c>
      <c r="H1416">
        <v>2</v>
      </c>
      <c r="I1416" t="s">
        <v>3878</v>
      </c>
      <c r="J1416" t="s">
        <v>3497</v>
      </c>
      <c r="K1416" t="s">
        <v>3393</v>
      </c>
      <c r="L1416">
        <v>124.54</v>
      </c>
      <c r="M1416" s="453">
        <v>45986</v>
      </c>
      <c r="N1416">
        <v>124.54</v>
      </c>
      <c r="O1416">
        <v>124.54</v>
      </c>
      <c r="P1416">
        <v>249.08</v>
      </c>
    </row>
    <row r="1417" spans="1:16" x14ac:dyDescent="0.3">
      <c r="A1417">
        <v>63118</v>
      </c>
      <c r="B1417">
        <v>116</v>
      </c>
      <c r="C1417" t="s">
        <v>568</v>
      </c>
      <c r="D1417" s="453">
        <v>45992</v>
      </c>
      <c r="E1417">
        <v>20703</v>
      </c>
      <c r="F1417" t="s">
        <v>3893</v>
      </c>
      <c r="G1417">
        <v>2100</v>
      </c>
      <c r="H1417">
        <v>19</v>
      </c>
      <c r="I1417" t="s">
        <v>3886</v>
      </c>
      <c r="J1417" t="s">
        <v>3469</v>
      </c>
      <c r="K1417" t="s">
        <v>3393</v>
      </c>
      <c r="L1417">
        <v>0</v>
      </c>
      <c r="M1417" s="453">
        <v>45714</v>
      </c>
      <c r="N1417">
        <v>12.8</v>
      </c>
      <c r="O1417">
        <v>13.86</v>
      </c>
      <c r="P1417">
        <v>243.2</v>
      </c>
    </row>
    <row r="1418" spans="1:16" x14ac:dyDescent="0.3">
      <c r="A1418">
        <v>63157</v>
      </c>
      <c r="B1418">
        <v>116</v>
      </c>
      <c r="C1418" t="s">
        <v>568</v>
      </c>
      <c r="D1418" s="453">
        <v>45992</v>
      </c>
      <c r="E1418">
        <v>18491</v>
      </c>
      <c r="F1418" t="s">
        <v>3934</v>
      </c>
      <c r="G1418">
        <v>3166</v>
      </c>
      <c r="H1418">
        <v>7</v>
      </c>
      <c r="I1418" t="s">
        <v>3878</v>
      </c>
      <c r="J1418" t="s">
        <v>3497</v>
      </c>
      <c r="K1418" t="s">
        <v>3393</v>
      </c>
      <c r="L1418">
        <v>0</v>
      </c>
      <c r="M1418" s="453">
        <v>45931</v>
      </c>
      <c r="N1418">
        <v>33.9</v>
      </c>
      <c r="O1418">
        <v>33.9</v>
      </c>
      <c r="P1418">
        <v>237.3</v>
      </c>
    </row>
    <row r="1419" spans="1:16" x14ac:dyDescent="0.3">
      <c r="A1419">
        <v>63168</v>
      </c>
      <c r="B1419">
        <v>116</v>
      </c>
      <c r="C1419" t="s">
        <v>568</v>
      </c>
      <c r="D1419" s="453">
        <v>45992</v>
      </c>
      <c r="E1419">
        <v>18685</v>
      </c>
      <c r="F1419" t="s">
        <v>3945</v>
      </c>
      <c r="G1419">
        <v>3040</v>
      </c>
      <c r="H1419">
        <v>5.9</v>
      </c>
      <c r="I1419" t="s">
        <v>3892</v>
      </c>
      <c r="J1419" t="s">
        <v>3469</v>
      </c>
      <c r="K1419" t="s">
        <v>3393</v>
      </c>
      <c r="L1419">
        <v>39</v>
      </c>
      <c r="M1419" s="453">
        <v>45978</v>
      </c>
      <c r="N1419">
        <v>39</v>
      </c>
      <c r="O1419">
        <v>39</v>
      </c>
      <c r="P1419">
        <v>230.1</v>
      </c>
    </row>
    <row r="1420" spans="1:16" x14ac:dyDescent="0.3">
      <c r="A1420">
        <v>63160</v>
      </c>
      <c r="B1420">
        <v>116</v>
      </c>
      <c r="C1420" t="s">
        <v>568</v>
      </c>
      <c r="D1420" s="453">
        <v>45992</v>
      </c>
      <c r="E1420">
        <v>19324</v>
      </c>
      <c r="F1420" t="s">
        <v>3937</v>
      </c>
      <c r="G1420">
        <v>2773</v>
      </c>
      <c r="H1420">
        <v>6.9</v>
      </c>
      <c r="I1420" t="s">
        <v>3892</v>
      </c>
      <c r="J1420" t="s">
        <v>3469</v>
      </c>
      <c r="K1420" t="s">
        <v>3393</v>
      </c>
      <c r="L1420">
        <v>32.97</v>
      </c>
      <c r="M1420" s="453">
        <v>45986</v>
      </c>
      <c r="N1420">
        <v>32.86</v>
      </c>
      <c r="O1420">
        <v>32.86</v>
      </c>
      <c r="P1420">
        <v>227.49</v>
      </c>
    </row>
    <row r="1421" spans="1:16" x14ac:dyDescent="0.3">
      <c r="A1421">
        <v>63114</v>
      </c>
      <c r="B1421">
        <v>116</v>
      </c>
      <c r="C1421" t="s">
        <v>568</v>
      </c>
      <c r="D1421" s="453">
        <v>45992</v>
      </c>
      <c r="E1421">
        <v>19139</v>
      </c>
      <c r="F1421" t="s">
        <v>3887</v>
      </c>
      <c r="G1421">
        <v>2836</v>
      </c>
      <c r="H1421">
        <v>24</v>
      </c>
      <c r="I1421" t="s">
        <v>3888</v>
      </c>
      <c r="J1421" t="s">
        <v>3469</v>
      </c>
      <c r="K1421" t="s">
        <v>3393</v>
      </c>
      <c r="L1421">
        <v>9.1</v>
      </c>
      <c r="M1421" s="453">
        <v>45987</v>
      </c>
      <c r="N1421">
        <v>9.1</v>
      </c>
      <c r="O1421">
        <v>9.1</v>
      </c>
      <c r="P1421">
        <v>218.4</v>
      </c>
    </row>
    <row r="1422" spans="1:16" x14ac:dyDescent="0.3">
      <c r="A1422">
        <v>63203</v>
      </c>
      <c r="B1422">
        <v>116</v>
      </c>
      <c r="C1422" t="s">
        <v>568</v>
      </c>
      <c r="D1422" s="453">
        <v>45992</v>
      </c>
      <c r="E1422">
        <v>20624</v>
      </c>
      <c r="F1422" t="s">
        <v>3982</v>
      </c>
      <c r="G1422">
        <v>2116</v>
      </c>
      <c r="H1422">
        <v>3</v>
      </c>
      <c r="I1422" t="s">
        <v>3966</v>
      </c>
      <c r="J1422" t="s">
        <v>3469</v>
      </c>
      <c r="K1422" t="s">
        <v>3393</v>
      </c>
      <c r="L1422">
        <v>68.010000000000005</v>
      </c>
      <c r="M1422" s="453">
        <v>45986</v>
      </c>
      <c r="N1422">
        <v>68.2</v>
      </c>
      <c r="O1422">
        <v>68.900000000000006</v>
      </c>
      <c r="P1422">
        <v>204.03</v>
      </c>
    </row>
    <row r="1423" spans="1:16" x14ac:dyDescent="0.3">
      <c r="A1423">
        <v>63161</v>
      </c>
      <c r="B1423">
        <v>116</v>
      </c>
      <c r="C1423" t="s">
        <v>568</v>
      </c>
      <c r="D1423" s="453">
        <v>45992</v>
      </c>
      <c r="E1423">
        <v>20304</v>
      </c>
      <c r="F1423" t="s">
        <v>3938</v>
      </c>
      <c r="G1423">
        <v>2223</v>
      </c>
      <c r="H1423">
        <v>6.5</v>
      </c>
      <c r="I1423" t="s">
        <v>3888</v>
      </c>
      <c r="J1423" t="s">
        <v>3469</v>
      </c>
      <c r="K1423" t="s">
        <v>3393</v>
      </c>
      <c r="L1423">
        <v>31.35</v>
      </c>
      <c r="M1423" s="453">
        <v>45986</v>
      </c>
      <c r="N1423">
        <v>34.630000000000003</v>
      </c>
      <c r="O1423">
        <v>34.47</v>
      </c>
      <c r="P1423">
        <v>203.78</v>
      </c>
    </row>
    <row r="1424" spans="1:16" x14ac:dyDescent="0.3">
      <c r="A1424">
        <v>63247</v>
      </c>
      <c r="B1424">
        <v>116</v>
      </c>
      <c r="C1424" t="s">
        <v>568</v>
      </c>
      <c r="D1424" s="453">
        <v>45992</v>
      </c>
      <c r="E1424">
        <v>18538</v>
      </c>
      <c r="F1424" t="s">
        <v>4026</v>
      </c>
      <c r="G1424">
        <v>3139</v>
      </c>
      <c r="H1424">
        <v>2</v>
      </c>
      <c r="I1424" t="s">
        <v>3878</v>
      </c>
      <c r="J1424" t="s">
        <v>3497</v>
      </c>
      <c r="K1424" t="s">
        <v>3393</v>
      </c>
      <c r="L1424">
        <v>100.4</v>
      </c>
      <c r="M1424" s="453">
        <v>45987</v>
      </c>
      <c r="N1424">
        <v>101</v>
      </c>
      <c r="O1424">
        <v>104.9</v>
      </c>
      <c r="P1424">
        <v>200.8</v>
      </c>
    </row>
    <row r="1425" spans="1:16" x14ac:dyDescent="0.3">
      <c r="A1425">
        <v>63162</v>
      </c>
      <c r="B1425">
        <v>116</v>
      </c>
      <c r="C1425" t="s">
        <v>568</v>
      </c>
      <c r="D1425" s="453">
        <v>45992</v>
      </c>
      <c r="E1425">
        <v>20278</v>
      </c>
      <c r="F1425" t="s">
        <v>3939</v>
      </c>
      <c r="G1425">
        <v>2230</v>
      </c>
      <c r="H1425">
        <v>6</v>
      </c>
      <c r="I1425" t="s">
        <v>3872</v>
      </c>
      <c r="J1425" t="s">
        <v>3469</v>
      </c>
      <c r="K1425" t="s">
        <v>3393</v>
      </c>
      <c r="L1425">
        <v>33.270000000000003</v>
      </c>
      <c r="M1425" s="453">
        <v>45978</v>
      </c>
      <c r="N1425">
        <v>33.270000000000003</v>
      </c>
      <c r="O1425">
        <v>33.270000000000003</v>
      </c>
      <c r="P1425">
        <v>199.62</v>
      </c>
    </row>
    <row r="1426" spans="1:16" x14ac:dyDescent="0.3">
      <c r="A1426">
        <v>63158</v>
      </c>
      <c r="B1426">
        <v>116</v>
      </c>
      <c r="C1426" t="s">
        <v>568</v>
      </c>
      <c r="D1426" s="453">
        <v>45992</v>
      </c>
      <c r="E1426">
        <v>17886</v>
      </c>
      <c r="F1426" t="s">
        <v>3935</v>
      </c>
      <c r="G1426">
        <v>3670</v>
      </c>
      <c r="H1426">
        <v>7</v>
      </c>
      <c r="I1426" t="s">
        <v>3888</v>
      </c>
      <c r="J1426" t="s">
        <v>3497</v>
      </c>
      <c r="K1426" t="s">
        <v>3393</v>
      </c>
      <c r="L1426">
        <v>28.32</v>
      </c>
      <c r="M1426" s="453">
        <v>45986</v>
      </c>
      <c r="N1426">
        <v>28.32</v>
      </c>
      <c r="O1426">
        <v>23.24</v>
      </c>
      <c r="P1426">
        <v>198.24</v>
      </c>
    </row>
    <row r="1427" spans="1:16" x14ac:dyDescent="0.3">
      <c r="A1427">
        <v>63265</v>
      </c>
      <c r="B1427">
        <v>116</v>
      </c>
      <c r="C1427" t="s">
        <v>568</v>
      </c>
      <c r="D1427" s="453">
        <v>45992</v>
      </c>
      <c r="E1427">
        <v>18394</v>
      </c>
      <c r="F1427" t="s">
        <v>4044</v>
      </c>
      <c r="G1427">
        <v>3246</v>
      </c>
      <c r="H1427">
        <v>1.5</v>
      </c>
      <c r="I1427" t="s">
        <v>3878</v>
      </c>
      <c r="J1427" t="s">
        <v>3497</v>
      </c>
      <c r="K1427" t="s">
        <v>3393</v>
      </c>
      <c r="L1427">
        <v>132</v>
      </c>
      <c r="M1427" s="453">
        <v>45978</v>
      </c>
      <c r="N1427">
        <v>132</v>
      </c>
      <c r="O1427">
        <v>132</v>
      </c>
      <c r="P1427">
        <v>198</v>
      </c>
    </row>
    <row r="1428" spans="1:16" x14ac:dyDescent="0.3">
      <c r="A1428">
        <v>63250</v>
      </c>
      <c r="B1428">
        <v>116</v>
      </c>
      <c r="C1428" t="s">
        <v>568</v>
      </c>
      <c r="D1428" s="453">
        <v>45992</v>
      </c>
      <c r="E1428">
        <v>18359</v>
      </c>
      <c r="F1428" t="s">
        <v>4029</v>
      </c>
      <c r="G1428">
        <v>3278</v>
      </c>
      <c r="H1428">
        <v>2</v>
      </c>
      <c r="I1428" t="s">
        <v>3878</v>
      </c>
      <c r="J1428" t="s">
        <v>3497</v>
      </c>
      <c r="K1428" t="s">
        <v>3393</v>
      </c>
      <c r="L1428">
        <v>97</v>
      </c>
      <c r="M1428" s="453">
        <v>45985</v>
      </c>
      <c r="N1428">
        <v>97</v>
      </c>
      <c r="O1428">
        <v>97</v>
      </c>
      <c r="P1428">
        <v>194</v>
      </c>
    </row>
    <row r="1429" spans="1:16" x14ac:dyDescent="0.3">
      <c r="A1429">
        <v>63314</v>
      </c>
      <c r="B1429">
        <v>116</v>
      </c>
      <c r="C1429" t="s">
        <v>568</v>
      </c>
      <c r="D1429" s="453">
        <v>45992</v>
      </c>
      <c r="E1429">
        <v>18119</v>
      </c>
      <c r="F1429" t="s">
        <v>4093</v>
      </c>
      <c r="G1429">
        <v>3494</v>
      </c>
      <c r="H1429">
        <v>1</v>
      </c>
      <c r="I1429" t="s">
        <v>3878</v>
      </c>
      <c r="J1429" t="s">
        <v>3497</v>
      </c>
      <c r="K1429" t="s">
        <v>3393</v>
      </c>
      <c r="L1429">
        <v>177.02</v>
      </c>
      <c r="M1429" s="453">
        <v>45985</v>
      </c>
      <c r="N1429">
        <v>177.02</v>
      </c>
      <c r="O1429">
        <v>177.02</v>
      </c>
      <c r="P1429">
        <v>177.02</v>
      </c>
    </row>
    <row r="1430" spans="1:16" x14ac:dyDescent="0.3">
      <c r="A1430">
        <v>63186</v>
      </c>
      <c r="B1430">
        <v>116</v>
      </c>
      <c r="C1430" t="s">
        <v>568</v>
      </c>
      <c r="D1430" s="453">
        <v>45992</v>
      </c>
      <c r="E1430">
        <v>24116</v>
      </c>
      <c r="F1430" t="s">
        <v>3963</v>
      </c>
      <c r="G1430">
        <v>2924</v>
      </c>
      <c r="H1430">
        <v>4.2</v>
      </c>
      <c r="I1430" t="s">
        <v>3892</v>
      </c>
      <c r="J1430" t="s">
        <v>3469</v>
      </c>
      <c r="K1430" t="s">
        <v>3393</v>
      </c>
      <c r="L1430">
        <v>41.48</v>
      </c>
      <c r="M1430" s="453">
        <v>45973</v>
      </c>
      <c r="N1430">
        <v>44</v>
      </c>
      <c r="O1430">
        <v>41.9</v>
      </c>
      <c r="P1430">
        <v>174.22</v>
      </c>
    </row>
    <row r="1431" spans="1:16" x14ac:dyDescent="0.3">
      <c r="A1431">
        <v>63304</v>
      </c>
      <c r="B1431">
        <v>116</v>
      </c>
      <c r="C1431" t="s">
        <v>568</v>
      </c>
      <c r="D1431" s="453">
        <v>45992</v>
      </c>
      <c r="E1431">
        <v>18550</v>
      </c>
      <c r="F1431" t="s">
        <v>4083</v>
      </c>
      <c r="G1431">
        <v>3130</v>
      </c>
      <c r="H1431">
        <v>1</v>
      </c>
      <c r="I1431" t="s">
        <v>3878</v>
      </c>
      <c r="J1431" t="s">
        <v>3497</v>
      </c>
      <c r="K1431" t="s">
        <v>3393</v>
      </c>
      <c r="L1431">
        <v>0</v>
      </c>
      <c r="N1431">
        <v>0</v>
      </c>
      <c r="O1431">
        <v>162</v>
      </c>
      <c r="P1431">
        <v>165.45</v>
      </c>
    </row>
    <row r="1432" spans="1:16" x14ac:dyDescent="0.3">
      <c r="A1432">
        <v>63206</v>
      </c>
      <c r="B1432">
        <v>116</v>
      </c>
      <c r="C1432" t="s">
        <v>568</v>
      </c>
      <c r="D1432" s="453">
        <v>45992</v>
      </c>
      <c r="E1432">
        <v>19578</v>
      </c>
      <c r="F1432" t="s">
        <v>3985</v>
      </c>
      <c r="G1432">
        <v>2640</v>
      </c>
      <c r="H1432">
        <v>3</v>
      </c>
      <c r="I1432" t="s">
        <v>3892</v>
      </c>
      <c r="J1432" t="s">
        <v>3469</v>
      </c>
      <c r="K1432" t="s">
        <v>3393</v>
      </c>
      <c r="L1432">
        <v>0</v>
      </c>
      <c r="M1432" s="453">
        <v>45936</v>
      </c>
      <c r="N1432">
        <v>55</v>
      </c>
      <c r="O1432">
        <v>0</v>
      </c>
      <c r="P1432">
        <v>165</v>
      </c>
    </row>
    <row r="1433" spans="1:16" x14ac:dyDescent="0.3">
      <c r="A1433">
        <v>63189</v>
      </c>
      <c r="B1433">
        <v>116</v>
      </c>
      <c r="C1433" t="s">
        <v>568</v>
      </c>
      <c r="D1433" s="453">
        <v>45992</v>
      </c>
      <c r="E1433">
        <v>20057</v>
      </c>
      <c r="F1433" t="s">
        <v>3967</v>
      </c>
      <c r="G1433">
        <v>2324</v>
      </c>
      <c r="H1433">
        <v>4</v>
      </c>
      <c r="I1433" t="s">
        <v>3872</v>
      </c>
      <c r="J1433" t="s">
        <v>3469</v>
      </c>
      <c r="K1433" t="s">
        <v>3393</v>
      </c>
      <c r="L1433">
        <v>40.18</v>
      </c>
      <c r="M1433" s="453">
        <v>45989</v>
      </c>
      <c r="N1433">
        <v>40.1</v>
      </c>
      <c r="O1433">
        <v>40.1</v>
      </c>
      <c r="P1433">
        <v>160.72</v>
      </c>
    </row>
    <row r="1434" spans="1:16" x14ac:dyDescent="0.3">
      <c r="A1434">
        <v>63170</v>
      </c>
      <c r="B1434">
        <v>116</v>
      </c>
      <c r="C1434" t="s">
        <v>568</v>
      </c>
      <c r="D1434" s="453">
        <v>45992</v>
      </c>
      <c r="E1434">
        <v>18253</v>
      </c>
      <c r="F1434" t="s">
        <v>3947</v>
      </c>
      <c r="G1434">
        <v>3376</v>
      </c>
      <c r="H1434">
        <v>5.5</v>
      </c>
      <c r="I1434" t="s">
        <v>3878</v>
      </c>
      <c r="J1434" t="s">
        <v>3497</v>
      </c>
      <c r="K1434" t="s">
        <v>3393</v>
      </c>
      <c r="L1434">
        <v>0</v>
      </c>
      <c r="M1434" s="453">
        <v>45918</v>
      </c>
      <c r="N1434">
        <v>28.89</v>
      </c>
      <c r="O1434">
        <v>28.79</v>
      </c>
      <c r="P1434">
        <v>158.9</v>
      </c>
    </row>
    <row r="1435" spans="1:16" x14ac:dyDescent="0.3">
      <c r="A1435">
        <v>63185</v>
      </c>
      <c r="B1435">
        <v>116</v>
      </c>
      <c r="C1435" t="s">
        <v>568</v>
      </c>
      <c r="D1435" s="453">
        <v>45992</v>
      </c>
      <c r="E1435">
        <v>18547</v>
      </c>
      <c r="F1435" t="s">
        <v>3962</v>
      </c>
      <c r="G1435">
        <v>3132</v>
      </c>
      <c r="H1435">
        <v>4.5</v>
      </c>
      <c r="I1435" t="s">
        <v>3878</v>
      </c>
      <c r="J1435" t="s">
        <v>3497</v>
      </c>
      <c r="K1435" t="s">
        <v>3393</v>
      </c>
      <c r="L1435">
        <v>0</v>
      </c>
      <c r="M1435" s="453">
        <v>45770</v>
      </c>
      <c r="N1435">
        <v>34.74</v>
      </c>
      <c r="O1435">
        <v>35.29</v>
      </c>
      <c r="P1435">
        <v>156.33000000000001</v>
      </c>
    </row>
    <row r="1436" spans="1:16" x14ac:dyDescent="0.3">
      <c r="A1436">
        <v>63103</v>
      </c>
      <c r="B1436">
        <v>116</v>
      </c>
      <c r="C1436" t="s">
        <v>568</v>
      </c>
      <c r="D1436" s="453">
        <v>45992</v>
      </c>
      <c r="E1436">
        <v>22108</v>
      </c>
      <c r="F1436" t="s">
        <v>3871</v>
      </c>
      <c r="G1436">
        <v>3609</v>
      </c>
      <c r="H1436">
        <v>109</v>
      </c>
      <c r="I1436" t="s">
        <v>3872</v>
      </c>
      <c r="J1436" t="s">
        <v>3497</v>
      </c>
      <c r="K1436" t="s">
        <v>3393</v>
      </c>
      <c r="L1436">
        <v>0</v>
      </c>
      <c r="M1436" s="453">
        <v>45670</v>
      </c>
      <c r="N1436">
        <v>1.42</v>
      </c>
      <c r="O1436">
        <v>1.85</v>
      </c>
      <c r="P1436">
        <v>155.33000000000001</v>
      </c>
    </row>
    <row r="1437" spans="1:16" x14ac:dyDescent="0.3">
      <c r="A1437">
        <v>63249</v>
      </c>
      <c r="B1437">
        <v>116</v>
      </c>
      <c r="C1437" t="s">
        <v>568</v>
      </c>
      <c r="D1437" s="453">
        <v>45992</v>
      </c>
      <c r="E1437">
        <v>18467</v>
      </c>
      <c r="F1437" t="s">
        <v>4028</v>
      </c>
      <c r="G1437">
        <v>3189</v>
      </c>
      <c r="H1437">
        <v>2</v>
      </c>
      <c r="I1437" t="s">
        <v>3878</v>
      </c>
      <c r="J1437" t="s">
        <v>3497</v>
      </c>
      <c r="K1437" t="s">
        <v>3393</v>
      </c>
      <c r="L1437">
        <v>75.08</v>
      </c>
      <c r="M1437" s="453">
        <v>45972</v>
      </c>
      <c r="N1437">
        <v>75.08</v>
      </c>
      <c r="O1437">
        <v>75.08</v>
      </c>
      <c r="P1437">
        <v>150.16</v>
      </c>
    </row>
    <row r="1438" spans="1:16" x14ac:dyDescent="0.3">
      <c r="A1438">
        <v>63318</v>
      </c>
      <c r="B1438">
        <v>116</v>
      </c>
      <c r="C1438" t="s">
        <v>568</v>
      </c>
      <c r="D1438" s="453">
        <v>45992</v>
      </c>
      <c r="E1438">
        <v>19405</v>
      </c>
      <c r="F1438" t="s">
        <v>4097</v>
      </c>
      <c r="G1438">
        <v>2761</v>
      </c>
      <c r="H1438">
        <v>0.97</v>
      </c>
      <c r="I1438" t="s">
        <v>3892</v>
      </c>
      <c r="J1438" t="s">
        <v>3469</v>
      </c>
      <c r="K1438" t="s">
        <v>3393</v>
      </c>
      <c r="L1438">
        <v>152.9</v>
      </c>
      <c r="M1438" s="453">
        <v>45986</v>
      </c>
      <c r="N1438">
        <v>152.9</v>
      </c>
      <c r="O1438">
        <v>152.9</v>
      </c>
      <c r="P1438">
        <v>148.31</v>
      </c>
    </row>
    <row r="1439" spans="1:16" x14ac:dyDescent="0.3">
      <c r="A1439">
        <v>63119</v>
      </c>
      <c r="B1439">
        <v>116</v>
      </c>
      <c r="C1439" t="s">
        <v>568</v>
      </c>
      <c r="D1439" s="453">
        <v>45992</v>
      </c>
      <c r="E1439">
        <v>23184</v>
      </c>
      <c r="F1439" t="s">
        <v>3894</v>
      </c>
      <c r="G1439">
        <v>2670</v>
      </c>
      <c r="H1439">
        <v>18</v>
      </c>
      <c r="I1439" t="s">
        <v>3892</v>
      </c>
      <c r="J1439" t="s">
        <v>3469</v>
      </c>
      <c r="K1439" t="s">
        <v>3393</v>
      </c>
      <c r="L1439">
        <v>8</v>
      </c>
      <c r="M1439" s="453">
        <v>45988</v>
      </c>
      <c r="N1439">
        <v>7.5</v>
      </c>
      <c r="O1439">
        <v>7.5</v>
      </c>
      <c r="P1439">
        <v>144</v>
      </c>
    </row>
    <row r="1440" spans="1:16" x14ac:dyDescent="0.3">
      <c r="A1440">
        <v>63137</v>
      </c>
      <c r="B1440">
        <v>116</v>
      </c>
      <c r="C1440" t="s">
        <v>568</v>
      </c>
      <c r="D1440" s="453">
        <v>45992</v>
      </c>
      <c r="E1440">
        <v>24351</v>
      </c>
      <c r="F1440" t="s">
        <v>3912</v>
      </c>
      <c r="G1440">
        <v>2287</v>
      </c>
      <c r="H1440">
        <v>12</v>
      </c>
      <c r="I1440" t="s">
        <v>3872</v>
      </c>
      <c r="J1440" t="s">
        <v>3469</v>
      </c>
      <c r="K1440" t="s">
        <v>3393</v>
      </c>
      <c r="L1440">
        <v>12</v>
      </c>
      <c r="M1440" s="453">
        <v>45985</v>
      </c>
      <c r="N1440">
        <v>12</v>
      </c>
      <c r="O1440">
        <v>12</v>
      </c>
      <c r="P1440">
        <v>144</v>
      </c>
    </row>
    <row r="1441" spans="1:16" x14ac:dyDescent="0.3">
      <c r="A1441">
        <v>63150</v>
      </c>
      <c r="B1441">
        <v>116</v>
      </c>
      <c r="C1441" t="s">
        <v>568</v>
      </c>
      <c r="D1441" s="453">
        <v>45992</v>
      </c>
      <c r="E1441">
        <v>25720</v>
      </c>
      <c r="F1441" t="s">
        <v>3926</v>
      </c>
      <c r="G1441">
        <v>2197</v>
      </c>
      <c r="H1441">
        <v>8</v>
      </c>
      <c r="I1441" t="s">
        <v>3892</v>
      </c>
      <c r="J1441" t="s">
        <v>3469</v>
      </c>
      <c r="K1441" t="s">
        <v>3393</v>
      </c>
      <c r="L1441">
        <v>0</v>
      </c>
      <c r="N1441">
        <v>0</v>
      </c>
      <c r="O1441">
        <v>0</v>
      </c>
      <c r="P1441">
        <v>135.19999999999999</v>
      </c>
    </row>
    <row r="1442" spans="1:16" x14ac:dyDescent="0.3">
      <c r="A1442">
        <v>63268</v>
      </c>
      <c r="B1442">
        <v>116</v>
      </c>
      <c r="C1442" t="s">
        <v>568</v>
      </c>
      <c r="D1442" s="453">
        <v>45992</v>
      </c>
      <c r="E1442">
        <v>18111</v>
      </c>
      <c r="F1442" t="s">
        <v>4047</v>
      </c>
      <c r="G1442">
        <v>3500</v>
      </c>
      <c r="H1442">
        <v>1.5</v>
      </c>
      <c r="I1442" t="s">
        <v>3878</v>
      </c>
      <c r="J1442" t="s">
        <v>3497</v>
      </c>
      <c r="K1442" t="s">
        <v>3393</v>
      </c>
      <c r="L1442">
        <v>89.98</v>
      </c>
      <c r="M1442" s="453">
        <v>45971</v>
      </c>
      <c r="N1442">
        <v>89.98</v>
      </c>
      <c r="O1442">
        <v>88.91</v>
      </c>
      <c r="P1442">
        <v>134.97</v>
      </c>
    </row>
    <row r="1443" spans="1:16" x14ac:dyDescent="0.3">
      <c r="A1443">
        <v>63283</v>
      </c>
      <c r="B1443">
        <v>116</v>
      </c>
      <c r="C1443" t="s">
        <v>568</v>
      </c>
      <c r="D1443" s="453">
        <v>45992</v>
      </c>
      <c r="E1443">
        <v>20976</v>
      </c>
      <c r="F1443" t="s">
        <v>4062</v>
      </c>
      <c r="G1443">
        <v>2011</v>
      </c>
      <c r="H1443">
        <v>1</v>
      </c>
      <c r="I1443" t="s">
        <v>3884</v>
      </c>
      <c r="J1443" t="s">
        <v>3469</v>
      </c>
      <c r="K1443" t="s">
        <v>3393</v>
      </c>
      <c r="L1443">
        <v>133.19999999999999</v>
      </c>
      <c r="M1443" s="453">
        <v>45986</v>
      </c>
      <c r="N1443">
        <v>0</v>
      </c>
      <c r="O1443">
        <v>0</v>
      </c>
      <c r="P1443">
        <v>133.19999999999999</v>
      </c>
    </row>
    <row r="1444" spans="1:16" x14ac:dyDescent="0.3">
      <c r="A1444">
        <v>63207</v>
      </c>
      <c r="B1444">
        <v>116</v>
      </c>
      <c r="C1444" t="s">
        <v>568</v>
      </c>
      <c r="D1444" s="453">
        <v>45992</v>
      </c>
      <c r="E1444">
        <v>19566</v>
      </c>
      <c r="F1444" t="s">
        <v>3986</v>
      </c>
      <c r="G1444">
        <v>2651</v>
      </c>
      <c r="H1444">
        <v>3</v>
      </c>
      <c r="I1444" t="s">
        <v>3892</v>
      </c>
      <c r="J1444" t="s">
        <v>3469</v>
      </c>
      <c r="K1444" t="s">
        <v>3393</v>
      </c>
      <c r="L1444">
        <v>0</v>
      </c>
      <c r="M1444" s="453">
        <v>45936</v>
      </c>
      <c r="N1444">
        <v>43.75</v>
      </c>
      <c r="O1444">
        <v>50</v>
      </c>
      <c r="P1444">
        <v>131.25</v>
      </c>
    </row>
    <row r="1445" spans="1:16" x14ac:dyDescent="0.3">
      <c r="A1445">
        <v>63208</v>
      </c>
      <c r="B1445">
        <v>116</v>
      </c>
      <c r="C1445" t="s">
        <v>568</v>
      </c>
      <c r="D1445" s="453">
        <v>45992</v>
      </c>
      <c r="E1445">
        <v>19565</v>
      </c>
      <c r="F1445" t="s">
        <v>3987</v>
      </c>
      <c r="G1445">
        <v>2652</v>
      </c>
      <c r="H1445">
        <v>3</v>
      </c>
      <c r="I1445" t="s">
        <v>3892</v>
      </c>
      <c r="J1445" t="s">
        <v>3469</v>
      </c>
      <c r="K1445" t="s">
        <v>3393</v>
      </c>
      <c r="L1445">
        <v>0</v>
      </c>
      <c r="M1445" s="453">
        <v>45936</v>
      </c>
      <c r="N1445">
        <v>43.75</v>
      </c>
      <c r="O1445">
        <v>38</v>
      </c>
      <c r="P1445">
        <v>131.25</v>
      </c>
    </row>
    <row r="1446" spans="1:16" x14ac:dyDescent="0.3">
      <c r="A1446">
        <v>63273</v>
      </c>
      <c r="B1446">
        <v>116</v>
      </c>
      <c r="C1446" t="s">
        <v>568</v>
      </c>
      <c r="D1446" s="453">
        <v>45992</v>
      </c>
      <c r="E1446">
        <v>20755</v>
      </c>
      <c r="F1446" t="s">
        <v>4052</v>
      </c>
      <c r="G1446">
        <v>2087</v>
      </c>
      <c r="H1446">
        <v>1</v>
      </c>
      <c r="I1446" t="s">
        <v>3966</v>
      </c>
      <c r="J1446" t="s">
        <v>3469</v>
      </c>
      <c r="K1446" t="s">
        <v>3393</v>
      </c>
      <c r="L1446">
        <v>0</v>
      </c>
      <c r="M1446" s="453">
        <v>45958</v>
      </c>
      <c r="N1446">
        <v>130</v>
      </c>
      <c r="O1446">
        <v>115</v>
      </c>
      <c r="P1446">
        <v>130</v>
      </c>
    </row>
    <row r="1447" spans="1:16" x14ac:dyDescent="0.3">
      <c r="A1447">
        <v>63313</v>
      </c>
      <c r="B1447">
        <v>116</v>
      </c>
      <c r="C1447" t="s">
        <v>568</v>
      </c>
      <c r="D1447" s="453">
        <v>45992</v>
      </c>
      <c r="E1447">
        <v>18129</v>
      </c>
      <c r="F1447" t="s">
        <v>4092</v>
      </c>
      <c r="G1447">
        <v>3486</v>
      </c>
      <c r="H1447">
        <v>1</v>
      </c>
      <c r="I1447" t="s">
        <v>3878</v>
      </c>
      <c r="J1447" t="s">
        <v>3497</v>
      </c>
      <c r="K1447" t="s">
        <v>3393</v>
      </c>
      <c r="L1447">
        <v>0</v>
      </c>
      <c r="M1447" s="453">
        <v>45840</v>
      </c>
      <c r="N1447">
        <v>128.80000000000001</v>
      </c>
      <c r="O1447">
        <v>116.99</v>
      </c>
      <c r="P1447">
        <v>128.80000000000001</v>
      </c>
    </row>
    <row r="1448" spans="1:16" x14ac:dyDescent="0.3">
      <c r="A1448">
        <v>63279</v>
      </c>
      <c r="B1448">
        <v>116</v>
      </c>
      <c r="C1448" t="s">
        <v>568</v>
      </c>
      <c r="D1448" s="453">
        <v>45992</v>
      </c>
      <c r="E1448">
        <v>23897</v>
      </c>
      <c r="F1448" t="s">
        <v>4058</v>
      </c>
      <c r="G1448">
        <v>2003</v>
      </c>
      <c r="H1448">
        <v>1</v>
      </c>
      <c r="I1448" t="s">
        <v>3872</v>
      </c>
      <c r="J1448" t="s">
        <v>3469</v>
      </c>
      <c r="K1448" t="s">
        <v>3393</v>
      </c>
      <c r="L1448">
        <v>126.5</v>
      </c>
      <c r="M1448" s="453">
        <v>45986</v>
      </c>
      <c r="N1448">
        <v>0</v>
      </c>
      <c r="O1448">
        <v>176.56</v>
      </c>
      <c r="P1448">
        <v>126.5</v>
      </c>
    </row>
    <row r="1449" spans="1:16" x14ac:dyDescent="0.3">
      <c r="A1449">
        <v>63180</v>
      </c>
      <c r="B1449">
        <v>116</v>
      </c>
      <c r="C1449" t="s">
        <v>568</v>
      </c>
      <c r="D1449" s="453">
        <v>45992</v>
      </c>
      <c r="E1449">
        <v>18933</v>
      </c>
      <c r="F1449" t="s">
        <v>3957</v>
      </c>
      <c r="G1449">
        <v>2930</v>
      </c>
      <c r="H1449">
        <v>5</v>
      </c>
      <c r="I1449" t="s">
        <v>3892</v>
      </c>
      <c r="J1449" t="s">
        <v>3469</v>
      </c>
      <c r="K1449" t="s">
        <v>3393</v>
      </c>
      <c r="L1449">
        <v>24.59</v>
      </c>
      <c r="M1449" s="453">
        <v>45985</v>
      </c>
      <c r="N1449">
        <v>24.59</v>
      </c>
      <c r="O1449">
        <v>26.9</v>
      </c>
      <c r="P1449">
        <v>122.95</v>
      </c>
    </row>
    <row r="1450" spans="1:16" x14ac:dyDescent="0.3">
      <c r="A1450">
        <v>63309</v>
      </c>
      <c r="B1450">
        <v>116</v>
      </c>
      <c r="C1450" t="s">
        <v>568</v>
      </c>
      <c r="D1450" s="453">
        <v>45992</v>
      </c>
      <c r="E1450">
        <v>18315</v>
      </c>
      <c r="F1450" t="s">
        <v>4088</v>
      </c>
      <c r="G1450">
        <v>3318</v>
      </c>
      <c r="H1450">
        <v>1</v>
      </c>
      <c r="I1450" t="s">
        <v>3878</v>
      </c>
      <c r="J1450" t="s">
        <v>3497</v>
      </c>
      <c r="K1450" t="s">
        <v>3393</v>
      </c>
      <c r="L1450">
        <v>116.3</v>
      </c>
      <c r="M1450" s="453">
        <v>45962</v>
      </c>
      <c r="N1450">
        <v>116.3</v>
      </c>
      <c r="O1450">
        <v>121</v>
      </c>
      <c r="P1450">
        <v>116.3</v>
      </c>
    </row>
    <row r="1451" spans="1:16" x14ac:dyDescent="0.3">
      <c r="A1451">
        <v>63197</v>
      </c>
      <c r="B1451">
        <v>116</v>
      </c>
      <c r="C1451" t="s">
        <v>568</v>
      </c>
      <c r="D1451" s="453">
        <v>45992</v>
      </c>
      <c r="E1451">
        <v>22712</v>
      </c>
      <c r="F1451" t="s">
        <v>3975</v>
      </c>
      <c r="G1451">
        <v>3039</v>
      </c>
      <c r="H1451">
        <v>3.5</v>
      </c>
      <c r="I1451" t="s">
        <v>3892</v>
      </c>
      <c r="J1451" t="s">
        <v>3469</v>
      </c>
      <c r="K1451" t="s">
        <v>3393</v>
      </c>
      <c r="L1451">
        <v>0</v>
      </c>
      <c r="M1451" s="453">
        <v>45937</v>
      </c>
      <c r="N1451">
        <v>32.9</v>
      </c>
      <c r="O1451">
        <v>32.9</v>
      </c>
      <c r="P1451">
        <v>115.15</v>
      </c>
    </row>
    <row r="1452" spans="1:16" x14ac:dyDescent="0.3">
      <c r="A1452">
        <v>63193</v>
      </c>
      <c r="B1452">
        <v>116</v>
      </c>
      <c r="C1452" t="s">
        <v>568</v>
      </c>
      <c r="D1452" s="453">
        <v>45992</v>
      </c>
      <c r="E1452">
        <v>17903</v>
      </c>
      <c r="F1452" t="s">
        <v>3971</v>
      </c>
      <c r="G1452">
        <v>3658</v>
      </c>
      <c r="H1452">
        <v>4</v>
      </c>
      <c r="I1452" t="s">
        <v>3888</v>
      </c>
      <c r="J1452" t="s">
        <v>3497</v>
      </c>
      <c r="K1452" t="s">
        <v>3393</v>
      </c>
      <c r="L1452">
        <v>28.59</v>
      </c>
      <c r="M1452" s="453">
        <v>45986</v>
      </c>
      <c r="N1452">
        <v>29.64</v>
      </c>
      <c r="O1452">
        <v>29.64</v>
      </c>
      <c r="P1452">
        <v>114.36</v>
      </c>
    </row>
    <row r="1453" spans="1:16" x14ac:dyDescent="0.3">
      <c r="A1453">
        <v>63220</v>
      </c>
      <c r="B1453">
        <v>116</v>
      </c>
      <c r="C1453" t="s">
        <v>568</v>
      </c>
      <c r="D1453" s="453">
        <v>45992</v>
      </c>
      <c r="E1453">
        <v>20457</v>
      </c>
      <c r="F1453" t="s">
        <v>3999</v>
      </c>
      <c r="G1453">
        <v>2165</v>
      </c>
      <c r="H1453">
        <v>2.9</v>
      </c>
      <c r="I1453" t="s">
        <v>3892</v>
      </c>
      <c r="J1453" t="s">
        <v>3469</v>
      </c>
      <c r="K1453" t="s">
        <v>3393</v>
      </c>
      <c r="L1453">
        <v>39</v>
      </c>
      <c r="M1453" s="453">
        <v>45987</v>
      </c>
      <c r="N1453">
        <v>39</v>
      </c>
      <c r="O1453">
        <v>39</v>
      </c>
      <c r="P1453">
        <v>113.1</v>
      </c>
    </row>
    <row r="1454" spans="1:16" x14ac:dyDescent="0.3">
      <c r="A1454">
        <v>63241</v>
      </c>
      <c r="B1454">
        <v>116</v>
      </c>
      <c r="C1454" t="s">
        <v>568</v>
      </c>
      <c r="D1454" s="453">
        <v>45992</v>
      </c>
      <c r="E1454">
        <v>19579</v>
      </c>
      <c r="F1454" t="s">
        <v>4020</v>
      </c>
      <c r="G1454">
        <v>2640</v>
      </c>
      <c r="H1454">
        <v>2</v>
      </c>
      <c r="I1454" t="s">
        <v>3892</v>
      </c>
      <c r="J1454" t="s">
        <v>3469</v>
      </c>
      <c r="K1454" t="s">
        <v>3393</v>
      </c>
      <c r="L1454">
        <v>0</v>
      </c>
      <c r="M1454" s="453">
        <v>45936</v>
      </c>
      <c r="N1454">
        <v>55</v>
      </c>
      <c r="O1454">
        <v>0</v>
      </c>
      <c r="P1454">
        <v>110</v>
      </c>
    </row>
    <row r="1455" spans="1:16" x14ac:dyDescent="0.3">
      <c r="A1455">
        <v>63221</v>
      </c>
      <c r="B1455">
        <v>116</v>
      </c>
      <c r="C1455" t="s">
        <v>568</v>
      </c>
      <c r="D1455" s="453">
        <v>45992</v>
      </c>
      <c r="E1455">
        <v>20456</v>
      </c>
      <c r="F1455" t="s">
        <v>4000</v>
      </c>
      <c r="G1455">
        <v>2166</v>
      </c>
      <c r="H1455">
        <v>2.8</v>
      </c>
      <c r="I1455" t="s">
        <v>3892</v>
      </c>
      <c r="J1455" t="s">
        <v>3469</v>
      </c>
      <c r="K1455" t="s">
        <v>3393</v>
      </c>
      <c r="L1455">
        <v>39</v>
      </c>
      <c r="M1455" s="453">
        <v>45978</v>
      </c>
      <c r="N1455">
        <v>39</v>
      </c>
      <c r="O1455">
        <v>39</v>
      </c>
      <c r="P1455">
        <v>109.2</v>
      </c>
    </row>
    <row r="1456" spans="1:16" x14ac:dyDescent="0.3">
      <c r="A1456">
        <v>63183</v>
      </c>
      <c r="B1456">
        <v>116</v>
      </c>
      <c r="C1456" t="s">
        <v>568</v>
      </c>
      <c r="D1456" s="453">
        <v>45992</v>
      </c>
      <c r="E1456">
        <v>24331</v>
      </c>
      <c r="F1456" t="s">
        <v>3960</v>
      </c>
      <c r="G1456">
        <v>2146</v>
      </c>
      <c r="H1456">
        <v>4.8</v>
      </c>
      <c r="I1456" t="s">
        <v>3892</v>
      </c>
      <c r="J1456" t="s">
        <v>3469</v>
      </c>
      <c r="K1456" t="s">
        <v>3393</v>
      </c>
      <c r="L1456">
        <v>22.7</v>
      </c>
      <c r="M1456" s="453">
        <v>45986</v>
      </c>
      <c r="N1456">
        <v>21.82</v>
      </c>
      <c r="O1456">
        <v>21.82</v>
      </c>
      <c r="P1456">
        <v>108.96</v>
      </c>
    </row>
    <row r="1457" spans="1:16" x14ac:dyDescent="0.3">
      <c r="A1457">
        <v>63106</v>
      </c>
      <c r="B1457">
        <v>116</v>
      </c>
      <c r="C1457" t="s">
        <v>568</v>
      </c>
      <c r="D1457" s="453">
        <v>45992</v>
      </c>
      <c r="E1457">
        <v>24029</v>
      </c>
      <c r="F1457" t="s">
        <v>3875</v>
      </c>
      <c r="G1457">
        <v>3591</v>
      </c>
      <c r="H1457">
        <v>54</v>
      </c>
      <c r="I1457" t="s">
        <v>3872</v>
      </c>
      <c r="J1457" t="s">
        <v>3497</v>
      </c>
      <c r="K1457" t="s">
        <v>3393</v>
      </c>
      <c r="L1457">
        <v>0</v>
      </c>
      <c r="M1457" s="453">
        <v>45537</v>
      </c>
      <c r="N1457">
        <v>1.99</v>
      </c>
      <c r="O1457">
        <v>2.19</v>
      </c>
      <c r="P1457">
        <v>107.46</v>
      </c>
    </row>
    <row r="1458" spans="1:16" x14ac:dyDescent="0.3">
      <c r="A1458">
        <v>63310</v>
      </c>
      <c r="B1458">
        <v>116</v>
      </c>
      <c r="C1458" t="s">
        <v>568</v>
      </c>
      <c r="D1458" s="453">
        <v>45992</v>
      </c>
      <c r="E1458">
        <v>18312</v>
      </c>
      <c r="F1458" t="s">
        <v>4089</v>
      </c>
      <c r="G1458">
        <v>3321</v>
      </c>
      <c r="H1458">
        <v>1</v>
      </c>
      <c r="I1458" t="s">
        <v>3878</v>
      </c>
      <c r="J1458" t="s">
        <v>3497</v>
      </c>
      <c r="K1458" t="s">
        <v>3393</v>
      </c>
      <c r="L1458">
        <v>0</v>
      </c>
      <c r="M1458" s="453">
        <v>45793</v>
      </c>
      <c r="N1458">
        <v>105.9</v>
      </c>
      <c r="O1458">
        <v>86.81</v>
      </c>
      <c r="P1458">
        <v>105.9</v>
      </c>
    </row>
    <row r="1459" spans="1:16" x14ac:dyDescent="0.3">
      <c r="A1459">
        <v>63308</v>
      </c>
      <c r="B1459">
        <v>116</v>
      </c>
      <c r="C1459" t="s">
        <v>568</v>
      </c>
      <c r="D1459" s="453">
        <v>45992</v>
      </c>
      <c r="E1459">
        <v>18327</v>
      </c>
      <c r="F1459" t="s">
        <v>4087</v>
      </c>
      <c r="G1459">
        <v>3306</v>
      </c>
      <c r="H1459">
        <v>1</v>
      </c>
      <c r="I1459" t="s">
        <v>3878</v>
      </c>
      <c r="J1459" t="s">
        <v>3497</v>
      </c>
      <c r="K1459" t="s">
        <v>3393</v>
      </c>
      <c r="L1459">
        <v>105.36</v>
      </c>
      <c r="M1459" s="453">
        <v>45967</v>
      </c>
      <c r="N1459">
        <v>105.36</v>
      </c>
      <c r="O1459">
        <v>107.93</v>
      </c>
      <c r="P1459">
        <v>105.36</v>
      </c>
    </row>
    <row r="1460" spans="1:16" x14ac:dyDescent="0.3">
      <c r="A1460">
        <v>63177</v>
      </c>
      <c r="B1460">
        <v>116</v>
      </c>
      <c r="C1460" t="s">
        <v>568</v>
      </c>
      <c r="D1460" s="453">
        <v>45992</v>
      </c>
      <c r="E1460">
        <v>20500</v>
      </c>
      <c r="F1460" t="s">
        <v>3954</v>
      </c>
      <c r="G1460">
        <v>2154</v>
      </c>
      <c r="H1460">
        <v>5</v>
      </c>
      <c r="I1460" t="s">
        <v>3872</v>
      </c>
      <c r="J1460" t="s">
        <v>3469</v>
      </c>
      <c r="K1460" t="s">
        <v>3393</v>
      </c>
      <c r="L1460">
        <v>0</v>
      </c>
      <c r="M1460" s="453">
        <v>45917</v>
      </c>
      <c r="N1460">
        <v>20.8</v>
      </c>
      <c r="O1460">
        <v>21.9</v>
      </c>
      <c r="P1460">
        <v>104</v>
      </c>
    </row>
    <row r="1461" spans="1:16" x14ac:dyDescent="0.3">
      <c r="A1461">
        <v>63312</v>
      </c>
      <c r="B1461">
        <v>116</v>
      </c>
      <c r="C1461" t="s">
        <v>568</v>
      </c>
      <c r="D1461" s="453">
        <v>45992</v>
      </c>
      <c r="E1461">
        <v>18232</v>
      </c>
      <c r="F1461" t="s">
        <v>4091</v>
      </c>
      <c r="G1461">
        <v>3396</v>
      </c>
      <c r="H1461">
        <v>1</v>
      </c>
      <c r="I1461" t="s">
        <v>3878</v>
      </c>
      <c r="J1461" t="s">
        <v>3497</v>
      </c>
      <c r="K1461" t="s">
        <v>3393</v>
      </c>
      <c r="L1461">
        <v>0</v>
      </c>
      <c r="M1461" s="453">
        <v>45845</v>
      </c>
      <c r="N1461">
        <v>103.99</v>
      </c>
      <c r="O1461">
        <v>101.7</v>
      </c>
      <c r="P1461">
        <v>103.99</v>
      </c>
    </row>
    <row r="1462" spans="1:16" x14ac:dyDescent="0.3">
      <c r="A1462">
        <v>63311</v>
      </c>
      <c r="B1462">
        <v>116</v>
      </c>
      <c r="C1462" t="s">
        <v>568</v>
      </c>
      <c r="D1462" s="453">
        <v>45992</v>
      </c>
      <c r="E1462">
        <v>18233</v>
      </c>
      <c r="F1462" t="s">
        <v>4090</v>
      </c>
      <c r="G1462">
        <v>3395</v>
      </c>
      <c r="H1462">
        <v>1</v>
      </c>
      <c r="I1462" t="s">
        <v>3878</v>
      </c>
      <c r="J1462" t="s">
        <v>3497</v>
      </c>
      <c r="K1462" t="s">
        <v>3393</v>
      </c>
      <c r="L1462">
        <v>0</v>
      </c>
      <c r="M1462" s="453">
        <v>45909</v>
      </c>
      <c r="N1462">
        <v>101.7</v>
      </c>
      <c r="O1462">
        <v>96</v>
      </c>
      <c r="P1462">
        <v>101.7</v>
      </c>
    </row>
    <row r="1463" spans="1:16" x14ac:dyDescent="0.3">
      <c r="A1463">
        <v>63227</v>
      </c>
      <c r="B1463">
        <v>116</v>
      </c>
      <c r="C1463" t="s">
        <v>568</v>
      </c>
      <c r="D1463" s="453">
        <v>45992</v>
      </c>
      <c r="E1463">
        <v>20702</v>
      </c>
      <c r="F1463" t="s">
        <v>4006</v>
      </c>
      <c r="G1463">
        <v>2101</v>
      </c>
      <c r="H1463">
        <v>2</v>
      </c>
      <c r="I1463" t="s">
        <v>3966</v>
      </c>
      <c r="J1463" t="s">
        <v>3469</v>
      </c>
      <c r="K1463" t="s">
        <v>3393</v>
      </c>
      <c r="L1463">
        <v>49.9</v>
      </c>
      <c r="M1463" s="453">
        <v>45979</v>
      </c>
      <c r="N1463">
        <v>49.9</v>
      </c>
      <c r="O1463">
        <v>42.9</v>
      </c>
      <c r="P1463">
        <v>99.8</v>
      </c>
    </row>
    <row r="1464" spans="1:16" x14ac:dyDescent="0.3">
      <c r="A1464">
        <v>63230</v>
      </c>
      <c r="B1464">
        <v>116</v>
      </c>
      <c r="C1464" t="s">
        <v>568</v>
      </c>
      <c r="D1464" s="453">
        <v>45992</v>
      </c>
      <c r="E1464">
        <v>20007</v>
      </c>
      <c r="F1464" t="s">
        <v>4009</v>
      </c>
      <c r="G1464">
        <v>2343</v>
      </c>
      <c r="H1464">
        <v>2</v>
      </c>
      <c r="I1464" t="s">
        <v>3966</v>
      </c>
      <c r="J1464" t="s">
        <v>3469</v>
      </c>
      <c r="K1464" t="s">
        <v>3393</v>
      </c>
      <c r="L1464">
        <v>48.64</v>
      </c>
      <c r="M1464" s="453">
        <v>45986</v>
      </c>
      <c r="N1464">
        <v>47.9</v>
      </c>
      <c r="O1464">
        <v>47.8</v>
      </c>
      <c r="P1464">
        <v>97.28</v>
      </c>
    </row>
    <row r="1465" spans="1:16" x14ac:dyDescent="0.3">
      <c r="A1465">
        <v>63196</v>
      </c>
      <c r="B1465">
        <v>116</v>
      </c>
      <c r="C1465" t="s">
        <v>568</v>
      </c>
      <c r="D1465" s="453">
        <v>45992</v>
      </c>
      <c r="E1465">
        <v>19287</v>
      </c>
      <c r="F1465" t="s">
        <v>3974</v>
      </c>
      <c r="G1465">
        <v>2778</v>
      </c>
      <c r="H1465">
        <v>3.75</v>
      </c>
      <c r="I1465" t="s">
        <v>3892</v>
      </c>
      <c r="J1465" t="s">
        <v>3469</v>
      </c>
      <c r="K1465" t="s">
        <v>3393</v>
      </c>
      <c r="L1465">
        <v>25.87</v>
      </c>
      <c r="M1465" s="453">
        <v>45986</v>
      </c>
      <c r="N1465">
        <v>37.5</v>
      </c>
      <c r="O1465">
        <v>37.5</v>
      </c>
      <c r="P1465">
        <v>97.01</v>
      </c>
    </row>
    <row r="1466" spans="1:16" x14ac:dyDescent="0.3">
      <c r="A1466">
        <v>63218</v>
      </c>
      <c r="B1466">
        <v>116</v>
      </c>
      <c r="C1466" t="s">
        <v>568</v>
      </c>
      <c r="D1466" s="453">
        <v>45992</v>
      </c>
      <c r="E1466">
        <v>17914</v>
      </c>
      <c r="F1466" t="s">
        <v>3997</v>
      </c>
      <c r="G1466">
        <v>3649</v>
      </c>
      <c r="H1466">
        <v>3</v>
      </c>
      <c r="I1466" t="s">
        <v>3888</v>
      </c>
      <c r="J1466" t="s">
        <v>3497</v>
      </c>
      <c r="K1466" t="s">
        <v>3393</v>
      </c>
      <c r="L1466">
        <v>32.24</v>
      </c>
      <c r="M1466" s="453">
        <v>45979</v>
      </c>
      <c r="N1466">
        <v>32.24</v>
      </c>
      <c r="O1466">
        <v>32.24</v>
      </c>
      <c r="P1466">
        <v>96.72</v>
      </c>
    </row>
    <row r="1467" spans="1:16" x14ac:dyDescent="0.3">
      <c r="A1467">
        <v>63139</v>
      </c>
      <c r="B1467">
        <v>116</v>
      </c>
      <c r="C1467" t="s">
        <v>568</v>
      </c>
      <c r="D1467" s="453">
        <v>45992</v>
      </c>
      <c r="E1467">
        <v>20985</v>
      </c>
      <c r="F1467" t="s">
        <v>3914</v>
      </c>
      <c r="G1467">
        <v>2011</v>
      </c>
      <c r="H1467">
        <v>12</v>
      </c>
      <c r="I1467" t="s">
        <v>3872</v>
      </c>
      <c r="J1467" t="s">
        <v>3469</v>
      </c>
      <c r="K1467" t="s">
        <v>3393</v>
      </c>
      <c r="L1467">
        <v>0</v>
      </c>
      <c r="M1467" s="453">
        <v>45916</v>
      </c>
      <c r="N1467">
        <v>7.89</v>
      </c>
      <c r="O1467">
        <v>8</v>
      </c>
      <c r="P1467">
        <v>94.68</v>
      </c>
    </row>
    <row r="1468" spans="1:16" x14ac:dyDescent="0.3">
      <c r="A1468">
        <v>63169</v>
      </c>
      <c r="B1468">
        <v>116</v>
      </c>
      <c r="C1468" t="s">
        <v>568</v>
      </c>
      <c r="D1468" s="453">
        <v>45992</v>
      </c>
      <c r="E1468">
        <v>18996</v>
      </c>
      <c r="F1468" t="s">
        <v>3946</v>
      </c>
      <c r="G1468">
        <v>2900</v>
      </c>
      <c r="H1468">
        <v>5.5</v>
      </c>
      <c r="I1468" t="s">
        <v>3892</v>
      </c>
      <c r="J1468" t="s">
        <v>3469</v>
      </c>
      <c r="K1468" t="s">
        <v>3393</v>
      </c>
      <c r="L1468">
        <v>17.149999999999999</v>
      </c>
      <c r="M1468" s="453">
        <v>45972</v>
      </c>
      <c r="N1468">
        <v>16.5</v>
      </c>
      <c r="O1468">
        <v>20.9</v>
      </c>
      <c r="P1468">
        <v>94.32</v>
      </c>
    </row>
    <row r="1469" spans="1:16" x14ac:dyDescent="0.3">
      <c r="A1469">
        <v>63222</v>
      </c>
      <c r="B1469">
        <v>116</v>
      </c>
      <c r="C1469" t="s">
        <v>568</v>
      </c>
      <c r="D1469" s="453">
        <v>45992</v>
      </c>
      <c r="E1469">
        <v>21166</v>
      </c>
      <c r="F1469" t="s">
        <v>4001</v>
      </c>
      <c r="G1469">
        <v>1940</v>
      </c>
      <c r="H1469">
        <v>2.5</v>
      </c>
      <c r="I1469" t="s">
        <v>3872</v>
      </c>
      <c r="J1469" t="s">
        <v>3469</v>
      </c>
      <c r="K1469" t="s">
        <v>3393</v>
      </c>
      <c r="L1469">
        <v>0</v>
      </c>
      <c r="M1469" s="453">
        <v>45615</v>
      </c>
      <c r="N1469">
        <v>36</v>
      </c>
      <c r="O1469">
        <v>36</v>
      </c>
      <c r="P1469">
        <v>90</v>
      </c>
    </row>
    <row r="1470" spans="1:16" x14ac:dyDescent="0.3">
      <c r="A1470">
        <v>63179</v>
      </c>
      <c r="B1470">
        <v>116</v>
      </c>
      <c r="C1470" t="s">
        <v>568</v>
      </c>
      <c r="D1470" s="453">
        <v>45992</v>
      </c>
      <c r="E1470">
        <v>18696</v>
      </c>
      <c r="F1470" t="s">
        <v>3956</v>
      </c>
      <c r="G1470">
        <v>3035</v>
      </c>
      <c r="H1470">
        <v>5</v>
      </c>
      <c r="I1470" t="s">
        <v>3892</v>
      </c>
      <c r="J1470" t="s">
        <v>3469</v>
      </c>
      <c r="K1470" t="s">
        <v>3393</v>
      </c>
      <c r="L1470">
        <v>17.989999999999998</v>
      </c>
      <c r="M1470" s="453">
        <v>45986</v>
      </c>
      <c r="N1470">
        <v>17.989999999999998</v>
      </c>
      <c r="O1470">
        <v>17.989999999999998</v>
      </c>
      <c r="P1470">
        <v>89.95</v>
      </c>
    </row>
    <row r="1471" spans="1:16" x14ac:dyDescent="0.3">
      <c r="A1471">
        <v>63195</v>
      </c>
      <c r="B1471">
        <v>116</v>
      </c>
      <c r="C1471" t="s">
        <v>568</v>
      </c>
      <c r="D1471" s="453">
        <v>45992</v>
      </c>
      <c r="E1471">
        <v>23732</v>
      </c>
      <c r="F1471" t="s">
        <v>3973</v>
      </c>
      <c r="G1471">
        <v>2157</v>
      </c>
      <c r="H1471">
        <v>3.8</v>
      </c>
      <c r="I1471" t="s">
        <v>3892</v>
      </c>
      <c r="J1471" t="s">
        <v>3469</v>
      </c>
      <c r="K1471" t="s">
        <v>3393</v>
      </c>
      <c r="L1471">
        <v>22.89</v>
      </c>
      <c r="M1471" s="453">
        <v>45962</v>
      </c>
      <c r="N1471">
        <v>22.89</v>
      </c>
      <c r="O1471">
        <v>26.46</v>
      </c>
      <c r="P1471">
        <v>86.98</v>
      </c>
    </row>
    <row r="1472" spans="1:16" x14ac:dyDescent="0.3">
      <c r="A1472">
        <v>63305</v>
      </c>
      <c r="B1472">
        <v>116</v>
      </c>
      <c r="C1472" t="s">
        <v>568</v>
      </c>
      <c r="D1472" s="453">
        <v>45992</v>
      </c>
      <c r="E1472">
        <v>18534</v>
      </c>
      <c r="F1472" t="s">
        <v>4084</v>
      </c>
      <c r="G1472">
        <v>3143</v>
      </c>
      <c r="H1472">
        <v>1</v>
      </c>
      <c r="I1472" t="s">
        <v>3878</v>
      </c>
      <c r="J1472" t="s">
        <v>3497</v>
      </c>
      <c r="K1472" t="s">
        <v>3393</v>
      </c>
      <c r="L1472">
        <v>0</v>
      </c>
      <c r="N1472">
        <v>0</v>
      </c>
      <c r="O1472">
        <v>0</v>
      </c>
      <c r="P1472">
        <v>86.89</v>
      </c>
    </row>
    <row r="1473" spans="1:16" x14ac:dyDescent="0.3">
      <c r="A1473">
        <v>63124</v>
      </c>
      <c r="B1473">
        <v>116</v>
      </c>
      <c r="C1473" t="s">
        <v>568</v>
      </c>
      <c r="D1473" s="453">
        <v>45992</v>
      </c>
      <c r="E1473">
        <v>19420</v>
      </c>
      <c r="F1473" t="s">
        <v>3899</v>
      </c>
      <c r="G1473">
        <v>2758</v>
      </c>
      <c r="H1473">
        <v>15</v>
      </c>
      <c r="I1473" t="s">
        <v>3872</v>
      </c>
      <c r="J1473" t="s">
        <v>3469</v>
      </c>
      <c r="K1473" t="s">
        <v>3393</v>
      </c>
      <c r="L1473">
        <v>0</v>
      </c>
      <c r="M1473" s="453">
        <v>45845</v>
      </c>
      <c r="N1473">
        <v>5.79</v>
      </c>
      <c r="O1473">
        <v>5.79</v>
      </c>
      <c r="P1473">
        <v>86.85</v>
      </c>
    </row>
    <row r="1474" spans="1:16" x14ac:dyDescent="0.3">
      <c r="A1474">
        <v>63255</v>
      </c>
      <c r="B1474">
        <v>116</v>
      </c>
      <c r="C1474" t="s">
        <v>568</v>
      </c>
      <c r="D1474" s="453">
        <v>45992</v>
      </c>
      <c r="E1474">
        <v>17918</v>
      </c>
      <c r="F1474" t="s">
        <v>4034</v>
      </c>
      <c r="G1474">
        <v>3647</v>
      </c>
      <c r="H1474">
        <v>2</v>
      </c>
      <c r="I1474" t="s">
        <v>3888</v>
      </c>
      <c r="J1474" t="s">
        <v>3497</v>
      </c>
      <c r="K1474" t="s">
        <v>3393</v>
      </c>
      <c r="L1474">
        <v>43.2</v>
      </c>
      <c r="M1474" s="453">
        <v>45979</v>
      </c>
      <c r="N1474">
        <v>43.2</v>
      </c>
      <c r="O1474">
        <v>56.72</v>
      </c>
      <c r="P1474">
        <v>86.4</v>
      </c>
    </row>
    <row r="1475" spans="1:16" x14ac:dyDescent="0.3">
      <c r="A1475">
        <v>63212</v>
      </c>
      <c r="B1475">
        <v>116</v>
      </c>
      <c r="C1475" t="s">
        <v>568</v>
      </c>
      <c r="D1475" s="453">
        <v>45992</v>
      </c>
      <c r="E1475">
        <v>24517</v>
      </c>
      <c r="F1475" t="s">
        <v>3991</v>
      </c>
      <c r="G1475">
        <v>3047</v>
      </c>
      <c r="H1475">
        <v>3</v>
      </c>
      <c r="I1475" t="s">
        <v>3892</v>
      </c>
      <c r="J1475" t="s">
        <v>3469</v>
      </c>
      <c r="K1475" t="s">
        <v>3393</v>
      </c>
      <c r="L1475">
        <v>27.99</v>
      </c>
      <c r="M1475" s="453">
        <v>45981</v>
      </c>
      <c r="N1475">
        <v>27.99</v>
      </c>
      <c r="O1475">
        <v>27.99</v>
      </c>
      <c r="P1475">
        <v>83.97</v>
      </c>
    </row>
    <row r="1476" spans="1:16" x14ac:dyDescent="0.3">
      <c r="A1476">
        <v>63321</v>
      </c>
      <c r="B1476">
        <v>116</v>
      </c>
      <c r="C1476" t="s">
        <v>568</v>
      </c>
      <c r="D1476" s="453">
        <v>45992</v>
      </c>
      <c r="E1476">
        <v>18146</v>
      </c>
      <c r="F1476" t="s">
        <v>4100</v>
      </c>
      <c r="G1476">
        <v>3471</v>
      </c>
      <c r="H1476">
        <v>0.8</v>
      </c>
      <c r="I1476" t="s">
        <v>3878</v>
      </c>
      <c r="J1476" t="s">
        <v>3497</v>
      </c>
      <c r="K1476" t="s">
        <v>3393</v>
      </c>
      <c r="L1476">
        <v>104.9</v>
      </c>
      <c r="M1476" s="453">
        <v>45962</v>
      </c>
      <c r="N1476">
        <v>104.9</v>
      </c>
      <c r="O1476">
        <v>105.99</v>
      </c>
      <c r="P1476">
        <v>83.92</v>
      </c>
    </row>
    <row r="1477" spans="1:16" x14ac:dyDescent="0.3">
      <c r="A1477">
        <v>63271</v>
      </c>
      <c r="B1477">
        <v>116</v>
      </c>
      <c r="C1477" t="s">
        <v>568</v>
      </c>
      <c r="D1477" s="453">
        <v>45992</v>
      </c>
      <c r="E1477">
        <v>20757</v>
      </c>
      <c r="F1477" t="s">
        <v>4050</v>
      </c>
      <c r="G1477">
        <v>2086</v>
      </c>
      <c r="H1477">
        <v>1</v>
      </c>
      <c r="I1477" t="s">
        <v>3966</v>
      </c>
      <c r="J1477" t="s">
        <v>3469</v>
      </c>
      <c r="K1477" t="s">
        <v>3393</v>
      </c>
      <c r="L1477">
        <v>81.540000000000006</v>
      </c>
      <c r="M1477" s="453">
        <v>45986</v>
      </c>
      <c r="N1477">
        <v>81.540000000000006</v>
      </c>
      <c r="O1477">
        <v>81.540000000000006</v>
      </c>
      <c r="P1477">
        <v>81.540000000000006</v>
      </c>
    </row>
    <row r="1478" spans="1:16" x14ac:dyDescent="0.3">
      <c r="A1478">
        <v>63229</v>
      </c>
      <c r="B1478">
        <v>116</v>
      </c>
      <c r="C1478" t="s">
        <v>568</v>
      </c>
      <c r="D1478" s="453">
        <v>45992</v>
      </c>
      <c r="E1478">
        <v>20250</v>
      </c>
      <c r="F1478" t="s">
        <v>4008</v>
      </c>
      <c r="G1478">
        <v>2241</v>
      </c>
      <c r="H1478">
        <v>2</v>
      </c>
      <c r="I1478" t="s">
        <v>3888</v>
      </c>
      <c r="J1478" t="s">
        <v>3469</v>
      </c>
      <c r="K1478" t="s">
        <v>3393</v>
      </c>
      <c r="L1478">
        <v>40.74</v>
      </c>
      <c r="M1478" s="453">
        <v>45979</v>
      </c>
      <c r="N1478">
        <v>40.74</v>
      </c>
      <c r="O1478">
        <v>40.74</v>
      </c>
      <c r="P1478">
        <v>81.48</v>
      </c>
    </row>
    <row r="1479" spans="1:16" x14ac:dyDescent="0.3">
      <c r="A1479">
        <v>63194</v>
      </c>
      <c r="B1479">
        <v>116</v>
      </c>
      <c r="C1479" t="s">
        <v>568</v>
      </c>
      <c r="D1479" s="453">
        <v>45992</v>
      </c>
      <c r="E1479">
        <v>17896</v>
      </c>
      <c r="F1479" t="s">
        <v>3972</v>
      </c>
      <c r="G1479">
        <v>3664</v>
      </c>
      <c r="H1479">
        <v>4</v>
      </c>
      <c r="I1479" t="s">
        <v>3888</v>
      </c>
      <c r="J1479" t="s">
        <v>3497</v>
      </c>
      <c r="K1479" t="s">
        <v>3393</v>
      </c>
      <c r="L1479">
        <v>20.149999999999999</v>
      </c>
      <c r="M1479" s="453">
        <v>45986</v>
      </c>
      <c r="N1479">
        <v>0</v>
      </c>
      <c r="O1479">
        <v>0</v>
      </c>
      <c r="P1479">
        <v>80.599999999999994</v>
      </c>
    </row>
    <row r="1480" spans="1:16" x14ac:dyDescent="0.3">
      <c r="A1480">
        <v>63136</v>
      </c>
      <c r="B1480">
        <v>116</v>
      </c>
      <c r="C1480" t="s">
        <v>568</v>
      </c>
      <c r="D1480" s="453">
        <v>45992</v>
      </c>
      <c r="E1480">
        <v>20246</v>
      </c>
      <c r="F1480" t="s">
        <v>3911</v>
      </c>
      <c r="G1480">
        <v>2242</v>
      </c>
      <c r="H1480">
        <v>12</v>
      </c>
      <c r="I1480" t="s">
        <v>3872</v>
      </c>
      <c r="J1480" t="s">
        <v>3469</v>
      </c>
      <c r="K1480" t="s">
        <v>3393</v>
      </c>
      <c r="L1480">
        <v>0</v>
      </c>
      <c r="M1480" s="453">
        <v>45937</v>
      </c>
      <c r="N1480">
        <v>6.67</v>
      </c>
      <c r="O1480">
        <v>6.89</v>
      </c>
      <c r="P1480">
        <v>80.040000000000006</v>
      </c>
    </row>
    <row r="1481" spans="1:16" x14ac:dyDescent="0.3">
      <c r="A1481">
        <v>63252</v>
      </c>
      <c r="B1481">
        <v>116</v>
      </c>
      <c r="C1481" t="s">
        <v>568</v>
      </c>
      <c r="D1481" s="453">
        <v>45992</v>
      </c>
      <c r="E1481">
        <v>18273</v>
      </c>
      <c r="F1481" t="s">
        <v>4031</v>
      </c>
      <c r="G1481">
        <v>3357</v>
      </c>
      <c r="H1481">
        <v>2</v>
      </c>
      <c r="I1481" t="s">
        <v>3878</v>
      </c>
      <c r="J1481" t="s">
        <v>3497</v>
      </c>
      <c r="K1481" t="s">
        <v>3393</v>
      </c>
      <c r="L1481">
        <v>39.6</v>
      </c>
      <c r="M1481" s="453">
        <v>45978</v>
      </c>
      <c r="N1481">
        <v>39.6</v>
      </c>
      <c r="O1481">
        <v>39.6</v>
      </c>
      <c r="P1481">
        <v>79.2</v>
      </c>
    </row>
    <row r="1482" spans="1:16" x14ac:dyDescent="0.3">
      <c r="A1482">
        <v>63144</v>
      </c>
      <c r="B1482">
        <v>116</v>
      </c>
      <c r="C1482" t="s">
        <v>568</v>
      </c>
      <c r="D1482" s="453">
        <v>45992</v>
      </c>
      <c r="E1482">
        <v>20661</v>
      </c>
      <c r="F1482" t="s">
        <v>3919</v>
      </c>
      <c r="G1482">
        <v>2110</v>
      </c>
      <c r="H1482">
        <v>9</v>
      </c>
      <c r="I1482" t="s">
        <v>3872</v>
      </c>
      <c r="J1482" t="s">
        <v>3469</v>
      </c>
      <c r="K1482" t="s">
        <v>3393</v>
      </c>
      <c r="L1482">
        <v>8.73</v>
      </c>
      <c r="M1482" s="453">
        <v>45986</v>
      </c>
      <c r="N1482">
        <v>8.74</v>
      </c>
      <c r="O1482">
        <v>8.7200000000000006</v>
      </c>
      <c r="P1482">
        <v>78.569999999999993</v>
      </c>
    </row>
    <row r="1483" spans="1:16" x14ac:dyDescent="0.3">
      <c r="A1483">
        <v>63231</v>
      </c>
      <c r="B1483">
        <v>116</v>
      </c>
      <c r="C1483" t="s">
        <v>568</v>
      </c>
      <c r="D1483" s="453">
        <v>45992</v>
      </c>
      <c r="E1483">
        <v>20117</v>
      </c>
      <c r="F1483" t="s">
        <v>4010</v>
      </c>
      <c r="G1483">
        <v>2291</v>
      </c>
      <c r="H1483">
        <v>2</v>
      </c>
      <c r="I1483" t="s">
        <v>3872</v>
      </c>
      <c r="J1483" t="s">
        <v>3469</v>
      </c>
      <c r="K1483" t="s">
        <v>3393</v>
      </c>
      <c r="L1483">
        <v>37.700000000000003</v>
      </c>
      <c r="M1483" s="453">
        <v>45972</v>
      </c>
      <c r="N1483">
        <v>37.700000000000003</v>
      </c>
      <c r="O1483">
        <v>37.6</v>
      </c>
      <c r="P1483">
        <v>75.400000000000006</v>
      </c>
    </row>
    <row r="1484" spans="1:16" x14ac:dyDescent="0.3">
      <c r="A1484">
        <v>63211</v>
      </c>
      <c r="B1484">
        <v>116</v>
      </c>
      <c r="C1484" t="s">
        <v>568</v>
      </c>
      <c r="D1484" s="453">
        <v>45992</v>
      </c>
      <c r="E1484">
        <v>24343</v>
      </c>
      <c r="F1484" t="s">
        <v>3990</v>
      </c>
      <c r="G1484">
        <v>3044</v>
      </c>
      <c r="H1484">
        <v>3</v>
      </c>
      <c r="I1484" t="s">
        <v>3892</v>
      </c>
      <c r="J1484" t="s">
        <v>3469</v>
      </c>
      <c r="K1484" t="s">
        <v>3393</v>
      </c>
      <c r="L1484">
        <v>24.8</v>
      </c>
      <c r="M1484" s="453">
        <v>45979</v>
      </c>
      <c r="N1484">
        <v>24.8</v>
      </c>
      <c r="O1484">
        <v>24.8</v>
      </c>
      <c r="P1484">
        <v>74.400000000000006</v>
      </c>
    </row>
    <row r="1485" spans="1:16" x14ac:dyDescent="0.3">
      <c r="A1485">
        <v>63117</v>
      </c>
      <c r="B1485">
        <v>116</v>
      </c>
      <c r="C1485" t="s">
        <v>568</v>
      </c>
      <c r="D1485" s="453">
        <v>45992</v>
      </c>
      <c r="E1485">
        <v>27079</v>
      </c>
      <c r="F1485" t="s">
        <v>3891</v>
      </c>
      <c r="G1485">
        <v>2497</v>
      </c>
      <c r="H1485">
        <v>22</v>
      </c>
      <c r="I1485" t="s">
        <v>3892</v>
      </c>
      <c r="J1485" t="s">
        <v>3469</v>
      </c>
      <c r="K1485" t="s">
        <v>3393</v>
      </c>
      <c r="L1485">
        <v>0</v>
      </c>
      <c r="M1485" s="453">
        <v>45813</v>
      </c>
      <c r="N1485">
        <v>3.25</v>
      </c>
      <c r="O1485">
        <v>3.25</v>
      </c>
      <c r="P1485">
        <v>71.5</v>
      </c>
    </row>
    <row r="1486" spans="1:16" x14ac:dyDescent="0.3">
      <c r="A1486">
        <v>63175</v>
      </c>
      <c r="B1486">
        <v>116</v>
      </c>
      <c r="C1486" t="s">
        <v>568</v>
      </c>
      <c r="D1486" s="453">
        <v>45992</v>
      </c>
      <c r="E1486">
        <v>20358</v>
      </c>
      <c r="F1486" t="s">
        <v>3952</v>
      </c>
      <c r="G1486">
        <v>2200</v>
      </c>
      <c r="H1486">
        <v>5</v>
      </c>
      <c r="I1486" t="s">
        <v>3888</v>
      </c>
      <c r="J1486" t="s">
        <v>3469</v>
      </c>
      <c r="K1486" t="s">
        <v>3393</v>
      </c>
      <c r="L1486">
        <v>14.3</v>
      </c>
      <c r="M1486" s="453">
        <v>45986</v>
      </c>
      <c r="N1486">
        <v>14.3</v>
      </c>
      <c r="O1486">
        <v>14.3</v>
      </c>
      <c r="P1486">
        <v>71.5</v>
      </c>
    </row>
    <row r="1487" spans="1:16" x14ac:dyDescent="0.3">
      <c r="A1487">
        <v>63243</v>
      </c>
      <c r="B1487">
        <v>116</v>
      </c>
      <c r="C1487" t="s">
        <v>568</v>
      </c>
      <c r="D1487" s="453">
        <v>45992</v>
      </c>
      <c r="E1487">
        <v>19575</v>
      </c>
      <c r="F1487" t="s">
        <v>4022</v>
      </c>
      <c r="G1487">
        <v>2643</v>
      </c>
      <c r="H1487">
        <v>2</v>
      </c>
      <c r="I1487" t="s">
        <v>3892</v>
      </c>
      <c r="J1487" t="s">
        <v>3469</v>
      </c>
      <c r="K1487" t="s">
        <v>3393</v>
      </c>
      <c r="L1487">
        <v>35</v>
      </c>
      <c r="M1487" s="453">
        <v>45962</v>
      </c>
      <c r="N1487">
        <v>35</v>
      </c>
      <c r="O1487">
        <v>25</v>
      </c>
      <c r="P1487">
        <v>70</v>
      </c>
    </row>
    <row r="1488" spans="1:16" x14ac:dyDescent="0.3">
      <c r="A1488">
        <v>63253</v>
      </c>
      <c r="B1488">
        <v>116</v>
      </c>
      <c r="C1488" t="s">
        <v>568</v>
      </c>
      <c r="D1488" s="453">
        <v>45992</v>
      </c>
      <c r="E1488">
        <v>18200</v>
      </c>
      <c r="F1488" t="s">
        <v>4032</v>
      </c>
      <c r="G1488">
        <v>3426</v>
      </c>
      <c r="H1488">
        <v>2</v>
      </c>
      <c r="I1488" t="s">
        <v>3878</v>
      </c>
      <c r="J1488" t="s">
        <v>3497</v>
      </c>
      <c r="K1488" t="s">
        <v>3393</v>
      </c>
      <c r="L1488">
        <v>34.630000000000003</v>
      </c>
      <c r="M1488" s="453">
        <v>45978</v>
      </c>
      <c r="N1488">
        <v>34.630000000000003</v>
      </c>
      <c r="O1488">
        <v>34.630000000000003</v>
      </c>
      <c r="P1488">
        <v>69.260000000000005</v>
      </c>
    </row>
    <row r="1489" spans="1:16" x14ac:dyDescent="0.3">
      <c r="A1489">
        <v>63328</v>
      </c>
      <c r="B1489">
        <v>116</v>
      </c>
      <c r="C1489" t="s">
        <v>568</v>
      </c>
      <c r="D1489" s="453">
        <v>45992</v>
      </c>
      <c r="E1489">
        <v>18586</v>
      </c>
      <c r="F1489" t="s">
        <v>4107</v>
      </c>
      <c r="G1489">
        <v>3104</v>
      </c>
      <c r="H1489">
        <v>0.5</v>
      </c>
      <c r="I1489" t="s">
        <v>3888</v>
      </c>
      <c r="J1489" t="s">
        <v>3497</v>
      </c>
      <c r="K1489" t="s">
        <v>3393</v>
      </c>
      <c r="L1489">
        <v>0</v>
      </c>
      <c r="M1489" s="453">
        <v>45955</v>
      </c>
      <c r="N1489">
        <v>138.47999999999999</v>
      </c>
      <c r="O1489">
        <v>12.59</v>
      </c>
      <c r="P1489">
        <v>69.239999999999995</v>
      </c>
    </row>
    <row r="1490" spans="1:16" x14ac:dyDescent="0.3">
      <c r="A1490">
        <v>63156</v>
      </c>
      <c r="B1490">
        <v>116</v>
      </c>
      <c r="C1490" t="s">
        <v>568</v>
      </c>
      <c r="D1490" s="453">
        <v>45992</v>
      </c>
      <c r="E1490">
        <v>19740</v>
      </c>
      <c r="F1490" t="s">
        <v>3933</v>
      </c>
      <c r="G1490">
        <v>2513</v>
      </c>
      <c r="H1490">
        <v>7</v>
      </c>
      <c r="I1490" t="s">
        <v>3892</v>
      </c>
      <c r="J1490" t="s">
        <v>3469</v>
      </c>
      <c r="K1490" t="s">
        <v>3393</v>
      </c>
      <c r="L1490">
        <v>9.6199999999999992</v>
      </c>
      <c r="M1490" s="453">
        <v>45985</v>
      </c>
      <c r="N1490">
        <v>10.44</v>
      </c>
      <c r="O1490">
        <v>11.5</v>
      </c>
      <c r="P1490">
        <v>67.34</v>
      </c>
    </row>
    <row r="1491" spans="1:16" x14ac:dyDescent="0.3">
      <c r="A1491">
        <v>63128</v>
      </c>
      <c r="B1491">
        <v>116</v>
      </c>
      <c r="C1491" t="s">
        <v>568</v>
      </c>
      <c r="D1491" s="453">
        <v>45992</v>
      </c>
      <c r="E1491">
        <v>21093</v>
      </c>
      <c r="F1491" t="s">
        <v>3903</v>
      </c>
      <c r="G1491">
        <v>1988</v>
      </c>
      <c r="H1491">
        <v>14</v>
      </c>
      <c r="I1491" t="s">
        <v>3892</v>
      </c>
      <c r="J1491" t="s">
        <v>3469</v>
      </c>
      <c r="K1491" t="s">
        <v>3393</v>
      </c>
      <c r="L1491">
        <v>4.74</v>
      </c>
      <c r="M1491" s="453">
        <v>45986</v>
      </c>
      <c r="N1491">
        <v>4.76</v>
      </c>
      <c r="O1491">
        <v>4.8</v>
      </c>
      <c r="P1491">
        <v>66.36</v>
      </c>
    </row>
    <row r="1492" spans="1:16" x14ac:dyDescent="0.3">
      <c r="A1492">
        <v>63226</v>
      </c>
      <c r="B1492">
        <v>116</v>
      </c>
      <c r="C1492" t="s">
        <v>568</v>
      </c>
      <c r="D1492" s="453">
        <v>45992</v>
      </c>
      <c r="E1492">
        <v>20809</v>
      </c>
      <c r="F1492" t="s">
        <v>4005</v>
      </c>
      <c r="G1492">
        <v>2074</v>
      </c>
      <c r="H1492">
        <v>2</v>
      </c>
      <c r="I1492" t="s">
        <v>3888</v>
      </c>
      <c r="J1492" t="s">
        <v>3469</v>
      </c>
      <c r="K1492" t="s">
        <v>3393</v>
      </c>
      <c r="L1492">
        <v>32.380000000000003</v>
      </c>
      <c r="M1492" s="453">
        <v>45986</v>
      </c>
      <c r="N1492">
        <v>33.340000000000003</v>
      </c>
      <c r="O1492">
        <v>33.340000000000003</v>
      </c>
      <c r="P1492">
        <v>64.760000000000005</v>
      </c>
    </row>
    <row r="1493" spans="1:16" x14ac:dyDescent="0.3">
      <c r="A1493">
        <v>63191</v>
      </c>
      <c r="B1493">
        <v>116</v>
      </c>
      <c r="C1493" t="s">
        <v>568</v>
      </c>
      <c r="D1493" s="453">
        <v>45992</v>
      </c>
      <c r="E1493">
        <v>20965</v>
      </c>
      <c r="F1493" t="s">
        <v>3969</v>
      </c>
      <c r="G1493">
        <v>2013</v>
      </c>
      <c r="H1493">
        <v>4</v>
      </c>
      <c r="I1493" t="s">
        <v>3872</v>
      </c>
      <c r="J1493" t="s">
        <v>3469</v>
      </c>
      <c r="K1493" t="s">
        <v>3393</v>
      </c>
      <c r="L1493">
        <v>0</v>
      </c>
      <c r="M1493" s="453">
        <v>45951</v>
      </c>
      <c r="N1493">
        <v>15.9</v>
      </c>
      <c r="O1493">
        <v>15.9</v>
      </c>
      <c r="P1493">
        <v>63.6</v>
      </c>
    </row>
    <row r="1494" spans="1:16" x14ac:dyDescent="0.3">
      <c r="A1494">
        <v>63173</v>
      </c>
      <c r="B1494">
        <v>116</v>
      </c>
      <c r="C1494" t="s">
        <v>568</v>
      </c>
      <c r="D1494" s="453">
        <v>45992</v>
      </c>
      <c r="E1494">
        <v>26193</v>
      </c>
      <c r="F1494" t="s">
        <v>3950</v>
      </c>
      <c r="G1494">
        <v>6616</v>
      </c>
      <c r="H1494">
        <v>5</v>
      </c>
      <c r="I1494" t="s">
        <v>3872</v>
      </c>
      <c r="J1494" t="s">
        <v>3469</v>
      </c>
      <c r="K1494" t="s">
        <v>3393</v>
      </c>
      <c r="L1494">
        <v>0</v>
      </c>
      <c r="M1494" s="453">
        <v>45922</v>
      </c>
      <c r="N1494">
        <v>12.68</v>
      </c>
      <c r="O1494">
        <v>12.4</v>
      </c>
      <c r="P1494">
        <v>63.4</v>
      </c>
    </row>
    <row r="1495" spans="1:16" x14ac:dyDescent="0.3">
      <c r="A1495">
        <v>63303</v>
      </c>
      <c r="B1495">
        <v>116</v>
      </c>
      <c r="C1495" t="s">
        <v>568</v>
      </c>
      <c r="D1495" s="453">
        <v>45992</v>
      </c>
      <c r="E1495">
        <v>19264</v>
      </c>
      <c r="F1495" t="s">
        <v>4082</v>
      </c>
      <c r="G1495">
        <v>2781</v>
      </c>
      <c r="H1495">
        <v>1</v>
      </c>
      <c r="I1495" t="s">
        <v>3888</v>
      </c>
      <c r="J1495" t="s">
        <v>3469</v>
      </c>
      <c r="K1495" t="s">
        <v>3393</v>
      </c>
      <c r="L1495">
        <v>60.5</v>
      </c>
      <c r="M1495" s="453">
        <v>45979</v>
      </c>
      <c r="N1495">
        <v>65.7</v>
      </c>
      <c r="O1495">
        <v>63.99</v>
      </c>
      <c r="P1495">
        <v>60.5</v>
      </c>
    </row>
    <row r="1496" spans="1:16" x14ac:dyDescent="0.3">
      <c r="A1496">
        <v>63153</v>
      </c>
      <c r="B1496">
        <v>116</v>
      </c>
      <c r="C1496" t="s">
        <v>568</v>
      </c>
      <c r="D1496" s="453">
        <v>45992</v>
      </c>
      <c r="E1496">
        <v>20682</v>
      </c>
      <c r="F1496" t="s">
        <v>3929</v>
      </c>
      <c r="G1496">
        <v>2106</v>
      </c>
      <c r="H1496">
        <v>7</v>
      </c>
      <c r="I1496" t="s">
        <v>3872</v>
      </c>
      <c r="J1496" t="s">
        <v>3469</v>
      </c>
      <c r="K1496" t="s">
        <v>3393</v>
      </c>
      <c r="L1496">
        <v>8.6</v>
      </c>
      <c r="M1496" s="453">
        <v>45972</v>
      </c>
      <c r="N1496">
        <v>8.6</v>
      </c>
      <c r="O1496">
        <v>8.6</v>
      </c>
      <c r="P1496">
        <v>60.2</v>
      </c>
    </row>
    <row r="1497" spans="1:16" x14ac:dyDescent="0.3">
      <c r="A1497">
        <v>63200</v>
      </c>
      <c r="B1497">
        <v>116</v>
      </c>
      <c r="C1497" t="s">
        <v>568</v>
      </c>
      <c r="D1497" s="453">
        <v>45992</v>
      </c>
      <c r="E1497">
        <v>20234</v>
      </c>
      <c r="F1497" t="s">
        <v>3979</v>
      </c>
      <c r="G1497">
        <v>2245</v>
      </c>
      <c r="H1497">
        <v>3</v>
      </c>
      <c r="I1497" t="s">
        <v>3892</v>
      </c>
      <c r="J1497" t="s">
        <v>3469</v>
      </c>
      <c r="K1497" t="s">
        <v>3393</v>
      </c>
      <c r="L1497">
        <v>19.8</v>
      </c>
      <c r="M1497" s="453">
        <v>45978</v>
      </c>
      <c r="N1497">
        <v>19.8</v>
      </c>
      <c r="O1497">
        <v>19.8</v>
      </c>
      <c r="P1497">
        <v>59.4</v>
      </c>
    </row>
    <row r="1498" spans="1:16" x14ac:dyDescent="0.3">
      <c r="A1498">
        <v>63319</v>
      </c>
      <c r="B1498">
        <v>116</v>
      </c>
      <c r="C1498" t="s">
        <v>568</v>
      </c>
      <c r="D1498" s="453">
        <v>45992</v>
      </c>
      <c r="E1498">
        <v>20466</v>
      </c>
      <c r="F1498" t="s">
        <v>4098</v>
      </c>
      <c r="G1498">
        <v>2160</v>
      </c>
      <c r="H1498">
        <v>0.9</v>
      </c>
      <c r="I1498" t="s">
        <v>3892</v>
      </c>
      <c r="J1498" t="s">
        <v>3469</v>
      </c>
      <c r="K1498" t="s">
        <v>3393</v>
      </c>
      <c r="L1498">
        <v>65</v>
      </c>
      <c r="M1498" s="453">
        <v>45973</v>
      </c>
      <c r="N1498">
        <v>65</v>
      </c>
      <c r="O1498">
        <v>65</v>
      </c>
      <c r="P1498">
        <v>58.5</v>
      </c>
    </row>
    <row r="1499" spans="1:16" x14ac:dyDescent="0.3">
      <c r="A1499">
        <v>63236</v>
      </c>
      <c r="B1499">
        <v>116</v>
      </c>
      <c r="C1499" t="s">
        <v>568</v>
      </c>
      <c r="D1499" s="453">
        <v>45992</v>
      </c>
      <c r="E1499">
        <v>19649</v>
      </c>
      <c r="F1499" t="s">
        <v>4015</v>
      </c>
      <c r="G1499">
        <v>2589</v>
      </c>
      <c r="H1499">
        <v>2</v>
      </c>
      <c r="I1499" t="s">
        <v>3892</v>
      </c>
      <c r="J1499" t="s">
        <v>3469</v>
      </c>
      <c r="K1499" t="s">
        <v>3393</v>
      </c>
      <c r="L1499">
        <v>0</v>
      </c>
      <c r="M1499" s="453">
        <v>45831</v>
      </c>
      <c r="N1499">
        <v>29</v>
      </c>
      <c r="O1499">
        <v>23.5</v>
      </c>
      <c r="P1499">
        <v>58</v>
      </c>
    </row>
    <row r="1500" spans="1:16" x14ac:dyDescent="0.3">
      <c r="A1500">
        <v>63201</v>
      </c>
      <c r="B1500">
        <v>116</v>
      </c>
      <c r="C1500" t="s">
        <v>568</v>
      </c>
      <c r="D1500" s="453">
        <v>45992</v>
      </c>
      <c r="E1500">
        <v>23515</v>
      </c>
      <c r="F1500" t="s">
        <v>3980</v>
      </c>
      <c r="G1500">
        <v>2353</v>
      </c>
      <c r="H1500">
        <v>3</v>
      </c>
      <c r="I1500" t="s">
        <v>3872</v>
      </c>
      <c r="J1500" t="s">
        <v>3469</v>
      </c>
      <c r="K1500" t="s">
        <v>3393</v>
      </c>
      <c r="L1500">
        <v>19.170000000000002</v>
      </c>
      <c r="M1500" s="453">
        <v>45972</v>
      </c>
      <c r="N1500">
        <v>19.170000000000002</v>
      </c>
      <c r="O1500">
        <v>20.2</v>
      </c>
      <c r="P1500">
        <v>57.51</v>
      </c>
    </row>
    <row r="1501" spans="1:16" x14ac:dyDescent="0.3">
      <c r="A1501">
        <v>63224</v>
      </c>
      <c r="B1501">
        <v>116</v>
      </c>
      <c r="C1501" t="s">
        <v>568</v>
      </c>
      <c r="D1501" s="453">
        <v>45992</v>
      </c>
      <c r="E1501">
        <v>18666</v>
      </c>
      <c r="F1501" t="s">
        <v>4003</v>
      </c>
      <c r="G1501">
        <v>3053</v>
      </c>
      <c r="H1501">
        <v>2.5</v>
      </c>
      <c r="I1501" t="s">
        <v>3892</v>
      </c>
      <c r="J1501" t="s">
        <v>3469</v>
      </c>
      <c r="K1501" t="s">
        <v>3393</v>
      </c>
      <c r="L1501">
        <v>22.99</v>
      </c>
      <c r="M1501" s="453">
        <v>45986</v>
      </c>
      <c r="N1501">
        <v>22.99</v>
      </c>
      <c r="O1501">
        <v>23.99</v>
      </c>
      <c r="P1501">
        <v>57.47</v>
      </c>
    </row>
    <row r="1502" spans="1:16" x14ac:dyDescent="0.3">
      <c r="A1502">
        <v>63246</v>
      </c>
      <c r="B1502">
        <v>116</v>
      </c>
      <c r="C1502" t="s">
        <v>568</v>
      </c>
      <c r="D1502" s="453">
        <v>45992</v>
      </c>
      <c r="E1502">
        <v>18682</v>
      </c>
      <c r="F1502" t="s">
        <v>4025</v>
      </c>
      <c r="G1502">
        <v>3043</v>
      </c>
      <c r="H1502">
        <v>2</v>
      </c>
      <c r="I1502" t="s">
        <v>3892</v>
      </c>
      <c r="J1502" t="s">
        <v>3469</v>
      </c>
      <c r="K1502" t="s">
        <v>3393</v>
      </c>
      <c r="L1502">
        <v>27.99</v>
      </c>
      <c r="M1502" s="453">
        <v>45986</v>
      </c>
      <c r="N1502">
        <v>27.99</v>
      </c>
      <c r="O1502">
        <v>27.99</v>
      </c>
      <c r="P1502">
        <v>55.98</v>
      </c>
    </row>
    <row r="1503" spans="1:16" x14ac:dyDescent="0.3">
      <c r="A1503">
        <v>63266</v>
      </c>
      <c r="B1503">
        <v>116</v>
      </c>
      <c r="C1503" t="s">
        <v>568</v>
      </c>
      <c r="D1503" s="453">
        <v>45992</v>
      </c>
      <c r="E1503">
        <v>18317</v>
      </c>
      <c r="F1503" t="s">
        <v>4045</v>
      </c>
      <c r="G1503">
        <v>3316</v>
      </c>
      <c r="H1503">
        <v>1.5</v>
      </c>
      <c r="I1503" t="s">
        <v>3878</v>
      </c>
      <c r="J1503" t="s">
        <v>3497</v>
      </c>
      <c r="K1503" t="s">
        <v>3393</v>
      </c>
      <c r="L1503">
        <v>0</v>
      </c>
      <c r="M1503" s="453">
        <v>45908</v>
      </c>
      <c r="N1503">
        <v>37.25</v>
      </c>
      <c r="O1503">
        <v>37.25</v>
      </c>
      <c r="P1503">
        <v>55.88</v>
      </c>
    </row>
    <row r="1504" spans="1:16" x14ac:dyDescent="0.3">
      <c r="A1504">
        <v>63258</v>
      </c>
      <c r="B1504">
        <v>116</v>
      </c>
      <c r="C1504" t="s">
        <v>568</v>
      </c>
      <c r="D1504" s="453">
        <v>45992</v>
      </c>
      <c r="E1504">
        <v>26195</v>
      </c>
      <c r="F1504" t="s">
        <v>4037</v>
      </c>
      <c r="G1504">
        <v>6618</v>
      </c>
      <c r="H1504">
        <v>2</v>
      </c>
      <c r="I1504" t="s">
        <v>3878</v>
      </c>
      <c r="J1504" t="s">
        <v>3497</v>
      </c>
      <c r="K1504" t="s">
        <v>3393</v>
      </c>
      <c r="L1504">
        <v>0</v>
      </c>
      <c r="N1504">
        <v>0</v>
      </c>
      <c r="O1504">
        <v>0</v>
      </c>
      <c r="P1504">
        <v>55.48</v>
      </c>
    </row>
    <row r="1505" spans="1:16" x14ac:dyDescent="0.3">
      <c r="A1505">
        <v>63254</v>
      </c>
      <c r="B1505">
        <v>116</v>
      </c>
      <c r="C1505" t="s">
        <v>568</v>
      </c>
      <c r="D1505" s="453">
        <v>45992</v>
      </c>
      <c r="E1505">
        <v>18030</v>
      </c>
      <c r="F1505" t="s">
        <v>4033</v>
      </c>
      <c r="G1505">
        <v>3568</v>
      </c>
      <c r="H1505">
        <v>2</v>
      </c>
      <c r="I1505" t="s">
        <v>3878</v>
      </c>
      <c r="J1505" t="s">
        <v>3497</v>
      </c>
      <c r="K1505" t="s">
        <v>3393</v>
      </c>
      <c r="L1505">
        <v>27.5</v>
      </c>
      <c r="M1505" s="453">
        <v>45972</v>
      </c>
      <c r="N1505">
        <v>27.5</v>
      </c>
      <c r="O1505">
        <v>29.9</v>
      </c>
      <c r="P1505">
        <v>55</v>
      </c>
    </row>
    <row r="1506" spans="1:16" x14ac:dyDescent="0.3">
      <c r="A1506">
        <v>63142</v>
      </c>
      <c r="B1506">
        <v>116</v>
      </c>
      <c r="C1506" t="s">
        <v>568</v>
      </c>
      <c r="D1506" s="453">
        <v>45992</v>
      </c>
      <c r="E1506">
        <v>20359</v>
      </c>
      <c r="F1506" t="s">
        <v>3917</v>
      </c>
      <c r="G1506">
        <v>2199</v>
      </c>
      <c r="H1506">
        <v>11</v>
      </c>
      <c r="I1506" t="s">
        <v>3872</v>
      </c>
      <c r="J1506" t="s">
        <v>3469</v>
      </c>
      <c r="K1506" t="s">
        <v>3393</v>
      </c>
      <c r="L1506">
        <v>0</v>
      </c>
      <c r="M1506" s="453">
        <v>45845</v>
      </c>
      <c r="N1506">
        <v>4.76</v>
      </c>
      <c r="O1506">
        <v>4.8</v>
      </c>
      <c r="P1506">
        <v>52.36</v>
      </c>
    </row>
    <row r="1507" spans="1:16" x14ac:dyDescent="0.3">
      <c r="A1507">
        <v>63267</v>
      </c>
      <c r="B1507">
        <v>116</v>
      </c>
      <c r="C1507" t="s">
        <v>568</v>
      </c>
      <c r="D1507" s="453">
        <v>45992</v>
      </c>
      <c r="E1507">
        <v>18272</v>
      </c>
      <c r="F1507" t="s">
        <v>4046</v>
      </c>
      <c r="G1507">
        <v>3358</v>
      </c>
      <c r="H1507">
        <v>1.5</v>
      </c>
      <c r="I1507" t="s">
        <v>3878</v>
      </c>
      <c r="J1507" t="s">
        <v>3497</v>
      </c>
      <c r="K1507" t="s">
        <v>3393</v>
      </c>
      <c r="L1507">
        <v>34.840000000000003</v>
      </c>
      <c r="M1507" s="453">
        <v>45978</v>
      </c>
      <c r="N1507">
        <v>34.840000000000003</v>
      </c>
      <c r="O1507">
        <v>34.83</v>
      </c>
      <c r="P1507">
        <v>52.26</v>
      </c>
    </row>
    <row r="1508" spans="1:16" x14ac:dyDescent="0.3">
      <c r="A1508">
        <v>63123</v>
      </c>
      <c r="B1508">
        <v>116</v>
      </c>
      <c r="C1508" t="s">
        <v>568</v>
      </c>
      <c r="D1508" s="453">
        <v>45992</v>
      </c>
      <c r="E1508">
        <v>24083</v>
      </c>
      <c r="F1508" t="s">
        <v>3898</v>
      </c>
      <c r="G1508">
        <v>2592</v>
      </c>
      <c r="H1508">
        <v>15</v>
      </c>
      <c r="I1508" t="s">
        <v>3892</v>
      </c>
      <c r="J1508" t="s">
        <v>3469</v>
      </c>
      <c r="K1508" t="s">
        <v>3393</v>
      </c>
      <c r="L1508">
        <v>3.44</v>
      </c>
      <c r="M1508" s="453">
        <v>45988</v>
      </c>
      <c r="N1508">
        <v>3.5</v>
      </c>
      <c r="O1508">
        <v>3.65</v>
      </c>
      <c r="P1508">
        <v>51.6</v>
      </c>
    </row>
    <row r="1509" spans="1:16" x14ac:dyDescent="0.3">
      <c r="A1509">
        <v>63298</v>
      </c>
      <c r="B1509">
        <v>116</v>
      </c>
      <c r="C1509" t="s">
        <v>568</v>
      </c>
      <c r="D1509" s="453">
        <v>45992</v>
      </c>
      <c r="E1509">
        <v>19574</v>
      </c>
      <c r="F1509" t="s">
        <v>4077</v>
      </c>
      <c r="G1509">
        <v>2644</v>
      </c>
      <c r="H1509">
        <v>1</v>
      </c>
      <c r="I1509" t="s">
        <v>3892</v>
      </c>
      <c r="J1509" t="s">
        <v>3469</v>
      </c>
      <c r="K1509" t="s">
        <v>3393</v>
      </c>
      <c r="L1509">
        <v>0</v>
      </c>
      <c r="M1509" s="453">
        <v>45936</v>
      </c>
      <c r="N1509">
        <v>48</v>
      </c>
      <c r="O1509">
        <v>70</v>
      </c>
      <c r="P1509">
        <v>48</v>
      </c>
    </row>
    <row r="1510" spans="1:16" x14ac:dyDescent="0.3">
      <c r="A1510">
        <v>63164</v>
      </c>
      <c r="B1510">
        <v>116</v>
      </c>
      <c r="C1510" t="s">
        <v>568</v>
      </c>
      <c r="D1510" s="453">
        <v>45992</v>
      </c>
      <c r="E1510">
        <v>19415</v>
      </c>
      <c r="F1510" t="s">
        <v>3941</v>
      </c>
      <c r="G1510">
        <v>2759</v>
      </c>
      <c r="H1510">
        <v>6</v>
      </c>
      <c r="I1510" t="s">
        <v>3872</v>
      </c>
      <c r="J1510" t="s">
        <v>3469</v>
      </c>
      <c r="K1510" t="s">
        <v>3393</v>
      </c>
      <c r="L1510">
        <v>7.8</v>
      </c>
      <c r="M1510" s="453">
        <v>45986</v>
      </c>
      <c r="N1510">
        <v>7.8</v>
      </c>
      <c r="O1510">
        <v>7.8</v>
      </c>
      <c r="P1510">
        <v>46.8</v>
      </c>
    </row>
    <row r="1511" spans="1:16" x14ac:dyDescent="0.3">
      <c r="A1511">
        <v>63202</v>
      </c>
      <c r="B1511">
        <v>116</v>
      </c>
      <c r="C1511" t="s">
        <v>568</v>
      </c>
      <c r="D1511" s="453">
        <v>45992</v>
      </c>
      <c r="E1511">
        <v>19973</v>
      </c>
      <c r="F1511" t="s">
        <v>3981</v>
      </c>
      <c r="G1511">
        <v>2354</v>
      </c>
      <c r="H1511">
        <v>3</v>
      </c>
      <c r="I1511" t="s">
        <v>3872</v>
      </c>
      <c r="J1511" t="s">
        <v>3469</v>
      </c>
      <c r="K1511" t="s">
        <v>3393</v>
      </c>
      <c r="L1511">
        <v>15.2</v>
      </c>
      <c r="M1511" s="453">
        <v>45986</v>
      </c>
      <c r="N1511">
        <v>15.2</v>
      </c>
      <c r="O1511">
        <v>15.2</v>
      </c>
      <c r="P1511">
        <v>45.6</v>
      </c>
    </row>
    <row r="1512" spans="1:16" x14ac:dyDescent="0.3">
      <c r="A1512">
        <v>63239</v>
      </c>
      <c r="B1512">
        <v>116</v>
      </c>
      <c r="C1512" t="s">
        <v>568</v>
      </c>
      <c r="D1512" s="453">
        <v>45992</v>
      </c>
      <c r="E1512">
        <v>23234</v>
      </c>
      <c r="F1512" t="s">
        <v>4018</v>
      </c>
      <c r="G1512">
        <v>2622</v>
      </c>
      <c r="H1512">
        <v>2</v>
      </c>
      <c r="I1512" t="s">
        <v>3892</v>
      </c>
      <c r="J1512" t="s">
        <v>3469</v>
      </c>
      <c r="K1512" t="s">
        <v>3393</v>
      </c>
      <c r="L1512">
        <v>22.25</v>
      </c>
      <c r="M1512" s="453">
        <v>45980</v>
      </c>
      <c r="N1512">
        <v>22</v>
      </c>
      <c r="O1512">
        <v>23</v>
      </c>
      <c r="P1512">
        <v>44.5</v>
      </c>
    </row>
    <row r="1513" spans="1:16" x14ac:dyDescent="0.3">
      <c r="A1513">
        <v>63235</v>
      </c>
      <c r="B1513">
        <v>116</v>
      </c>
      <c r="C1513" t="s">
        <v>568</v>
      </c>
      <c r="D1513" s="453">
        <v>45992</v>
      </c>
      <c r="E1513">
        <v>19652</v>
      </c>
      <c r="F1513" t="s">
        <v>4014</v>
      </c>
      <c r="G1513">
        <v>2587</v>
      </c>
      <c r="H1513">
        <v>2</v>
      </c>
      <c r="I1513" t="s">
        <v>3892</v>
      </c>
      <c r="J1513" t="s">
        <v>3469</v>
      </c>
      <c r="K1513" t="s">
        <v>3393</v>
      </c>
      <c r="L1513">
        <v>21.77</v>
      </c>
      <c r="M1513" s="453">
        <v>45988</v>
      </c>
      <c r="N1513">
        <v>21.75</v>
      </c>
      <c r="O1513">
        <v>21.75</v>
      </c>
      <c r="P1513">
        <v>43.54</v>
      </c>
    </row>
    <row r="1514" spans="1:16" x14ac:dyDescent="0.3">
      <c r="A1514">
        <v>63264</v>
      </c>
      <c r="B1514">
        <v>116</v>
      </c>
      <c r="C1514" t="s">
        <v>568</v>
      </c>
      <c r="D1514" s="453">
        <v>45992</v>
      </c>
      <c r="E1514">
        <v>18702</v>
      </c>
      <c r="F1514" t="s">
        <v>4043</v>
      </c>
      <c r="G1514">
        <v>3033</v>
      </c>
      <c r="H1514">
        <v>1.5</v>
      </c>
      <c r="I1514" t="s">
        <v>3892</v>
      </c>
      <c r="J1514" t="s">
        <v>3469</v>
      </c>
      <c r="K1514" t="s">
        <v>3393</v>
      </c>
      <c r="L1514">
        <v>0</v>
      </c>
      <c r="M1514" s="453">
        <v>45930</v>
      </c>
      <c r="N1514">
        <v>28.9</v>
      </c>
      <c r="O1514">
        <v>28.9</v>
      </c>
      <c r="P1514">
        <v>43.35</v>
      </c>
    </row>
    <row r="1515" spans="1:16" x14ac:dyDescent="0.3">
      <c r="A1515">
        <v>63148</v>
      </c>
      <c r="B1515">
        <v>116</v>
      </c>
      <c r="C1515" t="s">
        <v>568</v>
      </c>
      <c r="D1515" s="453">
        <v>45992</v>
      </c>
      <c r="E1515">
        <v>24002</v>
      </c>
      <c r="F1515" t="s">
        <v>3924</v>
      </c>
      <c r="G1515">
        <v>3614</v>
      </c>
      <c r="H1515">
        <v>9</v>
      </c>
      <c r="I1515" t="s">
        <v>3872</v>
      </c>
      <c r="J1515" t="s">
        <v>3497</v>
      </c>
      <c r="K1515" t="s">
        <v>3393</v>
      </c>
      <c r="L1515">
        <v>4.71</v>
      </c>
      <c r="M1515" s="453">
        <v>45987</v>
      </c>
      <c r="N1515">
        <v>4.95</v>
      </c>
      <c r="O1515">
        <v>4.95</v>
      </c>
      <c r="P1515">
        <v>42.39</v>
      </c>
    </row>
    <row r="1516" spans="1:16" x14ac:dyDescent="0.3">
      <c r="A1516">
        <v>63190</v>
      </c>
      <c r="B1516">
        <v>116</v>
      </c>
      <c r="C1516" t="s">
        <v>568</v>
      </c>
      <c r="D1516" s="453">
        <v>45992</v>
      </c>
      <c r="E1516">
        <v>20227</v>
      </c>
      <c r="F1516" t="s">
        <v>3968</v>
      </c>
      <c r="G1516">
        <v>2248</v>
      </c>
      <c r="H1516">
        <v>4</v>
      </c>
      <c r="I1516" t="s">
        <v>3888</v>
      </c>
      <c r="J1516" t="s">
        <v>3469</v>
      </c>
      <c r="K1516" t="s">
        <v>3393</v>
      </c>
      <c r="L1516">
        <v>10.45</v>
      </c>
      <c r="M1516" s="453">
        <v>45986</v>
      </c>
      <c r="N1516">
        <v>10.14</v>
      </c>
      <c r="O1516">
        <v>10.14</v>
      </c>
      <c r="P1516">
        <v>41.8</v>
      </c>
    </row>
    <row r="1517" spans="1:16" x14ac:dyDescent="0.3">
      <c r="A1517">
        <v>63320</v>
      </c>
      <c r="B1517">
        <v>116</v>
      </c>
      <c r="C1517" t="s">
        <v>568</v>
      </c>
      <c r="D1517" s="453">
        <v>45992</v>
      </c>
      <c r="E1517">
        <v>18545</v>
      </c>
      <c r="F1517" t="s">
        <v>4099</v>
      </c>
      <c r="G1517">
        <v>3134</v>
      </c>
      <c r="H1517">
        <v>0.9</v>
      </c>
      <c r="I1517" t="s">
        <v>3878</v>
      </c>
      <c r="J1517" t="s">
        <v>3497</v>
      </c>
      <c r="K1517" t="s">
        <v>3393</v>
      </c>
      <c r="L1517">
        <v>0</v>
      </c>
      <c r="M1517" s="453">
        <v>45902</v>
      </c>
      <c r="N1517">
        <v>45.51</v>
      </c>
      <c r="O1517">
        <v>44.5</v>
      </c>
      <c r="P1517">
        <v>40.96</v>
      </c>
    </row>
    <row r="1518" spans="1:16" x14ac:dyDescent="0.3">
      <c r="A1518">
        <v>63228</v>
      </c>
      <c r="B1518">
        <v>116</v>
      </c>
      <c r="C1518" t="s">
        <v>568</v>
      </c>
      <c r="D1518" s="453">
        <v>45992</v>
      </c>
      <c r="E1518">
        <v>20549</v>
      </c>
      <c r="F1518" t="s">
        <v>4007</v>
      </c>
      <c r="G1518">
        <v>2141</v>
      </c>
      <c r="H1518">
        <v>2</v>
      </c>
      <c r="I1518" t="s">
        <v>3892</v>
      </c>
      <c r="J1518" t="s">
        <v>3469</v>
      </c>
      <c r="K1518" t="s">
        <v>3393</v>
      </c>
      <c r="L1518">
        <v>19.989999999999998</v>
      </c>
      <c r="M1518" s="453">
        <v>45986</v>
      </c>
      <c r="N1518">
        <v>19.989999999999998</v>
      </c>
      <c r="O1518">
        <v>19.989999999999998</v>
      </c>
      <c r="P1518">
        <v>39.979999999999997</v>
      </c>
    </row>
    <row r="1519" spans="1:16" x14ac:dyDescent="0.3">
      <c r="A1519">
        <v>63174</v>
      </c>
      <c r="B1519">
        <v>116</v>
      </c>
      <c r="C1519" t="s">
        <v>568</v>
      </c>
      <c r="D1519" s="453">
        <v>45992</v>
      </c>
      <c r="E1519">
        <v>25167</v>
      </c>
      <c r="F1519" t="s">
        <v>3951</v>
      </c>
      <c r="G1519">
        <v>5930</v>
      </c>
      <c r="H1519">
        <v>5</v>
      </c>
      <c r="I1519" t="s">
        <v>3892</v>
      </c>
      <c r="J1519" t="s">
        <v>3469</v>
      </c>
      <c r="K1519" t="s">
        <v>3393</v>
      </c>
      <c r="L1519">
        <v>0</v>
      </c>
      <c r="M1519" s="453">
        <v>45840</v>
      </c>
      <c r="N1519">
        <v>7.9</v>
      </c>
      <c r="O1519">
        <v>7.9</v>
      </c>
      <c r="P1519">
        <v>39.5</v>
      </c>
    </row>
    <row r="1520" spans="1:16" x14ac:dyDescent="0.3">
      <c r="A1520">
        <v>63213</v>
      </c>
      <c r="B1520">
        <v>116</v>
      </c>
      <c r="C1520" t="s">
        <v>568</v>
      </c>
      <c r="D1520" s="453">
        <v>45992</v>
      </c>
      <c r="E1520">
        <v>24403</v>
      </c>
      <c r="F1520" t="s">
        <v>3992</v>
      </c>
      <c r="G1520">
        <v>3049</v>
      </c>
      <c r="H1520">
        <v>3</v>
      </c>
      <c r="I1520" t="s">
        <v>3892</v>
      </c>
      <c r="J1520" t="s">
        <v>3469</v>
      </c>
      <c r="K1520" t="s">
        <v>3393</v>
      </c>
      <c r="L1520">
        <v>12.99</v>
      </c>
      <c r="M1520" s="453">
        <v>45986</v>
      </c>
      <c r="N1520">
        <v>12.99</v>
      </c>
      <c r="O1520">
        <v>12.99</v>
      </c>
      <c r="P1520">
        <v>38.97</v>
      </c>
    </row>
    <row r="1521" spans="1:16" x14ac:dyDescent="0.3">
      <c r="A1521">
        <v>63307</v>
      </c>
      <c r="B1521">
        <v>116</v>
      </c>
      <c r="C1521" t="s">
        <v>568</v>
      </c>
      <c r="D1521" s="453">
        <v>45992</v>
      </c>
      <c r="E1521">
        <v>18341</v>
      </c>
      <c r="F1521" t="s">
        <v>4086</v>
      </c>
      <c r="G1521">
        <v>3293</v>
      </c>
      <c r="H1521">
        <v>1</v>
      </c>
      <c r="I1521" t="s">
        <v>3878</v>
      </c>
      <c r="J1521" t="s">
        <v>3497</v>
      </c>
      <c r="K1521" t="s">
        <v>3393</v>
      </c>
      <c r="L1521">
        <v>0</v>
      </c>
      <c r="N1521">
        <v>0</v>
      </c>
      <c r="O1521">
        <v>50</v>
      </c>
      <c r="P1521">
        <v>38</v>
      </c>
    </row>
    <row r="1522" spans="1:16" x14ac:dyDescent="0.3">
      <c r="A1522">
        <v>63244</v>
      </c>
      <c r="B1522">
        <v>116</v>
      </c>
      <c r="C1522" t="s">
        <v>568</v>
      </c>
      <c r="D1522" s="453">
        <v>45992</v>
      </c>
      <c r="E1522">
        <v>19572</v>
      </c>
      <c r="F1522" t="s">
        <v>4023</v>
      </c>
      <c r="G1522">
        <v>2646</v>
      </c>
      <c r="H1522">
        <v>2</v>
      </c>
      <c r="I1522" t="s">
        <v>3892</v>
      </c>
      <c r="J1522" t="s">
        <v>3469</v>
      </c>
      <c r="K1522" t="s">
        <v>3393</v>
      </c>
      <c r="L1522">
        <v>18.93</v>
      </c>
      <c r="M1522" s="453">
        <v>45980</v>
      </c>
      <c r="N1522">
        <v>15</v>
      </c>
      <c r="O1522">
        <v>15</v>
      </c>
      <c r="P1522">
        <v>37.86</v>
      </c>
    </row>
    <row r="1523" spans="1:16" x14ac:dyDescent="0.3">
      <c r="A1523">
        <v>63259</v>
      </c>
      <c r="B1523">
        <v>116</v>
      </c>
      <c r="C1523" t="s">
        <v>568</v>
      </c>
      <c r="D1523" s="453">
        <v>45992</v>
      </c>
      <c r="E1523">
        <v>17609</v>
      </c>
      <c r="F1523" t="s">
        <v>4038</v>
      </c>
      <c r="G1523">
        <v>3917</v>
      </c>
      <c r="H1523">
        <v>2</v>
      </c>
      <c r="I1523" t="s">
        <v>3878</v>
      </c>
      <c r="J1523" t="s">
        <v>3497</v>
      </c>
      <c r="K1523" t="s">
        <v>3393</v>
      </c>
      <c r="L1523">
        <v>0</v>
      </c>
      <c r="M1523" s="453">
        <v>45573</v>
      </c>
      <c r="N1523">
        <v>18.899999999999999</v>
      </c>
      <c r="O1523">
        <v>18.899999999999999</v>
      </c>
      <c r="P1523">
        <v>37.799999999999997</v>
      </c>
    </row>
    <row r="1524" spans="1:16" x14ac:dyDescent="0.3">
      <c r="A1524">
        <v>63290</v>
      </c>
      <c r="B1524">
        <v>116</v>
      </c>
      <c r="C1524" t="s">
        <v>568</v>
      </c>
      <c r="D1524" s="453">
        <v>45992</v>
      </c>
      <c r="E1524">
        <v>19779</v>
      </c>
      <c r="F1524" t="s">
        <v>4069</v>
      </c>
      <c r="G1524">
        <v>2479</v>
      </c>
      <c r="H1524">
        <v>1</v>
      </c>
      <c r="I1524" t="s">
        <v>3892</v>
      </c>
      <c r="J1524" t="s">
        <v>3469</v>
      </c>
      <c r="K1524" t="s">
        <v>3393</v>
      </c>
      <c r="L1524">
        <v>0</v>
      </c>
      <c r="M1524" s="453">
        <v>45826</v>
      </c>
      <c r="N1524">
        <v>37</v>
      </c>
      <c r="O1524">
        <v>30</v>
      </c>
      <c r="P1524">
        <v>37</v>
      </c>
    </row>
    <row r="1525" spans="1:16" x14ac:dyDescent="0.3">
      <c r="A1525">
        <v>63293</v>
      </c>
      <c r="B1525">
        <v>116</v>
      </c>
      <c r="C1525" t="s">
        <v>568</v>
      </c>
      <c r="D1525" s="453">
        <v>45992</v>
      </c>
      <c r="E1525">
        <v>19478</v>
      </c>
      <c r="F1525" t="s">
        <v>4072</v>
      </c>
      <c r="G1525">
        <v>2728</v>
      </c>
      <c r="H1525">
        <v>1</v>
      </c>
      <c r="I1525" t="s">
        <v>3892</v>
      </c>
      <c r="J1525" t="s">
        <v>3469</v>
      </c>
      <c r="K1525" t="s">
        <v>3393</v>
      </c>
      <c r="L1525">
        <v>0</v>
      </c>
      <c r="M1525" s="453">
        <v>45950</v>
      </c>
      <c r="N1525">
        <v>36.979999999999997</v>
      </c>
      <c r="O1525">
        <v>80</v>
      </c>
      <c r="P1525">
        <v>36.979999999999997</v>
      </c>
    </row>
    <row r="1526" spans="1:16" x14ac:dyDescent="0.3">
      <c r="A1526">
        <v>63262</v>
      </c>
      <c r="B1526">
        <v>116</v>
      </c>
      <c r="C1526" t="s">
        <v>568</v>
      </c>
      <c r="D1526" s="453">
        <v>45992</v>
      </c>
      <c r="E1526">
        <v>23503</v>
      </c>
      <c r="F1526" t="s">
        <v>4041</v>
      </c>
      <c r="G1526">
        <v>2366</v>
      </c>
      <c r="H1526">
        <v>1.5</v>
      </c>
      <c r="I1526" t="s">
        <v>3892</v>
      </c>
      <c r="J1526" t="s">
        <v>3469</v>
      </c>
      <c r="K1526" t="s">
        <v>3393</v>
      </c>
      <c r="L1526">
        <v>0</v>
      </c>
      <c r="M1526" s="453">
        <v>45951</v>
      </c>
      <c r="N1526">
        <v>23.9</v>
      </c>
      <c r="O1526">
        <v>23.8</v>
      </c>
      <c r="P1526">
        <v>35.85</v>
      </c>
    </row>
    <row r="1527" spans="1:16" x14ac:dyDescent="0.3">
      <c r="A1527">
        <v>63297</v>
      </c>
      <c r="B1527">
        <v>116</v>
      </c>
      <c r="C1527" t="s">
        <v>568</v>
      </c>
      <c r="D1527" s="453">
        <v>45992</v>
      </c>
      <c r="E1527">
        <v>19583</v>
      </c>
      <c r="F1527" t="s">
        <v>4076</v>
      </c>
      <c r="G1527">
        <v>2639</v>
      </c>
      <c r="H1527">
        <v>1</v>
      </c>
      <c r="I1527" t="s">
        <v>3892</v>
      </c>
      <c r="J1527" t="s">
        <v>3469</v>
      </c>
      <c r="K1527" t="s">
        <v>3393</v>
      </c>
      <c r="L1527">
        <v>35</v>
      </c>
      <c r="M1527" s="453">
        <v>45974</v>
      </c>
      <c r="N1527">
        <v>35</v>
      </c>
      <c r="O1527">
        <v>40</v>
      </c>
      <c r="P1527">
        <v>35</v>
      </c>
    </row>
    <row r="1528" spans="1:16" x14ac:dyDescent="0.3">
      <c r="A1528">
        <v>63261</v>
      </c>
      <c r="B1528">
        <v>116</v>
      </c>
      <c r="C1528" t="s">
        <v>568</v>
      </c>
      <c r="D1528" s="453">
        <v>45992</v>
      </c>
      <c r="E1528">
        <v>24185</v>
      </c>
      <c r="F1528" t="s">
        <v>4040</v>
      </c>
      <c r="G1528">
        <v>2331</v>
      </c>
      <c r="H1528">
        <v>1.5</v>
      </c>
      <c r="I1528" t="s">
        <v>3892</v>
      </c>
      <c r="J1528" t="s">
        <v>3469</v>
      </c>
      <c r="K1528" t="s">
        <v>3393</v>
      </c>
      <c r="L1528">
        <v>23.1</v>
      </c>
      <c r="M1528" s="453">
        <v>45972</v>
      </c>
      <c r="N1528">
        <v>23.1</v>
      </c>
      <c r="O1528">
        <v>23.1</v>
      </c>
      <c r="P1528">
        <v>34.65</v>
      </c>
    </row>
    <row r="1529" spans="1:16" x14ac:dyDescent="0.3">
      <c r="A1529">
        <v>63281</v>
      </c>
      <c r="B1529">
        <v>116</v>
      </c>
      <c r="C1529" t="s">
        <v>568</v>
      </c>
      <c r="D1529" s="453">
        <v>45992</v>
      </c>
      <c r="E1529">
        <v>20832</v>
      </c>
      <c r="F1529" t="s">
        <v>4060</v>
      </c>
      <c r="G1529">
        <v>2065</v>
      </c>
      <c r="H1529">
        <v>1</v>
      </c>
      <c r="I1529" t="s">
        <v>3886</v>
      </c>
      <c r="J1529" t="s">
        <v>3469</v>
      </c>
      <c r="K1529" t="s">
        <v>3393</v>
      </c>
      <c r="L1529">
        <v>34.200000000000003</v>
      </c>
      <c r="M1529" s="453">
        <v>45978</v>
      </c>
      <c r="N1529">
        <v>34.200000000000003</v>
      </c>
      <c r="O1529">
        <v>36.5</v>
      </c>
      <c r="P1529">
        <v>34.200000000000003</v>
      </c>
    </row>
    <row r="1530" spans="1:16" x14ac:dyDescent="0.3">
      <c r="A1530">
        <v>63126</v>
      </c>
      <c r="B1530">
        <v>116</v>
      </c>
      <c r="C1530" t="s">
        <v>568</v>
      </c>
      <c r="D1530" s="453">
        <v>45992</v>
      </c>
      <c r="E1530">
        <v>22042</v>
      </c>
      <c r="F1530" t="s">
        <v>3901</v>
      </c>
      <c r="G1530">
        <v>3658</v>
      </c>
      <c r="H1530">
        <v>15</v>
      </c>
      <c r="I1530" t="s">
        <v>3872</v>
      </c>
      <c r="J1530" t="s">
        <v>3497</v>
      </c>
      <c r="K1530" t="s">
        <v>3393</v>
      </c>
      <c r="L1530">
        <v>0</v>
      </c>
      <c r="M1530" s="453">
        <v>45677</v>
      </c>
      <c r="N1530">
        <v>2.19</v>
      </c>
      <c r="O1530">
        <v>1.99</v>
      </c>
      <c r="P1530">
        <v>32.85</v>
      </c>
    </row>
    <row r="1531" spans="1:16" x14ac:dyDescent="0.3">
      <c r="A1531">
        <v>63280</v>
      </c>
      <c r="B1531">
        <v>116</v>
      </c>
      <c r="C1531" t="s">
        <v>568</v>
      </c>
      <c r="D1531" s="453">
        <v>45992</v>
      </c>
      <c r="E1531">
        <v>20213</v>
      </c>
      <c r="F1531" t="s">
        <v>4059</v>
      </c>
      <c r="G1531">
        <v>2251</v>
      </c>
      <c r="H1531">
        <v>1</v>
      </c>
      <c r="I1531" t="s">
        <v>3888</v>
      </c>
      <c r="J1531" t="s">
        <v>3469</v>
      </c>
      <c r="K1531" t="s">
        <v>3393</v>
      </c>
      <c r="L1531">
        <v>32.200000000000003</v>
      </c>
      <c r="M1531" s="453">
        <v>45962</v>
      </c>
      <c r="N1531">
        <v>32.200000000000003</v>
      </c>
      <c r="O1531">
        <v>31.74</v>
      </c>
      <c r="P1531">
        <v>32.200000000000003</v>
      </c>
    </row>
    <row r="1532" spans="1:16" x14ac:dyDescent="0.3">
      <c r="A1532">
        <v>63292</v>
      </c>
      <c r="B1532">
        <v>116</v>
      </c>
      <c r="C1532" t="s">
        <v>568</v>
      </c>
      <c r="D1532" s="453">
        <v>45992</v>
      </c>
      <c r="E1532">
        <v>19765</v>
      </c>
      <c r="F1532" t="s">
        <v>4071</v>
      </c>
      <c r="G1532">
        <v>2488</v>
      </c>
      <c r="H1532">
        <v>1</v>
      </c>
      <c r="I1532" t="s">
        <v>3892</v>
      </c>
      <c r="J1532" t="s">
        <v>3469</v>
      </c>
      <c r="K1532" t="s">
        <v>3393</v>
      </c>
      <c r="L1532">
        <v>0</v>
      </c>
      <c r="M1532" s="453">
        <v>45943</v>
      </c>
      <c r="N1532">
        <v>32</v>
      </c>
      <c r="O1532">
        <v>34.08</v>
      </c>
      <c r="P1532">
        <v>32</v>
      </c>
    </row>
    <row r="1533" spans="1:16" x14ac:dyDescent="0.3">
      <c r="A1533">
        <v>63306</v>
      </c>
      <c r="B1533">
        <v>116</v>
      </c>
      <c r="C1533" t="s">
        <v>568</v>
      </c>
      <c r="D1533" s="453">
        <v>45992</v>
      </c>
      <c r="E1533">
        <v>18395</v>
      </c>
      <c r="F1533" t="s">
        <v>4085</v>
      </c>
      <c r="G1533">
        <v>3245</v>
      </c>
      <c r="H1533">
        <v>1</v>
      </c>
      <c r="I1533" t="s">
        <v>3878</v>
      </c>
      <c r="J1533" t="s">
        <v>3497</v>
      </c>
      <c r="K1533" t="s">
        <v>3393</v>
      </c>
      <c r="L1533">
        <v>32</v>
      </c>
      <c r="M1533" s="453">
        <v>45978</v>
      </c>
      <c r="N1533">
        <v>32</v>
      </c>
      <c r="O1533">
        <v>32.14</v>
      </c>
      <c r="P1533">
        <v>32</v>
      </c>
    </row>
    <row r="1534" spans="1:16" x14ac:dyDescent="0.3">
      <c r="A1534">
        <v>63248</v>
      </c>
      <c r="B1534">
        <v>116</v>
      </c>
      <c r="C1534" t="s">
        <v>568</v>
      </c>
      <c r="D1534" s="453">
        <v>45992</v>
      </c>
      <c r="E1534">
        <v>18447</v>
      </c>
      <c r="F1534" t="s">
        <v>4027</v>
      </c>
      <c r="G1534">
        <v>3204</v>
      </c>
      <c r="H1534">
        <v>2</v>
      </c>
      <c r="I1534" t="s">
        <v>3878</v>
      </c>
      <c r="J1534" t="s">
        <v>3497</v>
      </c>
      <c r="K1534" t="s">
        <v>3393</v>
      </c>
      <c r="L1534">
        <v>0</v>
      </c>
      <c r="M1534" s="453">
        <v>45931</v>
      </c>
      <c r="N1534">
        <v>15.8</v>
      </c>
      <c r="O1534">
        <v>15.8</v>
      </c>
      <c r="P1534">
        <v>31.6</v>
      </c>
    </row>
    <row r="1535" spans="1:16" x14ac:dyDescent="0.3">
      <c r="A1535">
        <v>63242</v>
      </c>
      <c r="B1535">
        <v>116</v>
      </c>
      <c r="C1535" t="s">
        <v>568</v>
      </c>
      <c r="D1535" s="453">
        <v>45992</v>
      </c>
      <c r="E1535">
        <v>19576</v>
      </c>
      <c r="F1535" t="s">
        <v>4021</v>
      </c>
      <c r="G1535">
        <v>2642</v>
      </c>
      <c r="H1535">
        <v>2</v>
      </c>
      <c r="I1535" t="s">
        <v>3892</v>
      </c>
      <c r="J1535" t="s">
        <v>3469</v>
      </c>
      <c r="K1535" t="s">
        <v>3393</v>
      </c>
      <c r="L1535">
        <v>0</v>
      </c>
      <c r="M1535" s="453">
        <v>45936</v>
      </c>
      <c r="N1535">
        <v>15</v>
      </c>
      <c r="O1535">
        <v>15</v>
      </c>
      <c r="P1535">
        <v>30</v>
      </c>
    </row>
    <row r="1536" spans="1:16" x14ac:dyDescent="0.3">
      <c r="A1536">
        <v>63270</v>
      </c>
      <c r="B1536">
        <v>116</v>
      </c>
      <c r="C1536" t="s">
        <v>568</v>
      </c>
      <c r="D1536" s="453">
        <v>45992</v>
      </c>
      <c r="E1536">
        <v>21078</v>
      </c>
      <c r="F1536" t="s">
        <v>4049</v>
      </c>
      <c r="G1536">
        <v>1991</v>
      </c>
      <c r="H1536">
        <v>1</v>
      </c>
      <c r="I1536" t="s">
        <v>3881</v>
      </c>
      <c r="J1536" t="s">
        <v>3469</v>
      </c>
      <c r="K1536" t="s">
        <v>3393</v>
      </c>
      <c r="L1536">
        <v>0</v>
      </c>
      <c r="N1536">
        <v>0</v>
      </c>
      <c r="O1536">
        <v>61.94</v>
      </c>
      <c r="P1536">
        <v>29.9</v>
      </c>
    </row>
    <row r="1537" spans="1:16" x14ac:dyDescent="0.3">
      <c r="A1537">
        <v>63210</v>
      </c>
      <c r="B1537">
        <v>116</v>
      </c>
      <c r="C1537" t="s">
        <v>568</v>
      </c>
      <c r="D1537" s="453">
        <v>45992</v>
      </c>
      <c r="E1537">
        <v>19034</v>
      </c>
      <c r="F1537" t="s">
        <v>3989</v>
      </c>
      <c r="G1537">
        <v>2890</v>
      </c>
      <c r="H1537">
        <v>3</v>
      </c>
      <c r="I1537" t="s">
        <v>3892</v>
      </c>
      <c r="J1537" t="s">
        <v>3469</v>
      </c>
      <c r="K1537" t="s">
        <v>3393</v>
      </c>
      <c r="L1537">
        <v>9.9</v>
      </c>
      <c r="M1537" s="453">
        <v>45965</v>
      </c>
      <c r="N1537">
        <v>9.9</v>
      </c>
      <c r="O1537">
        <v>10.1</v>
      </c>
      <c r="P1537">
        <v>29.7</v>
      </c>
    </row>
    <row r="1538" spans="1:16" x14ac:dyDescent="0.3">
      <c r="A1538">
        <v>63111</v>
      </c>
      <c r="B1538">
        <v>116</v>
      </c>
      <c r="C1538" t="s">
        <v>568</v>
      </c>
      <c r="D1538" s="453">
        <v>45992</v>
      </c>
      <c r="E1538">
        <v>23095</v>
      </c>
      <c r="F1538" t="s">
        <v>3882</v>
      </c>
      <c r="G1538">
        <v>2754</v>
      </c>
      <c r="H1538">
        <v>30</v>
      </c>
      <c r="I1538" t="s">
        <v>3872</v>
      </c>
      <c r="J1538" t="s">
        <v>3469</v>
      </c>
      <c r="K1538" t="s">
        <v>3393</v>
      </c>
      <c r="L1538">
        <v>0.96</v>
      </c>
      <c r="M1538" s="453">
        <v>45988</v>
      </c>
      <c r="N1538">
        <v>0.94</v>
      </c>
      <c r="O1538">
        <v>0.94</v>
      </c>
      <c r="P1538">
        <v>28.8</v>
      </c>
    </row>
    <row r="1539" spans="1:16" x14ac:dyDescent="0.3">
      <c r="A1539">
        <v>63276</v>
      </c>
      <c r="B1539">
        <v>116</v>
      </c>
      <c r="C1539" t="s">
        <v>568</v>
      </c>
      <c r="D1539" s="453">
        <v>45992</v>
      </c>
      <c r="E1539">
        <v>20717</v>
      </c>
      <c r="F1539" t="s">
        <v>4055</v>
      </c>
      <c r="G1539">
        <v>2097</v>
      </c>
      <c r="H1539">
        <v>1</v>
      </c>
      <c r="I1539" t="s">
        <v>3872</v>
      </c>
      <c r="J1539" t="s">
        <v>3469</v>
      </c>
      <c r="K1539" t="s">
        <v>3393</v>
      </c>
      <c r="L1539">
        <v>28.73</v>
      </c>
      <c r="M1539" s="453">
        <v>45986</v>
      </c>
      <c r="N1539">
        <v>43.1</v>
      </c>
      <c r="O1539">
        <v>43.1</v>
      </c>
      <c r="P1539">
        <v>28.73</v>
      </c>
    </row>
    <row r="1540" spans="1:16" x14ac:dyDescent="0.3">
      <c r="A1540">
        <v>63316</v>
      </c>
      <c r="B1540">
        <v>116</v>
      </c>
      <c r="C1540" t="s">
        <v>568</v>
      </c>
      <c r="D1540" s="453">
        <v>45992</v>
      </c>
      <c r="E1540">
        <v>17881</v>
      </c>
      <c r="F1540" t="s">
        <v>4095</v>
      </c>
      <c r="G1540">
        <v>3675</v>
      </c>
      <c r="H1540">
        <v>1</v>
      </c>
      <c r="I1540" t="s">
        <v>3888</v>
      </c>
      <c r="J1540" t="s">
        <v>3497</v>
      </c>
      <c r="K1540" t="s">
        <v>3393</v>
      </c>
      <c r="L1540">
        <v>28.32</v>
      </c>
      <c r="M1540" s="453">
        <v>45972</v>
      </c>
      <c r="N1540">
        <v>28.32</v>
      </c>
      <c r="O1540">
        <v>28.32</v>
      </c>
      <c r="P1540">
        <v>28.32</v>
      </c>
    </row>
    <row r="1541" spans="1:16" x14ac:dyDescent="0.3">
      <c r="A1541">
        <v>63163</v>
      </c>
      <c r="B1541">
        <v>116</v>
      </c>
      <c r="C1541" t="s">
        <v>568</v>
      </c>
      <c r="D1541" s="453">
        <v>45992</v>
      </c>
      <c r="E1541">
        <v>19787</v>
      </c>
      <c r="F1541" t="s">
        <v>3940</v>
      </c>
      <c r="G1541">
        <v>2471</v>
      </c>
      <c r="H1541">
        <v>6</v>
      </c>
      <c r="I1541" t="s">
        <v>3892</v>
      </c>
      <c r="J1541" t="s">
        <v>3469</v>
      </c>
      <c r="K1541" t="s">
        <v>3393</v>
      </c>
      <c r="L1541">
        <v>4.67</v>
      </c>
      <c r="M1541" s="453">
        <v>45988</v>
      </c>
      <c r="N1541">
        <v>4.7</v>
      </c>
      <c r="O1541">
        <v>4.7</v>
      </c>
      <c r="P1541">
        <v>28.02</v>
      </c>
    </row>
    <row r="1542" spans="1:16" x14ac:dyDescent="0.3">
      <c r="A1542">
        <v>63145</v>
      </c>
      <c r="B1542">
        <v>116</v>
      </c>
      <c r="C1542" t="s">
        <v>568</v>
      </c>
      <c r="D1542" s="453">
        <v>45992</v>
      </c>
      <c r="E1542">
        <v>19917</v>
      </c>
      <c r="F1542" t="s">
        <v>3920</v>
      </c>
      <c r="G1542">
        <v>2379</v>
      </c>
      <c r="H1542">
        <v>9</v>
      </c>
      <c r="I1542" t="s">
        <v>3888</v>
      </c>
      <c r="J1542" t="s">
        <v>3469</v>
      </c>
      <c r="K1542" t="s">
        <v>3393</v>
      </c>
      <c r="L1542">
        <v>0</v>
      </c>
      <c r="M1542" s="453">
        <v>45581</v>
      </c>
      <c r="N1542">
        <v>3.09</v>
      </c>
      <c r="O1542">
        <v>3.35</v>
      </c>
      <c r="P1542">
        <v>27.81</v>
      </c>
    </row>
    <row r="1543" spans="1:16" x14ac:dyDescent="0.3">
      <c r="A1543">
        <v>63192</v>
      </c>
      <c r="B1543">
        <v>116</v>
      </c>
      <c r="C1543" t="s">
        <v>568</v>
      </c>
      <c r="D1543" s="453">
        <v>45992</v>
      </c>
      <c r="E1543">
        <v>24227</v>
      </c>
      <c r="F1543" t="s">
        <v>3970</v>
      </c>
      <c r="G1543">
        <v>3648</v>
      </c>
      <c r="H1543">
        <v>4</v>
      </c>
      <c r="I1543" t="s">
        <v>3872</v>
      </c>
      <c r="J1543" t="s">
        <v>3497</v>
      </c>
      <c r="K1543" t="s">
        <v>3393</v>
      </c>
      <c r="L1543">
        <v>0</v>
      </c>
      <c r="N1543">
        <v>0</v>
      </c>
      <c r="O1543">
        <v>26.18</v>
      </c>
      <c r="P1543">
        <v>27.28</v>
      </c>
    </row>
    <row r="1544" spans="1:16" x14ac:dyDescent="0.3">
      <c r="A1544">
        <v>63107</v>
      </c>
      <c r="B1544">
        <v>116</v>
      </c>
      <c r="C1544" t="s">
        <v>568</v>
      </c>
      <c r="D1544" s="453">
        <v>45992</v>
      </c>
      <c r="E1544">
        <v>23096</v>
      </c>
      <c r="F1544" t="s">
        <v>3876</v>
      </c>
      <c r="G1544">
        <v>2753</v>
      </c>
      <c r="H1544">
        <v>45</v>
      </c>
      <c r="I1544" t="s">
        <v>3872</v>
      </c>
      <c r="J1544" t="s">
        <v>3469</v>
      </c>
      <c r="K1544" t="s">
        <v>3393</v>
      </c>
      <c r="L1544">
        <v>0.6</v>
      </c>
      <c r="M1544" s="453">
        <v>45988</v>
      </c>
      <c r="N1544">
        <v>0.55000000000000004</v>
      </c>
      <c r="O1544">
        <v>0.55000000000000004</v>
      </c>
      <c r="P1544">
        <v>27</v>
      </c>
    </row>
    <row r="1545" spans="1:16" x14ac:dyDescent="0.3">
      <c r="A1545">
        <v>63274</v>
      </c>
      <c r="B1545">
        <v>116</v>
      </c>
      <c r="C1545" t="s">
        <v>568</v>
      </c>
      <c r="D1545" s="453">
        <v>45992</v>
      </c>
      <c r="E1545">
        <v>20287</v>
      </c>
      <c r="F1545" t="s">
        <v>4053</v>
      </c>
      <c r="G1545">
        <v>2229</v>
      </c>
      <c r="H1545">
        <v>1</v>
      </c>
      <c r="I1545" t="s">
        <v>3888</v>
      </c>
      <c r="J1545" t="s">
        <v>3469</v>
      </c>
      <c r="K1545" t="s">
        <v>3393</v>
      </c>
      <c r="L1545">
        <v>26.92</v>
      </c>
      <c r="M1545" s="453">
        <v>45972</v>
      </c>
      <c r="N1545">
        <v>26.78</v>
      </c>
      <c r="O1545">
        <v>26.78</v>
      </c>
      <c r="P1545">
        <v>26.92</v>
      </c>
    </row>
    <row r="1546" spans="1:16" x14ac:dyDescent="0.3">
      <c r="A1546">
        <v>63285</v>
      </c>
      <c r="B1546">
        <v>116</v>
      </c>
      <c r="C1546" t="s">
        <v>568</v>
      </c>
      <c r="D1546" s="453">
        <v>45992</v>
      </c>
      <c r="E1546">
        <v>20610</v>
      </c>
      <c r="F1546" t="s">
        <v>4064</v>
      </c>
      <c r="G1546">
        <v>2120</v>
      </c>
      <c r="H1546">
        <v>1</v>
      </c>
      <c r="I1546" t="s">
        <v>3884</v>
      </c>
      <c r="J1546" t="s">
        <v>3469</v>
      </c>
      <c r="K1546" t="s">
        <v>3393</v>
      </c>
      <c r="L1546">
        <v>0</v>
      </c>
      <c r="M1546" s="453">
        <v>45770</v>
      </c>
      <c r="N1546">
        <v>26.9</v>
      </c>
      <c r="O1546">
        <v>24.9</v>
      </c>
      <c r="P1546">
        <v>26.9</v>
      </c>
    </row>
    <row r="1547" spans="1:16" x14ac:dyDescent="0.3">
      <c r="A1547">
        <v>63278</v>
      </c>
      <c r="B1547">
        <v>116</v>
      </c>
      <c r="C1547" t="s">
        <v>568</v>
      </c>
      <c r="D1547" s="453">
        <v>45992</v>
      </c>
      <c r="E1547">
        <v>20395</v>
      </c>
      <c r="F1547" t="s">
        <v>4057</v>
      </c>
      <c r="G1547">
        <v>2192</v>
      </c>
      <c r="H1547">
        <v>1</v>
      </c>
      <c r="I1547" t="s">
        <v>3872</v>
      </c>
      <c r="J1547" t="s">
        <v>3469</v>
      </c>
      <c r="K1547" t="s">
        <v>3393</v>
      </c>
      <c r="L1547">
        <v>26.8</v>
      </c>
      <c r="M1547" s="453">
        <v>45986</v>
      </c>
      <c r="N1547">
        <v>26.8</v>
      </c>
      <c r="O1547">
        <v>26.8</v>
      </c>
      <c r="P1547">
        <v>26.8</v>
      </c>
    </row>
    <row r="1548" spans="1:16" x14ac:dyDescent="0.3">
      <c r="A1548">
        <v>63256</v>
      </c>
      <c r="B1548">
        <v>116</v>
      </c>
      <c r="C1548" t="s">
        <v>568</v>
      </c>
      <c r="D1548" s="453">
        <v>45992</v>
      </c>
      <c r="E1548">
        <v>17942</v>
      </c>
      <c r="F1548" t="s">
        <v>4035</v>
      </c>
      <c r="G1548">
        <v>3630</v>
      </c>
      <c r="H1548">
        <v>2</v>
      </c>
      <c r="I1548" t="s">
        <v>3872</v>
      </c>
      <c r="J1548" t="s">
        <v>3497</v>
      </c>
      <c r="K1548" t="s">
        <v>3393</v>
      </c>
      <c r="L1548">
        <v>0</v>
      </c>
      <c r="M1548" s="453">
        <v>45803</v>
      </c>
      <c r="N1548">
        <v>13</v>
      </c>
      <c r="O1548">
        <v>13</v>
      </c>
      <c r="P1548">
        <v>26</v>
      </c>
    </row>
    <row r="1549" spans="1:16" x14ac:dyDescent="0.3">
      <c r="A1549">
        <v>63329</v>
      </c>
      <c r="B1549">
        <v>116</v>
      </c>
      <c r="C1549" t="s">
        <v>568</v>
      </c>
      <c r="D1549" s="453">
        <v>45992</v>
      </c>
      <c r="E1549">
        <v>18528</v>
      </c>
      <c r="F1549" t="s">
        <v>4108</v>
      </c>
      <c r="G1549">
        <v>3147</v>
      </c>
      <c r="H1549">
        <v>0.5</v>
      </c>
      <c r="I1549" t="s">
        <v>3878</v>
      </c>
      <c r="J1549" t="s">
        <v>3497</v>
      </c>
      <c r="K1549" t="s">
        <v>3393</v>
      </c>
      <c r="L1549">
        <v>0</v>
      </c>
      <c r="M1549" s="453">
        <v>45931</v>
      </c>
      <c r="N1549">
        <v>50.96</v>
      </c>
      <c r="O1549">
        <v>50.96</v>
      </c>
      <c r="P1549">
        <v>25.48</v>
      </c>
    </row>
    <row r="1550" spans="1:16" x14ac:dyDescent="0.3">
      <c r="A1550">
        <v>63245</v>
      </c>
      <c r="B1550">
        <v>116</v>
      </c>
      <c r="C1550" t="s">
        <v>568</v>
      </c>
      <c r="D1550" s="453">
        <v>45992</v>
      </c>
      <c r="E1550">
        <v>19672</v>
      </c>
      <c r="F1550" t="s">
        <v>4024</v>
      </c>
      <c r="G1550">
        <v>2567</v>
      </c>
      <c r="H1550">
        <v>2</v>
      </c>
      <c r="I1550" t="s">
        <v>3892</v>
      </c>
      <c r="J1550" t="s">
        <v>3469</v>
      </c>
      <c r="K1550" t="s">
        <v>3393</v>
      </c>
      <c r="L1550">
        <v>12.73</v>
      </c>
      <c r="M1550" s="453">
        <v>45988</v>
      </c>
      <c r="N1550">
        <v>13.75</v>
      </c>
      <c r="O1550">
        <v>13.75</v>
      </c>
      <c r="P1550">
        <v>25.46</v>
      </c>
    </row>
    <row r="1551" spans="1:16" x14ac:dyDescent="0.3">
      <c r="A1551">
        <v>63234</v>
      </c>
      <c r="B1551">
        <v>116</v>
      </c>
      <c r="C1551" t="s">
        <v>568</v>
      </c>
      <c r="D1551" s="453">
        <v>45992</v>
      </c>
      <c r="E1551">
        <v>25769</v>
      </c>
      <c r="F1551" t="s">
        <v>4013</v>
      </c>
      <c r="G1551">
        <v>6318</v>
      </c>
      <c r="H1551">
        <v>2</v>
      </c>
      <c r="I1551" t="s">
        <v>3892</v>
      </c>
      <c r="J1551" t="s">
        <v>3469</v>
      </c>
      <c r="K1551" t="s">
        <v>3393</v>
      </c>
      <c r="L1551">
        <v>12.67</v>
      </c>
      <c r="M1551" s="453">
        <v>45972</v>
      </c>
      <c r="N1551">
        <v>12.5</v>
      </c>
      <c r="O1551">
        <v>12.5</v>
      </c>
      <c r="P1551">
        <v>25.34</v>
      </c>
    </row>
    <row r="1552" spans="1:16" x14ac:dyDescent="0.3">
      <c r="A1552">
        <v>63204</v>
      </c>
      <c r="B1552">
        <v>116</v>
      </c>
      <c r="C1552" t="s">
        <v>568</v>
      </c>
      <c r="D1552" s="453">
        <v>45992</v>
      </c>
      <c r="E1552">
        <v>20949</v>
      </c>
      <c r="F1552" t="s">
        <v>3983</v>
      </c>
      <c r="G1552">
        <v>2023</v>
      </c>
      <c r="H1552">
        <v>3</v>
      </c>
      <c r="I1552" t="s">
        <v>3878</v>
      </c>
      <c r="J1552" t="s">
        <v>3469</v>
      </c>
      <c r="K1552" t="s">
        <v>3393</v>
      </c>
      <c r="L1552">
        <v>0</v>
      </c>
      <c r="M1552" s="453">
        <v>45944</v>
      </c>
      <c r="N1552">
        <v>8.18</v>
      </c>
      <c r="O1552">
        <v>8.15</v>
      </c>
      <c r="P1552">
        <v>24.54</v>
      </c>
    </row>
    <row r="1553" spans="1:16" x14ac:dyDescent="0.3">
      <c r="A1553">
        <v>63176</v>
      </c>
      <c r="B1553">
        <v>116</v>
      </c>
      <c r="C1553" t="s">
        <v>568</v>
      </c>
      <c r="D1553" s="453">
        <v>45992</v>
      </c>
      <c r="E1553">
        <v>20326</v>
      </c>
      <c r="F1553" t="s">
        <v>3953</v>
      </c>
      <c r="G1553">
        <v>2211</v>
      </c>
      <c r="H1553">
        <v>5</v>
      </c>
      <c r="I1553" t="s">
        <v>3892</v>
      </c>
      <c r="J1553" t="s">
        <v>3469</v>
      </c>
      <c r="K1553" t="s">
        <v>3393</v>
      </c>
      <c r="L1553">
        <v>4.8</v>
      </c>
      <c r="M1553" s="453">
        <v>45986</v>
      </c>
      <c r="N1553">
        <v>4.8</v>
      </c>
      <c r="O1553">
        <v>4.8</v>
      </c>
      <c r="P1553">
        <v>24</v>
      </c>
    </row>
    <row r="1554" spans="1:16" x14ac:dyDescent="0.3">
      <c r="A1554">
        <v>63214</v>
      </c>
      <c r="B1554">
        <v>116</v>
      </c>
      <c r="C1554" t="s">
        <v>568</v>
      </c>
      <c r="D1554" s="453">
        <v>45992</v>
      </c>
      <c r="E1554">
        <v>17093</v>
      </c>
      <c r="F1554" t="s">
        <v>3993</v>
      </c>
      <c r="G1554">
        <v>4165</v>
      </c>
      <c r="H1554">
        <v>3</v>
      </c>
      <c r="I1554" t="s">
        <v>3888</v>
      </c>
      <c r="J1554" t="s">
        <v>3497</v>
      </c>
      <c r="K1554" t="s">
        <v>3393</v>
      </c>
      <c r="L1554">
        <v>0</v>
      </c>
      <c r="M1554" s="453">
        <v>45803</v>
      </c>
      <c r="N1554">
        <v>8</v>
      </c>
      <c r="O1554">
        <v>8</v>
      </c>
      <c r="P1554">
        <v>24</v>
      </c>
    </row>
    <row r="1555" spans="1:16" x14ac:dyDescent="0.3">
      <c r="A1555">
        <v>63260</v>
      </c>
      <c r="B1555">
        <v>116</v>
      </c>
      <c r="C1555" t="s">
        <v>568</v>
      </c>
      <c r="D1555" s="453">
        <v>45992</v>
      </c>
      <c r="E1555">
        <v>24393</v>
      </c>
      <c r="F1555" t="s">
        <v>4039</v>
      </c>
      <c r="G1555">
        <v>3045</v>
      </c>
      <c r="H1555">
        <v>1.7</v>
      </c>
      <c r="I1555" t="s">
        <v>3892</v>
      </c>
      <c r="J1555" t="s">
        <v>3469</v>
      </c>
      <c r="K1555" t="s">
        <v>3393</v>
      </c>
      <c r="L1555">
        <v>13.99</v>
      </c>
      <c r="M1555" s="453">
        <v>45980</v>
      </c>
      <c r="N1555">
        <v>13.99</v>
      </c>
      <c r="O1555">
        <v>13.99</v>
      </c>
      <c r="P1555">
        <v>23.78</v>
      </c>
    </row>
    <row r="1556" spans="1:16" x14ac:dyDescent="0.3">
      <c r="A1556">
        <v>63131</v>
      </c>
      <c r="B1556">
        <v>116</v>
      </c>
      <c r="C1556" t="s">
        <v>568</v>
      </c>
      <c r="D1556" s="453">
        <v>45992</v>
      </c>
      <c r="E1556">
        <v>24509</v>
      </c>
      <c r="F1556" t="s">
        <v>3906</v>
      </c>
      <c r="G1556">
        <v>2607</v>
      </c>
      <c r="H1556">
        <v>13</v>
      </c>
      <c r="I1556" t="s">
        <v>3892</v>
      </c>
      <c r="J1556" t="s">
        <v>3469</v>
      </c>
      <c r="K1556" t="s">
        <v>3393</v>
      </c>
      <c r="L1556">
        <v>1.82</v>
      </c>
      <c r="M1556" s="453">
        <v>45988</v>
      </c>
      <c r="N1556">
        <v>2.25</v>
      </c>
      <c r="O1556">
        <v>2.25</v>
      </c>
      <c r="P1556">
        <v>23.66</v>
      </c>
    </row>
    <row r="1557" spans="1:16" x14ac:dyDescent="0.3">
      <c r="A1557">
        <v>63240</v>
      </c>
      <c r="B1557">
        <v>116</v>
      </c>
      <c r="C1557" t="s">
        <v>568</v>
      </c>
      <c r="D1557" s="453">
        <v>45992</v>
      </c>
      <c r="E1557">
        <v>19751</v>
      </c>
      <c r="F1557" t="s">
        <v>4019</v>
      </c>
      <c r="G1557">
        <v>2502</v>
      </c>
      <c r="H1557">
        <v>2</v>
      </c>
      <c r="I1557" t="s">
        <v>3892</v>
      </c>
      <c r="J1557" t="s">
        <v>3469</v>
      </c>
      <c r="K1557" t="s">
        <v>3393</v>
      </c>
      <c r="L1557">
        <v>11.27</v>
      </c>
      <c r="M1557" s="453">
        <v>45988</v>
      </c>
      <c r="N1557">
        <v>11.63</v>
      </c>
      <c r="O1557">
        <v>11.5</v>
      </c>
      <c r="P1557">
        <v>22.54</v>
      </c>
    </row>
    <row r="1558" spans="1:16" x14ac:dyDescent="0.3">
      <c r="A1558">
        <v>63296</v>
      </c>
      <c r="B1558">
        <v>116</v>
      </c>
      <c r="C1558" t="s">
        <v>568</v>
      </c>
      <c r="D1558" s="453">
        <v>45992</v>
      </c>
      <c r="E1558">
        <v>23335</v>
      </c>
      <c r="F1558" t="s">
        <v>4075</v>
      </c>
      <c r="G1558">
        <v>2523</v>
      </c>
      <c r="H1558">
        <v>1</v>
      </c>
      <c r="I1558" t="s">
        <v>3892</v>
      </c>
      <c r="J1558" t="s">
        <v>3469</v>
      </c>
      <c r="K1558" t="s">
        <v>3393</v>
      </c>
      <c r="L1558">
        <v>22.54</v>
      </c>
      <c r="M1558" s="453">
        <v>45980</v>
      </c>
      <c r="N1558">
        <v>18.75</v>
      </c>
      <c r="O1558">
        <v>22.5</v>
      </c>
      <c r="P1558">
        <v>22.54</v>
      </c>
    </row>
    <row r="1559" spans="1:16" x14ac:dyDescent="0.3">
      <c r="A1559">
        <v>63269</v>
      </c>
      <c r="B1559">
        <v>116</v>
      </c>
      <c r="C1559" t="s">
        <v>568</v>
      </c>
      <c r="D1559" s="453">
        <v>45992</v>
      </c>
      <c r="E1559">
        <v>24456</v>
      </c>
      <c r="F1559" t="s">
        <v>4048</v>
      </c>
      <c r="G1559">
        <v>1965</v>
      </c>
      <c r="H1559">
        <v>1</v>
      </c>
      <c r="I1559" t="s">
        <v>3892</v>
      </c>
      <c r="J1559" t="s">
        <v>3469</v>
      </c>
      <c r="K1559" t="s">
        <v>3393</v>
      </c>
      <c r="L1559">
        <v>0</v>
      </c>
      <c r="M1559" s="453">
        <v>45826</v>
      </c>
      <c r="N1559">
        <v>21.76</v>
      </c>
      <c r="O1559">
        <v>29.83</v>
      </c>
      <c r="P1559">
        <v>21.76</v>
      </c>
    </row>
    <row r="1560" spans="1:16" x14ac:dyDescent="0.3">
      <c r="A1560">
        <v>63302</v>
      </c>
      <c r="B1560">
        <v>116</v>
      </c>
      <c r="C1560" t="s">
        <v>568</v>
      </c>
      <c r="D1560" s="453">
        <v>45992</v>
      </c>
      <c r="E1560">
        <v>25203</v>
      </c>
      <c r="F1560" t="s">
        <v>4081</v>
      </c>
      <c r="G1560">
        <v>5943</v>
      </c>
      <c r="H1560">
        <v>1</v>
      </c>
      <c r="I1560" t="s">
        <v>3892</v>
      </c>
      <c r="J1560" t="s">
        <v>3469</v>
      </c>
      <c r="K1560" t="s">
        <v>3393</v>
      </c>
      <c r="L1560">
        <v>21.5</v>
      </c>
      <c r="M1560" s="453">
        <v>45967</v>
      </c>
      <c r="N1560">
        <v>21.25</v>
      </c>
      <c r="O1560">
        <v>17.98</v>
      </c>
      <c r="P1560">
        <v>21.5</v>
      </c>
    </row>
    <row r="1561" spans="1:16" x14ac:dyDescent="0.3">
      <c r="A1561">
        <v>63155</v>
      </c>
      <c r="B1561">
        <v>116</v>
      </c>
      <c r="C1561" t="s">
        <v>568</v>
      </c>
      <c r="D1561" s="453">
        <v>45992</v>
      </c>
      <c r="E1561">
        <v>23359</v>
      </c>
      <c r="F1561" t="s">
        <v>3932</v>
      </c>
      <c r="G1561">
        <v>2499</v>
      </c>
      <c r="H1561">
        <v>7</v>
      </c>
      <c r="I1561" t="s">
        <v>3892</v>
      </c>
      <c r="J1561" t="s">
        <v>3469</v>
      </c>
      <c r="K1561" t="s">
        <v>3393</v>
      </c>
      <c r="L1561">
        <v>3.05</v>
      </c>
      <c r="M1561" s="453">
        <v>45988</v>
      </c>
      <c r="N1561">
        <v>2.5</v>
      </c>
      <c r="O1561">
        <v>2.6</v>
      </c>
      <c r="P1561">
        <v>21.35</v>
      </c>
    </row>
    <row r="1562" spans="1:16" x14ac:dyDescent="0.3">
      <c r="A1562">
        <v>63315</v>
      </c>
      <c r="B1562">
        <v>116</v>
      </c>
      <c r="C1562" t="s">
        <v>568</v>
      </c>
      <c r="D1562" s="453">
        <v>45992</v>
      </c>
      <c r="E1562">
        <v>17897</v>
      </c>
      <c r="F1562" t="s">
        <v>4094</v>
      </c>
      <c r="G1562">
        <v>3664</v>
      </c>
      <c r="H1562">
        <v>1</v>
      </c>
      <c r="I1562" t="s">
        <v>3888</v>
      </c>
      <c r="J1562" t="s">
        <v>3497</v>
      </c>
      <c r="K1562" t="s">
        <v>3393</v>
      </c>
      <c r="L1562">
        <v>20.149999999999999</v>
      </c>
      <c r="M1562" s="453">
        <v>45986</v>
      </c>
      <c r="N1562">
        <v>0</v>
      </c>
      <c r="O1562">
        <v>0</v>
      </c>
      <c r="P1562">
        <v>20.149999999999999</v>
      </c>
    </row>
    <row r="1563" spans="1:16" x14ac:dyDescent="0.3">
      <c r="A1563">
        <v>63272</v>
      </c>
      <c r="B1563">
        <v>116</v>
      </c>
      <c r="C1563" t="s">
        <v>568</v>
      </c>
      <c r="D1563" s="453">
        <v>45992</v>
      </c>
      <c r="E1563">
        <v>20429</v>
      </c>
      <c r="F1563" t="s">
        <v>4051</v>
      </c>
      <c r="G1563">
        <v>2184</v>
      </c>
      <c r="H1563">
        <v>1</v>
      </c>
      <c r="I1563" t="s">
        <v>3872</v>
      </c>
      <c r="J1563" t="s">
        <v>3469</v>
      </c>
      <c r="K1563" t="s">
        <v>3393</v>
      </c>
      <c r="L1563">
        <v>0</v>
      </c>
      <c r="M1563" s="453">
        <v>45944</v>
      </c>
      <c r="N1563">
        <v>19.8</v>
      </c>
      <c r="O1563">
        <v>19.600000000000001</v>
      </c>
      <c r="P1563">
        <v>19.8</v>
      </c>
    </row>
    <row r="1564" spans="1:16" x14ac:dyDescent="0.3">
      <c r="A1564">
        <v>63219</v>
      </c>
      <c r="B1564">
        <v>116</v>
      </c>
      <c r="C1564" t="s">
        <v>568</v>
      </c>
      <c r="D1564" s="453">
        <v>45992</v>
      </c>
      <c r="E1564">
        <v>24226</v>
      </c>
      <c r="F1564" t="s">
        <v>3998</v>
      </c>
      <c r="G1564">
        <v>3647</v>
      </c>
      <c r="H1564">
        <v>3</v>
      </c>
      <c r="I1564" t="s">
        <v>3872</v>
      </c>
      <c r="J1564" t="s">
        <v>3497</v>
      </c>
      <c r="K1564" t="s">
        <v>3393</v>
      </c>
      <c r="L1564">
        <v>0</v>
      </c>
      <c r="M1564" s="453">
        <v>45355</v>
      </c>
      <c r="N1564">
        <v>6.42</v>
      </c>
      <c r="O1564">
        <v>6.82</v>
      </c>
      <c r="P1564">
        <v>19.25</v>
      </c>
    </row>
    <row r="1565" spans="1:16" x14ac:dyDescent="0.3">
      <c r="A1565">
        <v>63317</v>
      </c>
      <c r="B1565">
        <v>116</v>
      </c>
      <c r="C1565" t="s">
        <v>568</v>
      </c>
      <c r="D1565" s="453">
        <v>45992</v>
      </c>
      <c r="E1565">
        <v>17878</v>
      </c>
      <c r="F1565" t="s">
        <v>4096</v>
      </c>
      <c r="G1565">
        <v>3677</v>
      </c>
      <c r="H1565">
        <v>1</v>
      </c>
      <c r="I1565" t="s">
        <v>3872</v>
      </c>
      <c r="J1565" t="s">
        <v>3497</v>
      </c>
      <c r="K1565" t="s">
        <v>3393</v>
      </c>
      <c r="L1565">
        <v>18.7</v>
      </c>
      <c r="M1565" s="453">
        <v>45987</v>
      </c>
      <c r="N1565">
        <v>18.7</v>
      </c>
      <c r="O1565">
        <v>18.7</v>
      </c>
      <c r="P1565">
        <v>18.7</v>
      </c>
    </row>
    <row r="1566" spans="1:16" x14ac:dyDescent="0.3">
      <c r="A1566">
        <v>63152</v>
      </c>
      <c r="B1566">
        <v>116</v>
      </c>
      <c r="C1566" t="s">
        <v>568</v>
      </c>
      <c r="D1566" s="453">
        <v>45992</v>
      </c>
      <c r="E1566">
        <v>22044</v>
      </c>
      <c r="F1566" t="s">
        <v>3928</v>
      </c>
      <c r="G1566">
        <v>3656</v>
      </c>
      <c r="H1566">
        <v>8</v>
      </c>
      <c r="I1566" t="s">
        <v>3872</v>
      </c>
      <c r="J1566" t="s">
        <v>3497</v>
      </c>
      <c r="K1566" t="s">
        <v>3393</v>
      </c>
      <c r="L1566">
        <v>0</v>
      </c>
      <c r="M1566" s="453">
        <v>45677</v>
      </c>
      <c r="N1566">
        <v>2.19</v>
      </c>
      <c r="O1566">
        <v>2.04</v>
      </c>
      <c r="P1566">
        <v>17.52</v>
      </c>
    </row>
    <row r="1567" spans="1:16" x14ac:dyDescent="0.3">
      <c r="A1567">
        <v>63209</v>
      </c>
      <c r="B1567">
        <v>116</v>
      </c>
      <c r="C1567" t="s">
        <v>568</v>
      </c>
      <c r="D1567" s="453">
        <v>45992</v>
      </c>
      <c r="E1567">
        <v>23186</v>
      </c>
      <c r="F1567" t="s">
        <v>3988</v>
      </c>
      <c r="G1567">
        <v>2668</v>
      </c>
      <c r="H1567">
        <v>3</v>
      </c>
      <c r="I1567" t="s">
        <v>3892</v>
      </c>
      <c r="J1567" t="s">
        <v>3469</v>
      </c>
      <c r="K1567" t="s">
        <v>3393</v>
      </c>
      <c r="L1567">
        <v>0</v>
      </c>
      <c r="M1567" s="453">
        <v>45943</v>
      </c>
      <c r="N1567">
        <v>5.56</v>
      </c>
      <c r="O1567">
        <v>3.13</v>
      </c>
      <c r="P1567">
        <v>16.68</v>
      </c>
    </row>
    <row r="1568" spans="1:16" x14ac:dyDescent="0.3">
      <c r="A1568">
        <v>63225</v>
      </c>
      <c r="B1568">
        <v>116</v>
      </c>
      <c r="C1568" t="s">
        <v>568</v>
      </c>
      <c r="D1568" s="453">
        <v>45992</v>
      </c>
      <c r="E1568">
        <v>21126</v>
      </c>
      <c r="F1568" t="s">
        <v>4004</v>
      </c>
      <c r="G1568">
        <v>1963</v>
      </c>
      <c r="H1568">
        <v>2</v>
      </c>
      <c r="I1568" t="s">
        <v>3888</v>
      </c>
      <c r="J1568" t="s">
        <v>3469</v>
      </c>
      <c r="K1568" t="s">
        <v>3393</v>
      </c>
      <c r="L1568">
        <v>8.1999999999999993</v>
      </c>
      <c r="M1568" s="453">
        <v>45986</v>
      </c>
      <c r="N1568">
        <v>8.1999999999999993</v>
      </c>
      <c r="O1568">
        <v>8.1999999999999993</v>
      </c>
      <c r="P1568">
        <v>16.399999999999999</v>
      </c>
    </row>
    <row r="1569" spans="1:16" x14ac:dyDescent="0.3">
      <c r="A1569">
        <v>63275</v>
      </c>
      <c r="B1569">
        <v>116</v>
      </c>
      <c r="C1569" t="s">
        <v>568</v>
      </c>
      <c r="D1569" s="453">
        <v>45992</v>
      </c>
      <c r="E1569">
        <v>20077</v>
      </c>
      <c r="F1569" t="s">
        <v>4054</v>
      </c>
      <c r="G1569">
        <v>2317</v>
      </c>
      <c r="H1569">
        <v>1</v>
      </c>
      <c r="I1569" t="s">
        <v>3888</v>
      </c>
      <c r="J1569" t="s">
        <v>3469</v>
      </c>
      <c r="K1569" t="s">
        <v>3393</v>
      </c>
      <c r="L1569">
        <v>16.32</v>
      </c>
      <c r="M1569" s="453">
        <v>45986</v>
      </c>
      <c r="N1569">
        <v>16.32</v>
      </c>
      <c r="O1569">
        <v>16.32</v>
      </c>
      <c r="P1569">
        <v>16.32</v>
      </c>
    </row>
    <row r="1570" spans="1:16" x14ac:dyDescent="0.3">
      <c r="A1570">
        <v>63282</v>
      </c>
      <c r="B1570">
        <v>116</v>
      </c>
      <c r="C1570" t="s">
        <v>568</v>
      </c>
      <c r="D1570" s="453">
        <v>45992</v>
      </c>
      <c r="E1570">
        <v>24364</v>
      </c>
      <c r="F1570" t="s">
        <v>4061</v>
      </c>
      <c r="G1570">
        <v>2043</v>
      </c>
      <c r="H1570">
        <v>1</v>
      </c>
      <c r="I1570" t="s">
        <v>3892</v>
      </c>
      <c r="J1570" t="s">
        <v>3469</v>
      </c>
      <c r="K1570" t="s">
        <v>3393</v>
      </c>
      <c r="L1570">
        <v>0</v>
      </c>
      <c r="M1570" s="453">
        <v>45933</v>
      </c>
      <c r="N1570">
        <v>15.8</v>
      </c>
      <c r="O1570">
        <v>10.25</v>
      </c>
      <c r="P1570">
        <v>15.8</v>
      </c>
    </row>
    <row r="1571" spans="1:16" x14ac:dyDescent="0.3">
      <c r="A1571">
        <v>63233</v>
      </c>
      <c r="B1571">
        <v>116</v>
      </c>
      <c r="C1571" t="s">
        <v>568</v>
      </c>
      <c r="D1571" s="453">
        <v>45992</v>
      </c>
      <c r="E1571">
        <v>25768</v>
      </c>
      <c r="F1571" t="s">
        <v>4012</v>
      </c>
      <c r="G1571">
        <v>6317</v>
      </c>
      <c r="H1571">
        <v>2</v>
      </c>
      <c r="I1571" t="s">
        <v>3892</v>
      </c>
      <c r="J1571" t="s">
        <v>3469</v>
      </c>
      <c r="K1571" t="s">
        <v>3393</v>
      </c>
      <c r="L1571">
        <v>7.2</v>
      </c>
      <c r="M1571" s="453">
        <v>45972</v>
      </c>
      <c r="N1571">
        <v>7.2</v>
      </c>
      <c r="O1571">
        <v>7.5</v>
      </c>
      <c r="P1571">
        <v>14.4</v>
      </c>
    </row>
    <row r="1572" spans="1:16" x14ac:dyDescent="0.3">
      <c r="A1572">
        <v>63332</v>
      </c>
      <c r="B1572">
        <v>116</v>
      </c>
      <c r="C1572" t="s">
        <v>568</v>
      </c>
      <c r="D1572" s="453">
        <v>45992</v>
      </c>
      <c r="E1572">
        <v>23120</v>
      </c>
      <c r="F1572" t="s">
        <v>4111</v>
      </c>
      <c r="G1572">
        <v>2730</v>
      </c>
      <c r="H1572">
        <v>0.2</v>
      </c>
      <c r="I1572" t="s">
        <v>3892</v>
      </c>
      <c r="J1572" t="s">
        <v>3469</v>
      </c>
      <c r="K1572" t="s">
        <v>3393</v>
      </c>
      <c r="L1572">
        <v>71.19</v>
      </c>
      <c r="M1572" s="453">
        <v>45988</v>
      </c>
      <c r="N1572">
        <v>73.95</v>
      </c>
      <c r="O1572">
        <v>70</v>
      </c>
      <c r="P1572">
        <v>14.24</v>
      </c>
    </row>
    <row r="1573" spans="1:16" x14ac:dyDescent="0.3">
      <c r="A1573">
        <v>63284</v>
      </c>
      <c r="B1573">
        <v>116</v>
      </c>
      <c r="C1573" t="s">
        <v>568</v>
      </c>
      <c r="D1573" s="453">
        <v>45992</v>
      </c>
      <c r="E1573">
        <v>24401</v>
      </c>
      <c r="F1573" t="s">
        <v>4063</v>
      </c>
      <c r="G1573">
        <v>2369</v>
      </c>
      <c r="H1573">
        <v>1</v>
      </c>
      <c r="I1573" t="s">
        <v>3872</v>
      </c>
      <c r="J1573" t="s">
        <v>3469</v>
      </c>
      <c r="K1573" t="s">
        <v>3393</v>
      </c>
      <c r="L1573">
        <v>13.97</v>
      </c>
      <c r="M1573" s="453">
        <v>45972</v>
      </c>
      <c r="N1573">
        <v>13.97</v>
      </c>
      <c r="O1573">
        <v>14</v>
      </c>
      <c r="P1573">
        <v>13.97</v>
      </c>
    </row>
    <row r="1574" spans="1:16" x14ac:dyDescent="0.3">
      <c r="A1574">
        <v>63232</v>
      </c>
      <c r="B1574">
        <v>116</v>
      </c>
      <c r="C1574" t="s">
        <v>568</v>
      </c>
      <c r="D1574" s="453">
        <v>45992</v>
      </c>
      <c r="E1574">
        <v>19932</v>
      </c>
      <c r="F1574" t="s">
        <v>4011</v>
      </c>
      <c r="G1574">
        <v>2368</v>
      </c>
      <c r="H1574">
        <v>2</v>
      </c>
      <c r="I1574" t="s">
        <v>3872</v>
      </c>
      <c r="J1574" t="s">
        <v>3469</v>
      </c>
      <c r="K1574" t="s">
        <v>3393</v>
      </c>
      <c r="L1574">
        <v>6.95</v>
      </c>
      <c r="M1574" s="453">
        <v>45962</v>
      </c>
      <c r="N1574">
        <v>6.95</v>
      </c>
      <c r="O1574">
        <v>7</v>
      </c>
      <c r="P1574">
        <v>13.9</v>
      </c>
    </row>
    <row r="1575" spans="1:16" x14ac:dyDescent="0.3">
      <c r="A1575">
        <v>63205</v>
      </c>
      <c r="B1575">
        <v>116</v>
      </c>
      <c r="C1575" t="s">
        <v>568</v>
      </c>
      <c r="D1575" s="453">
        <v>45992</v>
      </c>
      <c r="E1575">
        <v>19623</v>
      </c>
      <c r="F1575" t="s">
        <v>3984</v>
      </c>
      <c r="G1575">
        <v>2611</v>
      </c>
      <c r="H1575">
        <v>3</v>
      </c>
      <c r="I1575" t="s">
        <v>3892</v>
      </c>
      <c r="J1575" t="s">
        <v>3469</v>
      </c>
      <c r="K1575" t="s">
        <v>3393</v>
      </c>
      <c r="L1575">
        <v>4.55</v>
      </c>
      <c r="M1575" s="453">
        <v>45988</v>
      </c>
      <c r="N1575">
        <v>6.23</v>
      </c>
      <c r="O1575">
        <v>3.6</v>
      </c>
      <c r="P1575">
        <v>13.65</v>
      </c>
    </row>
    <row r="1576" spans="1:16" x14ac:dyDescent="0.3">
      <c r="A1576">
        <v>63166</v>
      </c>
      <c r="B1576">
        <v>116</v>
      </c>
      <c r="C1576" t="s">
        <v>568</v>
      </c>
      <c r="D1576" s="453">
        <v>45992</v>
      </c>
      <c r="E1576">
        <v>24414</v>
      </c>
      <c r="F1576" t="s">
        <v>3943</v>
      </c>
      <c r="G1576">
        <v>3670</v>
      </c>
      <c r="H1576">
        <v>6</v>
      </c>
      <c r="I1576" t="s">
        <v>3872</v>
      </c>
      <c r="J1576" t="s">
        <v>3497</v>
      </c>
      <c r="K1576" t="s">
        <v>3393</v>
      </c>
      <c r="L1576">
        <v>0</v>
      </c>
      <c r="M1576" s="453">
        <v>45544</v>
      </c>
      <c r="N1576">
        <v>2.19</v>
      </c>
      <c r="O1576">
        <v>2.19</v>
      </c>
      <c r="P1576">
        <v>13.14</v>
      </c>
    </row>
    <row r="1577" spans="1:16" x14ac:dyDescent="0.3">
      <c r="A1577">
        <v>63324</v>
      </c>
      <c r="B1577">
        <v>116</v>
      </c>
      <c r="C1577" t="s">
        <v>568</v>
      </c>
      <c r="D1577" s="453">
        <v>45992</v>
      </c>
      <c r="E1577">
        <v>23270</v>
      </c>
      <c r="F1577" t="s">
        <v>4103</v>
      </c>
      <c r="G1577">
        <v>2590</v>
      </c>
      <c r="H1577">
        <v>0.5</v>
      </c>
      <c r="I1577" t="s">
        <v>3892</v>
      </c>
      <c r="J1577" t="s">
        <v>3469</v>
      </c>
      <c r="K1577" t="s">
        <v>3393</v>
      </c>
      <c r="L1577">
        <v>0</v>
      </c>
      <c r="M1577" s="453">
        <v>45937</v>
      </c>
      <c r="N1577">
        <v>25</v>
      </c>
      <c r="O1577">
        <v>26.44</v>
      </c>
      <c r="P1577">
        <v>12.5</v>
      </c>
    </row>
    <row r="1578" spans="1:16" x14ac:dyDescent="0.3">
      <c r="A1578">
        <v>63237</v>
      </c>
      <c r="B1578">
        <v>116</v>
      </c>
      <c r="C1578" t="s">
        <v>568</v>
      </c>
      <c r="D1578" s="453">
        <v>45992</v>
      </c>
      <c r="E1578">
        <v>23389</v>
      </c>
      <c r="F1578" t="s">
        <v>4016</v>
      </c>
      <c r="G1578">
        <v>2475</v>
      </c>
      <c r="H1578">
        <v>2</v>
      </c>
      <c r="I1578" t="s">
        <v>3892</v>
      </c>
      <c r="J1578" t="s">
        <v>3469</v>
      </c>
      <c r="K1578" t="s">
        <v>3393</v>
      </c>
      <c r="L1578">
        <v>6.07</v>
      </c>
      <c r="M1578" s="453">
        <v>45988</v>
      </c>
      <c r="N1578">
        <v>6</v>
      </c>
      <c r="O1578">
        <v>6</v>
      </c>
      <c r="P1578">
        <v>12.14</v>
      </c>
    </row>
    <row r="1579" spans="1:16" x14ac:dyDescent="0.3">
      <c r="A1579">
        <v>63277</v>
      </c>
      <c r="B1579">
        <v>116</v>
      </c>
      <c r="C1579" t="s">
        <v>568</v>
      </c>
      <c r="D1579" s="453">
        <v>45992</v>
      </c>
      <c r="E1579">
        <v>24212</v>
      </c>
      <c r="F1579" t="s">
        <v>4056</v>
      </c>
      <c r="G1579">
        <v>2064</v>
      </c>
      <c r="H1579">
        <v>1</v>
      </c>
      <c r="I1579" t="s">
        <v>3892</v>
      </c>
      <c r="J1579" t="s">
        <v>3469</v>
      </c>
      <c r="K1579" t="s">
        <v>3393</v>
      </c>
      <c r="L1579">
        <v>11.98</v>
      </c>
      <c r="M1579" s="453">
        <v>45978</v>
      </c>
      <c r="N1579">
        <v>11.98</v>
      </c>
      <c r="O1579">
        <v>11.98</v>
      </c>
      <c r="P1579">
        <v>11.98</v>
      </c>
    </row>
    <row r="1580" spans="1:16" x14ac:dyDescent="0.3">
      <c r="A1580">
        <v>63167</v>
      </c>
      <c r="B1580">
        <v>116</v>
      </c>
      <c r="C1580" t="s">
        <v>568</v>
      </c>
      <c r="D1580" s="453">
        <v>45992</v>
      </c>
      <c r="E1580">
        <v>24467</v>
      </c>
      <c r="F1580" t="s">
        <v>3944</v>
      </c>
      <c r="G1580">
        <v>3673</v>
      </c>
      <c r="H1580">
        <v>6</v>
      </c>
      <c r="I1580" t="s">
        <v>3872</v>
      </c>
      <c r="J1580" t="s">
        <v>3497</v>
      </c>
      <c r="K1580" t="s">
        <v>3393</v>
      </c>
      <c r="L1580">
        <v>0</v>
      </c>
      <c r="M1580" s="453">
        <v>45510</v>
      </c>
      <c r="N1580">
        <v>1.99</v>
      </c>
      <c r="O1580">
        <v>2.19</v>
      </c>
      <c r="P1580">
        <v>11.94</v>
      </c>
    </row>
    <row r="1581" spans="1:16" x14ac:dyDescent="0.3">
      <c r="A1581">
        <v>63263</v>
      </c>
      <c r="B1581">
        <v>116</v>
      </c>
      <c r="C1581" t="s">
        <v>568</v>
      </c>
      <c r="D1581" s="453">
        <v>45992</v>
      </c>
      <c r="E1581">
        <v>19752</v>
      </c>
      <c r="F1581" t="s">
        <v>4042</v>
      </c>
      <c r="G1581">
        <v>2501</v>
      </c>
      <c r="H1581">
        <v>1.5</v>
      </c>
      <c r="I1581" t="s">
        <v>3892</v>
      </c>
      <c r="J1581" t="s">
        <v>3469</v>
      </c>
      <c r="K1581" t="s">
        <v>3393</v>
      </c>
      <c r="L1581">
        <v>7.53</v>
      </c>
      <c r="M1581" s="453">
        <v>45988</v>
      </c>
      <c r="N1581">
        <v>12.9</v>
      </c>
      <c r="O1581">
        <v>12.9</v>
      </c>
      <c r="P1581">
        <v>11.3</v>
      </c>
    </row>
    <row r="1582" spans="1:16" x14ac:dyDescent="0.3">
      <c r="A1582">
        <v>63238</v>
      </c>
      <c r="B1582">
        <v>116</v>
      </c>
      <c r="C1582" t="s">
        <v>568</v>
      </c>
      <c r="D1582" s="453">
        <v>45992</v>
      </c>
      <c r="E1582">
        <v>23236</v>
      </c>
      <c r="F1582" t="s">
        <v>4017</v>
      </c>
      <c r="G1582">
        <v>2620</v>
      </c>
      <c r="H1582">
        <v>2</v>
      </c>
      <c r="I1582" t="s">
        <v>3892</v>
      </c>
      <c r="J1582" t="s">
        <v>3469</v>
      </c>
      <c r="K1582" t="s">
        <v>3393</v>
      </c>
      <c r="L1582">
        <v>5.59</v>
      </c>
      <c r="M1582" s="453">
        <v>45988</v>
      </c>
      <c r="N1582">
        <v>5.4</v>
      </c>
      <c r="O1582">
        <v>5.4</v>
      </c>
      <c r="P1582">
        <v>11.18</v>
      </c>
    </row>
    <row r="1583" spans="1:16" x14ac:dyDescent="0.3">
      <c r="A1583">
        <v>63291</v>
      </c>
      <c r="B1583">
        <v>116</v>
      </c>
      <c r="C1583" t="s">
        <v>568</v>
      </c>
      <c r="D1583" s="453">
        <v>45992</v>
      </c>
      <c r="E1583">
        <v>19488</v>
      </c>
      <c r="F1583" t="s">
        <v>4070</v>
      </c>
      <c r="G1583">
        <v>2720</v>
      </c>
      <c r="H1583">
        <v>1</v>
      </c>
      <c r="I1583" t="s">
        <v>3892</v>
      </c>
      <c r="J1583" t="s">
        <v>3469</v>
      </c>
      <c r="K1583" t="s">
        <v>3393</v>
      </c>
      <c r="L1583">
        <v>11</v>
      </c>
      <c r="M1583" s="453">
        <v>45962</v>
      </c>
      <c r="N1583">
        <v>11</v>
      </c>
      <c r="O1583">
        <v>11</v>
      </c>
      <c r="P1583">
        <v>11</v>
      </c>
    </row>
    <row r="1584" spans="1:16" x14ac:dyDescent="0.3">
      <c r="A1584">
        <v>63325</v>
      </c>
      <c r="B1584">
        <v>116</v>
      </c>
      <c r="C1584" t="s">
        <v>568</v>
      </c>
      <c r="D1584" s="453">
        <v>45992</v>
      </c>
      <c r="E1584">
        <v>24037</v>
      </c>
      <c r="F1584" t="s">
        <v>4104</v>
      </c>
      <c r="G1584">
        <v>2590</v>
      </c>
      <c r="H1584">
        <v>0.5</v>
      </c>
      <c r="I1584" t="s">
        <v>3892</v>
      </c>
      <c r="J1584" t="s">
        <v>3469</v>
      </c>
      <c r="K1584" t="s">
        <v>3393</v>
      </c>
      <c r="L1584">
        <v>20.51</v>
      </c>
      <c r="M1584" s="453">
        <v>45985</v>
      </c>
      <c r="N1584">
        <v>20</v>
      </c>
      <c r="O1584">
        <v>20</v>
      </c>
      <c r="P1584">
        <v>10.26</v>
      </c>
    </row>
    <row r="1585" spans="1:16" x14ac:dyDescent="0.3">
      <c r="A1585">
        <v>63327</v>
      </c>
      <c r="B1585">
        <v>116</v>
      </c>
      <c r="C1585" t="s">
        <v>568</v>
      </c>
      <c r="D1585" s="453">
        <v>45992</v>
      </c>
      <c r="E1585">
        <v>19710</v>
      </c>
      <c r="F1585" t="s">
        <v>4106</v>
      </c>
      <c r="G1585">
        <v>2540</v>
      </c>
      <c r="H1585">
        <v>0.5</v>
      </c>
      <c r="I1585" t="s">
        <v>3888</v>
      </c>
      <c r="J1585" t="s">
        <v>3469</v>
      </c>
      <c r="K1585" t="s">
        <v>3393</v>
      </c>
      <c r="L1585">
        <v>0</v>
      </c>
      <c r="M1585" s="453">
        <v>45933</v>
      </c>
      <c r="N1585">
        <v>19.8</v>
      </c>
      <c r="O1585">
        <v>21.8</v>
      </c>
      <c r="P1585">
        <v>9.9</v>
      </c>
    </row>
    <row r="1586" spans="1:16" x14ac:dyDescent="0.3">
      <c r="A1586">
        <v>63300</v>
      </c>
      <c r="B1586">
        <v>116</v>
      </c>
      <c r="C1586" t="s">
        <v>568</v>
      </c>
      <c r="D1586" s="453">
        <v>45992</v>
      </c>
      <c r="E1586">
        <v>23113</v>
      </c>
      <c r="F1586" t="s">
        <v>4079</v>
      </c>
      <c r="G1586">
        <v>2736</v>
      </c>
      <c r="H1586">
        <v>1</v>
      </c>
      <c r="I1586" t="s">
        <v>3892</v>
      </c>
      <c r="J1586" t="s">
        <v>3469</v>
      </c>
      <c r="K1586" t="s">
        <v>3393</v>
      </c>
      <c r="L1586">
        <v>9.34</v>
      </c>
      <c r="M1586" s="453">
        <v>45988</v>
      </c>
      <c r="N1586">
        <v>8.5</v>
      </c>
      <c r="O1586">
        <v>9</v>
      </c>
      <c r="P1586">
        <v>9.34</v>
      </c>
    </row>
    <row r="1587" spans="1:16" x14ac:dyDescent="0.3">
      <c r="A1587">
        <v>63286</v>
      </c>
      <c r="B1587">
        <v>116</v>
      </c>
      <c r="C1587" t="s">
        <v>568</v>
      </c>
      <c r="D1587" s="453">
        <v>45992</v>
      </c>
      <c r="E1587">
        <v>19498</v>
      </c>
      <c r="F1587" t="s">
        <v>4065</v>
      </c>
      <c r="G1587">
        <v>2712</v>
      </c>
      <c r="H1587">
        <v>1</v>
      </c>
      <c r="I1587" t="s">
        <v>3892</v>
      </c>
      <c r="J1587" t="s">
        <v>3469</v>
      </c>
      <c r="K1587" t="s">
        <v>3393</v>
      </c>
      <c r="L1587">
        <v>8.06</v>
      </c>
      <c r="M1587" s="453">
        <v>45988</v>
      </c>
      <c r="N1587">
        <v>7.5</v>
      </c>
      <c r="O1587">
        <v>7.5</v>
      </c>
      <c r="P1587">
        <v>8.06</v>
      </c>
    </row>
    <row r="1588" spans="1:16" x14ac:dyDescent="0.3">
      <c r="A1588">
        <v>63295</v>
      </c>
      <c r="B1588">
        <v>116</v>
      </c>
      <c r="C1588" t="s">
        <v>568</v>
      </c>
      <c r="D1588" s="453">
        <v>45992</v>
      </c>
      <c r="E1588">
        <v>19742</v>
      </c>
      <c r="F1588" t="s">
        <v>4074</v>
      </c>
      <c r="G1588">
        <v>2511</v>
      </c>
      <c r="H1588">
        <v>1</v>
      </c>
      <c r="I1588" t="s">
        <v>3892</v>
      </c>
      <c r="J1588" t="s">
        <v>3469</v>
      </c>
      <c r="K1588" t="s">
        <v>3393</v>
      </c>
      <c r="L1588">
        <v>8.01</v>
      </c>
      <c r="M1588" s="453">
        <v>45978</v>
      </c>
      <c r="N1588">
        <v>8.6999999999999993</v>
      </c>
      <c r="O1588">
        <v>8.2799999999999994</v>
      </c>
      <c r="P1588">
        <v>8.01</v>
      </c>
    </row>
    <row r="1589" spans="1:16" x14ac:dyDescent="0.3">
      <c r="A1589">
        <v>63287</v>
      </c>
      <c r="B1589">
        <v>116</v>
      </c>
      <c r="C1589" t="s">
        <v>568</v>
      </c>
      <c r="D1589" s="453">
        <v>45992</v>
      </c>
      <c r="E1589">
        <v>19647</v>
      </c>
      <c r="F1589" t="s">
        <v>4066</v>
      </c>
      <c r="G1589">
        <v>2591</v>
      </c>
      <c r="H1589">
        <v>1</v>
      </c>
      <c r="I1589" t="s">
        <v>3892</v>
      </c>
      <c r="J1589" t="s">
        <v>3469</v>
      </c>
      <c r="K1589" t="s">
        <v>3393</v>
      </c>
      <c r="L1589">
        <v>7</v>
      </c>
      <c r="M1589" s="453">
        <v>45981</v>
      </c>
      <c r="N1589">
        <v>7</v>
      </c>
      <c r="O1589">
        <v>7</v>
      </c>
      <c r="P1589">
        <v>7</v>
      </c>
    </row>
    <row r="1590" spans="1:16" x14ac:dyDescent="0.3">
      <c r="A1590">
        <v>63294</v>
      </c>
      <c r="B1590">
        <v>116</v>
      </c>
      <c r="C1590" t="s">
        <v>568</v>
      </c>
      <c r="D1590" s="453">
        <v>45992</v>
      </c>
      <c r="E1590">
        <v>19689</v>
      </c>
      <c r="F1590" t="s">
        <v>4073</v>
      </c>
      <c r="G1590">
        <v>2551</v>
      </c>
      <c r="H1590">
        <v>1</v>
      </c>
      <c r="I1590" t="s">
        <v>3892</v>
      </c>
      <c r="J1590" t="s">
        <v>3469</v>
      </c>
      <c r="K1590" t="s">
        <v>3393</v>
      </c>
      <c r="L1590">
        <v>6.82</v>
      </c>
      <c r="M1590" s="453">
        <v>45962</v>
      </c>
      <c r="N1590">
        <v>6.82</v>
      </c>
      <c r="O1590">
        <v>6.82</v>
      </c>
      <c r="P1590">
        <v>6.82</v>
      </c>
    </row>
    <row r="1591" spans="1:16" x14ac:dyDescent="0.3">
      <c r="A1591">
        <v>63330</v>
      </c>
      <c r="B1591">
        <v>116</v>
      </c>
      <c r="C1591" t="s">
        <v>568</v>
      </c>
      <c r="D1591" s="453">
        <v>45992</v>
      </c>
      <c r="E1591">
        <v>19555</v>
      </c>
      <c r="F1591" t="s">
        <v>4109</v>
      </c>
      <c r="G1591">
        <v>2662</v>
      </c>
      <c r="H1591">
        <v>0.3</v>
      </c>
      <c r="I1591" t="s">
        <v>3892</v>
      </c>
      <c r="J1591" t="s">
        <v>3469</v>
      </c>
      <c r="K1591" t="s">
        <v>3393</v>
      </c>
      <c r="L1591">
        <v>22.35</v>
      </c>
      <c r="M1591" s="453">
        <v>45988</v>
      </c>
      <c r="N1591">
        <v>21.25</v>
      </c>
      <c r="O1591">
        <v>20.62</v>
      </c>
      <c r="P1591">
        <v>6.7</v>
      </c>
    </row>
    <row r="1592" spans="1:16" x14ac:dyDescent="0.3">
      <c r="A1592">
        <v>63289</v>
      </c>
      <c r="B1592">
        <v>116</v>
      </c>
      <c r="C1592" t="s">
        <v>568</v>
      </c>
      <c r="D1592" s="453">
        <v>45992</v>
      </c>
      <c r="E1592">
        <v>19634</v>
      </c>
      <c r="F1592" t="s">
        <v>4068</v>
      </c>
      <c r="G1592">
        <v>2602</v>
      </c>
      <c r="H1592">
        <v>1</v>
      </c>
      <c r="I1592" t="s">
        <v>3892</v>
      </c>
      <c r="J1592" t="s">
        <v>3469</v>
      </c>
      <c r="K1592" t="s">
        <v>3393</v>
      </c>
      <c r="L1592">
        <v>5.81</v>
      </c>
      <c r="M1592" s="453">
        <v>45988</v>
      </c>
      <c r="N1592">
        <v>5</v>
      </c>
      <c r="O1592">
        <v>5</v>
      </c>
      <c r="P1592">
        <v>5.81</v>
      </c>
    </row>
    <row r="1593" spans="1:16" x14ac:dyDescent="0.3">
      <c r="A1593">
        <v>63301</v>
      </c>
      <c r="B1593">
        <v>116</v>
      </c>
      <c r="C1593" t="s">
        <v>568</v>
      </c>
      <c r="D1593" s="453">
        <v>45992</v>
      </c>
      <c r="E1593">
        <v>19465</v>
      </c>
      <c r="F1593" t="s">
        <v>4080</v>
      </c>
      <c r="G1593">
        <v>2737</v>
      </c>
      <c r="H1593">
        <v>1</v>
      </c>
      <c r="I1593" t="s">
        <v>3892</v>
      </c>
      <c r="J1593" t="s">
        <v>3469</v>
      </c>
      <c r="K1593" t="s">
        <v>3393</v>
      </c>
      <c r="L1593">
        <v>4.5</v>
      </c>
      <c r="M1593" s="453">
        <v>45985</v>
      </c>
      <c r="N1593">
        <v>4.5</v>
      </c>
      <c r="O1593">
        <v>4.3</v>
      </c>
      <c r="P1593">
        <v>4.5</v>
      </c>
    </row>
    <row r="1594" spans="1:16" x14ac:dyDescent="0.3">
      <c r="A1594">
        <v>63333</v>
      </c>
      <c r="B1594">
        <v>116</v>
      </c>
      <c r="C1594" t="s">
        <v>568</v>
      </c>
      <c r="D1594" s="453">
        <v>45992</v>
      </c>
      <c r="E1594">
        <v>19506</v>
      </c>
      <c r="F1594" t="s">
        <v>4112</v>
      </c>
      <c r="G1594">
        <v>2705</v>
      </c>
      <c r="H1594">
        <v>0.1</v>
      </c>
      <c r="I1594" t="s">
        <v>3892</v>
      </c>
      <c r="J1594" t="s">
        <v>3469</v>
      </c>
      <c r="K1594" t="s">
        <v>3393</v>
      </c>
      <c r="L1594">
        <v>44.09</v>
      </c>
      <c r="M1594" s="453">
        <v>45988</v>
      </c>
      <c r="N1594">
        <v>41.64</v>
      </c>
      <c r="O1594">
        <v>41.7</v>
      </c>
      <c r="P1594">
        <v>4.41</v>
      </c>
    </row>
    <row r="1595" spans="1:16" x14ac:dyDescent="0.3">
      <c r="A1595">
        <v>63257</v>
      </c>
      <c r="B1595">
        <v>116</v>
      </c>
      <c r="C1595" t="s">
        <v>568</v>
      </c>
      <c r="D1595" s="453">
        <v>45992</v>
      </c>
      <c r="E1595">
        <v>24409</v>
      </c>
      <c r="F1595" t="s">
        <v>4036</v>
      </c>
      <c r="G1595">
        <v>3665</v>
      </c>
      <c r="H1595">
        <v>2</v>
      </c>
      <c r="I1595" t="s">
        <v>3872</v>
      </c>
      <c r="J1595" t="s">
        <v>3497</v>
      </c>
      <c r="K1595" t="s">
        <v>3393</v>
      </c>
      <c r="L1595">
        <v>0</v>
      </c>
      <c r="M1595" s="453">
        <v>45551</v>
      </c>
      <c r="N1595">
        <v>2.19</v>
      </c>
      <c r="O1595">
        <v>2.19</v>
      </c>
      <c r="P1595">
        <v>4.38</v>
      </c>
    </row>
    <row r="1596" spans="1:16" x14ac:dyDescent="0.3">
      <c r="A1596">
        <v>63323</v>
      </c>
      <c r="B1596">
        <v>116</v>
      </c>
      <c r="C1596" t="s">
        <v>568</v>
      </c>
      <c r="D1596" s="453">
        <v>45992</v>
      </c>
      <c r="E1596">
        <v>23635</v>
      </c>
      <c r="F1596" t="s">
        <v>4102</v>
      </c>
      <c r="G1596">
        <v>2247</v>
      </c>
      <c r="H1596">
        <v>0.5</v>
      </c>
      <c r="I1596" t="s">
        <v>3892</v>
      </c>
      <c r="J1596" t="s">
        <v>3469</v>
      </c>
      <c r="K1596" t="s">
        <v>3393</v>
      </c>
      <c r="L1596">
        <v>0</v>
      </c>
      <c r="M1596" s="453">
        <v>45874</v>
      </c>
      <c r="N1596">
        <v>8.6999999999999993</v>
      </c>
      <c r="O1596">
        <v>7.9</v>
      </c>
      <c r="P1596">
        <v>4.3499999999999996</v>
      </c>
    </row>
    <row r="1597" spans="1:16" x14ac:dyDescent="0.3">
      <c r="A1597">
        <v>63326</v>
      </c>
      <c r="B1597">
        <v>116</v>
      </c>
      <c r="C1597" t="s">
        <v>568</v>
      </c>
      <c r="D1597" s="453">
        <v>45992</v>
      </c>
      <c r="E1597">
        <v>19607</v>
      </c>
      <c r="F1597" t="s">
        <v>4105</v>
      </c>
      <c r="G1597">
        <v>2623</v>
      </c>
      <c r="H1597">
        <v>0.5</v>
      </c>
      <c r="I1597" t="s">
        <v>3892</v>
      </c>
      <c r="J1597" t="s">
        <v>3469</v>
      </c>
      <c r="K1597" t="s">
        <v>3393</v>
      </c>
      <c r="L1597">
        <v>7.17</v>
      </c>
      <c r="M1597" s="453">
        <v>45980</v>
      </c>
      <c r="N1597">
        <v>8.75</v>
      </c>
      <c r="O1597">
        <v>8.6300000000000008</v>
      </c>
      <c r="P1597">
        <v>3.58</v>
      </c>
    </row>
    <row r="1598" spans="1:16" x14ac:dyDescent="0.3">
      <c r="A1598">
        <v>63288</v>
      </c>
      <c r="B1598">
        <v>116</v>
      </c>
      <c r="C1598" t="s">
        <v>568</v>
      </c>
      <c r="D1598" s="453">
        <v>45992</v>
      </c>
      <c r="E1598">
        <v>19642</v>
      </c>
      <c r="F1598" t="s">
        <v>4067</v>
      </c>
      <c r="G1598">
        <v>2596</v>
      </c>
      <c r="H1598">
        <v>1</v>
      </c>
      <c r="I1598" t="s">
        <v>3892</v>
      </c>
      <c r="J1598" t="s">
        <v>3469</v>
      </c>
      <c r="K1598" t="s">
        <v>3393</v>
      </c>
      <c r="L1598">
        <v>3.25</v>
      </c>
      <c r="M1598" s="453">
        <v>45988</v>
      </c>
      <c r="N1598">
        <v>3.75</v>
      </c>
      <c r="O1598">
        <v>3.75</v>
      </c>
      <c r="P1598">
        <v>3.25</v>
      </c>
    </row>
    <row r="1599" spans="1:16" x14ac:dyDescent="0.3">
      <c r="A1599">
        <v>63322</v>
      </c>
      <c r="B1599">
        <v>116</v>
      </c>
      <c r="C1599" t="s">
        <v>568</v>
      </c>
      <c r="D1599" s="453">
        <v>45992</v>
      </c>
      <c r="E1599">
        <v>19505</v>
      </c>
      <c r="F1599" t="s">
        <v>4101</v>
      </c>
      <c r="G1599">
        <v>2706</v>
      </c>
      <c r="H1599">
        <v>0.6</v>
      </c>
      <c r="I1599" t="s">
        <v>3892</v>
      </c>
      <c r="J1599" t="s">
        <v>3469</v>
      </c>
      <c r="K1599" t="s">
        <v>3393</v>
      </c>
      <c r="L1599">
        <v>5</v>
      </c>
      <c r="M1599" s="453">
        <v>45988</v>
      </c>
      <c r="N1599">
        <v>5</v>
      </c>
      <c r="O1599">
        <v>5</v>
      </c>
      <c r="P1599">
        <v>3</v>
      </c>
    </row>
    <row r="1600" spans="1:16" x14ac:dyDescent="0.3">
      <c r="A1600">
        <v>63299</v>
      </c>
      <c r="B1600">
        <v>116</v>
      </c>
      <c r="C1600" t="s">
        <v>568</v>
      </c>
      <c r="D1600" s="453">
        <v>45992</v>
      </c>
      <c r="E1600">
        <v>19553</v>
      </c>
      <c r="F1600" t="s">
        <v>4078</v>
      </c>
      <c r="G1600">
        <v>2663</v>
      </c>
      <c r="H1600">
        <v>1</v>
      </c>
      <c r="I1600" t="s">
        <v>3892</v>
      </c>
      <c r="J1600" t="s">
        <v>3469</v>
      </c>
      <c r="K1600" t="s">
        <v>3393</v>
      </c>
      <c r="L1600">
        <v>2.85</v>
      </c>
      <c r="M1600" s="453">
        <v>45988</v>
      </c>
      <c r="N1600">
        <v>2.2000000000000002</v>
      </c>
      <c r="O1600">
        <v>2.2000000000000002</v>
      </c>
      <c r="P1600">
        <v>2.85</v>
      </c>
    </row>
    <row r="1601" spans="1:16" x14ac:dyDescent="0.3">
      <c r="A1601">
        <v>63331</v>
      </c>
      <c r="B1601">
        <v>116</v>
      </c>
      <c r="C1601" t="s">
        <v>568</v>
      </c>
      <c r="D1601" s="453">
        <v>45992</v>
      </c>
      <c r="E1601">
        <v>19617</v>
      </c>
      <c r="F1601" t="s">
        <v>4110</v>
      </c>
      <c r="G1601">
        <v>2617</v>
      </c>
      <c r="H1601">
        <v>0.2</v>
      </c>
      <c r="I1601" t="s">
        <v>3892</v>
      </c>
      <c r="J1601" t="s">
        <v>3469</v>
      </c>
      <c r="K1601" t="s">
        <v>3393</v>
      </c>
      <c r="L1601">
        <v>11.73</v>
      </c>
      <c r="M1601" s="453">
        <v>45985</v>
      </c>
      <c r="N1601">
        <v>13</v>
      </c>
      <c r="O1601">
        <v>11</v>
      </c>
      <c r="P1601">
        <v>2.35</v>
      </c>
    </row>
    <row r="1602" spans="1:16" x14ac:dyDescent="0.3">
      <c r="A1602">
        <v>63334</v>
      </c>
      <c r="B1602">
        <v>116</v>
      </c>
      <c r="C1602" t="s">
        <v>568</v>
      </c>
      <c r="D1602" s="453">
        <v>45992</v>
      </c>
      <c r="E1602">
        <v>19480</v>
      </c>
      <c r="F1602" t="s">
        <v>4113</v>
      </c>
      <c r="G1602">
        <v>2726</v>
      </c>
      <c r="H1602">
        <v>0.1</v>
      </c>
      <c r="I1602" t="s">
        <v>3892</v>
      </c>
      <c r="J1602" t="s">
        <v>3469</v>
      </c>
      <c r="K1602" t="s">
        <v>3393</v>
      </c>
      <c r="L1602">
        <v>11.5</v>
      </c>
      <c r="M1602" s="453">
        <v>45988</v>
      </c>
      <c r="N1602">
        <v>12</v>
      </c>
      <c r="O1602">
        <v>12.5</v>
      </c>
      <c r="P1602">
        <v>1.1499999999999999</v>
      </c>
    </row>
    <row r="1603" spans="1:16" x14ac:dyDescent="0.3">
      <c r="A1603">
        <v>63198</v>
      </c>
      <c r="B1603">
        <v>116</v>
      </c>
      <c r="C1603" t="s">
        <v>568</v>
      </c>
      <c r="D1603" s="453">
        <v>45992</v>
      </c>
      <c r="E1603">
        <v>25767</v>
      </c>
      <c r="F1603" t="s">
        <v>3976</v>
      </c>
      <c r="G1603">
        <v>6316</v>
      </c>
      <c r="H1603">
        <v>3</v>
      </c>
      <c r="I1603" t="s">
        <v>3892</v>
      </c>
      <c r="J1603" t="s">
        <v>3469</v>
      </c>
      <c r="K1603" t="s">
        <v>3393</v>
      </c>
      <c r="L1603">
        <v>0</v>
      </c>
      <c r="M1603" s="453">
        <v>45936</v>
      </c>
      <c r="N1603">
        <v>0</v>
      </c>
      <c r="O1603">
        <v>35</v>
      </c>
      <c r="P1603">
        <v>0</v>
      </c>
    </row>
    <row r="1604" spans="1:16" x14ac:dyDescent="0.3">
      <c r="A1604">
        <v>59534</v>
      </c>
      <c r="B1604">
        <v>116</v>
      </c>
      <c r="C1604" t="s">
        <v>568</v>
      </c>
      <c r="D1604" s="453">
        <v>45962</v>
      </c>
      <c r="E1604">
        <v>18636</v>
      </c>
      <c r="F1604" t="s">
        <v>3921</v>
      </c>
      <c r="G1604">
        <v>3075</v>
      </c>
      <c r="H1604">
        <v>13.5</v>
      </c>
      <c r="I1604" t="s">
        <v>3922</v>
      </c>
      <c r="J1604" t="s">
        <v>3497</v>
      </c>
      <c r="K1604" t="s">
        <v>3733</v>
      </c>
      <c r="L1604">
        <v>446.16</v>
      </c>
      <c r="M1604" s="453">
        <v>45955</v>
      </c>
      <c r="N1604">
        <v>446.16</v>
      </c>
      <c r="O1604">
        <v>237.02</v>
      </c>
      <c r="P1604">
        <v>6023.16</v>
      </c>
    </row>
    <row r="1605" spans="1:16" x14ac:dyDescent="0.3">
      <c r="A1605">
        <v>59517</v>
      </c>
      <c r="B1605">
        <v>116</v>
      </c>
      <c r="C1605" t="s">
        <v>568</v>
      </c>
      <c r="D1605" s="453">
        <v>45962</v>
      </c>
      <c r="E1605">
        <v>18247</v>
      </c>
      <c r="F1605" t="s">
        <v>3877</v>
      </c>
      <c r="G1605">
        <v>3383</v>
      </c>
      <c r="H1605">
        <v>44</v>
      </c>
      <c r="I1605" t="s">
        <v>3878</v>
      </c>
      <c r="J1605" t="s">
        <v>3497</v>
      </c>
      <c r="K1605" t="s">
        <v>3733</v>
      </c>
      <c r="L1605">
        <v>0</v>
      </c>
      <c r="N1605">
        <v>0</v>
      </c>
      <c r="O1605">
        <v>0</v>
      </c>
      <c r="P1605">
        <v>2921.6</v>
      </c>
    </row>
    <row r="1606" spans="1:16" x14ac:dyDescent="0.3">
      <c r="A1606">
        <v>59511</v>
      </c>
      <c r="B1606">
        <v>116</v>
      </c>
      <c r="C1606" t="s">
        <v>568</v>
      </c>
      <c r="D1606" s="453">
        <v>45962</v>
      </c>
      <c r="E1606">
        <v>22515</v>
      </c>
      <c r="F1606" t="s">
        <v>3883</v>
      </c>
      <c r="G1606">
        <v>3202</v>
      </c>
      <c r="H1606">
        <v>62</v>
      </c>
      <c r="I1606" t="s">
        <v>3884</v>
      </c>
      <c r="J1606" t="s">
        <v>3497</v>
      </c>
      <c r="K1606" t="s">
        <v>3733</v>
      </c>
      <c r="L1606">
        <v>0</v>
      </c>
      <c r="M1606" s="453">
        <v>45671</v>
      </c>
      <c r="N1606">
        <v>38</v>
      </c>
      <c r="O1606">
        <v>38</v>
      </c>
      <c r="P1606">
        <v>2356</v>
      </c>
    </row>
    <row r="1607" spans="1:16" x14ac:dyDescent="0.3">
      <c r="A1607">
        <v>59509</v>
      </c>
      <c r="B1607">
        <v>116</v>
      </c>
      <c r="C1607" t="s">
        <v>568</v>
      </c>
      <c r="D1607" s="453">
        <v>45962</v>
      </c>
      <c r="E1607">
        <v>20621</v>
      </c>
      <c r="F1607" t="s">
        <v>3885</v>
      </c>
      <c r="G1607">
        <v>2117</v>
      </c>
      <c r="H1607">
        <v>76</v>
      </c>
      <c r="I1607" t="s">
        <v>3886</v>
      </c>
      <c r="J1607" t="s">
        <v>3469</v>
      </c>
      <c r="K1607" t="s">
        <v>3733</v>
      </c>
      <c r="L1607">
        <v>26</v>
      </c>
      <c r="M1607" s="453">
        <v>45937</v>
      </c>
      <c r="N1607">
        <v>26</v>
      </c>
      <c r="O1607">
        <v>26</v>
      </c>
      <c r="P1607">
        <v>1976</v>
      </c>
    </row>
    <row r="1608" spans="1:16" x14ac:dyDescent="0.3">
      <c r="A1608">
        <v>59516</v>
      </c>
      <c r="B1608">
        <v>116</v>
      </c>
      <c r="C1608" t="s">
        <v>568</v>
      </c>
      <c r="D1608" s="453">
        <v>45962</v>
      </c>
      <c r="E1608">
        <v>27711</v>
      </c>
      <c r="F1608" t="s">
        <v>3913</v>
      </c>
      <c r="G1608">
        <v>7678</v>
      </c>
      <c r="H1608">
        <v>46</v>
      </c>
      <c r="I1608" t="s">
        <v>3872</v>
      </c>
      <c r="J1608" t="s">
        <v>3469</v>
      </c>
      <c r="K1608" t="s">
        <v>3733</v>
      </c>
      <c r="L1608">
        <v>34.200000000000003</v>
      </c>
      <c r="M1608" s="453">
        <v>45936</v>
      </c>
      <c r="N1608">
        <v>34.200000000000003</v>
      </c>
      <c r="O1608">
        <v>34.200000000000003</v>
      </c>
      <c r="P1608">
        <v>1573.2</v>
      </c>
    </row>
    <row r="1609" spans="1:16" x14ac:dyDescent="0.3">
      <c r="A1609">
        <v>59528</v>
      </c>
      <c r="B1609">
        <v>116</v>
      </c>
      <c r="C1609" t="s">
        <v>568</v>
      </c>
      <c r="D1609" s="453">
        <v>45962</v>
      </c>
      <c r="E1609">
        <v>27312</v>
      </c>
      <c r="F1609" t="s">
        <v>3927</v>
      </c>
      <c r="G1609">
        <v>2942</v>
      </c>
      <c r="H1609">
        <v>17.600000000000001</v>
      </c>
      <c r="I1609" t="s">
        <v>3892</v>
      </c>
      <c r="J1609" t="s">
        <v>3469</v>
      </c>
      <c r="K1609" t="s">
        <v>3733</v>
      </c>
      <c r="L1609">
        <v>48.5</v>
      </c>
      <c r="M1609" s="453">
        <v>45952</v>
      </c>
      <c r="N1609">
        <v>48.5</v>
      </c>
      <c r="O1609">
        <v>48.5</v>
      </c>
      <c r="P1609">
        <v>853.6</v>
      </c>
    </row>
    <row r="1610" spans="1:16" x14ac:dyDescent="0.3">
      <c r="A1610">
        <v>59569</v>
      </c>
      <c r="B1610">
        <v>116</v>
      </c>
      <c r="C1610" t="s">
        <v>568</v>
      </c>
      <c r="D1610" s="453">
        <v>45962</v>
      </c>
      <c r="E1610">
        <v>16974</v>
      </c>
      <c r="F1610" t="s">
        <v>3996</v>
      </c>
      <c r="G1610">
        <v>3711</v>
      </c>
      <c r="H1610">
        <v>6</v>
      </c>
      <c r="I1610" t="s">
        <v>3881</v>
      </c>
      <c r="J1610" t="s">
        <v>3497</v>
      </c>
      <c r="K1610" t="s">
        <v>3733</v>
      </c>
      <c r="L1610">
        <v>135</v>
      </c>
      <c r="M1610" s="453">
        <v>45943</v>
      </c>
      <c r="N1610">
        <v>135</v>
      </c>
      <c r="O1610">
        <v>135</v>
      </c>
      <c r="P1610">
        <v>810</v>
      </c>
    </row>
    <row r="1611" spans="1:16" x14ac:dyDescent="0.3">
      <c r="A1611">
        <v>59597</v>
      </c>
      <c r="B1611">
        <v>116</v>
      </c>
      <c r="C1611" t="s">
        <v>568</v>
      </c>
      <c r="D1611" s="453">
        <v>45962</v>
      </c>
      <c r="E1611">
        <v>24072</v>
      </c>
      <c r="F1611" t="s">
        <v>4002</v>
      </c>
      <c r="G1611">
        <v>2982</v>
      </c>
      <c r="H1611">
        <v>4</v>
      </c>
      <c r="I1611" t="s">
        <v>3892</v>
      </c>
      <c r="J1611" t="s">
        <v>3469</v>
      </c>
      <c r="K1611" t="s">
        <v>3733</v>
      </c>
      <c r="L1611">
        <v>199</v>
      </c>
      <c r="M1611" s="453">
        <v>45958</v>
      </c>
      <c r="N1611">
        <v>199</v>
      </c>
      <c r="O1611">
        <v>199</v>
      </c>
      <c r="P1611">
        <v>796</v>
      </c>
    </row>
    <row r="1612" spans="1:16" x14ac:dyDescent="0.3">
      <c r="A1612">
        <v>59525</v>
      </c>
      <c r="B1612">
        <v>116</v>
      </c>
      <c r="C1612" t="s">
        <v>568</v>
      </c>
      <c r="D1612" s="453">
        <v>45962</v>
      </c>
      <c r="E1612">
        <v>18832</v>
      </c>
      <c r="F1612" t="s">
        <v>3900</v>
      </c>
      <c r="G1612">
        <v>2950</v>
      </c>
      <c r="H1612">
        <v>20</v>
      </c>
      <c r="I1612" t="s">
        <v>3892</v>
      </c>
      <c r="J1612" t="s">
        <v>3469</v>
      </c>
      <c r="K1612" t="s">
        <v>3733</v>
      </c>
      <c r="L1612">
        <v>39.22</v>
      </c>
      <c r="M1612" s="453">
        <v>45943</v>
      </c>
      <c r="N1612">
        <v>35.5</v>
      </c>
      <c r="O1612">
        <v>40.5</v>
      </c>
      <c r="P1612">
        <v>784.4</v>
      </c>
    </row>
    <row r="1613" spans="1:16" x14ac:dyDescent="0.3">
      <c r="A1613">
        <v>59540</v>
      </c>
      <c r="B1613">
        <v>116</v>
      </c>
      <c r="C1613" t="s">
        <v>568</v>
      </c>
      <c r="D1613" s="453">
        <v>45962</v>
      </c>
      <c r="E1613">
        <v>18948</v>
      </c>
      <c r="F1613" t="s">
        <v>3961</v>
      </c>
      <c r="G1613">
        <v>2927</v>
      </c>
      <c r="H1613">
        <v>10.9</v>
      </c>
      <c r="I1613" t="s">
        <v>3892</v>
      </c>
      <c r="J1613" t="s">
        <v>3469</v>
      </c>
      <c r="K1613" t="s">
        <v>3733</v>
      </c>
      <c r="L1613">
        <v>65.900000000000006</v>
      </c>
      <c r="M1613" s="453">
        <v>45952</v>
      </c>
      <c r="N1613">
        <v>65.900000000000006</v>
      </c>
      <c r="O1613">
        <v>64.209999999999994</v>
      </c>
      <c r="P1613">
        <v>718.31</v>
      </c>
    </row>
    <row r="1614" spans="1:16" x14ac:dyDescent="0.3">
      <c r="A1614">
        <v>59514</v>
      </c>
      <c r="B1614">
        <v>116</v>
      </c>
      <c r="C1614" t="s">
        <v>568</v>
      </c>
      <c r="D1614" s="453">
        <v>45962</v>
      </c>
      <c r="E1614">
        <v>20703</v>
      </c>
      <c r="F1614" t="s">
        <v>3893</v>
      </c>
      <c r="G1614">
        <v>2100</v>
      </c>
      <c r="H1614">
        <v>54</v>
      </c>
      <c r="I1614" t="s">
        <v>3886</v>
      </c>
      <c r="J1614" t="s">
        <v>3469</v>
      </c>
      <c r="K1614" t="s">
        <v>3733</v>
      </c>
      <c r="L1614">
        <v>0</v>
      </c>
      <c r="M1614" s="453">
        <v>45714</v>
      </c>
      <c r="N1614">
        <v>12.8</v>
      </c>
      <c r="O1614">
        <v>13.86</v>
      </c>
      <c r="P1614">
        <v>691.2</v>
      </c>
    </row>
    <row r="1615" spans="1:16" x14ac:dyDescent="0.3">
      <c r="A1615">
        <v>59530</v>
      </c>
      <c r="B1615">
        <v>116</v>
      </c>
      <c r="C1615" t="s">
        <v>568</v>
      </c>
      <c r="D1615" s="453">
        <v>45962</v>
      </c>
      <c r="E1615">
        <v>26194</v>
      </c>
      <c r="F1615" t="s">
        <v>4446</v>
      </c>
      <c r="G1615">
        <v>6617</v>
      </c>
      <c r="H1615">
        <v>15</v>
      </c>
      <c r="I1615" t="s">
        <v>3978</v>
      </c>
      <c r="J1615" t="s">
        <v>3469</v>
      </c>
      <c r="K1615" t="s">
        <v>3733</v>
      </c>
      <c r="L1615">
        <v>0</v>
      </c>
      <c r="M1615" s="453">
        <v>45887</v>
      </c>
      <c r="N1615">
        <v>40.299999999999997</v>
      </c>
      <c r="O1615">
        <v>41</v>
      </c>
      <c r="P1615">
        <v>604.5</v>
      </c>
    </row>
    <row r="1616" spans="1:16" x14ac:dyDescent="0.3">
      <c r="A1616">
        <v>59537</v>
      </c>
      <c r="B1616">
        <v>116</v>
      </c>
      <c r="C1616" t="s">
        <v>568</v>
      </c>
      <c r="D1616" s="453">
        <v>45962</v>
      </c>
      <c r="E1616">
        <v>20519</v>
      </c>
      <c r="F1616" t="s">
        <v>3902</v>
      </c>
      <c r="G1616">
        <v>2150</v>
      </c>
      <c r="H1616">
        <v>12.1</v>
      </c>
      <c r="I1616" t="s">
        <v>3892</v>
      </c>
      <c r="J1616" t="s">
        <v>3469</v>
      </c>
      <c r="K1616" t="s">
        <v>3733</v>
      </c>
      <c r="L1616">
        <v>49.75</v>
      </c>
      <c r="M1616" s="453">
        <v>45937</v>
      </c>
      <c r="N1616">
        <v>49.75</v>
      </c>
      <c r="O1616">
        <v>49.75</v>
      </c>
      <c r="P1616">
        <v>601.98</v>
      </c>
    </row>
    <row r="1617" spans="1:16" x14ac:dyDescent="0.3">
      <c r="A1617">
        <v>59520</v>
      </c>
      <c r="B1617">
        <v>116</v>
      </c>
      <c r="C1617" t="s">
        <v>568</v>
      </c>
      <c r="D1617" s="453">
        <v>45962</v>
      </c>
      <c r="E1617">
        <v>21030</v>
      </c>
      <c r="F1617" t="s">
        <v>3890</v>
      </c>
      <c r="G1617">
        <v>2001</v>
      </c>
      <c r="H1617">
        <v>31</v>
      </c>
      <c r="I1617" t="s">
        <v>3872</v>
      </c>
      <c r="J1617" t="s">
        <v>3469</v>
      </c>
      <c r="K1617" t="s">
        <v>3733</v>
      </c>
      <c r="L1617">
        <v>18.899999999999999</v>
      </c>
      <c r="M1617" s="453">
        <v>45951</v>
      </c>
      <c r="N1617">
        <v>18.899999999999999</v>
      </c>
      <c r="O1617">
        <v>18.899999999999999</v>
      </c>
      <c r="P1617">
        <v>585.9</v>
      </c>
    </row>
    <row r="1618" spans="1:16" x14ac:dyDescent="0.3">
      <c r="A1618">
        <v>59548</v>
      </c>
      <c r="B1618">
        <v>116</v>
      </c>
      <c r="C1618" t="s">
        <v>568</v>
      </c>
      <c r="D1618" s="453">
        <v>45962</v>
      </c>
      <c r="E1618">
        <v>20539</v>
      </c>
      <c r="F1618" t="s">
        <v>3908</v>
      </c>
      <c r="G1618">
        <v>2145</v>
      </c>
      <c r="H1618">
        <v>9</v>
      </c>
      <c r="I1618" t="s">
        <v>3892</v>
      </c>
      <c r="J1618" t="s">
        <v>3469</v>
      </c>
      <c r="K1618" t="s">
        <v>3733</v>
      </c>
      <c r="L1618">
        <v>64</v>
      </c>
      <c r="M1618" s="453">
        <v>45946</v>
      </c>
      <c r="N1618">
        <v>64</v>
      </c>
      <c r="O1618">
        <v>64</v>
      </c>
      <c r="P1618">
        <v>576</v>
      </c>
    </row>
    <row r="1619" spans="1:16" x14ac:dyDescent="0.3">
      <c r="A1619">
        <v>59560</v>
      </c>
      <c r="B1619">
        <v>116</v>
      </c>
      <c r="C1619" t="s">
        <v>568</v>
      </c>
      <c r="D1619" s="453">
        <v>45962</v>
      </c>
      <c r="E1619">
        <v>24140</v>
      </c>
      <c r="F1619" t="s">
        <v>3889</v>
      </c>
      <c r="G1619">
        <v>3100</v>
      </c>
      <c r="H1619">
        <v>7</v>
      </c>
      <c r="I1619" t="s">
        <v>3872</v>
      </c>
      <c r="J1619" t="s">
        <v>3497</v>
      </c>
      <c r="K1619" t="s">
        <v>3733</v>
      </c>
      <c r="L1619">
        <v>0</v>
      </c>
      <c r="M1619" s="453">
        <v>45699</v>
      </c>
      <c r="N1619">
        <v>77.959999999999994</v>
      </c>
      <c r="O1619">
        <v>0</v>
      </c>
      <c r="P1619">
        <v>545.72</v>
      </c>
    </row>
    <row r="1620" spans="1:16" x14ac:dyDescent="0.3">
      <c r="A1620">
        <v>59538</v>
      </c>
      <c r="B1620">
        <v>116</v>
      </c>
      <c r="C1620" t="s">
        <v>568</v>
      </c>
      <c r="D1620" s="453">
        <v>45962</v>
      </c>
      <c r="E1620">
        <v>19967</v>
      </c>
      <c r="F1620" t="s">
        <v>3930</v>
      </c>
      <c r="G1620">
        <v>2356</v>
      </c>
      <c r="H1620">
        <v>11.5</v>
      </c>
      <c r="I1620" t="s">
        <v>3931</v>
      </c>
      <c r="J1620" t="s">
        <v>3469</v>
      </c>
      <c r="K1620" t="s">
        <v>3733</v>
      </c>
      <c r="L1620">
        <v>47.19</v>
      </c>
      <c r="M1620" s="453">
        <v>45937</v>
      </c>
      <c r="N1620">
        <v>47.19</v>
      </c>
      <c r="O1620">
        <v>47.14</v>
      </c>
      <c r="P1620">
        <v>542.67999999999995</v>
      </c>
    </row>
    <row r="1621" spans="1:16" x14ac:dyDescent="0.3">
      <c r="A1621">
        <v>59552</v>
      </c>
      <c r="B1621">
        <v>116</v>
      </c>
      <c r="C1621" t="s">
        <v>568</v>
      </c>
      <c r="D1621" s="453">
        <v>45962</v>
      </c>
      <c r="E1621">
        <v>24259</v>
      </c>
      <c r="F1621" t="s">
        <v>3895</v>
      </c>
      <c r="G1621">
        <v>2938</v>
      </c>
      <c r="H1621">
        <v>8.5</v>
      </c>
      <c r="I1621" t="s">
        <v>3892</v>
      </c>
      <c r="J1621" t="s">
        <v>3469</v>
      </c>
      <c r="K1621" t="s">
        <v>3733</v>
      </c>
      <c r="L1621">
        <v>63.38</v>
      </c>
      <c r="M1621" s="453">
        <v>45943</v>
      </c>
      <c r="N1621">
        <v>63.9</v>
      </c>
      <c r="O1621">
        <v>62.8</v>
      </c>
      <c r="P1621">
        <v>538.73</v>
      </c>
    </row>
    <row r="1622" spans="1:16" x14ac:dyDescent="0.3">
      <c r="A1622">
        <v>59580</v>
      </c>
      <c r="B1622">
        <v>116</v>
      </c>
      <c r="C1622" t="s">
        <v>568</v>
      </c>
      <c r="D1622" s="453">
        <v>45962</v>
      </c>
      <c r="E1622">
        <v>18764</v>
      </c>
      <c r="F1622" t="s">
        <v>3907</v>
      </c>
      <c r="G1622">
        <v>3001</v>
      </c>
      <c r="H1622">
        <v>5</v>
      </c>
      <c r="I1622" t="s">
        <v>3892</v>
      </c>
      <c r="J1622" t="s">
        <v>3469</v>
      </c>
      <c r="K1622" t="s">
        <v>3733</v>
      </c>
      <c r="L1622">
        <v>0</v>
      </c>
      <c r="M1622" s="453">
        <v>45919</v>
      </c>
      <c r="N1622">
        <v>99</v>
      </c>
      <c r="O1622">
        <v>100</v>
      </c>
      <c r="P1622">
        <v>495</v>
      </c>
    </row>
    <row r="1623" spans="1:16" x14ac:dyDescent="0.3">
      <c r="A1623">
        <v>59585</v>
      </c>
      <c r="B1623">
        <v>116</v>
      </c>
      <c r="C1623" t="s">
        <v>568</v>
      </c>
      <c r="D1623" s="453">
        <v>45962</v>
      </c>
      <c r="E1623">
        <v>27901</v>
      </c>
      <c r="F1623" t="s">
        <v>3942</v>
      </c>
      <c r="G1623">
        <v>7866</v>
      </c>
      <c r="H1623">
        <v>4.5</v>
      </c>
      <c r="I1623" t="s">
        <v>3892</v>
      </c>
      <c r="J1623" t="s">
        <v>3469</v>
      </c>
      <c r="K1623" t="s">
        <v>3733</v>
      </c>
      <c r="L1623">
        <v>110</v>
      </c>
      <c r="M1623" s="453">
        <v>45950</v>
      </c>
      <c r="N1623">
        <v>110</v>
      </c>
      <c r="O1623">
        <v>110</v>
      </c>
      <c r="P1623">
        <v>495</v>
      </c>
    </row>
    <row r="1624" spans="1:16" x14ac:dyDescent="0.3">
      <c r="A1624">
        <v>59567</v>
      </c>
      <c r="B1624">
        <v>116</v>
      </c>
      <c r="C1624" t="s">
        <v>568</v>
      </c>
      <c r="D1624" s="453">
        <v>45962</v>
      </c>
      <c r="E1624">
        <v>22734</v>
      </c>
      <c r="F1624" t="s">
        <v>3955</v>
      </c>
      <c r="G1624">
        <v>3024</v>
      </c>
      <c r="H1624">
        <v>6</v>
      </c>
      <c r="I1624" t="s">
        <v>3892</v>
      </c>
      <c r="J1624" t="s">
        <v>3469</v>
      </c>
      <c r="K1624" t="s">
        <v>3733</v>
      </c>
      <c r="L1624">
        <v>81.27</v>
      </c>
      <c r="M1624" s="453">
        <v>45959</v>
      </c>
      <c r="N1624">
        <v>88</v>
      </c>
      <c r="O1624">
        <v>248.7</v>
      </c>
      <c r="P1624">
        <v>487.62</v>
      </c>
    </row>
    <row r="1625" spans="1:16" x14ac:dyDescent="0.3">
      <c r="A1625">
        <v>59535</v>
      </c>
      <c r="B1625">
        <v>116</v>
      </c>
      <c r="C1625" t="s">
        <v>568</v>
      </c>
      <c r="D1625" s="453">
        <v>45962</v>
      </c>
      <c r="E1625">
        <v>19916</v>
      </c>
      <c r="F1625" t="s">
        <v>4118</v>
      </c>
      <c r="G1625">
        <v>2379</v>
      </c>
      <c r="H1625">
        <v>13</v>
      </c>
      <c r="I1625" t="s">
        <v>3888</v>
      </c>
      <c r="J1625" t="s">
        <v>3469</v>
      </c>
      <c r="K1625" t="s">
        <v>3733</v>
      </c>
      <c r="L1625">
        <v>34.799999999999997</v>
      </c>
      <c r="M1625" s="453">
        <v>45937</v>
      </c>
      <c r="N1625">
        <v>34.799999999999997</v>
      </c>
      <c r="O1625">
        <v>33.9</v>
      </c>
      <c r="P1625">
        <v>452.4</v>
      </c>
    </row>
    <row r="1626" spans="1:16" x14ac:dyDescent="0.3">
      <c r="A1626">
        <v>59663</v>
      </c>
      <c r="B1626">
        <v>116</v>
      </c>
      <c r="C1626" t="s">
        <v>568</v>
      </c>
      <c r="D1626" s="453">
        <v>45962</v>
      </c>
      <c r="E1626">
        <v>18640</v>
      </c>
      <c r="F1626" t="s">
        <v>3994</v>
      </c>
      <c r="G1626">
        <v>3074</v>
      </c>
      <c r="H1626">
        <v>1.5</v>
      </c>
      <c r="I1626" t="s">
        <v>3922</v>
      </c>
      <c r="J1626" t="s">
        <v>3497</v>
      </c>
      <c r="K1626" t="s">
        <v>3733</v>
      </c>
      <c r="L1626">
        <v>276.43</v>
      </c>
      <c r="M1626" s="453">
        <v>45955</v>
      </c>
      <c r="N1626">
        <v>276.43</v>
      </c>
      <c r="O1626">
        <v>276.43</v>
      </c>
      <c r="P1626">
        <v>414.64</v>
      </c>
    </row>
    <row r="1627" spans="1:16" x14ac:dyDescent="0.3">
      <c r="A1627">
        <v>59545</v>
      </c>
      <c r="B1627">
        <v>116</v>
      </c>
      <c r="C1627" t="s">
        <v>568</v>
      </c>
      <c r="D1627" s="453">
        <v>45962</v>
      </c>
      <c r="E1627">
        <v>17710</v>
      </c>
      <c r="F1627" t="s">
        <v>3905</v>
      </c>
      <c r="G1627">
        <v>3824</v>
      </c>
      <c r="H1627">
        <v>10</v>
      </c>
      <c r="I1627" t="s">
        <v>3878</v>
      </c>
      <c r="J1627" t="s">
        <v>3497</v>
      </c>
      <c r="K1627" t="s">
        <v>3733</v>
      </c>
      <c r="L1627">
        <v>0</v>
      </c>
      <c r="N1627">
        <v>0</v>
      </c>
      <c r="O1627">
        <v>37.700000000000003</v>
      </c>
      <c r="P1627">
        <v>401.5</v>
      </c>
    </row>
    <row r="1628" spans="1:16" x14ac:dyDescent="0.3">
      <c r="A1628">
        <v>59655</v>
      </c>
      <c r="B1628">
        <v>116</v>
      </c>
      <c r="C1628" t="s">
        <v>568</v>
      </c>
      <c r="D1628" s="453">
        <v>45962</v>
      </c>
      <c r="E1628">
        <v>23982</v>
      </c>
      <c r="F1628" t="s">
        <v>3977</v>
      </c>
      <c r="G1628">
        <v>1999</v>
      </c>
      <c r="H1628">
        <v>1.5</v>
      </c>
      <c r="I1628" t="s">
        <v>3978</v>
      </c>
      <c r="J1628" t="s">
        <v>3469</v>
      </c>
      <c r="K1628" t="s">
        <v>3733</v>
      </c>
      <c r="L1628">
        <v>248.5</v>
      </c>
      <c r="M1628" s="453">
        <v>45937</v>
      </c>
      <c r="N1628">
        <v>248.5</v>
      </c>
      <c r="O1628">
        <v>245.4</v>
      </c>
      <c r="P1628">
        <v>372.75</v>
      </c>
    </row>
    <row r="1629" spans="1:16" x14ac:dyDescent="0.3">
      <c r="A1629">
        <v>59630</v>
      </c>
      <c r="B1629">
        <v>116</v>
      </c>
      <c r="C1629" t="s">
        <v>568</v>
      </c>
      <c r="D1629" s="453">
        <v>45962</v>
      </c>
      <c r="E1629">
        <v>23897</v>
      </c>
      <c r="F1629" t="s">
        <v>4058</v>
      </c>
      <c r="G1629">
        <v>2003</v>
      </c>
      <c r="H1629">
        <v>2</v>
      </c>
      <c r="I1629" t="s">
        <v>3872</v>
      </c>
      <c r="J1629" t="s">
        <v>3469</v>
      </c>
      <c r="K1629" t="s">
        <v>3733</v>
      </c>
      <c r="L1629">
        <v>177.9</v>
      </c>
      <c r="M1629" s="453">
        <v>45937</v>
      </c>
      <c r="N1629">
        <v>177.9</v>
      </c>
      <c r="O1629">
        <v>176.9</v>
      </c>
      <c r="P1629">
        <v>355.8</v>
      </c>
    </row>
    <row r="1630" spans="1:16" x14ac:dyDescent="0.3">
      <c r="A1630">
        <v>59541</v>
      </c>
      <c r="B1630">
        <v>116</v>
      </c>
      <c r="C1630" t="s">
        <v>568</v>
      </c>
      <c r="D1630" s="453">
        <v>45962</v>
      </c>
      <c r="E1630">
        <v>18818</v>
      </c>
      <c r="F1630" t="s">
        <v>3916</v>
      </c>
      <c r="G1630">
        <v>2956</v>
      </c>
      <c r="H1630">
        <v>10.5</v>
      </c>
      <c r="I1630" t="s">
        <v>3892</v>
      </c>
      <c r="J1630" t="s">
        <v>3469</v>
      </c>
      <c r="K1630" t="s">
        <v>3733</v>
      </c>
      <c r="L1630">
        <v>32.799999999999997</v>
      </c>
      <c r="M1630" s="453">
        <v>45952</v>
      </c>
      <c r="N1630">
        <v>32.799999999999997</v>
      </c>
      <c r="O1630">
        <v>32.799999999999997</v>
      </c>
      <c r="P1630">
        <v>344.4</v>
      </c>
    </row>
    <row r="1631" spans="1:16" x14ac:dyDescent="0.3">
      <c r="A1631">
        <v>59547</v>
      </c>
      <c r="B1631">
        <v>116</v>
      </c>
      <c r="C1631" t="s">
        <v>568</v>
      </c>
      <c r="D1631" s="453">
        <v>45962</v>
      </c>
      <c r="E1631">
        <v>19324</v>
      </c>
      <c r="F1631" t="s">
        <v>3937</v>
      </c>
      <c r="G1631">
        <v>2773</v>
      </c>
      <c r="H1631">
        <v>9.1999999999999993</v>
      </c>
      <c r="I1631" t="s">
        <v>3892</v>
      </c>
      <c r="J1631" t="s">
        <v>3469</v>
      </c>
      <c r="K1631" t="s">
        <v>3733</v>
      </c>
      <c r="L1631">
        <v>33.869999999999997</v>
      </c>
      <c r="M1631" s="453">
        <v>45951</v>
      </c>
      <c r="N1631">
        <v>32.9</v>
      </c>
      <c r="O1631">
        <v>30.9</v>
      </c>
      <c r="P1631">
        <v>311.60000000000002</v>
      </c>
    </row>
    <row r="1632" spans="1:16" x14ac:dyDescent="0.3">
      <c r="A1632">
        <v>59586</v>
      </c>
      <c r="B1632">
        <v>116</v>
      </c>
      <c r="C1632" t="s">
        <v>568</v>
      </c>
      <c r="D1632" s="453">
        <v>45962</v>
      </c>
      <c r="E1632">
        <v>19297</v>
      </c>
      <c r="F1632" t="s">
        <v>3949</v>
      </c>
      <c r="G1632">
        <v>2775</v>
      </c>
      <c r="H1632">
        <v>4.3</v>
      </c>
      <c r="I1632" t="s">
        <v>3892</v>
      </c>
      <c r="J1632" t="s">
        <v>3469</v>
      </c>
      <c r="K1632" t="s">
        <v>3733</v>
      </c>
      <c r="L1632">
        <v>69.8</v>
      </c>
      <c r="M1632" s="453">
        <v>45951</v>
      </c>
      <c r="N1632">
        <v>69.8</v>
      </c>
      <c r="O1632">
        <v>69.73</v>
      </c>
      <c r="P1632">
        <v>300.14</v>
      </c>
    </row>
    <row r="1633" spans="1:16" x14ac:dyDescent="0.3">
      <c r="A1633">
        <v>59623</v>
      </c>
      <c r="B1633">
        <v>116</v>
      </c>
      <c r="C1633" t="s">
        <v>568</v>
      </c>
      <c r="D1633" s="453">
        <v>45962</v>
      </c>
      <c r="E1633">
        <v>18295</v>
      </c>
      <c r="F1633" t="s">
        <v>4030</v>
      </c>
      <c r="G1633">
        <v>3334</v>
      </c>
      <c r="H1633">
        <v>2.4</v>
      </c>
      <c r="I1633" t="s">
        <v>3878</v>
      </c>
      <c r="J1633" t="s">
        <v>3497</v>
      </c>
      <c r="K1633" t="s">
        <v>3733</v>
      </c>
      <c r="L1633">
        <v>124.54</v>
      </c>
      <c r="M1633" s="453">
        <v>45951</v>
      </c>
      <c r="N1633">
        <v>124.54</v>
      </c>
      <c r="O1633">
        <v>124.54</v>
      </c>
      <c r="P1633">
        <v>298.89999999999998</v>
      </c>
    </row>
    <row r="1634" spans="1:16" x14ac:dyDescent="0.3">
      <c r="A1634">
        <v>59551</v>
      </c>
      <c r="B1634">
        <v>116</v>
      </c>
      <c r="C1634" t="s">
        <v>568</v>
      </c>
      <c r="D1634" s="453">
        <v>45962</v>
      </c>
      <c r="E1634">
        <v>18475</v>
      </c>
      <c r="F1634" t="s">
        <v>3918</v>
      </c>
      <c r="G1634">
        <v>3181</v>
      </c>
      <c r="H1634">
        <v>9</v>
      </c>
      <c r="I1634" t="s">
        <v>3878</v>
      </c>
      <c r="J1634" t="s">
        <v>3497</v>
      </c>
      <c r="K1634" t="s">
        <v>3733</v>
      </c>
      <c r="L1634">
        <v>32.9</v>
      </c>
      <c r="M1634" s="453">
        <v>45931</v>
      </c>
      <c r="N1634">
        <v>32.9</v>
      </c>
      <c r="O1634">
        <v>32.9</v>
      </c>
      <c r="P1634">
        <v>296.10000000000002</v>
      </c>
    </row>
    <row r="1635" spans="1:16" x14ac:dyDescent="0.3">
      <c r="A1635">
        <v>59503</v>
      </c>
      <c r="B1635">
        <v>116</v>
      </c>
      <c r="C1635" t="s">
        <v>568</v>
      </c>
      <c r="D1635" s="453">
        <v>45962</v>
      </c>
      <c r="E1635">
        <v>24414</v>
      </c>
      <c r="F1635" t="s">
        <v>3943</v>
      </c>
      <c r="G1635">
        <v>3670</v>
      </c>
      <c r="H1635">
        <v>132</v>
      </c>
      <c r="I1635" t="s">
        <v>3872</v>
      </c>
      <c r="J1635" t="s">
        <v>3497</v>
      </c>
      <c r="K1635" t="s">
        <v>3733</v>
      </c>
      <c r="L1635">
        <v>0</v>
      </c>
      <c r="M1635" s="453">
        <v>45544</v>
      </c>
      <c r="N1635">
        <v>2.19</v>
      </c>
      <c r="O1635">
        <v>2.19</v>
      </c>
      <c r="P1635">
        <v>289.08</v>
      </c>
    </row>
    <row r="1636" spans="1:16" x14ac:dyDescent="0.3">
      <c r="A1636">
        <v>59573</v>
      </c>
      <c r="B1636">
        <v>116</v>
      </c>
      <c r="C1636" t="s">
        <v>568</v>
      </c>
      <c r="D1636" s="453">
        <v>45962</v>
      </c>
      <c r="E1636">
        <v>19346</v>
      </c>
      <c r="F1636" t="s">
        <v>3948</v>
      </c>
      <c r="G1636">
        <v>2770</v>
      </c>
      <c r="H1636">
        <v>5.3</v>
      </c>
      <c r="I1636" t="s">
        <v>3892</v>
      </c>
      <c r="J1636" t="s">
        <v>3469</v>
      </c>
      <c r="K1636" t="s">
        <v>3733</v>
      </c>
      <c r="L1636">
        <v>53.5</v>
      </c>
      <c r="M1636" s="453">
        <v>45951</v>
      </c>
      <c r="N1636">
        <v>52.9</v>
      </c>
      <c r="O1636">
        <v>52.9</v>
      </c>
      <c r="P1636">
        <v>283.55</v>
      </c>
    </row>
    <row r="1637" spans="1:16" x14ac:dyDescent="0.3">
      <c r="A1637">
        <v>59556</v>
      </c>
      <c r="B1637">
        <v>116</v>
      </c>
      <c r="C1637" t="s">
        <v>568</v>
      </c>
      <c r="D1637" s="453">
        <v>45962</v>
      </c>
      <c r="E1637">
        <v>18491</v>
      </c>
      <c r="F1637" t="s">
        <v>3934</v>
      </c>
      <c r="G1637">
        <v>3166</v>
      </c>
      <c r="H1637">
        <v>8</v>
      </c>
      <c r="I1637" t="s">
        <v>3878</v>
      </c>
      <c r="J1637" t="s">
        <v>3497</v>
      </c>
      <c r="K1637" t="s">
        <v>3733</v>
      </c>
      <c r="L1637">
        <v>33.9</v>
      </c>
      <c r="M1637" s="453">
        <v>45931</v>
      </c>
      <c r="N1637">
        <v>33.9</v>
      </c>
      <c r="O1637">
        <v>33.9</v>
      </c>
      <c r="P1637">
        <v>271.2</v>
      </c>
    </row>
    <row r="1638" spans="1:16" x14ac:dyDescent="0.3">
      <c r="A1638">
        <v>59562</v>
      </c>
      <c r="B1638">
        <v>116</v>
      </c>
      <c r="C1638" t="s">
        <v>568</v>
      </c>
      <c r="D1638" s="453">
        <v>45962</v>
      </c>
      <c r="E1638">
        <v>20458</v>
      </c>
      <c r="F1638" t="s">
        <v>4121</v>
      </c>
      <c r="G1638">
        <v>2164</v>
      </c>
      <c r="H1638">
        <v>6.4</v>
      </c>
      <c r="I1638" t="s">
        <v>3892</v>
      </c>
      <c r="J1638" t="s">
        <v>3469</v>
      </c>
      <c r="K1638" t="s">
        <v>3733</v>
      </c>
      <c r="L1638">
        <v>41.9</v>
      </c>
      <c r="M1638" s="453">
        <v>45938</v>
      </c>
      <c r="N1638">
        <v>41.9</v>
      </c>
      <c r="O1638">
        <v>41.9</v>
      </c>
      <c r="P1638">
        <v>268.16000000000003</v>
      </c>
    </row>
    <row r="1639" spans="1:16" x14ac:dyDescent="0.3">
      <c r="A1639">
        <v>59532</v>
      </c>
      <c r="B1639">
        <v>116</v>
      </c>
      <c r="C1639" t="s">
        <v>568</v>
      </c>
      <c r="D1639" s="453">
        <v>45962</v>
      </c>
      <c r="E1639">
        <v>19984</v>
      </c>
      <c r="F1639" t="s">
        <v>3904</v>
      </c>
      <c r="G1639">
        <v>2351</v>
      </c>
      <c r="H1639">
        <v>14</v>
      </c>
      <c r="I1639" t="s">
        <v>3872</v>
      </c>
      <c r="J1639" t="s">
        <v>3469</v>
      </c>
      <c r="K1639" t="s">
        <v>3733</v>
      </c>
      <c r="L1639">
        <v>18.899999999999999</v>
      </c>
      <c r="M1639" s="453">
        <v>45945</v>
      </c>
      <c r="N1639">
        <v>18.899999999999999</v>
      </c>
      <c r="O1639">
        <v>18.899999999999999</v>
      </c>
      <c r="P1639">
        <v>264.60000000000002</v>
      </c>
    </row>
    <row r="1640" spans="1:16" x14ac:dyDescent="0.3">
      <c r="A1640">
        <v>59622</v>
      </c>
      <c r="B1640">
        <v>116</v>
      </c>
      <c r="C1640" t="s">
        <v>568</v>
      </c>
      <c r="D1640" s="453">
        <v>45962</v>
      </c>
      <c r="E1640">
        <v>18179</v>
      </c>
      <c r="F1640" t="s">
        <v>3995</v>
      </c>
      <c r="G1640">
        <v>3443</v>
      </c>
      <c r="H1640">
        <v>2.5</v>
      </c>
      <c r="I1640" t="s">
        <v>3878</v>
      </c>
      <c r="J1640" t="s">
        <v>3497</v>
      </c>
      <c r="K1640" t="s">
        <v>3733</v>
      </c>
      <c r="L1640">
        <v>0</v>
      </c>
      <c r="M1640" s="453">
        <v>45845</v>
      </c>
      <c r="N1640">
        <v>105.6</v>
      </c>
      <c r="O1640">
        <v>110</v>
      </c>
      <c r="P1640">
        <v>264</v>
      </c>
    </row>
    <row r="1641" spans="1:16" x14ac:dyDescent="0.3">
      <c r="A1641">
        <v>59599</v>
      </c>
      <c r="B1641">
        <v>116</v>
      </c>
      <c r="C1641" t="s">
        <v>568</v>
      </c>
      <c r="D1641" s="453">
        <v>45962</v>
      </c>
      <c r="E1641">
        <v>18493</v>
      </c>
      <c r="F1641" t="s">
        <v>3958</v>
      </c>
      <c r="G1641">
        <v>3164</v>
      </c>
      <c r="H1641">
        <v>3.7</v>
      </c>
      <c r="I1641" t="s">
        <v>3878</v>
      </c>
      <c r="J1641" t="s">
        <v>3497</v>
      </c>
      <c r="K1641" t="s">
        <v>3733</v>
      </c>
      <c r="L1641">
        <v>69.900000000000006</v>
      </c>
      <c r="M1641" s="453">
        <v>45931</v>
      </c>
      <c r="N1641">
        <v>69.900000000000006</v>
      </c>
      <c r="O1641">
        <v>69.900000000000006</v>
      </c>
      <c r="P1641">
        <v>258.63</v>
      </c>
    </row>
    <row r="1642" spans="1:16" x14ac:dyDescent="0.3">
      <c r="A1642">
        <v>59550</v>
      </c>
      <c r="B1642">
        <v>116</v>
      </c>
      <c r="C1642" t="s">
        <v>568</v>
      </c>
      <c r="D1642" s="453">
        <v>45962</v>
      </c>
      <c r="E1642">
        <v>24517</v>
      </c>
      <c r="F1642" t="s">
        <v>3991</v>
      </c>
      <c r="G1642">
        <v>3047</v>
      </c>
      <c r="H1642">
        <v>9</v>
      </c>
      <c r="I1642" t="s">
        <v>3892</v>
      </c>
      <c r="J1642" t="s">
        <v>3469</v>
      </c>
      <c r="K1642" t="s">
        <v>3733</v>
      </c>
      <c r="L1642">
        <v>27.99</v>
      </c>
      <c r="M1642" s="453">
        <v>45951</v>
      </c>
      <c r="N1642">
        <v>27.99</v>
      </c>
      <c r="O1642">
        <v>27.99</v>
      </c>
      <c r="P1642">
        <v>251.91</v>
      </c>
    </row>
    <row r="1643" spans="1:16" x14ac:dyDescent="0.3">
      <c r="A1643">
        <v>59561</v>
      </c>
      <c r="B1643">
        <v>116</v>
      </c>
      <c r="C1643" t="s">
        <v>568</v>
      </c>
      <c r="D1643" s="453">
        <v>45962</v>
      </c>
      <c r="E1643">
        <v>18684</v>
      </c>
      <c r="F1643" t="s">
        <v>3925</v>
      </c>
      <c r="G1643">
        <v>3041</v>
      </c>
      <c r="H1643">
        <v>6.9</v>
      </c>
      <c r="I1643" t="s">
        <v>3892</v>
      </c>
      <c r="J1643" t="s">
        <v>3469</v>
      </c>
      <c r="K1643" t="s">
        <v>3733</v>
      </c>
      <c r="L1643">
        <v>36</v>
      </c>
      <c r="M1643" s="453">
        <v>45951</v>
      </c>
      <c r="N1643">
        <v>36</v>
      </c>
      <c r="O1643">
        <v>36</v>
      </c>
      <c r="P1643">
        <v>248.4</v>
      </c>
    </row>
    <row r="1644" spans="1:16" x14ac:dyDescent="0.3">
      <c r="A1644">
        <v>59557</v>
      </c>
      <c r="B1644">
        <v>116</v>
      </c>
      <c r="C1644" t="s">
        <v>568</v>
      </c>
      <c r="D1644" s="453">
        <v>45962</v>
      </c>
      <c r="E1644">
        <v>18172</v>
      </c>
      <c r="F1644" t="s">
        <v>3923</v>
      </c>
      <c r="G1644">
        <v>3450</v>
      </c>
      <c r="H1644">
        <v>7.5</v>
      </c>
      <c r="I1644" t="s">
        <v>3878</v>
      </c>
      <c r="J1644" t="s">
        <v>3497</v>
      </c>
      <c r="K1644" t="s">
        <v>3733</v>
      </c>
      <c r="L1644">
        <v>32.119999999999997</v>
      </c>
      <c r="M1644" s="453">
        <v>45931</v>
      </c>
      <c r="N1644">
        <v>32.119999999999997</v>
      </c>
      <c r="O1644">
        <v>30.9</v>
      </c>
      <c r="P1644">
        <v>240.9</v>
      </c>
    </row>
    <row r="1645" spans="1:16" x14ac:dyDescent="0.3">
      <c r="A1645">
        <v>59624</v>
      </c>
      <c r="B1645">
        <v>116</v>
      </c>
      <c r="C1645" t="s">
        <v>568</v>
      </c>
      <c r="D1645" s="453">
        <v>45962</v>
      </c>
      <c r="E1645">
        <v>20752</v>
      </c>
      <c r="F1645" t="s">
        <v>3964</v>
      </c>
      <c r="G1645">
        <v>2088</v>
      </c>
      <c r="H1645">
        <v>2</v>
      </c>
      <c r="I1645" t="s">
        <v>3886</v>
      </c>
      <c r="J1645" t="s">
        <v>3469</v>
      </c>
      <c r="K1645" t="s">
        <v>3733</v>
      </c>
      <c r="L1645">
        <v>115.5</v>
      </c>
      <c r="M1645" s="453">
        <v>45951</v>
      </c>
      <c r="N1645">
        <v>114.9</v>
      </c>
      <c r="O1645">
        <v>114.51</v>
      </c>
      <c r="P1645">
        <v>231</v>
      </c>
    </row>
    <row r="1646" spans="1:16" x14ac:dyDescent="0.3">
      <c r="A1646">
        <v>59566</v>
      </c>
      <c r="B1646">
        <v>116</v>
      </c>
      <c r="C1646" t="s">
        <v>568</v>
      </c>
      <c r="D1646" s="453">
        <v>45962</v>
      </c>
      <c r="E1646">
        <v>19287</v>
      </c>
      <c r="F1646" t="s">
        <v>3974</v>
      </c>
      <c r="G1646">
        <v>2778</v>
      </c>
      <c r="H1646">
        <v>6</v>
      </c>
      <c r="I1646" t="s">
        <v>3892</v>
      </c>
      <c r="J1646" t="s">
        <v>3469</v>
      </c>
      <c r="K1646" t="s">
        <v>3733</v>
      </c>
      <c r="L1646">
        <v>37.9</v>
      </c>
      <c r="M1646" s="453">
        <v>45951</v>
      </c>
      <c r="N1646">
        <v>37.9</v>
      </c>
      <c r="O1646">
        <v>37.9</v>
      </c>
      <c r="P1646">
        <v>227.4</v>
      </c>
    </row>
    <row r="1647" spans="1:16" x14ac:dyDescent="0.3">
      <c r="A1647">
        <v>59613</v>
      </c>
      <c r="B1647">
        <v>116</v>
      </c>
      <c r="C1647" t="s">
        <v>568</v>
      </c>
      <c r="D1647" s="453">
        <v>45962</v>
      </c>
      <c r="E1647">
        <v>18467</v>
      </c>
      <c r="F1647" t="s">
        <v>4028</v>
      </c>
      <c r="G1647">
        <v>3189</v>
      </c>
      <c r="H1647">
        <v>3</v>
      </c>
      <c r="I1647" t="s">
        <v>3878</v>
      </c>
      <c r="J1647" t="s">
        <v>3497</v>
      </c>
      <c r="K1647" t="s">
        <v>3733</v>
      </c>
      <c r="L1647">
        <v>75.08</v>
      </c>
      <c r="M1647" s="453">
        <v>45944</v>
      </c>
      <c r="N1647">
        <v>75.08</v>
      </c>
      <c r="O1647">
        <v>75.08</v>
      </c>
      <c r="P1647">
        <v>225.24</v>
      </c>
    </row>
    <row r="1648" spans="1:16" x14ac:dyDescent="0.3">
      <c r="A1648">
        <v>59505</v>
      </c>
      <c r="B1648">
        <v>116</v>
      </c>
      <c r="C1648" t="s">
        <v>568</v>
      </c>
      <c r="D1648" s="453">
        <v>45962</v>
      </c>
      <c r="E1648">
        <v>22118</v>
      </c>
      <c r="F1648" t="s">
        <v>3880</v>
      </c>
      <c r="G1648">
        <v>3600</v>
      </c>
      <c r="H1648">
        <v>7.5</v>
      </c>
      <c r="I1648" t="s">
        <v>3881</v>
      </c>
      <c r="J1648" t="s">
        <v>3497</v>
      </c>
      <c r="K1648" t="s">
        <v>3733</v>
      </c>
      <c r="L1648">
        <v>0</v>
      </c>
      <c r="M1648" s="453">
        <v>45854</v>
      </c>
      <c r="N1648">
        <v>29.64</v>
      </c>
      <c r="O1648">
        <v>29.64</v>
      </c>
      <c r="P1648">
        <v>222.3</v>
      </c>
    </row>
    <row r="1649" spans="1:16" x14ac:dyDescent="0.3">
      <c r="A1649">
        <v>59579</v>
      </c>
      <c r="B1649">
        <v>116</v>
      </c>
      <c r="C1649" t="s">
        <v>568</v>
      </c>
      <c r="D1649" s="453">
        <v>45962</v>
      </c>
      <c r="E1649">
        <v>24116</v>
      </c>
      <c r="F1649" t="s">
        <v>3963</v>
      </c>
      <c r="G1649">
        <v>2924</v>
      </c>
      <c r="H1649">
        <v>5</v>
      </c>
      <c r="I1649" t="s">
        <v>3892</v>
      </c>
      <c r="J1649" t="s">
        <v>3469</v>
      </c>
      <c r="K1649" t="s">
        <v>3733</v>
      </c>
      <c r="L1649">
        <v>44</v>
      </c>
      <c r="M1649" s="453">
        <v>45937</v>
      </c>
      <c r="N1649">
        <v>44</v>
      </c>
      <c r="O1649">
        <v>44</v>
      </c>
      <c r="P1649">
        <v>220</v>
      </c>
    </row>
    <row r="1650" spans="1:16" x14ac:dyDescent="0.3">
      <c r="A1650">
        <v>59594</v>
      </c>
      <c r="B1650">
        <v>116</v>
      </c>
      <c r="C1650" t="s">
        <v>568</v>
      </c>
      <c r="D1650" s="453">
        <v>45962</v>
      </c>
      <c r="E1650">
        <v>19578</v>
      </c>
      <c r="F1650" t="s">
        <v>3985</v>
      </c>
      <c r="G1650">
        <v>2640</v>
      </c>
      <c r="H1650">
        <v>4</v>
      </c>
      <c r="I1650" t="s">
        <v>3892</v>
      </c>
      <c r="J1650" t="s">
        <v>3469</v>
      </c>
      <c r="K1650" t="s">
        <v>3733</v>
      </c>
      <c r="L1650">
        <v>55</v>
      </c>
      <c r="M1650" s="453">
        <v>45936</v>
      </c>
      <c r="N1650">
        <v>55</v>
      </c>
      <c r="O1650">
        <v>70</v>
      </c>
      <c r="P1650">
        <v>220</v>
      </c>
    </row>
    <row r="1651" spans="1:16" x14ac:dyDescent="0.3">
      <c r="A1651">
        <v>59595</v>
      </c>
      <c r="B1651">
        <v>116</v>
      </c>
      <c r="C1651" t="s">
        <v>568</v>
      </c>
      <c r="D1651" s="453">
        <v>45962</v>
      </c>
      <c r="E1651">
        <v>19579</v>
      </c>
      <c r="F1651" t="s">
        <v>4020</v>
      </c>
      <c r="G1651">
        <v>2640</v>
      </c>
      <c r="H1651">
        <v>4</v>
      </c>
      <c r="I1651" t="s">
        <v>3892</v>
      </c>
      <c r="J1651" t="s">
        <v>3469</v>
      </c>
      <c r="K1651" t="s">
        <v>3733</v>
      </c>
      <c r="L1651">
        <v>55</v>
      </c>
      <c r="M1651" s="453">
        <v>45936</v>
      </c>
      <c r="N1651">
        <v>55</v>
      </c>
      <c r="O1651">
        <v>0</v>
      </c>
      <c r="P1651">
        <v>220</v>
      </c>
    </row>
    <row r="1652" spans="1:16" x14ac:dyDescent="0.3">
      <c r="A1652">
        <v>59519</v>
      </c>
      <c r="B1652">
        <v>116</v>
      </c>
      <c r="C1652" t="s">
        <v>568</v>
      </c>
      <c r="D1652" s="453">
        <v>45962</v>
      </c>
      <c r="E1652">
        <v>25195</v>
      </c>
      <c r="F1652" t="s">
        <v>3874</v>
      </c>
      <c r="G1652">
        <v>2363</v>
      </c>
      <c r="H1652">
        <v>34</v>
      </c>
      <c r="I1652" t="s">
        <v>3872</v>
      </c>
      <c r="J1652" t="s">
        <v>3469</v>
      </c>
      <c r="K1652" t="s">
        <v>3733</v>
      </c>
      <c r="L1652">
        <v>6.3</v>
      </c>
      <c r="M1652" s="453">
        <v>45936</v>
      </c>
      <c r="N1652">
        <v>6.3</v>
      </c>
      <c r="O1652">
        <v>6.3</v>
      </c>
      <c r="P1652">
        <v>214.2</v>
      </c>
    </row>
    <row r="1653" spans="1:16" x14ac:dyDescent="0.3">
      <c r="A1653">
        <v>59646</v>
      </c>
      <c r="B1653">
        <v>116</v>
      </c>
      <c r="C1653" t="s">
        <v>568</v>
      </c>
      <c r="D1653" s="453">
        <v>45962</v>
      </c>
      <c r="E1653">
        <v>18538</v>
      </c>
      <c r="F1653" t="s">
        <v>4026</v>
      </c>
      <c r="G1653">
        <v>3139</v>
      </c>
      <c r="H1653">
        <v>2</v>
      </c>
      <c r="I1653" t="s">
        <v>3878</v>
      </c>
      <c r="J1653" t="s">
        <v>3497</v>
      </c>
      <c r="K1653" t="s">
        <v>3733</v>
      </c>
      <c r="L1653">
        <v>100</v>
      </c>
      <c r="M1653" s="453">
        <v>45944</v>
      </c>
      <c r="N1653">
        <v>100</v>
      </c>
      <c r="O1653">
        <v>51.61</v>
      </c>
      <c r="P1653">
        <v>200</v>
      </c>
    </row>
    <row r="1654" spans="1:16" x14ac:dyDescent="0.3">
      <c r="A1654">
        <v>59618</v>
      </c>
      <c r="B1654">
        <v>116</v>
      </c>
      <c r="C1654" t="s">
        <v>568</v>
      </c>
      <c r="D1654" s="453">
        <v>45962</v>
      </c>
      <c r="E1654">
        <v>20555</v>
      </c>
      <c r="F1654" t="s">
        <v>3959</v>
      </c>
      <c r="G1654">
        <v>2139</v>
      </c>
      <c r="H1654">
        <v>2.5</v>
      </c>
      <c r="I1654" t="s">
        <v>3892</v>
      </c>
      <c r="J1654" t="s">
        <v>3469</v>
      </c>
      <c r="K1654" t="s">
        <v>3733</v>
      </c>
      <c r="L1654">
        <v>79</v>
      </c>
      <c r="M1654" s="453">
        <v>45950</v>
      </c>
      <c r="N1654">
        <v>79</v>
      </c>
      <c r="O1654">
        <v>79</v>
      </c>
      <c r="P1654">
        <v>197.5</v>
      </c>
    </row>
    <row r="1655" spans="1:16" x14ac:dyDescent="0.3">
      <c r="A1655">
        <v>59581</v>
      </c>
      <c r="B1655">
        <v>116</v>
      </c>
      <c r="C1655" t="s">
        <v>568</v>
      </c>
      <c r="D1655" s="453">
        <v>45962</v>
      </c>
      <c r="E1655">
        <v>18685</v>
      </c>
      <c r="F1655" t="s">
        <v>3945</v>
      </c>
      <c r="G1655">
        <v>3040</v>
      </c>
      <c r="H1655">
        <v>5</v>
      </c>
      <c r="I1655" t="s">
        <v>3892</v>
      </c>
      <c r="J1655" t="s">
        <v>3469</v>
      </c>
      <c r="K1655" t="s">
        <v>3733</v>
      </c>
      <c r="L1655">
        <v>39</v>
      </c>
      <c r="M1655" s="453">
        <v>45937</v>
      </c>
      <c r="N1655">
        <v>39</v>
      </c>
      <c r="O1655">
        <v>39</v>
      </c>
      <c r="P1655">
        <v>195</v>
      </c>
    </row>
    <row r="1656" spans="1:16" x14ac:dyDescent="0.3">
      <c r="A1656">
        <v>59608</v>
      </c>
      <c r="B1656">
        <v>116</v>
      </c>
      <c r="C1656" t="s">
        <v>568</v>
      </c>
      <c r="D1656" s="453">
        <v>45962</v>
      </c>
      <c r="E1656">
        <v>20729</v>
      </c>
      <c r="F1656" t="s">
        <v>3965</v>
      </c>
      <c r="G1656">
        <v>2093</v>
      </c>
      <c r="H1656">
        <v>3</v>
      </c>
      <c r="I1656" t="s">
        <v>3966</v>
      </c>
      <c r="J1656" t="s">
        <v>3469</v>
      </c>
      <c r="K1656" t="s">
        <v>3733</v>
      </c>
      <c r="L1656">
        <v>64.78</v>
      </c>
      <c r="M1656" s="453">
        <v>45951</v>
      </c>
      <c r="N1656">
        <v>65.900000000000006</v>
      </c>
      <c r="O1656">
        <v>64.099999999999994</v>
      </c>
      <c r="P1656">
        <v>194.34</v>
      </c>
    </row>
    <row r="1657" spans="1:16" x14ac:dyDescent="0.3">
      <c r="A1657">
        <v>59529</v>
      </c>
      <c r="B1657">
        <v>116</v>
      </c>
      <c r="C1657" t="s">
        <v>568</v>
      </c>
      <c r="D1657" s="453">
        <v>45962</v>
      </c>
      <c r="E1657">
        <v>20131</v>
      </c>
      <c r="F1657" t="s">
        <v>4447</v>
      </c>
      <c r="G1657">
        <v>2287</v>
      </c>
      <c r="H1657">
        <v>16</v>
      </c>
      <c r="I1657" t="s">
        <v>3892</v>
      </c>
      <c r="J1657" t="s">
        <v>3469</v>
      </c>
      <c r="K1657" t="s">
        <v>3733</v>
      </c>
      <c r="L1657">
        <v>12</v>
      </c>
      <c r="M1657" s="453">
        <v>45944</v>
      </c>
      <c r="N1657">
        <v>12</v>
      </c>
      <c r="O1657">
        <v>12</v>
      </c>
      <c r="P1657">
        <v>192</v>
      </c>
    </row>
    <row r="1658" spans="1:16" x14ac:dyDescent="0.3">
      <c r="A1658">
        <v>59506</v>
      </c>
      <c r="B1658">
        <v>116</v>
      </c>
      <c r="C1658" t="s">
        <v>568</v>
      </c>
      <c r="D1658" s="453">
        <v>45962</v>
      </c>
      <c r="E1658">
        <v>24409</v>
      </c>
      <c r="F1658" t="s">
        <v>4036</v>
      </c>
      <c r="G1658">
        <v>3665</v>
      </c>
      <c r="H1658">
        <v>82</v>
      </c>
      <c r="I1658" t="s">
        <v>3872</v>
      </c>
      <c r="J1658" t="s">
        <v>3497</v>
      </c>
      <c r="K1658" t="s">
        <v>3733</v>
      </c>
      <c r="L1658">
        <v>0</v>
      </c>
      <c r="M1658" s="453">
        <v>45551</v>
      </c>
      <c r="N1658">
        <v>2.19</v>
      </c>
      <c r="O1658">
        <v>2.19</v>
      </c>
      <c r="P1658">
        <v>179.58</v>
      </c>
    </row>
    <row r="1659" spans="1:16" x14ac:dyDescent="0.3">
      <c r="A1659">
        <v>59543</v>
      </c>
      <c r="B1659">
        <v>116</v>
      </c>
      <c r="C1659" t="s">
        <v>568</v>
      </c>
      <c r="D1659" s="453">
        <v>45962</v>
      </c>
      <c r="E1659">
        <v>18996</v>
      </c>
      <c r="F1659" t="s">
        <v>3946</v>
      </c>
      <c r="G1659">
        <v>2900</v>
      </c>
      <c r="H1659">
        <v>10</v>
      </c>
      <c r="I1659" t="s">
        <v>3892</v>
      </c>
      <c r="J1659" t="s">
        <v>3469</v>
      </c>
      <c r="K1659" t="s">
        <v>3733</v>
      </c>
      <c r="L1659">
        <v>17.8</v>
      </c>
      <c r="M1659" s="453">
        <v>45945</v>
      </c>
      <c r="N1659">
        <v>17.8</v>
      </c>
      <c r="O1659">
        <v>1.62</v>
      </c>
      <c r="P1659">
        <v>178</v>
      </c>
    </row>
    <row r="1660" spans="1:16" x14ac:dyDescent="0.3">
      <c r="A1660">
        <v>59507</v>
      </c>
      <c r="B1660">
        <v>116</v>
      </c>
      <c r="C1660" t="s">
        <v>568</v>
      </c>
      <c r="D1660" s="453">
        <v>45962</v>
      </c>
      <c r="E1660">
        <v>22042</v>
      </c>
      <c r="F1660" t="s">
        <v>3901</v>
      </c>
      <c r="G1660">
        <v>3658</v>
      </c>
      <c r="H1660">
        <v>81</v>
      </c>
      <c r="I1660" t="s">
        <v>3872</v>
      </c>
      <c r="J1660" t="s">
        <v>3497</v>
      </c>
      <c r="K1660" t="s">
        <v>3733</v>
      </c>
      <c r="L1660">
        <v>0</v>
      </c>
      <c r="M1660" s="453">
        <v>45677</v>
      </c>
      <c r="N1660">
        <v>2.19</v>
      </c>
      <c r="O1660">
        <v>1.99</v>
      </c>
      <c r="P1660">
        <v>177.39</v>
      </c>
    </row>
    <row r="1661" spans="1:16" x14ac:dyDescent="0.3">
      <c r="A1661">
        <v>59568</v>
      </c>
      <c r="B1661">
        <v>116</v>
      </c>
      <c r="C1661" t="s">
        <v>568</v>
      </c>
      <c r="D1661" s="453">
        <v>45962</v>
      </c>
      <c r="E1661">
        <v>18253</v>
      </c>
      <c r="F1661" t="s">
        <v>3947</v>
      </c>
      <c r="G1661">
        <v>3376</v>
      </c>
      <c r="H1661">
        <v>6</v>
      </c>
      <c r="I1661" t="s">
        <v>3878</v>
      </c>
      <c r="J1661" t="s">
        <v>3497</v>
      </c>
      <c r="K1661" t="s">
        <v>3733</v>
      </c>
      <c r="L1661">
        <v>0</v>
      </c>
      <c r="M1661" s="453">
        <v>45918</v>
      </c>
      <c r="N1661">
        <v>28.89</v>
      </c>
      <c r="O1661">
        <v>28.9</v>
      </c>
      <c r="P1661">
        <v>173.34</v>
      </c>
    </row>
    <row r="1662" spans="1:16" x14ac:dyDescent="0.3">
      <c r="A1662">
        <v>59508</v>
      </c>
      <c r="B1662">
        <v>116</v>
      </c>
      <c r="C1662" t="s">
        <v>568</v>
      </c>
      <c r="D1662" s="453">
        <v>45962</v>
      </c>
      <c r="E1662">
        <v>22044</v>
      </c>
      <c r="F1662" t="s">
        <v>3928</v>
      </c>
      <c r="G1662">
        <v>3656</v>
      </c>
      <c r="H1662">
        <v>77</v>
      </c>
      <c r="I1662" t="s">
        <v>3872</v>
      </c>
      <c r="J1662" t="s">
        <v>3497</v>
      </c>
      <c r="K1662" t="s">
        <v>3733</v>
      </c>
      <c r="L1662">
        <v>0</v>
      </c>
      <c r="M1662" s="453">
        <v>45677</v>
      </c>
      <c r="N1662">
        <v>2.19</v>
      </c>
      <c r="O1662">
        <v>2.04</v>
      </c>
      <c r="P1662">
        <v>168.63</v>
      </c>
    </row>
    <row r="1663" spans="1:16" x14ac:dyDescent="0.3">
      <c r="A1663">
        <v>59654</v>
      </c>
      <c r="B1663">
        <v>116</v>
      </c>
      <c r="C1663" t="s">
        <v>568</v>
      </c>
      <c r="D1663" s="453">
        <v>45962</v>
      </c>
      <c r="E1663">
        <v>18232</v>
      </c>
      <c r="F1663" t="s">
        <v>4091</v>
      </c>
      <c r="G1663">
        <v>3396</v>
      </c>
      <c r="H1663">
        <v>1.6</v>
      </c>
      <c r="I1663" t="s">
        <v>3878</v>
      </c>
      <c r="J1663" t="s">
        <v>3497</v>
      </c>
      <c r="K1663" t="s">
        <v>3733</v>
      </c>
      <c r="L1663">
        <v>0</v>
      </c>
      <c r="M1663" s="453">
        <v>45845</v>
      </c>
      <c r="N1663">
        <v>103.99</v>
      </c>
      <c r="O1663">
        <v>97.8</v>
      </c>
      <c r="P1663">
        <v>166.38</v>
      </c>
    </row>
    <row r="1664" spans="1:16" x14ac:dyDescent="0.3">
      <c r="A1664">
        <v>59523</v>
      </c>
      <c r="B1664">
        <v>116</v>
      </c>
      <c r="C1664" t="s">
        <v>568</v>
      </c>
      <c r="D1664" s="453">
        <v>45962</v>
      </c>
      <c r="E1664">
        <v>20985</v>
      </c>
      <c r="F1664" t="s">
        <v>3914</v>
      </c>
      <c r="G1664">
        <v>2011</v>
      </c>
      <c r="H1664">
        <v>21</v>
      </c>
      <c r="I1664" t="s">
        <v>3872</v>
      </c>
      <c r="J1664" t="s">
        <v>3469</v>
      </c>
      <c r="K1664" t="s">
        <v>3733</v>
      </c>
      <c r="L1664">
        <v>0</v>
      </c>
      <c r="M1664" s="453">
        <v>45916</v>
      </c>
      <c r="N1664">
        <v>7.89</v>
      </c>
      <c r="O1664">
        <v>8</v>
      </c>
      <c r="P1664">
        <v>165.69</v>
      </c>
    </row>
    <row r="1665" spans="1:16" x14ac:dyDescent="0.3">
      <c r="A1665">
        <v>59705</v>
      </c>
      <c r="B1665">
        <v>116</v>
      </c>
      <c r="C1665" t="s">
        <v>568</v>
      </c>
      <c r="D1665" s="453">
        <v>45962</v>
      </c>
      <c r="E1665">
        <v>18550</v>
      </c>
      <c r="F1665" t="s">
        <v>4083</v>
      </c>
      <c r="G1665">
        <v>3130</v>
      </c>
      <c r="H1665">
        <v>1</v>
      </c>
      <c r="I1665" t="s">
        <v>3878</v>
      </c>
      <c r="J1665" t="s">
        <v>3497</v>
      </c>
      <c r="K1665" t="s">
        <v>3733</v>
      </c>
      <c r="L1665">
        <v>0</v>
      </c>
      <c r="N1665">
        <v>0</v>
      </c>
      <c r="O1665">
        <v>164</v>
      </c>
      <c r="P1665">
        <v>165.45</v>
      </c>
    </row>
    <row r="1666" spans="1:16" x14ac:dyDescent="0.3">
      <c r="A1666">
        <v>59527</v>
      </c>
      <c r="B1666">
        <v>116</v>
      </c>
      <c r="C1666" t="s">
        <v>568</v>
      </c>
      <c r="D1666" s="453">
        <v>45962</v>
      </c>
      <c r="E1666">
        <v>19139</v>
      </c>
      <c r="F1666" t="s">
        <v>3887</v>
      </c>
      <c r="G1666">
        <v>2836</v>
      </c>
      <c r="H1666">
        <v>18</v>
      </c>
      <c r="I1666" t="s">
        <v>3888</v>
      </c>
      <c r="J1666" t="s">
        <v>3469</v>
      </c>
      <c r="K1666" t="s">
        <v>3733</v>
      </c>
      <c r="L1666">
        <v>9.1</v>
      </c>
      <c r="M1666" s="453">
        <v>45951</v>
      </c>
      <c r="N1666">
        <v>9.1</v>
      </c>
      <c r="O1666">
        <v>9.1</v>
      </c>
      <c r="P1666">
        <v>163.80000000000001</v>
      </c>
    </row>
    <row r="1667" spans="1:16" x14ac:dyDescent="0.3">
      <c r="A1667">
        <v>59653</v>
      </c>
      <c r="B1667">
        <v>116</v>
      </c>
      <c r="C1667" t="s">
        <v>568</v>
      </c>
      <c r="D1667" s="453">
        <v>45962</v>
      </c>
      <c r="E1667">
        <v>18233</v>
      </c>
      <c r="F1667" t="s">
        <v>4090</v>
      </c>
      <c r="G1667">
        <v>3395</v>
      </c>
      <c r="H1667">
        <v>1.6</v>
      </c>
      <c r="I1667" t="s">
        <v>3878</v>
      </c>
      <c r="J1667" t="s">
        <v>3497</v>
      </c>
      <c r="K1667" t="s">
        <v>3733</v>
      </c>
      <c r="L1667">
        <v>0</v>
      </c>
      <c r="M1667" s="453">
        <v>45909</v>
      </c>
      <c r="N1667">
        <v>101.7</v>
      </c>
      <c r="O1667">
        <v>97.9</v>
      </c>
      <c r="P1667">
        <v>162.72</v>
      </c>
    </row>
    <row r="1668" spans="1:16" x14ac:dyDescent="0.3">
      <c r="A1668">
        <v>59504</v>
      </c>
      <c r="B1668">
        <v>116</v>
      </c>
      <c r="C1668" t="s">
        <v>568</v>
      </c>
      <c r="D1668" s="453">
        <v>45962</v>
      </c>
      <c r="E1668">
        <v>22108</v>
      </c>
      <c r="F1668" t="s">
        <v>3871</v>
      </c>
      <c r="G1668">
        <v>3609</v>
      </c>
      <c r="H1668">
        <v>113</v>
      </c>
      <c r="I1668" t="s">
        <v>3872</v>
      </c>
      <c r="J1668" t="s">
        <v>3497</v>
      </c>
      <c r="K1668" t="s">
        <v>3733</v>
      </c>
      <c r="L1668">
        <v>0</v>
      </c>
      <c r="M1668" s="453">
        <v>45670</v>
      </c>
      <c r="N1668">
        <v>1.42</v>
      </c>
      <c r="O1668">
        <v>1.85</v>
      </c>
      <c r="P1668">
        <v>161.02000000000001</v>
      </c>
    </row>
    <row r="1669" spans="1:16" x14ac:dyDescent="0.3">
      <c r="A1669">
        <v>59584</v>
      </c>
      <c r="B1669">
        <v>116</v>
      </c>
      <c r="C1669" t="s">
        <v>568</v>
      </c>
      <c r="D1669" s="453">
        <v>45962</v>
      </c>
      <c r="E1669">
        <v>18547</v>
      </c>
      <c r="F1669" t="s">
        <v>3962</v>
      </c>
      <c r="G1669">
        <v>3132</v>
      </c>
      <c r="H1669">
        <v>4.5999999999999996</v>
      </c>
      <c r="I1669" t="s">
        <v>3878</v>
      </c>
      <c r="J1669" t="s">
        <v>3497</v>
      </c>
      <c r="K1669" t="s">
        <v>3733</v>
      </c>
      <c r="L1669">
        <v>0</v>
      </c>
      <c r="M1669" s="453">
        <v>45770</v>
      </c>
      <c r="N1669">
        <v>34.74</v>
      </c>
      <c r="O1669">
        <v>34.99</v>
      </c>
      <c r="P1669">
        <v>159.80000000000001</v>
      </c>
    </row>
    <row r="1670" spans="1:16" x14ac:dyDescent="0.3">
      <c r="A1670">
        <v>59669</v>
      </c>
      <c r="B1670">
        <v>116</v>
      </c>
      <c r="C1670" t="s">
        <v>568</v>
      </c>
      <c r="D1670" s="453">
        <v>45962</v>
      </c>
      <c r="E1670">
        <v>18315</v>
      </c>
      <c r="F1670" t="s">
        <v>4088</v>
      </c>
      <c r="G1670">
        <v>3318</v>
      </c>
      <c r="H1670">
        <v>1.3</v>
      </c>
      <c r="I1670" t="s">
        <v>3878</v>
      </c>
      <c r="J1670" t="s">
        <v>3497</v>
      </c>
      <c r="K1670" t="s">
        <v>3733</v>
      </c>
      <c r="L1670">
        <v>0</v>
      </c>
      <c r="M1670" s="453">
        <v>45908</v>
      </c>
      <c r="N1670">
        <v>121.99</v>
      </c>
      <c r="O1670">
        <v>116.3</v>
      </c>
      <c r="P1670">
        <v>158.59</v>
      </c>
    </row>
    <row r="1671" spans="1:16" x14ac:dyDescent="0.3">
      <c r="A1671">
        <v>59524</v>
      </c>
      <c r="B1671">
        <v>116</v>
      </c>
      <c r="C1671" t="s">
        <v>568</v>
      </c>
      <c r="D1671" s="453">
        <v>45962</v>
      </c>
      <c r="E1671">
        <v>25167</v>
      </c>
      <c r="F1671" t="s">
        <v>3951</v>
      </c>
      <c r="G1671">
        <v>5930</v>
      </c>
      <c r="H1671">
        <v>20</v>
      </c>
      <c r="I1671" t="s">
        <v>3892</v>
      </c>
      <c r="J1671" t="s">
        <v>3469</v>
      </c>
      <c r="K1671" t="s">
        <v>3733</v>
      </c>
      <c r="L1671">
        <v>0</v>
      </c>
      <c r="M1671" s="453">
        <v>45840</v>
      </c>
      <c r="N1671">
        <v>7.9</v>
      </c>
      <c r="O1671">
        <v>7.9</v>
      </c>
      <c r="P1671">
        <v>158</v>
      </c>
    </row>
    <row r="1672" spans="1:16" x14ac:dyDescent="0.3">
      <c r="A1672">
        <v>59570</v>
      </c>
      <c r="B1672">
        <v>116</v>
      </c>
      <c r="C1672" t="s">
        <v>568</v>
      </c>
      <c r="D1672" s="453">
        <v>45962</v>
      </c>
      <c r="E1672">
        <v>20531</v>
      </c>
      <c r="F1672" t="s">
        <v>4448</v>
      </c>
      <c r="G1672">
        <v>2146</v>
      </c>
      <c r="H1672">
        <v>5.8</v>
      </c>
      <c r="I1672" t="s">
        <v>3892</v>
      </c>
      <c r="J1672" t="s">
        <v>3469</v>
      </c>
      <c r="K1672" t="s">
        <v>3733</v>
      </c>
      <c r="L1672">
        <v>26.9</v>
      </c>
      <c r="M1672" s="453">
        <v>45938</v>
      </c>
      <c r="N1672">
        <v>26.9</v>
      </c>
      <c r="O1672">
        <v>26.9</v>
      </c>
      <c r="P1672">
        <v>156.02000000000001</v>
      </c>
    </row>
    <row r="1673" spans="1:16" x14ac:dyDescent="0.3">
      <c r="A1673">
        <v>59664</v>
      </c>
      <c r="B1673">
        <v>116</v>
      </c>
      <c r="C1673" t="s">
        <v>568</v>
      </c>
      <c r="D1673" s="453">
        <v>45962</v>
      </c>
      <c r="E1673">
        <v>18359</v>
      </c>
      <c r="F1673" t="s">
        <v>4029</v>
      </c>
      <c r="G1673">
        <v>3278</v>
      </c>
      <c r="H1673">
        <v>1.5</v>
      </c>
      <c r="I1673" t="s">
        <v>3878</v>
      </c>
      <c r="J1673" t="s">
        <v>3497</v>
      </c>
      <c r="K1673" t="s">
        <v>3733</v>
      </c>
      <c r="L1673">
        <v>0</v>
      </c>
      <c r="M1673" s="453">
        <v>45903</v>
      </c>
      <c r="N1673">
        <v>99.9</v>
      </c>
      <c r="O1673">
        <v>99.34</v>
      </c>
      <c r="P1673">
        <v>149.85</v>
      </c>
    </row>
    <row r="1674" spans="1:16" x14ac:dyDescent="0.3">
      <c r="A1674">
        <v>59582</v>
      </c>
      <c r="B1674">
        <v>116</v>
      </c>
      <c r="C1674" t="s">
        <v>568</v>
      </c>
      <c r="D1674" s="453">
        <v>45962</v>
      </c>
      <c r="E1674">
        <v>22705</v>
      </c>
      <c r="F1674" t="s">
        <v>3990</v>
      </c>
      <c r="G1674">
        <v>3044</v>
      </c>
      <c r="H1674">
        <v>5</v>
      </c>
      <c r="I1674" t="s">
        <v>3892</v>
      </c>
      <c r="J1674" t="s">
        <v>3469</v>
      </c>
      <c r="K1674" t="s">
        <v>3733</v>
      </c>
      <c r="L1674">
        <v>29.8</v>
      </c>
      <c r="M1674" s="453">
        <v>45937</v>
      </c>
      <c r="N1674">
        <v>29.8</v>
      </c>
      <c r="O1674">
        <v>29.8</v>
      </c>
      <c r="P1674">
        <v>149</v>
      </c>
    </row>
    <row r="1675" spans="1:16" x14ac:dyDescent="0.3">
      <c r="A1675">
        <v>59578</v>
      </c>
      <c r="B1675">
        <v>116</v>
      </c>
      <c r="C1675" t="s">
        <v>568</v>
      </c>
      <c r="D1675" s="453">
        <v>45962</v>
      </c>
      <c r="E1675">
        <v>18702</v>
      </c>
      <c r="F1675" t="s">
        <v>4043</v>
      </c>
      <c r="G1675">
        <v>3033</v>
      </c>
      <c r="H1675">
        <v>5</v>
      </c>
      <c r="I1675" t="s">
        <v>3892</v>
      </c>
      <c r="J1675" t="s">
        <v>3469</v>
      </c>
      <c r="K1675" t="s">
        <v>3733</v>
      </c>
      <c r="L1675">
        <v>0</v>
      </c>
      <c r="M1675" s="453">
        <v>45930</v>
      </c>
      <c r="N1675">
        <v>28.9</v>
      </c>
      <c r="O1675">
        <v>28.9</v>
      </c>
      <c r="P1675">
        <v>144.5</v>
      </c>
    </row>
    <row r="1676" spans="1:16" x14ac:dyDescent="0.3">
      <c r="A1676">
        <v>59592</v>
      </c>
      <c r="B1676">
        <v>116</v>
      </c>
      <c r="C1676" t="s">
        <v>568</v>
      </c>
      <c r="D1676" s="453">
        <v>45962</v>
      </c>
      <c r="E1676">
        <v>20508</v>
      </c>
      <c r="F1676" t="s">
        <v>4449</v>
      </c>
      <c r="G1676">
        <v>2153</v>
      </c>
      <c r="H1676">
        <v>4</v>
      </c>
      <c r="I1676" t="s">
        <v>3892</v>
      </c>
      <c r="J1676" t="s">
        <v>3469</v>
      </c>
      <c r="K1676" t="s">
        <v>3733</v>
      </c>
      <c r="L1676">
        <v>36</v>
      </c>
      <c r="M1676" s="453">
        <v>45937</v>
      </c>
      <c r="N1676">
        <v>36</v>
      </c>
      <c r="O1676">
        <v>36</v>
      </c>
      <c r="P1676">
        <v>144</v>
      </c>
    </row>
    <row r="1677" spans="1:16" x14ac:dyDescent="0.3">
      <c r="A1677">
        <v>59715</v>
      </c>
      <c r="B1677">
        <v>116</v>
      </c>
      <c r="C1677" t="s">
        <v>568</v>
      </c>
      <c r="D1677" s="453">
        <v>45962</v>
      </c>
      <c r="E1677">
        <v>18586</v>
      </c>
      <c r="F1677" t="s">
        <v>4107</v>
      </c>
      <c r="G1677">
        <v>3104</v>
      </c>
      <c r="H1677">
        <v>1</v>
      </c>
      <c r="I1677" t="s">
        <v>3888</v>
      </c>
      <c r="J1677" t="s">
        <v>3497</v>
      </c>
      <c r="K1677" t="s">
        <v>3733</v>
      </c>
      <c r="L1677">
        <v>138.47999999999999</v>
      </c>
      <c r="M1677" s="453">
        <v>45955</v>
      </c>
      <c r="N1677">
        <v>138.47999999999999</v>
      </c>
      <c r="O1677">
        <v>138.47999999999999</v>
      </c>
      <c r="P1677">
        <v>138.47999999999999</v>
      </c>
    </row>
    <row r="1678" spans="1:16" x14ac:dyDescent="0.3">
      <c r="A1678">
        <v>59588</v>
      </c>
      <c r="B1678">
        <v>116</v>
      </c>
      <c r="C1678" t="s">
        <v>568</v>
      </c>
      <c r="D1678" s="453">
        <v>45962</v>
      </c>
      <c r="E1678">
        <v>20278</v>
      </c>
      <c r="F1678" t="s">
        <v>3939</v>
      </c>
      <c r="G1678">
        <v>2230</v>
      </c>
      <c r="H1678">
        <v>4</v>
      </c>
      <c r="I1678" t="s">
        <v>3872</v>
      </c>
      <c r="J1678" t="s">
        <v>3469</v>
      </c>
      <c r="K1678" t="s">
        <v>3733</v>
      </c>
      <c r="L1678">
        <v>33.270000000000003</v>
      </c>
      <c r="M1678" s="453">
        <v>45943</v>
      </c>
      <c r="N1678">
        <v>33.270000000000003</v>
      </c>
      <c r="O1678">
        <v>33.270000000000003</v>
      </c>
      <c r="P1678">
        <v>133.08000000000001</v>
      </c>
    </row>
    <row r="1679" spans="1:16" x14ac:dyDescent="0.3">
      <c r="A1679">
        <v>59611</v>
      </c>
      <c r="B1679">
        <v>116</v>
      </c>
      <c r="C1679" t="s">
        <v>568</v>
      </c>
      <c r="D1679" s="453">
        <v>45962</v>
      </c>
      <c r="E1679">
        <v>19566</v>
      </c>
      <c r="F1679" t="s">
        <v>3986</v>
      </c>
      <c r="G1679">
        <v>2651</v>
      </c>
      <c r="H1679">
        <v>3</v>
      </c>
      <c r="I1679" t="s">
        <v>3892</v>
      </c>
      <c r="J1679" t="s">
        <v>3469</v>
      </c>
      <c r="K1679" t="s">
        <v>3733</v>
      </c>
      <c r="L1679">
        <v>43.75</v>
      </c>
      <c r="M1679" s="453">
        <v>45936</v>
      </c>
      <c r="N1679">
        <v>43.75</v>
      </c>
      <c r="O1679">
        <v>43.75</v>
      </c>
      <c r="P1679">
        <v>131.25</v>
      </c>
    </row>
    <row r="1680" spans="1:16" x14ac:dyDescent="0.3">
      <c r="A1680">
        <v>59612</v>
      </c>
      <c r="B1680">
        <v>116</v>
      </c>
      <c r="C1680" t="s">
        <v>568</v>
      </c>
      <c r="D1680" s="453">
        <v>45962</v>
      </c>
      <c r="E1680">
        <v>19565</v>
      </c>
      <c r="F1680" t="s">
        <v>3987</v>
      </c>
      <c r="G1680">
        <v>2652</v>
      </c>
      <c r="H1680">
        <v>3</v>
      </c>
      <c r="I1680" t="s">
        <v>3892</v>
      </c>
      <c r="J1680" t="s">
        <v>3469</v>
      </c>
      <c r="K1680" t="s">
        <v>3733</v>
      </c>
      <c r="L1680">
        <v>43.75</v>
      </c>
      <c r="M1680" s="453">
        <v>45936</v>
      </c>
      <c r="N1680">
        <v>43.75</v>
      </c>
      <c r="O1680">
        <v>43.77</v>
      </c>
      <c r="P1680">
        <v>131.25</v>
      </c>
    </row>
    <row r="1681" spans="1:16" x14ac:dyDescent="0.3">
      <c r="A1681">
        <v>59681</v>
      </c>
      <c r="B1681">
        <v>116</v>
      </c>
      <c r="C1681" t="s">
        <v>568</v>
      </c>
      <c r="D1681" s="453">
        <v>45962</v>
      </c>
      <c r="E1681">
        <v>20755</v>
      </c>
      <c r="F1681" t="s">
        <v>4052</v>
      </c>
      <c r="G1681">
        <v>2087</v>
      </c>
      <c r="H1681">
        <v>1</v>
      </c>
      <c r="I1681" t="s">
        <v>3966</v>
      </c>
      <c r="J1681" t="s">
        <v>3469</v>
      </c>
      <c r="K1681" t="s">
        <v>3733</v>
      </c>
      <c r="L1681">
        <v>130</v>
      </c>
      <c r="M1681" s="453">
        <v>45958</v>
      </c>
      <c r="N1681">
        <v>130</v>
      </c>
      <c r="O1681">
        <v>115</v>
      </c>
      <c r="P1681">
        <v>130</v>
      </c>
    </row>
    <row r="1682" spans="1:16" x14ac:dyDescent="0.3">
      <c r="A1682">
        <v>59712</v>
      </c>
      <c r="B1682">
        <v>116</v>
      </c>
      <c r="C1682" t="s">
        <v>568</v>
      </c>
      <c r="D1682" s="453">
        <v>45962</v>
      </c>
      <c r="E1682">
        <v>18129</v>
      </c>
      <c r="F1682" t="s">
        <v>4092</v>
      </c>
      <c r="G1682">
        <v>3486</v>
      </c>
      <c r="H1682">
        <v>1</v>
      </c>
      <c r="I1682" t="s">
        <v>3878</v>
      </c>
      <c r="J1682" t="s">
        <v>3497</v>
      </c>
      <c r="K1682" t="s">
        <v>3733</v>
      </c>
      <c r="L1682">
        <v>0</v>
      </c>
      <c r="M1682" s="453">
        <v>45840</v>
      </c>
      <c r="N1682">
        <v>128.80000000000001</v>
      </c>
      <c r="O1682">
        <v>115.99</v>
      </c>
      <c r="P1682">
        <v>128.80000000000001</v>
      </c>
    </row>
    <row r="1683" spans="1:16" x14ac:dyDescent="0.3">
      <c r="A1683">
        <v>59518</v>
      </c>
      <c r="B1683">
        <v>116</v>
      </c>
      <c r="C1683" t="s">
        <v>568</v>
      </c>
      <c r="D1683" s="453">
        <v>45962</v>
      </c>
      <c r="E1683">
        <v>27079</v>
      </c>
      <c r="F1683" t="s">
        <v>3891</v>
      </c>
      <c r="G1683">
        <v>2497</v>
      </c>
      <c r="H1683">
        <v>38</v>
      </c>
      <c r="I1683" t="s">
        <v>3892</v>
      </c>
      <c r="J1683" t="s">
        <v>3469</v>
      </c>
      <c r="K1683" t="s">
        <v>3733</v>
      </c>
      <c r="L1683">
        <v>0</v>
      </c>
      <c r="M1683" s="453">
        <v>45813</v>
      </c>
      <c r="N1683">
        <v>3.25</v>
      </c>
      <c r="O1683">
        <v>3.25</v>
      </c>
      <c r="P1683">
        <v>123.5</v>
      </c>
    </row>
    <row r="1684" spans="1:16" x14ac:dyDescent="0.3">
      <c r="A1684">
        <v>59620</v>
      </c>
      <c r="B1684">
        <v>116</v>
      </c>
      <c r="C1684" t="s">
        <v>568</v>
      </c>
      <c r="D1684" s="453">
        <v>45962</v>
      </c>
      <c r="E1684">
        <v>20007</v>
      </c>
      <c r="F1684" t="s">
        <v>4009</v>
      </c>
      <c r="G1684">
        <v>2343</v>
      </c>
      <c r="H1684">
        <v>2.5</v>
      </c>
      <c r="I1684" t="s">
        <v>3966</v>
      </c>
      <c r="J1684" t="s">
        <v>3469</v>
      </c>
      <c r="K1684" t="s">
        <v>3733</v>
      </c>
      <c r="L1684">
        <v>48.9</v>
      </c>
      <c r="M1684" s="453">
        <v>45951</v>
      </c>
      <c r="N1684">
        <v>48.9</v>
      </c>
      <c r="O1684">
        <v>48.9</v>
      </c>
      <c r="P1684">
        <v>122.25</v>
      </c>
    </row>
    <row r="1685" spans="1:16" x14ac:dyDescent="0.3">
      <c r="A1685">
        <v>59676</v>
      </c>
      <c r="B1685">
        <v>116</v>
      </c>
      <c r="C1685" t="s">
        <v>568</v>
      </c>
      <c r="D1685" s="453">
        <v>45962</v>
      </c>
      <c r="E1685">
        <v>24599</v>
      </c>
      <c r="F1685" t="s">
        <v>3897</v>
      </c>
      <c r="G1685">
        <v>5676</v>
      </c>
      <c r="H1685">
        <v>1.08</v>
      </c>
      <c r="I1685" t="s">
        <v>3888</v>
      </c>
      <c r="J1685" t="s">
        <v>3497</v>
      </c>
      <c r="K1685" t="s">
        <v>3733</v>
      </c>
      <c r="L1685">
        <v>0</v>
      </c>
      <c r="M1685" s="453">
        <v>45896</v>
      </c>
      <c r="N1685">
        <v>111.8</v>
      </c>
      <c r="O1685">
        <v>90.9</v>
      </c>
      <c r="P1685">
        <v>120.74</v>
      </c>
    </row>
    <row r="1686" spans="1:16" x14ac:dyDescent="0.3">
      <c r="A1686">
        <v>59666</v>
      </c>
      <c r="B1686">
        <v>116</v>
      </c>
      <c r="C1686" t="s">
        <v>568</v>
      </c>
      <c r="D1686" s="453">
        <v>45962</v>
      </c>
      <c r="E1686">
        <v>18111</v>
      </c>
      <c r="F1686" t="s">
        <v>4047</v>
      </c>
      <c r="G1686">
        <v>3500</v>
      </c>
      <c r="H1686">
        <v>1.5</v>
      </c>
      <c r="I1686" t="s">
        <v>3878</v>
      </c>
      <c r="J1686" t="s">
        <v>3497</v>
      </c>
      <c r="K1686" t="s">
        <v>3733</v>
      </c>
      <c r="L1686">
        <v>0</v>
      </c>
      <c r="M1686" s="453">
        <v>45895</v>
      </c>
      <c r="N1686">
        <v>78.489999999999995</v>
      </c>
      <c r="O1686">
        <v>90.55</v>
      </c>
      <c r="P1686">
        <v>117.73</v>
      </c>
    </row>
    <row r="1687" spans="1:16" x14ac:dyDescent="0.3">
      <c r="A1687">
        <v>59602</v>
      </c>
      <c r="B1687">
        <v>116</v>
      </c>
      <c r="C1687" t="s">
        <v>568</v>
      </c>
      <c r="D1687" s="453">
        <v>45962</v>
      </c>
      <c r="E1687">
        <v>22712</v>
      </c>
      <c r="F1687" t="s">
        <v>3975</v>
      </c>
      <c r="G1687">
        <v>3039</v>
      </c>
      <c r="H1687">
        <v>3.5</v>
      </c>
      <c r="I1687" t="s">
        <v>3892</v>
      </c>
      <c r="J1687" t="s">
        <v>3469</v>
      </c>
      <c r="K1687" t="s">
        <v>3733</v>
      </c>
      <c r="L1687">
        <v>32.9</v>
      </c>
      <c r="M1687" s="453">
        <v>45937</v>
      </c>
      <c r="N1687">
        <v>32.9</v>
      </c>
      <c r="O1687">
        <v>32.9</v>
      </c>
      <c r="P1687">
        <v>115.15</v>
      </c>
    </row>
    <row r="1688" spans="1:16" x14ac:dyDescent="0.3">
      <c r="A1688">
        <v>59615</v>
      </c>
      <c r="B1688">
        <v>116</v>
      </c>
      <c r="C1688" t="s">
        <v>568</v>
      </c>
      <c r="D1688" s="453">
        <v>45962</v>
      </c>
      <c r="E1688">
        <v>20456</v>
      </c>
      <c r="F1688" t="s">
        <v>4000</v>
      </c>
      <c r="G1688">
        <v>2166</v>
      </c>
      <c r="H1688">
        <v>2.8</v>
      </c>
      <c r="I1688" t="s">
        <v>3892</v>
      </c>
      <c r="J1688" t="s">
        <v>3469</v>
      </c>
      <c r="K1688" t="s">
        <v>3733</v>
      </c>
      <c r="L1688">
        <v>39</v>
      </c>
      <c r="M1688" s="453">
        <v>45951</v>
      </c>
      <c r="N1688">
        <v>39</v>
      </c>
      <c r="O1688">
        <v>39</v>
      </c>
      <c r="P1688">
        <v>109.2</v>
      </c>
    </row>
    <row r="1689" spans="1:16" x14ac:dyDescent="0.3">
      <c r="A1689">
        <v>59606</v>
      </c>
      <c r="B1689">
        <v>116</v>
      </c>
      <c r="C1689" t="s">
        <v>568</v>
      </c>
      <c r="D1689" s="453">
        <v>45962</v>
      </c>
      <c r="E1689">
        <v>21166</v>
      </c>
      <c r="F1689" t="s">
        <v>4001</v>
      </c>
      <c r="G1689">
        <v>1940</v>
      </c>
      <c r="H1689">
        <v>3</v>
      </c>
      <c r="I1689" t="s">
        <v>3872</v>
      </c>
      <c r="J1689" t="s">
        <v>3469</v>
      </c>
      <c r="K1689" t="s">
        <v>3733</v>
      </c>
      <c r="L1689">
        <v>0</v>
      </c>
      <c r="M1689" s="453">
        <v>45615</v>
      </c>
      <c r="N1689">
        <v>36</v>
      </c>
      <c r="O1689">
        <v>36</v>
      </c>
      <c r="P1689">
        <v>108</v>
      </c>
    </row>
    <row r="1690" spans="1:16" x14ac:dyDescent="0.3">
      <c r="A1690">
        <v>59710</v>
      </c>
      <c r="B1690">
        <v>116</v>
      </c>
      <c r="C1690" t="s">
        <v>568</v>
      </c>
      <c r="D1690" s="453">
        <v>45962</v>
      </c>
      <c r="E1690">
        <v>18312</v>
      </c>
      <c r="F1690" t="s">
        <v>4089</v>
      </c>
      <c r="G1690">
        <v>3321</v>
      </c>
      <c r="H1690">
        <v>1</v>
      </c>
      <c r="I1690" t="s">
        <v>3878</v>
      </c>
      <c r="J1690" t="s">
        <v>3497</v>
      </c>
      <c r="K1690" t="s">
        <v>3733</v>
      </c>
      <c r="L1690">
        <v>0</v>
      </c>
      <c r="M1690" s="453">
        <v>45793</v>
      </c>
      <c r="N1690">
        <v>105.9</v>
      </c>
      <c r="O1690">
        <v>86</v>
      </c>
      <c r="P1690">
        <v>105.9</v>
      </c>
    </row>
    <row r="1691" spans="1:16" x14ac:dyDescent="0.3">
      <c r="A1691">
        <v>59536</v>
      </c>
      <c r="B1691">
        <v>116</v>
      </c>
      <c r="C1691" t="s">
        <v>568</v>
      </c>
      <c r="D1691" s="453">
        <v>45962</v>
      </c>
      <c r="E1691">
        <v>17914</v>
      </c>
      <c r="F1691" t="s">
        <v>3997</v>
      </c>
      <c r="G1691">
        <v>3649</v>
      </c>
      <c r="H1691">
        <v>3.25</v>
      </c>
      <c r="I1691" t="s">
        <v>3888</v>
      </c>
      <c r="J1691" t="s">
        <v>3497</v>
      </c>
      <c r="K1691" t="s">
        <v>3733</v>
      </c>
      <c r="L1691">
        <v>32.24</v>
      </c>
      <c r="M1691" s="453">
        <v>45952</v>
      </c>
      <c r="N1691">
        <v>32.24</v>
      </c>
      <c r="O1691">
        <v>32.24</v>
      </c>
      <c r="P1691">
        <v>104.78</v>
      </c>
    </row>
    <row r="1692" spans="1:16" x14ac:dyDescent="0.3">
      <c r="A1692">
        <v>59660</v>
      </c>
      <c r="B1692">
        <v>116</v>
      </c>
      <c r="C1692" t="s">
        <v>568</v>
      </c>
      <c r="D1692" s="453">
        <v>45962</v>
      </c>
      <c r="E1692">
        <v>20624</v>
      </c>
      <c r="F1692" t="s">
        <v>3982</v>
      </c>
      <c r="G1692">
        <v>2116</v>
      </c>
      <c r="H1692">
        <v>1.5</v>
      </c>
      <c r="I1692" t="s">
        <v>3966</v>
      </c>
      <c r="J1692" t="s">
        <v>3469</v>
      </c>
      <c r="K1692" t="s">
        <v>3733</v>
      </c>
      <c r="L1692">
        <v>69.8</v>
      </c>
      <c r="M1692" s="453">
        <v>45945</v>
      </c>
      <c r="N1692">
        <v>69.8</v>
      </c>
      <c r="O1692">
        <v>67.8</v>
      </c>
      <c r="P1692">
        <v>104.7</v>
      </c>
    </row>
    <row r="1693" spans="1:16" x14ac:dyDescent="0.3">
      <c r="A1693">
        <v>59542</v>
      </c>
      <c r="B1693">
        <v>116</v>
      </c>
      <c r="C1693" t="s">
        <v>568</v>
      </c>
      <c r="D1693" s="453">
        <v>45962</v>
      </c>
      <c r="E1693">
        <v>20682</v>
      </c>
      <c r="F1693" t="s">
        <v>3929</v>
      </c>
      <c r="G1693">
        <v>2106</v>
      </c>
      <c r="H1693">
        <v>10</v>
      </c>
      <c r="I1693" t="s">
        <v>3872</v>
      </c>
      <c r="J1693" t="s">
        <v>3469</v>
      </c>
      <c r="K1693" t="s">
        <v>3733</v>
      </c>
      <c r="L1693">
        <v>0</v>
      </c>
      <c r="M1693" s="453">
        <v>45923</v>
      </c>
      <c r="N1693">
        <v>10.4</v>
      </c>
      <c r="O1693">
        <v>10.4</v>
      </c>
      <c r="P1693">
        <v>104</v>
      </c>
    </row>
    <row r="1694" spans="1:16" x14ac:dyDescent="0.3">
      <c r="A1694">
        <v>59576</v>
      </c>
      <c r="B1694">
        <v>116</v>
      </c>
      <c r="C1694" t="s">
        <v>568</v>
      </c>
      <c r="D1694" s="453">
        <v>45962</v>
      </c>
      <c r="E1694">
        <v>20500</v>
      </c>
      <c r="F1694" t="s">
        <v>3954</v>
      </c>
      <c r="G1694">
        <v>2154</v>
      </c>
      <c r="H1694">
        <v>5</v>
      </c>
      <c r="I1694" t="s">
        <v>3872</v>
      </c>
      <c r="J1694" t="s">
        <v>3469</v>
      </c>
      <c r="K1694" t="s">
        <v>3733</v>
      </c>
      <c r="L1694">
        <v>0</v>
      </c>
      <c r="M1694" s="453">
        <v>45917</v>
      </c>
      <c r="N1694">
        <v>20.8</v>
      </c>
      <c r="O1694">
        <v>21.9</v>
      </c>
      <c r="P1694">
        <v>104</v>
      </c>
    </row>
    <row r="1695" spans="1:16" x14ac:dyDescent="0.3">
      <c r="A1695">
        <v>59617</v>
      </c>
      <c r="B1695">
        <v>116</v>
      </c>
      <c r="C1695" t="s">
        <v>568</v>
      </c>
      <c r="D1695" s="453">
        <v>45962</v>
      </c>
      <c r="E1695">
        <v>20057</v>
      </c>
      <c r="F1695" t="s">
        <v>3967</v>
      </c>
      <c r="G1695">
        <v>2324</v>
      </c>
      <c r="H1695">
        <v>2.5</v>
      </c>
      <c r="I1695" t="s">
        <v>3872</v>
      </c>
      <c r="J1695" t="s">
        <v>3469</v>
      </c>
      <c r="K1695" t="s">
        <v>3733</v>
      </c>
      <c r="L1695">
        <v>0</v>
      </c>
      <c r="M1695" s="453">
        <v>45922</v>
      </c>
      <c r="N1695">
        <v>40.869999999999997</v>
      </c>
      <c r="O1695">
        <v>40.25</v>
      </c>
      <c r="P1695">
        <v>102.18</v>
      </c>
    </row>
    <row r="1696" spans="1:16" x14ac:dyDescent="0.3">
      <c r="A1696">
        <v>59515</v>
      </c>
      <c r="B1696">
        <v>116</v>
      </c>
      <c r="C1696" t="s">
        <v>568</v>
      </c>
      <c r="D1696" s="453">
        <v>45962</v>
      </c>
      <c r="E1696">
        <v>24029</v>
      </c>
      <c r="F1696" t="s">
        <v>3875</v>
      </c>
      <c r="G1696">
        <v>3591</v>
      </c>
      <c r="H1696">
        <v>51</v>
      </c>
      <c r="I1696" t="s">
        <v>3872</v>
      </c>
      <c r="J1696" t="s">
        <v>3497</v>
      </c>
      <c r="K1696" t="s">
        <v>3733</v>
      </c>
      <c r="L1696">
        <v>0</v>
      </c>
      <c r="M1696" s="453">
        <v>45537</v>
      </c>
      <c r="N1696">
        <v>1.99</v>
      </c>
      <c r="O1696">
        <v>2.19</v>
      </c>
      <c r="P1696">
        <v>101.49</v>
      </c>
    </row>
    <row r="1697" spans="1:16" x14ac:dyDescent="0.3">
      <c r="A1697">
        <v>59711</v>
      </c>
      <c r="B1697">
        <v>116</v>
      </c>
      <c r="C1697" t="s">
        <v>568</v>
      </c>
      <c r="D1697" s="453">
        <v>45962</v>
      </c>
      <c r="E1697">
        <v>18146</v>
      </c>
      <c r="F1697" t="s">
        <v>4100</v>
      </c>
      <c r="G1697">
        <v>3471</v>
      </c>
      <c r="H1697">
        <v>1</v>
      </c>
      <c r="I1697" t="s">
        <v>3878</v>
      </c>
      <c r="J1697" t="s">
        <v>3497</v>
      </c>
      <c r="K1697" t="s">
        <v>3733</v>
      </c>
      <c r="L1697">
        <v>0</v>
      </c>
      <c r="M1697" s="453">
        <v>45873</v>
      </c>
      <c r="N1697">
        <v>101</v>
      </c>
      <c r="O1697">
        <v>105.62</v>
      </c>
      <c r="P1697">
        <v>101</v>
      </c>
    </row>
    <row r="1698" spans="1:16" x14ac:dyDescent="0.3">
      <c r="A1698">
        <v>59607</v>
      </c>
      <c r="B1698">
        <v>116</v>
      </c>
      <c r="C1698" t="s">
        <v>568</v>
      </c>
      <c r="D1698" s="453">
        <v>45962</v>
      </c>
      <c r="E1698">
        <v>20304</v>
      </c>
      <c r="F1698" t="s">
        <v>3938</v>
      </c>
      <c r="G1698">
        <v>2223</v>
      </c>
      <c r="H1698">
        <v>3</v>
      </c>
      <c r="I1698" t="s">
        <v>3888</v>
      </c>
      <c r="J1698" t="s">
        <v>3469</v>
      </c>
      <c r="K1698" t="s">
        <v>3733</v>
      </c>
      <c r="L1698">
        <v>33.19</v>
      </c>
      <c r="M1698" s="453">
        <v>45951</v>
      </c>
      <c r="N1698">
        <v>34.57</v>
      </c>
      <c r="O1698">
        <v>34.299999999999997</v>
      </c>
      <c r="P1698">
        <v>99.57</v>
      </c>
    </row>
    <row r="1699" spans="1:16" x14ac:dyDescent="0.3">
      <c r="A1699">
        <v>59572</v>
      </c>
      <c r="B1699">
        <v>116</v>
      </c>
      <c r="C1699" t="s">
        <v>568</v>
      </c>
      <c r="D1699" s="453">
        <v>45962</v>
      </c>
      <c r="E1699">
        <v>18696</v>
      </c>
      <c r="F1699" t="s">
        <v>3956</v>
      </c>
      <c r="G1699">
        <v>3035</v>
      </c>
      <c r="H1699">
        <v>5.5</v>
      </c>
      <c r="I1699" t="s">
        <v>3892</v>
      </c>
      <c r="J1699" t="s">
        <v>3469</v>
      </c>
      <c r="K1699" t="s">
        <v>3733</v>
      </c>
      <c r="L1699">
        <v>17.989999999999998</v>
      </c>
      <c r="M1699" s="453">
        <v>45955</v>
      </c>
      <c r="N1699">
        <v>17.989999999999998</v>
      </c>
      <c r="O1699">
        <v>17.989999999999998</v>
      </c>
      <c r="P1699">
        <v>98.94</v>
      </c>
    </row>
    <row r="1700" spans="1:16" x14ac:dyDescent="0.3">
      <c r="A1700">
        <v>59603</v>
      </c>
      <c r="B1700">
        <v>116</v>
      </c>
      <c r="C1700" t="s">
        <v>568</v>
      </c>
      <c r="D1700" s="453">
        <v>45962</v>
      </c>
      <c r="E1700">
        <v>23732</v>
      </c>
      <c r="F1700" t="s">
        <v>3973</v>
      </c>
      <c r="G1700">
        <v>2157</v>
      </c>
      <c r="H1700">
        <v>3.4</v>
      </c>
      <c r="I1700" t="s">
        <v>3892</v>
      </c>
      <c r="J1700" t="s">
        <v>3469</v>
      </c>
      <c r="K1700" t="s">
        <v>3733</v>
      </c>
      <c r="L1700">
        <v>0</v>
      </c>
      <c r="M1700" s="453">
        <v>45930</v>
      </c>
      <c r="N1700">
        <v>28.75</v>
      </c>
      <c r="O1700">
        <v>23.15</v>
      </c>
      <c r="P1700">
        <v>97.75</v>
      </c>
    </row>
    <row r="1701" spans="1:16" x14ac:dyDescent="0.3">
      <c r="A1701">
        <v>59546</v>
      </c>
      <c r="B1701">
        <v>116</v>
      </c>
      <c r="C1701" t="s">
        <v>568</v>
      </c>
      <c r="D1701" s="453">
        <v>45962</v>
      </c>
      <c r="E1701">
        <v>19740</v>
      </c>
      <c r="F1701" t="s">
        <v>3933</v>
      </c>
      <c r="G1701">
        <v>2513</v>
      </c>
      <c r="H1701">
        <v>9.5</v>
      </c>
      <c r="I1701" t="s">
        <v>3892</v>
      </c>
      <c r="J1701" t="s">
        <v>3469</v>
      </c>
      <c r="K1701" t="s">
        <v>3733</v>
      </c>
      <c r="L1701">
        <v>10.24</v>
      </c>
      <c r="M1701" s="453">
        <v>45953</v>
      </c>
      <c r="N1701">
        <v>8.75</v>
      </c>
      <c r="O1701">
        <v>8.6999999999999993</v>
      </c>
      <c r="P1701">
        <v>97.28</v>
      </c>
    </row>
    <row r="1702" spans="1:16" x14ac:dyDescent="0.3">
      <c r="A1702">
        <v>59626</v>
      </c>
      <c r="B1702">
        <v>116</v>
      </c>
      <c r="C1702" t="s">
        <v>568</v>
      </c>
      <c r="D1702" s="453">
        <v>45962</v>
      </c>
      <c r="E1702">
        <v>20702</v>
      </c>
      <c r="F1702" t="s">
        <v>4006</v>
      </c>
      <c r="G1702">
        <v>2101</v>
      </c>
      <c r="H1702">
        <v>2</v>
      </c>
      <c r="I1702" t="s">
        <v>3966</v>
      </c>
      <c r="J1702" t="s">
        <v>3469</v>
      </c>
      <c r="K1702" t="s">
        <v>3733</v>
      </c>
      <c r="L1702">
        <v>45</v>
      </c>
      <c r="M1702" s="453">
        <v>45951</v>
      </c>
      <c r="N1702">
        <v>49.99</v>
      </c>
      <c r="O1702">
        <v>42.4</v>
      </c>
      <c r="P1702">
        <v>90</v>
      </c>
    </row>
    <row r="1703" spans="1:16" x14ac:dyDescent="0.3">
      <c r="A1703">
        <v>59533</v>
      </c>
      <c r="B1703">
        <v>116</v>
      </c>
      <c r="C1703" t="s">
        <v>568</v>
      </c>
      <c r="D1703" s="453">
        <v>45962</v>
      </c>
      <c r="E1703">
        <v>24226</v>
      </c>
      <c r="F1703" t="s">
        <v>3998</v>
      </c>
      <c r="G1703">
        <v>3647</v>
      </c>
      <c r="H1703">
        <v>14</v>
      </c>
      <c r="I1703" t="s">
        <v>3872</v>
      </c>
      <c r="J1703" t="s">
        <v>3497</v>
      </c>
      <c r="K1703" t="s">
        <v>3733</v>
      </c>
      <c r="L1703">
        <v>0</v>
      </c>
      <c r="M1703" s="453">
        <v>45355</v>
      </c>
      <c r="N1703">
        <v>6.42</v>
      </c>
      <c r="O1703">
        <v>6.82</v>
      </c>
      <c r="P1703">
        <v>89.83</v>
      </c>
    </row>
    <row r="1704" spans="1:16" x14ac:dyDescent="0.3">
      <c r="A1704">
        <v>59521</v>
      </c>
      <c r="B1704">
        <v>116</v>
      </c>
      <c r="C1704" t="s">
        <v>568</v>
      </c>
      <c r="D1704" s="453">
        <v>45962</v>
      </c>
      <c r="E1704">
        <v>24083</v>
      </c>
      <c r="F1704" t="s">
        <v>3898</v>
      </c>
      <c r="G1704">
        <v>2592</v>
      </c>
      <c r="H1704">
        <v>27</v>
      </c>
      <c r="I1704" t="s">
        <v>3892</v>
      </c>
      <c r="J1704" t="s">
        <v>3469</v>
      </c>
      <c r="K1704" t="s">
        <v>3733</v>
      </c>
      <c r="L1704">
        <v>3.32</v>
      </c>
      <c r="M1704" s="453">
        <v>45953</v>
      </c>
      <c r="N1704">
        <v>3.4</v>
      </c>
      <c r="O1704">
        <v>3.65</v>
      </c>
      <c r="P1704">
        <v>89.64</v>
      </c>
    </row>
    <row r="1705" spans="1:16" x14ac:dyDescent="0.3">
      <c r="A1705">
        <v>59707</v>
      </c>
      <c r="B1705">
        <v>116</v>
      </c>
      <c r="C1705" t="s">
        <v>568</v>
      </c>
      <c r="D1705" s="453">
        <v>45962</v>
      </c>
      <c r="E1705">
        <v>18534</v>
      </c>
      <c r="F1705" t="s">
        <v>4084</v>
      </c>
      <c r="G1705">
        <v>3143</v>
      </c>
      <c r="H1705">
        <v>1</v>
      </c>
      <c r="I1705" t="s">
        <v>3878</v>
      </c>
      <c r="J1705" t="s">
        <v>3497</v>
      </c>
      <c r="K1705" t="s">
        <v>3733</v>
      </c>
      <c r="L1705">
        <v>0</v>
      </c>
      <c r="N1705">
        <v>0</v>
      </c>
      <c r="O1705">
        <v>73.900000000000006</v>
      </c>
      <c r="P1705">
        <v>86.89</v>
      </c>
    </row>
    <row r="1706" spans="1:16" x14ac:dyDescent="0.3">
      <c r="A1706">
        <v>59575</v>
      </c>
      <c r="B1706">
        <v>116</v>
      </c>
      <c r="C1706" t="s">
        <v>568</v>
      </c>
      <c r="D1706" s="453">
        <v>45962</v>
      </c>
      <c r="E1706">
        <v>25720</v>
      </c>
      <c r="F1706" t="s">
        <v>3926</v>
      </c>
      <c r="G1706">
        <v>2197</v>
      </c>
      <c r="H1706">
        <v>5</v>
      </c>
      <c r="I1706" t="s">
        <v>3892</v>
      </c>
      <c r="J1706" t="s">
        <v>3469</v>
      </c>
      <c r="K1706" t="s">
        <v>3733</v>
      </c>
      <c r="L1706">
        <v>0</v>
      </c>
      <c r="N1706">
        <v>0</v>
      </c>
      <c r="O1706">
        <v>0</v>
      </c>
      <c r="P1706">
        <v>84.5</v>
      </c>
    </row>
    <row r="1707" spans="1:16" x14ac:dyDescent="0.3">
      <c r="A1707">
        <v>59668</v>
      </c>
      <c r="B1707">
        <v>116</v>
      </c>
      <c r="C1707" t="s">
        <v>568</v>
      </c>
      <c r="D1707" s="453">
        <v>45962</v>
      </c>
      <c r="E1707">
        <v>19264</v>
      </c>
      <c r="F1707" t="s">
        <v>4082</v>
      </c>
      <c r="G1707">
        <v>2781</v>
      </c>
      <c r="H1707">
        <v>1.3</v>
      </c>
      <c r="I1707" t="s">
        <v>3888</v>
      </c>
      <c r="J1707" t="s">
        <v>3469</v>
      </c>
      <c r="K1707" t="s">
        <v>3733</v>
      </c>
      <c r="L1707">
        <v>64.45</v>
      </c>
      <c r="M1707" s="453">
        <v>45947</v>
      </c>
      <c r="N1707">
        <v>58.9</v>
      </c>
      <c r="O1707">
        <v>64.900000000000006</v>
      </c>
      <c r="P1707">
        <v>83.79</v>
      </c>
    </row>
    <row r="1708" spans="1:16" x14ac:dyDescent="0.3">
      <c r="A1708">
        <v>59627</v>
      </c>
      <c r="B1708">
        <v>116</v>
      </c>
      <c r="C1708" t="s">
        <v>568</v>
      </c>
      <c r="D1708" s="453">
        <v>45962</v>
      </c>
      <c r="E1708">
        <v>20250</v>
      </c>
      <c r="F1708" t="s">
        <v>4008</v>
      </c>
      <c r="G1708">
        <v>2241</v>
      </c>
      <c r="H1708">
        <v>2</v>
      </c>
      <c r="I1708" t="s">
        <v>3888</v>
      </c>
      <c r="J1708" t="s">
        <v>3469</v>
      </c>
      <c r="K1708" t="s">
        <v>3733</v>
      </c>
      <c r="L1708">
        <v>41.4</v>
      </c>
      <c r="M1708" s="453">
        <v>45951</v>
      </c>
      <c r="N1708">
        <v>41.4</v>
      </c>
      <c r="O1708">
        <v>41.4</v>
      </c>
      <c r="P1708">
        <v>82.8</v>
      </c>
    </row>
    <row r="1709" spans="1:16" x14ac:dyDescent="0.3">
      <c r="A1709">
        <v>59679</v>
      </c>
      <c r="B1709">
        <v>116</v>
      </c>
      <c r="C1709" t="s">
        <v>568</v>
      </c>
      <c r="D1709" s="453">
        <v>45962</v>
      </c>
      <c r="E1709">
        <v>20757</v>
      </c>
      <c r="F1709" t="s">
        <v>4050</v>
      </c>
      <c r="G1709">
        <v>2086</v>
      </c>
      <c r="H1709">
        <v>1</v>
      </c>
      <c r="I1709" t="s">
        <v>3966</v>
      </c>
      <c r="J1709" t="s">
        <v>3469</v>
      </c>
      <c r="K1709" t="s">
        <v>3733</v>
      </c>
      <c r="L1709">
        <v>80.55</v>
      </c>
      <c r="M1709" s="453">
        <v>45951</v>
      </c>
      <c r="N1709">
        <v>80.55</v>
      </c>
      <c r="O1709">
        <v>68.900000000000006</v>
      </c>
      <c r="P1709">
        <v>80.55</v>
      </c>
    </row>
    <row r="1710" spans="1:16" x14ac:dyDescent="0.3">
      <c r="A1710">
        <v>59513</v>
      </c>
      <c r="B1710">
        <v>116</v>
      </c>
      <c r="C1710" t="s">
        <v>568</v>
      </c>
      <c r="D1710" s="453">
        <v>45962</v>
      </c>
      <c r="E1710">
        <v>17957</v>
      </c>
      <c r="F1710" t="s">
        <v>3879</v>
      </c>
      <c r="G1710">
        <v>3622</v>
      </c>
      <c r="H1710">
        <v>5</v>
      </c>
      <c r="I1710" t="s">
        <v>3872</v>
      </c>
      <c r="J1710" t="s">
        <v>3497</v>
      </c>
      <c r="K1710" t="s">
        <v>3733</v>
      </c>
      <c r="L1710">
        <v>0</v>
      </c>
      <c r="M1710" s="453">
        <v>45859</v>
      </c>
      <c r="N1710">
        <v>15.9</v>
      </c>
      <c r="O1710">
        <v>15.9</v>
      </c>
      <c r="P1710">
        <v>79.5</v>
      </c>
    </row>
    <row r="1711" spans="1:16" x14ac:dyDescent="0.3">
      <c r="A1711">
        <v>59577</v>
      </c>
      <c r="B1711">
        <v>116</v>
      </c>
      <c r="C1711" t="s">
        <v>568</v>
      </c>
      <c r="D1711" s="453">
        <v>45962</v>
      </c>
      <c r="E1711">
        <v>20965</v>
      </c>
      <c r="F1711" t="s">
        <v>3969</v>
      </c>
      <c r="G1711">
        <v>2013</v>
      </c>
      <c r="H1711">
        <v>5</v>
      </c>
      <c r="I1711" t="s">
        <v>3872</v>
      </c>
      <c r="J1711" t="s">
        <v>3469</v>
      </c>
      <c r="K1711" t="s">
        <v>3733</v>
      </c>
      <c r="L1711">
        <v>15.9</v>
      </c>
      <c r="M1711" s="453">
        <v>45951</v>
      </c>
      <c r="N1711">
        <v>15.9</v>
      </c>
      <c r="O1711">
        <v>15.9</v>
      </c>
      <c r="P1711">
        <v>79.5</v>
      </c>
    </row>
    <row r="1712" spans="1:16" x14ac:dyDescent="0.3">
      <c r="A1712">
        <v>59600</v>
      </c>
      <c r="B1712">
        <v>116</v>
      </c>
      <c r="C1712" t="s">
        <v>568</v>
      </c>
      <c r="D1712" s="453">
        <v>45962</v>
      </c>
      <c r="E1712">
        <v>24393</v>
      </c>
      <c r="F1712" t="s">
        <v>4039</v>
      </c>
      <c r="G1712">
        <v>3045</v>
      </c>
      <c r="H1712">
        <v>3.6</v>
      </c>
      <c r="I1712" t="s">
        <v>3892</v>
      </c>
      <c r="J1712" t="s">
        <v>3469</v>
      </c>
      <c r="K1712" t="s">
        <v>3733</v>
      </c>
      <c r="L1712">
        <v>0</v>
      </c>
      <c r="M1712" s="453">
        <v>45930</v>
      </c>
      <c r="N1712">
        <v>22</v>
      </c>
      <c r="O1712">
        <v>13.8</v>
      </c>
      <c r="P1712">
        <v>79.2</v>
      </c>
    </row>
    <row r="1713" spans="1:16" x14ac:dyDescent="0.3">
      <c r="A1713">
        <v>59719</v>
      </c>
      <c r="B1713">
        <v>116</v>
      </c>
      <c r="C1713" t="s">
        <v>568</v>
      </c>
      <c r="D1713" s="453">
        <v>45962</v>
      </c>
      <c r="E1713">
        <v>18394</v>
      </c>
      <c r="F1713" t="s">
        <v>4044</v>
      </c>
      <c r="G1713">
        <v>3246</v>
      </c>
      <c r="H1713">
        <v>0.6</v>
      </c>
      <c r="I1713" t="s">
        <v>3878</v>
      </c>
      <c r="J1713" t="s">
        <v>3497</v>
      </c>
      <c r="K1713" t="s">
        <v>3733</v>
      </c>
      <c r="L1713">
        <v>0</v>
      </c>
      <c r="M1713" s="453">
        <v>45908</v>
      </c>
      <c r="N1713">
        <v>132</v>
      </c>
      <c r="O1713">
        <v>132</v>
      </c>
      <c r="P1713">
        <v>79.2</v>
      </c>
    </row>
    <row r="1714" spans="1:16" x14ac:dyDescent="0.3">
      <c r="A1714">
        <v>59583</v>
      </c>
      <c r="B1714">
        <v>116</v>
      </c>
      <c r="C1714" t="s">
        <v>568</v>
      </c>
      <c r="D1714" s="453">
        <v>45962</v>
      </c>
      <c r="E1714">
        <v>18447</v>
      </c>
      <c r="F1714" t="s">
        <v>4027</v>
      </c>
      <c r="G1714">
        <v>3204</v>
      </c>
      <c r="H1714">
        <v>5</v>
      </c>
      <c r="I1714" t="s">
        <v>3878</v>
      </c>
      <c r="J1714" t="s">
        <v>3497</v>
      </c>
      <c r="K1714" t="s">
        <v>3733</v>
      </c>
      <c r="L1714">
        <v>15.8</v>
      </c>
      <c r="M1714" s="453">
        <v>45931</v>
      </c>
      <c r="N1714">
        <v>15.8</v>
      </c>
      <c r="O1714">
        <v>15.8</v>
      </c>
      <c r="P1714">
        <v>79</v>
      </c>
    </row>
    <row r="1715" spans="1:16" x14ac:dyDescent="0.3">
      <c r="A1715">
        <v>59526</v>
      </c>
      <c r="B1715">
        <v>116</v>
      </c>
      <c r="C1715" t="s">
        <v>568</v>
      </c>
      <c r="D1715" s="453">
        <v>45962</v>
      </c>
      <c r="E1715">
        <v>19539</v>
      </c>
      <c r="F1715" t="s">
        <v>4133</v>
      </c>
      <c r="G1715">
        <v>2677</v>
      </c>
      <c r="H1715">
        <v>18</v>
      </c>
      <c r="I1715" t="s">
        <v>3892</v>
      </c>
      <c r="J1715" t="s">
        <v>3469</v>
      </c>
      <c r="K1715" t="s">
        <v>3733</v>
      </c>
      <c r="L1715">
        <v>4.3</v>
      </c>
      <c r="M1715" s="453">
        <v>45953</v>
      </c>
      <c r="N1715">
        <v>5.5</v>
      </c>
      <c r="O1715">
        <v>5.6</v>
      </c>
      <c r="P1715">
        <v>77.400000000000006</v>
      </c>
    </row>
    <row r="1716" spans="1:16" x14ac:dyDescent="0.3">
      <c r="A1716">
        <v>59649</v>
      </c>
      <c r="B1716">
        <v>116</v>
      </c>
      <c r="C1716" t="s">
        <v>568</v>
      </c>
      <c r="D1716" s="453">
        <v>45962</v>
      </c>
      <c r="E1716">
        <v>17896</v>
      </c>
      <c r="F1716" t="s">
        <v>3972</v>
      </c>
      <c r="G1716">
        <v>3664</v>
      </c>
      <c r="H1716">
        <v>2</v>
      </c>
      <c r="I1716" t="s">
        <v>3888</v>
      </c>
      <c r="J1716" t="s">
        <v>3497</v>
      </c>
      <c r="K1716" t="s">
        <v>3733</v>
      </c>
      <c r="L1716">
        <v>38.64</v>
      </c>
      <c r="M1716" s="453">
        <v>45952</v>
      </c>
      <c r="N1716">
        <v>38.64</v>
      </c>
      <c r="O1716">
        <v>38.64</v>
      </c>
      <c r="P1716">
        <v>77.28</v>
      </c>
    </row>
    <row r="1717" spans="1:16" x14ac:dyDescent="0.3">
      <c r="A1717">
        <v>59631</v>
      </c>
      <c r="B1717">
        <v>116</v>
      </c>
      <c r="C1717" t="s">
        <v>568</v>
      </c>
      <c r="D1717" s="453">
        <v>45962</v>
      </c>
      <c r="E1717">
        <v>20117</v>
      </c>
      <c r="F1717" t="s">
        <v>4010</v>
      </c>
      <c r="G1717">
        <v>2291</v>
      </c>
      <c r="H1717">
        <v>2</v>
      </c>
      <c r="I1717" t="s">
        <v>3872</v>
      </c>
      <c r="J1717" t="s">
        <v>3469</v>
      </c>
      <c r="K1717" t="s">
        <v>3733</v>
      </c>
      <c r="L1717">
        <v>37.700000000000003</v>
      </c>
      <c r="M1717" s="453">
        <v>45951</v>
      </c>
      <c r="N1717">
        <v>37.700000000000003</v>
      </c>
      <c r="O1717">
        <v>37.700000000000003</v>
      </c>
      <c r="P1717">
        <v>75.400000000000006</v>
      </c>
    </row>
    <row r="1718" spans="1:16" x14ac:dyDescent="0.3">
      <c r="A1718">
        <v>59610</v>
      </c>
      <c r="B1718">
        <v>116</v>
      </c>
      <c r="C1718" t="s">
        <v>568</v>
      </c>
      <c r="D1718" s="453">
        <v>45962</v>
      </c>
      <c r="E1718">
        <v>19572</v>
      </c>
      <c r="F1718" t="s">
        <v>4023</v>
      </c>
      <c r="G1718">
        <v>2646</v>
      </c>
      <c r="H1718">
        <v>3</v>
      </c>
      <c r="I1718" t="s">
        <v>3892</v>
      </c>
      <c r="J1718" t="s">
        <v>3469</v>
      </c>
      <c r="K1718" t="s">
        <v>3733</v>
      </c>
      <c r="L1718">
        <v>25</v>
      </c>
      <c r="M1718" s="453">
        <v>45953</v>
      </c>
      <c r="N1718">
        <v>25</v>
      </c>
      <c r="O1718">
        <v>22.5</v>
      </c>
      <c r="P1718">
        <v>75</v>
      </c>
    </row>
    <row r="1719" spans="1:16" x14ac:dyDescent="0.3">
      <c r="A1719">
        <v>59651</v>
      </c>
      <c r="B1719">
        <v>116</v>
      </c>
      <c r="C1719" t="s">
        <v>568</v>
      </c>
      <c r="D1719" s="453">
        <v>45962</v>
      </c>
      <c r="E1719">
        <v>20457</v>
      </c>
      <c r="F1719" t="s">
        <v>3999</v>
      </c>
      <c r="G1719">
        <v>2165</v>
      </c>
      <c r="H1719">
        <v>1.9</v>
      </c>
      <c r="I1719" t="s">
        <v>3892</v>
      </c>
      <c r="J1719" t="s">
        <v>3469</v>
      </c>
      <c r="K1719" t="s">
        <v>3733</v>
      </c>
      <c r="L1719">
        <v>39</v>
      </c>
      <c r="M1719" s="453">
        <v>45937</v>
      </c>
      <c r="N1719">
        <v>39</v>
      </c>
      <c r="O1719">
        <v>39</v>
      </c>
      <c r="P1719">
        <v>74.099999999999994</v>
      </c>
    </row>
    <row r="1720" spans="1:16" x14ac:dyDescent="0.3">
      <c r="A1720">
        <v>59563</v>
      </c>
      <c r="B1720">
        <v>116</v>
      </c>
      <c r="C1720" t="s">
        <v>568</v>
      </c>
      <c r="D1720" s="453">
        <v>45962</v>
      </c>
      <c r="E1720">
        <v>24388</v>
      </c>
      <c r="F1720" t="s">
        <v>3915</v>
      </c>
      <c r="G1720">
        <v>2945</v>
      </c>
      <c r="H1720">
        <v>6.1</v>
      </c>
      <c r="I1720" t="s">
        <v>3892</v>
      </c>
      <c r="J1720" t="s">
        <v>3469</v>
      </c>
      <c r="K1720" t="s">
        <v>3733</v>
      </c>
      <c r="L1720">
        <v>11.97</v>
      </c>
      <c r="M1720" s="453">
        <v>45944</v>
      </c>
      <c r="N1720">
        <v>35.9</v>
      </c>
      <c r="O1720">
        <v>27.5</v>
      </c>
      <c r="P1720">
        <v>73.02</v>
      </c>
    </row>
    <row r="1721" spans="1:16" x14ac:dyDescent="0.3">
      <c r="A1721">
        <v>59553</v>
      </c>
      <c r="B1721">
        <v>116</v>
      </c>
      <c r="C1721" t="s">
        <v>568</v>
      </c>
      <c r="D1721" s="453">
        <v>45962</v>
      </c>
      <c r="E1721">
        <v>20661</v>
      </c>
      <c r="F1721" t="s">
        <v>3919</v>
      </c>
      <c r="G1721">
        <v>2110</v>
      </c>
      <c r="H1721">
        <v>8</v>
      </c>
      <c r="I1721" t="s">
        <v>3872</v>
      </c>
      <c r="J1721" t="s">
        <v>3469</v>
      </c>
      <c r="K1721" t="s">
        <v>3733</v>
      </c>
      <c r="L1721">
        <v>8.76</v>
      </c>
      <c r="M1721" s="453">
        <v>45951</v>
      </c>
      <c r="N1721">
        <v>8.7799999999999994</v>
      </c>
      <c r="O1721">
        <v>8.7799999999999994</v>
      </c>
      <c r="P1721">
        <v>70.08</v>
      </c>
    </row>
    <row r="1722" spans="1:16" x14ac:dyDescent="0.3">
      <c r="A1722">
        <v>59609</v>
      </c>
      <c r="B1722">
        <v>116</v>
      </c>
      <c r="C1722" t="s">
        <v>568</v>
      </c>
      <c r="D1722" s="453">
        <v>45962</v>
      </c>
      <c r="E1722">
        <v>24185</v>
      </c>
      <c r="F1722" t="s">
        <v>4040</v>
      </c>
      <c r="G1722">
        <v>2331</v>
      </c>
      <c r="H1722">
        <v>3</v>
      </c>
      <c r="I1722" t="s">
        <v>3892</v>
      </c>
      <c r="J1722" t="s">
        <v>3469</v>
      </c>
      <c r="K1722" t="s">
        <v>3733</v>
      </c>
      <c r="L1722">
        <v>22.89</v>
      </c>
      <c r="M1722" s="453">
        <v>45951</v>
      </c>
      <c r="N1722">
        <v>23.1</v>
      </c>
      <c r="O1722">
        <v>23.1</v>
      </c>
      <c r="P1722">
        <v>68.67</v>
      </c>
    </row>
    <row r="1723" spans="1:16" x14ac:dyDescent="0.3">
      <c r="A1723">
        <v>59544</v>
      </c>
      <c r="B1723">
        <v>116</v>
      </c>
      <c r="C1723" t="s">
        <v>568</v>
      </c>
      <c r="D1723" s="453">
        <v>45962</v>
      </c>
      <c r="E1723">
        <v>24227</v>
      </c>
      <c r="F1723" t="s">
        <v>3970</v>
      </c>
      <c r="G1723">
        <v>3648</v>
      </c>
      <c r="H1723">
        <v>10</v>
      </c>
      <c r="I1723" t="s">
        <v>3872</v>
      </c>
      <c r="J1723" t="s">
        <v>3497</v>
      </c>
      <c r="K1723" t="s">
        <v>3733</v>
      </c>
      <c r="L1723">
        <v>0</v>
      </c>
      <c r="N1723">
        <v>0</v>
      </c>
      <c r="O1723">
        <v>28.8</v>
      </c>
      <c r="P1723">
        <v>68.2</v>
      </c>
    </row>
    <row r="1724" spans="1:16" x14ac:dyDescent="0.3">
      <c r="A1724">
        <v>59531</v>
      </c>
      <c r="B1724">
        <v>116</v>
      </c>
      <c r="C1724" t="s">
        <v>568</v>
      </c>
      <c r="D1724" s="453">
        <v>45962</v>
      </c>
      <c r="E1724">
        <v>21093</v>
      </c>
      <c r="F1724" t="s">
        <v>3903</v>
      </c>
      <c r="G1724">
        <v>1988</v>
      </c>
      <c r="H1724">
        <v>14</v>
      </c>
      <c r="I1724" t="s">
        <v>3892</v>
      </c>
      <c r="J1724" t="s">
        <v>3469</v>
      </c>
      <c r="K1724" t="s">
        <v>3733</v>
      </c>
      <c r="L1724">
        <v>4.84</v>
      </c>
      <c r="M1724" s="453">
        <v>45951</v>
      </c>
      <c r="N1724">
        <v>4.79</v>
      </c>
      <c r="O1724">
        <v>4.78</v>
      </c>
      <c r="P1724">
        <v>67.760000000000005</v>
      </c>
    </row>
    <row r="1725" spans="1:16" x14ac:dyDescent="0.3">
      <c r="A1725">
        <v>59510</v>
      </c>
      <c r="B1725">
        <v>116</v>
      </c>
      <c r="C1725" t="s">
        <v>568</v>
      </c>
      <c r="D1725" s="453">
        <v>45962</v>
      </c>
      <c r="E1725">
        <v>23095</v>
      </c>
      <c r="F1725" t="s">
        <v>3882</v>
      </c>
      <c r="G1725">
        <v>2754</v>
      </c>
      <c r="H1725">
        <v>72</v>
      </c>
      <c r="I1725" t="s">
        <v>3872</v>
      </c>
      <c r="J1725" t="s">
        <v>3469</v>
      </c>
      <c r="K1725" t="s">
        <v>3733</v>
      </c>
      <c r="L1725">
        <v>0.94</v>
      </c>
      <c r="M1725" s="453">
        <v>45953</v>
      </c>
      <c r="N1725">
        <v>0.94</v>
      </c>
      <c r="O1725">
        <v>0.94</v>
      </c>
      <c r="P1725">
        <v>67.680000000000007</v>
      </c>
    </row>
    <row r="1726" spans="1:16" x14ac:dyDescent="0.3">
      <c r="A1726">
        <v>59643</v>
      </c>
      <c r="B1726">
        <v>116</v>
      </c>
      <c r="C1726" t="s">
        <v>568</v>
      </c>
      <c r="D1726" s="453">
        <v>45962</v>
      </c>
      <c r="E1726">
        <v>22820</v>
      </c>
      <c r="F1726" t="s">
        <v>3896</v>
      </c>
      <c r="G1726">
        <v>2949</v>
      </c>
      <c r="H1726">
        <v>2</v>
      </c>
      <c r="I1726" t="s">
        <v>3892</v>
      </c>
      <c r="J1726" t="s">
        <v>3469</v>
      </c>
      <c r="K1726" t="s">
        <v>3733</v>
      </c>
      <c r="L1726">
        <v>33.799999999999997</v>
      </c>
      <c r="M1726" s="453">
        <v>45938</v>
      </c>
      <c r="N1726">
        <v>33.799999999999997</v>
      </c>
      <c r="O1726">
        <v>33.799999999999997</v>
      </c>
      <c r="P1726">
        <v>67.599999999999994</v>
      </c>
    </row>
    <row r="1727" spans="1:16" x14ac:dyDescent="0.3">
      <c r="A1727">
        <v>59647</v>
      </c>
      <c r="B1727">
        <v>116</v>
      </c>
      <c r="C1727" t="s">
        <v>568</v>
      </c>
      <c r="D1727" s="453">
        <v>45962</v>
      </c>
      <c r="E1727">
        <v>18030</v>
      </c>
      <c r="F1727" t="s">
        <v>4033</v>
      </c>
      <c r="G1727">
        <v>3568</v>
      </c>
      <c r="H1727">
        <v>2</v>
      </c>
      <c r="I1727" t="s">
        <v>3878</v>
      </c>
      <c r="J1727" t="s">
        <v>3497</v>
      </c>
      <c r="K1727" t="s">
        <v>3733</v>
      </c>
      <c r="L1727">
        <v>32.659999999999997</v>
      </c>
      <c r="M1727" s="453">
        <v>45931</v>
      </c>
      <c r="N1727">
        <v>32.659999999999997</v>
      </c>
      <c r="O1727">
        <v>27.5</v>
      </c>
      <c r="P1727">
        <v>65.319999999999993</v>
      </c>
    </row>
    <row r="1728" spans="1:16" x14ac:dyDescent="0.3">
      <c r="A1728">
        <v>59605</v>
      </c>
      <c r="B1728">
        <v>116</v>
      </c>
      <c r="C1728" t="s">
        <v>568</v>
      </c>
      <c r="D1728" s="453">
        <v>45962</v>
      </c>
      <c r="E1728">
        <v>24456</v>
      </c>
      <c r="F1728" t="s">
        <v>4048</v>
      </c>
      <c r="G1728">
        <v>1965</v>
      </c>
      <c r="H1728">
        <v>3</v>
      </c>
      <c r="I1728" t="s">
        <v>3892</v>
      </c>
      <c r="J1728" t="s">
        <v>3469</v>
      </c>
      <c r="K1728" t="s">
        <v>3733</v>
      </c>
      <c r="L1728">
        <v>0</v>
      </c>
      <c r="M1728" s="453">
        <v>45826</v>
      </c>
      <c r="N1728">
        <v>21.76</v>
      </c>
      <c r="O1728">
        <v>29.83</v>
      </c>
      <c r="P1728">
        <v>65.28</v>
      </c>
    </row>
    <row r="1729" spans="1:16" x14ac:dyDescent="0.3">
      <c r="A1729">
        <v>59657</v>
      </c>
      <c r="B1729">
        <v>116</v>
      </c>
      <c r="C1729" t="s">
        <v>568</v>
      </c>
      <c r="D1729" s="453">
        <v>45962</v>
      </c>
      <c r="E1729">
        <v>20717</v>
      </c>
      <c r="F1729" t="s">
        <v>4055</v>
      </c>
      <c r="G1729">
        <v>2097</v>
      </c>
      <c r="H1729">
        <v>1.5</v>
      </c>
      <c r="I1729" t="s">
        <v>3872</v>
      </c>
      <c r="J1729" t="s">
        <v>3469</v>
      </c>
      <c r="K1729" t="s">
        <v>3733</v>
      </c>
      <c r="L1729">
        <v>43.1</v>
      </c>
      <c r="M1729" s="453">
        <v>45951</v>
      </c>
      <c r="N1729">
        <v>43.1</v>
      </c>
      <c r="O1729">
        <v>43.1</v>
      </c>
      <c r="P1729">
        <v>64.650000000000006</v>
      </c>
    </row>
    <row r="1730" spans="1:16" x14ac:dyDescent="0.3">
      <c r="A1730">
        <v>59665</v>
      </c>
      <c r="B1730">
        <v>116</v>
      </c>
      <c r="C1730" t="s">
        <v>568</v>
      </c>
      <c r="D1730" s="453">
        <v>45962</v>
      </c>
      <c r="E1730">
        <v>18273</v>
      </c>
      <c r="F1730" t="s">
        <v>4031</v>
      </c>
      <c r="G1730">
        <v>3357</v>
      </c>
      <c r="H1730">
        <v>1.5</v>
      </c>
      <c r="I1730" t="s">
        <v>3878</v>
      </c>
      <c r="J1730" t="s">
        <v>3497</v>
      </c>
      <c r="K1730" t="s">
        <v>3733</v>
      </c>
      <c r="L1730">
        <v>0</v>
      </c>
      <c r="M1730" s="453">
        <v>45918</v>
      </c>
      <c r="N1730">
        <v>42.71</v>
      </c>
      <c r="O1730">
        <v>42.71</v>
      </c>
      <c r="P1730">
        <v>64.06</v>
      </c>
    </row>
    <row r="1731" spans="1:16" x14ac:dyDescent="0.3">
      <c r="A1731">
        <v>59555</v>
      </c>
      <c r="B1731">
        <v>116</v>
      </c>
      <c r="C1731" t="s">
        <v>568</v>
      </c>
      <c r="D1731" s="453">
        <v>45962</v>
      </c>
      <c r="E1731">
        <v>17093</v>
      </c>
      <c r="F1731" t="s">
        <v>3993</v>
      </c>
      <c r="G1731">
        <v>4165</v>
      </c>
      <c r="H1731">
        <v>8</v>
      </c>
      <c r="I1731" t="s">
        <v>3888</v>
      </c>
      <c r="J1731" t="s">
        <v>3497</v>
      </c>
      <c r="K1731" t="s">
        <v>3733</v>
      </c>
      <c r="L1731">
        <v>0</v>
      </c>
      <c r="M1731" s="453">
        <v>45803</v>
      </c>
      <c r="N1731">
        <v>8</v>
      </c>
      <c r="O1731">
        <v>8</v>
      </c>
      <c r="P1731">
        <v>64</v>
      </c>
    </row>
    <row r="1732" spans="1:16" x14ac:dyDescent="0.3">
      <c r="A1732">
        <v>59574</v>
      </c>
      <c r="B1732">
        <v>116</v>
      </c>
      <c r="C1732" t="s">
        <v>568</v>
      </c>
      <c r="D1732" s="453">
        <v>45962</v>
      </c>
      <c r="E1732">
        <v>26193</v>
      </c>
      <c r="F1732" t="s">
        <v>3950</v>
      </c>
      <c r="G1732">
        <v>6616</v>
      </c>
      <c r="H1732">
        <v>5</v>
      </c>
      <c r="I1732" t="s">
        <v>3872</v>
      </c>
      <c r="J1732" t="s">
        <v>3469</v>
      </c>
      <c r="K1732" t="s">
        <v>3733</v>
      </c>
      <c r="L1732">
        <v>0</v>
      </c>
      <c r="M1732" s="453">
        <v>45922</v>
      </c>
      <c r="N1732">
        <v>12.68</v>
      </c>
      <c r="O1732">
        <v>12.45</v>
      </c>
      <c r="P1732">
        <v>63.4</v>
      </c>
    </row>
    <row r="1733" spans="1:16" x14ac:dyDescent="0.3">
      <c r="A1733">
        <v>59625</v>
      </c>
      <c r="B1733">
        <v>116</v>
      </c>
      <c r="C1733" t="s">
        <v>568</v>
      </c>
      <c r="D1733" s="453">
        <v>45962</v>
      </c>
      <c r="E1733">
        <v>20809</v>
      </c>
      <c r="F1733" t="s">
        <v>4005</v>
      </c>
      <c r="G1733">
        <v>2074</v>
      </c>
      <c r="H1733">
        <v>2</v>
      </c>
      <c r="I1733" t="s">
        <v>3888</v>
      </c>
      <c r="J1733" t="s">
        <v>3469</v>
      </c>
      <c r="K1733" t="s">
        <v>3733</v>
      </c>
      <c r="L1733">
        <v>31.08</v>
      </c>
      <c r="M1733" s="453">
        <v>45951</v>
      </c>
      <c r="N1733">
        <v>31.7</v>
      </c>
      <c r="O1733">
        <v>32.299999999999997</v>
      </c>
      <c r="P1733">
        <v>62.16</v>
      </c>
    </row>
    <row r="1734" spans="1:16" x14ac:dyDescent="0.3">
      <c r="A1734">
        <v>59652</v>
      </c>
      <c r="B1734">
        <v>116</v>
      </c>
      <c r="C1734" t="s">
        <v>568</v>
      </c>
      <c r="D1734" s="453">
        <v>45962</v>
      </c>
      <c r="E1734">
        <v>18272</v>
      </c>
      <c r="F1734" t="s">
        <v>4046</v>
      </c>
      <c r="G1734">
        <v>3358</v>
      </c>
      <c r="H1734">
        <v>1.7</v>
      </c>
      <c r="I1734" t="s">
        <v>3878</v>
      </c>
      <c r="J1734" t="s">
        <v>3497</v>
      </c>
      <c r="K1734" t="s">
        <v>3733</v>
      </c>
      <c r="L1734">
        <v>0</v>
      </c>
      <c r="M1734" s="453">
        <v>45845</v>
      </c>
      <c r="N1734">
        <v>36.5</v>
      </c>
      <c r="O1734">
        <v>39.9</v>
      </c>
      <c r="P1734">
        <v>62.05</v>
      </c>
    </row>
    <row r="1735" spans="1:16" x14ac:dyDescent="0.3">
      <c r="A1735">
        <v>59554</v>
      </c>
      <c r="B1735">
        <v>116</v>
      </c>
      <c r="C1735" t="s">
        <v>568</v>
      </c>
      <c r="D1735" s="453">
        <v>45962</v>
      </c>
      <c r="E1735">
        <v>19415</v>
      </c>
      <c r="F1735" t="s">
        <v>3941</v>
      </c>
      <c r="G1735">
        <v>2759</v>
      </c>
      <c r="H1735">
        <v>8</v>
      </c>
      <c r="I1735" t="s">
        <v>3872</v>
      </c>
      <c r="J1735" t="s">
        <v>3469</v>
      </c>
      <c r="K1735" t="s">
        <v>3733</v>
      </c>
      <c r="L1735">
        <v>7.68</v>
      </c>
      <c r="M1735" s="453">
        <v>45937</v>
      </c>
      <c r="N1735">
        <v>7.68</v>
      </c>
      <c r="O1735">
        <v>7.8</v>
      </c>
      <c r="P1735">
        <v>61.44</v>
      </c>
    </row>
    <row r="1736" spans="1:16" x14ac:dyDescent="0.3">
      <c r="A1736">
        <v>59634</v>
      </c>
      <c r="B1736">
        <v>116</v>
      </c>
      <c r="C1736" t="s">
        <v>568</v>
      </c>
      <c r="D1736" s="453">
        <v>45962</v>
      </c>
      <c r="E1736">
        <v>19649</v>
      </c>
      <c r="F1736" t="s">
        <v>4015</v>
      </c>
      <c r="G1736">
        <v>2589</v>
      </c>
      <c r="H1736">
        <v>2</v>
      </c>
      <c r="I1736" t="s">
        <v>3892</v>
      </c>
      <c r="J1736" t="s">
        <v>3469</v>
      </c>
      <c r="K1736" t="s">
        <v>3733</v>
      </c>
      <c r="L1736">
        <v>0</v>
      </c>
      <c r="M1736" s="453">
        <v>45831</v>
      </c>
      <c r="N1736">
        <v>29</v>
      </c>
      <c r="O1736">
        <v>23.5</v>
      </c>
      <c r="P1736">
        <v>58</v>
      </c>
    </row>
    <row r="1737" spans="1:16" x14ac:dyDescent="0.3">
      <c r="A1737">
        <v>59614</v>
      </c>
      <c r="B1737">
        <v>116</v>
      </c>
      <c r="C1737" t="s">
        <v>568</v>
      </c>
      <c r="D1737" s="453">
        <v>45962</v>
      </c>
      <c r="E1737">
        <v>17609</v>
      </c>
      <c r="F1737" t="s">
        <v>4038</v>
      </c>
      <c r="G1737">
        <v>3917</v>
      </c>
      <c r="H1737">
        <v>3</v>
      </c>
      <c r="I1737" t="s">
        <v>3878</v>
      </c>
      <c r="J1737" t="s">
        <v>3497</v>
      </c>
      <c r="K1737" t="s">
        <v>3733</v>
      </c>
      <c r="L1737">
        <v>0</v>
      </c>
      <c r="M1737" s="453">
        <v>45573</v>
      </c>
      <c r="N1737">
        <v>18.899999999999999</v>
      </c>
      <c r="O1737">
        <v>18.899999999999999</v>
      </c>
      <c r="P1737">
        <v>56.7</v>
      </c>
    </row>
    <row r="1738" spans="1:16" x14ac:dyDescent="0.3">
      <c r="A1738">
        <v>59650</v>
      </c>
      <c r="B1738">
        <v>116</v>
      </c>
      <c r="C1738" t="s">
        <v>568</v>
      </c>
      <c r="D1738" s="453">
        <v>45962</v>
      </c>
      <c r="E1738">
        <v>26195</v>
      </c>
      <c r="F1738" t="s">
        <v>4037</v>
      </c>
      <c r="G1738">
        <v>6618</v>
      </c>
      <c r="H1738">
        <v>2</v>
      </c>
      <c r="I1738" t="s">
        <v>3878</v>
      </c>
      <c r="J1738" t="s">
        <v>3497</v>
      </c>
      <c r="K1738" t="s">
        <v>3733</v>
      </c>
      <c r="L1738">
        <v>0</v>
      </c>
      <c r="N1738">
        <v>0</v>
      </c>
      <c r="O1738">
        <v>0</v>
      </c>
      <c r="P1738">
        <v>55.48</v>
      </c>
    </row>
    <row r="1739" spans="1:16" x14ac:dyDescent="0.3">
      <c r="A1739">
        <v>59674</v>
      </c>
      <c r="B1739">
        <v>116</v>
      </c>
      <c r="C1739" t="s">
        <v>568</v>
      </c>
      <c r="D1739" s="453">
        <v>45962</v>
      </c>
      <c r="E1739">
        <v>18545</v>
      </c>
      <c r="F1739" t="s">
        <v>4099</v>
      </c>
      <c r="G1739">
        <v>3134</v>
      </c>
      <c r="H1739">
        <v>1.2</v>
      </c>
      <c r="I1739" t="s">
        <v>3878</v>
      </c>
      <c r="J1739" t="s">
        <v>3497</v>
      </c>
      <c r="K1739" t="s">
        <v>3733</v>
      </c>
      <c r="L1739">
        <v>0</v>
      </c>
      <c r="M1739" s="453">
        <v>45902</v>
      </c>
      <c r="N1739">
        <v>45.51</v>
      </c>
      <c r="O1739">
        <v>44.5</v>
      </c>
      <c r="P1739">
        <v>54.61</v>
      </c>
    </row>
    <row r="1740" spans="1:16" x14ac:dyDescent="0.3">
      <c r="A1740">
        <v>59667</v>
      </c>
      <c r="B1740">
        <v>116</v>
      </c>
      <c r="C1740" t="s">
        <v>568</v>
      </c>
      <c r="D1740" s="453">
        <v>45962</v>
      </c>
      <c r="E1740">
        <v>18317</v>
      </c>
      <c r="F1740" t="s">
        <v>4045</v>
      </c>
      <c r="G1740">
        <v>3316</v>
      </c>
      <c r="H1740">
        <v>1.4</v>
      </c>
      <c r="I1740" t="s">
        <v>3878</v>
      </c>
      <c r="J1740" t="s">
        <v>3497</v>
      </c>
      <c r="K1740" t="s">
        <v>3733</v>
      </c>
      <c r="L1740">
        <v>0</v>
      </c>
      <c r="M1740" s="453">
        <v>45908</v>
      </c>
      <c r="N1740">
        <v>37.25</v>
      </c>
      <c r="O1740">
        <v>37.25</v>
      </c>
      <c r="P1740">
        <v>52.15</v>
      </c>
    </row>
    <row r="1741" spans="1:16" x14ac:dyDescent="0.3">
      <c r="A1741">
        <v>59549</v>
      </c>
      <c r="B1741">
        <v>116</v>
      </c>
      <c r="C1741" t="s">
        <v>568</v>
      </c>
      <c r="D1741" s="453">
        <v>45962</v>
      </c>
      <c r="E1741">
        <v>19420</v>
      </c>
      <c r="F1741" t="s">
        <v>3899</v>
      </c>
      <c r="G1741">
        <v>2758</v>
      </c>
      <c r="H1741">
        <v>9</v>
      </c>
      <c r="I1741" t="s">
        <v>3872</v>
      </c>
      <c r="J1741" t="s">
        <v>3469</v>
      </c>
      <c r="K1741" t="s">
        <v>3733</v>
      </c>
      <c r="L1741">
        <v>0</v>
      </c>
      <c r="M1741" s="453">
        <v>45845</v>
      </c>
      <c r="N1741">
        <v>5.79</v>
      </c>
      <c r="O1741">
        <v>5.79</v>
      </c>
      <c r="P1741">
        <v>52.11</v>
      </c>
    </row>
    <row r="1742" spans="1:16" x14ac:dyDescent="0.3">
      <c r="A1742">
        <v>59616</v>
      </c>
      <c r="B1742">
        <v>116</v>
      </c>
      <c r="C1742" t="s">
        <v>568</v>
      </c>
      <c r="D1742" s="453">
        <v>45962</v>
      </c>
      <c r="E1742">
        <v>20549</v>
      </c>
      <c r="F1742" t="s">
        <v>4007</v>
      </c>
      <c r="G1742">
        <v>2141</v>
      </c>
      <c r="H1742">
        <v>2.6</v>
      </c>
      <c r="I1742" t="s">
        <v>3892</v>
      </c>
      <c r="J1742" t="s">
        <v>3469</v>
      </c>
      <c r="K1742" t="s">
        <v>3733</v>
      </c>
      <c r="L1742">
        <v>19.989999999999998</v>
      </c>
      <c r="M1742" s="453">
        <v>45955</v>
      </c>
      <c r="N1742">
        <v>19.989999999999998</v>
      </c>
      <c r="O1742">
        <v>19.989999999999998</v>
      </c>
      <c r="P1742">
        <v>51.97</v>
      </c>
    </row>
    <row r="1743" spans="1:16" x14ac:dyDescent="0.3">
      <c r="A1743">
        <v>59706</v>
      </c>
      <c r="B1743">
        <v>116</v>
      </c>
      <c r="C1743" t="s">
        <v>568</v>
      </c>
      <c r="D1743" s="453">
        <v>45962</v>
      </c>
      <c r="E1743">
        <v>18528</v>
      </c>
      <c r="F1743" t="s">
        <v>4108</v>
      </c>
      <c r="G1743">
        <v>3147</v>
      </c>
      <c r="H1743">
        <v>1</v>
      </c>
      <c r="I1743" t="s">
        <v>3878</v>
      </c>
      <c r="J1743" t="s">
        <v>3497</v>
      </c>
      <c r="K1743" t="s">
        <v>3733</v>
      </c>
      <c r="L1743">
        <v>50.96</v>
      </c>
      <c r="M1743" s="453">
        <v>45931</v>
      </c>
      <c r="N1743">
        <v>50.96</v>
      </c>
      <c r="O1743">
        <v>50.96</v>
      </c>
      <c r="P1743">
        <v>50.96</v>
      </c>
    </row>
    <row r="1744" spans="1:16" x14ac:dyDescent="0.3">
      <c r="A1744">
        <v>59638</v>
      </c>
      <c r="B1744">
        <v>116</v>
      </c>
      <c r="C1744" t="s">
        <v>568</v>
      </c>
      <c r="D1744" s="453">
        <v>45962</v>
      </c>
      <c r="E1744">
        <v>23234</v>
      </c>
      <c r="F1744" t="s">
        <v>4018</v>
      </c>
      <c r="G1744">
        <v>2622</v>
      </c>
      <c r="H1744">
        <v>2</v>
      </c>
      <c r="I1744" t="s">
        <v>3892</v>
      </c>
      <c r="J1744" t="s">
        <v>3469</v>
      </c>
      <c r="K1744" t="s">
        <v>3733</v>
      </c>
      <c r="L1744">
        <v>0</v>
      </c>
      <c r="M1744" s="453">
        <v>45925</v>
      </c>
      <c r="N1744">
        <v>25</v>
      </c>
      <c r="O1744">
        <v>22.5</v>
      </c>
      <c r="P1744">
        <v>50</v>
      </c>
    </row>
    <row r="1745" spans="1:16" x14ac:dyDescent="0.3">
      <c r="A1745">
        <v>59645</v>
      </c>
      <c r="B1745">
        <v>116</v>
      </c>
      <c r="C1745" t="s">
        <v>568</v>
      </c>
      <c r="D1745" s="453">
        <v>45962</v>
      </c>
      <c r="E1745">
        <v>18666</v>
      </c>
      <c r="F1745" t="s">
        <v>4003</v>
      </c>
      <c r="G1745">
        <v>3053</v>
      </c>
      <c r="H1745">
        <v>2</v>
      </c>
      <c r="I1745" t="s">
        <v>3892</v>
      </c>
      <c r="J1745" t="s">
        <v>3469</v>
      </c>
      <c r="K1745" t="s">
        <v>3733</v>
      </c>
      <c r="L1745">
        <v>24.49</v>
      </c>
      <c r="M1745" s="453">
        <v>45946</v>
      </c>
      <c r="N1745">
        <v>23.99</v>
      </c>
      <c r="O1745">
        <v>24</v>
      </c>
      <c r="P1745">
        <v>48.98</v>
      </c>
    </row>
    <row r="1746" spans="1:16" x14ac:dyDescent="0.3">
      <c r="A1746">
        <v>59700</v>
      </c>
      <c r="B1746">
        <v>116</v>
      </c>
      <c r="C1746" t="s">
        <v>568</v>
      </c>
      <c r="D1746" s="453">
        <v>45962</v>
      </c>
      <c r="E1746">
        <v>19574</v>
      </c>
      <c r="F1746" t="s">
        <v>4077</v>
      </c>
      <c r="G1746">
        <v>2644</v>
      </c>
      <c r="H1746">
        <v>1</v>
      </c>
      <c r="I1746" t="s">
        <v>3892</v>
      </c>
      <c r="J1746" t="s">
        <v>3469</v>
      </c>
      <c r="K1746" t="s">
        <v>3733</v>
      </c>
      <c r="L1746">
        <v>48</v>
      </c>
      <c r="M1746" s="453">
        <v>45936</v>
      </c>
      <c r="N1746">
        <v>48</v>
      </c>
      <c r="O1746">
        <v>0</v>
      </c>
      <c r="P1746">
        <v>48</v>
      </c>
    </row>
    <row r="1747" spans="1:16" x14ac:dyDescent="0.3">
      <c r="A1747">
        <v>59522</v>
      </c>
      <c r="B1747">
        <v>116</v>
      </c>
      <c r="C1747" t="s">
        <v>568</v>
      </c>
      <c r="D1747" s="453">
        <v>45962</v>
      </c>
      <c r="E1747">
        <v>24467</v>
      </c>
      <c r="F1747" t="s">
        <v>3944</v>
      </c>
      <c r="G1747">
        <v>3673</v>
      </c>
      <c r="H1747">
        <v>24</v>
      </c>
      <c r="I1747" t="s">
        <v>3872</v>
      </c>
      <c r="J1747" t="s">
        <v>3497</v>
      </c>
      <c r="K1747" t="s">
        <v>3733</v>
      </c>
      <c r="L1747">
        <v>0</v>
      </c>
      <c r="M1747" s="453">
        <v>45510</v>
      </c>
      <c r="N1747">
        <v>1.99</v>
      </c>
      <c r="O1747">
        <v>2.19</v>
      </c>
      <c r="P1747">
        <v>47.76</v>
      </c>
    </row>
    <row r="1748" spans="1:16" x14ac:dyDescent="0.3">
      <c r="A1748">
        <v>59699</v>
      </c>
      <c r="B1748">
        <v>116</v>
      </c>
      <c r="C1748" t="s">
        <v>568</v>
      </c>
      <c r="D1748" s="453">
        <v>45962</v>
      </c>
      <c r="E1748">
        <v>19583</v>
      </c>
      <c r="F1748" t="s">
        <v>4076</v>
      </c>
      <c r="G1748">
        <v>2639</v>
      </c>
      <c r="H1748">
        <v>1</v>
      </c>
      <c r="I1748" t="s">
        <v>3892</v>
      </c>
      <c r="J1748" t="s">
        <v>3469</v>
      </c>
      <c r="K1748" t="s">
        <v>3733</v>
      </c>
      <c r="L1748">
        <v>43.75</v>
      </c>
      <c r="M1748" s="453">
        <v>45953</v>
      </c>
      <c r="N1748">
        <v>43.75</v>
      </c>
      <c r="O1748">
        <v>46.4</v>
      </c>
      <c r="P1748">
        <v>43.75</v>
      </c>
    </row>
    <row r="1749" spans="1:16" x14ac:dyDescent="0.3">
      <c r="A1749">
        <v>59718</v>
      </c>
      <c r="B1749">
        <v>116</v>
      </c>
      <c r="C1749" t="s">
        <v>568</v>
      </c>
      <c r="D1749" s="453">
        <v>45962</v>
      </c>
      <c r="E1749">
        <v>20466</v>
      </c>
      <c r="F1749" t="s">
        <v>4098</v>
      </c>
      <c r="G1749">
        <v>2160</v>
      </c>
      <c r="H1749">
        <v>0.65</v>
      </c>
      <c r="I1749" t="s">
        <v>3892</v>
      </c>
      <c r="J1749" t="s">
        <v>3469</v>
      </c>
      <c r="K1749" t="s">
        <v>3733</v>
      </c>
      <c r="L1749">
        <v>0</v>
      </c>
      <c r="M1749" s="453">
        <v>45854</v>
      </c>
      <c r="N1749">
        <v>65</v>
      </c>
      <c r="O1749">
        <v>65</v>
      </c>
      <c r="P1749">
        <v>42.25</v>
      </c>
    </row>
    <row r="1750" spans="1:16" x14ac:dyDescent="0.3">
      <c r="A1750">
        <v>59656</v>
      </c>
      <c r="B1750">
        <v>116</v>
      </c>
      <c r="C1750" t="s">
        <v>568</v>
      </c>
      <c r="D1750" s="453">
        <v>45962</v>
      </c>
      <c r="E1750">
        <v>20287</v>
      </c>
      <c r="F1750" t="s">
        <v>4053</v>
      </c>
      <c r="G1750">
        <v>2229</v>
      </c>
      <c r="H1750">
        <v>1.5</v>
      </c>
      <c r="I1750" t="s">
        <v>3888</v>
      </c>
      <c r="J1750" t="s">
        <v>3469</v>
      </c>
      <c r="K1750" t="s">
        <v>3733</v>
      </c>
      <c r="L1750">
        <v>26.99</v>
      </c>
      <c r="M1750" s="453">
        <v>45937</v>
      </c>
      <c r="N1750">
        <v>26.99</v>
      </c>
      <c r="O1750">
        <v>26.99</v>
      </c>
      <c r="P1750">
        <v>40.479999999999997</v>
      </c>
    </row>
    <row r="1751" spans="1:16" x14ac:dyDescent="0.3">
      <c r="A1751">
        <v>59629</v>
      </c>
      <c r="B1751">
        <v>116</v>
      </c>
      <c r="C1751" t="s">
        <v>568</v>
      </c>
      <c r="D1751" s="453">
        <v>45962</v>
      </c>
      <c r="E1751">
        <v>20234</v>
      </c>
      <c r="F1751" t="s">
        <v>3979</v>
      </c>
      <c r="G1751">
        <v>2245</v>
      </c>
      <c r="H1751">
        <v>2</v>
      </c>
      <c r="I1751" t="s">
        <v>3892</v>
      </c>
      <c r="J1751" t="s">
        <v>3469</v>
      </c>
      <c r="K1751" t="s">
        <v>3733</v>
      </c>
      <c r="L1751">
        <v>19.8</v>
      </c>
      <c r="M1751" s="453">
        <v>45951</v>
      </c>
      <c r="N1751">
        <v>19.8</v>
      </c>
      <c r="O1751">
        <v>19.8</v>
      </c>
      <c r="P1751">
        <v>39.6</v>
      </c>
    </row>
    <row r="1752" spans="1:16" x14ac:dyDescent="0.3">
      <c r="A1752">
        <v>59713</v>
      </c>
      <c r="B1752">
        <v>116</v>
      </c>
      <c r="C1752" t="s">
        <v>568</v>
      </c>
      <c r="D1752" s="453">
        <v>45962</v>
      </c>
      <c r="E1752">
        <v>17897</v>
      </c>
      <c r="F1752" t="s">
        <v>4094</v>
      </c>
      <c r="G1752">
        <v>3664</v>
      </c>
      <c r="H1752">
        <v>1</v>
      </c>
      <c r="I1752" t="s">
        <v>3888</v>
      </c>
      <c r="J1752" t="s">
        <v>3497</v>
      </c>
      <c r="K1752" t="s">
        <v>3733</v>
      </c>
      <c r="L1752">
        <v>38.64</v>
      </c>
      <c r="M1752" s="453">
        <v>45952</v>
      </c>
      <c r="N1752">
        <v>38.64</v>
      </c>
      <c r="O1752">
        <v>38.64</v>
      </c>
      <c r="P1752">
        <v>38.64</v>
      </c>
    </row>
    <row r="1753" spans="1:16" x14ac:dyDescent="0.3">
      <c r="A1753">
        <v>59709</v>
      </c>
      <c r="B1753">
        <v>116</v>
      </c>
      <c r="C1753" t="s">
        <v>568</v>
      </c>
      <c r="D1753" s="453">
        <v>45962</v>
      </c>
      <c r="E1753">
        <v>18341</v>
      </c>
      <c r="F1753" t="s">
        <v>4086</v>
      </c>
      <c r="G1753">
        <v>3293</v>
      </c>
      <c r="H1753">
        <v>1</v>
      </c>
      <c r="I1753" t="s">
        <v>3878</v>
      </c>
      <c r="J1753" t="s">
        <v>3497</v>
      </c>
      <c r="K1753" t="s">
        <v>3733</v>
      </c>
      <c r="L1753">
        <v>0</v>
      </c>
      <c r="N1753">
        <v>0</v>
      </c>
      <c r="O1753">
        <v>50</v>
      </c>
      <c r="P1753">
        <v>38</v>
      </c>
    </row>
    <row r="1754" spans="1:16" x14ac:dyDescent="0.3">
      <c r="A1754">
        <v>59601</v>
      </c>
      <c r="B1754">
        <v>116</v>
      </c>
      <c r="C1754" t="s">
        <v>568</v>
      </c>
      <c r="D1754" s="453">
        <v>45962</v>
      </c>
      <c r="E1754">
        <v>20227</v>
      </c>
      <c r="F1754" t="s">
        <v>3968</v>
      </c>
      <c r="G1754">
        <v>2248</v>
      </c>
      <c r="H1754">
        <v>3.5</v>
      </c>
      <c r="I1754" t="s">
        <v>3888</v>
      </c>
      <c r="J1754" t="s">
        <v>3469</v>
      </c>
      <c r="K1754" t="s">
        <v>3733</v>
      </c>
      <c r="L1754">
        <v>10.69</v>
      </c>
      <c r="M1754" s="453">
        <v>45944</v>
      </c>
      <c r="N1754">
        <v>10.92</v>
      </c>
      <c r="O1754">
        <v>11.08</v>
      </c>
      <c r="P1754">
        <v>37.42</v>
      </c>
    </row>
    <row r="1755" spans="1:16" x14ac:dyDescent="0.3">
      <c r="A1755">
        <v>59697</v>
      </c>
      <c r="B1755">
        <v>116</v>
      </c>
      <c r="C1755" t="s">
        <v>568</v>
      </c>
      <c r="D1755" s="453">
        <v>45962</v>
      </c>
      <c r="E1755">
        <v>19478</v>
      </c>
      <c r="F1755" t="s">
        <v>4072</v>
      </c>
      <c r="G1755">
        <v>2728</v>
      </c>
      <c r="H1755">
        <v>1</v>
      </c>
      <c r="I1755" t="s">
        <v>3892</v>
      </c>
      <c r="J1755" t="s">
        <v>3469</v>
      </c>
      <c r="K1755" t="s">
        <v>3733</v>
      </c>
      <c r="L1755">
        <v>36.979999999999997</v>
      </c>
      <c r="M1755" s="453">
        <v>45950</v>
      </c>
      <c r="N1755">
        <v>36.979999999999997</v>
      </c>
      <c r="O1755">
        <v>62.5</v>
      </c>
      <c r="P1755">
        <v>36.979999999999997</v>
      </c>
    </row>
    <row r="1756" spans="1:16" x14ac:dyDescent="0.3">
      <c r="A1756">
        <v>59512</v>
      </c>
      <c r="B1756">
        <v>116</v>
      </c>
      <c r="C1756" t="s">
        <v>568</v>
      </c>
      <c r="D1756" s="453">
        <v>45962</v>
      </c>
      <c r="E1756">
        <v>23096</v>
      </c>
      <c r="F1756" t="s">
        <v>3876</v>
      </c>
      <c r="G1756">
        <v>2753</v>
      </c>
      <c r="H1756">
        <v>60</v>
      </c>
      <c r="I1756" t="s">
        <v>3872</v>
      </c>
      <c r="J1756" t="s">
        <v>3469</v>
      </c>
      <c r="K1756" t="s">
        <v>3733</v>
      </c>
      <c r="L1756">
        <v>0.61</v>
      </c>
      <c r="M1756" s="453">
        <v>45953</v>
      </c>
      <c r="N1756">
        <v>0.61</v>
      </c>
      <c r="O1756">
        <v>0.62</v>
      </c>
      <c r="P1756">
        <v>36.6</v>
      </c>
    </row>
    <row r="1757" spans="1:16" x14ac:dyDescent="0.3">
      <c r="A1757">
        <v>59539</v>
      </c>
      <c r="B1757">
        <v>116</v>
      </c>
      <c r="C1757" t="s">
        <v>568</v>
      </c>
      <c r="D1757" s="453">
        <v>45962</v>
      </c>
      <c r="E1757">
        <v>19917</v>
      </c>
      <c r="F1757" t="s">
        <v>3920</v>
      </c>
      <c r="G1757">
        <v>2379</v>
      </c>
      <c r="H1757">
        <v>11.5</v>
      </c>
      <c r="I1757" t="s">
        <v>3888</v>
      </c>
      <c r="J1757" t="s">
        <v>3469</v>
      </c>
      <c r="K1757" t="s">
        <v>3733</v>
      </c>
      <c r="L1757">
        <v>0</v>
      </c>
      <c r="M1757" s="453">
        <v>45581</v>
      </c>
      <c r="N1757">
        <v>3.09</v>
      </c>
      <c r="O1757">
        <v>3.35</v>
      </c>
      <c r="P1757">
        <v>35.53</v>
      </c>
    </row>
    <row r="1758" spans="1:16" x14ac:dyDescent="0.3">
      <c r="A1758">
        <v>59619</v>
      </c>
      <c r="B1758">
        <v>116</v>
      </c>
      <c r="C1758" t="s">
        <v>568</v>
      </c>
      <c r="D1758" s="453">
        <v>45962</v>
      </c>
      <c r="E1758">
        <v>20358</v>
      </c>
      <c r="F1758" t="s">
        <v>3952</v>
      </c>
      <c r="G1758">
        <v>2200</v>
      </c>
      <c r="H1758">
        <v>2.5</v>
      </c>
      <c r="I1758" t="s">
        <v>3888</v>
      </c>
      <c r="J1758" t="s">
        <v>3469</v>
      </c>
      <c r="K1758" t="s">
        <v>3733</v>
      </c>
      <c r="L1758">
        <v>14.21</v>
      </c>
      <c r="M1758" s="453">
        <v>45951</v>
      </c>
      <c r="N1758">
        <v>14.3</v>
      </c>
      <c r="O1758">
        <v>14.3</v>
      </c>
      <c r="P1758">
        <v>35.53</v>
      </c>
    </row>
    <row r="1759" spans="1:16" x14ac:dyDescent="0.3">
      <c r="A1759">
        <v>59559</v>
      </c>
      <c r="B1759">
        <v>116</v>
      </c>
      <c r="C1759" t="s">
        <v>568</v>
      </c>
      <c r="D1759" s="453">
        <v>45962</v>
      </c>
      <c r="E1759">
        <v>23359</v>
      </c>
      <c r="F1759" t="s">
        <v>3932</v>
      </c>
      <c r="G1759">
        <v>2499</v>
      </c>
      <c r="H1759">
        <v>7</v>
      </c>
      <c r="I1759" t="s">
        <v>3892</v>
      </c>
      <c r="J1759" t="s">
        <v>3469</v>
      </c>
      <c r="K1759" t="s">
        <v>3733</v>
      </c>
      <c r="L1759">
        <v>5.05</v>
      </c>
      <c r="M1759" s="453">
        <v>45953</v>
      </c>
      <c r="N1759">
        <v>3.75</v>
      </c>
      <c r="O1759">
        <v>3.24</v>
      </c>
      <c r="P1759">
        <v>35.35</v>
      </c>
    </row>
    <row r="1760" spans="1:16" x14ac:dyDescent="0.3">
      <c r="A1760">
        <v>59558</v>
      </c>
      <c r="B1760">
        <v>116</v>
      </c>
      <c r="C1760" t="s">
        <v>568</v>
      </c>
      <c r="D1760" s="453">
        <v>45962</v>
      </c>
      <c r="E1760">
        <v>19787</v>
      </c>
      <c r="F1760" t="s">
        <v>3940</v>
      </c>
      <c r="G1760">
        <v>2471</v>
      </c>
      <c r="H1760">
        <v>7.1</v>
      </c>
      <c r="I1760" t="s">
        <v>3892</v>
      </c>
      <c r="J1760" t="s">
        <v>3469</v>
      </c>
      <c r="K1760" t="s">
        <v>3733</v>
      </c>
      <c r="L1760">
        <v>4.84</v>
      </c>
      <c r="M1760" s="453">
        <v>45953</v>
      </c>
      <c r="N1760">
        <v>4.75</v>
      </c>
      <c r="O1760">
        <v>4.71</v>
      </c>
      <c r="P1760">
        <v>34.36</v>
      </c>
    </row>
    <row r="1761" spans="1:16" x14ac:dyDescent="0.3">
      <c r="A1761">
        <v>59686</v>
      </c>
      <c r="B1761">
        <v>116</v>
      </c>
      <c r="C1761" t="s">
        <v>568</v>
      </c>
      <c r="D1761" s="453">
        <v>45962</v>
      </c>
      <c r="E1761">
        <v>20832</v>
      </c>
      <c r="F1761" t="s">
        <v>4060</v>
      </c>
      <c r="G1761">
        <v>2065</v>
      </c>
      <c r="H1761">
        <v>1</v>
      </c>
      <c r="I1761" t="s">
        <v>3886</v>
      </c>
      <c r="J1761" t="s">
        <v>3469</v>
      </c>
      <c r="K1761" t="s">
        <v>3733</v>
      </c>
      <c r="L1761">
        <v>0</v>
      </c>
      <c r="M1761" s="453">
        <v>45930</v>
      </c>
      <c r="N1761">
        <v>34</v>
      </c>
      <c r="O1761">
        <v>34.200000000000003</v>
      </c>
      <c r="P1761">
        <v>34</v>
      </c>
    </row>
    <row r="1762" spans="1:16" x14ac:dyDescent="0.3">
      <c r="A1762">
        <v>59571</v>
      </c>
      <c r="B1762">
        <v>116</v>
      </c>
      <c r="C1762" t="s">
        <v>568</v>
      </c>
      <c r="D1762" s="453">
        <v>45962</v>
      </c>
      <c r="E1762">
        <v>23389</v>
      </c>
      <c r="F1762" t="s">
        <v>4016</v>
      </c>
      <c r="G1762">
        <v>2475</v>
      </c>
      <c r="H1762">
        <v>5.5</v>
      </c>
      <c r="I1762" t="s">
        <v>3892</v>
      </c>
      <c r="J1762" t="s">
        <v>3469</v>
      </c>
      <c r="K1762" t="s">
        <v>3733</v>
      </c>
      <c r="L1762">
        <v>6.07</v>
      </c>
      <c r="M1762" s="453">
        <v>45953</v>
      </c>
      <c r="N1762">
        <v>6.21</v>
      </c>
      <c r="O1762">
        <v>6.21</v>
      </c>
      <c r="P1762">
        <v>33.39</v>
      </c>
    </row>
    <row r="1763" spans="1:16" x14ac:dyDescent="0.3">
      <c r="A1763">
        <v>59704</v>
      </c>
      <c r="B1763">
        <v>116</v>
      </c>
      <c r="C1763" t="s">
        <v>568</v>
      </c>
      <c r="D1763" s="453">
        <v>45962</v>
      </c>
      <c r="E1763">
        <v>19405</v>
      </c>
      <c r="F1763" t="s">
        <v>4097</v>
      </c>
      <c r="G1763">
        <v>2761</v>
      </c>
      <c r="H1763">
        <v>1</v>
      </c>
      <c r="I1763" t="s">
        <v>3892</v>
      </c>
      <c r="J1763" t="s">
        <v>3469</v>
      </c>
      <c r="K1763" t="s">
        <v>3733</v>
      </c>
      <c r="L1763">
        <v>0</v>
      </c>
      <c r="M1763" s="453">
        <v>45930</v>
      </c>
      <c r="N1763">
        <v>32.82</v>
      </c>
      <c r="O1763">
        <v>146.9</v>
      </c>
      <c r="P1763">
        <v>32.82</v>
      </c>
    </row>
    <row r="1764" spans="1:16" x14ac:dyDescent="0.3">
      <c r="A1764">
        <v>59593</v>
      </c>
      <c r="B1764">
        <v>116</v>
      </c>
      <c r="C1764" t="s">
        <v>568</v>
      </c>
      <c r="D1764" s="453">
        <v>45962</v>
      </c>
      <c r="E1764">
        <v>20949</v>
      </c>
      <c r="F1764" t="s">
        <v>3983</v>
      </c>
      <c r="G1764">
        <v>2023</v>
      </c>
      <c r="H1764">
        <v>4</v>
      </c>
      <c r="I1764" t="s">
        <v>3878</v>
      </c>
      <c r="J1764" t="s">
        <v>3469</v>
      </c>
      <c r="K1764" t="s">
        <v>3733</v>
      </c>
      <c r="L1764">
        <v>8.18</v>
      </c>
      <c r="M1764" s="453">
        <v>45944</v>
      </c>
      <c r="N1764">
        <v>8.18</v>
      </c>
      <c r="O1764">
        <v>8.18</v>
      </c>
      <c r="P1764">
        <v>32.72</v>
      </c>
    </row>
    <row r="1765" spans="1:16" x14ac:dyDescent="0.3">
      <c r="A1765">
        <v>59632</v>
      </c>
      <c r="B1765">
        <v>116</v>
      </c>
      <c r="C1765" t="s">
        <v>568</v>
      </c>
      <c r="D1765" s="453">
        <v>45962</v>
      </c>
      <c r="E1765">
        <v>19979</v>
      </c>
      <c r="F1765" t="s">
        <v>4295</v>
      </c>
      <c r="G1765">
        <v>2353</v>
      </c>
      <c r="H1765">
        <v>2</v>
      </c>
      <c r="I1765" t="s">
        <v>3931</v>
      </c>
      <c r="J1765" t="s">
        <v>3469</v>
      </c>
      <c r="K1765" t="s">
        <v>3733</v>
      </c>
      <c r="L1765">
        <v>0</v>
      </c>
      <c r="M1765" s="453">
        <v>45790</v>
      </c>
      <c r="N1765">
        <v>16</v>
      </c>
      <c r="O1765">
        <v>19.170000000000002</v>
      </c>
      <c r="P1765">
        <v>32</v>
      </c>
    </row>
    <row r="1766" spans="1:16" x14ac:dyDescent="0.3">
      <c r="A1766">
        <v>59693</v>
      </c>
      <c r="B1766">
        <v>116</v>
      </c>
      <c r="C1766" t="s">
        <v>568</v>
      </c>
      <c r="D1766" s="453">
        <v>45962</v>
      </c>
      <c r="E1766">
        <v>19765</v>
      </c>
      <c r="F1766" t="s">
        <v>4071</v>
      </c>
      <c r="G1766">
        <v>2488</v>
      </c>
      <c r="H1766">
        <v>1</v>
      </c>
      <c r="I1766" t="s">
        <v>3892</v>
      </c>
      <c r="J1766" t="s">
        <v>3469</v>
      </c>
      <c r="K1766" t="s">
        <v>3733</v>
      </c>
      <c r="L1766">
        <v>32</v>
      </c>
      <c r="M1766" s="453">
        <v>45943</v>
      </c>
      <c r="N1766">
        <v>32</v>
      </c>
      <c r="O1766">
        <v>26</v>
      </c>
      <c r="P1766">
        <v>32</v>
      </c>
    </row>
    <row r="1767" spans="1:16" x14ac:dyDescent="0.3">
      <c r="A1767">
        <v>59685</v>
      </c>
      <c r="B1767">
        <v>116</v>
      </c>
      <c r="C1767" t="s">
        <v>568</v>
      </c>
      <c r="D1767" s="453">
        <v>45962</v>
      </c>
      <c r="E1767">
        <v>20213</v>
      </c>
      <c r="F1767" t="s">
        <v>4059</v>
      </c>
      <c r="G1767">
        <v>2251</v>
      </c>
      <c r="H1767">
        <v>1</v>
      </c>
      <c r="I1767" t="s">
        <v>3888</v>
      </c>
      <c r="J1767" t="s">
        <v>3469</v>
      </c>
      <c r="K1767" t="s">
        <v>3733</v>
      </c>
      <c r="L1767">
        <v>0</v>
      </c>
      <c r="M1767" s="453">
        <v>45818</v>
      </c>
      <c r="N1767">
        <v>31.62</v>
      </c>
      <c r="O1767">
        <v>32.26</v>
      </c>
      <c r="P1767">
        <v>31.62</v>
      </c>
    </row>
    <row r="1768" spans="1:16" x14ac:dyDescent="0.3">
      <c r="A1768">
        <v>59641</v>
      </c>
      <c r="B1768">
        <v>116</v>
      </c>
      <c r="C1768" t="s">
        <v>568</v>
      </c>
      <c r="D1768" s="453">
        <v>45962</v>
      </c>
      <c r="E1768">
        <v>19576</v>
      </c>
      <c r="F1768" t="s">
        <v>4021</v>
      </c>
      <c r="G1768">
        <v>2642</v>
      </c>
      <c r="H1768">
        <v>2</v>
      </c>
      <c r="I1768" t="s">
        <v>3892</v>
      </c>
      <c r="J1768" t="s">
        <v>3469</v>
      </c>
      <c r="K1768" t="s">
        <v>3733</v>
      </c>
      <c r="L1768">
        <v>15</v>
      </c>
      <c r="M1768" s="453">
        <v>45936</v>
      </c>
      <c r="N1768">
        <v>15</v>
      </c>
      <c r="O1768">
        <v>15</v>
      </c>
      <c r="P1768">
        <v>30</v>
      </c>
    </row>
    <row r="1769" spans="1:16" x14ac:dyDescent="0.3">
      <c r="A1769">
        <v>59678</v>
      </c>
      <c r="B1769">
        <v>116</v>
      </c>
      <c r="C1769" t="s">
        <v>568</v>
      </c>
      <c r="D1769" s="453">
        <v>45962</v>
      </c>
      <c r="E1769">
        <v>21078</v>
      </c>
      <c r="F1769" t="s">
        <v>4049</v>
      </c>
      <c r="G1769">
        <v>1991</v>
      </c>
      <c r="H1769">
        <v>1</v>
      </c>
      <c r="I1769" t="s">
        <v>3881</v>
      </c>
      <c r="J1769" t="s">
        <v>3469</v>
      </c>
      <c r="K1769" t="s">
        <v>3733</v>
      </c>
      <c r="L1769">
        <v>0</v>
      </c>
      <c r="N1769">
        <v>0</v>
      </c>
      <c r="O1769">
        <v>47.86</v>
      </c>
      <c r="P1769">
        <v>29.9</v>
      </c>
    </row>
    <row r="1770" spans="1:16" x14ac:dyDescent="0.3">
      <c r="A1770">
        <v>59708</v>
      </c>
      <c r="B1770">
        <v>116</v>
      </c>
      <c r="C1770" t="s">
        <v>568</v>
      </c>
      <c r="D1770" s="453">
        <v>45962</v>
      </c>
      <c r="E1770">
        <v>18395</v>
      </c>
      <c r="F1770" t="s">
        <v>4085</v>
      </c>
      <c r="G1770">
        <v>3245</v>
      </c>
      <c r="H1770">
        <v>1</v>
      </c>
      <c r="I1770" t="s">
        <v>3878</v>
      </c>
      <c r="J1770" t="s">
        <v>3497</v>
      </c>
      <c r="K1770" t="s">
        <v>3733</v>
      </c>
      <c r="L1770">
        <v>0</v>
      </c>
      <c r="M1770" s="453">
        <v>45845</v>
      </c>
      <c r="N1770">
        <v>29.43</v>
      </c>
      <c r="O1770">
        <v>30</v>
      </c>
      <c r="P1770">
        <v>29.43</v>
      </c>
    </row>
    <row r="1771" spans="1:16" x14ac:dyDescent="0.3">
      <c r="A1771">
        <v>59564</v>
      </c>
      <c r="B1771">
        <v>116</v>
      </c>
      <c r="C1771" t="s">
        <v>568</v>
      </c>
      <c r="D1771" s="453">
        <v>45962</v>
      </c>
      <c r="E1771">
        <v>20359</v>
      </c>
      <c r="F1771" t="s">
        <v>3917</v>
      </c>
      <c r="G1771">
        <v>2199</v>
      </c>
      <c r="H1771">
        <v>6</v>
      </c>
      <c r="I1771" t="s">
        <v>3872</v>
      </c>
      <c r="J1771" t="s">
        <v>3469</v>
      </c>
      <c r="K1771" t="s">
        <v>3733</v>
      </c>
      <c r="L1771">
        <v>0</v>
      </c>
      <c r="M1771" s="453">
        <v>45845</v>
      </c>
      <c r="N1771">
        <v>4.76</v>
      </c>
      <c r="O1771">
        <v>4.8</v>
      </c>
      <c r="P1771">
        <v>28.56</v>
      </c>
    </row>
    <row r="1772" spans="1:16" x14ac:dyDescent="0.3">
      <c r="A1772">
        <v>59598</v>
      </c>
      <c r="B1772">
        <v>116</v>
      </c>
      <c r="C1772" t="s">
        <v>568</v>
      </c>
      <c r="D1772" s="453">
        <v>45962</v>
      </c>
      <c r="E1772">
        <v>24002</v>
      </c>
      <c r="F1772" t="s">
        <v>3924</v>
      </c>
      <c r="G1772">
        <v>3614</v>
      </c>
      <c r="H1772">
        <v>4</v>
      </c>
      <c r="I1772" t="s">
        <v>3872</v>
      </c>
      <c r="J1772" t="s">
        <v>3497</v>
      </c>
      <c r="K1772" t="s">
        <v>3733</v>
      </c>
      <c r="L1772">
        <v>7</v>
      </c>
      <c r="M1772" s="453">
        <v>45937</v>
      </c>
      <c r="N1772">
        <v>7</v>
      </c>
      <c r="O1772">
        <v>7</v>
      </c>
      <c r="P1772">
        <v>28</v>
      </c>
    </row>
    <row r="1773" spans="1:16" x14ac:dyDescent="0.3">
      <c r="A1773">
        <v>59591</v>
      </c>
      <c r="B1773">
        <v>116</v>
      </c>
      <c r="C1773" t="s">
        <v>568</v>
      </c>
      <c r="D1773" s="453">
        <v>45962</v>
      </c>
      <c r="E1773">
        <v>20326</v>
      </c>
      <c r="F1773" t="s">
        <v>3953</v>
      </c>
      <c r="G1773">
        <v>2211</v>
      </c>
      <c r="H1773">
        <v>4</v>
      </c>
      <c r="I1773" t="s">
        <v>3892</v>
      </c>
      <c r="J1773" t="s">
        <v>3469</v>
      </c>
      <c r="K1773" t="s">
        <v>3733</v>
      </c>
      <c r="L1773">
        <v>0</v>
      </c>
      <c r="M1773" s="453">
        <v>45901</v>
      </c>
      <c r="N1773">
        <v>6.99</v>
      </c>
      <c r="O1773">
        <v>6.95</v>
      </c>
      <c r="P1773">
        <v>27.96</v>
      </c>
    </row>
    <row r="1774" spans="1:16" x14ac:dyDescent="0.3">
      <c r="A1774">
        <v>59687</v>
      </c>
      <c r="B1774">
        <v>116</v>
      </c>
      <c r="C1774" t="s">
        <v>568</v>
      </c>
      <c r="D1774" s="453">
        <v>45962</v>
      </c>
      <c r="E1774">
        <v>23503</v>
      </c>
      <c r="F1774" t="s">
        <v>4041</v>
      </c>
      <c r="G1774">
        <v>2366</v>
      </c>
      <c r="H1774">
        <v>1</v>
      </c>
      <c r="I1774" t="s">
        <v>3892</v>
      </c>
      <c r="J1774" t="s">
        <v>3469</v>
      </c>
      <c r="K1774" t="s">
        <v>3733</v>
      </c>
      <c r="L1774">
        <v>26.9</v>
      </c>
      <c r="M1774" s="453">
        <v>45951</v>
      </c>
      <c r="N1774">
        <v>23.9</v>
      </c>
      <c r="O1774">
        <v>20.7</v>
      </c>
      <c r="P1774">
        <v>26.9</v>
      </c>
    </row>
    <row r="1775" spans="1:16" x14ac:dyDescent="0.3">
      <c r="A1775">
        <v>59690</v>
      </c>
      <c r="B1775">
        <v>116</v>
      </c>
      <c r="C1775" t="s">
        <v>568</v>
      </c>
      <c r="D1775" s="453">
        <v>45962</v>
      </c>
      <c r="E1775">
        <v>20610</v>
      </c>
      <c r="F1775" t="s">
        <v>4064</v>
      </c>
      <c r="G1775">
        <v>2120</v>
      </c>
      <c r="H1775">
        <v>1</v>
      </c>
      <c r="I1775" t="s">
        <v>3884</v>
      </c>
      <c r="J1775" t="s">
        <v>3469</v>
      </c>
      <c r="K1775" t="s">
        <v>3733</v>
      </c>
      <c r="L1775">
        <v>0</v>
      </c>
      <c r="M1775" s="453">
        <v>45770</v>
      </c>
      <c r="N1775">
        <v>26.9</v>
      </c>
      <c r="O1775">
        <v>25.88</v>
      </c>
      <c r="P1775">
        <v>26.9</v>
      </c>
    </row>
    <row r="1776" spans="1:16" x14ac:dyDescent="0.3">
      <c r="A1776">
        <v>59684</v>
      </c>
      <c r="B1776">
        <v>116</v>
      </c>
      <c r="C1776" t="s">
        <v>568</v>
      </c>
      <c r="D1776" s="453">
        <v>45962</v>
      </c>
      <c r="E1776">
        <v>20395</v>
      </c>
      <c r="F1776" t="s">
        <v>4057</v>
      </c>
      <c r="G1776">
        <v>2192</v>
      </c>
      <c r="H1776">
        <v>1</v>
      </c>
      <c r="I1776" t="s">
        <v>3872</v>
      </c>
      <c r="J1776" t="s">
        <v>3469</v>
      </c>
      <c r="K1776" t="s">
        <v>3733</v>
      </c>
      <c r="L1776">
        <v>26.81</v>
      </c>
      <c r="M1776" s="453">
        <v>45944</v>
      </c>
      <c r="N1776">
        <v>26.81</v>
      </c>
      <c r="O1776">
        <v>26.81</v>
      </c>
      <c r="P1776">
        <v>26.81</v>
      </c>
    </row>
    <row r="1777" spans="1:16" x14ac:dyDescent="0.3">
      <c r="A1777">
        <v>59590</v>
      </c>
      <c r="B1777">
        <v>116</v>
      </c>
      <c r="C1777" t="s">
        <v>568</v>
      </c>
      <c r="D1777" s="453">
        <v>45962</v>
      </c>
      <c r="E1777">
        <v>20246</v>
      </c>
      <c r="F1777" t="s">
        <v>3911</v>
      </c>
      <c r="G1777">
        <v>2242</v>
      </c>
      <c r="H1777">
        <v>4</v>
      </c>
      <c r="I1777" t="s">
        <v>3872</v>
      </c>
      <c r="J1777" t="s">
        <v>3469</v>
      </c>
      <c r="K1777" t="s">
        <v>3733</v>
      </c>
      <c r="L1777">
        <v>6.67</v>
      </c>
      <c r="M1777" s="453">
        <v>45937</v>
      </c>
      <c r="N1777">
        <v>6.67</v>
      </c>
      <c r="O1777">
        <v>6.89</v>
      </c>
      <c r="P1777">
        <v>26.68</v>
      </c>
    </row>
    <row r="1778" spans="1:16" x14ac:dyDescent="0.3">
      <c r="A1778">
        <v>59648</v>
      </c>
      <c r="B1778">
        <v>116</v>
      </c>
      <c r="C1778" t="s">
        <v>568</v>
      </c>
      <c r="D1778" s="453">
        <v>45962</v>
      </c>
      <c r="E1778">
        <v>17942</v>
      </c>
      <c r="F1778" t="s">
        <v>4035</v>
      </c>
      <c r="G1778">
        <v>3630</v>
      </c>
      <c r="H1778">
        <v>2</v>
      </c>
      <c r="I1778" t="s">
        <v>3872</v>
      </c>
      <c r="J1778" t="s">
        <v>3497</v>
      </c>
      <c r="K1778" t="s">
        <v>3733</v>
      </c>
      <c r="L1778">
        <v>0</v>
      </c>
      <c r="M1778" s="453">
        <v>45803</v>
      </c>
      <c r="N1778">
        <v>13</v>
      </c>
      <c r="O1778">
        <v>13</v>
      </c>
      <c r="P1778">
        <v>26</v>
      </c>
    </row>
    <row r="1779" spans="1:16" x14ac:dyDescent="0.3">
      <c r="A1779">
        <v>59642</v>
      </c>
      <c r="B1779">
        <v>116</v>
      </c>
      <c r="C1779" t="s">
        <v>568</v>
      </c>
      <c r="D1779" s="453">
        <v>45962</v>
      </c>
      <c r="E1779">
        <v>19672</v>
      </c>
      <c r="F1779" t="s">
        <v>4024</v>
      </c>
      <c r="G1779">
        <v>2567</v>
      </c>
      <c r="H1779">
        <v>2</v>
      </c>
      <c r="I1779" t="s">
        <v>3892</v>
      </c>
      <c r="J1779" t="s">
        <v>3469</v>
      </c>
      <c r="K1779" t="s">
        <v>3733</v>
      </c>
      <c r="L1779">
        <v>12.7</v>
      </c>
      <c r="M1779" s="453">
        <v>45953</v>
      </c>
      <c r="N1779">
        <v>13.75</v>
      </c>
      <c r="O1779">
        <v>18.96</v>
      </c>
      <c r="P1779">
        <v>25.4</v>
      </c>
    </row>
    <row r="1780" spans="1:16" x14ac:dyDescent="0.3">
      <c r="A1780">
        <v>59644</v>
      </c>
      <c r="B1780">
        <v>116</v>
      </c>
      <c r="C1780" t="s">
        <v>568</v>
      </c>
      <c r="D1780" s="453">
        <v>45962</v>
      </c>
      <c r="E1780">
        <v>24403</v>
      </c>
      <c r="F1780" t="s">
        <v>3992</v>
      </c>
      <c r="G1780">
        <v>3049</v>
      </c>
      <c r="H1780">
        <v>2</v>
      </c>
      <c r="I1780" t="s">
        <v>3892</v>
      </c>
      <c r="J1780" t="s">
        <v>3469</v>
      </c>
      <c r="K1780" t="s">
        <v>3733</v>
      </c>
      <c r="L1780">
        <v>12.5</v>
      </c>
      <c r="M1780" s="453">
        <v>45943</v>
      </c>
      <c r="N1780">
        <v>12.5</v>
      </c>
      <c r="O1780">
        <v>12</v>
      </c>
      <c r="P1780">
        <v>25</v>
      </c>
    </row>
    <row r="1781" spans="1:16" x14ac:dyDescent="0.3">
      <c r="A1781">
        <v>59695</v>
      </c>
      <c r="B1781">
        <v>116</v>
      </c>
      <c r="C1781" t="s">
        <v>568</v>
      </c>
      <c r="D1781" s="453">
        <v>45962</v>
      </c>
      <c r="E1781">
        <v>23365</v>
      </c>
      <c r="F1781" t="s">
        <v>4236</v>
      </c>
      <c r="G1781">
        <v>2493</v>
      </c>
      <c r="H1781">
        <v>1</v>
      </c>
      <c r="I1781" t="s">
        <v>3892</v>
      </c>
      <c r="J1781" t="s">
        <v>3469</v>
      </c>
      <c r="K1781" t="s">
        <v>3733</v>
      </c>
      <c r="L1781">
        <v>0</v>
      </c>
      <c r="M1781" s="453">
        <v>45904</v>
      </c>
      <c r="N1781">
        <v>24.32</v>
      </c>
      <c r="O1781">
        <v>30.36</v>
      </c>
      <c r="P1781">
        <v>24.32</v>
      </c>
    </row>
    <row r="1782" spans="1:16" x14ac:dyDescent="0.3">
      <c r="A1782">
        <v>59636</v>
      </c>
      <c r="B1782">
        <v>116</v>
      </c>
      <c r="C1782" t="s">
        <v>568</v>
      </c>
      <c r="D1782" s="453">
        <v>45962</v>
      </c>
      <c r="E1782">
        <v>19494</v>
      </c>
      <c r="F1782" t="s">
        <v>4126</v>
      </c>
      <c r="G1782">
        <v>2716</v>
      </c>
      <c r="H1782">
        <v>2</v>
      </c>
      <c r="I1782" t="s">
        <v>3892</v>
      </c>
      <c r="J1782" t="s">
        <v>3469</v>
      </c>
      <c r="K1782" t="s">
        <v>3733</v>
      </c>
      <c r="L1782">
        <v>12</v>
      </c>
      <c r="M1782" s="453">
        <v>45950</v>
      </c>
      <c r="N1782">
        <v>12</v>
      </c>
      <c r="O1782">
        <v>12</v>
      </c>
      <c r="P1782">
        <v>24</v>
      </c>
    </row>
    <row r="1783" spans="1:16" x14ac:dyDescent="0.3">
      <c r="A1783">
        <v>59658</v>
      </c>
      <c r="B1783">
        <v>116</v>
      </c>
      <c r="C1783" t="s">
        <v>568</v>
      </c>
      <c r="D1783" s="453">
        <v>45962</v>
      </c>
      <c r="E1783">
        <v>24364</v>
      </c>
      <c r="F1783" t="s">
        <v>4061</v>
      </c>
      <c r="G1783">
        <v>2043</v>
      </c>
      <c r="H1783">
        <v>1.5</v>
      </c>
      <c r="I1783" t="s">
        <v>3892</v>
      </c>
      <c r="J1783" t="s">
        <v>3469</v>
      </c>
      <c r="K1783" t="s">
        <v>3733</v>
      </c>
      <c r="L1783">
        <v>15.8</v>
      </c>
      <c r="M1783" s="453">
        <v>45933</v>
      </c>
      <c r="N1783">
        <v>15.8</v>
      </c>
      <c r="O1783">
        <v>15.9</v>
      </c>
      <c r="P1783">
        <v>23.7</v>
      </c>
    </row>
    <row r="1784" spans="1:16" x14ac:dyDescent="0.3">
      <c r="A1784">
        <v>59714</v>
      </c>
      <c r="B1784">
        <v>116</v>
      </c>
      <c r="C1784" t="s">
        <v>568</v>
      </c>
      <c r="D1784" s="453">
        <v>45962</v>
      </c>
      <c r="E1784">
        <v>17878</v>
      </c>
      <c r="F1784" t="s">
        <v>4096</v>
      </c>
      <c r="G1784">
        <v>3677</v>
      </c>
      <c r="H1784">
        <v>1</v>
      </c>
      <c r="I1784" t="s">
        <v>3872</v>
      </c>
      <c r="J1784" t="s">
        <v>3497</v>
      </c>
      <c r="K1784" t="s">
        <v>3733</v>
      </c>
      <c r="L1784">
        <v>0</v>
      </c>
      <c r="M1784" s="453">
        <v>45930</v>
      </c>
      <c r="N1784">
        <v>23.46</v>
      </c>
      <c r="O1784">
        <v>1.45</v>
      </c>
      <c r="P1784">
        <v>23.46</v>
      </c>
    </row>
    <row r="1785" spans="1:16" x14ac:dyDescent="0.3">
      <c r="A1785">
        <v>59587</v>
      </c>
      <c r="B1785">
        <v>116</v>
      </c>
      <c r="C1785" t="s">
        <v>568</v>
      </c>
      <c r="D1785" s="453">
        <v>45962</v>
      </c>
      <c r="E1785">
        <v>23236</v>
      </c>
      <c r="F1785" t="s">
        <v>4017</v>
      </c>
      <c r="G1785">
        <v>2620</v>
      </c>
      <c r="H1785">
        <v>4.2</v>
      </c>
      <c r="I1785" t="s">
        <v>3892</v>
      </c>
      <c r="J1785" t="s">
        <v>3469</v>
      </c>
      <c r="K1785" t="s">
        <v>3733</v>
      </c>
      <c r="L1785">
        <v>5.48</v>
      </c>
      <c r="M1785" s="453">
        <v>45953</v>
      </c>
      <c r="N1785">
        <v>5.5</v>
      </c>
      <c r="O1785">
        <v>4.8</v>
      </c>
      <c r="P1785">
        <v>23.02</v>
      </c>
    </row>
    <row r="1786" spans="1:16" x14ac:dyDescent="0.3">
      <c r="A1786">
        <v>59689</v>
      </c>
      <c r="B1786">
        <v>116</v>
      </c>
      <c r="C1786" t="s">
        <v>568</v>
      </c>
      <c r="D1786" s="453">
        <v>45962</v>
      </c>
      <c r="E1786">
        <v>19902</v>
      </c>
      <c r="F1786" t="s">
        <v>3909</v>
      </c>
      <c r="G1786">
        <v>2382</v>
      </c>
      <c r="H1786">
        <v>1</v>
      </c>
      <c r="I1786" t="s">
        <v>3881</v>
      </c>
      <c r="J1786" t="s">
        <v>3469</v>
      </c>
      <c r="K1786" t="s">
        <v>3733</v>
      </c>
      <c r="L1786">
        <v>0</v>
      </c>
      <c r="M1786" s="453">
        <v>45881</v>
      </c>
      <c r="N1786">
        <v>22.9</v>
      </c>
      <c r="O1786">
        <v>23</v>
      </c>
      <c r="P1786">
        <v>22.9</v>
      </c>
    </row>
    <row r="1787" spans="1:16" x14ac:dyDescent="0.3">
      <c r="A1787">
        <v>59659</v>
      </c>
      <c r="B1787">
        <v>116</v>
      </c>
      <c r="C1787" t="s">
        <v>568</v>
      </c>
      <c r="D1787" s="453">
        <v>45962</v>
      </c>
      <c r="E1787">
        <v>19973</v>
      </c>
      <c r="F1787" t="s">
        <v>3981</v>
      </c>
      <c r="G1787">
        <v>2354</v>
      </c>
      <c r="H1787">
        <v>1.5</v>
      </c>
      <c r="I1787" t="s">
        <v>3872</v>
      </c>
      <c r="J1787" t="s">
        <v>3469</v>
      </c>
      <c r="K1787" t="s">
        <v>3733</v>
      </c>
      <c r="L1787">
        <v>0</v>
      </c>
      <c r="M1787" s="453">
        <v>45923</v>
      </c>
      <c r="N1787">
        <v>15.2</v>
      </c>
      <c r="O1787">
        <v>15.2</v>
      </c>
      <c r="P1787">
        <v>22.8</v>
      </c>
    </row>
    <row r="1788" spans="1:16" x14ac:dyDescent="0.3">
      <c r="A1788">
        <v>59596</v>
      </c>
      <c r="B1788">
        <v>116</v>
      </c>
      <c r="C1788" t="s">
        <v>568</v>
      </c>
      <c r="D1788" s="453">
        <v>45962</v>
      </c>
      <c r="E1788">
        <v>23186</v>
      </c>
      <c r="F1788" t="s">
        <v>3988</v>
      </c>
      <c r="G1788">
        <v>2668</v>
      </c>
      <c r="H1788">
        <v>4</v>
      </c>
      <c r="I1788" t="s">
        <v>3892</v>
      </c>
      <c r="J1788" t="s">
        <v>3469</v>
      </c>
      <c r="K1788" t="s">
        <v>3733</v>
      </c>
      <c r="L1788">
        <v>5.56</v>
      </c>
      <c r="M1788" s="453">
        <v>45943</v>
      </c>
      <c r="N1788">
        <v>5.56</v>
      </c>
      <c r="O1788">
        <v>5</v>
      </c>
      <c r="P1788">
        <v>22.24</v>
      </c>
    </row>
    <row r="1789" spans="1:16" x14ac:dyDescent="0.3">
      <c r="A1789">
        <v>59640</v>
      </c>
      <c r="B1789">
        <v>116</v>
      </c>
      <c r="C1789" t="s">
        <v>568</v>
      </c>
      <c r="D1789" s="453">
        <v>45962</v>
      </c>
      <c r="E1789">
        <v>19689</v>
      </c>
      <c r="F1789" t="s">
        <v>4073</v>
      </c>
      <c r="G1789">
        <v>2551</v>
      </c>
      <c r="H1789">
        <v>2</v>
      </c>
      <c r="I1789" t="s">
        <v>3892</v>
      </c>
      <c r="J1789" t="s">
        <v>3469</v>
      </c>
      <c r="K1789" t="s">
        <v>3733</v>
      </c>
      <c r="L1789">
        <v>10.87</v>
      </c>
      <c r="M1789" s="453">
        <v>45943</v>
      </c>
      <c r="N1789">
        <v>10.87</v>
      </c>
      <c r="O1789">
        <v>10.87</v>
      </c>
      <c r="P1789">
        <v>21.74</v>
      </c>
    </row>
    <row r="1790" spans="1:16" x14ac:dyDescent="0.3">
      <c r="A1790">
        <v>59691</v>
      </c>
      <c r="B1790">
        <v>116</v>
      </c>
      <c r="C1790" t="s">
        <v>568</v>
      </c>
      <c r="D1790" s="453">
        <v>45962</v>
      </c>
      <c r="E1790">
        <v>19652</v>
      </c>
      <c r="F1790" t="s">
        <v>4014</v>
      </c>
      <c r="G1790">
        <v>2587</v>
      </c>
      <c r="H1790">
        <v>1</v>
      </c>
      <c r="I1790" t="s">
        <v>3892</v>
      </c>
      <c r="J1790" t="s">
        <v>3469</v>
      </c>
      <c r="K1790" t="s">
        <v>3733</v>
      </c>
      <c r="L1790">
        <v>21.24</v>
      </c>
      <c r="M1790" s="453">
        <v>45946</v>
      </c>
      <c r="N1790">
        <v>21.24</v>
      </c>
      <c r="O1790">
        <v>25</v>
      </c>
      <c r="P1790">
        <v>21.24</v>
      </c>
    </row>
    <row r="1791" spans="1:16" x14ac:dyDescent="0.3">
      <c r="A1791">
        <v>59633</v>
      </c>
      <c r="B1791">
        <v>116</v>
      </c>
      <c r="C1791" t="s">
        <v>568</v>
      </c>
      <c r="D1791" s="453">
        <v>45962</v>
      </c>
      <c r="E1791">
        <v>25768</v>
      </c>
      <c r="F1791" t="s">
        <v>4012</v>
      </c>
      <c r="G1791">
        <v>6317</v>
      </c>
      <c r="H1791">
        <v>2</v>
      </c>
      <c r="I1791" t="s">
        <v>3892</v>
      </c>
      <c r="J1791" t="s">
        <v>3469</v>
      </c>
      <c r="K1791" t="s">
        <v>3733</v>
      </c>
      <c r="L1791">
        <v>10.199999999999999</v>
      </c>
      <c r="M1791" s="453">
        <v>45937</v>
      </c>
      <c r="N1791">
        <v>10.199999999999999</v>
      </c>
      <c r="O1791">
        <v>6.9</v>
      </c>
      <c r="P1791">
        <v>20.399999999999999</v>
      </c>
    </row>
    <row r="1792" spans="1:16" x14ac:dyDescent="0.3">
      <c r="A1792">
        <v>59680</v>
      </c>
      <c r="B1792">
        <v>116</v>
      </c>
      <c r="C1792" t="s">
        <v>568</v>
      </c>
      <c r="D1792" s="453">
        <v>45962</v>
      </c>
      <c r="E1792">
        <v>20429</v>
      </c>
      <c r="F1792" t="s">
        <v>4051</v>
      </c>
      <c r="G1792">
        <v>2184</v>
      </c>
      <c r="H1792">
        <v>1</v>
      </c>
      <c r="I1792" t="s">
        <v>3872</v>
      </c>
      <c r="J1792" t="s">
        <v>3469</v>
      </c>
      <c r="K1792" t="s">
        <v>3733</v>
      </c>
      <c r="L1792">
        <v>19.8</v>
      </c>
      <c r="M1792" s="453">
        <v>45944</v>
      </c>
      <c r="N1792">
        <v>19.8</v>
      </c>
      <c r="O1792">
        <v>19.8</v>
      </c>
      <c r="P1792">
        <v>19.8</v>
      </c>
    </row>
    <row r="1793" spans="1:16" x14ac:dyDescent="0.3">
      <c r="A1793">
        <v>59703</v>
      </c>
      <c r="B1793">
        <v>116</v>
      </c>
      <c r="C1793" t="s">
        <v>568</v>
      </c>
      <c r="D1793" s="453">
        <v>45962</v>
      </c>
      <c r="E1793">
        <v>19710</v>
      </c>
      <c r="F1793" t="s">
        <v>4106</v>
      </c>
      <c r="G1793">
        <v>2540</v>
      </c>
      <c r="H1793">
        <v>1</v>
      </c>
      <c r="I1793" t="s">
        <v>3888</v>
      </c>
      <c r="J1793" t="s">
        <v>3469</v>
      </c>
      <c r="K1793" t="s">
        <v>3733</v>
      </c>
      <c r="L1793">
        <v>19.8</v>
      </c>
      <c r="M1793" s="453">
        <v>45933</v>
      </c>
      <c r="N1793">
        <v>19.8</v>
      </c>
      <c r="O1793">
        <v>22.3</v>
      </c>
      <c r="P1793">
        <v>19.8</v>
      </c>
    </row>
    <row r="1794" spans="1:16" x14ac:dyDescent="0.3">
      <c r="A1794">
        <v>59661</v>
      </c>
      <c r="B1794">
        <v>116</v>
      </c>
      <c r="C1794" t="s">
        <v>568</v>
      </c>
      <c r="D1794" s="453">
        <v>45962</v>
      </c>
      <c r="E1794">
        <v>25769</v>
      </c>
      <c r="F1794" t="s">
        <v>4013</v>
      </c>
      <c r="G1794">
        <v>6318</v>
      </c>
      <c r="H1794">
        <v>1.5</v>
      </c>
      <c r="I1794" t="s">
        <v>3892</v>
      </c>
      <c r="J1794" t="s">
        <v>3469</v>
      </c>
      <c r="K1794" t="s">
        <v>3733</v>
      </c>
      <c r="L1794">
        <v>13</v>
      </c>
      <c r="M1794" s="453">
        <v>45937</v>
      </c>
      <c r="N1794">
        <v>13</v>
      </c>
      <c r="O1794">
        <v>13</v>
      </c>
      <c r="P1794">
        <v>19.5</v>
      </c>
    </row>
    <row r="1795" spans="1:16" x14ac:dyDescent="0.3">
      <c r="A1795">
        <v>59720</v>
      </c>
      <c r="B1795">
        <v>116</v>
      </c>
      <c r="C1795" t="s">
        <v>568</v>
      </c>
      <c r="D1795" s="453">
        <v>45962</v>
      </c>
      <c r="E1795">
        <v>19779</v>
      </c>
      <c r="F1795" t="s">
        <v>4069</v>
      </c>
      <c r="G1795">
        <v>2479</v>
      </c>
      <c r="H1795">
        <v>0.5</v>
      </c>
      <c r="I1795" t="s">
        <v>3892</v>
      </c>
      <c r="J1795" t="s">
        <v>3469</v>
      </c>
      <c r="K1795" t="s">
        <v>3733</v>
      </c>
      <c r="L1795">
        <v>0</v>
      </c>
      <c r="M1795" s="453">
        <v>45826</v>
      </c>
      <c r="N1795">
        <v>37</v>
      </c>
      <c r="O1795">
        <v>30</v>
      </c>
      <c r="P1795">
        <v>18.5</v>
      </c>
    </row>
    <row r="1796" spans="1:16" x14ac:dyDescent="0.3">
      <c r="A1796">
        <v>59717</v>
      </c>
      <c r="B1796">
        <v>116</v>
      </c>
      <c r="C1796" t="s">
        <v>568</v>
      </c>
      <c r="D1796" s="453">
        <v>45962</v>
      </c>
      <c r="E1796">
        <v>23270</v>
      </c>
      <c r="F1796" t="s">
        <v>4103</v>
      </c>
      <c r="G1796">
        <v>2590</v>
      </c>
      <c r="H1796">
        <v>0.7</v>
      </c>
      <c r="I1796" t="s">
        <v>3892</v>
      </c>
      <c r="J1796" t="s">
        <v>3469</v>
      </c>
      <c r="K1796" t="s">
        <v>3733</v>
      </c>
      <c r="L1796">
        <v>25</v>
      </c>
      <c r="M1796" s="453">
        <v>45937</v>
      </c>
      <c r="N1796">
        <v>25</v>
      </c>
      <c r="O1796">
        <v>33.9</v>
      </c>
      <c r="P1796">
        <v>17.5</v>
      </c>
    </row>
    <row r="1797" spans="1:16" x14ac:dyDescent="0.3">
      <c r="A1797">
        <v>59628</v>
      </c>
      <c r="B1797">
        <v>116</v>
      </c>
      <c r="C1797" t="s">
        <v>568</v>
      </c>
      <c r="D1797" s="453">
        <v>45962</v>
      </c>
      <c r="E1797">
        <v>23635</v>
      </c>
      <c r="F1797" t="s">
        <v>4102</v>
      </c>
      <c r="G1797">
        <v>2247</v>
      </c>
      <c r="H1797">
        <v>2</v>
      </c>
      <c r="I1797" t="s">
        <v>3892</v>
      </c>
      <c r="J1797" t="s">
        <v>3469</v>
      </c>
      <c r="K1797" t="s">
        <v>3733</v>
      </c>
      <c r="L1797">
        <v>0</v>
      </c>
      <c r="M1797" s="453">
        <v>45874</v>
      </c>
      <c r="N1797">
        <v>8.6999999999999993</v>
      </c>
      <c r="O1797">
        <v>5.99</v>
      </c>
      <c r="P1797">
        <v>17.399999999999999</v>
      </c>
    </row>
    <row r="1798" spans="1:16" x14ac:dyDescent="0.3">
      <c r="A1798">
        <v>59639</v>
      </c>
      <c r="B1798">
        <v>116</v>
      </c>
      <c r="C1798" t="s">
        <v>568</v>
      </c>
      <c r="D1798" s="453">
        <v>45962</v>
      </c>
      <c r="E1798">
        <v>19751</v>
      </c>
      <c r="F1798" t="s">
        <v>4019</v>
      </c>
      <c r="G1798">
        <v>2502</v>
      </c>
      <c r="H1798">
        <v>2</v>
      </c>
      <c r="I1798" t="s">
        <v>3892</v>
      </c>
      <c r="J1798" t="s">
        <v>3469</v>
      </c>
      <c r="K1798" t="s">
        <v>3733</v>
      </c>
      <c r="L1798">
        <v>8.6199999999999992</v>
      </c>
      <c r="M1798" s="453">
        <v>45943</v>
      </c>
      <c r="N1798">
        <v>7.44</v>
      </c>
      <c r="O1798">
        <v>11.13</v>
      </c>
      <c r="P1798">
        <v>17.239999999999998</v>
      </c>
    </row>
    <row r="1799" spans="1:16" x14ac:dyDescent="0.3">
      <c r="A1799">
        <v>59682</v>
      </c>
      <c r="B1799">
        <v>116</v>
      </c>
      <c r="C1799" t="s">
        <v>568</v>
      </c>
      <c r="D1799" s="453">
        <v>45962</v>
      </c>
      <c r="E1799">
        <v>20077</v>
      </c>
      <c r="F1799" t="s">
        <v>4054</v>
      </c>
      <c r="G1799">
        <v>2317</v>
      </c>
      <c r="H1799">
        <v>1</v>
      </c>
      <c r="I1799" t="s">
        <v>3888</v>
      </c>
      <c r="J1799" t="s">
        <v>3469</v>
      </c>
      <c r="K1799" t="s">
        <v>3733</v>
      </c>
      <c r="L1799">
        <v>16.32</v>
      </c>
      <c r="M1799" s="453">
        <v>45951</v>
      </c>
      <c r="N1799">
        <v>16.32</v>
      </c>
      <c r="O1799">
        <v>16.32</v>
      </c>
      <c r="P1799">
        <v>16.32</v>
      </c>
    </row>
    <row r="1800" spans="1:16" x14ac:dyDescent="0.3">
      <c r="A1800">
        <v>59670</v>
      </c>
      <c r="B1800">
        <v>116</v>
      </c>
      <c r="C1800" t="s">
        <v>568</v>
      </c>
      <c r="D1800" s="453">
        <v>45962</v>
      </c>
      <c r="E1800">
        <v>19932</v>
      </c>
      <c r="F1800" t="s">
        <v>4011</v>
      </c>
      <c r="G1800">
        <v>2368</v>
      </c>
      <c r="H1800">
        <v>1.2</v>
      </c>
      <c r="I1800" t="s">
        <v>3872</v>
      </c>
      <c r="J1800" t="s">
        <v>3469</v>
      </c>
      <c r="K1800" t="s">
        <v>3733</v>
      </c>
      <c r="L1800">
        <v>0</v>
      </c>
      <c r="M1800" s="453">
        <v>45888</v>
      </c>
      <c r="N1800">
        <v>13.2</v>
      </c>
      <c r="O1800">
        <v>6.95</v>
      </c>
      <c r="P1800">
        <v>15.84</v>
      </c>
    </row>
    <row r="1801" spans="1:16" x14ac:dyDescent="0.3">
      <c r="A1801">
        <v>59662</v>
      </c>
      <c r="B1801">
        <v>116</v>
      </c>
      <c r="C1801" t="s">
        <v>568</v>
      </c>
      <c r="D1801" s="453">
        <v>45962</v>
      </c>
      <c r="E1801">
        <v>23113</v>
      </c>
      <c r="F1801" t="s">
        <v>4079</v>
      </c>
      <c r="G1801">
        <v>2736</v>
      </c>
      <c r="H1801">
        <v>1.5</v>
      </c>
      <c r="I1801" t="s">
        <v>3892</v>
      </c>
      <c r="J1801" t="s">
        <v>3469</v>
      </c>
      <c r="K1801" t="s">
        <v>3733</v>
      </c>
      <c r="L1801">
        <v>10.18</v>
      </c>
      <c r="M1801" s="453">
        <v>45953</v>
      </c>
      <c r="N1801">
        <v>10</v>
      </c>
      <c r="O1801">
        <v>9.43</v>
      </c>
      <c r="P1801">
        <v>15.27</v>
      </c>
    </row>
    <row r="1802" spans="1:16" x14ac:dyDescent="0.3">
      <c r="A1802">
        <v>59721</v>
      </c>
      <c r="B1802">
        <v>116</v>
      </c>
      <c r="C1802" t="s">
        <v>568</v>
      </c>
      <c r="D1802" s="453">
        <v>45962</v>
      </c>
      <c r="E1802">
        <v>19555</v>
      </c>
      <c r="F1802" t="s">
        <v>4109</v>
      </c>
      <c r="G1802">
        <v>2662</v>
      </c>
      <c r="H1802">
        <v>0.5</v>
      </c>
      <c r="I1802" t="s">
        <v>3892</v>
      </c>
      <c r="J1802" t="s">
        <v>3469</v>
      </c>
      <c r="K1802" t="s">
        <v>3733</v>
      </c>
      <c r="L1802">
        <v>28.26</v>
      </c>
      <c r="M1802" s="453">
        <v>45953</v>
      </c>
      <c r="N1802">
        <v>25</v>
      </c>
      <c r="O1802">
        <v>22.5</v>
      </c>
      <c r="P1802">
        <v>14.13</v>
      </c>
    </row>
    <row r="1803" spans="1:16" x14ac:dyDescent="0.3">
      <c r="A1803">
        <v>59702</v>
      </c>
      <c r="B1803">
        <v>116</v>
      </c>
      <c r="C1803" t="s">
        <v>568</v>
      </c>
      <c r="D1803" s="453">
        <v>45962</v>
      </c>
      <c r="E1803">
        <v>23184</v>
      </c>
      <c r="F1803" t="s">
        <v>3894</v>
      </c>
      <c r="G1803">
        <v>2670</v>
      </c>
      <c r="H1803">
        <v>1</v>
      </c>
      <c r="I1803" t="s">
        <v>3892</v>
      </c>
      <c r="J1803" t="s">
        <v>3469</v>
      </c>
      <c r="K1803" t="s">
        <v>3733</v>
      </c>
      <c r="L1803">
        <v>13.76</v>
      </c>
      <c r="M1803" s="453">
        <v>45939</v>
      </c>
      <c r="N1803">
        <v>13.76</v>
      </c>
      <c r="O1803">
        <v>8.75</v>
      </c>
      <c r="P1803">
        <v>13.76</v>
      </c>
    </row>
    <row r="1804" spans="1:16" x14ac:dyDescent="0.3">
      <c r="A1804">
        <v>59688</v>
      </c>
      <c r="B1804">
        <v>116</v>
      </c>
      <c r="C1804" t="s">
        <v>568</v>
      </c>
      <c r="D1804" s="453">
        <v>45962</v>
      </c>
      <c r="E1804">
        <v>24401</v>
      </c>
      <c r="F1804" t="s">
        <v>4063</v>
      </c>
      <c r="G1804">
        <v>2369</v>
      </c>
      <c r="H1804">
        <v>1</v>
      </c>
      <c r="I1804" t="s">
        <v>3872</v>
      </c>
      <c r="J1804" t="s">
        <v>3469</v>
      </c>
      <c r="K1804" t="s">
        <v>3733</v>
      </c>
      <c r="L1804">
        <v>13.6</v>
      </c>
      <c r="M1804" s="453">
        <v>45944</v>
      </c>
      <c r="N1804">
        <v>13.6</v>
      </c>
      <c r="O1804">
        <v>13.9</v>
      </c>
      <c r="P1804">
        <v>13.6</v>
      </c>
    </row>
    <row r="1805" spans="1:16" x14ac:dyDescent="0.3">
      <c r="A1805">
        <v>59724</v>
      </c>
      <c r="B1805">
        <v>116</v>
      </c>
      <c r="C1805" t="s">
        <v>568</v>
      </c>
      <c r="D1805" s="453">
        <v>45962</v>
      </c>
      <c r="E1805">
        <v>23120</v>
      </c>
      <c r="F1805" t="s">
        <v>4111</v>
      </c>
      <c r="G1805">
        <v>2730</v>
      </c>
      <c r="H1805">
        <v>0.2</v>
      </c>
      <c r="I1805" t="s">
        <v>3892</v>
      </c>
      <c r="J1805" t="s">
        <v>3469</v>
      </c>
      <c r="K1805" t="s">
        <v>3733</v>
      </c>
      <c r="L1805">
        <v>67.209999999999994</v>
      </c>
      <c r="M1805" s="453">
        <v>45953</v>
      </c>
      <c r="N1805">
        <v>70</v>
      </c>
      <c r="O1805">
        <v>70</v>
      </c>
      <c r="P1805">
        <v>13.44</v>
      </c>
    </row>
    <row r="1806" spans="1:16" x14ac:dyDescent="0.3">
      <c r="A1806">
        <v>59589</v>
      </c>
      <c r="B1806">
        <v>116</v>
      </c>
      <c r="C1806" t="s">
        <v>568</v>
      </c>
      <c r="D1806" s="453">
        <v>45962</v>
      </c>
      <c r="E1806">
        <v>20685</v>
      </c>
      <c r="F1806" t="s">
        <v>4122</v>
      </c>
      <c r="G1806">
        <v>2106</v>
      </c>
      <c r="H1806">
        <v>4</v>
      </c>
      <c r="I1806" t="s">
        <v>3872</v>
      </c>
      <c r="J1806" t="s">
        <v>3469</v>
      </c>
      <c r="K1806" t="s">
        <v>3733</v>
      </c>
      <c r="L1806">
        <v>3.19</v>
      </c>
      <c r="M1806" s="453">
        <v>45947</v>
      </c>
      <c r="N1806">
        <v>3.19</v>
      </c>
      <c r="O1806">
        <v>3.19</v>
      </c>
      <c r="P1806">
        <v>12.76</v>
      </c>
    </row>
    <row r="1807" spans="1:16" x14ac:dyDescent="0.3">
      <c r="A1807">
        <v>59683</v>
      </c>
      <c r="B1807">
        <v>116</v>
      </c>
      <c r="C1807" t="s">
        <v>568</v>
      </c>
      <c r="D1807" s="453">
        <v>45962</v>
      </c>
      <c r="E1807">
        <v>24212</v>
      </c>
      <c r="F1807" t="s">
        <v>4056</v>
      </c>
      <c r="G1807">
        <v>2064</v>
      </c>
      <c r="H1807">
        <v>1</v>
      </c>
      <c r="I1807" t="s">
        <v>3892</v>
      </c>
      <c r="J1807" t="s">
        <v>3469</v>
      </c>
      <c r="K1807" t="s">
        <v>3733</v>
      </c>
      <c r="L1807">
        <v>11.98</v>
      </c>
      <c r="M1807" s="453">
        <v>45951</v>
      </c>
      <c r="N1807">
        <v>11.98</v>
      </c>
      <c r="O1807">
        <v>11.98</v>
      </c>
      <c r="P1807">
        <v>11.98</v>
      </c>
    </row>
    <row r="1808" spans="1:16" x14ac:dyDescent="0.3">
      <c r="A1808">
        <v>59635</v>
      </c>
      <c r="B1808">
        <v>116</v>
      </c>
      <c r="C1808" t="s">
        <v>568</v>
      </c>
      <c r="D1808" s="453">
        <v>45962</v>
      </c>
      <c r="E1808">
        <v>19634</v>
      </c>
      <c r="F1808" t="s">
        <v>4068</v>
      </c>
      <c r="G1808">
        <v>2602</v>
      </c>
      <c r="H1808">
        <v>2</v>
      </c>
      <c r="I1808" t="s">
        <v>3892</v>
      </c>
      <c r="J1808" t="s">
        <v>3469</v>
      </c>
      <c r="K1808" t="s">
        <v>3733</v>
      </c>
      <c r="L1808">
        <v>5</v>
      </c>
      <c r="M1808" s="453">
        <v>45939</v>
      </c>
      <c r="N1808">
        <v>5</v>
      </c>
      <c r="O1808">
        <v>6.25</v>
      </c>
      <c r="P1808">
        <v>10</v>
      </c>
    </row>
    <row r="1809" spans="1:16" x14ac:dyDescent="0.3">
      <c r="A1809">
        <v>59621</v>
      </c>
      <c r="B1809">
        <v>116</v>
      </c>
      <c r="C1809" t="s">
        <v>568</v>
      </c>
      <c r="D1809" s="453">
        <v>45962</v>
      </c>
      <c r="E1809">
        <v>19623</v>
      </c>
      <c r="F1809" t="s">
        <v>3984</v>
      </c>
      <c r="G1809">
        <v>2611</v>
      </c>
      <c r="H1809">
        <v>2.5</v>
      </c>
      <c r="I1809" t="s">
        <v>3892</v>
      </c>
      <c r="J1809" t="s">
        <v>3469</v>
      </c>
      <c r="K1809" t="s">
        <v>3733</v>
      </c>
      <c r="L1809">
        <v>3.5</v>
      </c>
      <c r="M1809" s="453">
        <v>45950</v>
      </c>
      <c r="N1809">
        <v>3.5</v>
      </c>
      <c r="O1809">
        <v>3.6</v>
      </c>
      <c r="P1809">
        <v>8.75</v>
      </c>
    </row>
    <row r="1810" spans="1:16" x14ac:dyDescent="0.3">
      <c r="A1810">
        <v>59565</v>
      </c>
      <c r="B1810">
        <v>116</v>
      </c>
      <c r="C1810" t="s">
        <v>568</v>
      </c>
      <c r="D1810" s="453">
        <v>45962</v>
      </c>
      <c r="E1810">
        <v>24509</v>
      </c>
      <c r="F1810" t="s">
        <v>3906</v>
      </c>
      <c r="G1810">
        <v>2607</v>
      </c>
      <c r="H1810">
        <v>6</v>
      </c>
      <c r="I1810" t="s">
        <v>3892</v>
      </c>
      <c r="J1810" t="s">
        <v>3469</v>
      </c>
      <c r="K1810" t="s">
        <v>3733</v>
      </c>
      <c r="L1810">
        <v>1.45</v>
      </c>
      <c r="M1810" s="453">
        <v>45953</v>
      </c>
      <c r="N1810">
        <v>1.6</v>
      </c>
      <c r="O1810">
        <v>1.78</v>
      </c>
      <c r="P1810">
        <v>8.6999999999999993</v>
      </c>
    </row>
    <row r="1811" spans="1:16" x14ac:dyDescent="0.3">
      <c r="A1811">
        <v>59677</v>
      </c>
      <c r="B1811">
        <v>116</v>
      </c>
      <c r="C1811" t="s">
        <v>568</v>
      </c>
      <c r="D1811" s="453">
        <v>45962</v>
      </c>
      <c r="E1811">
        <v>21126</v>
      </c>
      <c r="F1811" t="s">
        <v>4004</v>
      </c>
      <c r="G1811">
        <v>1963</v>
      </c>
      <c r="H1811">
        <v>1</v>
      </c>
      <c r="I1811" t="s">
        <v>3888</v>
      </c>
      <c r="J1811" t="s">
        <v>3469</v>
      </c>
      <c r="K1811" t="s">
        <v>3733</v>
      </c>
      <c r="L1811">
        <v>0</v>
      </c>
      <c r="M1811" s="453">
        <v>45930</v>
      </c>
      <c r="N1811">
        <v>8.4</v>
      </c>
      <c r="O1811">
        <v>8.4</v>
      </c>
      <c r="P1811">
        <v>8.4</v>
      </c>
    </row>
    <row r="1812" spans="1:16" x14ac:dyDescent="0.3">
      <c r="A1812">
        <v>59672</v>
      </c>
      <c r="B1812">
        <v>116</v>
      </c>
      <c r="C1812" t="s">
        <v>568</v>
      </c>
      <c r="D1812" s="453">
        <v>45962</v>
      </c>
      <c r="E1812">
        <v>24598</v>
      </c>
      <c r="F1812" t="s">
        <v>4166</v>
      </c>
      <c r="G1812">
        <v>2725</v>
      </c>
      <c r="H1812">
        <v>1.2</v>
      </c>
      <c r="I1812" t="s">
        <v>3892</v>
      </c>
      <c r="J1812" t="s">
        <v>3469</v>
      </c>
      <c r="K1812" t="s">
        <v>3733</v>
      </c>
      <c r="L1812">
        <v>6.8</v>
      </c>
      <c r="M1812" s="453">
        <v>45953</v>
      </c>
      <c r="N1812">
        <v>6.61</v>
      </c>
      <c r="O1812">
        <v>7.5</v>
      </c>
      <c r="P1812">
        <v>8.16</v>
      </c>
    </row>
    <row r="1813" spans="1:16" x14ac:dyDescent="0.3">
      <c r="A1813">
        <v>59675</v>
      </c>
      <c r="B1813">
        <v>116</v>
      </c>
      <c r="C1813" t="s">
        <v>568</v>
      </c>
      <c r="D1813" s="453">
        <v>45962</v>
      </c>
      <c r="E1813">
        <v>19647</v>
      </c>
      <c r="F1813" t="s">
        <v>4066</v>
      </c>
      <c r="G1813">
        <v>2591</v>
      </c>
      <c r="H1813">
        <v>1.1000000000000001</v>
      </c>
      <c r="I1813" t="s">
        <v>3892</v>
      </c>
      <c r="J1813" t="s">
        <v>3469</v>
      </c>
      <c r="K1813" t="s">
        <v>3733</v>
      </c>
      <c r="L1813">
        <v>7.33</v>
      </c>
      <c r="M1813" s="453">
        <v>45950</v>
      </c>
      <c r="N1813">
        <v>7.5</v>
      </c>
      <c r="O1813">
        <v>7.25</v>
      </c>
      <c r="P1813">
        <v>8.06</v>
      </c>
    </row>
    <row r="1814" spans="1:16" x14ac:dyDescent="0.3">
      <c r="A1814">
        <v>59694</v>
      </c>
      <c r="B1814">
        <v>116</v>
      </c>
      <c r="C1814" t="s">
        <v>568</v>
      </c>
      <c r="D1814" s="453">
        <v>45962</v>
      </c>
      <c r="E1814">
        <v>19607</v>
      </c>
      <c r="F1814" t="s">
        <v>4105</v>
      </c>
      <c r="G1814">
        <v>2623</v>
      </c>
      <c r="H1814">
        <v>1</v>
      </c>
      <c r="I1814" t="s">
        <v>3892</v>
      </c>
      <c r="J1814" t="s">
        <v>3469</v>
      </c>
      <c r="K1814" t="s">
        <v>3733</v>
      </c>
      <c r="L1814">
        <v>7.5</v>
      </c>
      <c r="M1814" s="453">
        <v>45933</v>
      </c>
      <c r="N1814">
        <v>7.5</v>
      </c>
      <c r="O1814">
        <v>5.58</v>
      </c>
      <c r="P1814">
        <v>7.5</v>
      </c>
    </row>
    <row r="1815" spans="1:16" x14ac:dyDescent="0.3">
      <c r="A1815">
        <v>59698</v>
      </c>
      <c r="B1815">
        <v>116</v>
      </c>
      <c r="C1815" t="s">
        <v>568</v>
      </c>
      <c r="D1815" s="453">
        <v>45962</v>
      </c>
      <c r="E1815">
        <v>19742</v>
      </c>
      <c r="F1815" t="s">
        <v>4074</v>
      </c>
      <c r="G1815">
        <v>2511</v>
      </c>
      <c r="H1815">
        <v>1</v>
      </c>
      <c r="I1815" t="s">
        <v>3892</v>
      </c>
      <c r="J1815" t="s">
        <v>3469</v>
      </c>
      <c r="K1815" t="s">
        <v>3733</v>
      </c>
      <c r="L1815">
        <v>7.03</v>
      </c>
      <c r="M1815" s="453">
        <v>45946</v>
      </c>
      <c r="N1815">
        <v>5.36</v>
      </c>
      <c r="O1815">
        <v>7.76</v>
      </c>
      <c r="P1815">
        <v>7.03</v>
      </c>
    </row>
    <row r="1816" spans="1:16" x14ac:dyDescent="0.3">
      <c r="A1816">
        <v>59637</v>
      </c>
      <c r="B1816">
        <v>116</v>
      </c>
      <c r="C1816" t="s">
        <v>568</v>
      </c>
      <c r="D1816" s="453">
        <v>45962</v>
      </c>
      <c r="E1816">
        <v>19621</v>
      </c>
      <c r="F1816" t="s">
        <v>4125</v>
      </c>
      <c r="G1816">
        <v>2613</v>
      </c>
      <c r="H1816">
        <v>2</v>
      </c>
      <c r="I1816" t="s">
        <v>3892</v>
      </c>
      <c r="J1816" t="s">
        <v>3469</v>
      </c>
      <c r="K1816" t="s">
        <v>3733</v>
      </c>
      <c r="L1816">
        <v>3.5</v>
      </c>
      <c r="M1816" s="453">
        <v>45933</v>
      </c>
      <c r="N1816">
        <v>3.5</v>
      </c>
      <c r="O1816">
        <v>2.65</v>
      </c>
      <c r="P1816">
        <v>7</v>
      </c>
    </row>
    <row r="1817" spans="1:16" x14ac:dyDescent="0.3">
      <c r="A1817">
        <v>59696</v>
      </c>
      <c r="B1817">
        <v>116</v>
      </c>
      <c r="C1817" t="s">
        <v>568</v>
      </c>
      <c r="D1817" s="453">
        <v>45962</v>
      </c>
      <c r="E1817">
        <v>19752</v>
      </c>
      <c r="F1817" t="s">
        <v>4042</v>
      </c>
      <c r="G1817">
        <v>2501</v>
      </c>
      <c r="H1817">
        <v>1</v>
      </c>
      <c r="I1817" t="s">
        <v>3892</v>
      </c>
      <c r="J1817" t="s">
        <v>3469</v>
      </c>
      <c r="K1817" t="s">
        <v>3733</v>
      </c>
      <c r="L1817">
        <v>6.46</v>
      </c>
      <c r="M1817" s="453">
        <v>45953</v>
      </c>
      <c r="N1817">
        <v>7.24</v>
      </c>
      <c r="O1817">
        <v>5.08</v>
      </c>
      <c r="P1817">
        <v>6.46</v>
      </c>
    </row>
    <row r="1818" spans="1:16" x14ac:dyDescent="0.3">
      <c r="A1818">
        <v>59716</v>
      </c>
      <c r="B1818">
        <v>116</v>
      </c>
      <c r="C1818" t="s">
        <v>568</v>
      </c>
      <c r="D1818" s="453">
        <v>45962</v>
      </c>
      <c r="E1818">
        <v>19498</v>
      </c>
      <c r="F1818" t="s">
        <v>4065</v>
      </c>
      <c r="G1818">
        <v>2712</v>
      </c>
      <c r="H1818">
        <v>0.9</v>
      </c>
      <c r="I1818" t="s">
        <v>3892</v>
      </c>
      <c r="J1818" t="s">
        <v>3469</v>
      </c>
      <c r="K1818" t="s">
        <v>3733</v>
      </c>
      <c r="L1818">
        <v>7</v>
      </c>
      <c r="M1818" s="453">
        <v>45953</v>
      </c>
      <c r="N1818">
        <v>7</v>
      </c>
      <c r="O1818">
        <v>7.22</v>
      </c>
      <c r="P1818">
        <v>6.3</v>
      </c>
    </row>
    <row r="1819" spans="1:16" x14ac:dyDescent="0.3">
      <c r="A1819">
        <v>59671</v>
      </c>
      <c r="B1819">
        <v>116</v>
      </c>
      <c r="C1819" t="s">
        <v>568</v>
      </c>
      <c r="D1819" s="453">
        <v>45962</v>
      </c>
      <c r="E1819">
        <v>19505</v>
      </c>
      <c r="F1819" t="s">
        <v>4101</v>
      </c>
      <c r="G1819">
        <v>2706</v>
      </c>
      <c r="H1819">
        <v>1.2</v>
      </c>
      <c r="I1819" t="s">
        <v>3892</v>
      </c>
      <c r="J1819" t="s">
        <v>3469</v>
      </c>
      <c r="K1819" t="s">
        <v>3733</v>
      </c>
      <c r="L1819">
        <v>4.79</v>
      </c>
      <c r="M1819" s="453">
        <v>45953</v>
      </c>
      <c r="N1819">
        <v>4.8</v>
      </c>
      <c r="O1819">
        <v>4.5</v>
      </c>
      <c r="P1819">
        <v>5.75</v>
      </c>
    </row>
    <row r="1820" spans="1:16" x14ac:dyDescent="0.3">
      <c r="A1820">
        <v>59701</v>
      </c>
      <c r="B1820">
        <v>116</v>
      </c>
      <c r="C1820" t="s">
        <v>568</v>
      </c>
      <c r="D1820" s="453">
        <v>45962</v>
      </c>
      <c r="E1820">
        <v>19465</v>
      </c>
      <c r="F1820" t="s">
        <v>4080</v>
      </c>
      <c r="G1820">
        <v>2737</v>
      </c>
      <c r="H1820">
        <v>1</v>
      </c>
      <c r="I1820" t="s">
        <v>3892</v>
      </c>
      <c r="J1820" t="s">
        <v>3469</v>
      </c>
      <c r="K1820" t="s">
        <v>3733</v>
      </c>
      <c r="L1820">
        <v>4.75</v>
      </c>
      <c r="M1820" s="453">
        <v>45946</v>
      </c>
      <c r="N1820">
        <v>4.5</v>
      </c>
      <c r="O1820">
        <v>4.41</v>
      </c>
      <c r="P1820">
        <v>4.75</v>
      </c>
    </row>
    <row r="1821" spans="1:16" x14ac:dyDescent="0.3">
      <c r="A1821">
        <v>59725</v>
      </c>
      <c r="B1821">
        <v>116</v>
      </c>
      <c r="C1821" t="s">
        <v>568</v>
      </c>
      <c r="D1821" s="453">
        <v>45962</v>
      </c>
      <c r="E1821">
        <v>19506</v>
      </c>
      <c r="F1821" t="s">
        <v>4112</v>
      </c>
      <c r="G1821">
        <v>2705</v>
      </c>
      <c r="H1821">
        <v>0.1</v>
      </c>
      <c r="I1821" t="s">
        <v>3892</v>
      </c>
      <c r="J1821" t="s">
        <v>3469</v>
      </c>
      <c r="K1821" t="s">
        <v>3733</v>
      </c>
      <c r="L1821">
        <v>42.04</v>
      </c>
      <c r="M1821" s="453">
        <v>45953</v>
      </c>
      <c r="N1821">
        <v>43.75</v>
      </c>
      <c r="O1821">
        <v>40.479999999999997</v>
      </c>
      <c r="P1821">
        <v>4.2</v>
      </c>
    </row>
    <row r="1822" spans="1:16" x14ac:dyDescent="0.3">
      <c r="A1822">
        <v>59692</v>
      </c>
      <c r="B1822">
        <v>116</v>
      </c>
      <c r="C1822" t="s">
        <v>568</v>
      </c>
      <c r="D1822" s="453">
        <v>45962</v>
      </c>
      <c r="E1822">
        <v>19642</v>
      </c>
      <c r="F1822" t="s">
        <v>4067</v>
      </c>
      <c r="G1822">
        <v>2596</v>
      </c>
      <c r="H1822">
        <v>1</v>
      </c>
      <c r="I1822" t="s">
        <v>3892</v>
      </c>
      <c r="J1822" t="s">
        <v>3469</v>
      </c>
      <c r="K1822" t="s">
        <v>3733</v>
      </c>
      <c r="L1822">
        <v>3.51</v>
      </c>
      <c r="M1822" s="453">
        <v>45950</v>
      </c>
      <c r="N1822">
        <v>4.6399999999999997</v>
      </c>
      <c r="O1822">
        <v>3.43</v>
      </c>
      <c r="P1822">
        <v>3.51</v>
      </c>
    </row>
    <row r="1823" spans="1:16" x14ac:dyDescent="0.3">
      <c r="A1823">
        <v>59673</v>
      </c>
      <c r="B1823">
        <v>116</v>
      </c>
      <c r="C1823" t="s">
        <v>568</v>
      </c>
      <c r="D1823" s="453">
        <v>45962</v>
      </c>
      <c r="E1823">
        <v>19553</v>
      </c>
      <c r="F1823" t="s">
        <v>4078</v>
      </c>
      <c r="G1823">
        <v>2663</v>
      </c>
      <c r="H1823">
        <v>1.2</v>
      </c>
      <c r="I1823" t="s">
        <v>3892</v>
      </c>
      <c r="J1823" t="s">
        <v>3469</v>
      </c>
      <c r="K1823" t="s">
        <v>3733</v>
      </c>
      <c r="L1823">
        <v>2.15</v>
      </c>
      <c r="M1823" s="453">
        <v>45953</v>
      </c>
      <c r="N1823">
        <v>2.2000000000000002</v>
      </c>
      <c r="O1823">
        <v>2.5</v>
      </c>
      <c r="P1823">
        <v>2.58</v>
      </c>
    </row>
    <row r="1824" spans="1:16" x14ac:dyDescent="0.3">
      <c r="A1824">
        <v>59723</v>
      </c>
      <c r="B1824">
        <v>116</v>
      </c>
      <c r="C1824" t="s">
        <v>568</v>
      </c>
      <c r="D1824" s="453">
        <v>45962</v>
      </c>
      <c r="E1824">
        <v>19480</v>
      </c>
      <c r="F1824" t="s">
        <v>4113</v>
      </c>
      <c r="G1824">
        <v>2726</v>
      </c>
      <c r="H1824">
        <v>0.2</v>
      </c>
      <c r="I1824" t="s">
        <v>3892</v>
      </c>
      <c r="J1824" t="s">
        <v>3469</v>
      </c>
      <c r="K1824" t="s">
        <v>3733</v>
      </c>
      <c r="L1824">
        <v>10</v>
      </c>
      <c r="M1824" s="453">
        <v>45946</v>
      </c>
      <c r="N1824">
        <v>10</v>
      </c>
      <c r="O1824">
        <v>10</v>
      </c>
      <c r="P1824">
        <v>2</v>
      </c>
    </row>
    <row r="1825" spans="1:16" x14ac:dyDescent="0.3">
      <c r="A1825">
        <v>59722</v>
      </c>
      <c r="B1825">
        <v>116</v>
      </c>
      <c r="C1825" t="s">
        <v>568</v>
      </c>
      <c r="D1825" s="453">
        <v>45962</v>
      </c>
      <c r="E1825">
        <v>19488</v>
      </c>
      <c r="F1825" t="s">
        <v>4070</v>
      </c>
      <c r="G1825">
        <v>2720</v>
      </c>
      <c r="H1825">
        <v>0.2</v>
      </c>
      <c r="I1825" t="s">
        <v>3892</v>
      </c>
      <c r="J1825" t="s">
        <v>3469</v>
      </c>
      <c r="K1825" t="s">
        <v>3733</v>
      </c>
      <c r="L1825">
        <v>0</v>
      </c>
      <c r="M1825" s="453">
        <v>45890</v>
      </c>
      <c r="N1825">
        <v>7.55</v>
      </c>
      <c r="O1825">
        <v>11</v>
      </c>
      <c r="P1825">
        <v>1.51</v>
      </c>
    </row>
    <row r="1826" spans="1:16" x14ac:dyDescent="0.3">
      <c r="A1826">
        <v>59604</v>
      </c>
      <c r="B1826">
        <v>116</v>
      </c>
      <c r="C1826" t="s">
        <v>568</v>
      </c>
      <c r="D1826" s="453">
        <v>45962</v>
      </c>
      <c r="E1826">
        <v>25767</v>
      </c>
      <c r="F1826" t="s">
        <v>3976</v>
      </c>
      <c r="G1826">
        <v>6316</v>
      </c>
      <c r="H1826">
        <v>3</v>
      </c>
      <c r="I1826" t="s">
        <v>3892</v>
      </c>
      <c r="J1826" t="s">
        <v>3469</v>
      </c>
      <c r="K1826" t="s">
        <v>3733</v>
      </c>
      <c r="L1826">
        <v>0</v>
      </c>
      <c r="M1826" s="453">
        <v>45936</v>
      </c>
      <c r="N1826">
        <v>0</v>
      </c>
      <c r="O1826">
        <v>35</v>
      </c>
      <c r="P1826">
        <v>0</v>
      </c>
    </row>
    <row r="1827" spans="1:16" x14ac:dyDescent="0.3">
      <c r="A1827">
        <v>53689</v>
      </c>
      <c r="B1827">
        <v>116</v>
      </c>
      <c r="C1827" t="s">
        <v>568</v>
      </c>
      <c r="D1827" s="453">
        <v>45931</v>
      </c>
      <c r="E1827">
        <v>18636</v>
      </c>
      <c r="F1827" t="s">
        <v>3921</v>
      </c>
      <c r="G1827">
        <v>3075</v>
      </c>
      <c r="H1827">
        <v>13.5</v>
      </c>
      <c r="I1827" t="s">
        <v>3922</v>
      </c>
      <c r="J1827" t="s">
        <v>3497</v>
      </c>
      <c r="K1827" t="s">
        <v>3736</v>
      </c>
      <c r="L1827">
        <v>446.16</v>
      </c>
      <c r="M1827" s="453">
        <v>45930</v>
      </c>
      <c r="N1827">
        <v>446.16</v>
      </c>
      <c r="O1827">
        <v>380.06</v>
      </c>
      <c r="P1827">
        <v>6023.16</v>
      </c>
    </row>
    <row r="1828" spans="1:16" x14ac:dyDescent="0.3">
      <c r="A1828">
        <v>53671</v>
      </c>
      <c r="B1828">
        <v>116</v>
      </c>
      <c r="C1828" t="s">
        <v>568</v>
      </c>
      <c r="D1828" s="453">
        <v>45931</v>
      </c>
      <c r="E1828">
        <v>18247</v>
      </c>
      <c r="F1828" t="s">
        <v>3877</v>
      </c>
      <c r="G1828">
        <v>3383</v>
      </c>
      <c r="H1828">
        <v>39.5</v>
      </c>
      <c r="I1828" t="s">
        <v>3878</v>
      </c>
      <c r="J1828" t="s">
        <v>3497</v>
      </c>
      <c r="K1828" t="s">
        <v>3736</v>
      </c>
      <c r="L1828">
        <v>0</v>
      </c>
      <c r="M1828" s="453">
        <v>-693593</v>
      </c>
      <c r="N1828">
        <v>0</v>
      </c>
      <c r="O1828">
        <v>0</v>
      </c>
      <c r="P1828">
        <v>2622.8</v>
      </c>
    </row>
    <row r="1829" spans="1:16" x14ac:dyDescent="0.3">
      <c r="A1829">
        <v>53732</v>
      </c>
      <c r="B1829">
        <v>116</v>
      </c>
      <c r="C1829" t="s">
        <v>568</v>
      </c>
      <c r="D1829" s="453">
        <v>45931</v>
      </c>
      <c r="E1829">
        <v>24072</v>
      </c>
      <c r="F1829" t="s">
        <v>4002</v>
      </c>
      <c r="G1829">
        <v>2982</v>
      </c>
      <c r="H1829">
        <v>6.2</v>
      </c>
      <c r="I1829" t="s">
        <v>3892</v>
      </c>
      <c r="J1829" t="s">
        <v>3469</v>
      </c>
      <c r="K1829" t="s">
        <v>3736</v>
      </c>
      <c r="L1829">
        <v>199</v>
      </c>
      <c r="M1829" s="453">
        <v>45930</v>
      </c>
      <c r="N1829">
        <v>199</v>
      </c>
      <c r="O1829">
        <v>199</v>
      </c>
      <c r="P1829">
        <v>1233.8</v>
      </c>
    </row>
    <row r="1830" spans="1:16" x14ac:dyDescent="0.3">
      <c r="A1830">
        <v>53697</v>
      </c>
      <c r="B1830">
        <v>116</v>
      </c>
      <c r="C1830" t="s">
        <v>568</v>
      </c>
      <c r="D1830" s="453">
        <v>45931</v>
      </c>
      <c r="E1830">
        <v>18764</v>
      </c>
      <c r="F1830" t="s">
        <v>3907</v>
      </c>
      <c r="G1830">
        <v>3001</v>
      </c>
      <c r="H1830">
        <v>12</v>
      </c>
      <c r="I1830" t="s">
        <v>3892</v>
      </c>
      <c r="J1830" t="s">
        <v>3469</v>
      </c>
      <c r="K1830" t="s">
        <v>3736</v>
      </c>
      <c r="L1830">
        <v>99</v>
      </c>
      <c r="M1830" s="453">
        <v>45919</v>
      </c>
      <c r="N1830">
        <v>99</v>
      </c>
      <c r="O1830">
        <v>100</v>
      </c>
      <c r="P1830">
        <v>1188</v>
      </c>
    </row>
    <row r="1831" spans="1:16" x14ac:dyDescent="0.3">
      <c r="A1831">
        <v>53686</v>
      </c>
      <c r="B1831">
        <v>116</v>
      </c>
      <c r="C1831" t="s">
        <v>568</v>
      </c>
      <c r="D1831" s="453">
        <v>45931</v>
      </c>
      <c r="E1831">
        <v>24259</v>
      </c>
      <c r="F1831" t="s">
        <v>3895</v>
      </c>
      <c r="G1831">
        <v>2938</v>
      </c>
      <c r="H1831">
        <v>17.600000000000001</v>
      </c>
      <c r="I1831" t="s">
        <v>3892</v>
      </c>
      <c r="J1831" t="s">
        <v>3469</v>
      </c>
      <c r="K1831" t="s">
        <v>3736</v>
      </c>
      <c r="L1831">
        <v>66.8</v>
      </c>
      <c r="M1831" s="453">
        <v>45922</v>
      </c>
      <c r="N1831">
        <v>65</v>
      </c>
      <c r="O1831">
        <v>63.25</v>
      </c>
      <c r="P1831">
        <v>1175.68</v>
      </c>
    </row>
    <row r="1832" spans="1:16" x14ac:dyDescent="0.3">
      <c r="A1832">
        <v>53680</v>
      </c>
      <c r="B1832">
        <v>116</v>
      </c>
      <c r="C1832" t="s">
        <v>568</v>
      </c>
      <c r="D1832" s="453">
        <v>45931</v>
      </c>
      <c r="E1832">
        <v>22515</v>
      </c>
      <c r="F1832" t="s">
        <v>3883</v>
      </c>
      <c r="G1832">
        <v>3202</v>
      </c>
      <c r="H1832">
        <v>25.5</v>
      </c>
      <c r="I1832" t="s">
        <v>3884</v>
      </c>
      <c r="J1832" t="s">
        <v>3497</v>
      </c>
      <c r="K1832" t="s">
        <v>3736</v>
      </c>
      <c r="L1832">
        <v>0</v>
      </c>
      <c r="M1832" s="453">
        <v>45671</v>
      </c>
      <c r="N1832">
        <v>38</v>
      </c>
      <c r="O1832">
        <v>38</v>
      </c>
      <c r="P1832">
        <v>969</v>
      </c>
    </row>
    <row r="1833" spans="1:16" x14ac:dyDescent="0.3">
      <c r="A1833">
        <v>53674</v>
      </c>
      <c r="B1833">
        <v>116</v>
      </c>
      <c r="C1833" t="s">
        <v>568</v>
      </c>
      <c r="D1833" s="453">
        <v>45931</v>
      </c>
      <c r="E1833">
        <v>22118</v>
      </c>
      <c r="F1833" t="s">
        <v>3880</v>
      </c>
      <c r="G1833">
        <v>3600</v>
      </c>
      <c r="H1833">
        <v>32</v>
      </c>
      <c r="I1833" t="s">
        <v>3881</v>
      </c>
      <c r="J1833" t="s">
        <v>3497</v>
      </c>
      <c r="K1833" t="s">
        <v>3736</v>
      </c>
      <c r="L1833">
        <v>0</v>
      </c>
      <c r="M1833" s="453">
        <v>45854</v>
      </c>
      <c r="N1833">
        <v>29.64</v>
      </c>
      <c r="O1833">
        <v>29.64</v>
      </c>
      <c r="P1833">
        <v>948.48</v>
      </c>
    </row>
    <row r="1834" spans="1:16" x14ac:dyDescent="0.3">
      <c r="A1834">
        <v>53682</v>
      </c>
      <c r="B1834">
        <v>116</v>
      </c>
      <c r="C1834" t="s">
        <v>568</v>
      </c>
      <c r="D1834" s="453">
        <v>45931</v>
      </c>
      <c r="E1834">
        <v>18832</v>
      </c>
      <c r="F1834" t="s">
        <v>3900</v>
      </c>
      <c r="G1834">
        <v>2950</v>
      </c>
      <c r="H1834">
        <v>25</v>
      </c>
      <c r="I1834" t="s">
        <v>3892</v>
      </c>
      <c r="J1834" t="s">
        <v>3469</v>
      </c>
      <c r="K1834" t="s">
        <v>3736</v>
      </c>
      <c r="L1834">
        <v>36.729999999999997</v>
      </c>
      <c r="M1834" s="453">
        <v>45923</v>
      </c>
      <c r="N1834">
        <v>34.5</v>
      </c>
      <c r="O1834">
        <v>34.9</v>
      </c>
      <c r="P1834">
        <v>918.25</v>
      </c>
    </row>
    <row r="1835" spans="1:16" x14ac:dyDescent="0.3">
      <c r="A1835">
        <v>53698</v>
      </c>
      <c r="B1835">
        <v>116</v>
      </c>
      <c r="C1835" t="s">
        <v>568</v>
      </c>
      <c r="D1835" s="453">
        <v>45931</v>
      </c>
      <c r="E1835">
        <v>22734</v>
      </c>
      <c r="F1835" t="s">
        <v>3955</v>
      </c>
      <c r="G1835">
        <v>3024</v>
      </c>
      <c r="H1835">
        <v>11.6</v>
      </c>
      <c r="I1835" t="s">
        <v>3892</v>
      </c>
      <c r="J1835" t="s">
        <v>3469</v>
      </c>
      <c r="K1835" t="s">
        <v>3736</v>
      </c>
      <c r="L1835">
        <v>79</v>
      </c>
      <c r="M1835" s="453">
        <v>45908</v>
      </c>
      <c r="N1835">
        <v>79</v>
      </c>
      <c r="O1835">
        <v>395</v>
      </c>
      <c r="P1835">
        <v>916.4</v>
      </c>
    </row>
    <row r="1836" spans="1:16" x14ac:dyDescent="0.3">
      <c r="A1836">
        <v>53706</v>
      </c>
      <c r="B1836">
        <v>116</v>
      </c>
      <c r="C1836" t="s">
        <v>568</v>
      </c>
      <c r="D1836" s="453">
        <v>45931</v>
      </c>
      <c r="E1836">
        <v>19297</v>
      </c>
      <c r="F1836" t="s">
        <v>3949</v>
      </c>
      <c r="G1836">
        <v>2775</v>
      </c>
      <c r="H1836">
        <v>10.7</v>
      </c>
      <c r="I1836" t="s">
        <v>3892</v>
      </c>
      <c r="J1836" t="s">
        <v>3469</v>
      </c>
      <c r="K1836" t="s">
        <v>3736</v>
      </c>
      <c r="L1836">
        <v>69.87</v>
      </c>
      <c r="M1836" s="453">
        <v>45922</v>
      </c>
      <c r="N1836">
        <v>69.8</v>
      </c>
      <c r="O1836">
        <v>69.8</v>
      </c>
      <c r="P1836">
        <v>747.61</v>
      </c>
    </row>
    <row r="1837" spans="1:16" x14ac:dyDescent="0.3">
      <c r="A1837">
        <v>53685</v>
      </c>
      <c r="B1837">
        <v>116</v>
      </c>
      <c r="C1837" t="s">
        <v>568</v>
      </c>
      <c r="D1837" s="453">
        <v>45931</v>
      </c>
      <c r="E1837">
        <v>18684</v>
      </c>
      <c r="F1837" t="s">
        <v>3925</v>
      </c>
      <c r="G1837">
        <v>3041</v>
      </c>
      <c r="H1837">
        <v>18</v>
      </c>
      <c r="I1837" t="s">
        <v>3892</v>
      </c>
      <c r="J1837" t="s">
        <v>3469</v>
      </c>
      <c r="K1837" t="s">
        <v>3736</v>
      </c>
      <c r="L1837">
        <v>36</v>
      </c>
      <c r="M1837" s="453">
        <v>45930</v>
      </c>
      <c r="N1837">
        <v>36</v>
      </c>
      <c r="O1837">
        <v>36</v>
      </c>
      <c r="P1837">
        <v>648</v>
      </c>
    </row>
    <row r="1838" spans="1:16" x14ac:dyDescent="0.3">
      <c r="A1838">
        <v>53688</v>
      </c>
      <c r="B1838">
        <v>116</v>
      </c>
      <c r="C1838" t="s">
        <v>568</v>
      </c>
      <c r="D1838" s="453">
        <v>45931</v>
      </c>
      <c r="E1838">
        <v>20539</v>
      </c>
      <c r="F1838" t="s">
        <v>3908</v>
      </c>
      <c r="G1838">
        <v>2145</v>
      </c>
      <c r="H1838">
        <v>16</v>
      </c>
      <c r="I1838" t="s">
        <v>3892</v>
      </c>
      <c r="J1838" t="s">
        <v>3469</v>
      </c>
      <c r="K1838" t="s">
        <v>3736</v>
      </c>
      <c r="L1838">
        <v>39.6</v>
      </c>
      <c r="M1838" s="453">
        <v>45916</v>
      </c>
      <c r="N1838">
        <v>40.4</v>
      </c>
      <c r="O1838">
        <v>40.4</v>
      </c>
      <c r="P1838">
        <v>633.6</v>
      </c>
    </row>
    <row r="1839" spans="1:16" x14ac:dyDescent="0.3">
      <c r="A1839">
        <v>53721</v>
      </c>
      <c r="B1839">
        <v>116</v>
      </c>
      <c r="C1839" t="s">
        <v>568</v>
      </c>
      <c r="D1839" s="453">
        <v>45931</v>
      </c>
      <c r="E1839">
        <v>24140</v>
      </c>
      <c r="F1839" t="s">
        <v>3889</v>
      </c>
      <c r="G1839">
        <v>3100</v>
      </c>
      <c r="H1839">
        <v>8</v>
      </c>
      <c r="I1839" t="s">
        <v>3872</v>
      </c>
      <c r="J1839" t="s">
        <v>3497</v>
      </c>
      <c r="K1839" t="s">
        <v>3736</v>
      </c>
      <c r="L1839">
        <v>0</v>
      </c>
      <c r="M1839" s="453">
        <v>45699</v>
      </c>
      <c r="N1839">
        <v>77.959999999999994</v>
      </c>
      <c r="O1839">
        <v>0</v>
      </c>
      <c r="P1839">
        <v>623.67999999999995</v>
      </c>
    </row>
    <row r="1840" spans="1:16" x14ac:dyDescent="0.3">
      <c r="A1840">
        <v>53677</v>
      </c>
      <c r="B1840">
        <v>116</v>
      </c>
      <c r="C1840" t="s">
        <v>568</v>
      </c>
      <c r="D1840" s="453">
        <v>45931</v>
      </c>
      <c r="E1840">
        <v>21030</v>
      </c>
      <c r="F1840" t="s">
        <v>3890</v>
      </c>
      <c r="G1840">
        <v>2001</v>
      </c>
      <c r="H1840">
        <v>29</v>
      </c>
      <c r="I1840" t="s">
        <v>3872</v>
      </c>
      <c r="J1840" t="s">
        <v>3469</v>
      </c>
      <c r="K1840" t="s">
        <v>3736</v>
      </c>
      <c r="L1840">
        <v>20.399999999999999</v>
      </c>
      <c r="M1840" s="453">
        <v>45930</v>
      </c>
      <c r="N1840">
        <v>18.899999999999999</v>
      </c>
      <c r="O1840">
        <v>18.899999999999999</v>
      </c>
      <c r="P1840">
        <v>591.6</v>
      </c>
    </row>
    <row r="1841" spans="1:16" x14ac:dyDescent="0.3">
      <c r="A1841">
        <v>53804</v>
      </c>
      <c r="B1841">
        <v>116</v>
      </c>
      <c r="C1841" t="s">
        <v>568</v>
      </c>
      <c r="D1841" s="453">
        <v>45931</v>
      </c>
      <c r="E1841">
        <v>18640</v>
      </c>
      <c r="F1841" t="s">
        <v>3994</v>
      </c>
      <c r="G1841">
        <v>3074</v>
      </c>
      <c r="H1841">
        <v>2</v>
      </c>
      <c r="I1841" t="s">
        <v>3922</v>
      </c>
      <c r="J1841" t="s">
        <v>3497</v>
      </c>
      <c r="K1841" t="s">
        <v>3736</v>
      </c>
      <c r="L1841">
        <v>276.43</v>
      </c>
      <c r="M1841" s="453">
        <v>45922</v>
      </c>
      <c r="N1841">
        <v>276.43</v>
      </c>
      <c r="O1841">
        <v>276.43</v>
      </c>
      <c r="P1841">
        <v>552.86</v>
      </c>
    </row>
    <row r="1842" spans="1:16" x14ac:dyDescent="0.3">
      <c r="A1842">
        <v>53768</v>
      </c>
      <c r="B1842">
        <v>116</v>
      </c>
      <c r="C1842" t="s">
        <v>568</v>
      </c>
      <c r="D1842" s="453">
        <v>45931</v>
      </c>
      <c r="E1842">
        <v>23897</v>
      </c>
      <c r="F1842" t="s">
        <v>4058</v>
      </c>
      <c r="G1842">
        <v>2003</v>
      </c>
      <c r="H1842">
        <v>3</v>
      </c>
      <c r="I1842" t="s">
        <v>3872</v>
      </c>
      <c r="J1842" t="s">
        <v>3469</v>
      </c>
      <c r="K1842" t="s">
        <v>3736</v>
      </c>
      <c r="L1842">
        <v>176.85</v>
      </c>
      <c r="M1842" s="453">
        <v>45930</v>
      </c>
      <c r="N1842">
        <v>177.9</v>
      </c>
      <c r="O1842">
        <v>177.9</v>
      </c>
      <c r="P1842">
        <v>530.54999999999995</v>
      </c>
    </row>
    <row r="1843" spans="1:16" x14ac:dyDescent="0.3">
      <c r="A1843">
        <v>53749</v>
      </c>
      <c r="B1843">
        <v>116</v>
      </c>
      <c r="C1843" t="s">
        <v>568</v>
      </c>
      <c r="D1843" s="453">
        <v>45931</v>
      </c>
      <c r="E1843">
        <v>18179</v>
      </c>
      <c r="F1843" t="s">
        <v>3995</v>
      </c>
      <c r="G1843">
        <v>3443</v>
      </c>
      <c r="H1843">
        <v>4.9000000000000004</v>
      </c>
      <c r="I1843" t="s">
        <v>3878</v>
      </c>
      <c r="J1843" t="s">
        <v>3497</v>
      </c>
      <c r="K1843" t="s">
        <v>3736</v>
      </c>
      <c r="L1843">
        <v>0</v>
      </c>
      <c r="M1843" s="453">
        <v>45845</v>
      </c>
      <c r="N1843">
        <v>105.6</v>
      </c>
      <c r="O1843">
        <v>83.19</v>
      </c>
      <c r="P1843">
        <v>517.44000000000005</v>
      </c>
    </row>
    <row r="1844" spans="1:16" x14ac:dyDescent="0.3">
      <c r="A1844">
        <v>53694</v>
      </c>
      <c r="B1844">
        <v>116</v>
      </c>
      <c r="C1844" t="s">
        <v>568</v>
      </c>
      <c r="D1844" s="453">
        <v>45931</v>
      </c>
      <c r="E1844">
        <v>19324</v>
      </c>
      <c r="F1844" t="s">
        <v>3937</v>
      </c>
      <c r="G1844">
        <v>2773</v>
      </c>
      <c r="H1844">
        <v>12.3</v>
      </c>
      <c r="I1844" t="s">
        <v>3892</v>
      </c>
      <c r="J1844" t="s">
        <v>3469</v>
      </c>
      <c r="K1844" t="s">
        <v>3736</v>
      </c>
      <c r="L1844">
        <v>39.14</v>
      </c>
      <c r="M1844" s="453">
        <v>45923</v>
      </c>
      <c r="N1844">
        <v>39.049999999999997</v>
      </c>
      <c r="O1844">
        <v>38.9</v>
      </c>
      <c r="P1844">
        <v>481.42</v>
      </c>
    </row>
    <row r="1845" spans="1:16" x14ac:dyDescent="0.3">
      <c r="A1845">
        <v>53754</v>
      </c>
      <c r="B1845">
        <v>116</v>
      </c>
      <c r="C1845" t="s">
        <v>568</v>
      </c>
      <c r="D1845" s="453">
        <v>45931</v>
      </c>
      <c r="E1845">
        <v>20752</v>
      </c>
      <c r="F1845" t="s">
        <v>3964</v>
      </c>
      <c r="G1845">
        <v>2088</v>
      </c>
      <c r="H1845">
        <v>4</v>
      </c>
      <c r="I1845" t="s">
        <v>3886</v>
      </c>
      <c r="J1845" t="s">
        <v>3469</v>
      </c>
      <c r="K1845" t="s">
        <v>3736</v>
      </c>
      <c r="L1845">
        <v>115.27</v>
      </c>
      <c r="M1845" s="453">
        <v>45923</v>
      </c>
      <c r="N1845">
        <v>104</v>
      </c>
      <c r="O1845">
        <v>104</v>
      </c>
      <c r="P1845">
        <v>461.08</v>
      </c>
    </row>
    <row r="1846" spans="1:16" x14ac:dyDescent="0.3">
      <c r="A1846">
        <v>53739</v>
      </c>
      <c r="B1846">
        <v>116</v>
      </c>
      <c r="C1846" t="s">
        <v>568</v>
      </c>
      <c r="D1846" s="453">
        <v>45931</v>
      </c>
      <c r="E1846">
        <v>20555</v>
      </c>
      <c r="F1846" t="s">
        <v>3959</v>
      </c>
      <c r="G1846">
        <v>2139</v>
      </c>
      <c r="H1846">
        <v>5.7</v>
      </c>
      <c r="I1846" t="s">
        <v>3892</v>
      </c>
      <c r="J1846" t="s">
        <v>3469</v>
      </c>
      <c r="K1846" t="s">
        <v>3736</v>
      </c>
      <c r="L1846">
        <v>79</v>
      </c>
      <c r="M1846" s="453">
        <v>45930</v>
      </c>
      <c r="N1846">
        <v>79</v>
      </c>
      <c r="O1846">
        <v>79</v>
      </c>
      <c r="P1846">
        <v>450.3</v>
      </c>
    </row>
    <row r="1847" spans="1:16" x14ac:dyDescent="0.3">
      <c r="A1847">
        <v>53691</v>
      </c>
      <c r="B1847">
        <v>116</v>
      </c>
      <c r="C1847" t="s">
        <v>568</v>
      </c>
      <c r="D1847" s="453">
        <v>45931</v>
      </c>
      <c r="E1847">
        <v>20278</v>
      </c>
      <c r="F1847" t="s">
        <v>3939</v>
      </c>
      <c r="G1847">
        <v>2230</v>
      </c>
      <c r="H1847">
        <v>13</v>
      </c>
      <c r="I1847" t="s">
        <v>3872</v>
      </c>
      <c r="J1847" t="s">
        <v>3469</v>
      </c>
      <c r="K1847" t="s">
        <v>3736</v>
      </c>
      <c r="L1847">
        <v>33.270000000000003</v>
      </c>
      <c r="M1847" s="453">
        <v>45929</v>
      </c>
      <c r="N1847">
        <v>33.270000000000003</v>
      </c>
      <c r="O1847">
        <v>33.270000000000003</v>
      </c>
      <c r="P1847">
        <v>432.51</v>
      </c>
    </row>
    <row r="1848" spans="1:16" x14ac:dyDescent="0.3">
      <c r="A1848">
        <v>53699</v>
      </c>
      <c r="B1848">
        <v>116</v>
      </c>
      <c r="C1848" t="s">
        <v>568</v>
      </c>
      <c r="D1848" s="453">
        <v>45931</v>
      </c>
      <c r="E1848">
        <v>24402</v>
      </c>
      <c r="F1848" t="s">
        <v>3896</v>
      </c>
      <c r="G1848">
        <v>2949</v>
      </c>
      <c r="H1848">
        <v>11.6</v>
      </c>
      <c r="I1848" t="s">
        <v>3892</v>
      </c>
      <c r="J1848" t="s">
        <v>3469</v>
      </c>
      <c r="K1848" t="s">
        <v>3736</v>
      </c>
      <c r="L1848">
        <v>0</v>
      </c>
      <c r="M1848" s="453">
        <v>45833</v>
      </c>
      <c r="N1848">
        <v>36.5</v>
      </c>
      <c r="O1848">
        <v>36.5</v>
      </c>
      <c r="P1848">
        <v>423.4</v>
      </c>
    </row>
    <row r="1849" spans="1:16" x14ac:dyDescent="0.3">
      <c r="A1849">
        <v>53778</v>
      </c>
      <c r="B1849">
        <v>116</v>
      </c>
      <c r="C1849" t="s">
        <v>568</v>
      </c>
      <c r="D1849" s="453">
        <v>45931</v>
      </c>
      <c r="E1849">
        <v>16974</v>
      </c>
      <c r="F1849" t="s">
        <v>3996</v>
      </c>
      <c r="G1849">
        <v>3711</v>
      </c>
      <c r="H1849">
        <v>3</v>
      </c>
      <c r="I1849" t="s">
        <v>3881</v>
      </c>
      <c r="J1849" t="s">
        <v>3497</v>
      </c>
      <c r="K1849" t="s">
        <v>3736</v>
      </c>
      <c r="L1849">
        <v>138.76</v>
      </c>
      <c r="M1849" s="453">
        <v>45915</v>
      </c>
      <c r="N1849">
        <v>138.76</v>
      </c>
      <c r="O1849">
        <v>135</v>
      </c>
      <c r="P1849">
        <v>416.28</v>
      </c>
    </row>
    <row r="1850" spans="1:16" x14ac:dyDescent="0.3">
      <c r="A1850">
        <v>53708</v>
      </c>
      <c r="B1850">
        <v>116</v>
      </c>
      <c r="C1850" t="s">
        <v>568</v>
      </c>
      <c r="D1850" s="453">
        <v>45931</v>
      </c>
      <c r="E1850">
        <v>26194</v>
      </c>
      <c r="F1850" t="s">
        <v>4446</v>
      </c>
      <c r="G1850">
        <v>6617</v>
      </c>
      <c r="H1850">
        <v>10</v>
      </c>
      <c r="I1850" t="s">
        <v>3978</v>
      </c>
      <c r="J1850" t="s">
        <v>3469</v>
      </c>
      <c r="K1850" t="s">
        <v>3736</v>
      </c>
      <c r="L1850">
        <v>0</v>
      </c>
      <c r="M1850" s="453">
        <v>45887</v>
      </c>
      <c r="N1850">
        <v>40.299999999999997</v>
      </c>
      <c r="O1850">
        <v>41</v>
      </c>
      <c r="P1850">
        <v>403</v>
      </c>
    </row>
    <row r="1851" spans="1:16" x14ac:dyDescent="0.3">
      <c r="A1851">
        <v>53700</v>
      </c>
      <c r="B1851">
        <v>116</v>
      </c>
      <c r="C1851" t="s">
        <v>568</v>
      </c>
      <c r="D1851" s="453">
        <v>45931</v>
      </c>
      <c r="E1851">
        <v>18818</v>
      </c>
      <c r="F1851" t="s">
        <v>3916</v>
      </c>
      <c r="G1851">
        <v>2956</v>
      </c>
      <c r="H1851">
        <v>11.5</v>
      </c>
      <c r="I1851" t="s">
        <v>3892</v>
      </c>
      <c r="J1851" t="s">
        <v>3469</v>
      </c>
      <c r="K1851" t="s">
        <v>3736</v>
      </c>
      <c r="L1851">
        <v>32.799999999999997</v>
      </c>
      <c r="M1851" s="453">
        <v>45923</v>
      </c>
      <c r="N1851">
        <v>32.799999999999997</v>
      </c>
      <c r="O1851">
        <v>32.799999999999997</v>
      </c>
      <c r="P1851">
        <v>377.2</v>
      </c>
    </row>
    <row r="1852" spans="1:16" x14ac:dyDescent="0.3">
      <c r="A1852">
        <v>53722</v>
      </c>
      <c r="B1852">
        <v>116</v>
      </c>
      <c r="C1852" t="s">
        <v>568</v>
      </c>
      <c r="D1852" s="453">
        <v>45931</v>
      </c>
      <c r="E1852">
        <v>20519</v>
      </c>
      <c r="F1852" t="s">
        <v>3902</v>
      </c>
      <c r="G1852">
        <v>2150</v>
      </c>
      <c r="H1852">
        <v>7.5</v>
      </c>
      <c r="I1852" t="s">
        <v>3892</v>
      </c>
      <c r="J1852" t="s">
        <v>3469</v>
      </c>
      <c r="K1852" t="s">
        <v>3736</v>
      </c>
      <c r="L1852">
        <v>0</v>
      </c>
      <c r="M1852" s="453">
        <v>45875</v>
      </c>
      <c r="N1852">
        <v>49.75</v>
      </c>
      <c r="O1852">
        <v>49.75</v>
      </c>
      <c r="P1852">
        <v>373.12</v>
      </c>
    </row>
    <row r="1853" spans="1:16" x14ac:dyDescent="0.3">
      <c r="A1853">
        <v>53704</v>
      </c>
      <c r="B1853">
        <v>116</v>
      </c>
      <c r="C1853" t="s">
        <v>568</v>
      </c>
      <c r="D1853" s="453">
        <v>45931</v>
      </c>
      <c r="E1853">
        <v>18475</v>
      </c>
      <c r="F1853" t="s">
        <v>3918</v>
      </c>
      <c r="G1853">
        <v>3181</v>
      </c>
      <c r="H1853">
        <v>11</v>
      </c>
      <c r="I1853" t="s">
        <v>3878</v>
      </c>
      <c r="J1853" t="s">
        <v>3497</v>
      </c>
      <c r="K1853" t="s">
        <v>3736</v>
      </c>
      <c r="L1853">
        <v>32.9</v>
      </c>
      <c r="M1853" s="453">
        <v>45909</v>
      </c>
      <c r="N1853">
        <v>32.9</v>
      </c>
      <c r="O1853">
        <v>32.9</v>
      </c>
      <c r="P1853">
        <v>361.9</v>
      </c>
    </row>
    <row r="1854" spans="1:16" x14ac:dyDescent="0.3">
      <c r="A1854">
        <v>53782</v>
      </c>
      <c r="B1854">
        <v>116</v>
      </c>
      <c r="C1854" t="s">
        <v>568</v>
      </c>
      <c r="D1854" s="453">
        <v>45931</v>
      </c>
      <c r="E1854">
        <v>18295</v>
      </c>
      <c r="F1854" t="s">
        <v>4030</v>
      </c>
      <c r="G1854">
        <v>3334</v>
      </c>
      <c r="H1854">
        <v>2.7</v>
      </c>
      <c r="I1854" t="s">
        <v>3878</v>
      </c>
      <c r="J1854" t="s">
        <v>3497</v>
      </c>
      <c r="K1854" t="s">
        <v>3736</v>
      </c>
      <c r="L1854">
        <v>133.37</v>
      </c>
      <c r="M1854" s="453">
        <v>45918</v>
      </c>
      <c r="N1854">
        <v>133.37</v>
      </c>
      <c r="O1854">
        <v>133.37</v>
      </c>
      <c r="P1854">
        <v>360.1</v>
      </c>
    </row>
    <row r="1855" spans="1:16" x14ac:dyDescent="0.3">
      <c r="A1855">
        <v>53693</v>
      </c>
      <c r="B1855">
        <v>116</v>
      </c>
      <c r="C1855" t="s">
        <v>568</v>
      </c>
      <c r="D1855" s="453">
        <v>45931</v>
      </c>
      <c r="E1855">
        <v>24517</v>
      </c>
      <c r="F1855" t="s">
        <v>3991</v>
      </c>
      <c r="G1855">
        <v>3047</v>
      </c>
      <c r="H1855">
        <v>12.8</v>
      </c>
      <c r="I1855" t="s">
        <v>3892</v>
      </c>
      <c r="J1855" t="s">
        <v>3469</v>
      </c>
      <c r="K1855" t="s">
        <v>3736</v>
      </c>
      <c r="L1855">
        <v>27.99</v>
      </c>
      <c r="M1855" s="453">
        <v>45925</v>
      </c>
      <c r="N1855">
        <v>27.99</v>
      </c>
      <c r="O1855">
        <v>27.99</v>
      </c>
      <c r="P1855">
        <v>358.27</v>
      </c>
    </row>
    <row r="1856" spans="1:16" x14ac:dyDescent="0.3">
      <c r="A1856">
        <v>53714</v>
      </c>
      <c r="B1856">
        <v>116</v>
      </c>
      <c r="C1856" t="s">
        <v>568</v>
      </c>
      <c r="D1856" s="453">
        <v>45931</v>
      </c>
      <c r="E1856">
        <v>18685</v>
      </c>
      <c r="F1856" t="s">
        <v>3945</v>
      </c>
      <c r="G1856">
        <v>3040</v>
      </c>
      <c r="H1856">
        <v>9</v>
      </c>
      <c r="I1856" t="s">
        <v>3892</v>
      </c>
      <c r="J1856" t="s">
        <v>3469</v>
      </c>
      <c r="K1856" t="s">
        <v>3736</v>
      </c>
      <c r="L1856">
        <v>39</v>
      </c>
      <c r="M1856" s="453">
        <v>45930</v>
      </c>
      <c r="N1856">
        <v>39</v>
      </c>
      <c r="O1856">
        <v>39</v>
      </c>
      <c r="P1856">
        <v>351</v>
      </c>
    </row>
    <row r="1857" spans="1:16" x14ac:dyDescent="0.3">
      <c r="A1857">
        <v>53724</v>
      </c>
      <c r="B1857">
        <v>116</v>
      </c>
      <c r="C1857" t="s">
        <v>568</v>
      </c>
      <c r="D1857" s="453">
        <v>45931</v>
      </c>
      <c r="E1857">
        <v>27312</v>
      </c>
      <c r="F1857" t="s">
        <v>3927</v>
      </c>
      <c r="G1857">
        <v>2942</v>
      </c>
      <c r="H1857">
        <v>7.1</v>
      </c>
      <c r="I1857" t="s">
        <v>3892</v>
      </c>
      <c r="J1857" t="s">
        <v>3469</v>
      </c>
      <c r="K1857" t="s">
        <v>3736</v>
      </c>
      <c r="L1857">
        <v>48.5</v>
      </c>
      <c r="M1857" s="453">
        <v>45917</v>
      </c>
      <c r="N1857">
        <v>48.5</v>
      </c>
      <c r="O1857">
        <v>48.5</v>
      </c>
      <c r="P1857">
        <v>344.35</v>
      </c>
    </row>
    <row r="1858" spans="1:16" x14ac:dyDescent="0.3">
      <c r="A1858">
        <v>53662</v>
      </c>
      <c r="B1858">
        <v>116</v>
      </c>
      <c r="C1858" t="s">
        <v>568</v>
      </c>
      <c r="D1858" s="453">
        <v>45931</v>
      </c>
      <c r="E1858">
        <v>24409</v>
      </c>
      <c r="F1858" t="s">
        <v>4036</v>
      </c>
      <c r="G1858">
        <v>3665</v>
      </c>
      <c r="H1858">
        <v>156</v>
      </c>
      <c r="I1858" t="s">
        <v>3872</v>
      </c>
      <c r="J1858" t="s">
        <v>3497</v>
      </c>
      <c r="K1858" t="s">
        <v>3736</v>
      </c>
      <c r="L1858">
        <v>0</v>
      </c>
      <c r="M1858" s="453">
        <v>45551</v>
      </c>
      <c r="N1858">
        <v>2.19</v>
      </c>
      <c r="O1858">
        <v>2.19</v>
      </c>
      <c r="P1858">
        <v>341.64</v>
      </c>
    </row>
    <row r="1859" spans="1:16" x14ac:dyDescent="0.3">
      <c r="A1859">
        <v>53678</v>
      </c>
      <c r="B1859">
        <v>116</v>
      </c>
      <c r="C1859" t="s">
        <v>568</v>
      </c>
      <c r="D1859" s="453">
        <v>45931</v>
      </c>
      <c r="E1859">
        <v>20131</v>
      </c>
      <c r="F1859" t="s">
        <v>4447</v>
      </c>
      <c r="G1859">
        <v>2287</v>
      </c>
      <c r="H1859">
        <v>28</v>
      </c>
      <c r="I1859" t="s">
        <v>3892</v>
      </c>
      <c r="J1859" t="s">
        <v>3469</v>
      </c>
      <c r="K1859" t="s">
        <v>3736</v>
      </c>
      <c r="L1859">
        <v>0</v>
      </c>
      <c r="M1859" s="453">
        <v>45895</v>
      </c>
      <c r="N1859">
        <v>12</v>
      </c>
      <c r="O1859">
        <v>12</v>
      </c>
      <c r="P1859">
        <v>336</v>
      </c>
    </row>
    <row r="1860" spans="1:16" x14ac:dyDescent="0.3">
      <c r="A1860">
        <v>53663</v>
      </c>
      <c r="B1860">
        <v>116</v>
      </c>
      <c r="C1860" t="s">
        <v>568</v>
      </c>
      <c r="D1860" s="453">
        <v>45931</v>
      </c>
      <c r="E1860">
        <v>24414</v>
      </c>
      <c r="F1860" t="s">
        <v>3943</v>
      </c>
      <c r="G1860">
        <v>3670</v>
      </c>
      <c r="H1860">
        <v>153</v>
      </c>
      <c r="I1860" t="s">
        <v>3872</v>
      </c>
      <c r="J1860" t="s">
        <v>3497</v>
      </c>
      <c r="K1860" t="s">
        <v>3736</v>
      </c>
      <c r="L1860">
        <v>0</v>
      </c>
      <c r="M1860" s="453">
        <v>45544</v>
      </c>
      <c r="N1860">
        <v>2.19</v>
      </c>
      <c r="O1860">
        <v>2.19</v>
      </c>
      <c r="P1860">
        <v>335.07</v>
      </c>
    </row>
    <row r="1861" spans="1:16" x14ac:dyDescent="0.3">
      <c r="A1861">
        <v>53707</v>
      </c>
      <c r="B1861">
        <v>116</v>
      </c>
      <c r="C1861" t="s">
        <v>568</v>
      </c>
      <c r="D1861" s="453">
        <v>45931</v>
      </c>
      <c r="E1861">
        <v>24388</v>
      </c>
      <c r="F1861" t="s">
        <v>3915</v>
      </c>
      <c r="G1861">
        <v>2945</v>
      </c>
      <c r="H1861">
        <v>10.5</v>
      </c>
      <c r="I1861" t="s">
        <v>3892</v>
      </c>
      <c r="J1861" t="s">
        <v>3469</v>
      </c>
      <c r="K1861" t="s">
        <v>3736</v>
      </c>
      <c r="L1861">
        <v>30.5</v>
      </c>
      <c r="M1861" s="453">
        <v>45930</v>
      </c>
      <c r="N1861">
        <v>30.5</v>
      </c>
      <c r="O1861">
        <v>30.5</v>
      </c>
      <c r="P1861">
        <v>320.25</v>
      </c>
    </row>
    <row r="1862" spans="1:16" x14ac:dyDescent="0.3">
      <c r="A1862">
        <v>53703</v>
      </c>
      <c r="B1862">
        <v>116</v>
      </c>
      <c r="C1862" t="s">
        <v>568</v>
      </c>
      <c r="D1862" s="453">
        <v>45931</v>
      </c>
      <c r="E1862">
        <v>19906</v>
      </c>
      <c r="F1862" t="s">
        <v>4171</v>
      </c>
      <c r="G1862">
        <v>2381</v>
      </c>
      <c r="H1862">
        <v>11</v>
      </c>
      <c r="I1862" t="s">
        <v>3888</v>
      </c>
      <c r="J1862" t="s">
        <v>3469</v>
      </c>
      <c r="K1862" t="s">
        <v>3736</v>
      </c>
      <c r="L1862">
        <v>28</v>
      </c>
      <c r="M1862" s="453">
        <v>45916</v>
      </c>
      <c r="N1862">
        <v>28</v>
      </c>
      <c r="O1862">
        <v>31.7</v>
      </c>
      <c r="P1862">
        <v>308</v>
      </c>
    </row>
    <row r="1863" spans="1:16" x14ac:dyDescent="0.3">
      <c r="A1863">
        <v>53710</v>
      </c>
      <c r="B1863">
        <v>116</v>
      </c>
      <c r="C1863" t="s">
        <v>568</v>
      </c>
      <c r="D1863" s="453">
        <v>45931</v>
      </c>
      <c r="E1863">
        <v>17914</v>
      </c>
      <c r="F1863" t="s">
        <v>3997</v>
      </c>
      <c r="G1863">
        <v>3649</v>
      </c>
      <c r="H1863">
        <v>10</v>
      </c>
      <c r="I1863" t="s">
        <v>3888</v>
      </c>
      <c r="J1863" t="s">
        <v>3497</v>
      </c>
      <c r="K1863" t="s">
        <v>3736</v>
      </c>
      <c r="L1863">
        <v>0</v>
      </c>
      <c r="M1863" s="453">
        <v>45810</v>
      </c>
      <c r="N1863">
        <v>30.76</v>
      </c>
      <c r="O1863">
        <v>30.76</v>
      </c>
      <c r="P1863">
        <v>307.60000000000002</v>
      </c>
    </row>
    <row r="1864" spans="1:16" x14ac:dyDescent="0.3">
      <c r="A1864">
        <v>53723</v>
      </c>
      <c r="B1864">
        <v>116</v>
      </c>
      <c r="C1864" t="s">
        <v>568</v>
      </c>
      <c r="D1864" s="453">
        <v>45931</v>
      </c>
      <c r="E1864">
        <v>19287</v>
      </c>
      <c r="F1864" t="s">
        <v>3974</v>
      </c>
      <c r="G1864">
        <v>2778</v>
      </c>
      <c r="H1864">
        <v>7.3</v>
      </c>
      <c r="I1864" t="s">
        <v>3892</v>
      </c>
      <c r="J1864" t="s">
        <v>3469</v>
      </c>
      <c r="K1864" t="s">
        <v>3736</v>
      </c>
      <c r="L1864">
        <v>40.020000000000003</v>
      </c>
      <c r="M1864" s="453">
        <v>45930</v>
      </c>
      <c r="N1864">
        <v>39.1</v>
      </c>
      <c r="O1864">
        <v>39.1</v>
      </c>
      <c r="P1864">
        <v>292.14999999999998</v>
      </c>
    </row>
    <row r="1865" spans="1:16" x14ac:dyDescent="0.3">
      <c r="A1865">
        <v>53728</v>
      </c>
      <c r="B1865">
        <v>116</v>
      </c>
      <c r="C1865" t="s">
        <v>568</v>
      </c>
      <c r="D1865" s="453">
        <v>45931</v>
      </c>
      <c r="E1865">
        <v>17710</v>
      </c>
      <c r="F1865" t="s">
        <v>3905</v>
      </c>
      <c r="G1865">
        <v>3824</v>
      </c>
      <c r="H1865">
        <v>7</v>
      </c>
      <c r="I1865" t="s">
        <v>3878</v>
      </c>
      <c r="J1865" t="s">
        <v>3497</v>
      </c>
      <c r="K1865" t="s">
        <v>3736</v>
      </c>
      <c r="L1865">
        <v>0</v>
      </c>
      <c r="M1865" s="453">
        <v>-693593</v>
      </c>
      <c r="N1865">
        <v>0</v>
      </c>
      <c r="O1865">
        <v>37.700000000000003</v>
      </c>
      <c r="P1865">
        <v>281.05</v>
      </c>
    </row>
    <row r="1866" spans="1:16" x14ac:dyDescent="0.3">
      <c r="A1866">
        <v>53815</v>
      </c>
      <c r="B1866">
        <v>116</v>
      </c>
      <c r="C1866" t="s">
        <v>568</v>
      </c>
      <c r="D1866" s="453">
        <v>45931</v>
      </c>
      <c r="E1866">
        <v>20976</v>
      </c>
      <c r="F1866" t="s">
        <v>4062</v>
      </c>
      <c r="G1866">
        <v>2011</v>
      </c>
      <c r="H1866">
        <v>1.5</v>
      </c>
      <c r="I1866" t="s">
        <v>3884</v>
      </c>
      <c r="J1866" t="s">
        <v>3469</v>
      </c>
      <c r="K1866" t="s">
        <v>3736</v>
      </c>
      <c r="L1866">
        <v>186.8</v>
      </c>
      <c r="M1866" s="453">
        <v>45930</v>
      </c>
      <c r="N1866">
        <v>186.8</v>
      </c>
      <c r="O1866">
        <v>186.8</v>
      </c>
      <c r="P1866">
        <v>280.2</v>
      </c>
    </row>
    <row r="1867" spans="1:16" x14ac:dyDescent="0.3">
      <c r="A1867">
        <v>53750</v>
      </c>
      <c r="B1867">
        <v>116</v>
      </c>
      <c r="C1867" t="s">
        <v>568</v>
      </c>
      <c r="D1867" s="453">
        <v>45931</v>
      </c>
      <c r="E1867">
        <v>19346</v>
      </c>
      <c r="F1867" t="s">
        <v>3948</v>
      </c>
      <c r="G1867">
        <v>2770</v>
      </c>
      <c r="H1867">
        <v>4.8</v>
      </c>
      <c r="I1867" t="s">
        <v>3892</v>
      </c>
      <c r="J1867" t="s">
        <v>3469</v>
      </c>
      <c r="K1867" t="s">
        <v>3736</v>
      </c>
      <c r="L1867">
        <v>54.79</v>
      </c>
      <c r="M1867" s="453">
        <v>45930</v>
      </c>
      <c r="N1867">
        <v>53.9</v>
      </c>
      <c r="O1867">
        <v>53.9</v>
      </c>
      <c r="P1867">
        <v>262.99</v>
      </c>
    </row>
    <row r="1868" spans="1:16" x14ac:dyDescent="0.3">
      <c r="A1868">
        <v>53755</v>
      </c>
      <c r="B1868">
        <v>116</v>
      </c>
      <c r="C1868" t="s">
        <v>568</v>
      </c>
      <c r="D1868" s="453">
        <v>45931</v>
      </c>
      <c r="E1868">
        <v>20729</v>
      </c>
      <c r="F1868" t="s">
        <v>3965</v>
      </c>
      <c r="G1868">
        <v>2093</v>
      </c>
      <c r="H1868">
        <v>4</v>
      </c>
      <c r="I1868" t="s">
        <v>3966</v>
      </c>
      <c r="J1868" t="s">
        <v>3469</v>
      </c>
      <c r="K1868" t="s">
        <v>3736</v>
      </c>
      <c r="L1868">
        <v>64.569999999999993</v>
      </c>
      <c r="M1868" s="453">
        <v>45930</v>
      </c>
      <c r="N1868">
        <v>64.8</v>
      </c>
      <c r="O1868">
        <v>64.8</v>
      </c>
      <c r="P1868">
        <v>258.27999999999997</v>
      </c>
    </row>
    <row r="1869" spans="1:16" x14ac:dyDescent="0.3">
      <c r="A1869">
        <v>53716</v>
      </c>
      <c r="B1869">
        <v>116</v>
      </c>
      <c r="C1869" t="s">
        <v>568</v>
      </c>
      <c r="D1869" s="453">
        <v>45931</v>
      </c>
      <c r="E1869">
        <v>26195</v>
      </c>
      <c r="F1869" t="s">
        <v>4037</v>
      </c>
      <c r="G1869">
        <v>6618</v>
      </c>
      <c r="H1869">
        <v>9</v>
      </c>
      <c r="I1869" t="s">
        <v>3878</v>
      </c>
      <c r="J1869" t="s">
        <v>3497</v>
      </c>
      <c r="K1869" t="s">
        <v>3736</v>
      </c>
      <c r="L1869">
        <v>0</v>
      </c>
      <c r="M1869" s="453">
        <v>-693593</v>
      </c>
      <c r="N1869">
        <v>0</v>
      </c>
      <c r="O1869">
        <v>0</v>
      </c>
      <c r="P1869">
        <v>249.66</v>
      </c>
    </row>
    <row r="1870" spans="1:16" x14ac:dyDescent="0.3">
      <c r="A1870">
        <v>53679</v>
      </c>
      <c r="B1870">
        <v>116</v>
      </c>
      <c r="C1870" t="s">
        <v>568</v>
      </c>
      <c r="D1870" s="453">
        <v>45931</v>
      </c>
      <c r="E1870">
        <v>19139</v>
      </c>
      <c r="F1870" t="s">
        <v>3887</v>
      </c>
      <c r="G1870">
        <v>2836</v>
      </c>
      <c r="H1870">
        <v>26</v>
      </c>
      <c r="I1870" t="s">
        <v>3888</v>
      </c>
      <c r="J1870" t="s">
        <v>3469</v>
      </c>
      <c r="K1870" t="s">
        <v>3736</v>
      </c>
      <c r="L1870">
        <v>9.1</v>
      </c>
      <c r="M1870" s="453">
        <v>45923</v>
      </c>
      <c r="N1870">
        <v>9.1</v>
      </c>
      <c r="O1870">
        <v>9.1</v>
      </c>
      <c r="P1870">
        <v>236.6</v>
      </c>
    </row>
    <row r="1871" spans="1:16" x14ac:dyDescent="0.3">
      <c r="A1871">
        <v>53762</v>
      </c>
      <c r="B1871">
        <v>116</v>
      </c>
      <c r="C1871" t="s">
        <v>568</v>
      </c>
      <c r="D1871" s="453">
        <v>45931</v>
      </c>
      <c r="E1871">
        <v>18948</v>
      </c>
      <c r="F1871" t="s">
        <v>3961</v>
      </c>
      <c r="G1871">
        <v>2927</v>
      </c>
      <c r="H1871">
        <v>3.5</v>
      </c>
      <c r="I1871" t="s">
        <v>3892</v>
      </c>
      <c r="J1871" t="s">
        <v>3469</v>
      </c>
      <c r="K1871" t="s">
        <v>3736</v>
      </c>
      <c r="L1871">
        <v>65.900000000000006</v>
      </c>
      <c r="M1871" s="453">
        <v>45909</v>
      </c>
      <c r="N1871">
        <v>65.900000000000006</v>
      </c>
      <c r="O1871">
        <v>0</v>
      </c>
      <c r="P1871">
        <v>230.65</v>
      </c>
    </row>
    <row r="1872" spans="1:16" x14ac:dyDescent="0.3">
      <c r="A1872">
        <v>53665</v>
      </c>
      <c r="B1872">
        <v>116</v>
      </c>
      <c r="C1872" t="s">
        <v>568</v>
      </c>
      <c r="D1872" s="453">
        <v>45931</v>
      </c>
      <c r="E1872">
        <v>22044</v>
      </c>
      <c r="F1872" t="s">
        <v>3928</v>
      </c>
      <c r="G1872">
        <v>3656</v>
      </c>
      <c r="H1872">
        <v>101</v>
      </c>
      <c r="I1872" t="s">
        <v>3872</v>
      </c>
      <c r="J1872" t="s">
        <v>3497</v>
      </c>
      <c r="K1872" t="s">
        <v>3736</v>
      </c>
      <c r="L1872">
        <v>0</v>
      </c>
      <c r="M1872" s="453">
        <v>45677</v>
      </c>
      <c r="N1872">
        <v>2.19</v>
      </c>
      <c r="O1872">
        <v>2.04</v>
      </c>
      <c r="P1872">
        <v>221.19</v>
      </c>
    </row>
    <row r="1873" spans="1:16" x14ac:dyDescent="0.3">
      <c r="A1873">
        <v>53805</v>
      </c>
      <c r="B1873">
        <v>116</v>
      </c>
      <c r="C1873" t="s">
        <v>568</v>
      </c>
      <c r="D1873" s="453">
        <v>45931</v>
      </c>
      <c r="E1873">
        <v>18538</v>
      </c>
      <c r="F1873" t="s">
        <v>4026</v>
      </c>
      <c r="G1873">
        <v>3139</v>
      </c>
      <c r="H1873">
        <v>2</v>
      </c>
      <c r="I1873" t="s">
        <v>3878</v>
      </c>
      <c r="J1873" t="s">
        <v>3497</v>
      </c>
      <c r="K1873" t="s">
        <v>3736</v>
      </c>
      <c r="L1873">
        <v>104.53</v>
      </c>
      <c r="M1873" s="453">
        <v>45918</v>
      </c>
      <c r="N1873">
        <v>104.53</v>
      </c>
      <c r="O1873">
        <v>104.53</v>
      </c>
      <c r="P1873">
        <v>209.06</v>
      </c>
    </row>
    <row r="1874" spans="1:16" x14ac:dyDescent="0.3">
      <c r="A1874">
        <v>53666</v>
      </c>
      <c r="B1874">
        <v>116</v>
      </c>
      <c r="C1874" t="s">
        <v>568</v>
      </c>
      <c r="D1874" s="453">
        <v>45931</v>
      </c>
      <c r="E1874">
        <v>22042</v>
      </c>
      <c r="F1874" t="s">
        <v>3901</v>
      </c>
      <c r="G1874">
        <v>3658</v>
      </c>
      <c r="H1874">
        <v>95</v>
      </c>
      <c r="I1874" t="s">
        <v>3872</v>
      </c>
      <c r="J1874" t="s">
        <v>3497</v>
      </c>
      <c r="K1874" t="s">
        <v>3736</v>
      </c>
      <c r="L1874">
        <v>0</v>
      </c>
      <c r="M1874" s="453">
        <v>45677</v>
      </c>
      <c r="N1874">
        <v>2.19</v>
      </c>
      <c r="O1874">
        <v>1.99</v>
      </c>
      <c r="P1874">
        <v>208.05</v>
      </c>
    </row>
    <row r="1875" spans="1:16" x14ac:dyDescent="0.3">
      <c r="A1875">
        <v>53730</v>
      </c>
      <c r="B1875">
        <v>116</v>
      </c>
      <c r="C1875" t="s">
        <v>568</v>
      </c>
      <c r="D1875" s="453">
        <v>45931</v>
      </c>
      <c r="E1875">
        <v>22712</v>
      </c>
      <c r="F1875" t="s">
        <v>3975</v>
      </c>
      <c r="G1875">
        <v>3039</v>
      </c>
      <c r="H1875">
        <v>6.3</v>
      </c>
      <c r="I1875" t="s">
        <v>3892</v>
      </c>
      <c r="J1875" t="s">
        <v>3469</v>
      </c>
      <c r="K1875" t="s">
        <v>3736</v>
      </c>
      <c r="L1875">
        <v>32.9</v>
      </c>
      <c r="M1875" s="453">
        <v>45930</v>
      </c>
      <c r="N1875">
        <v>32.9</v>
      </c>
      <c r="O1875">
        <v>32.9</v>
      </c>
      <c r="P1875">
        <v>207.27</v>
      </c>
    </row>
    <row r="1876" spans="1:16" x14ac:dyDescent="0.3">
      <c r="A1876">
        <v>53831</v>
      </c>
      <c r="B1876">
        <v>116</v>
      </c>
      <c r="C1876" t="s">
        <v>568</v>
      </c>
      <c r="D1876" s="453">
        <v>45931</v>
      </c>
      <c r="E1876">
        <v>23982</v>
      </c>
      <c r="F1876" t="s">
        <v>3977</v>
      </c>
      <c r="G1876">
        <v>1999</v>
      </c>
      <c r="H1876">
        <v>1</v>
      </c>
      <c r="I1876" t="s">
        <v>3978</v>
      </c>
      <c r="J1876" t="s">
        <v>3469</v>
      </c>
      <c r="K1876" t="s">
        <v>3736</v>
      </c>
      <c r="L1876">
        <v>0</v>
      </c>
      <c r="M1876" s="453">
        <v>45888</v>
      </c>
      <c r="N1876">
        <v>200</v>
      </c>
      <c r="O1876">
        <v>248.5</v>
      </c>
      <c r="P1876">
        <v>200</v>
      </c>
    </row>
    <row r="1877" spans="1:16" x14ac:dyDescent="0.3">
      <c r="A1877">
        <v>53729</v>
      </c>
      <c r="B1877">
        <v>116</v>
      </c>
      <c r="C1877" t="s">
        <v>568</v>
      </c>
      <c r="D1877" s="453">
        <v>45931</v>
      </c>
      <c r="E1877">
        <v>22705</v>
      </c>
      <c r="F1877" t="s">
        <v>3990</v>
      </c>
      <c r="G1877">
        <v>3044</v>
      </c>
      <c r="H1877">
        <v>6.7</v>
      </c>
      <c r="I1877" t="s">
        <v>3892</v>
      </c>
      <c r="J1877" t="s">
        <v>3469</v>
      </c>
      <c r="K1877" t="s">
        <v>3736</v>
      </c>
      <c r="L1877">
        <v>29.8</v>
      </c>
      <c r="M1877" s="453">
        <v>45930</v>
      </c>
      <c r="N1877">
        <v>29.8</v>
      </c>
      <c r="O1877">
        <v>29.8</v>
      </c>
      <c r="P1877">
        <v>199.66</v>
      </c>
    </row>
    <row r="1878" spans="1:16" x14ac:dyDescent="0.3">
      <c r="A1878">
        <v>53733</v>
      </c>
      <c r="B1878">
        <v>116</v>
      </c>
      <c r="C1878" t="s">
        <v>568</v>
      </c>
      <c r="D1878" s="453">
        <v>45931</v>
      </c>
      <c r="E1878">
        <v>20304</v>
      </c>
      <c r="F1878" t="s">
        <v>3938</v>
      </c>
      <c r="G1878">
        <v>2223</v>
      </c>
      <c r="H1878">
        <v>6</v>
      </c>
      <c r="I1878" t="s">
        <v>3888</v>
      </c>
      <c r="J1878" t="s">
        <v>3469</v>
      </c>
      <c r="K1878" t="s">
        <v>3736</v>
      </c>
      <c r="L1878">
        <v>32.270000000000003</v>
      </c>
      <c r="M1878" s="453">
        <v>45926</v>
      </c>
      <c r="N1878">
        <v>34.78</v>
      </c>
      <c r="O1878">
        <v>34.78</v>
      </c>
      <c r="P1878">
        <v>193.62</v>
      </c>
    </row>
    <row r="1879" spans="1:16" x14ac:dyDescent="0.3">
      <c r="A1879">
        <v>53711</v>
      </c>
      <c r="B1879">
        <v>116</v>
      </c>
      <c r="C1879" t="s">
        <v>568</v>
      </c>
      <c r="D1879" s="453">
        <v>45931</v>
      </c>
      <c r="E1879">
        <v>20549</v>
      </c>
      <c r="F1879" t="s">
        <v>4007</v>
      </c>
      <c r="G1879">
        <v>2141</v>
      </c>
      <c r="H1879">
        <v>9.6</v>
      </c>
      <c r="I1879" t="s">
        <v>3892</v>
      </c>
      <c r="J1879" t="s">
        <v>3469</v>
      </c>
      <c r="K1879" t="s">
        <v>3736</v>
      </c>
      <c r="L1879">
        <v>19.989999999999998</v>
      </c>
      <c r="M1879" s="453">
        <v>45917</v>
      </c>
      <c r="N1879">
        <v>19.989999999999998</v>
      </c>
      <c r="O1879">
        <v>20.309999999999999</v>
      </c>
      <c r="P1879">
        <v>191.9</v>
      </c>
    </row>
    <row r="1880" spans="1:16" x14ac:dyDescent="0.3">
      <c r="A1880">
        <v>53810</v>
      </c>
      <c r="B1880">
        <v>116</v>
      </c>
      <c r="C1880" t="s">
        <v>568</v>
      </c>
      <c r="D1880" s="453">
        <v>45931</v>
      </c>
      <c r="E1880">
        <v>18232</v>
      </c>
      <c r="F1880" t="s">
        <v>4091</v>
      </c>
      <c r="G1880">
        <v>3396</v>
      </c>
      <c r="H1880">
        <v>1.8</v>
      </c>
      <c r="I1880" t="s">
        <v>3878</v>
      </c>
      <c r="J1880" t="s">
        <v>3497</v>
      </c>
      <c r="K1880" t="s">
        <v>3736</v>
      </c>
      <c r="L1880">
        <v>0</v>
      </c>
      <c r="M1880" s="453">
        <v>45845</v>
      </c>
      <c r="N1880">
        <v>103.99</v>
      </c>
      <c r="O1880">
        <v>101.7</v>
      </c>
      <c r="P1880">
        <v>187.18</v>
      </c>
    </row>
    <row r="1881" spans="1:16" x14ac:dyDescent="0.3">
      <c r="A1881">
        <v>53702</v>
      </c>
      <c r="B1881">
        <v>116</v>
      </c>
      <c r="C1881" t="s">
        <v>568</v>
      </c>
      <c r="D1881" s="453">
        <v>45931</v>
      </c>
      <c r="E1881">
        <v>19984</v>
      </c>
      <c r="F1881" t="s">
        <v>3904</v>
      </c>
      <c r="G1881">
        <v>2351</v>
      </c>
      <c r="H1881">
        <v>11</v>
      </c>
      <c r="I1881" t="s">
        <v>3872</v>
      </c>
      <c r="J1881" t="s">
        <v>3469</v>
      </c>
      <c r="K1881" t="s">
        <v>3736</v>
      </c>
      <c r="L1881">
        <v>0</v>
      </c>
      <c r="M1881" s="453">
        <v>45882</v>
      </c>
      <c r="N1881">
        <v>16.899999999999999</v>
      </c>
      <c r="O1881">
        <v>18.899999999999999</v>
      </c>
      <c r="P1881">
        <v>185.9</v>
      </c>
    </row>
    <row r="1882" spans="1:16" x14ac:dyDescent="0.3">
      <c r="A1882">
        <v>53681</v>
      </c>
      <c r="B1882">
        <v>116</v>
      </c>
      <c r="C1882" t="s">
        <v>568</v>
      </c>
      <c r="D1882" s="453">
        <v>45931</v>
      </c>
      <c r="E1882">
        <v>20682</v>
      </c>
      <c r="F1882" t="s">
        <v>3929</v>
      </c>
      <c r="G1882">
        <v>2106</v>
      </c>
      <c r="H1882">
        <v>25</v>
      </c>
      <c r="I1882" t="s">
        <v>3872</v>
      </c>
      <c r="J1882" t="s">
        <v>3469</v>
      </c>
      <c r="K1882" t="s">
        <v>3736</v>
      </c>
      <c r="L1882">
        <v>7.36</v>
      </c>
      <c r="M1882" s="453">
        <v>45923</v>
      </c>
      <c r="N1882">
        <v>10.4</v>
      </c>
      <c r="O1882">
        <v>10.4</v>
      </c>
      <c r="P1882">
        <v>184</v>
      </c>
    </row>
    <row r="1883" spans="1:16" x14ac:dyDescent="0.3">
      <c r="A1883">
        <v>53788</v>
      </c>
      <c r="B1883">
        <v>116</v>
      </c>
      <c r="C1883" t="s">
        <v>568</v>
      </c>
      <c r="D1883" s="453">
        <v>45931</v>
      </c>
      <c r="E1883">
        <v>18467</v>
      </c>
      <c r="F1883" t="s">
        <v>4028</v>
      </c>
      <c r="G1883">
        <v>3189</v>
      </c>
      <c r="H1883">
        <v>2.5</v>
      </c>
      <c r="I1883" t="s">
        <v>3878</v>
      </c>
      <c r="J1883" t="s">
        <v>3497</v>
      </c>
      <c r="K1883" t="s">
        <v>3736</v>
      </c>
      <c r="L1883">
        <v>73.459999999999994</v>
      </c>
      <c r="M1883" s="453">
        <v>45918</v>
      </c>
      <c r="N1883">
        <v>75.08</v>
      </c>
      <c r="O1883">
        <v>75.08</v>
      </c>
      <c r="P1883">
        <v>183.65</v>
      </c>
    </row>
    <row r="1884" spans="1:16" x14ac:dyDescent="0.3">
      <c r="A1884">
        <v>53822</v>
      </c>
      <c r="B1884">
        <v>116</v>
      </c>
      <c r="C1884" t="s">
        <v>568</v>
      </c>
      <c r="D1884" s="453">
        <v>45931</v>
      </c>
      <c r="E1884">
        <v>18315</v>
      </c>
      <c r="F1884" t="s">
        <v>4088</v>
      </c>
      <c r="G1884">
        <v>3318</v>
      </c>
      <c r="H1884">
        <v>1.5</v>
      </c>
      <c r="I1884" t="s">
        <v>3878</v>
      </c>
      <c r="J1884" t="s">
        <v>3497</v>
      </c>
      <c r="K1884" t="s">
        <v>3736</v>
      </c>
      <c r="L1884">
        <v>121.99</v>
      </c>
      <c r="M1884" s="453">
        <v>45908</v>
      </c>
      <c r="N1884">
        <v>121.99</v>
      </c>
      <c r="O1884">
        <v>122.9</v>
      </c>
      <c r="P1884">
        <v>182.98</v>
      </c>
    </row>
    <row r="1885" spans="1:16" x14ac:dyDescent="0.3">
      <c r="A1885">
        <v>53684</v>
      </c>
      <c r="B1885">
        <v>116</v>
      </c>
      <c r="C1885" t="s">
        <v>568</v>
      </c>
      <c r="D1885" s="453">
        <v>45931</v>
      </c>
      <c r="E1885">
        <v>25167</v>
      </c>
      <c r="F1885" t="s">
        <v>3951</v>
      </c>
      <c r="G1885">
        <v>5930</v>
      </c>
      <c r="H1885">
        <v>23</v>
      </c>
      <c r="I1885" t="s">
        <v>3892</v>
      </c>
      <c r="J1885" t="s">
        <v>3469</v>
      </c>
      <c r="K1885" t="s">
        <v>3736</v>
      </c>
      <c r="L1885">
        <v>0</v>
      </c>
      <c r="M1885" s="453">
        <v>45840</v>
      </c>
      <c r="N1885">
        <v>7.9</v>
      </c>
      <c r="O1885">
        <v>7.9</v>
      </c>
      <c r="P1885">
        <v>181.7</v>
      </c>
    </row>
    <row r="1886" spans="1:16" x14ac:dyDescent="0.3">
      <c r="A1886">
        <v>53752</v>
      </c>
      <c r="B1886">
        <v>116</v>
      </c>
      <c r="C1886" t="s">
        <v>568</v>
      </c>
      <c r="D1886" s="453">
        <v>45931</v>
      </c>
      <c r="E1886">
        <v>18172</v>
      </c>
      <c r="F1886" t="s">
        <v>3923</v>
      </c>
      <c r="G1886">
        <v>3450</v>
      </c>
      <c r="H1886">
        <v>5.8</v>
      </c>
      <c r="I1886" t="s">
        <v>3878</v>
      </c>
      <c r="J1886" t="s">
        <v>3497</v>
      </c>
      <c r="K1886" t="s">
        <v>3736</v>
      </c>
      <c r="L1886">
        <v>30.89</v>
      </c>
      <c r="M1886" s="453">
        <v>45918</v>
      </c>
      <c r="N1886">
        <v>28.98</v>
      </c>
      <c r="O1886">
        <v>31.77</v>
      </c>
      <c r="P1886">
        <v>179.16</v>
      </c>
    </row>
    <row r="1887" spans="1:16" x14ac:dyDescent="0.3">
      <c r="A1887">
        <v>53787</v>
      </c>
      <c r="B1887">
        <v>116</v>
      </c>
      <c r="C1887" t="s">
        <v>568</v>
      </c>
      <c r="D1887" s="453">
        <v>45931</v>
      </c>
      <c r="E1887">
        <v>18493</v>
      </c>
      <c r="F1887" t="s">
        <v>3958</v>
      </c>
      <c r="G1887">
        <v>3164</v>
      </c>
      <c r="H1887">
        <v>2.5</v>
      </c>
      <c r="I1887" t="s">
        <v>3878</v>
      </c>
      <c r="J1887" t="s">
        <v>3497</v>
      </c>
      <c r="K1887" t="s">
        <v>3736</v>
      </c>
      <c r="L1887">
        <v>69.900000000000006</v>
      </c>
      <c r="M1887" s="453">
        <v>45909</v>
      </c>
      <c r="N1887">
        <v>69.900000000000006</v>
      </c>
      <c r="O1887">
        <v>69.900000000000006</v>
      </c>
      <c r="P1887">
        <v>174.75</v>
      </c>
    </row>
    <row r="1888" spans="1:16" x14ac:dyDescent="0.3">
      <c r="A1888">
        <v>53786</v>
      </c>
      <c r="B1888">
        <v>116</v>
      </c>
      <c r="C1888" t="s">
        <v>568</v>
      </c>
      <c r="D1888" s="453">
        <v>45931</v>
      </c>
      <c r="E1888">
        <v>20624</v>
      </c>
      <c r="F1888" t="s">
        <v>3982</v>
      </c>
      <c r="G1888">
        <v>2116</v>
      </c>
      <c r="H1888">
        <v>2.5</v>
      </c>
      <c r="I1888" t="s">
        <v>3966</v>
      </c>
      <c r="J1888" t="s">
        <v>3469</v>
      </c>
      <c r="K1888" t="s">
        <v>3736</v>
      </c>
      <c r="L1888">
        <v>69.83</v>
      </c>
      <c r="M1888" s="453">
        <v>45922</v>
      </c>
      <c r="N1888">
        <v>69.900000000000006</v>
      </c>
      <c r="O1888">
        <v>69.78</v>
      </c>
      <c r="P1888">
        <v>174.58</v>
      </c>
    </row>
    <row r="1889" spans="1:16" x14ac:dyDescent="0.3">
      <c r="A1889">
        <v>53705</v>
      </c>
      <c r="B1889">
        <v>116</v>
      </c>
      <c r="C1889" t="s">
        <v>568</v>
      </c>
      <c r="D1889" s="453">
        <v>45931</v>
      </c>
      <c r="E1889">
        <v>18996</v>
      </c>
      <c r="F1889" t="s">
        <v>3946</v>
      </c>
      <c r="G1889">
        <v>2900</v>
      </c>
      <c r="H1889">
        <v>10.9</v>
      </c>
      <c r="I1889" t="s">
        <v>3892</v>
      </c>
      <c r="J1889" t="s">
        <v>3469</v>
      </c>
      <c r="K1889" t="s">
        <v>3736</v>
      </c>
      <c r="L1889">
        <v>15.4</v>
      </c>
      <c r="M1889" s="453">
        <v>45908</v>
      </c>
      <c r="N1889">
        <v>15.4</v>
      </c>
      <c r="O1889">
        <v>17.8</v>
      </c>
      <c r="P1889">
        <v>167.86</v>
      </c>
    </row>
    <row r="1890" spans="1:16" x14ac:dyDescent="0.3">
      <c r="A1890">
        <v>53751</v>
      </c>
      <c r="B1890">
        <v>116</v>
      </c>
      <c r="C1890" t="s">
        <v>568</v>
      </c>
      <c r="D1890" s="453">
        <v>45931</v>
      </c>
      <c r="E1890">
        <v>18547</v>
      </c>
      <c r="F1890" t="s">
        <v>3962</v>
      </c>
      <c r="G1890">
        <v>3132</v>
      </c>
      <c r="H1890">
        <v>4.8</v>
      </c>
      <c r="I1890" t="s">
        <v>3878</v>
      </c>
      <c r="J1890" t="s">
        <v>3497</v>
      </c>
      <c r="K1890" t="s">
        <v>3736</v>
      </c>
      <c r="L1890">
        <v>0</v>
      </c>
      <c r="M1890" s="453">
        <v>45770</v>
      </c>
      <c r="N1890">
        <v>34.74</v>
      </c>
      <c r="O1890">
        <v>34.99</v>
      </c>
      <c r="P1890">
        <v>166.75</v>
      </c>
    </row>
    <row r="1891" spans="1:16" x14ac:dyDescent="0.3">
      <c r="A1891">
        <v>53854</v>
      </c>
      <c r="B1891">
        <v>116</v>
      </c>
      <c r="C1891" t="s">
        <v>568</v>
      </c>
      <c r="D1891" s="453">
        <v>45931</v>
      </c>
      <c r="E1891">
        <v>18550</v>
      </c>
      <c r="F1891" t="s">
        <v>4083</v>
      </c>
      <c r="G1891">
        <v>3130</v>
      </c>
      <c r="H1891">
        <v>1</v>
      </c>
      <c r="I1891" t="s">
        <v>3878</v>
      </c>
      <c r="J1891" t="s">
        <v>3497</v>
      </c>
      <c r="K1891" t="s">
        <v>3736</v>
      </c>
      <c r="L1891">
        <v>0</v>
      </c>
      <c r="M1891" s="453">
        <v>-693593</v>
      </c>
      <c r="N1891">
        <v>0</v>
      </c>
      <c r="O1891">
        <v>169.9</v>
      </c>
      <c r="P1891">
        <v>165.45</v>
      </c>
    </row>
    <row r="1892" spans="1:16" x14ac:dyDescent="0.3">
      <c r="A1892">
        <v>53747</v>
      </c>
      <c r="B1892">
        <v>116</v>
      </c>
      <c r="C1892" t="s">
        <v>568</v>
      </c>
      <c r="D1892" s="453">
        <v>45931</v>
      </c>
      <c r="E1892">
        <v>19405</v>
      </c>
      <c r="F1892" t="s">
        <v>4097</v>
      </c>
      <c r="G1892">
        <v>2761</v>
      </c>
      <c r="H1892">
        <v>5</v>
      </c>
      <c r="I1892" t="s">
        <v>3892</v>
      </c>
      <c r="J1892" t="s">
        <v>3469</v>
      </c>
      <c r="K1892" t="s">
        <v>3736</v>
      </c>
      <c r="L1892">
        <v>32.82</v>
      </c>
      <c r="M1892" s="453">
        <v>45930</v>
      </c>
      <c r="N1892">
        <v>32.82</v>
      </c>
      <c r="O1892">
        <v>49.23</v>
      </c>
      <c r="P1892">
        <v>164.1</v>
      </c>
    </row>
    <row r="1893" spans="1:16" x14ac:dyDescent="0.3">
      <c r="A1893">
        <v>53812</v>
      </c>
      <c r="B1893">
        <v>116</v>
      </c>
      <c r="C1893" t="s">
        <v>568</v>
      </c>
      <c r="D1893" s="453">
        <v>45931</v>
      </c>
      <c r="E1893">
        <v>18233</v>
      </c>
      <c r="F1893" t="s">
        <v>4090</v>
      </c>
      <c r="G1893">
        <v>3395</v>
      </c>
      <c r="H1893">
        <v>1.6</v>
      </c>
      <c r="I1893" t="s">
        <v>3878</v>
      </c>
      <c r="J1893" t="s">
        <v>3497</v>
      </c>
      <c r="K1893" t="s">
        <v>3736</v>
      </c>
      <c r="L1893">
        <v>101.7</v>
      </c>
      <c r="M1893" s="453">
        <v>45909</v>
      </c>
      <c r="N1893">
        <v>101.7</v>
      </c>
      <c r="O1893">
        <v>101</v>
      </c>
      <c r="P1893">
        <v>162.72</v>
      </c>
    </row>
    <row r="1894" spans="1:16" x14ac:dyDescent="0.3">
      <c r="A1894">
        <v>53759</v>
      </c>
      <c r="B1894">
        <v>116</v>
      </c>
      <c r="C1894" t="s">
        <v>568</v>
      </c>
      <c r="D1894" s="453">
        <v>45931</v>
      </c>
      <c r="E1894">
        <v>24116</v>
      </c>
      <c r="F1894" t="s">
        <v>3963</v>
      </c>
      <c r="G1894">
        <v>2924</v>
      </c>
      <c r="H1894">
        <v>3.6</v>
      </c>
      <c r="I1894" t="s">
        <v>3892</v>
      </c>
      <c r="J1894" t="s">
        <v>3469</v>
      </c>
      <c r="K1894" t="s">
        <v>3736</v>
      </c>
      <c r="L1894">
        <v>44</v>
      </c>
      <c r="M1894" s="453">
        <v>45909</v>
      </c>
      <c r="N1894">
        <v>44</v>
      </c>
      <c r="O1894">
        <v>44</v>
      </c>
      <c r="P1894">
        <v>158.4</v>
      </c>
    </row>
    <row r="1895" spans="1:16" x14ac:dyDescent="0.3">
      <c r="A1895">
        <v>53736</v>
      </c>
      <c r="B1895">
        <v>116</v>
      </c>
      <c r="C1895" t="s">
        <v>568</v>
      </c>
      <c r="D1895" s="453">
        <v>45931</v>
      </c>
      <c r="E1895">
        <v>20621</v>
      </c>
      <c r="F1895" t="s">
        <v>3885</v>
      </c>
      <c r="G1895">
        <v>2117</v>
      </c>
      <c r="H1895">
        <v>6</v>
      </c>
      <c r="I1895" t="s">
        <v>3886</v>
      </c>
      <c r="J1895" t="s">
        <v>3469</v>
      </c>
      <c r="K1895" t="s">
        <v>3736</v>
      </c>
      <c r="L1895">
        <v>26.1</v>
      </c>
      <c r="M1895" s="453">
        <v>45922</v>
      </c>
      <c r="N1895">
        <v>26.1</v>
      </c>
      <c r="O1895">
        <v>26.1</v>
      </c>
      <c r="P1895">
        <v>156.6</v>
      </c>
    </row>
    <row r="1896" spans="1:16" x14ac:dyDescent="0.3">
      <c r="A1896">
        <v>53740</v>
      </c>
      <c r="B1896">
        <v>116</v>
      </c>
      <c r="C1896" t="s">
        <v>568</v>
      </c>
      <c r="D1896" s="453">
        <v>45931</v>
      </c>
      <c r="E1896">
        <v>18253</v>
      </c>
      <c r="F1896" t="s">
        <v>3947</v>
      </c>
      <c r="G1896">
        <v>3376</v>
      </c>
      <c r="H1896">
        <v>5.4</v>
      </c>
      <c r="I1896" t="s">
        <v>3878</v>
      </c>
      <c r="J1896" t="s">
        <v>3497</v>
      </c>
      <c r="K1896" t="s">
        <v>3736</v>
      </c>
      <c r="L1896">
        <v>28.89</v>
      </c>
      <c r="M1896" s="453">
        <v>45918</v>
      </c>
      <c r="N1896">
        <v>28.89</v>
      </c>
      <c r="O1896">
        <v>28.99</v>
      </c>
      <c r="P1896">
        <v>156.01</v>
      </c>
    </row>
    <row r="1897" spans="1:16" x14ac:dyDescent="0.3">
      <c r="A1897">
        <v>53683</v>
      </c>
      <c r="B1897">
        <v>116</v>
      </c>
      <c r="C1897" t="s">
        <v>568</v>
      </c>
      <c r="D1897" s="453">
        <v>45931</v>
      </c>
      <c r="E1897">
        <v>24226</v>
      </c>
      <c r="F1897" t="s">
        <v>3998</v>
      </c>
      <c r="G1897">
        <v>3647</v>
      </c>
      <c r="H1897">
        <v>24</v>
      </c>
      <c r="I1897" t="s">
        <v>3872</v>
      </c>
      <c r="J1897" t="s">
        <v>3497</v>
      </c>
      <c r="K1897" t="s">
        <v>3736</v>
      </c>
      <c r="L1897">
        <v>0</v>
      </c>
      <c r="M1897" s="453">
        <v>45355</v>
      </c>
      <c r="N1897">
        <v>6.42</v>
      </c>
      <c r="O1897">
        <v>6.82</v>
      </c>
      <c r="P1897">
        <v>154</v>
      </c>
    </row>
    <row r="1898" spans="1:16" x14ac:dyDescent="0.3">
      <c r="A1898">
        <v>53695</v>
      </c>
      <c r="B1898">
        <v>116</v>
      </c>
      <c r="C1898" t="s">
        <v>568</v>
      </c>
      <c r="D1898" s="453">
        <v>45931</v>
      </c>
      <c r="E1898">
        <v>20703</v>
      </c>
      <c r="F1898" t="s">
        <v>3893</v>
      </c>
      <c r="G1898">
        <v>2100</v>
      </c>
      <c r="H1898">
        <v>12</v>
      </c>
      <c r="I1898" t="s">
        <v>3886</v>
      </c>
      <c r="J1898" t="s">
        <v>3469</v>
      </c>
      <c r="K1898" t="s">
        <v>3736</v>
      </c>
      <c r="L1898">
        <v>0</v>
      </c>
      <c r="M1898" s="453">
        <v>45714</v>
      </c>
      <c r="N1898">
        <v>12.8</v>
      </c>
      <c r="O1898">
        <v>13.86</v>
      </c>
      <c r="P1898">
        <v>153.6</v>
      </c>
    </row>
    <row r="1899" spans="1:16" x14ac:dyDescent="0.3">
      <c r="A1899">
        <v>53741</v>
      </c>
      <c r="B1899">
        <v>116</v>
      </c>
      <c r="C1899" t="s">
        <v>568</v>
      </c>
      <c r="D1899" s="453">
        <v>45931</v>
      </c>
      <c r="E1899">
        <v>18702</v>
      </c>
      <c r="F1899" t="s">
        <v>4043</v>
      </c>
      <c r="G1899">
        <v>3033</v>
      </c>
      <c r="H1899">
        <v>5.2</v>
      </c>
      <c r="I1899" t="s">
        <v>3892</v>
      </c>
      <c r="J1899" t="s">
        <v>3469</v>
      </c>
      <c r="K1899" t="s">
        <v>3736</v>
      </c>
      <c r="L1899">
        <v>29.44</v>
      </c>
      <c r="M1899" s="453">
        <v>45930</v>
      </c>
      <c r="N1899">
        <v>28.9</v>
      </c>
      <c r="O1899">
        <v>28.9</v>
      </c>
      <c r="P1899">
        <v>153.09</v>
      </c>
    </row>
    <row r="1900" spans="1:16" x14ac:dyDescent="0.3">
      <c r="A1900">
        <v>53820</v>
      </c>
      <c r="B1900">
        <v>116</v>
      </c>
      <c r="C1900" t="s">
        <v>568</v>
      </c>
      <c r="D1900" s="453">
        <v>45931</v>
      </c>
      <c r="E1900">
        <v>18359</v>
      </c>
      <c r="F1900" t="s">
        <v>4029</v>
      </c>
      <c r="G1900">
        <v>3278</v>
      </c>
      <c r="H1900">
        <v>1.5</v>
      </c>
      <c r="I1900" t="s">
        <v>3878</v>
      </c>
      <c r="J1900" t="s">
        <v>3497</v>
      </c>
      <c r="K1900" t="s">
        <v>3736</v>
      </c>
      <c r="L1900">
        <v>99.9</v>
      </c>
      <c r="M1900" s="453">
        <v>45903</v>
      </c>
      <c r="N1900">
        <v>99.9</v>
      </c>
      <c r="O1900">
        <v>97.9</v>
      </c>
      <c r="P1900">
        <v>149.85</v>
      </c>
    </row>
    <row r="1901" spans="1:16" x14ac:dyDescent="0.3">
      <c r="A1901">
        <v>53770</v>
      </c>
      <c r="B1901">
        <v>116</v>
      </c>
      <c r="C1901" t="s">
        <v>568</v>
      </c>
      <c r="D1901" s="453">
        <v>45931</v>
      </c>
      <c r="E1901">
        <v>20007</v>
      </c>
      <c r="F1901" t="s">
        <v>4009</v>
      </c>
      <c r="G1901">
        <v>2343</v>
      </c>
      <c r="H1901">
        <v>3</v>
      </c>
      <c r="I1901" t="s">
        <v>3966</v>
      </c>
      <c r="J1901" t="s">
        <v>3469</v>
      </c>
      <c r="K1901" t="s">
        <v>3736</v>
      </c>
      <c r="L1901">
        <v>49</v>
      </c>
      <c r="M1901" s="453">
        <v>45923</v>
      </c>
      <c r="N1901">
        <v>48.8</v>
      </c>
      <c r="O1901">
        <v>48.9</v>
      </c>
      <c r="P1901">
        <v>147</v>
      </c>
    </row>
    <row r="1902" spans="1:16" x14ac:dyDescent="0.3">
      <c r="A1902">
        <v>53760</v>
      </c>
      <c r="B1902">
        <v>116</v>
      </c>
      <c r="C1902" t="s">
        <v>568</v>
      </c>
      <c r="D1902" s="453">
        <v>45931</v>
      </c>
      <c r="E1902">
        <v>20057</v>
      </c>
      <c r="F1902" t="s">
        <v>3967</v>
      </c>
      <c r="G1902">
        <v>2324</v>
      </c>
      <c r="H1902">
        <v>3.5</v>
      </c>
      <c r="I1902" t="s">
        <v>3872</v>
      </c>
      <c r="J1902" t="s">
        <v>3469</v>
      </c>
      <c r="K1902" t="s">
        <v>3736</v>
      </c>
      <c r="L1902">
        <v>40.78</v>
      </c>
      <c r="M1902" s="453">
        <v>45922</v>
      </c>
      <c r="N1902">
        <v>40.869999999999997</v>
      </c>
      <c r="O1902">
        <v>40.700000000000003</v>
      </c>
      <c r="P1902">
        <v>142.72999999999999</v>
      </c>
    </row>
    <row r="1903" spans="1:16" x14ac:dyDescent="0.3">
      <c r="A1903">
        <v>53664</v>
      </c>
      <c r="B1903">
        <v>116</v>
      </c>
      <c r="C1903" t="s">
        <v>568</v>
      </c>
      <c r="D1903" s="453">
        <v>45931</v>
      </c>
      <c r="E1903">
        <v>17957</v>
      </c>
      <c r="F1903" t="s">
        <v>3879</v>
      </c>
      <c r="G1903">
        <v>3622</v>
      </c>
      <c r="H1903">
        <v>8.83</v>
      </c>
      <c r="I1903" t="s">
        <v>3872</v>
      </c>
      <c r="J1903" t="s">
        <v>3497</v>
      </c>
      <c r="K1903" t="s">
        <v>3736</v>
      </c>
      <c r="L1903">
        <v>0</v>
      </c>
      <c r="M1903" s="453">
        <v>45859</v>
      </c>
      <c r="N1903">
        <v>15.9</v>
      </c>
      <c r="O1903">
        <v>15.9</v>
      </c>
      <c r="P1903">
        <v>140.4</v>
      </c>
    </row>
    <row r="1904" spans="1:16" x14ac:dyDescent="0.3">
      <c r="A1904">
        <v>53668</v>
      </c>
      <c r="B1904">
        <v>116</v>
      </c>
      <c r="C1904" t="s">
        <v>568</v>
      </c>
      <c r="D1904" s="453">
        <v>45931</v>
      </c>
      <c r="E1904">
        <v>17881</v>
      </c>
      <c r="F1904" t="s">
        <v>4095</v>
      </c>
      <c r="G1904">
        <v>3675</v>
      </c>
      <c r="H1904">
        <v>4.75</v>
      </c>
      <c r="I1904" t="s">
        <v>3888</v>
      </c>
      <c r="J1904" t="s">
        <v>3497</v>
      </c>
      <c r="K1904" t="s">
        <v>3736</v>
      </c>
      <c r="L1904">
        <v>28.32</v>
      </c>
      <c r="M1904" s="453">
        <v>45930</v>
      </c>
      <c r="N1904">
        <v>28.32</v>
      </c>
      <c r="O1904">
        <v>28.32</v>
      </c>
      <c r="P1904">
        <v>134.52000000000001</v>
      </c>
    </row>
    <row r="1905" spans="1:16" x14ac:dyDescent="0.3">
      <c r="A1905">
        <v>53858</v>
      </c>
      <c r="B1905">
        <v>116</v>
      </c>
      <c r="C1905" t="s">
        <v>568</v>
      </c>
      <c r="D1905" s="453">
        <v>45931</v>
      </c>
      <c r="E1905">
        <v>18394</v>
      </c>
      <c r="F1905" t="s">
        <v>4044</v>
      </c>
      <c r="G1905">
        <v>3246</v>
      </c>
      <c r="H1905">
        <v>1</v>
      </c>
      <c r="I1905" t="s">
        <v>3878</v>
      </c>
      <c r="J1905" t="s">
        <v>3497</v>
      </c>
      <c r="K1905" t="s">
        <v>3736</v>
      </c>
      <c r="L1905">
        <v>132</v>
      </c>
      <c r="M1905" s="453">
        <v>45908</v>
      </c>
      <c r="N1905">
        <v>132</v>
      </c>
      <c r="O1905">
        <v>132</v>
      </c>
      <c r="P1905">
        <v>132</v>
      </c>
    </row>
    <row r="1906" spans="1:16" x14ac:dyDescent="0.3">
      <c r="A1906">
        <v>53863</v>
      </c>
      <c r="B1906">
        <v>116</v>
      </c>
      <c r="C1906" t="s">
        <v>568</v>
      </c>
      <c r="D1906" s="453">
        <v>45931</v>
      </c>
      <c r="E1906">
        <v>18129</v>
      </c>
      <c r="F1906" t="s">
        <v>4092</v>
      </c>
      <c r="G1906">
        <v>3486</v>
      </c>
      <c r="H1906">
        <v>1</v>
      </c>
      <c r="I1906" t="s">
        <v>3878</v>
      </c>
      <c r="J1906" t="s">
        <v>3497</v>
      </c>
      <c r="K1906" t="s">
        <v>3736</v>
      </c>
      <c r="L1906">
        <v>0</v>
      </c>
      <c r="M1906" s="453">
        <v>45840</v>
      </c>
      <c r="N1906">
        <v>128.80000000000001</v>
      </c>
      <c r="O1906">
        <v>120.9</v>
      </c>
      <c r="P1906">
        <v>128.80000000000001</v>
      </c>
    </row>
    <row r="1907" spans="1:16" x14ac:dyDescent="0.3">
      <c r="A1907">
        <v>53802</v>
      </c>
      <c r="B1907">
        <v>116</v>
      </c>
      <c r="C1907" t="s">
        <v>568</v>
      </c>
      <c r="D1907" s="453">
        <v>45931</v>
      </c>
      <c r="E1907">
        <v>19566</v>
      </c>
      <c r="F1907" t="s">
        <v>3986</v>
      </c>
      <c r="G1907">
        <v>2651</v>
      </c>
      <c r="H1907">
        <v>2</v>
      </c>
      <c r="I1907" t="s">
        <v>3892</v>
      </c>
      <c r="J1907" t="s">
        <v>3469</v>
      </c>
      <c r="K1907" t="s">
        <v>3736</v>
      </c>
      <c r="L1907">
        <v>0</v>
      </c>
      <c r="M1907" s="453">
        <v>45887</v>
      </c>
      <c r="N1907">
        <v>60</v>
      </c>
      <c r="O1907">
        <v>60</v>
      </c>
      <c r="P1907">
        <v>120</v>
      </c>
    </row>
    <row r="1908" spans="1:16" x14ac:dyDescent="0.3">
      <c r="A1908">
        <v>53823</v>
      </c>
      <c r="B1908">
        <v>116</v>
      </c>
      <c r="C1908" t="s">
        <v>568</v>
      </c>
      <c r="D1908" s="453">
        <v>45931</v>
      </c>
      <c r="E1908">
        <v>18111</v>
      </c>
      <c r="F1908" t="s">
        <v>4047</v>
      </c>
      <c r="G1908">
        <v>3500</v>
      </c>
      <c r="H1908">
        <v>1.5</v>
      </c>
      <c r="I1908" t="s">
        <v>3878</v>
      </c>
      <c r="J1908" t="s">
        <v>3497</v>
      </c>
      <c r="K1908" t="s">
        <v>3736</v>
      </c>
      <c r="L1908">
        <v>0</v>
      </c>
      <c r="M1908" s="453">
        <v>45895</v>
      </c>
      <c r="N1908">
        <v>78.489999999999995</v>
      </c>
      <c r="O1908">
        <v>89.9</v>
      </c>
      <c r="P1908">
        <v>117.73</v>
      </c>
    </row>
    <row r="1909" spans="1:16" x14ac:dyDescent="0.3">
      <c r="A1909">
        <v>53737</v>
      </c>
      <c r="B1909">
        <v>116</v>
      </c>
      <c r="C1909" t="s">
        <v>568</v>
      </c>
      <c r="D1909" s="453">
        <v>45931</v>
      </c>
      <c r="E1909">
        <v>18933</v>
      </c>
      <c r="F1909" t="s">
        <v>3957</v>
      </c>
      <c r="G1909">
        <v>2930</v>
      </c>
      <c r="H1909">
        <v>6</v>
      </c>
      <c r="I1909" t="s">
        <v>3892</v>
      </c>
      <c r="J1909" t="s">
        <v>3469</v>
      </c>
      <c r="K1909" t="s">
        <v>3736</v>
      </c>
      <c r="L1909">
        <v>19.5</v>
      </c>
      <c r="M1909" s="453">
        <v>45923</v>
      </c>
      <c r="N1909">
        <v>19.5</v>
      </c>
      <c r="O1909">
        <v>19.5</v>
      </c>
      <c r="P1909">
        <v>117</v>
      </c>
    </row>
    <row r="1910" spans="1:16" x14ac:dyDescent="0.3">
      <c r="A1910">
        <v>53808</v>
      </c>
      <c r="B1910">
        <v>116</v>
      </c>
      <c r="C1910" t="s">
        <v>568</v>
      </c>
      <c r="D1910" s="453">
        <v>45931</v>
      </c>
      <c r="E1910">
        <v>20466</v>
      </c>
      <c r="F1910" t="s">
        <v>4098</v>
      </c>
      <c r="G1910">
        <v>2160</v>
      </c>
      <c r="H1910">
        <v>1.8</v>
      </c>
      <c r="I1910" t="s">
        <v>3892</v>
      </c>
      <c r="J1910" t="s">
        <v>3469</v>
      </c>
      <c r="K1910" t="s">
        <v>3736</v>
      </c>
      <c r="L1910">
        <v>0</v>
      </c>
      <c r="M1910" s="453">
        <v>45854</v>
      </c>
      <c r="N1910">
        <v>65</v>
      </c>
      <c r="O1910">
        <v>65</v>
      </c>
      <c r="P1910">
        <v>117</v>
      </c>
    </row>
    <row r="1911" spans="1:16" x14ac:dyDescent="0.3">
      <c r="A1911">
        <v>53785</v>
      </c>
      <c r="B1911">
        <v>116</v>
      </c>
      <c r="C1911" t="s">
        <v>568</v>
      </c>
      <c r="D1911" s="453">
        <v>45931</v>
      </c>
      <c r="E1911">
        <v>19967</v>
      </c>
      <c r="F1911" t="s">
        <v>3930</v>
      </c>
      <c r="G1911">
        <v>2356</v>
      </c>
      <c r="H1911">
        <v>2.5</v>
      </c>
      <c r="I1911" t="s">
        <v>3931</v>
      </c>
      <c r="J1911" t="s">
        <v>3469</v>
      </c>
      <c r="K1911" t="s">
        <v>3736</v>
      </c>
      <c r="L1911">
        <v>46.7</v>
      </c>
      <c r="M1911" s="453">
        <v>45922</v>
      </c>
      <c r="N1911">
        <v>47.3</v>
      </c>
      <c r="O1911">
        <v>47.2</v>
      </c>
      <c r="P1911">
        <v>116.75</v>
      </c>
    </row>
    <row r="1912" spans="1:16" x14ac:dyDescent="0.3">
      <c r="A1912">
        <v>53687</v>
      </c>
      <c r="B1912">
        <v>116</v>
      </c>
      <c r="C1912" t="s">
        <v>568</v>
      </c>
      <c r="D1912" s="453">
        <v>45931</v>
      </c>
      <c r="E1912">
        <v>24227</v>
      </c>
      <c r="F1912" t="s">
        <v>3970</v>
      </c>
      <c r="G1912">
        <v>3648</v>
      </c>
      <c r="H1912">
        <v>17</v>
      </c>
      <c r="I1912" t="s">
        <v>3872</v>
      </c>
      <c r="J1912" t="s">
        <v>3497</v>
      </c>
      <c r="K1912" t="s">
        <v>3736</v>
      </c>
      <c r="L1912">
        <v>0</v>
      </c>
      <c r="M1912" s="453">
        <v>-693593</v>
      </c>
      <c r="N1912">
        <v>0</v>
      </c>
      <c r="O1912">
        <v>28.8</v>
      </c>
      <c r="P1912">
        <v>115.94</v>
      </c>
    </row>
    <row r="1913" spans="1:16" x14ac:dyDescent="0.3">
      <c r="A1913">
        <v>53673</v>
      </c>
      <c r="B1913">
        <v>116</v>
      </c>
      <c r="C1913" t="s">
        <v>568</v>
      </c>
      <c r="D1913" s="453">
        <v>45931</v>
      </c>
      <c r="E1913">
        <v>27079</v>
      </c>
      <c r="F1913" t="s">
        <v>3891</v>
      </c>
      <c r="G1913">
        <v>2497</v>
      </c>
      <c r="H1913">
        <v>35</v>
      </c>
      <c r="I1913" t="s">
        <v>3892</v>
      </c>
      <c r="J1913" t="s">
        <v>3469</v>
      </c>
      <c r="K1913" t="s">
        <v>3736</v>
      </c>
      <c r="L1913">
        <v>0</v>
      </c>
      <c r="M1913" s="453">
        <v>45813</v>
      </c>
      <c r="N1913">
        <v>3.25</v>
      </c>
      <c r="O1913">
        <v>3.25</v>
      </c>
      <c r="P1913">
        <v>113.75</v>
      </c>
    </row>
    <row r="1914" spans="1:16" x14ac:dyDescent="0.3">
      <c r="A1914">
        <v>53780</v>
      </c>
      <c r="B1914">
        <v>116</v>
      </c>
      <c r="C1914" t="s">
        <v>568</v>
      </c>
      <c r="D1914" s="453">
        <v>45931</v>
      </c>
      <c r="E1914">
        <v>20456</v>
      </c>
      <c r="F1914" t="s">
        <v>4000</v>
      </c>
      <c r="G1914">
        <v>2166</v>
      </c>
      <c r="H1914">
        <v>2.9</v>
      </c>
      <c r="I1914" t="s">
        <v>3892</v>
      </c>
      <c r="J1914" t="s">
        <v>3469</v>
      </c>
      <c r="K1914" t="s">
        <v>3736</v>
      </c>
      <c r="L1914">
        <v>0</v>
      </c>
      <c r="M1914" s="453">
        <v>45860</v>
      </c>
      <c r="N1914">
        <v>39</v>
      </c>
      <c r="O1914">
        <v>39</v>
      </c>
      <c r="P1914">
        <v>113.1</v>
      </c>
    </row>
    <row r="1915" spans="1:16" x14ac:dyDescent="0.3">
      <c r="A1915">
        <v>53771</v>
      </c>
      <c r="B1915">
        <v>116</v>
      </c>
      <c r="C1915" t="s">
        <v>568</v>
      </c>
      <c r="D1915" s="453">
        <v>45931</v>
      </c>
      <c r="E1915">
        <v>20117</v>
      </c>
      <c r="F1915" t="s">
        <v>4010</v>
      </c>
      <c r="G1915">
        <v>2291</v>
      </c>
      <c r="H1915">
        <v>3</v>
      </c>
      <c r="I1915" t="s">
        <v>3872</v>
      </c>
      <c r="J1915" t="s">
        <v>3469</v>
      </c>
      <c r="K1915" t="s">
        <v>3736</v>
      </c>
      <c r="L1915">
        <v>0</v>
      </c>
      <c r="M1915" s="453">
        <v>45895</v>
      </c>
      <c r="N1915">
        <v>37.5</v>
      </c>
      <c r="O1915">
        <v>37.9</v>
      </c>
      <c r="P1915">
        <v>112.5</v>
      </c>
    </row>
    <row r="1916" spans="1:16" x14ac:dyDescent="0.3">
      <c r="A1916">
        <v>53766</v>
      </c>
      <c r="B1916">
        <v>116</v>
      </c>
      <c r="C1916" t="s">
        <v>568</v>
      </c>
      <c r="D1916" s="453">
        <v>45931</v>
      </c>
      <c r="E1916">
        <v>21166</v>
      </c>
      <c r="F1916" t="s">
        <v>4001</v>
      </c>
      <c r="G1916">
        <v>1940</v>
      </c>
      <c r="H1916">
        <v>3</v>
      </c>
      <c r="I1916" t="s">
        <v>3872</v>
      </c>
      <c r="J1916" t="s">
        <v>3469</v>
      </c>
      <c r="K1916" t="s">
        <v>3736</v>
      </c>
      <c r="L1916">
        <v>0</v>
      </c>
      <c r="M1916" s="453">
        <v>45615</v>
      </c>
      <c r="N1916">
        <v>36</v>
      </c>
      <c r="O1916">
        <v>36</v>
      </c>
      <c r="P1916">
        <v>108</v>
      </c>
    </row>
    <row r="1917" spans="1:16" x14ac:dyDescent="0.3">
      <c r="A1917">
        <v>53769</v>
      </c>
      <c r="B1917">
        <v>116</v>
      </c>
      <c r="C1917" t="s">
        <v>568</v>
      </c>
      <c r="D1917" s="453">
        <v>45931</v>
      </c>
      <c r="E1917">
        <v>20508</v>
      </c>
      <c r="F1917" t="s">
        <v>4449</v>
      </c>
      <c r="G1917">
        <v>2153</v>
      </c>
      <c r="H1917">
        <v>3</v>
      </c>
      <c r="I1917" t="s">
        <v>3892</v>
      </c>
      <c r="J1917" t="s">
        <v>3469</v>
      </c>
      <c r="K1917" t="s">
        <v>3736</v>
      </c>
      <c r="L1917">
        <v>36</v>
      </c>
      <c r="M1917" s="453">
        <v>45930</v>
      </c>
      <c r="N1917">
        <v>36</v>
      </c>
      <c r="O1917">
        <v>36</v>
      </c>
      <c r="P1917">
        <v>108</v>
      </c>
    </row>
    <row r="1918" spans="1:16" x14ac:dyDescent="0.3">
      <c r="A1918">
        <v>53861</v>
      </c>
      <c r="B1918">
        <v>116</v>
      </c>
      <c r="C1918" t="s">
        <v>568</v>
      </c>
      <c r="D1918" s="453">
        <v>45931</v>
      </c>
      <c r="E1918">
        <v>18312</v>
      </c>
      <c r="F1918" t="s">
        <v>4089</v>
      </c>
      <c r="G1918">
        <v>3321</v>
      </c>
      <c r="H1918">
        <v>1</v>
      </c>
      <c r="I1918" t="s">
        <v>3878</v>
      </c>
      <c r="J1918" t="s">
        <v>3497</v>
      </c>
      <c r="K1918" t="s">
        <v>3736</v>
      </c>
      <c r="L1918">
        <v>0</v>
      </c>
      <c r="M1918" s="453">
        <v>45793</v>
      </c>
      <c r="N1918">
        <v>105.9</v>
      </c>
      <c r="O1918">
        <v>86</v>
      </c>
      <c r="P1918">
        <v>105.9</v>
      </c>
    </row>
    <row r="1919" spans="1:16" x14ac:dyDescent="0.3">
      <c r="A1919">
        <v>53855</v>
      </c>
      <c r="B1919">
        <v>116</v>
      </c>
      <c r="C1919" t="s">
        <v>568</v>
      </c>
      <c r="D1919" s="453">
        <v>45931</v>
      </c>
      <c r="E1919">
        <v>18528</v>
      </c>
      <c r="F1919" t="s">
        <v>4108</v>
      </c>
      <c r="G1919">
        <v>3147</v>
      </c>
      <c r="H1919">
        <v>2</v>
      </c>
      <c r="I1919" t="s">
        <v>3878</v>
      </c>
      <c r="J1919" t="s">
        <v>3497</v>
      </c>
      <c r="K1919" t="s">
        <v>3736</v>
      </c>
      <c r="L1919">
        <v>52.62</v>
      </c>
      <c r="M1919" s="453">
        <v>45908</v>
      </c>
      <c r="N1919">
        <v>52.62</v>
      </c>
      <c r="O1919">
        <v>52.62</v>
      </c>
      <c r="P1919">
        <v>105.24</v>
      </c>
    </row>
    <row r="1920" spans="1:16" x14ac:dyDescent="0.3">
      <c r="A1920">
        <v>53860</v>
      </c>
      <c r="B1920">
        <v>116</v>
      </c>
      <c r="C1920" t="s">
        <v>568</v>
      </c>
      <c r="D1920" s="453">
        <v>45931</v>
      </c>
      <c r="E1920">
        <v>18327</v>
      </c>
      <c r="F1920" t="s">
        <v>4087</v>
      </c>
      <c r="G1920">
        <v>3306</v>
      </c>
      <c r="H1920">
        <v>1</v>
      </c>
      <c r="I1920" t="s">
        <v>3878</v>
      </c>
      <c r="J1920" t="s">
        <v>3497</v>
      </c>
      <c r="K1920" t="s">
        <v>3736</v>
      </c>
      <c r="L1920">
        <v>0</v>
      </c>
      <c r="M1920" s="453">
        <v>45790</v>
      </c>
      <c r="N1920">
        <v>105</v>
      </c>
      <c r="O1920">
        <v>107.99</v>
      </c>
      <c r="P1920">
        <v>105</v>
      </c>
    </row>
    <row r="1921" spans="1:16" x14ac:dyDescent="0.3">
      <c r="A1921">
        <v>53744</v>
      </c>
      <c r="B1921">
        <v>116</v>
      </c>
      <c r="C1921" t="s">
        <v>568</v>
      </c>
      <c r="D1921" s="453">
        <v>45931</v>
      </c>
      <c r="E1921">
        <v>20500</v>
      </c>
      <c r="F1921" t="s">
        <v>3954</v>
      </c>
      <c r="G1921">
        <v>2154</v>
      </c>
      <c r="H1921">
        <v>5</v>
      </c>
      <c r="I1921" t="s">
        <v>3872</v>
      </c>
      <c r="J1921" t="s">
        <v>3469</v>
      </c>
      <c r="K1921" t="s">
        <v>3736</v>
      </c>
      <c r="L1921">
        <v>20.8</v>
      </c>
      <c r="M1921" s="453">
        <v>45917</v>
      </c>
      <c r="N1921">
        <v>20.8</v>
      </c>
      <c r="O1921">
        <v>21.9</v>
      </c>
      <c r="P1921">
        <v>104</v>
      </c>
    </row>
    <row r="1922" spans="1:16" x14ac:dyDescent="0.3">
      <c r="A1922">
        <v>53832</v>
      </c>
      <c r="B1922">
        <v>116</v>
      </c>
      <c r="C1922" t="s">
        <v>568</v>
      </c>
      <c r="D1922" s="453">
        <v>45931</v>
      </c>
      <c r="E1922">
        <v>20755</v>
      </c>
      <c r="F1922" t="s">
        <v>4052</v>
      </c>
      <c r="G1922">
        <v>2087</v>
      </c>
      <c r="H1922">
        <v>1</v>
      </c>
      <c r="I1922" t="s">
        <v>3966</v>
      </c>
      <c r="J1922" t="s">
        <v>3469</v>
      </c>
      <c r="K1922" t="s">
        <v>3736</v>
      </c>
      <c r="L1922">
        <v>0</v>
      </c>
      <c r="M1922" s="453">
        <v>45895</v>
      </c>
      <c r="N1922">
        <v>104</v>
      </c>
      <c r="O1922">
        <v>105</v>
      </c>
      <c r="P1922">
        <v>104</v>
      </c>
    </row>
    <row r="1923" spans="1:16" x14ac:dyDescent="0.3">
      <c r="A1923">
        <v>53862</v>
      </c>
      <c r="B1923">
        <v>116</v>
      </c>
      <c r="C1923" t="s">
        <v>568</v>
      </c>
      <c r="D1923" s="453">
        <v>45931</v>
      </c>
      <c r="E1923">
        <v>18146</v>
      </c>
      <c r="F1923" t="s">
        <v>4100</v>
      </c>
      <c r="G1923">
        <v>3471</v>
      </c>
      <c r="H1923">
        <v>1</v>
      </c>
      <c r="I1923" t="s">
        <v>3878</v>
      </c>
      <c r="J1923" t="s">
        <v>3497</v>
      </c>
      <c r="K1923" t="s">
        <v>3736</v>
      </c>
      <c r="L1923">
        <v>0</v>
      </c>
      <c r="M1923" s="453">
        <v>45873</v>
      </c>
      <c r="N1923">
        <v>101</v>
      </c>
      <c r="O1923">
        <v>110</v>
      </c>
      <c r="P1923">
        <v>101</v>
      </c>
    </row>
    <row r="1924" spans="1:16" x14ac:dyDescent="0.3">
      <c r="A1924">
        <v>53669</v>
      </c>
      <c r="B1924">
        <v>116</v>
      </c>
      <c r="C1924" t="s">
        <v>568</v>
      </c>
      <c r="D1924" s="453">
        <v>45931</v>
      </c>
      <c r="E1924">
        <v>24467</v>
      </c>
      <c r="F1924" t="s">
        <v>3944</v>
      </c>
      <c r="G1924">
        <v>3673</v>
      </c>
      <c r="H1924">
        <v>50</v>
      </c>
      <c r="I1924" t="s">
        <v>3872</v>
      </c>
      <c r="J1924" t="s">
        <v>3497</v>
      </c>
      <c r="K1924" t="s">
        <v>3736</v>
      </c>
      <c r="L1924">
        <v>0</v>
      </c>
      <c r="M1924" s="453">
        <v>45510</v>
      </c>
      <c r="N1924">
        <v>1.99</v>
      </c>
      <c r="O1924">
        <v>2.19</v>
      </c>
      <c r="P1924">
        <v>99.5</v>
      </c>
    </row>
    <row r="1925" spans="1:16" x14ac:dyDescent="0.3">
      <c r="A1925">
        <v>53819</v>
      </c>
      <c r="B1925">
        <v>116</v>
      </c>
      <c r="C1925" t="s">
        <v>568</v>
      </c>
      <c r="D1925" s="453">
        <v>45931</v>
      </c>
      <c r="E1925">
        <v>19264</v>
      </c>
      <c r="F1925" t="s">
        <v>4082</v>
      </c>
      <c r="G1925">
        <v>2781</v>
      </c>
      <c r="H1925">
        <v>1.5</v>
      </c>
      <c r="I1925" t="s">
        <v>3888</v>
      </c>
      <c r="J1925" t="s">
        <v>3469</v>
      </c>
      <c r="K1925" t="s">
        <v>3736</v>
      </c>
      <c r="L1925">
        <v>66</v>
      </c>
      <c r="M1925" s="453">
        <v>45916</v>
      </c>
      <c r="N1925">
        <v>66</v>
      </c>
      <c r="O1925">
        <v>59.9</v>
      </c>
      <c r="P1925">
        <v>99</v>
      </c>
    </row>
    <row r="1926" spans="1:16" x14ac:dyDescent="0.3">
      <c r="A1926">
        <v>53761</v>
      </c>
      <c r="B1926">
        <v>116</v>
      </c>
      <c r="C1926" t="s">
        <v>568</v>
      </c>
      <c r="D1926" s="453">
        <v>45931</v>
      </c>
      <c r="E1926">
        <v>23732</v>
      </c>
      <c r="F1926" t="s">
        <v>3973</v>
      </c>
      <c r="G1926">
        <v>2157</v>
      </c>
      <c r="H1926">
        <v>3.5</v>
      </c>
      <c r="I1926" t="s">
        <v>3892</v>
      </c>
      <c r="J1926" t="s">
        <v>3469</v>
      </c>
      <c r="K1926" t="s">
        <v>3736</v>
      </c>
      <c r="L1926">
        <v>28.18</v>
      </c>
      <c r="M1926" s="453">
        <v>45930</v>
      </c>
      <c r="N1926">
        <v>28.75</v>
      </c>
      <c r="O1926">
        <v>28.75</v>
      </c>
      <c r="P1926">
        <v>98.63</v>
      </c>
    </row>
    <row r="1927" spans="1:16" x14ac:dyDescent="0.3">
      <c r="A1927">
        <v>53743</v>
      </c>
      <c r="B1927">
        <v>116</v>
      </c>
      <c r="C1927" t="s">
        <v>568</v>
      </c>
      <c r="D1927" s="453">
        <v>45931</v>
      </c>
      <c r="E1927">
        <v>20234</v>
      </c>
      <c r="F1927" t="s">
        <v>3979</v>
      </c>
      <c r="G1927">
        <v>2245</v>
      </c>
      <c r="H1927">
        <v>5</v>
      </c>
      <c r="I1927" t="s">
        <v>3892</v>
      </c>
      <c r="J1927" t="s">
        <v>3469</v>
      </c>
      <c r="K1927" t="s">
        <v>3736</v>
      </c>
      <c r="L1927">
        <v>19.45</v>
      </c>
      <c r="M1927" s="453">
        <v>45923</v>
      </c>
      <c r="N1927">
        <v>18</v>
      </c>
      <c r="O1927">
        <v>18</v>
      </c>
      <c r="P1927">
        <v>97.25</v>
      </c>
    </row>
    <row r="1928" spans="1:16" x14ac:dyDescent="0.3">
      <c r="A1928">
        <v>53676</v>
      </c>
      <c r="B1928">
        <v>116</v>
      </c>
      <c r="C1928" t="s">
        <v>568</v>
      </c>
      <c r="D1928" s="453">
        <v>45931</v>
      </c>
      <c r="E1928">
        <v>17896</v>
      </c>
      <c r="F1928" t="s">
        <v>3972</v>
      </c>
      <c r="G1928">
        <v>3664</v>
      </c>
      <c r="H1928">
        <v>2.5</v>
      </c>
      <c r="I1928" t="s">
        <v>3888</v>
      </c>
      <c r="J1928" t="s">
        <v>3497</v>
      </c>
      <c r="K1928" t="s">
        <v>3736</v>
      </c>
      <c r="L1928">
        <v>38.64</v>
      </c>
      <c r="M1928" s="453">
        <v>45922</v>
      </c>
      <c r="N1928">
        <v>38.64</v>
      </c>
      <c r="O1928">
        <v>40.29</v>
      </c>
      <c r="P1928">
        <v>96.6</v>
      </c>
    </row>
    <row r="1929" spans="1:16" x14ac:dyDescent="0.3">
      <c r="A1929">
        <v>53696</v>
      </c>
      <c r="B1929">
        <v>116</v>
      </c>
      <c r="C1929" t="s">
        <v>568</v>
      </c>
      <c r="D1929" s="453">
        <v>45931</v>
      </c>
      <c r="E1929">
        <v>20985</v>
      </c>
      <c r="F1929" t="s">
        <v>3914</v>
      </c>
      <c r="G1929">
        <v>2011</v>
      </c>
      <c r="H1929">
        <v>12</v>
      </c>
      <c r="I1929" t="s">
        <v>3872</v>
      </c>
      <c r="J1929" t="s">
        <v>3469</v>
      </c>
      <c r="K1929" t="s">
        <v>3736</v>
      </c>
      <c r="L1929">
        <v>7.94</v>
      </c>
      <c r="M1929" s="453">
        <v>45916</v>
      </c>
      <c r="N1929">
        <v>7.89</v>
      </c>
      <c r="O1929">
        <v>8</v>
      </c>
      <c r="P1929">
        <v>95.28</v>
      </c>
    </row>
    <row r="1930" spans="1:16" x14ac:dyDescent="0.3">
      <c r="A1930">
        <v>53748</v>
      </c>
      <c r="B1930">
        <v>116</v>
      </c>
      <c r="C1930" t="s">
        <v>568</v>
      </c>
      <c r="D1930" s="453">
        <v>45931</v>
      </c>
      <c r="E1930">
        <v>18696</v>
      </c>
      <c r="F1930" t="s">
        <v>3956</v>
      </c>
      <c r="G1930">
        <v>3035</v>
      </c>
      <c r="H1930">
        <v>5</v>
      </c>
      <c r="I1930" t="s">
        <v>3892</v>
      </c>
      <c r="J1930" t="s">
        <v>3469</v>
      </c>
      <c r="K1930" t="s">
        <v>3736</v>
      </c>
      <c r="L1930">
        <v>18.47</v>
      </c>
      <c r="M1930" s="453">
        <v>45923</v>
      </c>
      <c r="N1930">
        <v>19.8</v>
      </c>
      <c r="O1930">
        <v>19.8</v>
      </c>
      <c r="P1930">
        <v>92.35</v>
      </c>
    </row>
    <row r="1931" spans="1:16" x14ac:dyDescent="0.3">
      <c r="A1931">
        <v>53781</v>
      </c>
      <c r="B1931">
        <v>116</v>
      </c>
      <c r="C1931" t="s">
        <v>568</v>
      </c>
      <c r="D1931" s="453">
        <v>45931</v>
      </c>
      <c r="E1931">
        <v>23719</v>
      </c>
      <c r="F1931" t="s">
        <v>4450</v>
      </c>
      <c r="G1931">
        <v>2164</v>
      </c>
      <c r="H1931">
        <v>2.8</v>
      </c>
      <c r="I1931" t="s">
        <v>3892</v>
      </c>
      <c r="J1931" t="s">
        <v>3469</v>
      </c>
      <c r="K1931" t="s">
        <v>3736</v>
      </c>
      <c r="L1931">
        <v>32.9</v>
      </c>
      <c r="M1931" s="453">
        <v>45908</v>
      </c>
      <c r="N1931">
        <v>32.9</v>
      </c>
      <c r="O1931">
        <v>32.9</v>
      </c>
      <c r="P1931">
        <v>92.12</v>
      </c>
    </row>
    <row r="1932" spans="1:16" x14ac:dyDescent="0.3">
      <c r="A1932">
        <v>53789</v>
      </c>
      <c r="B1932">
        <v>116</v>
      </c>
      <c r="C1932" t="s">
        <v>568</v>
      </c>
      <c r="D1932" s="453">
        <v>45931</v>
      </c>
      <c r="E1932">
        <v>18272</v>
      </c>
      <c r="F1932" t="s">
        <v>4046</v>
      </c>
      <c r="G1932">
        <v>3358</v>
      </c>
      <c r="H1932">
        <v>2.5</v>
      </c>
      <c r="I1932" t="s">
        <v>3878</v>
      </c>
      <c r="J1932" t="s">
        <v>3497</v>
      </c>
      <c r="K1932" t="s">
        <v>3736</v>
      </c>
      <c r="L1932">
        <v>0</v>
      </c>
      <c r="M1932" s="453">
        <v>45845</v>
      </c>
      <c r="N1932">
        <v>36.5</v>
      </c>
      <c r="O1932">
        <v>34.99</v>
      </c>
      <c r="P1932">
        <v>91.25</v>
      </c>
    </row>
    <row r="1933" spans="1:16" x14ac:dyDescent="0.3">
      <c r="A1933">
        <v>53803</v>
      </c>
      <c r="B1933">
        <v>116</v>
      </c>
      <c r="C1933" t="s">
        <v>568</v>
      </c>
      <c r="D1933" s="453">
        <v>45931</v>
      </c>
      <c r="E1933">
        <v>19565</v>
      </c>
      <c r="F1933" t="s">
        <v>3987</v>
      </c>
      <c r="G1933">
        <v>2652</v>
      </c>
      <c r="H1933">
        <v>2</v>
      </c>
      <c r="I1933" t="s">
        <v>3892</v>
      </c>
      <c r="J1933" t="s">
        <v>3469</v>
      </c>
      <c r="K1933" t="s">
        <v>3736</v>
      </c>
      <c r="L1933">
        <v>0</v>
      </c>
      <c r="M1933" s="453">
        <v>45887</v>
      </c>
      <c r="N1933">
        <v>45</v>
      </c>
      <c r="O1933">
        <v>35</v>
      </c>
      <c r="P1933">
        <v>90</v>
      </c>
    </row>
    <row r="1934" spans="1:16" x14ac:dyDescent="0.3">
      <c r="A1934">
        <v>53667</v>
      </c>
      <c r="B1934">
        <v>116</v>
      </c>
      <c r="C1934" t="s">
        <v>568</v>
      </c>
      <c r="D1934" s="453">
        <v>45931</v>
      </c>
      <c r="E1934">
        <v>23095</v>
      </c>
      <c r="F1934" t="s">
        <v>3882</v>
      </c>
      <c r="G1934">
        <v>2754</v>
      </c>
      <c r="H1934">
        <v>90</v>
      </c>
      <c r="I1934" t="s">
        <v>3872</v>
      </c>
      <c r="J1934" t="s">
        <v>3469</v>
      </c>
      <c r="K1934" t="s">
        <v>3736</v>
      </c>
      <c r="L1934">
        <v>0.98</v>
      </c>
      <c r="M1934" s="453">
        <v>45929</v>
      </c>
      <c r="N1934">
        <v>1</v>
      </c>
      <c r="O1934">
        <v>0.98</v>
      </c>
      <c r="P1934">
        <v>88.2</v>
      </c>
    </row>
    <row r="1935" spans="1:16" x14ac:dyDescent="0.3">
      <c r="A1935">
        <v>53774</v>
      </c>
      <c r="B1935">
        <v>116</v>
      </c>
      <c r="C1935" t="s">
        <v>568</v>
      </c>
      <c r="D1935" s="453">
        <v>45931</v>
      </c>
      <c r="E1935">
        <v>19649</v>
      </c>
      <c r="F1935" t="s">
        <v>4015</v>
      </c>
      <c r="G1935">
        <v>2589</v>
      </c>
      <c r="H1935">
        <v>3</v>
      </c>
      <c r="I1935" t="s">
        <v>3892</v>
      </c>
      <c r="J1935" t="s">
        <v>3469</v>
      </c>
      <c r="K1935" t="s">
        <v>3736</v>
      </c>
      <c r="L1935">
        <v>0</v>
      </c>
      <c r="M1935" s="453">
        <v>45831</v>
      </c>
      <c r="N1935">
        <v>29</v>
      </c>
      <c r="O1935">
        <v>23.5</v>
      </c>
      <c r="P1935">
        <v>87</v>
      </c>
    </row>
    <row r="1936" spans="1:16" x14ac:dyDescent="0.3">
      <c r="A1936">
        <v>53856</v>
      </c>
      <c r="B1936">
        <v>116</v>
      </c>
      <c r="C1936" t="s">
        <v>568</v>
      </c>
      <c r="D1936" s="453">
        <v>45931</v>
      </c>
      <c r="E1936">
        <v>18534</v>
      </c>
      <c r="F1936" t="s">
        <v>4084</v>
      </c>
      <c r="G1936">
        <v>3143</v>
      </c>
      <c r="H1936">
        <v>1</v>
      </c>
      <c r="I1936" t="s">
        <v>3878</v>
      </c>
      <c r="J1936" t="s">
        <v>3497</v>
      </c>
      <c r="K1936" t="s">
        <v>3736</v>
      </c>
      <c r="L1936">
        <v>0</v>
      </c>
      <c r="M1936" s="453">
        <v>-693593</v>
      </c>
      <c r="N1936">
        <v>0</v>
      </c>
      <c r="O1936">
        <v>71.8</v>
      </c>
      <c r="P1936">
        <v>86.89</v>
      </c>
    </row>
    <row r="1937" spans="1:16" x14ac:dyDescent="0.3">
      <c r="A1937">
        <v>53807</v>
      </c>
      <c r="B1937">
        <v>116</v>
      </c>
      <c r="C1937" t="s">
        <v>568</v>
      </c>
      <c r="D1937" s="453">
        <v>45931</v>
      </c>
      <c r="E1937">
        <v>18545</v>
      </c>
      <c r="F1937" t="s">
        <v>4099</v>
      </c>
      <c r="G1937">
        <v>3134</v>
      </c>
      <c r="H1937">
        <v>1.9</v>
      </c>
      <c r="I1937" t="s">
        <v>3878</v>
      </c>
      <c r="J1937" t="s">
        <v>3497</v>
      </c>
      <c r="K1937" t="s">
        <v>3736</v>
      </c>
      <c r="L1937">
        <v>45.51</v>
      </c>
      <c r="M1937" s="453">
        <v>45902</v>
      </c>
      <c r="N1937">
        <v>45.51</v>
      </c>
      <c r="O1937">
        <v>44.5</v>
      </c>
      <c r="P1937">
        <v>86.47</v>
      </c>
    </row>
    <row r="1938" spans="1:16" x14ac:dyDescent="0.3">
      <c r="A1938">
        <v>53717</v>
      </c>
      <c r="B1938">
        <v>116</v>
      </c>
      <c r="C1938" t="s">
        <v>568</v>
      </c>
      <c r="D1938" s="453">
        <v>45931</v>
      </c>
      <c r="E1938">
        <v>19034</v>
      </c>
      <c r="F1938" t="s">
        <v>3989</v>
      </c>
      <c r="G1938">
        <v>2890</v>
      </c>
      <c r="H1938">
        <v>8.5</v>
      </c>
      <c r="I1938" t="s">
        <v>3892</v>
      </c>
      <c r="J1938" t="s">
        <v>3469</v>
      </c>
      <c r="K1938" t="s">
        <v>3736</v>
      </c>
      <c r="L1938">
        <v>10</v>
      </c>
      <c r="M1938" s="453">
        <v>45923</v>
      </c>
      <c r="N1938">
        <v>8.5</v>
      </c>
      <c r="O1938">
        <v>8.8800000000000008</v>
      </c>
      <c r="P1938">
        <v>85</v>
      </c>
    </row>
    <row r="1939" spans="1:16" x14ac:dyDescent="0.3">
      <c r="A1939">
        <v>53783</v>
      </c>
      <c r="B1939">
        <v>116</v>
      </c>
      <c r="C1939" t="s">
        <v>568</v>
      </c>
      <c r="D1939" s="453">
        <v>45931</v>
      </c>
      <c r="E1939">
        <v>20809</v>
      </c>
      <c r="F1939" t="s">
        <v>4005</v>
      </c>
      <c r="G1939">
        <v>2074</v>
      </c>
      <c r="H1939">
        <v>2.5</v>
      </c>
      <c r="I1939" t="s">
        <v>3888</v>
      </c>
      <c r="J1939" t="s">
        <v>3469</v>
      </c>
      <c r="K1939" t="s">
        <v>3736</v>
      </c>
      <c r="L1939">
        <v>32.93</v>
      </c>
      <c r="M1939" s="453">
        <v>45923</v>
      </c>
      <c r="N1939">
        <v>32.9</v>
      </c>
      <c r="O1939">
        <v>31.7</v>
      </c>
      <c r="P1939">
        <v>82.32</v>
      </c>
    </row>
    <row r="1940" spans="1:16" x14ac:dyDescent="0.3">
      <c r="A1940">
        <v>53792</v>
      </c>
      <c r="B1940">
        <v>116</v>
      </c>
      <c r="C1940" t="s">
        <v>568</v>
      </c>
      <c r="D1940" s="453">
        <v>45931</v>
      </c>
      <c r="E1940">
        <v>20250</v>
      </c>
      <c r="F1940" t="s">
        <v>4008</v>
      </c>
      <c r="G1940">
        <v>2241</v>
      </c>
      <c r="H1940">
        <v>2</v>
      </c>
      <c r="I1940" t="s">
        <v>3888</v>
      </c>
      <c r="J1940" t="s">
        <v>3469</v>
      </c>
      <c r="K1940" t="s">
        <v>3736</v>
      </c>
      <c r="L1940">
        <v>40.54</v>
      </c>
      <c r="M1940" s="453">
        <v>45930</v>
      </c>
      <c r="N1940">
        <v>40.54</v>
      </c>
      <c r="O1940">
        <v>40.54</v>
      </c>
      <c r="P1940">
        <v>81.08</v>
      </c>
    </row>
    <row r="1941" spans="1:16" x14ac:dyDescent="0.3">
      <c r="A1941">
        <v>53830</v>
      </c>
      <c r="B1941">
        <v>116</v>
      </c>
      <c r="C1941" t="s">
        <v>568</v>
      </c>
      <c r="D1941" s="453">
        <v>45931</v>
      </c>
      <c r="E1941">
        <v>20757</v>
      </c>
      <c r="F1941" t="s">
        <v>4050</v>
      </c>
      <c r="G1941">
        <v>2086</v>
      </c>
      <c r="H1941">
        <v>1</v>
      </c>
      <c r="I1941" t="s">
        <v>3966</v>
      </c>
      <c r="J1941" t="s">
        <v>3469</v>
      </c>
      <c r="K1941" t="s">
        <v>3736</v>
      </c>
      <c r="L1941">
        <v>0</v>
      </c>
      <c r="M1941" s="453">
        <v>45888</v>
      </c>
      <c r="N1941">
        <v>81</v>
      </c>
      <c r="O1941">
        <v>81.56</v>
      </c>
      <c r="P1941">
        <v>81</v>
      </c>
    </row>
    <row r="1942" spans="1:16" x14ac:dyDescent="0.3">
      <c r="A1942">
        <v>53777</v>
      </c>
      <c r="B1942">
        <v>116</v>
      </c>
      <c r="C1942" t="s">
        <v>568</v>
      </c>
      <c r="D1942" s="453">
        <v>45931</v>
      </c>
      <c r="E1942">
        <v>19743</v>
      </c>
      <c r="F1942" t="s">
        <v>4152</v>
      </c>
      <c r="G1942">
        <v>2510</v>
      </c>
      <c r="H1942">
        <v>6</v>
      </c>
      <c r="I1942" t="s">
        <v>3892</v>
      </c>
      <c r="J1942" t="s">
        <v>3469</v>
      </c>
      <c r="K1942" t="s">
        <v>3736</v>
      </c>
      <c r="L1942">
        <v>13.4</v>
      </c>
      <c r="M1942" s="453">
        <v>45929</v>
      </c>
      <c r="N1942">
        <v>13.8</v>
      </c>
      <c r="O1942">
        <v>13.44</v>
      </c>
      <c r="P1942">
        <v>80.400000000000006</v>
      </c>
    </row>
    <row r="1943" spans="1:16" x14ac:dyDescent="0.3">
      <c r="A1943">
        <v>53712</v>
      </c>
      <c r="B1943">
        <v>116</v>
      </c>
      <c r="C1943" t="s">
        <v>568</v>
      </c>
      <c r="D1943" s="453">
        <v>45931</v>
      </c>
      <c r="E1943">
        <v>20661</v>
      </c>
      <c r="F1943" t="s">
        <v>3919</v>
      </c>
      <c r="G1943">
        <v>2110</v>
      </c>
      <c r="H1943">
        <v>9</v>
      </c>
      <c r="I1943" t="s">
        <v>3872</v>
      </c>
      <c r="J1943" t="s">
        <v>3469</v>
      </c>
      <c r="K1943" t="s">
        <v>3736</v>
      </c>
      <c r="L1943">
        <v>8.89</v>
      </c>
      <c r="M1943" s="453">
        <v>45926</v>
      </c>
      <c r="N1943">
        <v>8.74</v>
      </c>
      <c r="O1943">
        <v>8.74</v>
      </c>
      <c r="P1943">
        <v>80.010000000000005</v>
      </c>
    </row>
    <row r="1944" spans="1:16" x14ac:dyDescent="0.3">
      <c r="A1944">
        <v>53738</v>
      </c>
      <c r="B1944">
        <v>116</v>
      </c>
      <c r="C1944" t="s">
        <v>568</v>
      </c>
      <c r="D1944" s="453">
        <v>45931</v>
      </c>
      <c r="E1944">
        <v>18447</v>
      </c>
      <c r="F1944" t="s">
        <v>4027</v>
      </c>
      <c r="G1944">
        <v>3204</v>
      </c>
      <c r="H1944">
        <v>6</v>
      </c>
      <c r="I1944" t="s">
        <v>3878</v>
      </c>
      <c r="J1944" t="s">
        <v>3497</v>
      </c>
      <c r="K1944" t="s">
        <v>3736</v>
      </c>
      <c r="L1944">
        <v>0</v>
      </c>
      <c r="M1944" s="453">
        <v>45894</v>
      </c>
      <c r="N1944">
        <v>12.92</v>
      </c>
      <c r="O1944">
        <v>12.92</v>
      </c>
      <c r="P1944">
        <v>77.52</v>
      </c>
    </row>
    <row r="1945" spans="1:16" x14ac:dyDescent="0.3">
      <c r="A1945">
        <v>53764</v>
      </c>
      <c r="B1945">
        <v>116</v>
      </c>
      <c r="C1945" t="s">
        <v>568</v>
      </c>
      <c r="D1945" s="453">
        <v>45931</v>
      </c>
      <c r="E1945">
        <v>18666</v>
      </c>
      <c r="F1945" t="s">
        <v>4003</v>
      </c>
      <c r="G1945">
        <v>3053</v>
      </c>
      <c r="H1945">
        <v>3.5</v>
      </c>
      <c r="I1945" t="s">
        <v>3892</v>
      </c>
      <c r="J1945" t="s">
        <v>3469</v>
      </c>
      <c r="K1945" t="s">
        <v>3736</v>
      </c>
      <c r="L1945">
        <v>0</v>
      </c>
      <c r="M1945" s="453">
        <v>45888</v>
      </c>
      <c r="N1945">
        <v>22</v>
      </c>
      <c r="O1945">
        <v>22.99</v>
      </c>
      <c r="P1945">
        <v>77</v>
      </c>
    </row>
    <row r="1946" spans="1:16" x14ac:dyDescent="0.3">
      <c r="A1946">
        <v>53809</v>
      </c>
      <c r="B1946">
        <v>116</v>
      </c>
      <c r="C1946" t="s">
        <v>568</v>
      </c>
      <c r="D1946" s="453">
        <v>45931</v>
      </c>
      <c r="E1946">
        <v>18273</v>
      </c>
      <c r="F1946" t="s">
        <v>4031</v>
      </c>
      <c r="G1946">
        <v>3357</v>
      </c>
      <c r="H1946">
        <v>1.8</v>
      </c>
      <c r="I1946" t="s">
        <v>3878</v>
      </c>
      <c r="J1946" t="s">
        <v>3497</v>
      </c>
      <c r="K1946" t="s">
        <v>3736</v>
      </c>
      <c r="L1946">
        <v>42.71</v>
      </c>
      <c r="M1946" s="453">
        <v>45918</v>
      </c>
      <c r="N1946">
        <v>42.71</v>
      </c>
      <c r="O1946">
        <v>42.71</v>
      </c>
      <c r="P1946">
        <v>76.88</v>
      </c>
    </row>
    <row r="1947" spans="1:16" x14ac:dyDescent="0.3">
      <c r="A1947">
        <v>53734</v>
      </c>
      <c r="B1947">
        <v>116</v>
      </c>
      <c r="C1947" t="s">
        <v>568</v>
      </c>
      <c r="D1947" s="453">
        <v>45931</v>
      </c>
      <c r="E1947">
        <v>26193</v>
      </c>
      <c r="F1947" t="s">
        <v>3950</v>
      </c>
      <c r="G1947">
        <v>6616</v>
      </c>
      <c r="H1947">
        <v>6</v>
      </c>
      <c r="I1947" t="s">
        <v>3872</v>
      </c>
      <c r="J1947" t="s">
        <v>3469</v>
      </c>
      <c r="K1947" t="s">
        <v>3736</v>
      </c>
      <c r="L1947">
        <v>12.68</v>
      </c>
      <c r="M1947" s="453">
        <v>45922</v>
      </c>
      <c r="N1947">
        <v>12.68</v>
      </c>
      <c r="O1947">
        <v>12.5</v>
      </c>
      <c r="P1947">
        <v>76.08</v>
      </c>
    </row>
    <row r="1948" spans="1:16" x14ac:dyDescent="0.3">
      <c r="A1948">
        <v>53692</v>
      </c>
      <c r="B1948">
        <v>116</v>
      </c>
      <c r="C1948" t="s">
        <v>568</v>
      </c>
      <c r="D1948" s="453">
        <v>45931</v>
      </c>
      <c r="E1948">
        <v>19420</v>
      </c>
      <c r="F1948" t="s">
        <v>3899</v>
      </c>
      <c r="G1948">
        <v>2758</v>
      </c>
      <c r="H1948">
        <v>13</v>
      </c>
      <c r="I1948" t="s">
        <v>3872</v>
      </c>
      <c r="J1948" t="s">
        <v>3469</v>
      </c>
      <c r="K1948" t="s">
        <v>3736</v>
      </c>
      <c r="L1948">
        <v>0</v>
      </c>
      <c r="M1948" s="453">
        <v>45845</v>
      </c>
      <c r="N1948">
        <v>5.79</v>
      </c>
      <c r="O1948">
        <v>5.79</v>
      </c>
      <c r="P1948">
        <v>75.27</v>
      </c>
    </row>
    <row r="1949" spans="1:16" x14ac:dyDescent="0.3">
      <c r="A1949">
        <v>53672</v>
      </c>
      <c r="B1949">
        <v>116</v>
      </c>
      <c r="C1949" t="s">
        <v>568</v>
      </c>
      <c r="D1949" s="453">
        <v>45931</v>
      </c>
      <c r="E1949">
        <v>24029</v>
      </c>
      <c r="F1949" t="s">
        <v>3875</v>
      </c>
      <c r="G1949">
        <v>3591</v>
      </c>
      <c r="H1949">
        <v>37</v>
      </c>
      <c r="I1949" t="s">
        <v>3872</v>
      </c>
      <c r="J1949" t="s">
        <v>3497</v>
      </c>
      <c r="K1949" t="s">
        <v>3736</v>
      </c>
      <c r="L1949">
        <v>0</v>
      </c>
      <c r="M1949" s="453">
        <v>45537</v>
      </c>
      <c r="N1949">
        <v>1.99</v>
      </c>
      <c r="O1949">
        <v>2.19</v>
      </c>
      <c r="P1949">
        <v>73.63</v>
      </c>
    </row>
    <row r="1950" spans="1:16" x14ac:dyDescent="0.3">
      <c r="A1950">
        <v>53765</v>
      </c>
      <c r="B1950">
        <v>116</v>
      </c>
      <c r="C1950" t="s">
        <v>568</v>
      </c>
      <c r="D1950" s="453">
        <v>45931</v>
      </c>
      <c r="E1950">
        <v>24393</v>
      </c>
      <c r="F1950" t="s">
        <v>4039</v>
      </c>
      <c r="G1950">
        <v>3045</v>
      </c>
      <c r="H1950">
        <v>3.3</v>
      </c>
      <c r="I1950" t="s">
        <v>3892</v>
      </c>
      <c r="J1950" t="s">
        <v>3469</v>
      </c>
      <c r="K1950" t="s">
        <v>3736</v>
      </c>
      <c r="L1950">
        <v>22</v>
      </c>
      <c r="M1950" s="453">
        <v>45930</v>
      </c>
      <c r="N1950">
        <v>22</v>
      </c>
      <c r="O1950">
        <v>22</v>
      </c>
      <c r="P1950">
        <v>72.599999999999994</v>
      </c>
    </row>
    <row r="1951" spans="1:16" x14ac:dyDescent="0.3">
      <c r="A1951">
        <v>53795</v>
      </c>
      <c r="B1951">
        <v>116</v>
      </c>
      <c r="C1951" t="s">
        <v>568</v>
      </c>
      <c r="D1951" s="453">
        <v>45931</v>
      </c>
      <c r="E1951">
        <v>20832</v>
      </c>
      <c r="F1951" t="s">
        <v>4060</v>
      </c>
      <c r="G1951">
        <v>2065</v>
      </c>
      <c r="H1951">
        <v>2</v>
      </c>
      <c r="I1951" t="s">
        <v>3886</v>
      </c>
      <c r="J1951" t="s">
        <v>3469</v>
      </c>
      <c r="K1951" t="s">
        <v>3736</v>
      </c>
      <c r="L1951">
        <v>34</v>
      </c>
      <c r="M1951" s="453">
        <v>45916</v>
      </c>
      <c r="N1951">
        <v>34</v>
      </c>
      <c r="O1951">
        <v>34</v>
      </c>
      <c r="P1951">
        <v>68</v>
      </c>
    </row>
    <row r="1952" spans="1:16" x14ac:dyDescent="0.3">
      <c r="A1952">
        <v>53756</v>
      </c>
      <c r="B1952">
        <v>116</v>
      </c>
      <c r="C1952" t="s">
        <v>568</v>
      </c>
      <c r="D1952" s="453">
        <v>45931</v>
      </c>
      <c r="E1952">
        <v>25720</v>
      </c>
      <c r="F1952" t="s">
        <v>3926</v>
      </c>
      <c r="G1952">
        <v>2197</v>
      </c>
      <c r="H1952">
        <v>4</v>
      </c>
      <c r="I1952" t="s">
        <v>3892</v>
      </c>
      <c r="J1952" t="s">
        <v>3469</v>
      </c>
      <c r="K1952" t="s">
        <v>3736</v>
      </c>
      <c r="L1952">
        <v>0</v>
      </c>
      <c r="M1952" s="453">
        <v>-693593</v>
      </c>
      <c r="N1952">
        <v>0</v>
      </c>
      <c r="O1952">
        <v>0</v>
      </c>
      <c r="P1952">
        <v>67.599999999999994</v>
      </c>
    </row>
    <row r="1953" spans="1:16" x14ac:dyDescent="0.3">
      <c r="A1953">
        <v>53811</v>
      </c>
      <c r="B1953">
        <v>116</v>
      </c>
      <c r="C1953" t="s">
        <v>568</v>
      </c>
      <c r="D1953" s="453">
        <v>45931</v>
      </c>
      <c r="E1953">
        <v>20457</v>
      </c>
      <c r="F1953" t="s">
        <v>3999</v>
      </c>
      <c r="G1953">
        <v>2165</v>
      </c>
      <c r="H1953">
        <v>1.7</v>
      </c>
      <c r="I1953" t="s">
        <v>3892</v>
      </c>
      <c r="J1953" t="s">
        <v>3469</v>
      </c>
      <c r="K1953" t="s">
        <v>3736</v>
      </c>
      <c r="L1953">
        <v>0</v>
      </c>
      <c r="M1953" s="453">
        <v>45874</v>
      </c>
      <c r="N1953">
        <v>39</v>
      </c>
      <c r="O1953">
        <v>39</v>
      </c>
      <c r="P1953">
        <v>66.3</v>
      </c>
    </row>
    <row r="1954" spans="1:16" x14ac:dyDescent="0.3">
      <c r="A1954">
        <v>53813</v>
      </c>
      <c r="B1954">
        <v>116</v>
      </c>
      <c r="C1954" t="s">
        <v>568</v>
      </c>
      <c r="D1954" s="453">
        <v>45931</v>
      </c>
      <c r="E1954">
        <v>20717</v>
      </c>
      <c r="F1954" t="s">
        <v>4055</v>
      </c>
      <c r="G1954">
        <v>2097</v>
      </c>
      <c r="H1954">
        <v>1.5</v>
      </c>
      <c r="I1954" t="s">
        <v>3872</v>
      </c>
      <c r="J1954" t="s">
        <v>3469</v>
      </c>
      <c r="K1954" t="s">
        <v>3736</v>
      </c>
      <c r="L1954">
        <v>43.55</v>
      </c>
      <c r="M1954" s="453">
        <v>45930</v>
      </c>
      <c r="N1954">
        <v>43.1</v>
      </c>
      <c r="O1954">
        <v>43.1</v>
      </c>
      <c r="P1954">
        <v>65.319999999999993</v>
      </c>
    </row>
    <row r="1955" spans="1:16" x14ac:dyDescent="0.3">
      <c r="A1955">
        <v>53690</v>
      </c>
      <c r="B1955">
        <v>116</v>
      </c>
      <c r="C1955" t="s">
        <v>568</v>
      </c>
      <c r="D1955" s="453">
        <v>45931</v>
      </c>
      <c r="E1955">
        <v>21093</v>
      </c>
      <c r="F1955" t="s">
        <v>3903</v>
      </c>
      <c r="G1955">
        <v>1988</v>
      </c>
      <c r="H1955">
        <v>13</v>
      </c>
      <c r="I1955" t="s">
        <v>3892</v>
      </c>
      <c r="J1955" t="s">
        <v>3469</v>
      </c>
      <c r="K1955" t="s">
        <v>3736</v>
      </c>
      <c r="L1955">
        <v>5.0199999999999996</v>
      </c>
      <c r="M1955" s="453">
        <v>45926</v>
      </c>
      <c r="N1955">
        <v>4.9400000000000004</v>
      </c>
      <c r="O1955">
        <v>4.9000000000000004</v>
      </c>
      <c r="P1955">
        <v>65.260000000000005</v>
      </c>
    </row>
    <row r="1956" spans="1:16" x14ac:dyDescent="0.3">
      <c r="A1956">
        <v>53720</v>
      </c>
      <c r="B1956">
        <v>116</v>
      </c>
      <c r="C1956" t="s">
        <v>568</v>
      </c>
      <c r="D1956" s="453">
        <v>45931</v>
      </c>
      <c r="E1956">
        <v>17093</v>
      </c>
      <c r="F1956" t="s">
        <v>3993</v>
      </c>
      <c r="G1956">
        <v>4165</v>
      </c>
      <c r="H1956">
        <v>8</v>
      </c>
      <c r="I1956" t="s">
        <v>3888</v>
      </c>
      <c r="J1956" t="s">
        <v>3497</v>
      </c>
      <c r="K1956" t="s">
        <v>3736</v>
      </c>
      <c r="L1956">
        <v>0</v>
      </c>
      <c r="M1956" s="453">
        <v>45803</v>
      </c>
      <c r="N1956">
        <v>8</v>
      </c>
      <c r="O1956">
        <v>8</v>
      </c>
      <c r="P1956">
        <v>64</v>
      </c>
    </row>
    <row r="1957" spans="1:16" x14ac:dyDescent="0.3">
      <c r="A1957">
        <v>53814</v>
      </c>
      <c r="B1957">
        <v>116</v>
      </c>
      <c r="C1957" t="s">
        <v>568</v>
      </c>
      <c r="D1957" s="453">
        <v>45931</v>
      </c>
      <c r="E1957">
        <v>20702</v>
      </c>
      <c r="F1957" t="s">
        <v>4006</v>
      </c>
      <c r="G1957">
        <v>2101</v>
      </c>
      <c r="H1957">
        <v>1.5</v>
      </c>
      <c r="I1957" t="s">
        <v>3966</v>
      </c>
      <c r="J1957" t="s">
        <v>3469</v>
      </c>
      <c r="K1957" t="s">
        <v>3736</v>
      </c>
      <c r="L1957">
        <v>42.5</v>
      </c>
      <c r="M1957" s="453">
        <v>45923</v>
      </c>
      <c r="N1957">
        <v>42.5</v>
      </c>
      <c r="O1957">
        <v>42.5</v>
      </c>
      <c r="P1957">
        <v>63.75</v>
      </c>
    </row>
    <row r="1958" spans="1:16" x14ac:dyDescent="0.3">
      <c r="A1958">
        <v>53794</v>
      </c>
      <c r="B1958">
        <v>116</v>
      </c>
      <c r="C1958" t="s">
        <v>568</v>
      </c>
      <c r="D1958" s="453">
        <v>45931</v>
      </c>
      <c r="E1958">
        <v>20213</v>
      </c>
      <c r="F1958" t="s">
        <v>4059</v>
      </c>
      <c r="G1958">
        <v>2251</v>
      </c>
      <c r="H1958">
        <v>2</v>
      </c>
      <c r="I1958" t="s">
        <v>3888</v>
      </c>
      <c r="J1958" t="s">
        <v>3469</v>
      </c>
      <c r="K1958" t="s">
        <v>3736</v>
      </c>
      <c r="L1958">
        <v>0</v>
      </c>
      <c r="M1958" s="453">
        <v>45818</v>
      </c>
      <c r="N1958">
        <v>31.62</v>
      </c>
      <c r="O1958">
        <v>31.62</v>
      </c>
      <c r="P1958">
        <v>63.24</v>
      </c>
    </row>
    <row r="1959" spans="1:16" x14ac:dyDescent="0.3">
      <c r="A1959">
        <v>53767</v>
      </c>
      <c r="B1959">
        <v>116</v>
      </c>
      <c r="C1959" t="s">
        <v>568</v>
      </c>
      <c r="D1959" s="453">
        <v>45931</v>
      </c>
      <c r="E1959">
        <v>24185</v>
      </c>
      <c r="F1959" t="s">
        <v>4040</v>
      </c>
      <c r="G1959">
        <v>2331</v>
      </c>
      <c r="H1959">
        <v>3</v>
      </c>
      <c r="I1959" t="s">
        <v>3892</v>
      </c>
      <c r="J1959" t="s">
        <v>3469</v>
      </c>
      <c r="K1959" t="s">
        <v>3736</v>
      </c>
      <c r="L1959">
        <v>0</v>
      </c>
      <c r="M1959" s="453">
        <v>45818</v>
      </c>
      <c r="N1959">
        <v>21</v>
      </c>
      <c r="O1959">
        <v>23.1</v>
      </c>
      <c r="P1959">
        <v>63</v>
      </c>
    </row>
    <row r="1960" spans="1:16" x14ac:dyDescent="0.3">
      <c r="A1960">
        <v>53670</v>
      </c>
      <c r="B1960">
        <v>116</v>
      </c>
      <c r="C1960" t="s">
        <v>568</v>
      </c>
      <c r="D1960" s="453">
        <v>45931</v>
      </c>
      <c r="E1960">
        <v>22108</v>
      </c>
      <c r="F1960" t="s">
        <v>3871</v>
      </c>
      <c r="G1960">
        <v>3609</v>
      </c>
      <c r="H1960">
        <v>44</v>
      </c>
      <c r="I1960" t="s">
        <v>3872</v>
      </c>
      <c r="J1960" t="s">
        <v>3497</v>
      </c>
      <c r="K1960" t="s">
        <v>3736</v>
      </c>
      <c r="L1960">
        <v>0</v>
      </c>
      <c r="M1960" s="453">
        <v>45670</v>
      </c>
      <c r="N1960">
        <v>1.42</v>
      </c>
      <c r="O1960">
        <v>1.85</v>
      </c>
      <c r="P1960">
        <v>62.7</v>
      </c>
    </row>
    <row r="1961" spans="1:16" x14ac:dyDescent="0.3">
      <c r="A1961">
        <v>53757</v>
      </c>
      <c r="B1961">
        <v>116</v>
      </c>
      <c r="C1961" t="s">
        <v>568</v>
      </c>
      <c r="D1961" s="453">
        <v>45931</v>
      </c>
      <c r="E1961">
        <v>19973</v>
      </c>
      <c r="F1961" t="s">
        <v>3981</v>
      </c>
      <c r="G1961">
        <v>2354</v>
      </c>
      <c r="H1961">
        <v>4</v>
      </c>
      <c r="I1961" t="s">
        <v>3872</v>
      </c>
      <c r="J1961" t="s">
        <v>3469</v>
      </c>
      <c r="K1961" t="s">
        <v>3736</v>
      </c>
      <c r="L1961">
        <v>15.2</v>
      </c>
      <c r="M1961" s="453">
        <v>45923</v>
      </c>
      <c r="N1961">
        <v>15.2</v>
      </c>
      <c r="O1961">
        <v>15.2</v>
      </c>
      <c r="P1961">
        <v>60.8</v>
      </c>
    </row>
    <row r="1962" spans="1:16" x14ac:dyDescent="0.3">
      <c r="A1962">
        <v>53753</v>
      </c>
      <c r="B1962">
        <v>116</v>
      </c>
      <c r="C1962" t="s">
        <v>568</v>
      </c>
      <c r="D1962" s="453">
        <v>45931</v>
      </c>
      <c r="E1962">
        <v>19740</v>
      </c>
      <c r="F1962" t="s">
        <v>3933</v>
      </c>
      <c r="G1962">
        <v>2513</v>
      </c>
      <c r="H1962">
        <v>4.5</v>
      </c>
      <c r="I1962" t="s">
        <v>3892</v>
      </c>
      <c r="J1962" t="s">
        <v>3469</v>
      </c>
      <c r="K1962" t="s">
        <v>3736</v>
      </c>
      <c r="L1962">
        <v>13.2</v>
      </c>
      <c r="M1962" s="453">
        <v>45925</v>
      </c>
      <c r="N1962">
        <v>14.4</v>
      </c>
      <c r="O1962">
        <v>12.56</v>
      </c>
      <c r="P1962">
        <v>59.4</v>
      </c>
    </row>
    <row r="1963" spans="1:16" x14ac:dyDescent="0.3">
      <c r="A1963">
        <v>53779</v>
      </c>
      <c r="B1963">
        <v>116</v>
      </c>
      <c r="C1963" t="s">
        <v>568</v>
      </c>
      <c r="D1963" s="453">
        <v>45931</v>
      </c>
      <c r="E1963">
        <v>17609</v>
      </c>
      <c r="F1963" t="s">
        <v>4038</v>
      </c>
      <c r="G1963">
        <v>3917</v>
      </c>
      <c r="H1963">
        <v>3</v>
      </c>
      <c r="I1963" t="s">
        <v>3878</v>
      </c>
      <c r="J1963" t="s">
        <v>3497</v>
      </c>
      <c r="K1963" t="s">
        <v>3736</v>
      </c>
      <c r="L1963">
        <v>0</v>
      </c>
      <c r="M1963" s="453">
        <v>45573</v>
      </c>
      <c r="N1963">
        <v>18.899999999999999</v>
      </c>
      <c r="O1963">
        <v>18.899999999999999</v>
      </c>
      <c r="P1963">
        <v>56.7</v>
      </c>
    </row>
    <row r="1964" spans="1:16" x14ac:dyDescent="0.3">
      <c r="A1964">
        <v>53718</v>
      </c>
      <c r="B1964">
        <v>116</v>
      </c>
      <c r="C1964" t="s">
        <v>568</v>
      </c>
      <c r="D1964" s="453">
        <v>45931</v>
      </c>
      <c r="E1964">
        <v>20326</v>
      </c>
      <c r="F1964" t="s">
        <v>3953</v>
      </c>
      <c r="G1964">
        <v>2211</v>
      </c>
      <c r="H1964">
        <v>8</v>
      </c>
      <c r="I1964" t="s">
        <v>3892</v>
      </c>
      <c r="J1964" t="s">
        <v>3469</v>
      </c>
      <c r="K1964" t="s">
        <v>3736</v>
      </c>
      <c r="L1964">
        <v>6.99</v>
      </c>
      <c r="M1964" s="453">
        <v>45901</v>
      </c>
      <c r="N1964">
        <v>6.99</v>
      </c>
      <c r="O1964">
        <v>6.99</v>
      </c>
      <c r="P1964">
        <v>55.92</v>
      </c>
    </row>
    <row r="1965" spans="1:16" x14ac:dyDescent="0.3">
      <c r="A1965">
        <v>53821</v>
      </c>
      <c r="B1965">
        <v>116</v>
      </c>
      <c r="C1965" t="s">
        <v>568</v>
      </c>
      <c r="D1965" s="453">
        <v>45931</v>
      </c>
      <c r="E1965">
        <v>18317</v>
      </c>
      <c r="F1965" t="s">
        <v>4045</v>
      </c>
      <c r="G1965">
        <v>3316</v>
      </c>
      <c r="H1965">
        <v>1.5</v>
      </c>
      <c r="I1965" t="s">
        <v>3878</v>
      </c>
      <c r="J1965" t="s">
        <v>3497</v>
      </c>
      <c r="K1965" t="s">
        <v>3736</v>
      </c>
      <c r="L1965">
        <v>37.25</v>
      </c>
      <c r="M1965" s="453">
        <v>45908</v>
      </c>
      <c r="N1965">
        <v>37.25</v>
      </c>
      <c r="O1965">
        <v>37.25</v>
      </c>
      <c r="P1965">
        <v>55.88</v>
      </c>
    </row>
    <row r="1966" spans="1:16" x14ac:dyDescent="0.3">
      <c r="A1966">
        <v>53727</v>
      </c>
      <c r="B1966">
        <v>116</v>
      </c>
      <c r="C1966" t="s">
        <v>568</v>
      </c>
      <c r="D1966" s="453">
        <v>45931</v>
      </c>
      <c r="E1966">
        <v>19415</v>
      </c>
      <c r="F1966" t="s">
        <v>3941</v>
      </c>
      <c r="G1966">
        <v>2759</v>
      </c>
      <c r="H1966">
        <v>7</v>
      </c>
      <c r="I1966" t="s">
        <v>3872</v>
      </c>
      <c r="J1966" t="s">
        <v>3469</v>
      </c>
      <c r="K1966" t="s">
        <v>3736</v>
      </c>
      <c r="L1966">
        <v>7.8</v>
      </c>
      <c r="M1966" s="453">
        <v>45923</v>
      </c>
      <c r="N1966">
        <v>7.8</v>
      </c>
      <c r="O1966">
        <v>7.68</v>
      </c>
      <c r="P1966">
        <v>54.6</v>
      </c>
    </row>
    <row r="1967" spans="1:16" x14ac:dyDescent="0.3">
      <c r="A1967">
        <v>53726</v>
      </c>
      <c r="B1967">
        <v>116</v>
      </c>
      <c r="C1967" t="s">
        <v>568</v>
      </c>
      <c r="D1967" s="453">
        <v>45931</v>
      </c>
      <c r="E1967">
        <v>20989</v>
      </c>
      <c r="F1967" t="s">
        <v>4451</v>
      </c>
      <c r="G1967">
        <v>2011</v>
      </c>
      <c r="H1967">
        <v>7</v>
      </c>
      <c r="I1967" t="s">
        <v>3872</v>
      </c>
      <c r="J1967" t="s">
        <v>3469</v>
      </c>
      <c r="K1967" t="s">
        <v>3736</v>
      </c>
      <c r="L1967">
        <v>0</v>
      </c>
      <c r="M1967" s="453">
        <v>45880</v>
      </c>
      <c r="N1967">
        <v>7.69</v>
      </c>
      <c r="O1967">
        <v>8.19</v>
      </c>
      <c r="P1967">
        <v>53.83</v>
      </c>
    </row>
    <row r="1968" spans="1:16" x14ac:dyDescent="0.3">
      <c r="A1968">
        <v>53713</v>
      </c>
      <c r="B1968">
        <v>116</v>
      </c>
      <c r="C1968" t="s">
        <v>568</v>
      </c>
      <c r="D1968" s="453">
        <v>45931</v>
      </c>
      <c r="E1968">
        <v>23359</v>
      </c>
      <c r="F1968" t="s">
        <v>3932</v>
      </c>
      <c r="G1968">
        <v>2499</v>
      </c>
      <c r="H1968">
        <v>9</v>
      </c>
      <c r="I1968" t="s">
        <v>3892</v>
      </c>
      <c r="J1968" t="s">
        <v>3469</v>
      </c>
      <c r="K1968" t="s">
        <v>3736</v>
      </c>
      <c r="L1968">
        <v>5.97</v>
      </c>
      <c r="M1968" s="453">
        <v>45929</v>
      </c>
      <c r="N1968">
        <v>5.9</v>
      </c>
      <c r="O1968">
        <v>6.48</v>
      </c>
      <c r="P1968">
        <v>53.73</v>
      </c>
    </row>
    <row r="1969" spans="1:16" x14ac:dyDescent="0.3">
      <c r="A1969">
        <v>53701</v>
      </c>
      <c r="B1969">
        <v>116</v>
      </c>
      <c r="C1969" t="s">
        <v>568</v>
      </c>
      <c r="D1969" s="453">
        <v>45931</v>
      </c>
      <c r="E1969">
        <v>20359</v>
      </c>
      <c r="F1969" t="s">
        <v>3917</v>
      </c>
      <c r="G1969">
        <v>2199</v>
      </c>
      <c r="H1969">
        <v>11</v>
      </c>
      <c r="I1969" t="s">
        <v>3872</v>
      </c>
      <c r="J1969" t="s">
        <v>3469</v>
      </c>
      <c r="K1969" t="s">
        <v>3736</v>
      </c>
      <c r="L1969">
        <v>0</v>
      </c>
      <c r="M1969" s="453">
        <v>45845</v>
      </c>
      <c r="N1969">
        <v>4.76</v>
      </c>
      <c r="O1969">
        <v>4.8</v>
      </c>
      <c r="P1969">
        <v>52.36</v>
      </c>
    </row>
    <row r="1970" spans="1:16" x14ac:dyDescent="0.3">
      <c r="A1970">
        <v>53725</v>
      </c>
      <c r="B1970">
        <v>116</v>
      </c>
      <c r="C1970" t="s">
        <v>568</v>
      </c>
      <c r="D1970" s="453">
        <v>45931</v>
      </c>
      <c r="E1970">
        <v>20246</v>
      </c>
      <c r="F1970" t="s">
        <v>3911</v>
      </c>
      <c r="G1970">
        <v>2242</v>
      </c>
      <c r="H1970">
        <v>7</v>
      </c>
      <c r="I1970" t="s">
        <v>3872</v>
      </c>
      <c r="J1970" t="s">
        <v>3469</v>
      </c>
      <c r="K1970" t="s">
        <v>3736</v>
      </c>
      <c r="L1970">
        <v>7.4</v>
      </c>
      <c r="M1970" s="453">
        <v>45923</v>
      </c>
      <c r="N1970">
        <v>7.4</v>
      </c>
      <c r="O1970">
        <v>7.4</v>
      </c>
      <c r="P1970">
        <v>51.8</v>
      </c>
    </row>
    <row r="1971" spans="1:16" x14ac:dyDescent="0.3">
      <c r="A1971">
        <v>53849</v>
      </c>
      <c r="B1971">
        <v>116</v>
      </c>
      <c r="C1971" t="s">
        <v>568</v>
      </c>
      <c r="D1971" s="453">
        <v>45931</v>
      </c>
      <c r="E1971">
        <v>19583</v>
      </c>
      <c r="F1971" t="s">
        <v>4076</v>
      </c>
      <c r="G1971">
        <v>2639</v>
      </c>
      <c r="H1971">
        <v>1</v>
      </c>
      <c r="I1971" t="s">
        <v>3892</v>
      </c>
      <c r="J1971" t="s">
        <v>3469</v>
      </c>
      <c r="K1971" t="s">
        <v>3736</v>
      </c>
      <c r="L1971">
        <v>50</v>
      </c>
      <c r="M1971" s="453">
        <v>45918</v>
      </c>
      <c r="N1971">
        <v>50</v>
      </c>
      <c r="O1971">
        <v>48</v>
      </c>
      <c r="P1971">
        <v>50</v>
      </c>
    </row>
    <row r="1972" spans="1:16" x14ac:dyDescent="0.3">
      <c r="A1972">
        <v>53742</v>
      </c>
      <c r="B1972">
        <v>116</v>
      </c>
      <c r="C1972" t="s">
        <v>568</v>
      </c>
      <c r="D1972" s="453">
        <v>45931</v>
      </c>
      <c r="E1972">
        <v>20227</v>
      </c>
      <c r="F1972" t="s">
        <v>3968</v>
      </c>
      <c r="G1972">
        <v>2248</v>
      </c>
      <c r="H1972">
        <v>5</v>
      </c>
      <c r="I1972" t="s">
        <v>3888</v>
      </c>
      <c r="J1972" t="s">
        <v>3469</v>
      </c>
      <c r="K1972" t="s">
        <v>3736</v>
      </c>
      <c r="L1972">
        <v>9.91</v>
      </c>
      <c r="M1972" s="453">
        <v>45926</v>
      </c>
      <c r="N1972">
        <v>9.98</v>
      </c>
      <c r="O1972">
        <v>10.02</v>
      </c>
      <c r="P1972">
        <v>49.55</v>
      </c>
    </row>
    <row r="1973" spans="1:16" x14ac:dyDescent="0.3">
      <c r="A1973">
        <v>53840</v>
      </c>
      <c r="B1973">
        <v>116</v>
      </c>
      <c r="C1973" t="s">
        <v>568</v>
      </c>
      <c r="D1973" s="453">
        <v>45931</v>
      </c>
      <c r="E1973">
        <v>20954</v>
      </c>
      <c r="F1973" t="s">
        <v>4452</v>
      </c>
      <c r="G1973">
        <v>2021</v>
      </c>
      <c r="H1973">
        <v>1</v>
      </c>
      <c r="I1973" t="s">
        <v>3878</v>
      </c>
      <c r="J1973" t="s">
        <v>3469</v>
      </c>
      <c r="K1973" t="s">
        <v>3736</v>
      </c>
      <c r="L1973">
        <v>0</v>
      </c>
      <c r="M1973" s="453">
        <v>45845</v>
      </c>
      <c r="N1973">
        <v>48.9</v>
      </c>
      <c r="O1973">
        <v>45.99</v>
      </c>
      <c r="P1973">
        <v>48.9</v>
      </c>
    </row>
    <row r="1974" spans="1:16" x14ac:dyDescent="0.3">
      <c r="A1974">
        <v>53763</v>
      </c>
      <c r="B1974">
        <v>116</v>
      </c>
      <c r="C1974" t="s">
        <v>568</v>
      </c>
      <c r="D1974" s="453">
        <v>45931</v>
      </c>
      <c r="E1974">
        <v>24403</v>
      </c>
      <c r="F1974" t="s">
        <v>3992</v>
      </c>
      <c r="G1974">
        <v>3049</v>
      </c>
      <c r="H1974">
        <v>3.5</v>
      </c>
      <c r="I1974" t="s">
        <v>3892</v>
      </c>
      <c r="J1974" t="s">
        <v>3469</v>
      </c>
      <c r="K1974" t="s">
        <v>3736</v>
      </c>
      <c r="L1974">
        <v>13.9</v>
      </c>
      <c r="M1974" s="453">
        <v>45930</v>
      </c>
      <c r="N1974">
        <v>13.9</v>
      </c>
      <c r="O1974">
        <v>13.9</v>
      </c>
      <c r="P1974">
        <v>48.65</v>
      </c>
    </row>
    <row r="1975" spans="1:16" x14ac:dyDescent="0.3">
      <c r="A1975">
        <v>53772</v>
      </c>
      <c r="B1975">
        <v>116</v>
      </c>
      <c r="C1975" t="s">
        <v>568</v>
      </c>
      <c r="D1975" s="453">
        <v>45931</v>
      </c>
      <c r="E1975">
        <v>19979</v>
      </c>
      <c r="F1975" t="s">
        <v>4295</v>
      </c>
      <c r="G1975">
        <v>2353</v>
      </c>
      <c r="H1975">
        <v>3</v>
      </c>
      <c r="I1975" t="s">
        <v>3931</v>
      </c>
      <c r="J1975" t="s">
        <v>3469</v>
      </c>
      <c r="K1975" t="s">
        <v>3736</v>
      </c>
      <c r="L1975">
        <v>0</v>
      </c>
      <c r="M1975" s="453">
        <v>45790</v>
      </c>
      <c r="N1975">
        <v>16</v>
      </c>
      <c r="O1975">
        <v>16.989999999999998</v>
      </c>
      <c r="P1975">
        <v>48</v>
      </c>
    </row>
    <row r="1976" spans="1:16" x14ac:dyDescent="0.3">
      <c r="A1976">
        <v>53790</v>
      </c>
      <c r="B1976">
        <v>116</v>
      </c>
      <c r="C1976" t="s">
        <v>568</v>
      </c>
      <c r="D1976" s="453">
        <v>45931</v>
      </c>
      <c r="E1976">
        <v>24456</v>
      </c>
      <c r="F1976" t="s">
        <v>4048</v>
      </c>
      <c r="G1976">
        <v>1965</v>
      </c>
      <c r="H1976">
        <v>2.1</v>
      </c>
      <c r="I1976" t="s">
        <v>3892</v>
      </c>
      <c r="J1976" t="s">
        <v>3469</v>
      </c>
      <c r="K1976" t="s">
        <v>3736</v>
      </c>
      <c r="L1976">
        <v>0</v>
      </c>
      <c r="M1976" s="453">
        <v>45826</v>
      </c>
      <c r="N1976">
        <v>21.76</v>
      </c>
      <c r="O1976">
        <v>29.83</v>
      </c>
      <c r="P1976">
        <v>45.7</v>
      </c>
    </row>
    <row r="1977" spans="1:16" x14ac:dyDescent="0.3">
      <c r="A1977">
        <v>53799</v>
      </c>
      <c r="B1977">
        <v>116</v>
      </c>
      <c r="C1977" t="s">
        <v>568</v>
      </c>
      <c r="D1977" s="453">
        <v>45931</v>
      </c>
      <c r="E1977">
        <v>23234</v>
      </c>
      <c r="F1977" t="s">
        <v>4018</v>
      </c>
      <c r="G1977">
        <v>2622</v>
      </c>
      <c r="H1977">
        <v>2</v>
      </c>
      <c r="I1977" t="s">
        <v>3892</v>
      </c>
      <c r="J1977" t="s">
        <v>3469</v>
      </c>
      <c r="K1977" t="s">
        <v>3736</v>
      </c>
      <c r="L1977">
        <v>22.84</v>
      </c>
      <c r="M1977" s="453">
        <v>45925</v>
      </c>
      <c r="N1977">
        <v>25</v>
      </c>
      <c r="O1977">
        <v>22</v>
      </c>
      <c r="P1977">
        <v>45.68</v>
      </c>
    </row>
    <row r="1978" spans="1:16" x14ac:dyDescent="0.3">
      <c r="A1978">
        <v>53773</v>
      </c>
      <c r="B1978">
        <v>116</v>
      </c>
      <c r="C1978" t="s">
        <v>568</v>
      </c>
      <c r="D1978" s="453">
        <v>45931</v>
      </c>
      <c r="E1978">
        <v>20965</v>
      </c>
      <c r="F1978" t="s">
        <v>3969</v>
      </c>
      <c r="G1978">
        <v>2013</v>
      </c>
      <c r="H1978">
        <v>3</v>
      </c>
      <c r="I1978" t="s">
        <v>3872</v>
      </c>
      <c r="J1978" t="s">
        <v>3469</v>
      </c>
      <c r="K1978" t="s">
        <v>3736</v>
      </c>
      <c r="L1978">
        <v>0</v>
      </c>
      <c r="M1978" s="453">
        <v>45832</v>
      </c>
      <c r="N1978">
        <v>14.2</v>
      </c>
      <c r="O1978">
        <v>14.2</v>
      </c>
      <c r="P1978">
        <v>42.6</v>
      </c>
    </row>
    <row r="1979" spans="1:16" x14ac:dyDescent="0.3">
      <c r="A1979">
        <v>53715</v>
      </c>
      <c r="B1979">
        <v>116</v>
      </c>
      <c r="C1979" t="s">
        <v>568</v>
      </c>
      <c r="D1979" s="453">
        <v>45931</v>
      </c>
      <c r="E1979">
        <v>24002</v>
      </c>
      <c r="F1979" t="s">
        <v>3924</v>
      </c>
      <c r="G1979">
        <v>3614</v>
      </c>
      <c r="H1979">
        <v>9</v>
      </c>
      <c r="I1979" t="s">
        <v>3872</v>
      </c>
      <c r="J1979" t="s">
        <v>3497</v>
      </c>
      <c r="K1979" t="s">
        <v>3736</v>
      </c>
      <c r="L1979">
        <v>0</v>
      </c>
      <c r="M1979" s="453">
        <v>45811</v>
      </c>
      <c r="N1979">
        <v>4.6900000000000004</v>
      </c>
      <c r="O1979">
        <v>7.2</v>
      </c>
      <c r="P1979">
        <v>42.21</v>
      </c>
    </row>
    <row r="1980" spans="1:16" x14ac:dyDescent="0.3">
      <c r="A1980">
        <v>53859</v>
      </c>
      <c r="B1980">
        <v>116</v>
      </c>
      <c r="C1980" t="s">
        <v>568</v>
      </c>
      <c r="D1980" s="453">
        <v>45931</v>
      </c>
      <c r="E1980">
        <v>18341</v>
      </c>
      <c r="F1980" t="s">
        <v>4086</v>
      </c>
      <c r="G1980">
        <v>3293</v>
      </c>
      <c r="H1980">
        <v>1</v>
      </c>
      <c r="I1980" t="s">
        <v>3878</v>
      </c>
      <c r="J1980" t="s">
        <v>3497</v>
      </c>
      <c r="K1980" t="s">
        <v>3736</v>
      </c>
      <c r="L1980">
        <v>0</v>
      </c>
      <c r="M1980" s="453">
        <v>-693593</v>
      </c>
      <c r="N1980">
        <v>0</v>
      </c>
      <c r="O1980">
        <v>50</v>
      </c>
      <c r="P1980">
        <v>38</v>
      </c>
    </row>
    <row r="1981" spans="1:16" x14ac:dyDescent="0.3">
      <c r="A1981">
        <v>53784</v>
      </c>
      <c r="B1981">
        <v>116</v>
      </c>
      <c r="C1981" t="s">
        <v>568</v>
      </c>
      <c r="D1981" s="453">
        <v>45931</v>
      </c>
      <c r="E1981">
        <v>20358</v>
      </c>
      <c r="F1981" t="s">
        <v>3952</v>
      </c>
      <c r="G1981">
        <v>2200</v>
      </c>
      <c r="H1981">
        <v>2.5</v>
      </c>
      <c r="I1981" t="s">
        <v>3888</v>
      </c>
      <c r="J1981" t="s">
        <v>3469</v>
      </c>
      <c r="K1981" t="s">
        <v>3736</v>
      </c>
      <c r="L1981">
        <v>14.27</v>
      </c>
      <c r="M1981" s="453">
        <v>45930</v>
      </c>
      <c r="N1981">
        <v>14.1</v>
      </c>
      <c r="O1981">
        <v>14.1</v>
      </c>
      <c r="P1981">
        <v>35.67</v>
      </c>
    </row>
    <row r="1982" spans="1:16" x14ac:dyDescent="0.3">
      <c r="A1982">
        <v>53845</v>
      </c>
      <c r="B1982">
        <v>116</v>
      </c>
      <c r="C1982" t="s">
        <v>568</v>
      </c>
      <c r="D1982" s="453">
        <v>45931</v>
      </c>
      <c r="E1982">
        <v>19765</v>
      </c>
      <c r="F1982" t="s">
        <v>4071</v>
      </c>
      <c r="G1982">
        <v>2488</v>
      </c>
      <c r="H1982">
        <v>1</v>
      </c>
      <c r="I1982" t="s">
        <v>3892</v>
      </c>
      <c r="J1982" t="s">
        <v>3469</v>
      </c>
      <c r="K1982" t="s">
        <v>3736</v>
      </c>
      <c r="L1982">
        <v>0</v>
      </c>
      <c r="M1982" s="453">
        <v>45887</v>
      </c>
      <c r="N1982">
        <v>32</v>
      </c>
      <c r="O1982">
        <v>28</v>
      </c>
      <c r="P1982">
        <v>32</v>
      </c>
    </row>
    <row r="1983" spans="1:16" x14ac:dyDescent="0.3">
      <c r="A1983">
        <v>53731</v>
      </c>
      <c r="B1983">
        <v>116</v>
      </c>
      <c r="C1983" t="s">
        <v>568</v>
      </c>
      <c r="D1983" s="453">
        <v>45931</v>
      </c>
      <c r="E1983">
        <v>19787</v>
      </c>
      <c r="F1983" t="s">
        <v>3940</v>
      </c>
      <c r="G1983">
        <v>2471</v>
      </c>
      <c r="H1983">
        <v>6.2</v>
      </c>
      <c r="I1983" t="s">
        <v>3892</v>
      </c>
      <c r="J1983" t="s">
        <v>3469</v>
      </c>
      <c r="K1983" t="s">
        <v>3736</v>
      </c>
      <c r="L1983">
        <v>4.9000000000000004</v>
      </c>
      <c r="M1983" s="453">
        <v>45925</v>
      </c>
      <c r="N1983">
        <v>5.2</v>
      </c>
      <c r="O1983">
        <v>4.9000000000000004</v>
      </c>
      <c r="P1983">
        <v>30.38</v>
      </c>
    </row>
    <row r="1984" spans="1:16" x14ac:dyDescent="0.3">
      <c r="A1984">
        <v>53829</v>
      </c>
      <c r="B1984">
        <v>116</v>
      </c>
      <c r="C1984" t="s">
        <v>568</v>
      </c>
      <c r="D1984" s="453">
        <v>45931</v>
      </c>
      <c r="E1984">
        <v>21078</v>
      </c>
      <c r="F1984" t="s">
        <v>4049</v>
      </c>
      <c r="G1984">
        <v>1991</v>
      </c>
      <c r="H1984">
        <v>1</v>
      </c>
      <c r="I1984" t="s">
        <v>3881</v>
      </c>
      <c r="J1984" t="s">
        <v>3469</v>
      </c>
      <c r="K1984" t="s">
        <v>3736</v>
      </c>
      <c r="L1984">
        <v>0</v>
      </c>
      <c r="M1984" s="453">
        <v>-693593</v>
      </c>
      <c r="N1984">
        <v>0</v>
      </c>
      <c r="O1984">
        <v>48.9</v>
      </c>
      <c r="P1984">
        <v>29.9</v>
      </c>
    </row>
    <row r="1985" spans="1:16" x14ac:dyDescent="0.3">
      <c r="A1985">
        <v>53709</v>
      </c>
      <c r="B1985">
        <v>116</v>
      </c>
      <c r="C1985" t="s">
        <v>568</v>
      </c>
      <c r="D1985" s="453">
        <v>45931</v>
      </c>
      <c r="E1985">
        <v>24083</v>
      </c>
      <c r="F1985" t="s">
        <v>3898</v>
      </c>
      <c r="G1985">
        <v>2592</v>
      </c>
      <c r="H1985">
        <v>10</v>
      </c>
      <c r="I1985" t="s">
        <v>3892</v>
      </c>
      <c r="J1985" t="s">
        <v>3469</v>
      </c>
      <c r="K1985" t="s">
        <v>3736</v>
      </c>
      <c r="L1985">
        <v>2.96</v>
      </c>
      <c r="M1985" s="453">
        <v>45929</v>
      </c>
      <c r="N1985">
        <v>2.75</v>
      </c>
      <c r="O1985">
        <v>2.71</v>
      </c>
      <c r="P1985">
        <v>29.6</v>
      </c>
    </row>
    <row r="1986" spans="1:16" x14ac:dyDescent="0.3">
      <c r="A1986">
        <v>53857</v>
      </c>
      <c r="B1986">
        <v>116</v>
      </c>
      <c r="C1986" t="s">
        <v>568</v>
      </c>
      <c r="D1986" s="453">
        <v>45931</v>
      </c>
      <c r="E1986">
        <v>18395</v>
      </c>
      <c r="F1986" t="s">
        <v>4085</v>
      </c>
      <c r="G1986">
        <v>3245</v>
      </c>
      <c r="H1986">
        <v>1</v>
      </c>
      <c r="I1986" t="s">
        <v>3878</v>
      </c>
      <c r="J1986" t="s">
        <v>3497</v>
      </c>
      <c r="K1986" t="s">
        <v>3736</v>
      </c>
      <c r="L1986">
        <v>0</v>
      </c>
      <c r="M1986" s="453">
        <v>45845</v>
      </c>
      <c r="N1986">
        <v>29.43</v>
      </c>
      <c r="O1986">
        <v>30</v>
      </c>
      <c r="P1986">
        <v>29.43</v>
      </c>
    </row>
    <row r="1987" spans="1:16" x14ac:dyDescent="0.3">
      <c r="A1987">
        <v>53864</v>
      </c>
      <c r="B1987">
        <v>116</v>
      </c>
      <c r="C1987" t="s">
        <v>568</v>
      </c>
      <c r="D1987" s="453">
        <v>45931</v>
      </c>
      <c r="E1987">
        <v>18030</v>
      </c>
      <c r="F1987" t="s">
        <v>4033</v>
      </c>
      <c r="G1987">
        <v>3568</v>
      </c>
      <c r="H1987">
        <v>1</v>
      </c>
      <c r="I1987" t="s">
        <v>3878</v>
      </c>
      <c r="J1987" t="s">
        <v>3497</v>
      </c>
      <c r="K1987" t="s">
        <v>3736</v>
      </c>
      <c r="L1987">
        <v>0</v>
      </c>
      <c r="M1987" s="453">
        <v>45807</v>
      </c>
      <c r="N1987">
        <v>27.9</v>
      </c>
      <c r="O1987">
        <v>27.5</v>
      </c>
      <c r="P1987">
        <v>27.9</v>
      </c>
    </row>
    <row r="1988" spans="1:16" x14ac:dyDescent="0.3">
      <c r="A1988">
        <v>53746</v>
      </c>
      <c r="B1988">
        <v>116</v>
      </c>
      <c r="C1988" t="s">
        <v>568</v>
      </c>
      <c r="D1988" s="453">
        <v>45931</v>
      </c>
      <c r="E1988">
        <v>23389</v>
      </c>
      <c r="F1988" t="s">
        <v>4016</v>
      </c>
      <c r="G1988">
        <v>2475</v>
      </c>
      <c r="H1988">
        <v>5</v>
      </c>
      <c r="I1988" t="s">
        <v>3892</v>
      </c>
      <c r="J1988" t="s">
        <v>3469</v>
      </c>
      <c r="K1988" t="s">
        <v>3736</v>
      </c>
      <c r="L1988">
        <v>5.49</v>
      </c>
      <c r="M1988" s="453">
        <v>45929</v>
      </c>
      <c r="N1988">
        <v>5.9</v>
      </c>
      <c r="O1988">
        <v>5</v>
      </c>
      <c r="P1988">
        <v>27.45</v>
      </c>
    </row>
    <row r="1989" spans="1:16" x14ac:dyDescent="0.3">
      <c r="A1989">
        <v>53833</v>
      </c>
      <c r="B1989">
        <v>116</v>
      </c>
      <c r="C1989" t="s">
        <v>568</v>
      </c>
      <c r="D1989" s="453">
        <v>45931</v>
      </c>
      <c r="E1989">
        <v>20287</v>
      </c>
      <c r="F1989" t="s">
        <v>4053</v>
      </c>
      <c r="G1989">
        <v>2229</v>
      </c>
      <c r="H1989">
        <v>1</v>
      </c>
      <c r="I1989" t="s">
        <v>3888</v>
      </c>
      <c r="J1989" t="s">
        <v>3469</v>
      </c>
      <c r="K1989" t="s">
        <v>3736</v>
      </c>
      <c r="L1989">
        <v>26.99</v>
      </c>
      <c r="M1989" s="453">
        <v>45916</v>
      </c>
      <c r="N1989">
        <v>26.99</v>
      </c>
      <c r="O1989">
        <v>26.99</v>
      </c>
      <c r="P1989">
        <v>26.99</v>
      </c>
    </row>
    <row r="1990" spans="1:16" x14ac:dyDescent="0.3">
      <c r="A1990">
        <v>53839</v>
      </c>
      <c r="B1990">
        <v>116</v>
      </c>
      <c r="C1990" t="s">
        <v>568</v>
      </c>
      <c r="D1990" s="453">
        <v>45931</v>
      </c>
      <c r="E1990">
        <v>20610</v>
      </c>
      <c r="F1990" t="s">
        <v>4064</v>
      </c>
      <c r="G1990">
        <v>2120</v>
      </c>
      <c r="H1990">
        <v>1</v>
      </c>
      <c r="I1990" t="s">
        <v>3884</v>
      </c>
      <c r="J1990" t="s">
        <v>3469</v>
      </c>
      <c r="K1990" t="s">
        <v>3736</v>
      </c>
      <c r="L1990">
        <v>0</v>
      </c>
      <c r="M1990" s="453">
        <v>45770</v>
      </c>
      <c r="N1990">
        <v>26.9</v>
      </c>
      <c r="O1990">
        <v>25.8</v>
      </c>
      <c r="P1990">
        <v>26.9</v>
      </c>
    </row>
    <row r="1991" spans="1:16" x14ac:dyDescent="0.3">
      <c r="A1991">
        <v>53826</v>
      </c>
      <c r="B1991">
        <v>116</v>
      </c>
      <c r="C1991" t="s">
        <v>568</v>
      </c>
      <c r="D1991" s="453">
        <v>45931</v>
      </c>
      <c r="E1991">
        <v>24392</v>
      </c>
      <c r="F1991" t="s">
        <v>4041</v>
      </c>
      <c r="G1991">
        <v>2366</v>
      </c>
      <c r="H1991">
        <v>1.2</v>
      </c>
      <c r="I1991" t="s">
        <v>3892</v>
      </c>
      <c r="J1991" t="s">
        <v>3469</v>
      </c>
      <c r="K1991" t="s">
        <v>3736</v>
      </c>
      <c r="L1991">
        <v>0</v>
      </c>
      <c r="M1991" s="453">
        <v>45524</v>
      </c>
      <c r="N1991">
        <v>21.9</v>
      </c>
      <c r="O1991">
        <v>22.9</v>
      </c>
      <c r="P1991">
        <v>26.28</v>
      </c>
    </row>
    <row r="1992" spans="1:16" x14ac:dyDescent="0.3">
      <c r="A1992">
        <v>53847</v>
      </c>
      <c r="B1992">
        <v>116</v>
      </c>
      <c r="C1992" t="s">
        <v>568</v>
      </c>
      <c r="D1992" s="453">
        <v>45931</v>
      </c>
      <c r="E1992">
        <v>19478</v>
      </c>
      <c r="F1992" t="s">
        <v>4072</v>
      </c>
      <c r="G1992">
        <v>2728</v>
      </c>
      <c r="H1992">
        <v>1</v>
      </c>
      <c r="I1992" t="s">
        <v>3892</v>
      </c>
      <c r="J1992" t="s">
        <v>3469</v>
      </c>
      <c r="K1992" t="s">
        <v>3736</v>
      </c>
      <c r="L1992">
        <v>26.1</v>
      </c>
      <c r="M1992" s="453">
        <v>45911</v>
      </c>
      <c r="N1992">
        <v>26.1</v>
      </c>
      <c r="O1992">
        <v>48</v>
      </c>
      <c r="P1992">
        <v>26.1</v>
      </c>
    </row>
    <row r="1993" spans="1:16" x14ac:dyDescent="0.3">
      <c r="A1993">
        <v>53806</v>
      </c>
      <c r="B1993">
        <v>116</v>
      </c>
      <c r="C1993" t="s">
        <v>568</v>
      </c>
      <c r="D1993" s="453">
        <v>45931</v>
      </c>
      <c r="E1993">
        <v>17942</v>
      </c>
      <c r="F1993" t="s">
        <v>4035</v>
      </c>
      <c r="G1993">
        <v>3630</v>
      </c>
      <c r="H1993">
        <v>2</v>
      </c>
      <c r="I1993" t="s">
        <v>3872</v>
      </c>
      <c r="J1993" t="s">
        <v>3497</v>
      </c>
      <c r="K1993" t="s">
        <v>3736</v>
      </c>
      <c r="L1993">
        <v>0</v>
      </c>
      <c r="M1993" s="453">
        <v>45803</v>
      </c>
      <c r="N1993">
        <v>13</v>
      </c>
      <c r="O1993">
        <v>13</v>
      </c>
      <c r="P1993">
        <v>26</v>
      </c>
    </row>
    <row r="1994" spans="1:16" x14ac:dyDescent="0.3">
      <c r="A1994">
        <v>53867</v>
      </c>
      <c r="B1994">
        <v>116</v>
      </c>
      <c r="C1994" t="s">
        <v>568</v>
      </c>
      <c r="D1994" s="453">
        <v>45931</v>
      </c>
      <c r="E1994">
        <v>19779</v>
      </c>
      <c r="F1994" t="s">
        <v>4069</v>
      </c>
      <c r="G1994">
        <v>2479</v>
      </c>
      <c r="H1994">
        <v>0.7</v>
      </c>
      <c r="I1994" t="s">
        <v>3892</v>
      </c>
      <c r="J1994" t="s">
        <v>3469</v>
      </c>
      <c r="K1994" t="s">
        <v>3736</v>
      </c>
      <c r="L1994">
        <v>0</v>
      </c>
      <c r="M1994" s="453">
        <v>45826</v>
      </c>
      <c r="N1994">
        <v>37</v>
      </c>
      <c r="O1994">
        <v>30</v>
      </c>
      <c r="P1994">
        <v>25.9</v>
      </c>
    </row>
    <row r="1995" spans="1:16" x14ac:dyDescent="0.3">
      <c r="A1995">
        <v>53841</v>
      </c>
      <c r="B1995">
        <v>116</v>
      </c>
      <c r="C1995" t="s">
        <v>568</v>
      </c>
      <c r="D1995" s="453">
        <v>45931</v>
      </c>
      <c r="E1995">
        <v>19652</v>
      </c>
      <c r="F1995" t="s">
        <v>4014</v>
      </c>
      <c r="G1995">
        <v>2587</v>
      </c>
      <c r="H1995">
        <v>1</v>
      </c>
      <c r="I1995" t="s">
        <v>3892</v>
      </c>
      <c r="J1995" t="s">
        <v>3469</v>
      </c>
      <c r="K1995" t="s">
        <v>3736</v>
      </c>
      <c r="L1995">
        <v>25.23</v>
      </c>
      <c r="M1995" s="453">
        <v>45925</v>
      </c>
      <c r="N1995">
        <v>22.26</v>
      </c>
      <c r="O1995">
        <v>22.26</v>
      </c>
      <c r="P1995">
        <v>25.23</v>
      </c>
    </row>
    <row r="1996" spans="1:16" x14ac:dyDescent="0.3">
      <c r="A1996">
        <v>53758</v>
      </c>
      <c r="B1996">
        <v>116</v>
      </c>
      <c r="C1996" t="s">
        <v>568</v>
      </c>
      <c r="D1996" s="453">
        <v>45931</v>
      </c>
      <c r="E1996">
        <v>23171</v>
      </c>
      <c r="F1996" t="s">
        <v>4132</v>
      </c>
      <c r="G1996">
        <v>2682</v>
      </c>
      <c r="H1996">
        <v>4</v>
      </c>
      <c r="I1996" t="s">
        <v>3892</v>
      </c>
      <c r="J1996" t="s">
        <v>3469</v>
      </c>
      <c r="K1996" t="s">
        <v>3736</v>
      </c>
      <c r="L1996">
        <v>6.21</v>
      </c>
      <c r="M1996" s="453">
        <v>45929</v>
      </c>
      <c r="N1996">
        <v>4.92</v>
      </c>
      <c r="O1996">
        <v>4.82</v>
      </c>
      <c r="P1996">
        <v>24.84</v>
      </c>
    </row>
    <row r="1997" spans="1:16" x14ac:dyDescent="0.3">
      <c r="A1997">
        <v>53853</v>
      </c>
      <c r="B1997">
        <v>116</v>
      </c>
      <c r="C1997" t="s">
        <v>568</v>
      </c>
      <c r="D1997" s="453">
        <v>45931</v>
      </c>
      <c r="E1997">
        <v>19710</v>
      </c>
      <c r="F1997" t="s">
        <v>4106</v>
      </c>
      <c r="G1997">
        <v>2540</v>
      </c>
      <c r="H1997">
        <v>1</v>
      </c>
      <c r="I1997" t="s">
        <v>3888</v>
      </c>
      <c r="J1997" t="s">
        <v>3469</v>
      </c>
      <c r="K1997" t="s">
        <v>3736</v>
      </c>
      <c r="L1997">
        <v>0</v>
      </c>
      <c r="M1997" s="453">
        <v>45783</v>
      </c>
      <c r="N1997">
        <v>23.9</v>
      </c>
      <c r="O1997">
        <v>22.3</v>
      </c>
      <c r="P1997">
        <v>23.9</v>
      </c>
    </row>
    <row r="1998" spans="1:16" x14ac:dyDescent="0.3">
      <c r="A1998">
        <v>53865</v>
      </c>
      <c r="B1998">
        <v>116</v>
      </c>
      <c r="C1998" t="s">
        <v>568</v>
      </c>
      <c r="D1998" s="453">
        <v>45931</v>
      </c>
      <c r="E1998">
        <v>17878</v>
      </c>
      <c r="F1998" t="s">
        <v>4096</v>
      </c>
      <c r="G1998">
        <v>3677</v>
      </c>
      <c r="H1998">
        <v>1</v>
      </c>
      <c r="I1998" t="s">
        <v>3872</v>
      </c>
      <c r="J1998" t="s">
        <v>3497</v>
      </c>
      <c r="K1998" t="s">
        <v>3736</v>
      </c>
      <c r="L1998">
        <v>23.46</v>
      </c>
      <c r="M1998" s="453">
        <v>45930</v>
      </c>
      <c r="N1998">
        <v>23.46</v>
      </c>
      <c r="O1998">
        <v>23.46</v>
      </c>
      <c r="P1998">
        <v>23.46</v>
      </c>
    </row>
    <row r="1999" spans="1:16" x14ac:dyDescent="0.3">
      <c r="A1999">
        <v>53837</v>
      </c>
      <c r="B1999">
        <v>116</v>
      </c>
      <c r="C1999" t="s">
        <v>568</v>
      </c>
      <c r="D1999" s="453">
        <v>45931</v>
      </c>
      <c r="E1999">
        <v>19902</v>
      </c>
      <c r="F1999" t="s">
        <v>3909</v>
      </c>
      <c r="G1999">
        <v>2382</v>
      </c>
      <c r="H1999">
        <v>1</v>
      </c>
      <c r="I1999" t="s">
        <v>3881</v>
      </c>
      <c r="J1999" t="s">
        <v>3469</v>
      </c>
      <c r="K1999" t="s">
        <v>3736</v>
      </c>
      <c r="L1999">
        <v>0</v>
      </c>
      <c r="M1999" s="453">
        <v>45881</v>
      </c>
      <c r="N1999">
        <v>22.9</v>
      </c>
      <c r="O1999">
        <v>26.2</v>
      </c>
      <c r="P1999">
        <v>22.9</v>
      </c>
    </row>
    <row r="2000" spans="1:16" x14ac:dyDescent="0.3">
      <c r="A2000">
        <v>53851</v>
      </c>
      <c r="B2000">
        <v>116</v>
      </c>
      <c r="C2000" t="s">
        <v>568</v>
      </c>
      <c r="D2000" s="453">
        <v>45931</v>
      </c>
      <c r="E2000">
        <v>23198</v>
      </c>
      <c r="F2000" t="s">
        <v>4167</v>
      </c>
      <c r="G2000">
        <v>2657</v>
      </c>
      <c r="H2000">
        <v>1</v>
      </c>
      <c r="I2000" t="s">
        <v>3892</v>
      </c>
      <c r="J2000" t="s">
        <v>3469</v>
      </c>
      <c r="K2000" t="s">
        <v>3736</v>
      </c>
      <c r="L2000">
        <v>22.41</v>
      </c>
      <c r="M2000" s="453">
        <v>45925</v>
      </c>
      <c r="N2000">
        <v>16</v>
      </c>
      <c r="O2000">
        <v>15</v>
      </c>
      <c r="P2000">
        <v>22.41</v>
      </c>
    </row>
    <row r="2001" spans="1:16" x14ac:dyDescent="0.3">
      <c r="A2001">
        <v>53735</v>
      </c>
      <c r="B2001">
        <v>116</v>
      </c>
      <c r="C2001" t="s">
        <v>568</v>
      </c>
      <c r="D2001" s="453">
        <v>45931</v>
      </c>
      <c r="E2001">
        <v>20685</v>
      </c>
      <c r="F2001" t="s">
        <v>4122</v>
      </c>
      <c r="G2001">
        <v>2106</v>
      </c>
      <c r="H2001">
        <v>6</v>
      </c>
      <c r="I2001" t="s">
        <v>3872</v>
      </c>
      <c r="J2001" t="s">
        <v>3469</v>
      </c>
      <c r="K2001" t="s">
        <v>3736</v>
      </c>
      <c r="L2001">
        <v>3.43</v>
      </c>
      <c r="M2001" s="453">
        <v>45923</v>
      </c>
      <c r="N2001">
        <v>3.45</v>
      </c>
      <c r="O2001">
        <v>3.45</v>
      </c>
      <c r="P2001">
        <v>20.58</v>
      </c>
    </row>
    <row r="2002" spans="1:16" x14ac:dyDescent="0.3">
      <c r="A2002">
        <v>53675</v>
      </c>
      <c r="B2002">
        <v>116</v>
      </c>
      <c r="C2002" t="s">
        <v>568</v>
      </c>
      <c r="D2002" s="453">
        <v>45931</v>
      </c>
      <c r="E2002">
        <v>23096</v>
      </c>
      <c r="F2002" t="s">
        <v>3876</v>
      </c>
      <c r="G2002">
        <v>2753</v>
      </c>
      <c r="H2002">
        <v>30</v>
      </c>
      <c r="I2002" t="s">
        <v>3872</v>
      </c>
      <c r="J2002" t="s">
        <v>3469</v>
      </c>
      <c r="K2002" t="s">
        <v>3736</v>
      </c>
      <c r="L2002">
        <v>0.64</v>
      </c>
      <c r="M2002" s="453">
        <v>45925</v>
      </c>
      <c r="N2002">
        <v>0.63</v>
      </c>
      <c r="O2002">
        <v>0.6</v>
      </c>
      <c r="P2002">
        <v>19.2</v>
      </c>
    </row>
    <row r="2003" spans="1:16" x14ac:dyDescent="0.3">
      <c r="A2003">
        <v>53835</v>
      </c>
      <c r="B2003">
        <v>116</v>
      </c>
      <c r="C2003" t="s">
        <v>568</v>
      </c>
      <c r="D2003" s="453">
        <v>45931</v>
      </c>
      <c r="E2003">
        <v>24364</v>
      </c>
      <c r="F2003" t="s">
        <v>4061</v>
      </c>
      <c r="G2003">
        <v>2043</v>
      </c>
      <c r="H2003">
        <v>1</v>
      </c>
      <c r="I2003" t="s">
        <v>3892</v>
      </c>
      <c r="J2003" t="s">
        <v>3469</v>
      </c>
      <c r="K2003" t="s">
        <v>3736</v>
      </c>
      <c r="L2003">
        <v>0</v>
      </c>
      <c r="M2003" s="453">
        <v>45888</v>
      </c>
      <c r="N2003">
        <v>19</v>
      </c>
      <c r="O2003">
        <v>17.399999999999999</v>
      </c>
      <c r="P2003">
        <v>19</v>
      </c>
    </row>
    <row r="2004" spans="1:16" x14ac:dyDescent="0.3">
      <c r="A2004">
        <v>53850</v>
      </c>
      <c r="B2004">
        <v>116</v>
      </c>
      <c r="C2004" t="s">
        <v>568</v>
      </c>
      <c r="D2004" s="453">
        <v>45931</v>
      </c>
      <c r="E2004">
        <v>19572</v>
      </c>
      <c r="F2004" t="s">
        <v>4023</v>
      </c>
      <c r="G2004">
        <v>2646</v>
      </c>
      <c r="H2004">
        <v>1</v>
      </c>
      <c r="I2004" t="s">
        <v>3892</v>
      </c>
      <c r="J2004" t="s">
        <v>3469</v>
      </c>
      <c r="K2004" t="s">
        <v>3736</v>
      </c>
      <c r="L2004">
        <v>18.82</v>
      </c>
      <c r="M2004" s="453">
        <v>45925</v>
      </c>
      <c r="N2004">
        <v>20</v>
      </c>
      <c r="O2004">
        <v>21.47</v>
      </c>
      <c r="P2004">
        <v>18.82</v>
      </c>
    </row>
    <row r="2005" spans="1:16" x14ac:dyDescent="0.3">
      <c r="A2005">
        <v>53878</v>
      </c>
      <c r="B2005">
        <v>116</v>
      </c>
      <c r="C2005" t="s">
        <v>568</v>
      </c>
      <c r="D2005" s="453">
        <v>45931</v>
      </c>
      <c r="E2005">
        <v>23120</v>
      </c>
      <c r="F2005" t="s">
        <v>4111</v>
      </c>
      <c r="G2005">
        <v>2730</v>
      </c>
      <c r="H2005">
        <v>0.2</v>
      </c>
      <c r="I2005" t="s">
        <v>3892</v>
      </c>
      <c r="J2005" t="s">
        <v>3469</v>
      </c>
      <c r="K2005" t="s">
        <v>3736</v>
      </c>
      <c r="L2005">
        <v>87.17</v>
      </c>
      <c r="M2005" s="453">
        <v>45929</v>
      </c>
      <c r="N2005">
        <v>74.95</v>
      </c>
      <c r="O2005">
        <v>74.959999999999994</v>
      </c>
      <c r="P2005">
        <v>17.43</v>
      </c>
    </row>
    <row r="2006" spans="1:16" x14ac:dyDescent="0.3">
      <c r="A2006">
        <v>53793</v>
      </c>
      <c r="B2006">
        <v>116</v>
      </c>
      <c r="C2006" t="s">
        <v>568</v>
      </c>
      <c r="D2006" s="453">
        <v>45931</v>
      </c>
      <c r="E2006">
        <v>23635</v>
      </c>
      <c r="F2006" t="s">
        <v>4102</v>
      </c>
      <c r="G2006">
        <v>2247</v>
      </c>
      <c r="H2006">
        <v>2</v>
      </c>
      <c r="I2006" t="s">
        <v>3892</v>
      </c>
      <c r="J2006" t="s">
        <v>3469</v>
      </c>
      <c r="K2006" t="s">
        <v>3736</v>
      </c>
      <c r="L2006">
        <v>0</v>
      </c>
      <c r="M2006" s="453">
        <v>45874</v>
      </c>
      <c r="N2006">
        <v>8.6999999999999993</v>
      </c>
      <c r="O2006">
        <v>7.8</v>
      </c>
      <c r="P2006">
        <v>17.399999999999999</v>
      </c>
    </row>
    <row r="2007" spans="1:16" x14ac:dyDescent="0.3">
      <c r="A2007">
        <v>53791</v>
      </c>
      <c r="B2007">
        <v>116</v>
      </c>
      <c r="C2007" t="s">
        <v>568</v>
      </c>
      <c r="D2007" s="453">
        <v>45931</v>
      </c>
      <c r="E2007">
        <v>21126</v>
      </c>
      <c r="F2007" t="s">
        <v>4004</v>
      </c>
      <c r="G2007">
        <v>1963</v>
      </c>
      <c r="H2007">
        <v>2</v>
      </c>
      <c r="I2007" t="s">
        <v>3888</v>
      </c>
      <c r="J2007" t="s">
        <v>3469</v>
      </c>
      <c r="K2007" t="s">
        <v>3736</v>
      </c>
      <c r="L2007">
        <v>8.4</v>
      </c>
      <c r="M2007" s="453">
        <v>45930</v>
      </c>
      <c r="N2007">
        <v>8.4</v>
      </c>
      <c r="O2007">
        <v>8.4</v>
      </c>
      <c r="P2007">
        <v>16.8</v>
      </c>
    </row>
    <row r="2008" spans="1:16" x14ac:dyDescent="0.3">
      <c r="A2008">
        <v>53818</v>
      </c>
      <c r="B2008">
        <v>116</v>
      </c>
      <c r="C2008" t="s">
        <v>568</v>
      </c>
      <c r="D2008" s="453">
        <v>45931</v>
      </c>
      <c r="E2008">
        <v>19672</v>
      </c>
      <c r="F2008" t="s">
        <v>4024</v>
      </c>
      <c r="G2008">
        <v>2567</v>
      </c>
      <c r="H2008">
        <v>1.5</v>
      </c>
      <c r="I2008" t="s">
        <v>3892</v>
      </c>
      <c r="J2008" t="s">
        <v>3469</v>
      </c>
      <c r="K2008" t="s">
        <v>3736</v>
      </c>
      <c r="L2008">
        <v>11.09</v>
      </c>
      <c r="M2008" s="453">
        <v>45925</v>
      </c>
      <c r="N2008">
        <v>12</v>
      </c>
      <c r="O2008">
        <v>12.9</v>
      </c>
      <c r="P2008">
        <v>16.63</v>
      </c>
    </row>
    <row r="2009" spans="1:16" x14ac:dyDescent="0.3">
      <c r="A2009">
        <v>53796</v>
      </c>
      <c r="B2009">
        <v>116</v>
      </c>
      <c r="C2009" t="s">
        <v>568</v>
      </c>
      <c r="D2009" s="453">
        <v>45931</v>
      </c>
      <c r="E2009">
        <v>20949</v>
      </c>
      <c r="F2009" t="s">
        <v>3983</v>
      </c>
      <c r="G2009">
        <v>2023</v>
      </c>
      <c r="H2009">
        <v>2</v>
      </c>
      <c r="I2009" t="s">
        <v>3878</v>
      </c>
      <c r="J2009" t="s">
        <v>3469</v>
      </c>
      <c r="K2009" t="s">
        <v>3736</v>
      </c>
      <c r="L2009">
        <v>8.18</v>
      </c>
      <c r="M2009" s="453">
        <v>45926</v>
      </c>
      <c r="N2009">
        <v>8.18</v>
      </c>
      <c r="O2009">
        <v>8.18</v>
      </c>
      <c r="P2009">
        <v>16.36</v>
      </c>
    </row>
    <row r="2010" spans="1:16" x14ac:dyDescent="0.3">
      <c r="A2010">
        <v>53834</v>
      </c>
      <c r="B2010">
        <v>116</v>
      </c>
      <c r="C2010" t="s">
        <v>568</v>
      </c>
      <c r="D2010" s="453">
        <v>45931</v>
      </c>
      <c r="E2010">
        <v>20077</v>
      </c>
      <c r="F2010" t="s">
        <v>4054</v>
      </c>
      <c r="G2010">
        <v>2317</v>
      </c>
      <c r="H2010">
        <v>1</v>
      </c>
      <c r="I2010" t="s">
        <v>3888</v>
      </c>
      <c r="J2010" t="s">
        <v>3469</v>
      </c>
      <c r="K2010" t="s">
        <v>3736</v>
      </c>
      <c r="L2010">
        <v>16.32</v>
      </c>
      <c r="M2010" s="453">
        <v>45930</v>
      </c>
      <c r="N2010">
        <v>16.32</v>
      </c>
      <c r="O2010">
        <v>16.32</v>
      </c>
      <c r="P2010">
        <v>16.32</v>
      </c>
    </row>
    <row r="2011" spans="1:16" x14ac:dyDescent="0.3">
      <c r="A2011">
        <v>53776</v>
      </c>
      <c r="B2011">
        <v>116</v>
      </c>
      <c r="C2011" t="s">
        <v>568</v>
      </c>
      <c r="D2011" s="453">
        <v>45931</v>
      </c>
      <c r="E2011">
        <v>23236</v>
      </c>
      <c r="F2011" t="s">
        <v>4017</v>
      </c>
      <c r="G2011">
        <v>2620</v>
      </c>
      <c r="H2011">
        <v>3</v>
      </c>
      <c r="I2011" t="s">
        <v>3892</v>
      </c>
      <c r="J2011" t="s">
        <v>3469</v>
      </c>
      <c r="K2011" t="s">
        <v>3736</v>
      </c>
      <c r="L2011">
        <v>5.32</v>
      </c>
      <c r="M2011" s="453">
        <v>45929</v>
      </c>
      <c r="N2011">
        <v>5.88</v>
      </c>
      <c r="O2011">
        <v>5.8</v>
      </c>
      <c r="P2011">
        <v>15.96</v>
      </c>
    </row>
    <row r="2012" spans="1:16" x14ac:dyDescent="0.3">
      <c r="A2012">
        <v>53797</v>
      </c>
      <c r="B2012">
        <v>116</v>
      </c>
      <c r="C2012" t="s">
        <v>568</v>
      </c>
      <c r="D2012" s="453">
        <v>45931</v>
      </c>
      <c r="E2012">
        <v>19634</v>
      </c>
      <c r="F2012" t="s">
        <v>4068</v>
      </c>
      <c r="G2012">
        <v>2602</v>
      </c>
      <c r="H2012">
        <v>2</v>
      </c>
      <c r="I2012" t="s">
        <v>3892</v>
      </c>
      <c r="J2012" t="s">
        <v>3469</v>
      </c>
      <c r="K2012" t="s">
        <v>3736</v>
      </c>
      <c r="L2012">
        <v>7.86</v>
      </c>
      <c r="M2012" s="453">
        <v>45925</v>
      </c>
      <c r="N2012">
        <v>6</v>
      </c>
      <c r="O2012">
        <v>6.39</v>
      </c>
      <c r="P2012">
        <v>15.72</v>
      </c>
    </row>
    <row r="2013" spans="1:16" x14ac:dyDescent="0.3">
      <c r="A2013">
        <v>53745</v>
      </c>
      <c r="B2013">
        <v>116</v>
      </c>
      <c r="C2013" t="s">
        <v>568</v>
      </c>
      <c r="D2013" s="453">
        <v>45931</v>
      </c>
      <c r="E2013">
        <v>19917</v>
      </c>
      <c r="F2013" t="s">
        <v>3920</v>
      </c>
      <c r="G2013">
        <v>2379</v>
      </c>
      <c r="H2013">
        <v>5</v>
      </c>
      <c r="I2013" t="s">
        <v>3888</v>
      </c>
      <c r="J2013" t="s">
        <v>3469</v>
      </c>
      <c r="K2013" t="s">
        <v>3736</v>
      </c>
      <c r="L2013">
        <v>0</v>
      </c>
      <c r="M2013" s="453">
        <v>45581</v>
      </c>
      <c r="N2013">
        <v>3.09</v>
      </c>
      <c r="O2013">
        <v>3.35</v>
      </c>
      <c r="P2013">
        <v>15.45</v>
      </c>
    </row>
    <row r="2014" spans="1:16" x14ac:dyDescent="0.3">
      <c r="A2014">
        <v>53852</v>
      </c>
      <c r="B2014">
        <v>116</v>
      </c>
      <c r="C2014" t="s">
        <v>568</v>
      </c>
      <c r="D2014" s="453">
        <v>45931</v>
      </c>
      <c r="E2014">
        <v>19558</v>
      </c>
      <c r="F2014" t="s">
        <v>4183</v>
      </c>
      <c r="G2014">
        <v>2659</v>
      </c>
      <c r="H2014">
        <v>1</v>
      </c>
      <c r="I2014" t="s">
        <v>3892</v>
      </c>
      <c r="J2014" t="s">
        <v>3469</v>
      </c>
      <c r="K2014" t="s">
        <v>3736</v>
      </c>
      <c r="L2014">
        <v>14.97</v>
      </c>
      <c r="M2014" s="453">
        <v>45929</v>
      </c>
      <c r="N2014">
        <v>11.92</v>
      </c>
      <c r="O2014">
        <v>16.96</v>
      </c>
      <c r="P2014">
        <v>14.97</v>
      </c>
    </row>
    <row r="2015" spans="1:16" x14ac:dyDescent="0.3">
      <c r="A2015">
        <v>53801</v>
      </c>
      <c r="B2015">
        <v>116</v>
      </c>
      <c r="C2015" t="s">
        <v>568</v>
      </c>
      <c r="D2015" s="453">
        <v>45931</v>
      </c>
      <c r="E2015">
        <v>19751</v>
      </c>
      <c r="F2015" t="s">
        <v>4019</v>
      </c>
      <c r="G2015">
        <v>2502</v>
      </c>
      <c r="H2015">
        <v>2</v>
      </c>
      <c r="I2015" t="s">
        <v>3892</v>
      </c>
      <c r="J2015" t="s">
        <v>3469</v>
      </c>
      <c r="K2015" t="s">
        <v>3736</v>
      </c>
      <c r="L2015">
        <v>7.22</v>
      </c>
      <c r="M2015" s="453">
        <v>45929</v>
      </c>
      <c r="N2015">
        <v>6.99</v>
      </c>
      <c r="O2015">
        <v>7.24</v>
      </c>
      <c r="P2015">
        <v>14.44</v>
      </c>
    </row>
    <row r="2016" spans="1:16" x14ac:dyDescent="0.3">
      <c r="A2016">
        <v>53817</v>
      </c>
      <c r="B2016">
        <v>116</v>
      </c>
      <c r="C2016" t="s">
        <v>568</v>
      </c>
      <c r="D2016" s="453">
        <v>45931</v>
      </c>
      <c r="E2016">
        <v>19689</v>
      </c>
      <c r="F2016" t="s">
        <v>4073</v>
      </c>
      <c r="G2016">
        <v>2551</v>
      </c>
      <c r="H2016">
        <v>1.5</v>
      </c>
      <c r="I2016" t="s">
        <v>3892</v>
      </c>
      <c r="J2016" t="s">
        <v>3469</v>
      </c>
      <c r="K2016" t="s">
        <v>3736</v>
      </c>
      <c r="L2016">
        <v>0</v>
      </c>
      <c r="M2016" s="453">
        <v>45845</v>
      </c>
      <c r="N2016">
        <v>9</v>
      </c>
      <c r="O2016">
        <v>5.04</v>
      </c>
      <c r="P2016">
        <v>13.5</v>
      </c>
    </row>
    <row r="2017" spans="1:16" x14ac:dyDescent="0.3">
      <c r="A2017">
        <v>53868</v>
      </c>
      <c r="B2017">
        <v>116</v>
      </c>
      <c r="C2017" t="s">
        <v>568</v>
      </c>
      <c r="D2017" s="453">
        <v>45931</v>
      </c>
      <c r="E2017">
        <v>20395</v>
      </c>
      <c r="F2017" t="s">
        <v>4057</v>
      </c>
      <c r="G2017">
        <v>2192</v>
      </c>
      <c r="H2017">
        <v>0.5</v>
      </c>
      <c r="I2017" t="s">
        <v>3872</v>
      </c>
      <c r="J2017" t="s">
        <v>3469</v>
      </c>
      <c r="K2017" t="s">
        <v>3736</v>
      </c>
      <c r="L2017">
        <v>26.81</v>
      </c>
      <c r="M2017" s="453">
        <v>45923</v>
      </c>
      <c r="N2017">
        <v>26.81</v>
      </c>
      <c r="O2017">
        <v>26.81</v>
      </c>
      <c r="P2017">
        <v>13.4</v>
      </c>
    </row>
    <row r="2018" spans="1:16" x14ac:dyDescent="0.3">
      <c r="A2018">
        <v>53874</v>
      </c>
      <c r="B2018">
        <v>116</v>
      </c>
      <c r="C2018" t="s">
        <v>568</v>
      </c>
      <c r="D2018" s="453">
        <v>45931</v>
      </c>
      <c r="E2018">
        <v>19506</v>
      </c>
      <c r="F2018" t="s">
        <v>4112</v>
      </c>
      <c r="G2018">
        <v>2705</v>
      </c>
      <c r="H2018">
        <v>0.3</v>
      </c>
      <c r="I2018" t="s">
        <v>3892</v>
      </c>
      <c r="J2018" t="s">
        <v>3469</v>
      </c>
      <c r="K2018" t="s">
        <v>3736</v>
      </c>
      <c r="L2018">
        <v>44.66</v>
      </c>
      <c r="M2018" s="453">
        <v>45929</v>
      </c>
      <c r="N2018">
        <v>50</v>
      </c>
      <c r="O2018">
        <v>47.22</v>
      </c>
      <c r="P2018">
        <v>13.4</v>
      </c>
    </row>
    <row r="2019" spans="1:16" x14ac:dyDescent="0.3">
      <c r="A2019">
        <v>53836</v>
      </c>
      <c r="B2019">
        <v>116</v>
      </c>
      <c r="C2019" t="s">
        <v>568</v>
      </c>
      <c r="D2019" s="453">
        <v>45931</v>
      </c>
      <c r="E2019">
        <v>19932</v>
      </c>
      <c r="F2019" t="s">
        <v>4011</v>
      </c>
      <c r="G2019">
        <v>2368</v>
      </c>
      <c r="H2019">
        <v>1</v>
      </c>
      <c r="I2019" t="s">
        <v>3872</v>
      </c>
      <c r="J2019" t="s">
        <v>3469</v>
      </c>
      <c r="K2019" t="s">
        <v>3736</v>
      </c>
      <c r="L2019">
        <v>0</v>
      </c>
      <c r="M2019" s="453">
        <v>45888</v>
      </c>
      <c r="N2019">
        <v>13.2</v>
      </c>
      <c r="O2019">
        <v>13.2</v>
      </c>
      <c r="P2019">
        <v>13.2</v>
      </c>
    </row>
    <row r="2020" spans="1:16" x14ac:dyDescent="0.3">
      <c r="A2020">
        <v>53869</v>
      </c>
      <c r="B2020">
        <v>116</v>
      </c>
      <c r="C2020" t="s">
        <v>568</v>
      </c>
      <c r="D2020" s="453">
        <v>45931</v>
      </c>
      <c r="E2020">
        <v>23270</v>
      </c>
      <c r="F2020" t="s">
        <v>4103</v>
      </c>
      <c r="G2020">
        <v>2590</v>
      </c>
      <c r="H2020">
        <v>0.5</v>
      </c>
      <c r="I2020" t="s">
        <v>3892</v>
      </c>
      <c r="J2020" t="s">
        <v>3469</v>
      </c>
      <c r="K2020" t="s">
        <v>3736</v>
      </c>
      <c r="L2020">
        <v>0</v>
      </c>
      <c r="M2020" s="453">
        <v>45895</v>
      </c>
      <c r="N2020">
        <v>25</v>
      </c>
      <c r="O2020">
        <v>32.159999999999997</v>
      </c>
      <c r="P2020">
        <v>12.5</v>
      </c>
    </row>
    <row r="2021" spans="1:16" x14ac:dyDescent="0.3">
      <c r="A2021">
        <v>53871</v>
      </c>
      <c r="B2021">
        <v>116</v>
      </c>
      <c r="C2021" t="s">
        <v>568</v>
      </c>
      <c r="D2021" s="453">
        <v>45931</v>
      </c>
      <c r="E2021">
        <v>23365</v>
      </c>
      <c r="F2021" t="s">
        <v>4236</v>
      </c>
      <c r="G2021">
        <v>2493</v>
      </c>
      <c r="H2021">
        <v>0.5</v>
      </c>
      <c r="I2021" t="s">
        <v>3892</v>
      </c>
      <c r="J2021" t="s">
        <v>3469</v>
      </c>
      <c r="K2021" t="s">
        <v>3736</v>
      </c>
      <c r="L2021">
        <v>24.32</v>
      </c>
      <c r="M2021" s="453">
        <v>45904</v>
      </c>
      <c r="N2021">
        <v>24.32</v>
      </c>
      <c r="O2021">
        <v>27</v>
      </c>
      <c r="P2021">
        <v>12.16</v>
      </c>
    </row>
    <row r="2022" spans="1:16" x14ac:dyDescent="0.3">
      <c r="A2022">
        <v>53838</v>
      </c>
      <c r="B2022">
        <v>116</v>
      </c>
      <c r="C2022" t="s">
        <v>568</v>
      </c>
      <c r="D2022" s="453">
        <v>45931</v>
      </c>
      <c r="E2022">
        <v>25769</v>
      </c>
      <c r="F2022" t="s">
        <v>4013</v>
      </c>
      <c r="G2022">
        <v>6318</v>
      </c>
      <c r="H2022">
        <v>1</v>
      </c>
      <c r="I2022" t="s">
        <v>3892</v>
      </c>
      <c r="J2022" t="s">
        <v>3469</v>
      </c>
      <c r="K2022" t="s">
        <v>3736</v>
      </c>
      <c r="L2022">
        <v>12</v>
      </c>
      <c r="M2022" s="453">
        <v>45930</v>
      </c>
      <c r="N2022">
        <v>12</v>
      </c>
      <c r="O2022">
        <v>12</v>
      </c>
      <c r="P2022">
        <v>12</v>
      </c>
    </row>
    <row r="2023" spans="1:16" x14ac:dyDescent="0.3">
      <c r="A2023">
        <v>53816</v>
      </c>
      <c r="B2023">
        <v>116</v>
      </c>
      <c r="C2023" t="s">
        <v>568</v>
      </c>
      <c r="D2023" s="453">
        <v>45931</v>
      </c>
      <c r="E2023">
        <v>19498</v>
      </c>
      <c r="F2023" t="s">
        <v>4065</v>
      </c>
      <c r="G2023">
        <v>2712</v>
      </c>
      <c r="H2023">
        <v>1.5</v>
      </c>
      <c r="I2023" t="s">
        <v>3892</v>
      </c>
      <c r="J2023" t="s">
        <v>3469</v>
      </c>
      <c r="K2023" t="s">
        <v>3736</v>
      </c>
      <c r="L2023">
        <v>7.34</v>
      </c>
      <c r="M2023" s="453">
        <v>45929</v>
      </c>
      <c r="N2023">
        <v>8.5</v>
      </c>
      <c r="O2023">
        <v>7.5</v>
      </c>
      <c r="P2023">
        <v>11.01</v>
      </c>
    </row>
    <row r="2024" spans="1:16" x14ac:dyDescent="0.3">
      <c r="A2024">
        <v>53866</v>
      </c>
      <c r="B2024">
        <v>116</v>
      </c>
      <c r="C2024" t="s">
        <v>568</v>
      </c>
      <c r="D2024" s="453">
        <v>45931</v>
      </c>
      <c r="E2024">
        <v>24401</v>
      </c>
      <c r="F2024" t="s">
        <v>4063</v>
      </c>
      <c r="G2024">
        <v>2369</v>
      </c>
      <c r="H2024">
        <v>0.8</v>
      </c>
      <c r="I2024" t="s">
        <v>3872</v>
      </c>
      <c r="J2024" t="s">
        <v>3469</v>
      </c>
      <c r="K2024" t="s">
        <v>3736</v>
      </c>
      <c r="L2024">
        <v>13.6</v>
      </c>
      <c r="M2024" s="453">
        <v>45909</v>
      </c>
      <c r="N2024">
        <v>13.6</v>
      </c>
      <c r="O2024">
        <v>13.5</v>
      </c>
      <c r="P2024">
        <v>10.88</v>
      </c>
    </row>
    <row r="2025" spans="1:16" x14ac:dyDescent="0.3">
      <c r="A2025">
        <v>53775</v>
      </c>
      <c r="B2025">
        <v>116</v>
      </c>
      <c r="C2025" t="s">
        <v>568</v>
      </c>
      <c r="D2025" s="453">
        <v>45931</v>
      </c>
      <c r="E2025">
        <v>19623</v>
      </c>
      <c r="F2025" t="s">
        <v>3984</v>
      </c>
      <c r="G2025">
        <v>2611</v>
      </c>
      <c r="H2025">
        <v>3</v>
      </c>
      <c r="I2025" t="s">
        <v>3892</v>
      </c>
      <c r="J2025" t="s">
        <v>3469</v>
      </c>
      <c r="K2025" t="s">
        <v>3736</v>
      </c>
      <c r="L2025">
        <v>3.56</v>
      </c>
      <c r="M2025" s="453">
        <v>45925</v>
      </c>
      <c r="N2025">
        <v>3.5</v>
      </c>
      <c r="O2025">
        <v>3.4</v>
      </c>
      <c r="P2025">
        <v>10.68</v>
      </c>
    </row>
    <row r="2026" spans="1:16" x14ac:dyDescent="0.3">
      <c r="A2026">
        <v>53719</v>
      </c>
      <c r="B2026">
        <v>116</v>
      </c>
      <c r="C2026" t="s">
        <v>568</v>
      </c>
      <c r="D2026" s="453">
        <v>45931</v>
      </c>
      <c r="E2026">
        <v>24509</v>
      </c>
      <c r="F2026" t="s">
        <v>3906</v>
      </c>
      <c r="G2026">
        <v>2607</v>
      </c>
      <c r="H2026">
        <v>8</v>
      </c>
      <c r="I2026" t="s">
        <v>3892</v>
      </c>
      <c r="J2026" t="s">
        <v>3469</v>
      </c>
      <c r="K2026" t="s">
        <v>3736</v>
      </c>
      <c r="L2026">
        <v>1.29</v>
      </c>
      <c r="M2026" s="453">
        <v>45925</v>
      </c>
      <c r="N2026">
        <v>1.3</v>
      </c>
      <c r="O2026">
        <v>1.22</v>
      </c>
      <c r="P2026">
        <v>10.32</v>
      </c>
    </row>
    <row r="2027" spans="1:16" x14ac:dyDescent="0.3">
      <c r="A2027">
        <v>53827</v>
      </c>
      <c r="B2027">
        <v>116</v>
      </c>
      <c r="C2027" t="s">
        <v>568</v>
      </c>
      <c r="D2027" s="453">
        <v>45931</v>
      </c>
      <c r="E2027">
        <v>19468</v>
      </c>
      <c r="F2027" t="s">
        <v>4079</v>
      </c>
      <c r="G2027">
        <v>2736</v>
      </c>
      <c r="H2027">
        <v>1.2</v>
      </c>
      <c r="I2027" t="s">
        <v>3892</v>
      </c>
      <c r="J2027" t="s">
        <v>3469</v>
      </c>
      <c r="K2027" t="s">
        <v>3736</v>
      </c>
      <c r="L2027">
        <v>0</v>
      </c>
      <c r="M2027" s="453">
        <v>45831</v>
      </c>
      <c r="N2027">
        <v>8.5</v>
      </c>
      <c r="O2027">
        <v>5.5</v>
      </c>
      <c r="P2027">
        <v>10.199999999999999</v>
      </c>
    </row>
    <row r="2028" spans="1:16" x14ac:dyDescent="0.3">
      <c r="A2028">
        <v>53872</v>
      </c>
      <c r="B2028">
        <v>116</v>
      </c>
      <c r="C2028" t="s">
        <v>568</v>
      </c>
      <c r="D2028" s="453">
        <v>45931</v>
      </c>
      <c r="E2028">
        <v>19555</v>
      </c>
      <c r="F2028" t="s">
        <v>4109</v>
      </c>
      <c r="G2028">
        <v>2662</v>
      </c>
      <c r="H2028">
        <v>0.5</v>
      </c>
      <c r="I2028" t="s">
        <v>3892</v>
      </c>
      <c r="J2028" t="s">
        <v>3469</v>
      </c>
      <c r="K2028" t="s">
        <v>3736</v>
      </c>
      <c r="L2028">
        <v>19.420000000000002</v>
      </c>
      <c r="M2028" s="453">
        <v>45929</v>
      </c>
      <c r="N2028">
        <v>24.98</v>
      </c>
      <c r="O2028">
        <v>20</v>
      </c>
      <c r="P2028">
        <v>9.7100000000000009</v>
      </c>
    </row>
    <row r="2029" spans="1:16" x14ac:dyDescent="0.3">
      <c r="A2029">
        <v>53800</v>
      </c>
      <c r="B2029">
        <v>116</v>
      </c>
      <c r="C2029" t="s">
        <v>568</v>
      </c>
      <c r="D2029" s="453">
        <v>45931</v>
      </c>
      <c r="E2029">
        <v>25162</v>
      </c>
      <c r="F2029" t="s">
        <v>4288</v>
      </c>
      <c r="G2029">
        <v>5929</v>
      </c>
      <c r="H2029">
        <v>2</v>
      </c>
      <c r="I2029" t="s">
        <v>3892</v>
      </c>
      <c r="J2029" t="s">
        <v>3469</v>
      </c>
      <c r="K2029" t="s">
        <v>3736</v>
      </c>
      <c r="L2029">
        <v>4.63</v>
      </c>
      <c r="M2029" s="453">
        <v>45915</v>
      </c>
      <c r="N2029">
        <v>7.5</v>
      </c>
      <c r="O2029">
        <v>1.6</v>
      </c>
      <c r="P2029">
        <v>9.26</v>
      </c>
    </row>
    <row r="2030" spans="1:16" x14ac:dyDescent="0.3">
      <c r="A2030">
        <v>53870</v>
      </c>
      <c r="B2030">
        <v>116</v>
      </c>
      <c r="C2030" t="s">
        <v>568</v>
      </c>
      <c r="D2030" s="453">
        <v>45931</v>
      </c>
      <c r="E2030">
        <v>19617</v>
      </c>
      <c r="F2030" t="s">
        <v>4110</v>
      </c>
      <c r="G2030">
        <v>2617</v>
      </c>
      <c r="H2030">
        <v>0.5</v>
      </c>
      <c r="I2030" t="s">
        <v>3892</v>
      </c>
      <c r="J2030" t="s">
        <v>3469</v>
      </c>
      <c r="K2030" t="s">
        <v>3736</v>
      </c>
      <c r="L2030">
        <v>18.13</v>
      </c>
      <c r="M2030" s="453">
        <v>45929</v>
      </c>
      <c r="N2030">
        <v>15.08</v>
      </c>
      <c r="O2030">
        <v>14.29</v>
      </c>
      <c r="P2030">
        <v>9.06</v>
      </c>
    </row>
    <row r="2031" spans="1:16" x14ac:dyDescent="0.3">
      <c r="A2031">
        <v>53848</v>
      </c>
      <c r="B2031">
        <v>116</v>
      </c>
      <c r="C2031" t="s">
        <v>568</v>
      </c>
      <c r="D2031" s="453">
        <v>45931</v>
      </c>
      <c r="E2031">
        <v>19742</v>
      </c>
      <c r="F2031" t="s">
        <v>4074</v>
      </c>
      <c r="G2031">
        <v>2511</v>
      </c>
      <c r="H2031">
        <v>1</v>
      </c>
      <c r="I2031" t="s">
        <v>3892</v>
      </c>
      <c r="J2031" t="s">
        <v>3469</v>
      </c>
      <c r="K2031" t="s">
        <v>3736</v>
      </c>
      <c r="L2031">
        <v>8.76</v>
      </c>
      <c r="M2031" s="453">
        <v>45925</v>
      </c>
      <c r="N2031">
        <v>8.5</v>
      </c>
      <c r="O2031">
        <v>8</v>
      </c>
      <c r="P2031">
        <v>8.76</v>
      </c>
    </row>
    <row r="2032" spans="1:16" x14ac:dyDescent="0.3">
      <c r="A2032">
        <v>53842</v>
      </c>
      <c r="B2032">
        <v>116</v>
      </c>
      <c r="C2032" t="s">
        <v>568</v>
      </c>
      <c r="D2032" s="453">
        <v>45931</v>
      </c>
      <c r="E2032">
        <v>19647</v>
      </c>
      <c r="F2032" t="s">
        <v>4066</v>
      </c>
      <c r="G2032">
        <v>2591</v>
      </c>
      <c r="H2032">
        <v>1</v>
      </c>
      <c r="I2032" t="s">
        <v>3892</v>
      </c>
      <c r="J2032" t="s">
        <v>3469</v>
      </c>
      <c r="K2032" t="s">
        <v>3736</v>
      </c>
      <c r="L2032">
        <v>8.25</v>
      </c>
      <c r="M2032" s="453">
        <v>45929</v>
      </c>
      <c r="N2032">
        <v>8.5</v>
      </c>
      <c r="O2032">
        <v>8.48</v>
      </c>
      <c r="P2032">
        <v>8.25</v>
      </c>
    </row>
    <row r="2033" spans="1:16" x14ac:dyDescent="0.3">
      <c r="A2033">
        <v>53824</v>
      </c>
      <c r="B2033">
        <v>116</v>
      </c>
      <c r="C2033" t="s">
        <v>568</v>
      </c>
      <c r="D2033" s="453">
        <v>45931</v>
      </c>
      <c r="E2033">
        <v>19505</v>
      </c>
      <c r="F2033" t="s">
        <v>4101</v>
      </c>
      <c r="G2033">
        <v>2706</v>
      </c>
      <c r="H2033">
        <v>1.3</v>
      </c>
      <c r="I2033" t="s">
        <v>3892</v>
      </c>
      <c r="J2033" t="s">
        <v>3469</v>
      </c>
      <c r="K2033" t="s">
        <v>3736</v>
      </c>
      <c r="L2033">
        <v>5.75</v>
      </c>
      <c r="M2033" s="453">
        <v>45929</v>
      </c>
      <c r="N2033">
        <v>5</v>
      </c>
      <c r="O2033">
        <v>4.7</v>
      </c>
      <c r="P2033">
        <v>7.48</v>
      </c>
    </row>
    <row r="2034" spans="1:16" x14ac:dyDescent="0.3">
      <c r="A2034">
        <v>53844</v>
      </c>
      <c r="B2034">
        <v>116</v>
      </c>
      <c r="C2034" t="s">
        <v>568</v>
      </c>
      <c r="D2034" s="453">
        <v>45931</v>
      </c>
      <c r="E2034">
        <v>19494</v>
      </c>
      <c r="F2034" t="s">
        <v>4126</v>
      </c>
      <c r="G2034">
        <v>2716</v>
      </c>
      <c r="H2034">
        <v>1</v>
      </c>
      <c r="I2034" t="s">
        <v>3892</v>
      </c>
      <c r="J2034" t="s">
        <v>3469</v>
      </c>
      <c r="K2034" t="s">
        <v>3736</v>
      </c>
      <c r="L2034">
        <v>7.46</v>
      </c>
      <c r="M2034" s="453">
        <v>45925</v>
      </c>
      <c r="N2034">
        <v>7.5</v>
      </c>
      <c r="O2034">
        <v>7.5</v>
      </c>
      <c r="P2034">
        <v>7.46</v>
      </c>
    </row>
    <row r="2035" spans="1:16" x14ac:dyDescent="0.3">
      <c r="A2035">
        <v>53873</v>
      </c>
      <c r="B2035">
        <v>116</v>
      </c>
      <c r="C2035" t="s">
        <v>568</v>
      </c>
      <c r="D2035" s="453">
        <v>45931</v>
      </c>
      <c r="E2035">
        <v>23184</v>
      </c>
      <c r="F2035" t="s">
        <v>3894</v>
      </c>
      <c r="G2035">
        <v>2670</v>
      </c>
      <c r="H2035">
        <v>0.5</v>
      </c>
      <c r="I2035" t="s">
        <v>3892</v>
      </c>
      <c r="J2035" t="s">
        <v>3469</v>
      </c>
      <c r="K2035" t="s">
        <v>3736</v>
      </c>
      <c r="L2035">
        <v>14.92</v>
      </c>
      <c r="M2035" s="453">
        <v>45922</v>
      </c>
      <c r="N2035">
        <v>15</v>
      </c>
      <c r="O2035">
        <v>14.83</v>
      </c>
      <c r="P2035">
        <v>7.46</v>
      </c>
    </row>
    <row r="2036" spans="1:16" x14ac:dyDescent="0.3">
      <c r="A2036">
        <v>53828</v>
      </c>
      <c r="B2036">
        <v>116</v>
      </c>
      <c r="C2036" t="s">
        <v>568</v>
      </c>
      <c r="D2036" s="453">
        <v>45931</v>
      </c>
      <c r="E2036">
        <v>19465</v>
      </c>
      <c r="F2036" t="s">
        <v>4080</v>
      </c>
      <c r="G2036">
        <v>2737</v>
      </c>
      <c r="H2036">
        <v>1.1000000000000001</v>
      </c>
      <c r="I2036" t="s">
        <v>3892</v>
      </c>
      <c r="J2036" t="s">
        <v>3469</v>
      </c>
      <c r="K2036" t="s">
        <v>3736</v>
      </c>
      <c r="L2036">
        <v>5.83</v>
      </c>
      <c r="M2036" s="453">
        <v>45925</v>
      </c>
      <c r="N2036">
        <v>5.5</v>
      </c>
      <c r="O2036">
        <v>5.23</v>
      </c>
      <c r="P2036">
        <v>6.41</v>
      </c>
    </row>
    <row r="2037" spans="1:16" x14ac:dyDescent="0.3">
      <c r="A2037">
        <v>53798</v>
      </c>
      <c r="B2037">
        <v>116</v>
      </c>
      <c r="C2037" t="s">
        <v>568</v>
      </c>
      <c r="D2037" s="453">
        <v>45931</v>
      </c>
      <c r="E2037">
        <v>19621</v>
      </c>
      <c r="F2037" t="s">
        <v>4125</v>
      </c>
      <c r="G2037">
        <v>2613</v>
      </c>
      <c r="H2037">
        <v>2</v>
      </c>
      <c r="I2037" t="s">
        <v>3892</v>
      </c>
      <c r="J2037" t="s">
        <v>3469</v>
      </c>
      <c r="K2037" t="s">
        <v>3736</v>
      </c>
      <c r="L2037">
        <v>3.03</v>
      </c>
      <c r="M2037" s="453">
        <v>45922</v>
      </c>
      <c r="N2037">
        <v>3.75</v>
      </c>
      <c r="O2037">
        <v>3</v>
      </c>
      <c r="P2037">
        <v>6.06</v>
      </c>
    </row>
    <row r="2038" spans="1:16" x14ac:dyDescent="0.3">
      <c r="A2038">
        <v>53846</v>
      </c>
      <c r="B2038">
        <v>116</v>
      </c>
      <c r="C2038" t="s">
        <v>568</v>
      </c>
      <c r="D2038" s="453">
        <v>45931</v>
      </c>
      <c r="E2038">
        <v>19752</v>
      </c>
      <c r="F2038" t="s">
        <v>4042</v>
      </c>
      <c r="G2038">
        <v>2501</v>
      </c>
      <c r="H2038">
        <v>1</v>
      </c>
      <c r="I2038" t="s">
        <v>3892</v>
      </c>
      <c r="J2038" t="s">
        <v>3469</v>
      </c>
      <c r="K2038" t="s">
        <v>3736</v>
      </c>
      <c r="L2038">
        <v>6.02</v>
      </c>
      <c r="M2038" s="453">
        <v>45925</v>
      </c>
      <c r="N2038">
        <v>5.8</v>
      </c>
      <c r="O2038">
        <v>4.2300000000000004</v>
      </c>
      <c r="P2038">
        <v>6.02</v>
      </c>
    </row>
    <row r="2039" spans="1:16" x14ac:dyDescent="0.3">
      <c r="A2039">
        <v>53843</v>
      </c>
      <c r="B2039">
        <v>116</v>
      </c>
      <c r="C2039" t="s">
        <v>568</v>
      </c>
      <c r="D2039" s="453">
        <v>45931</v>
      </c>
      <c r="E2039">
        <v>19642</v>
      </c>
      <c r="F2039" t="s">
        <v>4067</v>
      </c>
      <c r="G2039">
        <v>2596</v>
      </c>
      <c r="H2039">
        <v>1</v>
      </c>
      <c r="I2039" t="s">
        <v>3892</v>
      </c>
      <c r="J2039" t="s">
        <v>3469</v>
      </c>
      <c r="K2039" t="s">
        <v>3736</v>
      </c>
      <c r="L2039">
        <v>3.58</v>
      </c>
      <c r="M2039" s="453">
        <v>45918</v>
      </c>
      <c r="N2039">
        <v>3.75</v>
      </c>
      <c r="O2039">
        <v>2.7</v>
      </c>
      <c r="P2039">
        <v>3.58</v>
      </c>
    </row>
    <row r="2040" spans="1:16" x14ac:dyDescent="0.3">
      <c r="A2040">
        <v>53825</v>
      </c>
      <c r="B2040">
        <v>116</v>
      </c>
      <c r="C2040" t="s">
        <v>568</v>
      </c>
      <c r="D2040" s="453">
        <v>45931</v>
      </c>
      <c r="E2040">
        <v>19553</v>
      </c>
      <c r="F2040" t="s">
        <v>4078</v>
      </c>
      <c r="G2040">
        <v>2663</v>
      </c>
      <c r="H2040">
        <v>1.3</v>
      </c>
      <c r="I2040" t="s">
        <v>3892</v>
      </c>
      <c r="J2040" t="s">
        <v>3469</v>
      </c>
      <c r="K2040" t="s">
        <v>3736</v>
      </c>
      <c r="L2040">
        <v>1.95</v>
      </c>
      <c r="M2040" s="453">
        <v>45925</v>
      </c>
      <c r="N2040">
        <v>1.8</v>
      </c>
      <c r="O2040">
        <v>1.8</v>
      </c>
      <c r="P2040">
        <v>2.54</v>
      </c>
    </row>
    <row r="2041" spans="1:16" x14ac:dyDescent="0.3">
      <c r="A2041">
        <v>53877</v>
      </c>
      <c r="B2041">
        <v>116</v>
      </c>
      <c r="C2041" t="s">
        <v>568</v>
      </c>
      <c r="D2041" s="453">
        <v>45931</v>
      </c>
      <c r="E2041">
        <v>19480</v>
      </c>
      <c r="F2041" t="s">
        <v>4113</v>
      </c>
      <c r="G2041">
        <v>2726</v>
      </c>
      <c r="H2041">
        <v>0.2</v>
      </c>
      <c r="I2041" t="s">
        <v>3892</v>
      </c>
      <c r="J2041" t="s">
        <v>3469</v>
      </c>
      <c r="K2041" t="s">
        <v>3736</v>
      </c>
      <c r="L2041">
        <v>12</v>
      </c>
      <c r="M2041" s="453">
        <v>45925</v>
      </c>
      <c r="N2041">
        <v>12</v>
      </c>
      <c r="O2041">
        <v>11</v>
      </c>
      <c r="P2041">
        <v>2.4</v>
      </c>
    </row>
    <row r="2042" spans="1:16" x14ac:dyDescent="0.3">
      <c r="A2042">
        <v>53875</v>
      </c>
      <c r="B2042">
        <v>116</v>
      </c>
      <c r="C2042" t="s">
        <v>568</v>
      </c>
      <c r="D2042" s="453">
        <v>45931</v>
      </c>
      <c r="E2042">
        <v>19488</v>
      </c>
      <c r="F2042" t="s">
        <v>4070</v>
      </c>
      <c r="G2042">
        <v>2720</v>
      </c>
      <c r="H2042">
        <v>0.3</v>
      </c>
      <c r="I2042" t="s">
        <v>3892</v>
      </c>
      <c r="J2042" t="s">
        <v>3469</v>
      </c>
      <c r="K2042" t="s">
        <v>3736</v>
      </c>
      <c r="L2042">
        <v>0</v>
      </c>
      <c r="M2042" s="453">
        <v>45890</v>
      </c>
      <c r="N2042">
        <v>7.55</v>
      </c>
      <c r="O2042">
        <v>11</v>
      </c>
      <c r="P2042">
        <v>2.2599999999999998</v>
      </c>
    </row>
    <row r="2043" spans="1:16" x14ac:dyDescent="0.3">
      <c r="A2043">
        <v>53876</v>
      </c>
      <c r="B2043">
        <v>116</v>
      </c>
      <c r="C2043" t="s">
        <v>568</v>
      </c>
      <c r="D2043" s="453">
        <v>45931</v>
      </c>
      <c r="E2043">
        <v>19607</v>
      </c>
      <c r="F2043" t="s">
        <v>4105</v>
      </c>
      <c r="G2043">
        <v>2623</v>
      </c>
      <c r="H2043">
        <v>0.2</v>
      </c>
      <c r="I2043" t="s">
        <v>3892</v>
      </c>
      <c r="J2043" t="s">
        <v>3469</v>
      </c>
      <c r="K2043" t="s">
        <v>3736</v>
      </c>
      <c r="L2043">
        <v>0</v>
      </c>
      <c r="M2043" s="453">
        <v>45896</v>
      </c>
      <c r="N2043">
        <v>7.5</v>
      </c>
      <c r="O2043">
        <v>5.01</v>
      </c>
      <c r="P2043">
        <v>1.5</v>
      </c>
    </row>
    <row r="2044" spans="1:16" x14ac:dyDescent="0.3">
      <c r="A2044">
        <v>49970</v>
      </c>
      <c r="B2044">
        <v>116</v>
      </c>
      <c r="C2044" t="s">
        <v>568</v>
      </c>
      <c r="D2044" s="453">
        <v>45901</v>
      </c>
      <c r="E2044">
        <v>18247</v>
      </c>
      <c r="F2044" t="s">
        <v>3877</v>
      </c>
      <c r="G2044">
        <v>3383</v>
      </c>
      <c r="H2044">
        <v>59</v>
      </c>
      <c r="I2044" t="s">
        <v>3878</v>
      </c>
      <c r="J2044" t="s">
        <v>3497</v>
      </c>
      <c r="K2044" t="s">
        <v>3739</v>
      </c>
      <c r="L2044">
        <v>0</v>
      </c>
      <c r="M2044" s="453">
        <v>-693593</v>
      </c>
      <c r="N2044">
        <v>0</v>
      </c>
      <c r="O2044">
        <v>0</v>
      </c>
      <c r="P2044">
        <v>3917.6</v>
      </c>
    </row>
    <row r="2045" spans="1:16" x14ac:dyDescent="0.3">
      <c r="A2045">
        <v>50028</v>
      </c>
      <c r="B2045">
        <v>116</v>
      </c>
      <c r="C2045" t="s">
        <v>568</v>
      </c>
      <c r="D2045" s="453">
        <v>45901</v>
      </c>
      <c r="E2045">
        <v>18636</v>
      </c>
      <c r="F2045" t="s">
        <v>3921</v>
      </c>
      <c r="G2045">
        <v>3075</v>
      </c>
      <c r="H2045">
        <v>5.5</v>
      </c>
      <c r="I2045" t="s">
        <v>3922</v>
      </c>
      <c r="J2045" t="s">
        <v>3497</v>
      </c>
      <c r="K2045" t="s">
        <v>3739</v>
      </c>
      <c r="L2045">
        <v>0</v>
      </c>
      <c r="M2045" s="453">
        <v>45859</v>
      </c>
      <c r="N2045">
        <v>446.16</v>
      </c>
      <c r="O2045">
        <v>446.16</v>
      </c>
      <c r="P2045">
        <v>2453.88</v>
      </c>
    </row>
    <row r="2046" spans="1:16" x14ac:dyDescent="0.3">
      <c r="A2046">
        <v>50008</v>
      </c>
      <c r="B2046">
        <v>116</v>
      </c>
      <c r="C2046" t="s">
        <v>568</v>
      </c>
      <c r="D2046" s="453">
        <v>45901</v>
      </c>
      <c r="E2046">
        <v>24072</v>
      </c>
      <c r="F2046" t="s">
        <v>4002</v>
      </c>
      <c r="G2046">
        <v>2982</v>
      </c>
      <c r="H2046">
        <v>9</v>
      </c>
      <c r="I2046" t="s">
        <v>3892</v>
      </c>
      <c r="J2046" t="s">
        <v>3469</v>
      </c>
      <c r="K2046" t="s">
        <v>3739</v>
      </c>
      <c r="L2046">
        <v>0</v>
      </c>
      <c r="M2046" s="453">
        <v>45860</v>
      </c>
      <c r="N2046">
        <v>199</v>
      </c>
      <c r="O2046">
        <v>83</v>
      </c>
      <c r="P2046">
        <v>1791</v>
      </c>
    </row>
    <row r="2047" spans="1:16" x14ac:dyDescent="0.3">
      <c r="A2047">
        <v>49974</v>
      </c>
      <c r="B2047">
        <v>116</v>
      </c>
      <c r="C2047" t="s">
        <v>568</v>
      </c>
      <c r="D2047" s="453">
        <v>45901</v>
      </c>
      <c r="E2047">
        <v>22515</v>
      </c>
      <c r="F2047" t="s">
        <v>3883</v>
      </c>
      <c r="G2047">
        <v>3202</v>
      </c>
      <c r="H2047">
        <v>37</v>
      </c>
      <c r="I2047" t="s">
        <v>3884</v>
      </c>
      <c r="J2047" t="s">
        <v>3497</v>
      </c>
      <c r="K2047" t="s">
        <v>3739</v>
      </c>
      <c r="L2047">
        <v>0</v>
      </c>
      <c r="M2047" s="453">
        <v>45671</v>
      </c>
      <c r="N2047">
        <v>38</v>
      </c>
      <c r="O2047">
        <v>38</v>
      </c>
      <c r="P2047">
        <v>1406</v>
      </c>
    </row>
    <row r="2048" spans="1:16" x14ac:dyDescent="0.3">
      <c r="A2048">
        <v>50000</v>
      </c>
      <c r="B2048">
        <v>116</v>
      </c>
      <c r="C2048" t="s">
        <v>568</v>
      </c>
      <c r="D2048" s="453">
        <v>45901</v>
      </c>
      <c r="E2048">
        <v>18764</v>
      </c>
      <c r="F2048" t="s">
        <v>3907</v>
      </c>
      <c r="G2048">
        <v>3001</v>
      </c>
      <c r="H2048">
        <v>10.8</v>
      </c>
      <c r="I2048" t="s">
        <v>3892</v>
      </c>
      <c r="J2048" t="s">
        <v>3469</v>
      </c>
      <c r="K2048" t="s">
        <v>3739</v>
      </c>
      <c r="L2048">
        <v>0</v>
      </c>
      <c r="M2048" s="453">
        <v>45833</v>
      </c>
      <c r="N2048">
        <v>100</v>
      </c>
      <c r="O2048">
        <v>108</v>
      </c>
      <c r="P2048">
        <v>1080</v>
      </c>
    </row>
    <row r="2049" spans="1:16" x14ac:dyDescent="0.3">
      <c r="A2049">
        <v>49990</v>
      </c>
      <c r="B2049">
        <v>116</v>
      </c>
      <c r="C2049" t="s">
        <v>568</v>
      </c>
      <c r="D2049" s="453">
        <v>45901</v>
      </c>
      <c r="E2049">
        <v>18948</v>
      </c>
      <c r="F2049" t="s">
        <v>3961</v>
      </c>
      <c r="G2049">
        <v>2927</v>
      </c>
      <c r="H2049">
        <v>14.9</v>
      </c>
      <c r="I2049" t="s">
        <v>3892</v>
      </c>
      <c r="J2049" t="s">
        <v>3469</v>
      </c>
      <c r="K2049" t="s">
        <v>3739</v>
      </c>
      <c r="L2049">
        <v>0</v>
      </c>
      <c r="M2049" s="453">
        <v>45860</v>
      </c>
      <c r="N2049">
        <v>65.87</v>
      </c>
      <c r="O2049">
        <v>65.91</v>
      </c>
      <c r="P2049">
        <v>981.52</v>
      </c>
    </row>
    <row r="2050" spans="1:16" x14ac:dyDescent="0.3">
      <c r="A2050">
        <v>49986</v>
      </c>
      <c r="B2050">
        <v>116</v>
      </c>
      <c r="C2050" t="s">
        <v>568</v>
      </c>
      <c r="D2050" s="453">
        <v>45901</v>
      </c>
      <c r="E2050">
        <v>22829</v>
      </c>
      <c r="F2050" t="s">
        <v>4160</v>
      </c>
      <c r="G2050">
        <v>2942</v>
      </c>
      <c r="H2050">
        <v>16.7</v>
      </c>
      <c r="I2050" t="s">
        <v>3892</v>
      </c>
      <c r="J2050" t="s">
        <v>3469</v>
      </c>
      <c r="K2050" t="s">
        <v>3739</v>
      </c>
      <c r="L2050">
        <v>52.68</v>
      </c>
      <c r="M2050" s="453">
        <v>45889</v>
      </c>
      <c r="N2050">
        <v>48.5</v>
      </c>
      <c r="O2050">
        <v>31.8</v>
      </c>
      <c r="P2050">
        <v>879.76</v>
      </c>
    </row>
    <row r="2051" spans="1:16" x14ac:dyDescent="0.3">
      <c r="A2051">
        <v>49984</v>
      </c>
      <c r="B2051">
        <v>116</v>
      </c>
      <c r="C2051" t="s">
        <v>568</v>
      </c>
      <c r="D2051" s="453">
        <v>45901</v>
      </c>
      <c r="E2051">
        <v>20519</v>
      </c>
      <c r="F2051" t="s">
        <v>3902</v>
      </c>
      <c r="G2051">
        <v>2150</v>
      </c>
      <c r="H2051">
        <v>17.5</v>
      </c>
      <c r="I2051" t="s">
        <v>3892</v>
      </c>
      <c r="J2051" t="s">
        <v>3469</v>
      </c>
      <c r="K2051" t="s">
        <v>3739</v>
      </c>
      <c r="L2051">
        <v>49.75</v>
      </c>
      <c r="M2051" s="453">
        <v>45875</v>
      </c>
      <c r="N2051">
        <v>49.75</v>
      </c>
      <c r="O2051">
        <v>49.75</v>
      </c>
      <c r="P2051">
        <v>870.62</v>
      </c>
    </row>
    <row r="2052" spans="1:16" x14ac:dyDescent="0.3">
      <c r="A2052">
        <v>49979</v>
      </c>
      <c r="B2052">
        <v>116</v>
      </c>
      <c r="C2052" t="s">
        <v>568</v>
      </c>
      <c r="D2052" s="453">
        <v>45901</v>
      </c>
      <c r="E2052">
        <v>20621</v>
      </c>
      <c r="F2052" t="s">
        <v>3885</v>
      </c>
      <c r="G2052">
        <v>2117</v>
      </c>
      <c r="H2052">
        <v>28</v>
      </c>
      <c r="I2052" t="s">
        <v>3886</v>
      </c>
      <c r="J2052" t="s">
        <v>3469</v>
      </c>
      <c r="K2052" t="s">
        <v>3739</v>
      </c>
      <c r="L2052">
        <v>0</v>
      </c>
      <c r="M2052" s="453">
        <v>45776</v>
      </c>
      <c r="N2052">
        <v>25.8</v>
      </c>
      <c r="O2052">
        <v>23.86</v>
      </c>
      <c r="P2052">
        <v>722.4</v>
      </c>
    </row>
    <row r="2053" spans="1:16" x14ac:dyDescent="0.3">
      <c r="A2053">
        <v>49987</v>
      </c>
      <c r="B2053">
        <v>116</v>
      </c>
      <c r="C2053" t="s">
        <v>568</v>
      </c>
      <c r="D2053" s="453">
        <v>45901</v>
      </c>
      <c r="E2053">
        <v>20539</v>
      </c>
      <c r="F2053" t="s">
        <v>3908</v>
      </c>
      <c r="G2053">
        <v>2145</v>
      </c>
      <c r="H2053">
        <v>16.2</v>
      </c>
      <c r="I2053" t="s">
        <v>3892</v>
      </c>
      <c r="J2053" t="s">
        <v>3469</v>
      </c>
      <c r="K2053" t="s">
        <v>3739</v>
      </c>
      <c r="L2053">
        <v>44.4</v>
      </c>
      <c r="M2053" s="453">
        <v>45896</v>
      </c>
      <c r="N2053">
        <v>44.4</v>
      </c>
      <c r="O2053">
        <v>44.4</v>
      </c>
      <c r="P2053">
        <v>719.28</v>
      </c>
    </row>
    <row r="2054" spans="1:16" x14ac:dyDescent="0.3">
      <c r="A2054">
        <v>50057</v>
      </c>
      <c r="B2054">
        <v>116</v>
      </c>
      <c r="C2054" t="s">
        <v>568</v>
      </c>
      <c r="D2054" s="453">
        <v>45901</v>
      </c>
      <c r="E2054">
        <v>23982</v>
      </c>
      <c r="F2054" t="s">
        <v>3977</v>
      </c>
      <c r="G2054">
        <v>1999</v>
      </c>
      <c r="H2054">
        <v>3.5</v>
      </c>
      <c r="I2054" t="s">
        <v>3978</v>
      </c>
      <c r="J2054" t="s">
        <v>3469</v>
      </c>
      <c r="K2054" t="s">
        <v>3739</v>
      </c>
      <c r="L2054">
        <v>200</v>
      </c>
      <c r="M2054" s="453">
        <v>45887</v>
      </c>
      <c r="N2054">
        <v>200</v>
      </c>
      <c r="O2054">
        <v>248.5</v>
      </c>
      <c r="P2054">
        <v>700</v>
      </c>
    </row>
    <row r="2055" spans="1:16" x14ac:dyDescent="0.3">
      <c r="A2055">
        <v>50015</v>
      </c>
      <c r="B2055">
        <v>116</v>
      </c>
      <c r="C2055" t="s">
        <v>568</v>
      </c>
      <c r="D2055" s="453">
        <v>45901</v>
      </c>
      <c r="E2055">
        <v>24140</v>
      </c>
      <c r="F2055" t="s">
        <v>3889</v>
      </c>
      <c r="G2055">
        <v>3100</v>
      </c>
      <c r="H2055">
        <v>8</v>
      </c>
      <c r="I2055" t="s">
        <v>3872</v>
      </c>
      <c r="J2055" t="s">
        <v>3497</v>
      </c>
      <c r="K2055" t="s">
        <v>3739</v>
      </c>
      <c r="L2055">
        <v>0</v>
      </c>
      <c r="M2055" s="453">
        <v>45699</v>
      </c>
      <c r="N2055">
        <v>77.959999999999994</v>
      </c>
      <c r="O2055">
        <v>0</v>
      </c>
      <c r="P2055">
        <v>623.67999999999995</v>
      </c>
    </row>
    <row r="2056" spans="1:16" x14ac:dyDescent="0.3">
      <c r="A2056">
        <v>49985</v>
      </c>
      <c r="B2056">
        <v>116</v>
      </c>
      <c r="C2056" t="s">
        <v>568</v>
      </c>
      <c r="D2056" s="453">
        <v>45901</v>
      </c>
      <c r="E2056">
        <v>24388</v>
      </c>
      <c r="F2056" t="s">
        <v>3915</v>
      </c>
      <c r="G2056">
        <v>2945</v>
      </c>
      <c r="H2056">
        <v>17.100000000000001</v>
      </c>
      <c r="I2056" t="s">
        <v>3892</v>
      </c>
      <c r="J2056" t="s">
        <v>3469</v>
      </c>
      <c r="K2056" t="s">
        <v>3739</v>
      </c>
      <c r="L2056">
        <v>35.9</v>
      </c>
      <c r="M2056" s="453">
        <v>45895</v>
      </c>
      <c r="N2056">
        <v>35.9</v>
      </c>
      <c r="O2056">
        <v>35.9</v>
      </c>
      <c r="P2056">
        <v>613.89</v>
      </c>
    </row>
    <row r="2057" spans="1:16" x14ac:dyDescent="0.3">
      <c r="A2057">
        <v>50010</v>
      </c>
      <c r="B2057">
        <v>116</v>
      </c>
      <c r="C2057" t="s">
        <v>568</v>
      </c>
      <c r="D2057" s="453">
        <v>45901</v>
      </c>
      <c r="E2057">
        <v>24259</v>
      </c>
      <c r="F2057" t="s">
        <v>3895</v>
      </c>
      <c r="G2057">
        <v>2938</v>
      </c>
      <c r="H2057">
        <v>8.8000000000000007</v>
      </c>
      <c r="I2057" t="s">
        <v>3892</v>
      </c>
      <c r="J2057" t="s">
        <v>3469</v>
      </c>
      <c r="K2057" t="s">
        <v>3739</v>
      </c>
      <c r="L2057">
        <v>64.28</v>
      </c>
      <c r="M2057" s="453">
        <v>45894</v>
      </c>
      <c r="N2057">
        <v>65.5</v>
      </c>
      <c r="O2057">
        <v>59.9</v>
      </c>
      <c r="P2057">
        <v>565.66</v>
      </c>
    </row>
    <row r="2058" spans="1:16" x14ac:dyDescent="0.3">
      <c r="A2058">
        <v>50099</v>
      </c>
      <c r="B2058">
        <v>116</v>
      </c>
      <c r="C2058" t="s">
        <v>568</v>
      </c>
      <c r="D2058" s="453">
        <v>45901</v>
      </c>
      <c r="E2058">
        <v>18640</v>
      </c>
      <c r="F2058" t="s">
        <v>3994</v>
      </c>
      <c r="G2058">
        <v>3074</v>
      </c>
      <c r="H2058">
        <v>2</v>
      </c>
      <c r="I2058" t="s">
        <v>3922</v>
      </c>
      <c r="J2058" t="s">
        <v>3497</v>
      </c>
      <c r="K2058" t="s">
        <v>3739</v>
      </c>
      <c r="L2058">
        <v>0</v>
      </c>
      <c r="M2058" s="453">
        <v>45859</v>
      </c>
      <c r="N2058">
        <v>276.43</v>
      </c>
      <c r="O2058">
        <v>276.43</v>
      </c>
      <c r="P2058">
        <v>552.86</v>
      </c>
    </row>
    <row r="2059" spans="1:16" x14ac:dyDescent="0.3">
      <c r="A2059">
        <v>49992</v>
      </c>
      <c r="B2059">
        <v>116</v>
      </c>
      <c r="C2059" t="s">
        <v>568</v>
      </c>
      <c r="D2059" s="453">
        <v>45901</v>
      </c>
      <c r="E2059">
        <v>26194</v>
      </c>
      <c r="F2059" t="s">
        <v>4446</v>
      </c>
      <c r="G2059">
        <v>6617</v>
      </c>
      <c r="H2059">
        <v>13</v>
      </c>
      <c r="I2059" t="s">
        <v>3978</v>
      </c>
      <c r="J2059" t="s">
        <v>3469</v>
      </c>
      <c r="K2059" t="s">
        <v>3739</v>
      </c>
      <c r="L2059">
        <v>40.200000000000003</v>
      </c>
      <c r="M2059" s="453">
        <v>45887</v>
      </c>
      <c r="N2059">
        <v>40.299999999999997</v>
      </c>
      <c r="O2059">
        <v>41</v>
      </c>
      <c r="P2059">
        <v>522.6</v>
      </c>
    </row>
    <row r="2060" spans="1:16" x14ac:dyDescent="0.3">
      <c r="A2060">
        <v>49980</v>
      </c>
      <c r="B2060">
        <v>116</v>
      </c>
      <c r="C2060" t="s">
        <v>568</v>
      </c>
      <c r="D2060" s="453">
        <v>45901</v>
      </c>
      <c r="E2060">
        <v>21030</v>
      </c>
      <c r="F2060" t="s">
        <v>3890</v>
      </c>
      <c r="G2060">
        <v>2001</v>
      </c>
      <c r="H2060">
        <v>23</v>
      </c>
      <c r="I2060" t="s">
        <v>3872</v>
      </c>
      <c r="J2060" t="s">
        <v>3469</v>
      </c>
      <c r="K2060" t="s">
        <v>3739</v>
      </c>
      <c r="L2060">
        <v>21.85</v>
      </c>
      <c r="M2060" s="453">
        <v>45894</v>
      </c>
      <c r="N2060">
        <v>21.85</v>
      </c>
      <c r="O2060">
        <v>21.85</v>
      </c>
      <c r="P2060">
        <v>502.55</v>
      </c>
    </row>
    <row r="2061" spans="1:16" x14ac:dyDescent="0.3">
      <c r="A2061">
        <v>49989</v>
      </c>
      <c r="B2061">
        <v>116</v>
      </c>
      <c r="C2061" t="s">
        <v>568</v>
      </c>
      <c r="D2061" s="453">
        <v>45901</v>
      </c>
      <c r="E2061">
        <v>18818</v>
      </c>
      <c r="F2061" t="s">
        <v>3916</v>
      </c>
      <c r="G2061">
        <v>2956</v>
      </c>
      <c r="H2061">
        <v>15</v>
      </c>
      <c r="I2061" t="s">
        <v>3892</v>
      </c>
      <c r="J2061" t="s">
        <v>3469</v>
      </c>
      <c r="K2061" t="s">
        <v>3739</v>
      </c>
      <c r="L2061">
        <v>32.799999999999997</v>
      </c>
      <c r="M2061" s="453">
        <v>45888</v>
      </c>
      <c r="N2061">
        <v>32.799999999999997</v>
      </c>
      <c r="O2061">
        <v>32.799999999999997</v>
      </c>
      <c r="P2061">
        <v>492</v>
      </c>
    </row>
    <row r="2062" spans="1:16" x14ac:dyDescent="0.3">
      <c r="A2062">
        <v>50063</v>
      </c>
      <c r="B2062">
        <v>116</v>
      </c>
      <c r="C2062" t="s">
        <v>568</v>
      </c>
      <c r="D2062" s="453">
        <v>45901</v>
      </c>
      <c r="E2062">
        <v>18295</v>
      </c>
      <c r="F2062" t="s">
        <v>4030</v>
      </c>
      <c r="G2062">
        <v>3334</v>
      </c>
      <c r="H2062">
        <v>3.5</v>
      </c>
      <c r="I2062" t="s">
        <v>3878</v>
      </c>
      <c r="J2062" t="s">
        <v>3497</v>
      </c>
      <c r="K2062" t="s">
        <v>3739</v>
      </c>
      <c r="L2062">
        <v>132.97999999999999</v>
      </c>
      <c r="M2062" s="453">
        <v>45894</v>
      </c>
      <c r="N2062">
        <v>133.46</v>
      </c>
      <c r="O2062">
        <v>133.46</v>
      </c>
      <c r="P2062">
        <v>465.43</v>
      </c>
    </row>
    <row r="2063" spans="1:16" x14ac:dyDescent="0.3">
      <c r="A2063">
        <v>49991</v>
      </c>
      <c r="B2063">
        <v>116</v>
      </c>
      <c r="C2063" t="s">
        <v>568</v>
      </c>
      <c r="D2063" s="453">
        <v>45901</v>
      </c>
      <c r="E2063">
        <v>18475</v>
      </c>
      <c r="F2063" t="s">
        <v>3918</v>
      </c>
      <c r="G2063">
        <v>3181</v>
      </c>
      <c r="H2063">
        <v>13.5</v>
      </c>
      <c r="I2063" t="s">
        <v>3878</v>
      </c>
      <c r="J2063" t="s">
        <v>3497</v>
      </c>
      <c r="K2063" t="s">
        <v>3739</v>
      </c>
      <c r="L2063">
        <v>0</v>
      </c>
      <c r="M2063" s="453">
        <v>45854</v>
      </c>
      <c r="N2063">
        <v>32.9</v>
      </c>
      <c r="O2063">
        <v>32.9</v>
      </c>
      <c r="P2063">
        <v>444.15</v>
      </c>
    </row>
    <row r="2064" spans="1:16" x14ac:dyDescent="0.3">
      <c r="A2064">
        <v>50026</v>
      </c>
      <c r="B2064">
        <v>116</v>
      </c>
      <c r="C2064" t="s">
        <v>568</v>
      </c>
      <c r="D2064" s="453">
        <v>45901</v>
      </c>
      <c r="E2064">
        <v>22734</v>
      </c>
      <c r="F2064" t="s">
        <v>3955</v>
      </c>
      <c r="G2064">
        <v>3024</v>
      </c>
      <c r="H2064">
        <v>5.6</v>
      </c>
      <c r="I2064" t="s">
        <v>3892</v>
      </c>
      <c r="J2064" t="s">
        <v>3469</v>
      </c>
      <c r="K2064" t="s">
        <v>3739</v>
      </c>
      <c r="L2064">
        <v>0</v>
      </c>
      <c r="M2064" s="453">
        <v>45860</v>
      </c>
      <c r="N2064">
        <v>79</v>
      </c>
      <c r="O2064">
        <v>410.8</v>
      </c>
      <c r="P2064">
        <v>442.4</v>
      </c>
    </row>
    <row r="2065" spans="1:16" x14ac:dyDescent="0.3">
      <c r="A2065">
        <v>50005</v>
      </c>
      <c r="B2065">
        <v>116</v>
      </c>
      <c r="C2065" t="s">
        <v>568</v>
      </c>
      <c r="D2065" s="453">
        <v>45901</v>
      </c>
      <c r="E2065">
        <v>17710</v>
      </c>
      <c r="F2065" t="s">
        <v>3905</v>
      </c>
      <c r="G2065">
        <v>3824</v>
      </c>
      <c r="H2065">
        <v>10</v>
      </c>
      <c r="I2065" t="s">
        <v>3878</v>
      </c>
      <c r="J2065" t="s">
        <v>3497</v>
      </c>
      <c r="K2065" t="s">
        <v>3739</v>
      </c>
      <c r="L2065">
        <v>0</v>
      </c>
      <c r="M2065" s="453">
        <v>-693593</v>
      </c>
      <c r="N2065">
        <v>0</v>
      </c>
      <c r="O2065">
        <v>37.700000000000003</v>
      </c>
      <c r="P2065">
        <v>401.5</v>
      </c>
    </row>
    <row r="2066" spans="1:16" x14ac:dyDescent="0.3">
      <c r="A2066">
        <v>49995</v>
      </c>
      <c r="B2066">
        <v>116</v>
      </c>
      <c r="C2066" t="s">
        <v>568</v>
      </c>
      <c r="D2066" s="453">
        <v>45901</v>
      </c>
      <c r="E2066">
        <v>20278</v>
      </c>
      <c r="F2066" t="s">
        <v>3939</v>
      </c>
      <c r="G2066">
        <v>2230</v>
      </c>
      <c r="H2066">
        <v>12</v>
      </c>
      <c r="I2066" t="s">
        <v>3872</v>
      </c>
      <c r="J2066" t="s">
        <v>3469</v>
      </c>
      <c r="K2066" t="s">
        <v>3739</v>
      </c>
      <c r="L2066">
        <v>0</v>
      </c>
      <c r="M2066" s="453">
        <v>45867</v>
      </c>
      <c r="N2066">
        <v>33.270000000000003</v>
      </c>
      <c r="O2066">
        <v>33.270000000000003</v>
      </c>
      <c r="P2066">
        <v>399.24</v>
      </c>
    </row>
    <row r="2067" spans="1:16" x14ac:dyDescent="0.3">
      <c r="A2067">
        <v>49976</v>
      </c>
      <c r="B2067">
        <v>116</v>
      </c>
      <c r="C2067" t="s">
        <v>568</v>
      </c>
      <c r="D2067" s="453">
        <v>45901</v>
      </c>
      <c r="E2067">
        <v>20703</v>
      </c>
      <c r="F2067" t="s">
        <v>3893</v>
      </c>
      <c r="G2067">
        <v>2100</v>
      </c>
      <c r="H2067">
        <v>31</v>
      </c>
      <c r="I2067" t="s">
        <v>3886</v>
      </c>
      <c r="J2067" t="s">
        <v>3469</v>
      </c>
      <c r="K2067" t="s">
        <v>3739</v>
      </c>
      <c r="L2067">
        <v>0</v>
      </c>
      <c r="M2067" s="453">
        <v>45714</v>
      </c>
      <c r="N2067">
        <v>12.8</v>
      </c>
      <c r="O2067">
        <v>13.86</v>
      </c>
      <c r="P2067">
        <v>396.8</v>
      </c>
    </row>
    <row r="2068" spans="1:16" x14ac:dyDescent="0.3">
      <c r="A2068">
        <v>49964</v>
      </c>
      <c r="B2068">
        <v>116</v>
      </c>
      <c r="C2068" t="s">
        <v>568</v>
      </c>
      <c r="D2068" s="453">
        <v>45901</v>
      </c>
      <c r="E2068">
        <v>24409</v>
      </c>
      <c r="F2068" t="s">
        <v>4036</v>
      </c>
      <c r="G2068">
        <v>3665</v>
      </c>
      <c r="H2068">
        <v>155</v>
      </c>
      <c r="I2068" t="s">
        <v>3872</v>
      </c>
      <c r="J2068" t="s">
        <v>3497</v>
      </c>
      <c r="K2068" t="s">
        <v>3739</v>
      </c>
      <c r="L2068">
        <v>0</v>
      </c>
      <c r="M2068" s="453">
        <v>45551</v>
      </c>
      <c r="N2068">
        <v>2.19</v>
      </c>
      <c r="O2068">
        <v>2.19</v>
      </c>
      <c r="P2068">
        <v>339.45</v>
      </c>
    </row>
    <row r="2069" spans="1:16" x14ac:dyDescent="0.3">
      <c r="A2069">
        <v>49966</v>
      </c>
      <c r="B2069">
        <v>116</v>
      </c>
      <c r="C2069" t="s">
        <v>568</v>
      </c>
      <c r="D2069" s="453">
        <v>45901</v>
      </c>
      <c r="E2069">
        <v>22042</v>
      </c>
      <c r="F2069" t="s">
        <v>3901</v>
      </c>
      <c r="G2069">
        <v>3658</v>
      </c>
      <c r="H2069">
        <v>146</v>
      </c>
      <c r="I2069" t="s">
        <v>3872</v>
      </c>
      <c r="J2069" t="s">
        <v>3497</v>
      </c>
      <c r="K2069" t="s">
        <v>3739</v>
      </c>
      <c r="L2069">
        <v>0</v>
      </c>
      <c r="M2069" s="453">
        <v>45677</v>
      </c>
      <c r="N2069">
        <v>2.19</v>
      </c>
      <c r="O2069">
        <v>1.99</v>
      </c>
      <c r="P2069">
        <v>319.74</v>
      </c>
    </row>
    <row r="2070" spans="1:16" x14ac:dyDescent="0.3">
      <c r="A2070">
        <v>50016</v>
      </c>
      <c r="B2070">
        <v>116</v>
      </c>
      <c r="C2070" t="s">
        <v>568</v>
      </c>
      <c r="D2070" s="453">
        <v>45901</v>
      </c>
      <c r="E2070">
        <v>19287</v>
      </c>
      <c r="F2070" t="s">
        <v>3974</v>
      </c>
      <c r="G2070">
        <v>2778</v>
      </c>
      <c r="H2070">
        <v>7.6</v>
      </c>
      <c r="I2070" t="s">
        <v>3892</v>
      </c>
      <c r="J2070" t="s">
        <v>3469</v>
      </c>
      <c r="K2070" t="s">
        <v>3739</v>
      </c>
      <c r="L2070">
        <v>41.26</v>
      </c>
      <c r="M2070" s="453">
        <v>45895</v>
      </c>
      <c r="N2070">
        <v>41.45</v>
      </c>
      <c r="O2070">
        <v>39.9</v>
      </c>
      <c r="P2070">
        <v>313.58</v>
      </c>
    </row>
    <row r="2071" spans="1:16" x14ac:dyDescent="0.3">
      <c r="A2071">
        <v>50011</v>
      </c>
      <c r="B2071">
        <v>116</v>
      </c>
      <c r="C2071" t="s">
        <v>568</v>
      </c>
      <c r="D2071" s="453">
        <v>45901</v>
      </c>
      <c r="E2071">
        <v>20458</v>
      </c>
      <c r="F2071" t="s">
        <v>4121</v>
      </c>
      <c r="G2071">
        <v>2164</v>
      </c>
      <c r="H2071">
        <v>8.5</v>
      </c>
      <c r="I2071" t="s">
        <v>3892</v>
      </c>
      <c r="J2071" t="s">
        <v>3469</v>
      </c>
      <c r="K2071" t="s">
        <v>3739</v>
      </c>
      <c r="L2071">
        <v>0</v>
      </c>
      <c r="M2071" s="453">
        <v>45846</v>
      </c>
      <c r="N2071">
        <v>32.9</v>
      </c>
      <c r="O2071">
        <v>32.9</v>
      </c>
      <c r="P2071">
        <v>279.64999999999998</v>
      </c>
    </row>
    <row r="2072" spans="1:16" x14ac:dyDescent="0.3">
      <c r="A2072">
        <v>49994</v>
      </c>
      <c r="B2072">
        <v>116</v>
      </c>
      <c r="C2072" t="s">
        <v>568</v>
      </c>
      <c r="D2072" s="453">
        <v>45901</v>
      </c>
      <c r="E2072">
        <v>20549</v>
      </c>
      <c r="F2072" t="s">
        <v>4007</v>
      </c>
      <c r="G2072">
        <v>2141</v>
      </c>
      <c r="H2072">
        <v>12.2</v>
      </c>
      <c r="I2072" t="s">
        <v>3892</v>
      </c>
      <c r="J2072" t="s">
        <v>3469</v>
      </c>
      <c r="K2072" t="s">
        <v>3739</v>
      </c>
      <c r="L2072">
        <v>22.8</v>
      </c>
      <c r="M2072" s="453">
        <v>45898</v>
      </c>
      <c r="N2072">
        <v>19.989999999999998</v>
      </c>
      <c r="O2072">
        <v>19.989999999999998</v>
      </c>
      <c r="P2072">
        <v>278.16000000000003</v>
      </c>
    </row>
    <row r="2073" spans="1:16" x14ac:dyDescent="0.3">
      <c r="A2073">
        <v>50036</v>
      </c>
      <c r="B2073">
        <v>116</v>
      </c>
      <c r="C2073" t="s">
        <v>568</v>
      </c>
      <c r="D2073" s="453">
        <v>45901</v>
      </c>
      <c r="E2073">
        <v>19346</v>
      </c>
      <c r="F2073" t="s">
        <v>3948</v>
      </c>
      <c r="G2073">
        <v>2770</v>
      </c>
      <c r="H2073">
        <v>4.9000000000000004</v>
      </c>
      <c r="I2073" t="s">
        <v>3892</v>
      </c>
      <c r="J2073" t="s">
        <v>3469</v>
      </c>
      <c r="K2073" t="s">
        <v>3739</v>
      </c>
      <c r="L2073">
        <v>55.83</v>
      </c>
      <c r="M2073" s="453">
        <v>45895</v>
      </c>
      <c r="N2073">
        <v>55.9</v>
      </c>
      <c r="O2073">
        <v>54.5</v>
      </c>
      <c r="P2073">
        <v>273.57</v>
      </c>
    </row>
    <row r="2074" spans="1:16" x14ac:dyDescent="0.3">
      <c r="A2074">
        <v>50017</v>
      </c>
      <c r="B2074">
        <v>116</v>
      </c>
      <c r="C2074" t="s">
        <v>568</v>
      </c>
      <c r="D2074" s="453">
        <v>45901</v>
      </c>
      <c r="E2074">
        <v>18684</v>
      </c>
      <c r="F2074" t="s">
        <v>3925</v>
      </c>
      <c r="G2074">
        <v>3041</v>
      </c>
      <c r="H2074">
        <v>7.3</v>
      </c>
      <c r="I2074" t="s">
        <v>3892</v>
      </c>
      <c r="J2074" t="s">
        <v>3469</v>
      </c>
      <c r="K2074" t="s">
        <v>3739</v>
      </c>
      <c r="L2074">
        <v>0</v>
      </c>
      <c r="M2074" s="453">
        <v>45868</v>
      </c>
      <c r="N2074">
        <v>36</v>
      </c>
      <c r="O2074">
        <v>39</v>
      </c>
      <c r="P2074">
        <v>262.8</v>
      </c>
    </row>
    <row r="2075" spans="1:16" x14ac:dyDescent="0.3">
      <c r="A2075">
        <v>50018</v>
      </c>
      <c r="B2075">
        <v>116</v>
      </c>
      <c r="C2075" t="s">
        <v>568</v>
      </c>
      <c r="D2075" s="453">
        <v>45901</v>
      </c>
      <c r="E2075">
        <v>24402</v>
      </c>
      <c r="F2075" t="s">
        <v>3896</v>
      </c>
      <c r="G2075">
        <v>2949</v>
      </c>
      <c r="H2075">
        <v>7.2</v>
      </c>
      <c r="I2075" t="s">
        <v>3892</v>
      </c>
      <c r="J2075" t="s">
        <v>3469</v>
      </c>
      <c r="K2075" t="s">
        <v>3739</v>
      </c>
      <c r="L2075">
        <v>0</v>
      </c>
      <c r="M2075" s="453">
        <v>45833</v>
      </c>
      <c r="N2075">
        <v>36.5</v>
      </c>
      <c r="O2075">
        <v>36.5</v>
      </c>
      <c r="P2075">
        <v>262.8</v>
      </c>
    </row>
    <row r="2076" spans="1:16" x14ac:dyDescent="0.3">
      <c r="A2076">
        <v>50012</v>
      </c>
      <c r="B2076">
        <v>116</v>
      </c>
      <c r="C2076" t="s">
        <v>568</v>
      </c>
      <c r="D2076" s="453">
        <v>45901</v>
      </c>
      <c r="E2076">
        <v>18172</v>
      </c>
      <c r="F2076" t="s">
        <v>3923</v>
      </c>
      <c r="G2076">
        <v>3450</v>
      </c>
      <c r="H2076">
        <v>8.4</v>
      </c>
      <c r="I2076" t="s">
        <v>3878</v>
      </c>
      <c r="J2076" t="s">
        <v>3497</v>
      </c>
      <c r="K2076" t="s">
        <v>3739</v>
      </c>
      <c r="L2076">
        <v>29.79</v>
      </c>
      <c r="M2076" s="453">
        <v>45895</v>
      </c>
      <c r="N2076">
        <v>28.99</v>
      </c>
      <c r="O2076">
        <v>31.83</v>
      </c>
      <c r="P2076">
        <v>250.24</v>
      </c>
    </row>
    <row r="2077" spans="1:16" x14ac:dyDescent="0.3">
      <c r="A2077">
        <v>50062</v>
      </c>
      <c r="B2077">
        <v>116</v>
      </c>
      <c r="C2077" t="s">
        <v>568</v>
      </c>
      <c r="D2077" s="453">
        <v>45901</v>
      </c>
      <c r="E2077">
        <v>18493</v>
      </c>
      <c r="F2077" t="s">
        <v>3958</v>
      </c>
      <c r="G2077">
        <v>3164</v>
      </c>
      <c r="H2077">
        <v>3.5</v>
      </c>
      <c r="I2077" t="s">
        <v>3878</v>
      </c>
      <c r="J2077" t="s">
        <v>3497</v>
      </c>
      <c r="K2077" t="s">
        <v>3739</v>
      </c>
      <c r="L2077">
        <v>0</v>
      </c>
      <c r="M2077" s="453">
        <v>45854</v>
      </c>
      <c r="N2077">
        <v>69.900000000000006</v>
      </c>
      <c r="O2077">
        <v>69.900000000000006</v>
      </c>
      <c r="P2077">
        <v>244.65</v>
      </c>
    </row>
    <row r="2078" spans="1:16" x14ac:dyDescent="0.3">
      <c r="A2078">
        <v>50089</v>
      </c>
      <c r="B2078">
        <v>116</v>
      </c>
      <c r="C2078" t="s">
        <v>568</v>
      </c>
      <c r="D2078" s="453">
        <v>45901</v>
      </c>
      <c r="E2078">
        <v>18179</v>
      </c>
      <c r="F2078" t="s">
        <v>3995</v>
      </c>
      <c r="G2078">
        <v>3443</v>
      </c>
      <c r="H2078">
        <v>2.2999999999999998</v>
      </c>
      <c r="I2078" t="s">
        <v>3878</v>
      </c>
      <c r="J2078" t="s">
        <v>3497</v>
      </c>
      <c r="K2078" t="s">
        <v>3739</v>
      </c>
      <c r="L2078">
        <v>0</v>
      </c>
      <c r="M2078" s="453">
        <v>45845</v>
      </c>
      <c r="N2078">
        <v>105.6</v>
      </c>
      <c r="O2078">
        <v>108.37</v>
      </c>
      <c r="P2078">
        <v>242.88</v>
      </c>
    </row>
    <row r="2079" spans="1:16" x14ac:dyDescent="0.3">
      <c r="A2079">
        <v>50002</v>
      </c>
      <c r="B2079">
        <v>116</v>
      </c>
      <c r="C2079" t="s">
        <v>568</v>
      </c>
      <c r="D2079" s="453">
        <v>45901</v>
      </c>
      <c r="E2079">
        <v>18832</v>
      </c>
      <c r="F2079" t="s">
        <v>3900</v>
      </c>
      <c r="G2079">
        <v>2950</v>
      </c>
      <c r="H2079">
        <v>10</v>
      </c>
      <c r="I2079" t="s">
        <v>3892</v>
      </c>
      <c r="J2079" t="s">
        <v>3469</v>
      </c>
      <c r="K2079" t="s">
        <v>3739</v>
      </c>
      <c r="L2079">
        <v>23.45</v>
      </c>
      <c r="M2079" s="453">
        <v>45894</v>
      </c>
      <c r="N2079">
        <v>34.5</v>
      </c>
      <c r="O2079">
        <v>41.9</v>
      </c>
      <c r="P2079">
        <v>234.5</v>
      </c>
    </row>
    <row r="2080" spans="1:16" x14ac:dyDescent="0.3">
      <c r="A2080">
        <v>50090</v>
      </c>
      <c r="B2080">
        <v>116</v>
      </c>
      <c r="C2080" t="s">
        <v>568</v>
      </c>
      <c r="D2080" s="453">
        <v>45901</v>
      </c>
      <c r="E2080">
        <v>20752</v>
      </c>
      <c r="F2080" t="s">
        <v>3964</v>
      </c>
      <c r="G2080">
        <v>2088</v>
      </c>
      <c r="H2080">
        <v>2</v>
      </c>
      <c r="I2080" t="s">
        <v>3886</v>
      </c>
      <c r="J2080" t="s">
        <v>3469</v>
      </c>
      <c r="K2080" t="s">
        <v>3739</v>
      </c>
      <c r="L2080">
        <v>111.64</v>
      </c>
      <c r="M2080" s="453">
        <v>45895</v>
      </c>
      <c r="N2080">
        <v>119.6</v>
      </c>
      <c r="O2080">
        <v>119.6</v>
      </c>
      <c r="P2080">
        <v>223.28</v>
      </c>
    </row>
    <row r="2081" spans="1:16" x14ac:dyDescent="0.3">
      <c r="A2081">
        <v>50027</v>
      </c>
      <c r="B2081">
        <v>116</v>
      </c>
      <c r="C2081" t="s">
        <v>568</v>
      </c>
      <c r="D2081" s="453">
        <v>45901</v>
      </c>
      <c r="E2081">
        <v>19324</v>
      </c>
      <c r="F2081" t="s">
        <v>3937</v>
      </c>
      <c r="G2081">
        <v>2773</v>
      </c>
      <c r="H2081">
        <v>5.5</v>
      </c>
      <c r="I2081" t="s">
        <v>3892</v>
      </c>
      <c r="J2081" t="s">
        <v>3469</v>
      </c>
      <c r="K2081" t="s">
        <v>3739</v>
      </c>
      <c r="L2081">
        <v>39.08</v>
      </c>
      <c r="M2081" s="453">
        <v>45895</v>
      </c>
      <c r="N2081">
        <v>38.9</v>
      </c>
      <c r="O2081">
        <v>36</v>
      </c>
      <c r="P2081">
        <v>214.94</v>
      </c>
    </row>
    <row r="2082" spans="1:16" x14ac:dyDescent="0.3">
      <c r="A2082">
        <v>50102</v>
      </c>
      <c r="B2082">
        <v>116</v>
      </c>
      <c r="C2082" t="s">
        <v>568</v>
      </c>
      <c r="D2082" s="453">
        <v>45901</v>
      </c>
      <c r="E2082">
        <v>18538</v>
      </c>
      <c r="F2082" t="s">
        <v>4026</v>
      </c>
      <c r="G2082">
        <v>3139</v>
      </c>
      <c r="H2082">
        <v>1.9</v>
      </c>
      <c r="I2082" t="s">
        <v>3878</v>
      </c>
      <c r="J2082" t="s">
        <v>3497</v>
      </c>
      <c r="K2082" t="s">
        <v>3739</v>
      </c>
      <c r="L2082">
        <v>104.29</v>
      </c>
      <c r="M2082" s="453">
        <v>45894</v>
      </c>
      <c r="N2082">
        <v>103.25</v>
      </c>
      <c r="O2082">
        <v>103.25</v>
      </c>
      <c r="P2082">
        <v>198.15</v>
      </c>
    </row>
    <row r="2083" spans="1:16" x14ac:dyDescent="0.3">
      <c r="A2083">
        <v>50103</v>
      </c>
      <c r="B2083">
        <v>116</v>
      </c>
      <c r="C2083" t="s">
        <v>568</v>
      </c>
      <c r="D2083" s="453">
        <v>45901</v>
      </c>
      <c r="E2083">
        <v>18232</v>
      </c>
      <c r="F2083" t="s">
        <v>4091</v>
      </c>
      <c r="G2083">
        <v>3396</v>
      </c>
      <c r="H2083">
        <v>1.9</v>
      </c>
      <c r="I2083" t="s">
        <v>3878</v>
      </c>
      <c r="J2083" t="s">
        <v>3497</v>
      </c>
      <c r="K2083" t="s">
        <v>3739</v>
      </c>
      <c r="L2083">
        <v>0</v>
      </c>
      <c r="M2083" s="453">
        <v>45845</v>
      </c>
      <c r="N2083">
        <v>103.99</v>
      </c>
      <c r="O2083">
        <v>101.17</v>
      </c>
      <c r="P2083">
        <v>197.58</v>
      </c>
    </row>
    <row r="2084" spans="1:16" x14ac:dyDescent="0.3">
      <c r="A2084">
        <v>49965</v>
      </c>
      <c r="B2084">
        <v>116</v>
      </c>
      <c r="C2084" t="s">
        <v>568</v>
      </c>
      <c r="D2084" s="453">
        <v>45901</v>
      </c>
      <c r="E2084">
        <v>17957</v>
      </c>
      <c r="F2084" t="s">
        <v>3879</v>
      </c>
      <c r="G2084">
        <v>3622</v>
      </c>
      <c r="H2084">
        <v>12.42</v>
      </c>
      <c r="I2084" t="s">
        <v>3872</v>
      </c>
      <c r="J2084" t="s">
        <v>3497</v>
      </c>
      <c r="K2084" t="s">
        <v>3739</v>
      </c>
      <c r="L2084">
        <v>0</v>
      </c>
      <c r="M2084" s="453">
        <v>45859</v>
      </c>
      <c r="N2084">
        <v>15.9</v>
      </c>
      <c r="O2084">
        <v>15.9</v>
      </c>
      <c r="P2084">
        <v>197.48</v>
      </c>
    </row>
    <row r="2085" spans="1:16" x14ac:dyDescent="0.3">
      <c r="A2085">
        <v>50117</v>
      </c>
      <c r="B2085">
        <v>116</v>
      </c>
      <c r="C2085" t="s">
        <v>568</v>
      </c>
      <c r="D2085" s="453">
        <v>45901</v>
      </c>
      <c r="E2085">
        <v>18129</v>
      </c>
      <c r="F2085" t="s">
        <v>4092</v>
      </c>
      <c r="G2085">
        <v>3486</v>
      </c>
      <c r="H2085">
        <v>1.5</v>
      </c>
      <c r="I2085" t="s">
        <v>3878</v>
      </c>
      <c r="J2085" t="s">
        <v>3497</v>
      </c>
      <c r="K2085" t="s">
        <v>3739</v>
      </c>
      <c r="L2085">
        <v>0</v>
      </c>
      <c r="M2085" s="453">
        <v>45840</v>
      </c>
      <c r="N2085">
        <v>128.80000000000001</v>
      </c>
      <c r="O2085">
        <v>124.5</v>
      </c>
      <c r="P2085">
        <v>193.2</v>
      </c>
    </row>
    <row r="2086" spans="1:16" x14ac:dyDescent="0.3">
      <c r="A2086">
        <v>50129</v>
      </c>
      <c r="B2086">
        <v>116</v>
      </c>
      <c r="C2086" t="s">
        <v>568</v>
      </c>
      <c r="D2086" s="453">
        <v>45901</v>
      </c>
      <c r="E2086">
        <v>20976</v>
      </c>
      <c r="F2086" t="s">
        <v>4062</v>
      </c>
      <c r="G2086">
        <v>2011</v>
      </c>
      <c r="H2086">
        <v>1</v>
      </c>
      <c r="I2086" t="s">
        <v>3884</v>
      </c>
      <c r="J2086" t="s">
        <v>3469</v>
      </c>
      <c r="K2086" t="s">
        <v>3739</v>
      </c>
      <c r="L2086">
        <v>186.8</v>
      </c>
      <c r="M2086" s="453">
        <v>45888</v>
      </c>
      <c r="N2086">
        <v>186.8</v>
      </c>
      <c r="O2086">
        <v>186.8</v>
      </c>
      <c r="P2086">
        <v>186.8</v>
      </c>
    </row>
    <row r="2087" spans="1:16" x14ac:dyDescent="0.3">
      <c r="A2087">
        <v>50068</v>
      </c>
      <c r="B2087">
        <v>116</v>
      </c>
      <c r="C2087" t="s">
        <v>568</v>
      </c>
      <c r="D2087" s="453">
        <v>45901</v>
      </c>
      <c r="E2087">
        <v>20729</v>
      </c>
      <c r="F2087" t="s">
        <v>3965</v>
      </c>
      <c r="G2087">
        <v>2093</v>
      </c>
      <c r="H2087">
        <v>3</v>
      </c>
      <c r="I2087" t="s">
        <v>3966</v>
      </c>
      <c r="J2087" t="s">
        <v>3469</v>
      </c>
      <c r="K2087" t="s">
        <v>3739</v>
      </c>
      <c r="L2087">
        <v>61.4</v>
      </c>
      <c r="M2087" s="453">
        <v>45895</v>
      </c>
      <c r="N2087">
        <v>64.099999999999994</v>
      </c>
      <c r="O2087">
        <v>64.099999999999994</v>
      </c>
      <c r="P2087">
        <v>184.2</v>
      </c>
    </row>
    <row r="2088" spans="1:16" x14ac:dyDescent="0.3">
      <c r="A2088">
        <v>50088</v>
      </c>
      <c r="B2088">
        <v>116</v>
      </c>
      <c r="C2088" t="s">
        <v>568</v>
      </c>
      <c r="D2088" s="453">
        <v>45901</v>
      </c>
      <c r="E2088">
        <v>20555</v>
      </c>
      <c r="F2088" t="s">
        <v>3959</v>
      </c>
      <c r="G2088">
        <v>2139</v>
      </c>
      <c r="H2088">
        <v>2.2999999999999998</v>
      </c>
      <c r="I2088" t="s">
        <v>3892</v>
      </c>
      <c r="J2088" t="s">
        <v>3469</v>
      </c>
      <c r="K2088" t="s">
        <v>3739</v>
      </c>
      <c r="L2088">
        <v>0</v>
      </c>
      <c r="M2088" s="453">
        <v>45860</v>
      </c>
      <c r="N2088">
        <v>79</v>
      </c>
      <c r="O2088">
        <v>79</v>
      </c>
      <c r="P2088">
        <v>181.7</v>
      </c>
    </row>
    <row r="2089" spans="1:16" x14ac:dyDescent="0.3">
      <c r="A2089">
        <v>50069</v>
      </c>
      <c r="B2089">
        <v>116</v>
      </c>
      <c r="C2089" t="s">
        <v>568</v>
      </c>
      <c r="D2089" s="453">
        <v>45901</v>
      </c>
      <c r="E2089">
        <v>23698</v>
      </c>
      <c r="F2089" t="s">
        <v>4453</v>
      </c>
      <c r="G2089">
        <v>2188</v>
      </c>
      <c r="H2089">
        <v>3</v>
      </c>
      <c r="I2089" t="s">
        <v>3892</v>
      </c>
      <c r="J2089" t="s">
        <v>3469</v>
      </c>
      <c r="K2089" t="s">
        <v>3739</v>
      </c>
      <c r="L2089">
        <v>0</v>
      </c>
      <c r="M2089" s="453">
        <v>45840</v>
      </c>
      <c r="N2089">
        <v>60</v>
      </c>
      <c r="O2089">
        <v>60</v>
      </c>
      <c r="P2089">
        <v>180</v>
      </c>
    </row>
    <row r="2090" spans="1:16" x14ac:dyDescent="0.3">
      <c r="A2090">
        <v>49981</v>
      </c>
      <c r="B2090">
        <v>116</v>
      </c>
      <c r="C2090" t="s">
        <v>568</v>
      </c>
      <c r="D2090" s="453">
        <v>45901</v>
      </c>
      <c r="E2090">
        <v>20989</v>
      </c>
      <c r="F2090" t="s">
        <v>4451</v>
      </c>
      <c r="G2090">
        <v>2011</v>
      </c>
      <c r="H2090">
        <v>23</v>
      </c>
      <c r="I2090" t="s">
        <v>3872</v>
      </c>
      <c r="J2090" t="s">
        <v>3469</v>
      </c>
      <c r="K2090" t="s">
        <v>3739</v>
      </c>
      <c r="L2090">
        <v>7.69</v>
      </c>
      <c r="M2090" s="453">
        <v>45880</v>
      </c>
      <c r="N2090">
        <v>7.69</v>
      </c>
      <c r="O2090">
        <v>7.69</v>
      </c>
      <c r="P2090">
        <v>176.87</v>
      </c>
    </row>
    <row r="2091" spans="1:16" x14ac:dyDescent="0.3">
      <c r="A2091">
        <v>50053</v>
      </c>
      <c r="B2091">
        <v>116</v>
      </c>
      <c r="C2091" t="s">
        <v>568</v>
      </c>
      <c r="D2091" s="453">
        <v>45901</v>
      </c>
      <c r="E2091">
        <v>24116</v>
      </c>
      <c r="F2091" t="s">
        <v>3963</v>
      </c>
      <c r="G2091">
        <v>2924</v>
      </c>
      <c r="H2091">
        <v>4</v>
      </c>
      <c r="I2091" t="s">
        <v>3892</v>
      </c>
      <c r="J2091" t="s">
        <v>3469</v>
      </c>
      <c r="K2091" t="s">
        <v>3739</v>
      </c>
      <c r="L2091">
        <v>44</v>
      </c>
      <c r="M2091" s="453">
        <v>45888</v>
      </c>
      <c r="N2091">
        <v>44</v>
      </c>
      <c r="O2091">
        <v>44</v>
      </c>
      <c r="P2091">
        <v>176</v>
      </c>
    </row>
    <row r="2092" spans="1:16" x14ac:dyDescent="0.3">
      <c r="A2092">
        <v>49968</v>
      </c>
      <c r="B2092">
        <v>116</v>
      </c>
      <c r="C2092" t="s">
        <v>568</v>
      </c>
      <c r="D2092" s="453">
        <v>45901</v>
      </c>
      <c r="E2092">
        <v>17881</v>
      </c>
      <c r="F2092" t="s">
        <v>4095</v>
      </c>
      <c r="G2092">
        <v>3675</v>
      </c>
      <c r="H2092">
        <v>6.08</v>
      </c>
      <c r="I2092" t="s">
        <v>3888</v>
      </c>
      <c r="J2092" t="s">
        <v>3497</v>
      </c>
      <c r="K2092" t="s">
        <v>3739</v>
      </c>
      <c r="L2092">
        <v>0</v>
      </c>
      <c r="M2092" s="453">
        <v>45854</v>
      </c>
      <c r="N2092">
        <v>28.32</v>
      </c>
      <c r="O2092">
        <v>28.32</v>
      </c>
      <c r="P2092">
        <v>172.19</v>
      </c>
    </row>
    <row r="2093" spans="1:16" x14ac:dyDescent="0.3">
      <c r="A2093">
        <v>50006</v>
      </c>
      <c r="B2093">
        <v>116</v>
      </c>
      <c r="C2093" t="s">
        <v>568</v>
      </c>
      <c r="D2093" s="453">
        <v>45901</v>
      </c>
      <c r="E2093">
        <v>19984</v>
      </c>
      <c r="F2093" t="s">
        <v>3904</v>
      </c>
      <c r="G2093">
        <v>2351</v>
      </c>
      <c r="H2093">
        <v>9</v>
      </c>
      <c r="I2093" t="s">
        <v>3872</v>
      </c>
      <c r="J2093" t="s">
        <v>3469</v>
      </c>
      <c r="K2093" t="s">
        <v>3739</v>
      </c>
      <c r="L2093">
        <v>0</v>
      </c>
      <c r="M2093" s="453">
        <v>45804</v>
      </c>
      <c r="N2093">
        <v>18.899999999999999</v>
      </c>
      <c r="O2093">
        <v>18.899999999999999</v>
      </c>
      <c r="P2093">
        <v>170.1</v>
      </c>
    </row>
    <row r="2094" spans="1:16" x14ac:dyDescent="0.3">
      <c r="A2094">
        <v>50014</v>
      </c>
      <c r="B2094">
        <v>116</v>
      </c>
      <c r="C2094" t="s">
        <v>568</v>
      </c>
      <c r="D2094" s="453">
        <v>45901</v>
      </c>
      <c r="E2094">
        <v>22899</v>
      </c>
      <c r="F2094" t="s">
        <v>4172</v>
      </c>
      <c r="G2094">
        <v>2893</v>
      </c>
      <c r="H2094">
        <v>8</v>
      </c>
      <c r="I2094" t="s">
        <v>3892</v>
      </c>
      <c r="J2094" t="s">
        <v>3469</v>
      </c>
      <c r="K2094" t="s">
        <v>3739</v>
      </c>
      <c r="L2094">
        <v>0</v>
      </c>
      <c r="M2094" s="453">
        <v>45841</v>
      </c>
      <c r="N2094">
        <v>20.9</v>
      </c>
      <c r="O2094">
        <v>17.63</v>
      </c>
      <c r="P2094">
        <v>167.2</v>
      </c>
    </row>
    <row r="2095" spans="1:16" x14ac:dyDescent="0.3">
      <c r="A2095">
        <v>50038</v>
      </c>
      <c r="B2095">
        <v>116</v>
      </c>
      <c r="C2095" t="s">
        <v>568</v>
      </c>
      <c r="D2095" s="453">
        <v>45901</v>
      </c>
      <c r="E2095">
        <v>18547</v>
      </c>
      <c r="F2095" t="s">
        <v>3962</v>
      </c>
      <c r="G2095">
        <v>3132</v>
      </c>
      <c r="H2095">
        <v>4.8</v>
      </c>
      <c r="I2095" t="s">
        <v>3878</v>
      </c>
      <c r="J2095" t="s">
        <v>3497</v>
      </c>
      <c r="K2095" t="s">
        <v>3739</v>
      </c>
      <c r="L2095">
        <v>0</v>
      </c>
      <c r="M2095" s="453">
        <v>45770</v>
      </c>
      <c r="N2095">
        <v>34.74</v>
      </c>
      <c r="O2095">
        <v>32.99</v>
      </c>
      <c r="P2095">
        <v>166.75</v>
      </c>
    </row>
    <row r="2096" spans="1:16" x14ac:dyDescent="0.3">
      <c r="A2096">
        <v>50153</v>
      </c>
      <c r="B2096">
        <v>116</v>
      </c>
      <c r="C2096" t="s">
        <v>568</v>
      </c>
      <c r="D2096" s="453">
        <v>45901</v>
      </c>
      <c r="E2096">
        <v>18550</v>
      </c>
      <c r="F2096" t="s">
        <v>4083</v>
      </c>
      <c r="G2096">
        <v>3130</v>
      </c>
      <c r="H2096">
        <v>1</v>
      </c>
      <c r="I2096" t="s">
        <v>3878</v>
      </c>
      <c r="J2096" t="s">
        <v>3497</v>
      </c>
      <c r="K2096" t="s">
        <v>3739</v>
      </c>
      <c r="L2096">
        <v>0</v>
      </c>
      <c r="M2096" s="453">
        <v>-693593</v>
      </c>
      <c r="N2096">
        <v>0</v>
      </c>
      <c r="O2096">
        <v>173</v>
      </c>
      <c r="P2096">
        <v>165.45</v>
      </c>
    </row>
    <row r="2097" spans="1:16" x14ac:dyDescent="0.3">
      <c r="A2097">
        <v>50125</v>
      </c>
      <c r="B2097">
        <v>116</v>
      </c>
      <c r="C2097" t="s">
        <v>568</v>
      </c>
      <c r="D2097" s="453">
        <v>45901</v>
      </c>
      <c r="E2097">
        <v>23897</v>
      </c>
      <c r="F2097" t="s">
        <v>4058</v>
      </c>
      <c r="G2097">
        <v>2003</v>
      </c>
      <c r="H2097">
        <v>1</v>
      </c>
      <c r="I2097" t="s">
        <v>3872</v>
      </c>
      <c r="J2097" t="s">
        <v>3469</v>
      </c>
      <c r="K2097" t="s">
        <v>3739</v>
      </c>
      <c r="L2097">
        <v>165.18</v>
      </c>
      <c r="M2097" s="453">
        <v>45887</v>
      </c>
      <c r="N2097">
        <v>170.46</v>
      </c>
      <c r="O2097">
        <v>175.8</v>
      </c>
      <c r="P2097">
        <v>165.18</v>
      </c>
    </row>
    <row r="2098" spans="1:16" x14ac:dyDescent="0.3">
      <c r="A2098">
        <v>50039</v>
      </c>
      <c r="B2098">
        <v>116</v>
      </c>
      <c r="C2098" t="s">
        <v>568</v>
      </c>
      <c r="D2098" s="453">
        <v>45901</v>
      </c>
      <c r="E2098">
        <v>21166</v>
      </c>
      <c r="F2098" t="s">
        <v>4001</v>
      </c>
      <c r="G2098">
        <v>1940</v>
      </c>
      <c r="H2098">
        <v>4.5</v>
      </c>
      <c r="I2098" t="s">
        <v>3872</v>
      </c>
      <c r="J2098" t="s">
        <v>3469</v>
      </c>
      <c r="K2098" t="s">
        <v>3739</v>
      </c>
      <c r="L2098">
        <v>0</v>
      </c>
      <c r="M2098" s="453">
        <v>45615</v>
      </c>
      <c r="N2098">
        <v>36</v>
      </c>
      <c r="O2098">
        <v>36</v>
      </c>
      <c r="P2098">
        <v>162</v>
      </c>
    </row>
    <row r="2099" spans="1:16" x14ac:dyDescent="0.3">
      <c r="A2099">
        <v>50116</v>
      </c>
      <c r="B2099">
        <v>116</v>
      </c>
      <c r="C2099" t="s">
        <v>568</v>
      </c>
      <c r="D2099" s="453">
        <v>45901</v>
      </c>
      <c r="E2099">
        <v>18233</v>
      </c>
      <c r="F2099" t="s">
        <v>4090</v>
      </c>
      <c r="G2099">
        <v>3395</v>
      </c>
      <c r="H2099">
        <v>1.5</v>
      </c>
      <c r="I2099" t="s">
        <v>3878</v>
      </c>
      <c r="J2099" t="s">
        <v>3497</v>
      </c>
      <c r="K2099" t="s">
        <v>3739</v>
      </c>
      <c r="L2099">
        <v>0</v>
      </c>
      <c r="M2099" s="453">
        <v>45867</v>
      </c>
      <c r="N2099">
        <v>102.9</v>
      </c>
      <c r="O2099">
        <v>101.17</v>
      </c>
      <c r="P2099">
        <v>154.35</v>
      </c>
    </row>
    <row r="2100" spans="1:16" x14ac:dyDescent="0.3">
      <c r="A2100">
        <v>50056</v>
      </c>
      <c r="B2100">
        <v>116</v>
      </c>
      <c r="C2100" t="s">
        <v>568</v>
      </c>
      <c r="D2100" s="453">
        <v>45901</v>
      </c>
      <c r="E2100">
        <v>20456</v>
      </c>
      <c r="F2100" t="s">
        <v>4000</v>
      </c>
      <c r="G2100">
        <v>2166</v>
      </c>
      <c r="H2100">
        <v>3.9</v>
      </c>
      <c r="I2100" t="s">
        <v>3892</v>
      </c>
      <c r="J2100" t="s">
        <v>3469</v>
      </c>
      <c r="K2100" t="s">
        <v>3739</v>
      </c>
      <c r="L2100">
        <v>0</v>
      </c>
      <c r="M2100" s="453">
        <v>45860</v>
      </c>
      <c r="N2100">
        <v>39</v>
      </c>
      <c r="O2100">
        <v>39</v>
      </c>
      <c r="P2100">
        <v>152.1</v>
      </c>
    </row>
    <row r="2101" spans="1:16" x14ac:dyDescent="0.3">
      <c r="A2101">
        <v>50034</v>
      </c>
      <c r="B2101">
        <v>116</v>
      </c>
      <c r="C2101" t="s">
        <v>568</v>
      </c>
      <c r="D2101" s="453">
        <v>45901</v>
      </c>
      <c r="E2101">
        <v>18933</v>
      </c>
      <c r="F2101" t="s">
        <v>3957</v>
      </c>
      <c r="G2101">
        <v>2930</v>
      </c>
      <c r="H2101">
        <v>5</v>
      </c>
      <c r="I2101" t="s">
        <v>3892</v>
      </c>
      <c r="J2101" t="s">
        <v>3469</v>
      </c>
      <c r="K2101" t="s">
        <v>3739</v>
      </c>
      <c r="L2101">
        <v>29.9</v>
      </c>
      <c r="M2101" s="453">
        <v>45888</v>
      </c>
      <c r="N2101">
        <v>29.9</v>
      </c>
      <c r="O2101">
        <v>27.9</v>
      </c>
      <c r="P2101">
        <v>149.5</v>
      </c>
    </row>
    <row r="2102" spans="1:16" x14ac:dyDescent="0.3">
      <c r="A2102">
        <v>49996</v>
      </c>
      <c r="B2102">
        <v>116</v>
      </c>
      <c r="C2102" t="s">
        <v>568</v>
      </c>
      <c r="D2102" s="453">
        <v>45901</v>
      </c>
      <c r="E2102">
        <v>20131</v>
      </c>
      <c r="F2102" t="s">
        <v>4447</v>
      </c>
      <c r="G2102">
        <v>2287</v>
      </c>
      <c r="H2102">
        <v>12</v>
      </c>
      <c r="I2102" t="s">
        <v>3892</v>
      </c>
      <c r="J2102" t="s">
        <v>3469</v>
      </c>
      <c r="K2102" t="s">
        <v>3739</v>
      </c>
      <c r="L2102">
        <v>0</v>
      </c>
      <c r="M2102" s="453">
        <v>45853</v>
      </c>
      <c r="N2102">
        <v>12</v>
      </c>
      <c r="O2102">
        <v>12</v>
      </c>
      <c r="P2102">
        <v>144</v>
      </c>
    </row>
    <row r="2103" spans="1:16" x14ac:dyDescent="0.3">
      <c r="A2103">
        <v>50037</v>
      </c>
      <c r="B2103">
        <v>116</v>
      </c>
      <c r="C2103" t="s">
        <v>568</v>
      </c>
      <c r="D2103" s="453">
        <v>45901</v>
      </c>
      <c r="E2103">
        <v>22705</v>
      </c>
      <c r="F2103" t="s">
        <v>3990</v>
      </c>
      <c r="G2103">
        <v>3044</v>
      </c>
      <c r="H2103">
        <v>4.8</v>
      </c>
      <c r="I2103" t="s">
        <v>3892</v>
      </c>
      <c r="J2103" t="s">
        <v>3469</v>
      </c>
      <c r="K2103" t="s">
        <v>3739</v>
      </c>
      <c r="L2103">
        <v>29.8</v>
      </c>
      <c r="M2103" s="453">
        <v>45888</v>
      </c>
      <c r="N2103">
        <v>29.8</v>
      </c>
      <c r="O2103">
        <v>29.8</v>
      </c>
      <c r="P2103">
        <v>143.04</v>
      </c>
    </row>
    <row r="2104" spans="1:16" x14ac:dyDescent="0.3">
      <c r="A2104">
        <v>50041</v>
      </c>
      <c r="B2104">
        <v>116</v>
      </c>
      <c r="C2104" t="s">
        <v>568</v>
      </c>
      <c r="D2104" s="453">
        <v>45901</v>
      </c>
      <c r="E2104">
        <v>20304</v>
      </c>
      <c r="F2104" t="s">
        <v>3938</v>
      </c>
      <c r="G2104">
        <v>2223</v>
      </c>
      <c r="H2104">
        <v>4.5</v>
      </c>
      <c r="I2104" t="s">
        <v>3888</v>
      </c>
      <c r="J2104" t="s">
        <v>3469</v>
      </c>
      <c r="K2104" t="s">
        <v>3739</v>
      </c>
      <c r="L2104">
        <v>31.73</v>
      </c>
      <c r="M2104" s="453">
        <v>45894</v>
      </c>
      <c r="N2104">
        <v>34.96</v>
      </c>
      <c r="O2104">
        <v>34.96</v>
      </c>
      <c r="P2104">
        <v>142.78</v>
      </c>
    </row>
    <row r="2105" spans="1:16" x14ac:dyDescent="0.3">
      <c r="A2105">
        <v>49982</v>
      </c>
      <c r="B2105">
        <v>116</v>
      </c>
      <c r="C2105" t="s">
        <v>568</v>
      </c>
      <c r="D2105" s="453">
        <v>45901</v>
      </c>
      <c r="E2105">
        <v>25167</v>
      </c>
      <c r="F2105" t="s">
        <v>3951</v>
      </c>
      <c r="G2105">
        <v>5930</v>
      </c>
      <c r="H2105">
        <v>18</v>
      </c>
      <c r="I2105" t="s">
        <v>3892</v>
      </c>
      <c r="J2105" t="s">
        <v>3469</v>
      </c>
      <c r="K2105" t="s">
        <v>3739</v>
      </c>
      <c r="L2105">
        <v>0</v>
      </c>
      <c r="M2105" s="453">
        <v>45840</v>
      </c>
      <c r="N2105">
        <v>7.9</v>
      </c>
      <c r="O2105">
        <v>7.9</v>
      </c>
      <c r="P2105">
        <v>142.19999999999999</v>
      </c>
    </row>
    <row r="2106" spans="1:16" x14ac:dyDescent="0.3">
      <c r="A2106">
        <v>50120</v>
      </c>
      <c r="B2106">
        <v>116</v>
      </c>
      <c r="C2106" t="s">
        <v>568</v>
      </c>
      <c r="D2106" s="453">
        <v>45901</v>
      </c>
      <c r="E2106">
        <v>18146</v>
      </c>
      <c r="F2106" t="s">
        <v>4100</v>
      </c>
      <c r="G2106">
        <v>3471</v>
      </c>
      <c r="H2106">
        <v>1.4</v>
      </c>
      <c r="I2106" t="s">
        <v>3878</v>
      </c>
      <c r="J2106" t="s">
        <v>3497</v>
      </c>
      <c r="K2106" t="s">
        <v>3739</v>
      </c>
      <c r="L2106">
        <v>101</v>
      </c>
      <c r="M2106" s="453">
        <v>45873</v>
      </c>
      <c r="N2106">
        <v>101</v>
      </c>
      <c r="O2106">
        <v>100</v>
      </c>
      <c r="P2106">
        <v>141.4</v>
      </c>
    </row>
    <row r="2107" spans="1:16" x14ac:dyDescent="0.3">
      <c r="A2107">
        <v>50035</v>
      </c>
      <c r="B2107">
        <v>116</v>
      </c>
      <c r="C2107" t="s">
        <v>568</v>
      </c>
      <c r="D2107" s="453">
        <v>45901</v>
      </c>
      <c r="E2107">
        <v>26195</v>
      </c>
      <c r="F2107" t="s">
        <v>4037</v>
      </c>
      <c r="G2107">
        <v>6618</v>
      </c>
      <c r="H2107">
        <v>5</v>
      </c>
      <c r="I2107" t="s">
        <v>3878</v>
      </c>
      <c r="J2107" t="s">
        <v>3497</v>
      </c>
      <c r="K2107" t="s">
        <v>3739</v>
      </c>
      <c r="L2107">
        <v>0</v>
      </c>
      <c r="M2107" s="453">
        <v>-693593</v>
      </c>
      <c r="N2107">
        <v>0</v>
      </c>
      <c r="O2107">
        <v>0</v>
      </c>
      <c r="P2107">
        <v>138.69999999999999</v>
      </c>
    </row>
    <row r="2108" spans="1:16" x14ac:dyDescent="0.3">
      <c r="A2108">
        <v>49971</v>
      </c>
      <c r="B2108">
        <v>116</v>
      </c>
      <c r="C2108" t="s">
        <v>568</v>
      </c>
      <c r="D2108" s="453">
        <v>45901</v>
      </c>
      <c r="E2108">
        <v>22118</v>
      </c>
      <c r="F2108" t="s">
        <v>3880</v>
      </c>
      <c r="G2108">
        <v>3600</v>
      </c>
      <c r="H2108">
        <v>4.67</v>
      </c>
      <c r="I2108" t="s">
        <v>3881</v>
      </c>
      <c r="J2108" t="s">
        <v>3497</v>
      </c>
      <c r="K2108" t="s">
        <v>3739</v>
      </c>
      <c r="L2108">
        <v>0</v>
      </c>
      <c r="M2108" s="453">
        <v>45854</v>
      </c>
      <c r="N2108">
        <v>29.64</v>
      </c>
      <c r="O2108">
        <v>29.64</v>
      </c>
      <c r="P2108">
        <v>138.32</v>
      </c>
    </row>
    <row r="2109" spans="1:16" x14ac:dyDescent="0.3">
      <c r="A2109">
        <v>50061</v>
      </c>
      <c r="B2109">
        <v>116</v>
      </c>
      <c r="C2109" t="s">
        <v>568</v>
      </c>
      <c r="D2109" s="453">
        <v>45901</v>
      </c>
      <c r="E2109">
        <v>18685</v>
      </c>
      <c r="F2109" t="s">
        <v>3945</v>
      </c>
      <c r="G2109">
        <v>3040</v>
      </c>
      <c r="H2109">
        <v>3.5</v>
      </c>
      <c r="I2109" t="s">
        <v>3892</v>
      </c>
      <c r="J2109" t="s">
        <v>3469</v>
      </c>
      <c r="K2109" t="s">
        <v>3739</v>
      </c>
      <c r="L2109">
        <v>0</v>
      </c>
      <c r="M2109" s="453">
        <v>45860</v>
      </c>
      <c r="N2109">
        <v>39</v>
      </c>
      <c r="O2109">
        <v>39</v>
      </c>
      <c r="P2109">
        <v>136.5</v>
      </c>
    </row>
    <row r="2110" spans="1:16" x14ac:dyDescent="0.3">
      <c r="A2110">
        <v>50121</v>
      </c>
      <c r="B2110">
        <v>116</v>
      </c>
      <c r="C2110" t="s">
        <v>568</v>
      </c>
      <c r="D2110" s="453">
        <v>45901</v>
      </c>
      <c r="E2110">
        <v>20755</v>
      </c>
      <c r="F2110" t="s">
        <v>4052</v>
      </c>
      <c r="G2110">
        <v>2087</v>
      </c>
      <c r="H2110">
        <v>1.3</v>
      </c>
      <c r="I2110" t="s">
        <v>3966</v>
      </c>
      <c r="J2110" t="s">
        <v>3469</v>
      </c>
      <c r="K2110" t="s">
        <v>3739</v>
      </c>
      <c r="L2110">
        <v>104</v>
      </c>
      <c r="M2110" s="453">
        <v>45895</v>
      </c>
      <c r="N2110">
        <v>104</v>
      </c>
      <c r="O2110">
        <v>104</v>
      </c>
      <c r="P2110">
        <v>135.19999999999999</v>
      </c>
    </row>
    <row r="2111" spans="1:16" x14ac:dyDescent="0.3">
      <c r="A2111">
        <v>49983</v>
      </c>
      <c r="B2111">
        <v>116</v>
      </c>
      <c r="C2111" t="s">
        <v>568</v>
      </c>
      <c r="D2111" s="453">
        <v>45901</v>
      </c>
      <c r="E2111">
        <v>19540</v>
      </c>
      <c r="F2111" t="s">
        <v>4454</v>
      </c>
      <c r="G2111">
        <v>2676</v>
      </c>
      <c r="H2111">
        <v>18</v>
      </c>
      <c r="I2111" t="s">
        <v>3892</v>
      </c>
      <c r="J2111" t="s">
        <v>3469</v>
      </c>
      <c r="K2111" t="s">
        <v>3739</v>
      </c>
      <c r="L2111">
        <v>0</v>
      </c>
      <c r="M2111" s="453">
        <v>45832</v>
      </c>
      <c r="N2111">
        <v>7.42</v>
      </c>
      <c r="O2111">
        <v>6</v>
      </c>
      <c r="P2111">
        <v>133.56</v>
      </c>
    </row>
    <row r="2112" spans="1:16" x14ac:dyDescent="0.3">
      <c r="A2112">
        <v>50104</v>
      </c>
      <c r="B2112">
        <v>116</v>
      </c>
      <c r="C2112" t="s">
        <v>568</v>
      </c>
      <c r="D2112" s="453">
        <v>45901</v>
      </c>
      <c r="E2112">
        <v>18111</v>
      </c>
      <c r="F2112" t="s">
        <v>4047</v>
      </c>
      <c r="G2112">
        <v>3500</v>
      </c>
      <c r="H2112">
        <v>1.6</v>
      </c>
      <c r="I2112" t="s">
        <v>3878</v>
      </c>
      <c r="J2112" t="s">
        <v>3497</v>
      </c>
      <c r="K2112" t="s">
        <v>3739</v>
      </c>
      <c r="L2112">
        <v>78.489999999999995</v>
      </c>
      <c r="M2112" s="453">
        <v>45895</v>
      </c>
      <c r="N2112">
        <v>78.489999999999995</v>
      </c>
      <c r="O2112">
        <v>93.41</v>
      </c>
      <c r="P2112">
        <v>125.58</v>
      </c>
    </row>
    <row r="2113" spans="1:16" x14ac:dyDescent="0.3">
      <c r="A2113">
        <v>50064</v>
      </c>
      <c r="B2113">
        <v>116</v>
      </c>
      <c r="C2113" t="s">
        <v>568</v>
      </c>
      <c r="D2113" s="453">
        <v>45901</v>
      </c>
      <c r="E2113">
        <v>20508</v>
      </c>
      <c r="F2113" t="s">
        <v>4449</v>
      </c>
      <c r="G2113">
        <v>2153</v>
      </c>
      <c r="H2113">
        <v>3.4</v>
      </c>
      <c r="I2113" t="s">
        <v>3892</v>
      </c>
      <c r="J2113" t="s">
        <v>3469</v>
      </c>
      <c r="K2113" t="s">
        <v>3739</v>
      </c>
      <c r="L2113">
        <v>36</v>
      </c>
      <c r="M2113" s="453">
        <v>45895</v>
      </c>
      <c r="N2113">
        <v>36</v>
      </c>
      <c r="O2113">
        <v>36</v>
      </c>
      <c r="P2113">
        <v>122.4</v>
      </c>
    </row>
    <row r="2114" spans="1:16" x14ac:dyDescent="0.3">
      <c r="A2114">
        <v>50085</v>
      </c>
      <c r="B2114">
        <v>116</v>
      </c>
      <c r="C2114" t="s">
        <v>568</v>
      </c>
      <c r="D2114" s="453">
        <v>45901</v>
      </c>
      <c r="E2114">
        <v>20007</v>
      </c>
      <c r="F2114" t="s">
        <v>4009</v>
      </c>
      <c r="G2114">
        <v>2343</v>
      </c>
      <c r="H2114">
        <v>2.5</v>
      </c>
      <c r="I2114" t="s">
        <v>3966</v>
      </c>
      <c r="J2114" t="s">
        <v>3469</v>
      </c>
      <c r="K2114" t="s">
        <v>3739</v>
      </c>
      <c r="L2114">
        <v>48.82</v>
      </c>
      <c r="M2114" s="453">
        <v>45894</v>
      </c>
      <c r="N2114">
        <v>49.57</v>
      </c>
      <c r="O2114">
        <v>49.57</v>
      </c>
      <c r="P2114">
        <v>122.05</v>
      </c>
    </row>
    <row r="2115" spans="1:16" x14ac:dyDescent="0.3">
      <c r="A2115">
        <v>50105</v>
      </c>
      <c r="B2115">
        <v>116</v>
      </c>
      <c r="C2115" t="s">
        <v>568</v>
      </c>
      <c r="D2115" s="453">
        <v>45901</v>
      </c>
      <c r="E2115">
        <v>20757</v>
      </c>
      <c r="F2115" t="s">
        <v>4050</v>
      </c>
      <c r="G2115">
        <v>2086</v>
      </c>
      <c r="H2115">
        <v>1.5</v>
      </c>
      <c r="I2115" t="s">
        <v>3966</v>
      </c>
      <c r="J2115" t="s">
        <v>3469</v>
      </c>
      <c r="K2115" t="s">
        <v>3739</v>
      </c>
      <c r="L2115">
        <v>81</v>
      </c>
      <c r="M2115" s="453">
        <v>45888</v>
      </c>
      <c r="N2115">
        <v>81</v>
      </c>
      <c r="O2115">
        <v>81</v>
      </c>
      <c r="P2115">
        <v>121.5</v>
      </c>
    </row>
    <row r="2116" spans="1:16" x14ac:dyDescent="0.3">
      <c r="A2116">
        <v>49969</v>
      </c>
      <c r="B2116">
        <v>116</v>
      </c>
      <c r="C2116" t="s">
        <v>568</v>
      </c>
      <c r="D2116" s="453">
        <v>45901</v>
      </c>
      <c r="E2116">
        <v>24029</v>
      </c>
      <c r="F2116" t="s">
        <v>3875</v>
      </c>
      <c r="G2116">
        <v>3591</v>
      </c>
      <c r="H2116">
        <v>61</v>
      </c>
      <c r="I2116" t="s">
        <v>3872</v>
      </c>
      <c r="J2116" t="s">
        <v>3497</v>
      </c>
      <c r="K2116" t="s">
        <v>3739</v>
      </c>
      <c r="L2116">
        <v>0</v>
      </c>
      <c r="M2116" s="453">
        <v>45537</v>
      </c>
      <c r="N2116">
        <v>1.99</v>
      </c>
      <c r="O2116">
        <v>2.19</v>
      </c>
      <c r="P2116">
        <v>121.39</v>
      </c>
    </row>
    <row r="2117" spans="1:16" x14ac:dyDescent="0.3">
      <c r="A2117">
        <v>50066</v>
      </c>
      <c r="B2117">
        <v>116</v>
      </c>
      <c r="C2117" t="s">
        <v>568</v>
      </c>
      <c r="D2117" s="453">
        <v>45901</v>
      </c>
      <c r="E2117">
        <v>20457</v>
      </c>
      <c r="F2117" t="s">
        <v>3999</v>
      </c>
      <c r="G2117">
        <v>2165</v>
      </c>
      <c r="H2117">
        <v>3.1</v>
      </c>
      <c r="I2117" t="s">
        <v>3892</v>
      </c>
      <c r="J2117" t="s">
        <v>3469</v>
      </c>
      <c r="K2117" t="s">
        <v>3739</v>
      </c>
      <c r="L2117">
        <v>39</v>
      </c>
      <c r="M2117" s="453">
        <v>45874</v>
      </c>
      <c r="N2117">
        <v>39</v>
      </c>
      <c r="O2117">
        <v>39</v>
      </c>
      <c r="P2117">
        <v>120.9</v>
      </c>
    </row>
    <row r="2118" spans="1:16" x14ac:dyDescent="0.3">
      <c r="A2118">
        <v>50115</v>
      </c>
      <c r="B2118">
        <v>116</v>
      </c>
      <c r="C2118" t="s">
        <v>568</v>
      </c>
      <c r="D2118" s="453">
        <v>45901</v>
      </c>
      <c r="E2118">
        <v>18467</v>
      </c>
      <c r="F2118" t="s">
        <v>4028</v>
      </c>
      <c r="G2118">
        <v>3189</v>
      </c>
      <c r="H2118">
        <v>1.5</v>
      </c>
      <c r="I2118" t="s">
        <v>3878</v>
      </c>
      <c r="J2118" t="s">
        <v>3497</v>
      </c>
      <c r="K2118" t="s">
        <v>3739</v>
      </c>
      <c r="L2118">
        <v>78.05</v>
      </c>
      <c r="M2118" s="453">
        <v>45880</v>
      </c>
      <c r="N2118">
        <v>78.05</v>
      </c>
      <c r="O2118">
        <v>78.05</v>
      </c>
      <c r="P2118">
        <v>117.07</v>
      </c>
    </row>
    <row r="2119" spans="1:16" x14ac:dyDescent="0.3">
      <c r="A2119">
        <v>49967</v>
      </c>
      <c r="B2119">
        <v>116</v>
      </c>
      <c r="C2119" t="s">
        <v>568</v>
      </c>
      <c r="D2119" s="453">
        <v>45901</v>
      </c>
      <c r="E2119">
        <v>22108</v>
      </c>
      <c r="F2119" t="s">
        <v>3871</v>
      </c>
      <c r="G2119">
        <v>3609</v>
      </c>
      <c r="H2119">
        <v>82</v>
      </c>
      <c r="I2119" t="s">
        <v>3872</v>
      </c>
      <c r="J2119" t="s">
        <v>3497</v>
      </c>
      <c r="K2119" t="s">
        <v>3739</v>
      </c>
      <c r="L2119">
        <v>0</v>
      </c>
      <c r="M2119" s="453">
        <v>45670</v>
      </c>
      <c r="N2119">
        <v>1.42</v>
      </c>
      <c r="O2119">
        <v>1.85</v>
      </c>
      <c r="P2119">
        <v>116.85</v>
      </c>
    </row>
    <row r="2120" spans="1:16" x14ac:dyDescent="0.3">
      <c r="A2120">
        <v>50060</v>
      </c>
      <c r="B2120">
        <v>116</v>
      </c>
      <c r="C2120" t="s">
        <v>568</v>
      </c>
      <c r="D2120" s="453">
        <v>45901</v>
      </c>
      <c r="E2120">
        <v>22712</v>
      </c>
      <c r="F2120" t="s">
        <v>3975</v>
      </c>
      <c r="G2120">
        <v>3039</v>
      </c>
      <c r="H2120">
        <v>3.5</v>
      </c>
      <c r="I2120" t="s">
        <v>3892</v>
      </c>
      <c r="J2120" t="s">
        <v>3469</v>
      </c>
      <c r="K2120" t="s">
        <v>3739</v>
      </c>
      <c r="L2120">
        <v>32.57</v>
      </c>
      <c r="M2120" s="453">
        <v>45888</v>
      </c>
      <c r="N2120">
        <v>32.9</v>
      </c>
      <c r="O2120">
        <v>32.9</v>
      </c>
      <c r="P2120">
        <v>114</v>
      </c>
    </row>
    <row r="2121" spans="1:16" x14ac:dyDescent="0.3">
      <c r="A2121">
        <v>50054</v>
      </c>
      <c r="B2121">
        <v>116</v>
      </c>
      <c r="C2121" t="s">
        <v>568</v>
      </c>
      <c r="D2121" s="453">
        <v>45901</v>
      </c>
      <c r="E2121">
        <v>24517</v>
      </c>
      <c r="F2121" t="s">
        <v>3991</v>
      </c>
      <c r="G2121">
        <v>3047</v>
      </c>
      <c r="H2121">
        <v>4</v>
      </c>
      <c r="I2121" t="s">
        <v>3892</v>
      </c>
      <c r="J2121" t="s">
        <v>3469</v>
      </c>
      <c r="K2121" t="s">
        <v>3739</v>
      </c>
      <c r="L2121">
        <v>0</v>
      </c>
      <c r="M2121" s="453">
        <v>45860</v>
      </c>
      <c r="N2121">
        <v>27.99</v>
      </c>
      <c r="O2121">
        <v>27.99</v>
      </c>
      <c r="P2121">
        <v>111.96</v>
      </c>
    </row>
    <row r="2122" spans="1:16" x14ac:dyDescent="0.3">
      <c r="A2122">
        <v>50075</v>
      </c>
      <c r="B2122">
        <v>116</v>
      </c>
      <c r="C2122" t="s">
        <v>568</v>
      </c>
      <c r="D2122" s="453">
        <v>45901</v>
      </c>
      <c r="E2122">
        <v>19405</v>
      </c>
      <c r="F2122" t="s">
        <v>4097</v>
      </c>
      <c r="G2122">
        <v>2761</v>
      </c>
      <c r="H2122">
        <v>3</v>
      </c>
      <c r="I2122" t="s">
        <v>3892</v>
      </c>
      <c r="J2122" t="s">
        <v>3469</v>
      </c>
      <c r="K2122" t="s">
        <v>3739</v>
      </c>
      <c r="L2122">
        <v>36.200000000000003</v>
      </c>
      <c r="M2122" s="453">
        <v>45881</v>
      </c>
      <c r="N2122">
        <v>36.200000000000003</v>
      </c>
      <c r="O2122">
        <v>33.9</v>
      </c>
      <c r="P2122">
        <v>108.6</v>
      </c>
    </row>
    <row r="2123" spans="1:16" x14ac:dyDescent="0.3">
      <c r="A2123">
        <v>50058</v>
      </c>
      <c r="B2123">
        <v>116</v>
      </c>
      <c r="C2123" t="s">
        <v>568</v>
      </c>
      <c r="D2123" s="453">
        <v>45901</v>
      </c>
      <c r="E2123">
        <v>20809</v>
      </c>
      <c r="F2123" t="s">
        <v>4005</v>
      </c>
      <c r="G2123">
        <v>2074</v>
      </c>
      <c r="H2123">
        <v>3.5</v>
      </c>
      <c r="I2123" t="s">
        <v>3888</v>
      </c>
      <c r="J2123" t="s">
        <v>3469</v>
      </c>
      <c r="K2123" t="s">
        <v>3739</v>
      </c>
      <c r="L2123">
        <v>30.99</v>
      </c>
      <c r="M2123" s="453">
        <v>45895</v>
      </c>
      <c r="N2123">
        <v>33.9</v>
      </c>
      <c r="O2123">
        <v>32.270000000000003</v>
      </c>
      <c r="P2123">
        <v>108.46</v>
      </c>
    </row>
    <row r="2124" spans="1:16" x14ac:dyDescent="0.3">
      <c r="A2124">
        <v>50161</v>
      </c>
      <c r="B2124">
        <v>116</v>
      </c>
      <c r="C2124" t="s">
        <v>568</v>
      </c>
      <c r="D2124" s="453">
        <v>45901</v>
      </c>
      <c r="E2124">
        <v>18312</v>
      </c>
      <c r="F2124" t="s">
        <v>4089</v>
      </c>
      <c r="G2124">
        <v>3321</v>
      </c>
      <c r="H2124">
        <v>1</v>
      </c>
      <c r="I2124" t="s">
        <v>3878</v>
      </c>
      <c r="J2124" t="s">
        <v>3497</v>
      </c>
      <c r="K2124" t="s">
        <v>3739</v>
      </c>
      <c r="L2124">
        <v>0</v>
      </c>
      <c r="M2124" s="453">
        <v>45793</v>
      </c>
      <c r="N2124">
        <v>105.9</v>
      </c>
      <c r="O2124">
        <v>86</v>
      </c>
      <c r="P2124">
        <v>105.9</v>
      </c>
    </row>
    <row r="2125" spans="1:16" x14ac:dyDescent="0.3">
      <c r="A2125">
        <v>49972</v>
      </c>
      <c r="B2125">
        <v>116</v>
      </c>
      <c r="C2125" t="s">
        <v>568</v>
      </c>
      <c r="D2125" s="453">
        <v>45901</v>
      </c>
      <c r="E2125">
        <v>24467</v>
      </c>
      <c r="F2125" t="s">
        <v>3944</v>
      </c>
      <c r="G2125">
        <v>3673</v>
      </c>
      <c r="H2125">
        <v>53</v>
      </c>
      <c r="I2125" t="s">
        <v>3872</v>
      </c>
      <c r="J2125" t="s">
        <v>3497</v>
      </c>
      <c r="K2125" t="s">
        <v>3739</v>
      </c>
      <c r="L2125">
        <v>0</v>
      </c>
      <c r="M2125" s="453">
        <v>45510</v>
      </c>
      <c r="N2125">
        <v>1.99</v>
      </c>
      <c r="O2125">
        <v>2.19</v>
      </c>
      <c r="P2125">
        <v>105.47</v>
      </c>
    </row>
    <row r="2126" spans="1:16" x14ac:dyDescent="0.3">
      <c r="A2126">
        <v>50113</v>
      </c>
      <c r="B2126">
        <v>116</v>
      </c>
      <c r="C2126" t="s">
        <v>568</v>
      </c>
      <c r="D2126" s="453">
        <v>45901</v>
      </c>
      <c r="E2126">
        <v>19297</v>
      </c>
      <c r="F2126" t="s">
        <v>3949</v>
      </c>
      <c r="G2126">
        <v>2775</v>
      </c>
      <c r="H2126">
        <v>1.5</v>
      </c>
      <c r="I2126" t="s">
        <v>3892</v>
      </c>
      <c r="J2126" t="s">
        <v>3469</v>
      </c>
      <c r="K2126" t="s">
        <v>3739</v>
      </c>
      <c r="L2126">
        <v>70.14</v>
      </c>
      <c r="M2126" s="453">
        <v>45894</v>
      </c>
      <c r="N2126">
        <v>69.989999999999995</v>
      </c>
      <c r="O2126">
        <v>69.989999999999995</v>
      </c>
      <c r="P2126">
        <v>105.21</v>
      </c>
    </row>
    <row r="2127" spans="1:16" x14ac:dyDescent="0.3">
      <c r="A2127">
        <v>50158</v>
      </c>
      <c r="B2127">
        <v>116</v>
      </c>
      <c r="C2127" t="s">
        <v>568</v>
      </c>
      <c r="D2127" s="453">
        <v>45901</v>
      </c>
      <c r="E2127">
        <v>18327</v>
      </c>
      <c r="F2127" t="s">
        <v>4087</v>
      </c>
      <c r="G2127">
        <v>3306</v>
      </c>
      <c r="H2127">
        <v>1</v>
      </c>
      <c r="I2127" t="s">
        <v>3878</v>
      </c>
      <c r="J2127" t="s">
        <v>3497</v>
      </c>
      <c r="K2127" t="s">
        <v>3739</v>
      </c>
      <c r="L2127">
        <v>0</v>
      </c>
      <c r="M2127" s="453">
        <v>45790</v>
      </c>
      <c r="N2127">
        <v>105</v>
      </c>
      <c r="O2127">
        <v>110.3</v>
      </c>
      <c r="P2127">
        <v>105</v>
      </c>
    </row>
    <row r="2128" spans="1:16" x14ac:dyDescent="0.3">
      <c r="A2128">
        <v>50110</v>
      </c>
      <c r="B2128">
        <v>116</v>
      </c>
      <c r="C2128" t="s">
        <v>568</v>
      </c>
      <c r="D2128" s="453">
        <v>45901</v>
      </c>
      <c r="E2128">
        <v>20624</v>
      </c>
      <c r="F2128" t="s">
        <v>3982</v>
      </c>
      <c r="G2128">
        <v>2116</v>
      </c>
      <c r="H2128">
        <v>1.5</v>
      </c>
      <c r="I2128" t="s">
        <v>3966</v>
      </c>
      <c r="J2128" t="s">
        <v>3469</v>
      </c>
      <c r="K2128" t="s">
        <v>3739</v>
      </c>
      <c r="L2128">
        <v>69.849999999999994</v>
      </c>
      <c r="M2128" s="453">
        <v>45895</v>
      </c>
      <c r="N2128">
        <v>69.900000000000006</v>
      </c>
      <c r="O2128">
        <v>69.900000000000006</v>
      </c>
      <c r="P2128">
        <v>104.78</v>
      </c>
    </row>
    <row r="2129" spans="1:16" x14ac:dyDescent="0.3">
      <c r="A2129">
        <v>50031</v>
      </c>
      <c r="B2129">
        <v>116</v>
      </c>
      <c r="C2129" t="s">
        <v>568</v>
      </c>
      <c r="D2129" s="453">
        <v>45901</v>
      </c>
      <c r="E2129">
        <v>20500</v>
      </c>
      <c r="F2129" t="s">
        <v>3954</v>
      </c>
      <c r="G2129">
        <v>2154</v>
      </c>
      <c r="H2129">
        <v>5</v>
      </c>
      <c r="I2129" t="s">
        <v>3872</v>
      </c>
      <c r="J2129" t="s">
        <v>3469</v>
      </c>
      <c r="K2129" t="s">
        <v>3739</v>
      </c>
      <c r="L2129">
        <v>20.8</v>
      </c>
      <c r="M2129" s="453">
        <v>45895</v>
      </c>
      <c r="N2129">
        <v>20.8</v>
      </c>
      <c r="O2129">
        <v>21.06</v>
      </c>
      <c r="P2129">
        <v>104</v>
      </c>
    </row>
    <row r="2130" spans="1:16" x14ac:dyDescent="0.3">
      <c r="A2130">
        <v>50166</v>
      </c>
      <c r="B2130">
        <v>116</v>
      </c>
      <c r="C2130" t="s">
        <v>568</v>
      </c>
      <c r="D2130" s="453">
        <v>45901</v>
      </c>
      <c r="E2130">
        <v>18315</v>
      </c>
      <c r="F2130" t="s">
        <v>4088</v>
      </c>
      <c r="G2130">
        <v>3318</v>
      </c>
      <c r="H2130">
        <v>0.8</v>
      </c>
      <c r="I2130" t="s">
        <v>3878</v>
      </c>
      <c r="J2130" t="s">
        <v>3497</v>
      </c>
      <c r="K2130" t="s">
        <v>3739</v>
      </c>
      <c r="L2130">
        <v>129.9</v>
      </c>
      <c r="M2130" s="453">
        <v>45894</v>
      </c>
      <c r="N2130">
        <v>129.9</v>
      </c>
      <c r="O2130">
        <v>125</v>
      </c>
      <c r="P2130">
        <v>103.92</v>
      </c>
    </row>
    <row r="2131" spans="1:16" x14ac:dyDescent="0.3">
      <c r="A2131">
        <v>49993</v>
      </c>
      <c r="B2131">
        <v>116</v>
      </c>
      <c r="C2131" t="s">
        <v>568</v>
      </c>
      <c r="D2131" s="453">
        <v>45901</v>
      </c>
      <c r="E2131">
        <v>20246</v>
      </c>
      <c r="F2131" t="s">
        <v>3911</v>
      </c>
      <c r="G2131">
        <v>2242</v>
      </c>
      <c r="H2131">
        <v>12.5</v>
      </c>
      <c r="I2131" t="s">
        <v>3872</v>
      </c>
      <c r="J2131" t="s">
        <v>3469</v>
      </c>
      <c r="K2131" t="s">
        <v>3739</v>
      </c>
      <c r="L2131">
        <v>7.9</v>
      </c>
      <c r="M2131" s="453">
        <v>45896</v>
      </c>
      <c r="N2131">
        <v>8.1999999999999993</v>
      </c>
      <c r="O2131">
        <v>8.1999999999999993</v>
      </c>
      <c r="P2131">
        <v>98.75</v>
      </c>
    </row>
    <row r="2132" spans="1:16" x14ac:dyDescent="0.3">
      <c r="A2132">
        <v>50077</v>
      </c>
      <c r="B2132">
        <v>116</v>
      </c>
      <c r="C2132" t="s">
        <v>568</v>
      </c>
      <c r="D2132" s="453">
        <v>45901</v>
      </c>
      <c r="E2132">
        <v>22721</v>
      </c>
      <c r="F2132" t="s">
        <v>4221</v>
      </c>
      <c r="G2132">
        <v>3033</v>
      </c>
      <c r="H2132">
        <v>3</v>
      </c>
      <c r="I2132" t="s">
        <v>3892</v>
      </c>
      <c r="J2132" t="s">
        <v>3469</v>
      </c>
      <c r="K2132" t="s">
        <v>3739</v>
      </c>
      <c r="L2132">
        <v>32.9</v>
      </c>
      <c r="M2132" s="453">
        <v>45881</v>
      </c>
      <c r="N2132">
        <v>32.9</v>
      </c>
      <c r="O2132">
        <v>23.34</v>
      </c>
      <c r="P2132">
        <v>98.7</v>
      </c>
    </row>
    <row r="2133" spans="1:16" x14ac:dyDescent="0.3">
      <c r="A2133">
        <v>50086</v>
      </c>
      <c r="B2133">
        <v>116</v>
      </c>
      <c r="C2133" t="s">
        <v>568</v>
      </c>
      <c r="D2133" s="453">
        <v>45901</v>
      </c>
      <c r="E2133">
        <v>20250</v>
      </c>
      <c r="F2133" t="s">
        <v>4008</v>
      </c>
      <c r="G2133">
        <v>2241</v>
      </c>
      <c r="H2133">
        <v>2.4</v>
      </c>
      <c r="I2133" t="s">
        <v>3888</v>
      </c>
      <c r="J2133" t="s">
        <v>3469</v>
      </c>
      <c r="K2133" t="s">
        <v>3739</v>
      </c>
      <c r="L2133">
        <v>40.54</v>
      </c>
      <c r="M2133" s="453">
        <v>45895</v>
      </c>
      <c r="N2133">
        <v>40.54</v>
      </c>
      <c r="O2133">
        <v>40.54</v>
      </c>
      <c r="P2133">
        <v>97.3</v>
      </c>
    </row>
    <row r="2134" spans="1:16" x14ac:dyDescent="0.3">
      <c r="A2134">
        <v>49973</v>
      </c>
      <c r="B2134">
        <v>116</v>
      </c>
      <c r="C2134" t="s">
        <v>568</v>
      </c>
      <c r="D2134" s="453">
        <v>45901</v>
      </c>
      <c r="E2134">
        <v>24414</v>
      </c>
      <c r="F2134" t="s">
        <v>3943</v>
      </c>
      <c r="G2134">
        <v>3670</v>
      </c>
      <c r="H2134">
        <v>44</v>
      </c>
      <c r="I2134" t="s">
        <v>3872</v>
      </c>
      <c r="J2134" t="s">
        <v>3497</v>
      </c>
      <c r="K2134" t="s">
        <v>3739</v>
      </c>
      <c r="L2134">
        <v>0</v>
      </c>
      <c r="M2134" s="453">
        <v>45544</v>
      </c>
      <c r="N2134">
        <v>2.19</v>
      </c>
      <c r="O2134">
        <v>2.19</v>
      </c>
      <c r="P2134">
        <v>96.36</v>
      </c>
    </row>
    <row r="2135" spans="1:16" x14ac:dyDescent="0.3">
      <c r="A2135">
        <v>50076</v>
      </c>
      <c r="B2135">
        <v>116</v>
      </c>
      <c r="C2135" t="s">
        <v>568</v>
      </c>
      <c r="D2135" s="453">
        <v>45901</v>
      </c>
      <c r="E2135">
        <v>18702</v>
      </c>
      <c r="F2135" t="s">
        <v>4043</v>
      </c>
      <c r="G2135">
        <v>3033</v>
      </c>
      <c r="H2135">
        <v>3</v>
      </c>
      <c r="I2135" t="s">
        <v>3892</v>
      </c>
      <c r="J2135" t="s">
        <v>3469</v>
      </c>
      <c r="K2135" t="s">
        <v>3739</v>
      </c>
      <c r="L2135">
        <v>31.96</v>
      </c>
      <c r="M2135" s="453">
        <v>45895</v>
      </c>
      <c r="N2135">
        <v>31.4</v>
      </c>
      <c r="O2135">
        <v>31.4</v>
      </c>
      <c r="P2135">
        <v>95.88</v>
      </c>
    </row>
    <row r="2136" spans="1:16" x14ac:dyDescent="0.3">
      <c r="A2136">
        <v>49997</v>
      </c>
      <c r="B2136">
        <v>116</v>
      </c>
      <c r="C2136" t="s">
        <v>568</v>
      </c>
      <c r="D2136" s="453">
        <v>45901</v>
      </c>
      <c r="E2136">
        <v>19415</v>
      </c>
      <c r="F2136" t="s">
        <v>3941</v>
      </c>
      <c r="G2136">
        <v>2759</v>
      </c>
      <c r="H2136">
        <v>12</v>
      </c>
      <c r="I2136" t="s">
        <v>3872</v>
      </c>
      <c r="J2136" t="s">
        <v>3469</v>
      </c>
      <c r="K2136" t="s">
        <v>3739</v>
      </c>
      <c r="L2136">
        <v>7.73</v>
      </c>
      <c r="M2136" s="453">
        <v>45888</v>
      </c>
      <c r="N2136">
        <v>7.66</v>
      </c>
      <c r="O2136">
        <v>7.68</v>
      </c>
      <c r="P2136">
        <v>92.76</v>
      </c>
    </row>
    <row r="2137" spans="1:16" x14ac:dyDescent="0.3">
      <c r="A2137">
        <v>50155</v>
      </c>
      <c r="B2137">
        <v>116</v>
      </c>
      <c r="C2137" t="s">
        <v>568</v>
      </c>
      <c r="D2137" s="453">
        <v>45901</v>
      </c>
      <c r="E2137">
        <v>18534</v>
      </c>
      <c r="F2137" t="s">
        <v>4084</v>
      </c>
      <c r="G2137">
        <v>3143</v>
      </c>
      <c r="H2137">
        <v>1</v>
      </c>
      <c r="I2137" t="s">
        <v>3878</v>
      </c>
      <c r="J2137" t="s">
        <v>3497</v>
      </c>
      <c r="K2137" t="s">
        <v>3739</v>
      </c>
      <c r="L2137">
        <v>0</v>
      </c>
      <c r="M2137" s="453">
        <v>-693593</v>
      </c>
      <c r="N2137">
        <v>0</v>
      </c>
      <c r="O2137">
        <v>72.489999999999995</v>
      </c>
      <c r="P2137">
        <v>86.89</v>
      </c>
    </row>
    <row r="2138" spans="1:16" x14ac:dyDescent="0.3">
      <c r="A2138">
        <v>50024</v>
      </c>
      <c r="B2138">
        <v>116</v>
      </c>
      <c r="C2138" t="s">
        <v>568</v>
      </c>
      <c r="D2138" s="453">
        <v>45901</v>
      </c>
      <c r="E2138">
        <v>20965</v>
      </c>
      <c r="F2138" t="s">
        <v>3969</v>
      </c>
      <c r="G2138">
        <v>2013</v>
      </c>
      <c r="H2138">
        <v>6</v>
      </c>
      <c r="I2138" t="s">
        <v>3872</v>
      </c>
      <c r="J2138" t="s">
        <v>3469</v>
      </c>
      <c r="K2138" t="s">
        <v>3739</v>
      </c>
      <c r="L2138">
        <v>0</v>
      </c>
      <c r="M2138" s="453">
        <v>45832</v>
      </c>
      <c r="N2138">
        <v>14.2</v>
      </c>
      <c r="O2138">
        <v>14.2</v>
      </c>
      <c r="P2138">
        <v>85.2</v>
      </c>
    </row>
    <row r="2139" spans="1:16" x14ac:dyDescent="0.3">
      <c r="A2139">
        <v>50021</v>
      </c>
      <c r="B2139">
        <v>116</v>
      </c>
      <c r="C2139" t="s">
        <v>568</v>
      </c>
      <c r="D2139" s="453">
        <v>45901</v>
      </c>
      <c r="E2139">
        <v>18447</v>
      </c>
      <c r="F2139" t="s">
        <v>4027</v>
      </c>
      <c r="G2139">
        <v>3204</v>
      </c>
      <c r="H2139">
        <v>6.5</v>
      </c>
      <c r="I2139" t="s">
        <v>3878</v>
      </c>
      <c r="J2139" t="s">
        <v>3497</v>
      </c>
      <c r="K2139" t="s">
        <v>3739</v>
      </c>
      <c r="L2139">
        <v>12.92</v>
      </c>
      <c r="M2139" s="453">
        <v>45894</v>
      </c>
      <c r="N2139">
        <v>12.92</v>
      </c>
      <c r="O2139">
        <v>12.92</v>
      </c>
      <c r="P2139">
        <v>83.98</v>
      </c>
    </row>
    <row r="2140" spans="1:16" x14ac:dyDescent="0.3">
      <c r="A2140">
        <v>50080</v>
      </c>
      <c r="B2140">
        <v>116</v>
      </c>
      <c r="C2140" t="s">
        <v>568</v>
      </c>
      <c r="D2140" s="453">
        <v>45901</v>
      </c>
      <c r="E2140">
        <v>22338</v>
      </c>
      <c r="F2140" t="s">
        <v>3947</v>
      </c>
      <c r="G2140">
        <v>3376</v>
      </c>
      <c r="H2140">
        <v>2.8</v>
      </c>
      <c r="I2140" t="s">
        <v>3872</v>
      </c>
      <c r="J2140" t="s">
        <v>3497</v>
      </c>
      <c r="K2140" t="s">
        <v>3739</v>
      </c>
      <c r="L2140">
        <v>0</v>
      </c>
      <c r="M2140" s="453">
        <v>45659</v>
      </c>
      <c r="N2140">
        <v>29.97</v>
      </c>
      <c r="O2140">
        <v>28.97</v>
      </c>
      <c r="P2140">
        <v>83.92</v>
      </c>
    </row>
    <row r="2141" spans="1:16" x14ac:dyDescent="0.3">
      <c r="A2141">
        <v>50164</v>
      </c>
      <c r="B2141">
        <v>116</v>
      </c>
      <c r="C2141" t="s">
        <v>568</v>
      </c>
      <c r="D2141" s="453">
        <v>45901</v>
      </c>
      <c r="E2141">
        <v>18359</v>
      </c>
      <c r="F2141" t="s">
        <v>4029</v>
      </c>
      <c r="G2141">
        <v>3278</v>
      </c>
      <c r="H2141">
        <v>0.9</v>
      </c>
      <c r="I2141" t="s">
        <v>3878</v>
      </c>
      <c r="J2141" t="s">
        <v>3497</v>
      </c>
      <c r="K2141" t="s">
        <v>3739</v>
      </c>
      <c r="L2141">
        <v>92</v>
      </c>
      <c r="M2141" s="453">
        <v>45873</v>
      </c>
      <c r="N2141">
        <v>92</v>
      </c>
      <c r="O2141">
        <v>99.9</v>
      </c>
      <c r="P2141">
        <v>82.8</v>
      </c>
    </row>
    <row r="2142" spans="1:16" x14ac:dyDescent="0.3">
      <c r="A2142">
        <v>49998</v>
      </c>
      <c r="B2142">
        <v>116</v>
      </c>
      <c r="C2142" t="s">
        <v>568</v>
      </c>
      <c r="D2142" s="453">
        <v>45901</v>
      </c>
      <c r="E2142">
        <v>20661</v>
      </c>
      <c r="F2142" t="s">
        <v>3919</v>
      </c>
      <c r="G2142">
        <v>2110</v>
      </c>
      <c r="H2142">
        <v>11</v>
      </c>
      <c r="I2142" t="s">
        <v>3872</v>
      </c>
      <c r="J2142" t="s">
        <v>3469</v>
      </c>
      <c r="K2142" t="s">
        <v>3739</v>
      </c>
      <c r="L2142">
        <v>6.96</v>
      </c>
      <c r="M2142" s="453">
        <v>45894</v>
      </c>
      <c r="N2142">
        <v>0</v>
      </c>
      <c r="O2142">
        <v>9.2899999999999991</v>
      </c>
      <c r="P2142">
        <v>76.56</v>
      </c>
    </row>
    <row r="2143" spans="1:16" x14ac:dyDescent="0.3">
      <c r="A2143">
        <v>49978</v>
      </c>
      <c r="B2143">
        <v>116</v>
      </c>
      <c r="C2143" t="s">
        <v>568</v>
      </c>
      <c r="D2143" s="453">
        <v>45901</v>
      </c>
      <c r="E2143">
        <v>16973</v>
      </c>
      <c r="F2143" t="s">
        <v>4455</v>
      </c>
      <c r="G2143">
        <v>3710</v>
      </c>
      <c r="H2143">
        <v>0.56000000000000005</v>
      </c>
      <c r="I2143" t="s">
        <v>3881</v>
      </c>
      <c r="J2143" t="s">
        <v>3497</v>
      </c>
      <c r="K2143" t="s">
        <v>3739</v>
      </c>
      <c r="L2143">
        <v>0</v>
      </c>
      <c r="M2143" s="453">
        <v>45818</v>
      </c>
      <c r="N2143">
        <v>135</v>
      </c>
      <c r="O2143">
        <v>135</v>
      </c>
      <c r="P2143">
        <v>75.599999999999994</v>
      </c>
    </row>
    <row r="2144" spans="1:16" x14ac:dyDescent="0.3">
      <c r="A2144">
        <v>50055</v>
      </c>
      <c r="B2144">
        <v>116</v>
      </c>
      <c r="C2144" t="s">
        <v>568</v>
      </c>
      <c r="D2144" s="453">
        <v>45901</v>
      </c>
      <c r="E2144">
        <v>17609</v>
      </c>
      <c r="F2144" t="s">
        <v>4038</v>
      </c>
      <c r="G2144">
        <v>3917</v>
      </c>
      <c r="H2144">
        <v>4</v>
      </c>
      <c r="I2144" t="s">
        <v>3878</v>
      </c>
      <c r="J2144" t="s">
        <v>3497</v>
      </c>
      <c r="K2144" t="s">
        <v>3739</v>
      </c>
      <c r="L2144">
        <v>0</v>
      </c>
      <c r="M2144" s="453">
        <v>45573</v>
      </c>
      <c r="N2144">
        <v>18.899999999999999</v>
      </c>
      <c r="O2144">
        <v>18.899999999999999</v>
      </c>
      <c r="P2144">
        <v>75.599999999999994</v>
      </c>
    </row>
    <row r="2145" spans="1:16" x14ac:dyDescent="0.3">
      <c r="A2145">
        <v>50092</v>
      </c>
      <c r="B2145">
        <v>116</v>
      </c>
      <c r="C2145" t="s">
        <v>568</v>
      </c>
      <c r="D2145" s="453">
        <v>45901</v>
      </c>
      <c r="E2145">
        <v>20117</v>
      </c>
      <c r="F2145" t="s">
        <v>4010</v>
      </c>
      <c r="G2145">
        <v>2291</v>
      </c>
      <c r="H2145">
        <v>2</v>
      </c>
      <c r="I2145" t="s">
        <v>3872</v>
      </c>
      <c r="J2145" t="s">
        <v>3469</v>
      </c>
      <c r="K2145" t="s">
        <v>3739</v>
      </c>
      <c r="L2145">
        <v>37.5</v>
      </c>
      <c r="M2145" s="453">
        <v>45895</v>
      </c>
      <c r="N2145">
        <v>37.5</v>
      </c>
      <c r="O2145">
        <v>37.86</v>
      </c>
      <c r="P2145">
        <v>75</v>
      </c>
    </row>
    <row r="2146" spans="1:16" x14ac:dyDescent="0.3">
      <c r="A2146">
        <v>49975</v>
      </c>
      <c r="B2146">
        <v>116</v>
      </c>
      <c r="C2146" t="s">
        <v>568</v>
      </c>
      <c r="D2146" s="453">
        <v>45901</v>
      </c>
      <c r="E2146">
        <v>22044</v>
      </c>
      <c r="F2146" t="s">
        <v>3928</v>
      </c>
      <c r="G2146">
        <v>3656</v>
      </c>
      <c r="H2146">
        <v>33</v>
      </c>
      <c r="I2146" t="s">
        <v>3872</v>
      </c>
      <c r="J2146" t="s">
        <v>3497</v>
      </c>
      <c r="K2146" t="s">
        <v>3739</v>
      </c>
      <c r="L2146">
        <v>0</v>
      </c>
      <c r="M2146" s="453">
        <v>45677</v>
      </c>
      <c r="N2146">
        <v>2.19</v>
      </c>
      <c r="O2146">
        <v>2.04</v>
      </c>
      <c r="P2146">
        <v>72.27</v>
      </c>
    </row>
    <row r="2147" spans="1:16" x14ac:dyDescent="0.3">
      <c r="A2147">
        <v>50023</v>
      </c>
      <c r="B2147">
        <v>116</v>
      </c>
      <c r="C2147" t="s">
        <v>568</v>
      </c>
      <c r="D2147" s="453">
        <v>45901</v>
      </c>
      <c r="E2147">
        <v>26193</v>
      </c>
      <c r="F2147" t="s">
        <v>3950</v>
      </c>
      <c r="G2147">
        <v>6616</v>
      </c>
      <c r="H2147">
        <v>6</v>
      </c>
      <c r="I2147" t="s">
        <v>3872</v>
      </c>
      <c r="J2147" t="s">
        <v>3469</v>
      </c>
      <c r="K2147" t="s">
        <v>3739</v>
      </c>
      <c r="L2147">
        <v>0</v>
      </c>
      <c r="M2147" s="453">
        <v>-693593</v>
      </c>
      <c r="N2147">
        <v>0</v>
      </c>
      <c r="O2147">
        <v>12.25</v>
      </c>
      <c r="P2147">
        <v>71.099999999999994</v>
      </c>
    </row>
    <row r="2148" spans="1:16" x14ac:dyDescent="0.3">
      <c r="A2148">
        <v>50004</v>
      </c>
      <c r="B2148">
        <v>116</v>
      </c>
      <c r="C2148" t="s">
        <v>568</v>
      </c>
      <c r="D2148" s="453">
        <v>45901</v>
      </c>
      <c r="E2148">
        <v>24227</v>
      </c>
      <c r="F2148" t="s">
        <v>3970</v>
      </c>
      <c r="G2148">
        <v>3648</v>
      </c>
      <c r="H2148">
        <v>10</v>
      </c>
      <c r="I2148" t="s">
        <v>3872</v>
      </c>
      <c r="J2148" t="s">
        <v>3497</v>
      </c>
      <c r="K2148" t="s">
        <v>3739</v>
      </c>
      <c r="L2148">
        <v>0</v>
      </c>
      <c r="M2148" s="453">
        <v>-693593</v>
      </c>
      <c r="N2148">
        <v>0</v>
      </c>
      <c r="O2148">
        <v>26.22</v>
      </c>
      <c r="P2148">
        <v>68.2</v>
      </c>
    </row>
    <row r="2149" spans="1:16" x14ac:dyDescent="0.3">
      <c r="A2149">
        <v>50044</v>
      </c>
      <c r="B2149">
        <v>116</v>
      </c>
      <c r="C2149" t="s">
        <v>568</v>
      </c>
      <c r="D2149" s="453">
        <v>45901</v>
      </c>
      <c r="E2149">
        <v>25720</v>
      </c>
      <c r="F2149" t="s">
        <v>3926</v>
      </c>
      <c r="G2149">
        <v>2197</v>
      </c>
      <c r="H2149">
        <v>4</v>
      </c>
      <c r="I2149" t="s">
        <v>3892</v>
      </c>
      <c r="J2149" t="s">
        <v>3469</v>
      </c>
      <c r="K2149" t="s">
        <v>3739</v>
      </c>
      <c r="L2149">
        <v>0</v>
      </c>
      <c r="M2149" s="453">
        <v>-693593</v>
      </c>
      <c r="N2149">
        <v>0</v>
      </c>
      <c r="O2149">
        <v>0</v>
      </c>
      <c r="P2149">
        <v>67.599999999999994</v>
      </c>
    </row>
    <row r="2150" spans="1:16" x14ac:dyDescent="0.3">
      <c r="A2150">
        <v>50151</v>
      </c>
      <c r="B2150">
        <v>116</v>
      </c>
      <c r="C2150" t="s">
        <v>568</v>
      </c>
      <c r="D2150" s="453">
        <v>45901</v>
      </c>
      <c r="E2150">
        <v>19264</v>
      </c>
      <c r="F2150" t="s">
        <v>4082</v>
      </c>
      <c r="G2150">
        <v>2781</v>
      </c>
      <c r="H2150">
        <v>1</v>
      </c>
      <c r="I2150" t="s">
        <v>3888</v>
      </c>
      <c r="J2150" t="s">
        <v>3469</v>
      </c>
      <c r="K2150" t="s">
        <v>3739</v>
      </c>
      <c r="L2150">
        <v>67.25</v>
      </c>
      <c r="M2150" s="453">
        <v>45888</v>
      </c>
      <c r="N2150">
        <v>66</v>
      </c>
      <c r="O2150">
        <v>61.45</v>
      </c>
      <c r="P2150">
        <v>67.25</v>
      </c>
    </row>
    <row r="2151" spans="1:16" x14ac:dyDescent="0.3">
      <c r="A2151">
        <v>50119</v>
      </c>
      <c r="B2151">
        <v>116</v>
      </c>
      <c r="C2151" t="s">
        <v>568</v>
      </c>
      <c r="D2151" s="453">
        <v>45901</v>
      </c>
      <c r="E2151">
        <v>20702</v>
      </c>
      <c r="F2151" t="s">
        <v>4006</v>
      </c>
      <c r="G2151">
        <v>2101</v>
      </c>
      <c r="H2151">
        <v>1.4</v>
      </c>
      <c r="I2151" t="s">
        <v>3966</v>
      </c>
      <c r="J2151" t="s">
        <v>3469</v>
      </c>
      <c r="K2151" t="s">
        <v>3739</v>
      </c>
      <c r="L2151">
        <v>47.45</v>
      </c>
      <c r="M2151" s="453">
        <v>45888</v>
      </c>
      <c r="N2151">
        <v>42.9</v>
      </c>
      <c r="O2151">
        <v>42.9</v>
      </c>
      <c r="P2151">
        <v>66.430000000000007</v>
      </c>
    </row>
    <row r="2152" spans="1:16" x14ac:dyDescent="0.3">
      <c r="A2152">
        <v>50067</v>
      </c>
      <c r="B2152">
        <v>116</v>
      </c>
      <c r="C2152" t="s">
        <v>568</v>
      </c>
      <c r="D2152" s="453">
        <v>45901</v>
      </c>
      <c r="E2152">
        <v>24456</v>
      </c>
      <c r="F2152" t="s">
        <v>4048</v>
      </c>
      <c r="G2152">
        <v>1965</v>
      </c>
      <c r="H2152">
        <v>3</v>
      </c>
      <c r="I2152" t="s">
        <v>3892</v>
      </c>
      <c r="J2152" t="s">
        <v>3469</v>
      </c>
      <c r="K2152" t="s">
        <v>3739</v>
      </c>
      <c r="L2152">
        <v>0</v>
      </c>
      <c r="M2152" s="453">
        <v>45826</v>
      </c>
      <c r="N2152">
        <v>21.76</v>
      </c>
      <c r="O2152">
        <v>29.83</v>
      </c>
      <c r="P2152">
        <v>65.28</v>
      </c>
    </row>
    <row r="2153" spans="1:16" x14ac:dyDescent="0.3">
      <c r="A2153">
        <v>50065</v>
      </c>
      <c r="B2153">
        <v>116</v>
      </c>
      <c r="C2153" t="s">
        <v>568</v>
      </c>
      <c r="D2153" s="453">
        <v>45901</v>
      </c>
      <c r="E2153">
        <v>24328</v>
      </c>
      <c r="F2153" t="s">
        <v>4456</v>
      </c>
      <c r="G2153">
        <v>2146</v>
      </c>
      <c r="H2153">
        <v>3.1</v>
      </c>
      <c r="I2153" t="s">
        <v>3892</v>
      </c>
      <c r="J2153" t="s">
        <v>3469</v>
      </c>
      <c r="K2153" t="s">
        <v>3739</v>
      </c>
      <c r="L2153">
        <v>0</v>
      </c>
      <c r="M2153" s="453">
        <v>-693593</v>
      </c>
      <c r="N2153">
        <v>0</v>
      </c>
      <c r="O2153">
        <v>20.9</v>
      </c>
      <c r="P2153">
        <v>64.790000000000006</v>
      </c>
    </row>
    <row r="2154" spans="1:16" x14ac:dyDescent="0.3">
      <c r="A2154">
        <v>50047</v>
      </c>
      <c r="B2154">
        <v>116</v>
      </c>
      <c r="C2154" t="s">
        <v>568</v>
      </c>
      <c r="D2154" s="453">
        <v>45901</v>
      </c>
      <c r="E2154">
        <v>19979</v>
      </c>
      <c r="F2154" t="s">
        <v>4295</v>
      </c>
      <c r="G2154">
        <v>2353</v>
      </c>
      <c r="H2154">
        <v>4</v>
      </c>
      <c r="I2154" t="s">
        <v>3931</v>
      </c>
      <c r="J2154" t="s">
        <v>3469</v>
      </c>
      <c r="K2154" t="s">
        <v>3739</v>
      </c>
      <c r="L2154">
        <v>0</v>
      </c>
      <c r="M2154" s="453">
        <v>45790</v>
      </c>
      <c r="N2154">
        <v>16</v>
      </c>
      <c r="O2154">
        <v>18.98</v>
      </c>
      <c r="P2154">
        <v>64</v>
      </c>
    </row>
    <row r="2155" spans="1:16" x14ac:dyDescent="0.3">
      <c r="A2155">
        <v>50108</v>
      </c>
      <c r="B2155">
        <v>116</v>
      </c>
      <c r="C2155" t="s">
        <v>568</v>
      </c>
      <c r="D2155" s="453">
        <v>45901</v>
      </c>
      <c r="E2155">
        <v>20717</v>
      </c>
      <c r="F2155" t="s">
        <v>4055</v>
      </c>
      <c r="G2155">
        <v>2097</v>
      </c>
      <c r="H2155">
        <v>1.5</v>
      </c>
      <c r="I2155" t="s">
        <v>3872</v>
      </c>
      <c r="J2155" t="s">
        <v>3469</v>
      </c>
      <c r="K2155" t="s">
        <v>3739</v>
      </c>
      <c r="L2155">
        <v>42.58</v>
      </c>
      <c r="M2155" s="453">
        <v>45881</v>
      </c>
      <c r="N2155">
        <v>42.58</v>
      </c>
      <c r="O2155">
        <v>42.58</v>
      </c>
      <c r="P2155">
        <v>63.87</v>
      </c>
    </row>
    <row r="2156" spans="1:16" x14ac:dyDescent="0.3">
      <c r="A2156">
        <v>50020</v>
      </c>
      <c r="B2156">
        <v>116</v>
      </c>
      <c r="C2156" t="s">
        <v>568</v>
      </c>
      <c r="D2156" s="453">
        <v>45901</v>
      </c>
      <c r="E2156">
        <v>19740</v>
      </c>
      <c r="F2156" t="s">
        <v>3933</v>
      </c>
      <c r="G2156">
        <v>2513</v>
      </c>
      <c r="H2156">
        <v>7</v>
      </c>
      <c r="I2156" t="s">
        <v>3892</v>
      </c>
      <c r="J2156" t="s">
        <v>3469</v>
      </c>
      <c r="K2156" t="s">
        <v>3739</v>
      </c>
      <c r="L2156">
        <v>9.06</v>
      </c>
      <c r="M2156" s="453">
        <v>45897</v>
      </c>
      <c r="N2156">
        <v>10.16</v>
      </c>
      <c r="O2156">
        <v>9.1</v>
      </c>
      <c r="P2156">
        <v>63.42</v>
      </c>
    </row>
    <row r="2157" spans="1:16" x14ac:dyDescent="0.3">
      <c r="A2157">
        <v>50107</v>
      </c>
      <c r="B2157">
        <v>116</v>
      </c>
      <c r="C2157" t="s">
        <v>568</v>
      </c>
      <c r="D2157" s="453">
        <v>45901</v>
      </c>
      <c r="E2157">
        <v>20057</v>
      </c>
      <c r="F2157" t="s">
        <v>3967</v>
      </c>
      <c r="G2157">
        <v>2324</v>
      </c>
      <c r="H2157">
        <v>1.5</v>
      </c>
      <c r="I2157" t="s">
        <v>3872</v>
      </c>
      <c r="J2157" t="s">
        <v>3469</v>
      </c>
      <c r="K2157" t="s">
        <v>3739</v>
      </c>
      <c r="L2157">
        <v>41.69</v>
      </c>
      <c r="M2157" s="453">
        <v>45894</v>
      </c>
      <c r="N2157">
        <v>41.69</v>
      </c>
      <c r="O2157">
        <v>41</v>
      </c>
      <c r="P2157">
        <v>62.54</v>
      </c>
    </row>
    <row r="2158" spans="1:16" x14ac:dyDescent="0.3">
      <c r="A2158">
        <v>50101</v>
      </c>
      <c r="B2158">
        <v>116</v>
      </c>
      <c r="C2158" t="s">
        <v>568</v>
      </c>
      <c r="D2158" s="453">
        <v>45901</v>
      </c>
      <c r="E2158">
        <v>17914</v>
      </c>
      <c r="F2158" t="s">
        <v>3997</v>
      </c>
      <c r="G2158">
        <v>3649</v>
      </c>
      <c r="H2158">
        <v>2</v>
      </c>
      <c r="I2158" t="s">
        <v>3888</v>
      </c>
      <c r="J2158" t="s">
        <v>3497</v>
      </c>
      <c r="K2158" t="s">
        <v>3739</v>
      </c>
      <c r="L2158">
        <v>0</v>
      </c>
      <c r="M2158" s="453">
        <v>45810</v>
      </c>
      <c r="N2158">
        <v>30.76</v>
      </c>
      <c r="O2158">
        <v>30.76</v>
      </c>
      <c r="P2158">
        <v>61.52</v>
      </c>
    </row>
    <row r="2159" spans="1:16" x14ac:dyDescent="0.3">
      <c r="A2159">
        <v>50109</v>
      </c>
      <c r="B2159">
        <v>116</v>
      </c>
      <c r="C2159" t="s">
        <v>568</v>
      </c>
      <c r="D2159" s="453">
        <v>45901</v>
      </c>
      <c r="E2159">
        <v>20053</v>
      </c>
      <c r="F2159" t="s">
        <v>4457</v>
      </c>
      <c r="G2159">
        <v>2326</v>
      </c>
      <c r="H2159">
        <v>1.5</v>
      </c>
      <c r="I2159" t="s">
        <v>3888</v>
      </c>
      <c r="J2159" t="s">
        <v>3469</v>
      </c>
      <c r="K2159" t="s">
        <v>3739</v>
      </c>
      <c r="L2159">
        <v>0</v>
      </c>
      <c r="M2159" s="453">
        <v>45832</v>
      </c>
      <c r="N2159">
        <v>40.200000000000003</v>
      </c>
      <c r="O2159">
        <v>40.1</v>
      </c>
      <c r="P2159">
        <v>60.3</v>
      </c>
    </row>
    <row r="2160" spans="1:16" x14ac:dyDescent="0.3">
      <c r="A2160">
        <v>50147</v>
      </c>
      <c r="B2160">
        <v>116</v>
      </c>
      <c r="C2160" t="s">
        <v>568</v>
      </c>
      <c r="D2160" s="453">
        <v>45901</v>
      </c>
      <c r="E2160">
        <v>19566</v>
      </c>
      <c r="F2160" t="s">
        <v>3986</v>
      </c>
      <c r="G2160">
        <v>2651</v>
      </c>
      <c r="H2160">
        <v>1</v>
      </c>
      <c r="I2160" t="s">
        <v>3892</v>
      </c>
      <c r="J2160" t="s">
        <v>3469</v>
      </c>
      <c r="K2160" t="s">
        <v>3739</v>
      </c>
      <c r="L2160">
        <v>60</v>
      </c>
      <c r="M2160" s="453">
        <v>45887</v>
      </c>
      <c r="N2160">
        <v>60</v>
      </c>
      <c r="O2160">
        <v>60</v>
      </c>
      <c r="P2160">
        <v>60</v>
      </c>
    </row>
    <row r="2161" spans="1:16" x14ac:dyDescent="0.3">
      <c r="A2161">
        <v>50165</v>
      </c>
      <c r="B2161">
        <v>116</v>
      </c>
      <c r="C2161" t="s">
        <v>568</v>
      </c>
      <c r="D2161" s="453">
        <v>45901</v>
      </c>
      <c r="E2161">
        <v>19478</v>
      </c>
      <c r="F2161" t="s">
        <v>4072</v>
      </c>
      <c r="G2161">
        <v>2728</v>
      </c>
      <c r="H2161">
        <v>0.8</v>
      </c>
      <c r="I2161" t="s">
        <v>3892</v>
      </c>
      <c r="J2161" t="s">
        <v>3469</v>
      </c>
      <c r="K2161" t="s">
        <v>3739</v>
      </c>
      <c r="L2161">
        <v>0</v>
      </c>
      <c r="M2161" s="453">
        <v>45810</v>
      </c>
      <c r="N2161">
        <v>75</v>
      </c>
      <c r="O2161">
        <v>43.86</v>
      </c>
      <c r="P2161">
        <v>60</v>
      </c>
    </row>
    <row r="2162" spans="1:16" x14ac:dyDescent="0.3">
      <c r="A2162">
        <v>50078</v>
      </c>
      <c r="B2162">
        <v>116</v>
      </c>
      <c r="C2162" t="s">
        <v>568</v>
      </c>
      <c r="D2162" s="453">
        <v>45901</v>
      </c>
      <c r="E2162">
        <v>18696</v>
      </c>
      <c r="F2162" t="s">
        <v>3956</v>
      </c>
      <c r="G2162">
        <v>3035</v>
      </c>
      <c r="H2162">
        <v>3</v>
      </c>
      <c r="I2162" t="s">
        <v>3892</v>
      </c>
      <c r="J2162" t="s">
        <v>3469</v>
      </c>
      <c r="K2162" t="s">
        <v>3739</v>
      </c>
      <c r="L2162">
        <v>19.84</v>
      </c>
      <c r="M2162" s="453">
        <v>45898</v>
      </c>
      <c r="N2162">
        <v>17.989999999999998</v>
      </c>
      <c r="O2162">
        <v>17.989999999999998</v>
      </c>
      <c r="P2162">
        <v>59.52</v>
      </c>
    </row>
    <row r="2163" spans="1:16" x14ac:dyDescent="0.3">
      <c r="A2163">
        <v>50094</v>
      </c>
      <c r="B2163">
        <v>116</v>
      </c>
      <c r="C2163" t="s">
        <v>568</v>
      </c>
      <c r="D2163" s="453">
        <v>45901</v>
      </c>
      <c r="E2163">
        <v>19649</v>
      </c>
      <c r="F2163" t="s">
        <v>4015</v>
      </c>
      <c r="G2163">
        <v>2589</v>
      </c>
      <c r="H2163">
        <v>2</v>
      </c>
      <c r="I2163" t="s">
        <v>3892</v>
      </c>
      <c r="J2163" t="s">
        <v>3469</v>
      </c>
      <c r="K2163" t="s">
        <v>3739</v>
      </c>
      <c r="L2163">
        <v>0</v>
      </c>
      <c r="M2163" s="453">
        <v>45831</v>
      </c>
      <c r="N2163">
        <v>29</v>
      </c>
      <c r="O2163">
        <v>23.5</v>
      </c>
      <c r="P2163">
        <v>58</v>
      </c>
    </row>
    <row r="2164" spans="1:16" x14ac:dyDescent="0.3">
      <c r="A2164">
        <v>50118</v>
      </c>
      <c r="B2164">
        <v>116</v>
      </c>
      <c r="C2164" t="s">
        <v>568</v>
      </c>
      <c r="D2164" s="453">
        <v>45901</v>
      </c>
      <c r="E2164">
        <v>17896</v>
      </c>
      <c r="F2164" t="s">
        <v>3972</v>
      </c>
      <c r="G2164">
        <v>3664</v>
      </c>
      <c r="H2164">
        <v>1.5</v>
      </c>
      <c r="I2164" t="s">
        <v>3888</v>
      </c>
      <c r="J2164" t="s">
        <v>3497</v>
      </c>
      <c r="K2164" t="s">
        <v>3739</v>
      </c>
      <c r="L2164">
        <v>0</v>
      </c>
      <c r="M2164" s="453">
        <v>45854</v>
      </c>
      <c r="N2164">
        <v>38.64</v>
      </c>
      <c r="O2164">
        <v>38.64</v>
      </c>
      <c r="P2164">
        <v>57.96</v>
      </c>
    </row>
    <row r="2165" spans="1:16" x14ac:dyDescent="0.3">
      <c r="A2165">
        <v>50001</v>
      </c>
      <c r="B2165">
        <v>116</v>
      </c>
      <c r="C2165" t="s">
        <v>568</v>
      </c>
      <c r="D2165" s="453">
        <v>45901</v>
      </c>
      <c r="E2165">
        <v>19420</v>
      </c>
      <c r="F2165" t="s">
        <v>3899</v>
      </c>
      <c r="G2165">
        <v>2758</v>
      </c>
      <c r="H2165">
        <v>10</v>
      </c>
      <c r="I2165" t="s">
        <v>3872</v>
      </c>
      <c r="J2165" t="s">
        <v>3469</v>
      </c>
      <c r="K2165" t="s">
        <v>3739</v>
      </c>
      <c r="L2165">
        <v>0</v>
      </c>
      <c r="M2165" s="453">
        <v>45845</v>
      </c>
      <c r="N2165">
        <v>5.79</v>
      </c>
      <c r="O2165">
        <v>5.79</v>
      </c>
      <c r="P2165">
        <v>57.9</v>
      </c>
    </row>
    <row r="2166" spans="1:16" x14ac:dyDescent="0.3">
      <c r="A2166">
        <v>50009</v>
      </c>
      <c r="B2166">
        <v>116</v>
      </c>
      <c r="C2166" t="s">
        <v>568</v>
      </c>
      <c r="D2166" s="453">
        <v>45901</v>
      </c>
      <c r="E2166">
        <v>24226</v>
      </c>
      <c r="F2166" t="s">
        <v>3998</v>
      </c>
      <c r="G2166">
        <v>3647</v>
      </c>
      <c r="H2166">
        <v>9</v>
      </c>
      <c r="I2166" t="s">
        <v>3872</v>
      </c>
      <c r="J2166" t="s">
        <v>3497</v>
      </c>
      <c r="K2166" t="s">
        <v>3739</v>
      </c>
      <c r="L2166">
        <v>0</v>
      </c>
      <c r="M2166" s="453">
        <v>45355</v>
      </c>
      <c r="N2166">
        <v>6.42</v>
      </c>
      <c r="O2166">
        <v>6.82</v>
      </c>
      <c r="P2166">
        <v>57.75</v>
      </c>
    </row>
    <row r="2167" spans="1:16" x14ac:dyDescent="0.3">
      <c r="A2167">
        <v>50145</v>
      </c>
      <c r="B2167">
        <v>116</v>
      </c>
      <c r="C2167" t="s">
        <v>568</v>
      </c>
      <c r="D2167" s="453">
        <v>45901</v>
      </c>
      <c r="E2167">
        <v>19583</v>
      </c>
      <c r="F2167" t="s">
        <v>4076</v>
      </c>
      <c r="G2167">
        <v>2639</v>
      </c>
      <c r="H2167">
        <v>1</v>
      </c>
      <c r="I2167" t="s">
        <v>3892</v>
      </c>
      <c r="J2167" t="s">
        <v>3469</v>
      </c>
      <c r="K2167" t="s">
        <v>3739</v>
      </c>
      <c r="L2167">
        <v>57.6</v>
      </c>
      <c r="M2167" s="453">
        <v>45887</v>
      </c>
      <c r="N2167">
        <v>57.6</v>
      </c>
      <c r="O2167">
        <v>42.6</v>
      </c>
      <c r="P2167">
        <v>57.6</v>
      </c>
    </row>
    <row r="2168" spans="1:16" x14ac:dyDescent="0.3">
      <c r="A2168">
        <v>50100</v>
      </c>
      <c r="B2168">
        <v>116</v>
      </c>
      <c r="C2168" t="s">
        <v>568</v>
      </c>
      <c r="D2168" s="453">
        <v>45901</v>
      </c>
      <c r="E2168">
        <v>18030</v>
      </c>
      <c r="F2168" t="s">
        <v>4033</v>
      </c>
      <c r="G2168">
        <v>3568</v>
      </c>
      <c r="H2168">
        <v>2</v>
      </c>
      <c r="I2168" t="s">
        <v>3878</v>
      </c>
      <c r="J2168" t="s">
        <v>3497</v>
      </c>
      <c r="K2168" t="s">
        <v>3739</v>
      </c>
      <c r="L2168">
        <v>0</v>
      </c>
      <c r="M2168" s="453">
        <v>45807</v>
      </c>
      <c r="N2168">
        <v>27.9</v>
      </c>
      <c r="O2168">
        <v>27.25</v>
      </c>
      <c r="P2168">
        <v>55.8</v>
      </c>
    </row>
    <row r="2169" spans="1:16" x14ac:dyDescent="0.3">
      <c r="A2169">
        <v>50177</v>
      </c>
      <c r="B2169">
        <v>116</v>
      </c>
      <c r="C2169" t="s">
        <v>568</v>
      </c>
      <c r="D2169" s="453">
        <v>45901</v>
      </c>
      <c r="E2169">
        <v>18589</v>
      </c>
      <c r="F2169" t="s">
        <v>4234</v>
      </c>
      <c r="G2169">
        <v>3103</v>
      </c>
      <c r="H2169">
        <v>0.5</v>
      </c>
      <c r="I2169" t="s">
        <v>3888</v>
      </c>
      <c r="J2169" t="s">
        <v>3497</v>
      </c>
      <c r="K2169" t="s">
        <v>3739</v>
      </c>
      <c r="L2169">
        <v>0</v>
      </c>
      <c r="M2169" s="453">
        <v>45789</v>
      </c>
      <c r="N2169">
        <v>110.64</v>
      </c>
      <c r="O2169">
        <v>117.84</v>
      </c>
      <c r="P2169">
        <v>55.32</v>
      </c>
    </row>
    <row r="2170" spans="1:16" x14ac:dyDescent="0.3">
      <c r="A2170">
        <v>50059</v>
      </c>
      <c r="B2170">
        <v>116</v>
      </c>
      <c r="C2170" t="s">
        <v>568</v>
      </c>
      <c r="D2170" s="453">
        <v>45901</v>
      </c>
      <c r="E2170">
        <v>19973</v>
      </c>
      <c r="F2170" t="s">
        <v>3981</v>
      </c>
      <c r="G2170">
        <v>2354</v>
      </c>
      <c r="H2170">
        <v>3.5</v>
      </c>
      <c r="I2170" t="s">
        <v>3872</v>
      </c>
      <c r="J2170" t="s">
        <v>3469</v>
      </c>
      <c r="K2170" t="s">
        <v>3739</v>
      </c>
      <c r="L2170">
        <v>15.2</v>
      </c>
      <c r="M2170" s="453">
        <v>45874</v>
      </c>
      <c r="N2170">
        <v>15.2</v>
      </c>
      <c r="O2170">
        <v>15.4</v>
      </c>
      <c r="P2170">
        <v>53.2</v>
      </c>
    </row>
    <row r="2171" spans="1:16" x14ac:dyDescent="0.3">
      <c r="A2171">
        <v>50083</v>
      </c>
      <c r="B2171">
        <v>116</v>
      </c>
      <c r="C2171" t="s">
        <v>568</v>
      </c>
      <c r="D2171" s="453">
        <v>45901</v>
      </c>
      <c r="E2171">
        <v>24185</v>
      </c>
      <c r="F2171" t="s">
        <v>4040</v>
      </c>
      <c r="G2171">
        <v>2331</v>
      </c>
      <c r="H2171">
        <v>2.5</v>
      </c>
      <c r="I2171" t="s">
        <v>3892</v>
      </c>
      <c r="J2171" t="s">
        <v>3469</v>
      </c>
      <c r="K2171" t="s">
        <v>3739</v>
      </c>
      <c r="L2171">
        <v>0</v>
      </c>
      <c r="M2171" s="453">
        <v>45818</v>
      </c>
      <c r="N2171">
        <v>21</v>
      </c>
      <c r="O2171">
        <v>23.1</v>
      </c>
      <c r="P2171">
        <v>52.5</v>
      </c>
    </row>
    <row r="2172" spans="1:16" x14ac:dyDescent="0.3">
      <c r="A2172">
        <v>50084</v>
      </c>
      <c r="B2172">
        <v>116</v>
      </c>
      <c r="C2172" t="s">
        <v>568</v>
      </c>
      <c r="D2172" s="453">
        <v>45901</v>
      </c>
      <c r="E2172">
        <v>20234</v>
      </c>
      <c r="F2172" t="s">
        <v>3979</v>
      </c>
      <c r="G2172">
        <v>2245</v>
      </c>
      <c r="H2172">
        <v>2.5</v>
      </c>
      <c r="I2172" t="s">
        <v>3892</v>
      </c>
      <c r="J2172" t="s">
        <v>3469</v>
      </c>
      <c r="K2172" t="s">
        <v>3739</v>
      </c>
      <c r="L2172">
        <v>20.9</v>
      </c>
      <c r="M2172" s="453">
        <v>45888</v>
      </c>
      <c r="N2172">
        <v>20.9</v>
      </c>
      <c r="O2172">
        <v>20.9</v>
      </c>
      <c r="P2172">
        <v>52.25</v>
      </c>
    </row>
    <row r="2173" spans="1:16" x14ac:dyDescent="0.3">
      <c r="A2173">
        <v>50133</v>
      </c>
      <c r="B2173">
        <v>116</v>
      </c>
      <c r="C2173" t="s">
        <v>568</v>
      </c>
      <c r="D2173" s="453">
        <v>45901</v>
      </c>
      <c r="E2173">
        <v>20954</v>
      </c>
      <c r="F2173" t="s">
        <v>4452</v>
      </c>
      <c r="G2173">
        <v>2021</v>
      </c>
      <c r="H2173">
        <v>1</v>
      </c>
      <c r="I2173" t="s">
        <v>3878</v>
      </c>
      <c r="J2173" t="s">
        <v>3469</v>
      </c>
      <c r="K2173" t="s">
        <v>3739</v>
      </c>
      <c r="L2173">
        <v>0</v>
      </c>
      <c r="M2173" s="453">
        <v>45845</v>
      </c>
      <c r="N2173">
        <v>48.9</v>
      </c>
      <c r="O2173">
        <v>45.99</v>
      </c>
      <c r="P2173">
        <v>48.9</v>
      </c>
    </row>
    <row r="2174" spans="1:16" x14ac:dyDescent="0.3">
      <c r="A2174">
        <v>50025</v>
      </c>
      <c r="B2174">
        <v>116</v>
      </c>
      <c r="C2174" t="s">
        <v>568</v>
      </c>
      <c r="D2174" s="453">
        <v>45901</v>
      </c>
      <c r="E2174">
        <v>17093</v>
      </c>
      <c r="F2174" t="s">
        <v>3993</v>
      </c>
      <c r="G2174">
        <v>4165</v>
      </c>
      <c r="H2174">
        <v>6</v>
      </c>
      <c r="I2174" t="s">
        <v>3888</v>
      </c>
      <c r="J2174" t="s">
        <v>3497</v>
      </c>
      <c r="K2174" t="s">
        <v>3739</v>
      </c>
      <c r="L2174">
        <v>0</v>
      </c>
      <c r="M2174" s="453">
        <v>45803</v>
      </c>
      <c r="N2174">
        <v>8</v>
      </c>
      <c r="O2174">
        <v>8</v>
      </c>
      <c r="P2174">
        <v>48</v>
      </c>
    </row>
    <row r="2175" spans="1:16" x14ac:dyDescent="0.3">
      <c r="A2175">
        <v>50003</v>
      </c>
      <c r="B2175">
        <v>116</v>
      </c>
      <c r="C2175" t="s">
        <v>568</v>
      </c>
      <c r="D2175" s="453">
        <v>45901</v>
      </c>
      <c r="E2175">
        <v>24002</v>
      </c>
      <c r="F2175" t="s">
        <v>3924</v>
      </c>
      <c r="G2175">
        <v>3614</v>
      </c>
      <c r="H2175">
        <v>10</v>
      </c>
      <c r="I2175" t="s">
        <v>3872</v>
      </c>
      <c r="J2175" t="s">
        <v>3497</v>
      </c>
      <c r="K2175" t="s">
        <v>3739</v>
      </c>
      <c r="L2175">
        <v>0</v>
      </c>
      <c r="M2175" s="453">
        <v>45811</v>
      </c>
      <c r="N2175">
        <v>4.6900000000000004</v>
      </c>
      <c r="O2175">
        <v>6.8</v>
      </c>
      <c r="P2175">
        <v>46.9</v>
      </c>
    </row>
    <row r="2176" spans="1:16" x14ac:dyDescent="0.3">
      <c r="A2176">
        <v>50167</v>
      </c>
      <c r="B2176">
        <v>116</v>
      </c>
      <c r="C2176" t="s">
        <v>568</v>
      </c>
      <c r="D2176" s="453">
        <v>45901</v>
      </c>
      <c r="E2176">
        <v>20466</v>
      </c>
      <c r="F2176" t="s">
        <v>4098</v>
      </c>
      <c r="G2176">
        <v>2160</v>
      </c>
      <c r="H2176">
        <v>0.72</v>
      </c>
      <c r="I2176" t="s">
        <v>3892</v>
      </c>
      <c r="J2176" t="s">
        <v>3469</v>
      </c>
      <c r="K2176" t="s">
        <v>3739</v>
      </c>
      <c r="L2176">
        <v>0</v>
      </c>
      <c r="M2176" s="453">
        <v>45854</v>
      </c>
      <c r="N2176">
        <v>65</v>
      </c>
      <c r="O2176">
        <v>65</v>
      </c>
      <c r="P2176">
        <v>46.8</v>
      </c>
    </row>
    <row r="2177" spans="1:16" x14ac:dyDescent="0.3">
      <c r="A2177">
        <v>50098</v>
      </c>
      <c r="B2177">
        <v>116</v>
      </c>
      <c r="C2177" t="s">
        <v>568</v>
      </c>
      <c r="D2177" s="453">
        <v>45901</v>
      </c>
      <c r="E2177">
        <v>23234</v>
      </c>
      <c r="F2177" t="s">
        <v>4018</v>
      </c>
      <c r="G2177">
        <v>2622</v>
      </c>
      <c r="H2177">
        <v>2</v>
      </c>
      <c r="I2177" t="s">
        <v>3892</v>
      </c>
      <c r="J2177" t="s">
        <v>3469</v>
      </c>
      <c r="K2177" t="s">
        <v>3739</v>
      </c>
      <c r="L2177">
        <v>22.66</v>
      </c>
      <c r="M2177" s="453">
        <v>45897</v>
      </c>
      <c r="N2177">
        <v>23</v>
      </c>
      <c r="O2177">
        <v>23</v>
      </c>
      <c r="P2177">
        <v>45.32</v>
      </c>
    </row>
    <row r="2178" spans="1:16" x14ac:dyDescent="0.3">
      <c r="A2178">
        <v>50148</v>
      </c>
      <c r="B2178">
        <v>116</v>
      </c>
      <c r="C2178" t="s">
        <v>568</v>
      </c>
      <c r="D2178" s="453">
        <v>45901</v>
      </c>
      <c r="E2178">
        <v>19565</v>
      </c>
      <c r="F2178" t="s">
        <v>3987</v>
      </c>
      <c r="G2178">
        <v>2652</v>
      </c>
      <c r="H2178">
        <v>1</v>
      </c>
      <c r="I2178" t="s">
        <v>3892</v>
      </c>
      <c r="J2178" t="s">
        <v>3469</v>
      </c>
      <c r="K2178" t="s">
        <v>3739</v>
      </c>
      <c r="L2178">
        <v>45</v>
      </c>
      <c r="M2178" s="453">
        <v>45887</v>
      </c>
      <c r="N2178">
        <v>45</v>
      </c>
      <c r="O2178">
        <v>45</v>
      </c>
      <c r="P2178">
        <v>45</v>
      </c>
    </row>
    <row r="2179" spans="1:16" x14ac:dyDescent="0.3">
      <c r="A2179">
        <v>50154</v>
      </c>
      <c r="B2179">
        <v>116</v>
      </c>
      <c r="C2179" t="s">
        <v>568</v>
      </c>
      <c r="D2179" s="453">
        <v>45901</v>
      </c>
      <c r="E2179">
        <v>18545</v>
      </c>
      <c r="F2179" t="s">
        <v>4099</v>
      </c>
      <c r="G2179">
        <v>3134</v>
      </c>
      <c r="H2179">
        <v>1</v>
      </c>
      <c r="I2179" t="s">
        <v>3878</v>
      </c>
      <c r="J2179" t="s">
        <v>3497</v>
      </c>
      <c r="K2179" t="s">
        <v>3739</v>
      </c>
      <c r="L2179">
        <v>0</v>
      </c>
      <c r="M2179" s="453">
        <v>45860</v>
      </c>
      <c r="N2179">
        <v>44.24</v>
      </c>
      <c r="O2179">
        <v>43.99</v>
      </c>
      <c r="P2179">
        <v>44.24</v>
      </c>
    </row>
    <row r="2180" spans="1:16" x14ac:dyDescent="0.3">
      <c r="A2180">
        <v>50042</v>
      </c>
      <c r="B2180">
        <v>116</v>
      </c>
      <c r="C2180" t="s">
        <v>568</v>
      </c>
      <c r="D2180" s="453">
        <v>45901</v>
      </c>
      <c r="E2180">
        <v>19034</v>
      </c>
      <c r="F2180" t="s">
        <v>3989</v>
      </c>
      <c r="G2180">
        <v>2890</v>
      </c>
      <c r="H2180">
        <v>4.2</v>
      </c>
      <c r="I2180" t="s">
        <v>3892</v>
      </c>
      <c r="J2180" t="s">
        <v>3469</v>
      </c>
      <c r="K2180" t="s">
        <v>3739</v>
      </c>
      <c r="L2180">
        <v>10.26</v>
      </c>
      <c r="M2180" s="453">
        <v>45896</v>
      </c>
      <c r="N2180">
        <v>10</v>
      </c>
      <c r="O2180">
        <v>10</v>
      </c>
      <c r="P2180">
        <v>43.09</v>
      </c>
    </row>
    <row r="2181" spans="1:16" x14ac:dyDescent="0.3">
      <c r="A2181">
        <v>50128</v>
      </c>
      <c r="B2181">
        <v>116</v>
      </c>
      <c r="C2181" t="s">
        <v>568</v>
      </c>
      <c r="D2181" s="453">
        <v>45901</v>
      </c>
      <c r="E2181">
        <v>19967</v>
      </c>
      <c r="F2181" t="s">
        <v>3930</v>
      </c>
      <c r="G2181">
        <v>2356</v>
      </c>
      <c r="H2181">
        <v>1</v>
      </c>
      <c r="I2181" t="s">
        <v>3931</v>
      </c>
      <c r="J2181" t="s">
        <v>3469</v>
      </c>
      <c r="K2181" t="s">
        <v>3739</v>
      </c>
      <c r="L2181">
        <v>0</v>
      </c>
      <c r="M2181" s="453">
        <v>45805</v>
      </c>
      <c r="N2181">
        <v>0</v>
      </c>
      <c r="O2181">
        <v>46.9</v>
      </c>
      <c r="P2181">
        <v>42.64</v>
      </c>
    </row>
    <row r="2182" spans="1:16" x14ac:dyDescent="0.3">
      <c r="A2182">
        <v>50082</v>
      </c>
      <c r="B2182">
        <v>116</v>
      </c>
      <c r="C2182" t="s">
        <v>568</v>
      </c>
      <c r="D2182" s="453">
        <v>45901</v>
      </c>
      <c r="E2182">
        <v>20077</v>
      </c>
      <c r="F2182" t="s">
        <v>4054</v>
      </c>
      <c r="G2182">
        <v>2317</v>
      </c>
      <c r="H2182">
        <v>2.5</v>
      </c>
      <c r="I2182" t="s">
        <v>3888</v>
      </c>
      <c r="J2182" t="s">
        <v>3469</v>
      </c>
      <c r="K2182" t="s">
        <v>3739</v>
      </c>
      <c r="L2182">
        <v>16.32</v>
      </c>
      <c r="M2182" s="453">
        <v>45895</v>
      </c>
      <c r="N2182">
        <v>16.32</v>
      </c>
      <c r="O2182">
        <v>16.32</v>
      </c>
      <c r="P2182">
        <v>40.799999999999997</v>
      </c>
    </row>
    <row r="2183" spans="1:16" x14ac:dyDescent="0.3">
      <c r="A2183">
        <v>50046</v>
      </c>
      <c r="B2183">
        <v>116</v>
      </c>
      <c r="C2183" t="s">
        <v>568</v>
      </c>
      <c r="D2183" s="453">
        <v>45901</v>
      </c>
      <c r="E2183">
        <v>20227</v>
      </c>
      <c r="F2183" t="s">
        <v>3968</v>
      </c>
      <c r="G2183">
        <v>2248</v>
      </c>
      <c r="H2183">
        <v>4</v>
      </c>
      <c r="I2183" t="s">
        <v>3888</v>
      </c>
      <c r="J2183" t="s">
        <v>3469</v>
      </c>
      <c r="K2183" t="s">
        <v>3739</v>
      </c>
      <c r="L2183">
        <v>10.18</v>
      </c>
      <c r="M2183" s="453">
        <v>45895</v>
      </c>
      <c r="N2183">
        <v>9.9</v>
      </c>
      <c r="O2183">
        <v>9.9</v>
      </c>
      <c r="P2183">
        <v>40.72</v>
      </c>
    </row>
    <row r="2184" spans="1:16" x14ac:dyDescent="0.3">
      <c r="A2184">
        <v>50032</v>
      </c>
      <c r="B2184">
        <v>116</v>
      </c>
      <c r="C2184" t="s">
        <v>568</v>
      </c>
      <c r="D2184" s="453">
        <v>45901</v>
      </c>
      <c r="E2184">
        <v>20949</v>
      </c>
      <c r="F2184" t="s">
        <v>3983</v>
      </c>
      <c r="G2184">
        <v>2023</v>
      </c>
      <c r="H2184">
        <v>5</v>
      </c>
      <c r="I2184" t="s">
        <v>3878</v>
      </c>
      <c r="J2184" t="s">
        <v>3469</v>
      </c>
      <c r="K2184" t="s">
        <v>3739</v>
      </c>
      <c r="L2184">
        <v>0</v>
      </c>
      <c r="M2184" s="453">
        <v>45867</v>
      </c>
      <c r="N2184">
        <v>8.1</v>
      </c>
      <c r="O2184">
        <v>8.19</v>
      </c>
      <c r="P2184">
        <v>40.5</v>
      </c>
    </row>
    <row r="2185" spans="1:16" x14ac:dyDescent="0.3">
      <c r="A2185">
        <v>50106</v>
      </c>
      <c r="B2185">
        <v>116</v>
      </c>
      <c r="C2185" t="s">
        <v>568</v>
      </c>
      <c r="D2185" s="453">
        <v>45901</v>
      </c>
      <c r="E2185">
        <v>20287</v>
      </c>
      <c r="F2185" t="s">
        <v>4053</v>
      </c>
      <c r="G2185">
        <v>2229</v>
      </c>
      <c r="H2185">
        <v>1.5</v>
      </c>
      <c r="I2185" t="s">
        <v>3888</v>
      </c>
      <c r="J2185" t="s">
        <v>3469</v>
      </c>
      <c r="K2185" t="s">
        <v>3739</v>
      </c>
      <c r="L2185">
        <v>26.99</v>
      </c>
      <c r="M2185" s="453">
        <v>45894</v>
      </c>
      <c r="N2185">
        <v>26.99</v>
      </c>
      <c r="O2185">
        <v>26.99</v>
      </c>
      <c r="P2185">
        <v>40.479999999999997</v>
      </c>
    </row>
    <row r="2186" spans="1:16" x14ac:dyDescent="0.3">
      <c r="A2186">
        <v>50073</v>
      </c>
      <c r="B2186">
        <v>116</v>
      </c>
      <c r="C2186" t="s">
        <v>568</v>
      </c>
      <c r="D2186" s="453">
        <v>45901</v>
      </c>
      <c r="E2186">
        <v>19743</v>
      </c>
      <c r="F2186" t="s">
        <v>4152</v>
      </c>
      <c r="G2186">
        <v>2510</v>
      </c>
      <c r="H2186">
        <v>3</v>
      </c>
      <c r="I2186" t="s">
        <v>3892</v>
      </c>
      <c r="J2186" t="s">
        <v>3469</v>
      </c>
      <c r="K2186" t="s">
        <v>3739</v>
      </c>
      <c r="L2186">
        <v>13.14</v>
      </c>
      <c r="M2186" s="453">
        <v>45897</v>
      </c>
      <c r="N2186">
        <v>13.5</v>
      </c>
      <c r="O2186">
        <v>12.5</v>
      </c>
      <c r="P2186">
        <v>39.42</v>
      </c>
    </row>
    <row r="2187" spans="1:16" x14ac:dyDescent="0.3">
      <c r="A2187">
        <v>50043</v>
      </c>
      <c r="B2187">
        <v>116</v>
      </c>
      <c r="C2187" t="s">
        <v>568</v>
      </c>
      <c r="D2187" s="453">
        <v>45901</v>
      </c>
      <c r="E2187">
        <v>20682</v>
      </c>
      <c r="F2187" t="s">
        <v>3929</v>
      </c>
      <c r="G2187">
        <v>2106</v>
      </c>
      <c r="H2187">
        <v>4</v>
      </c>
      <c r="I2187" t="s">
        <v>3872</v>
      </c>
      <c r="J2187" t="s">
        <v>3469</v>
      </c>
      <c r="K2187" t="s">
        <v>3739</v>
      </c>
      <c r="L2187">
        <v>0</v>
      </c>
      <c r="M2187" s="453">
        <v>45840</v>
      </c>
      <c r="N2187">
        <v>9.8000000000000007</v>
      </c>
      <c r="O2187">
        <v>8.7799999999999994</v>
      </c>
      <c r="P2187">
        <v>39.200000000000003</v>
      </c>
    </row>
    <row r="2188" spans="1:16" x14ac:dyDescent="0.3">
      <c r="A2188">
        <v>50030</v>
      </c>
      <c r="B2188">
        <v>116</v>
      </c>
      <c r="C2188" t="s">
        <v>568</v>
      </c>
      <c r="D2188" s="453">
        <v>45901</v>
      </c>
      <c r="E2188">
        <v>20326</v>
      </c>
      <c r="F2188" t="s">
        <v>3953</v>
      </c>
      <c r="G2188">
        <v>2211</v>
      </c>
      <c r="H2188">
        <v>5</v>
      </c>
      <c r="I2188" t="s">
        <v>3892</v>
      </c>
      <c r="J2188" t="s">
        <v>3469</v>
      </c>
      <c r="K2188" t="s">
        <v>3739</v>
      </c>
      <c r="L2188">
        <v>0</v>
      </c>
      <c r="M2188" s="453">
        <v>45855</v>
      </c>
      <c r="N2188">
        <v>7.8</v>
      </c>
      <c r="O2188">
        <v>6.99</v>
      </c>
      <c r="P2188">
        <v>39</v>
      </c>
    </row>
    <row r="2189" spans="1:16" x14ac:dyDescent="0.3">
      <c r="A2189">
        <v>50079</v>
      </c>
      <c r="B2189">
        <v>116</v>
      </c>
      <c r="C2189" t="s">
        <v>568</v>
      </c>
      <c r="D2189" s="453">
        <v>45901</v>
      </c>
      <c r="E2189">
        <v>17942</v>
      </c>
      <c r="F2189" t="s">
        <v>4035</v>
      </c>
      <c r="G2189">
        <v>3630</v>
      </c>
      <c r="H2189">
        <v>3</v>
      </c>
      <c r="I2189" t="s">
        <v>3872</v>
      </c>
      <c r="J2189" t="s">
        <v>3497</v>
      </c>
      <c r="K2189" t="s">
        <v>3739</v>
      </c>
      <c r="L2189">
        <v>0</v>
      </c>
      <c r="M2189" s="453">
        <v>45803</v>
      </c>
      <c r="N2189">
        <v>13</v>
      </c>
      <c r="O2189">
        <v>13</v>
      </c>
      <c r="P2189">
        <v>39</v>
      </c>
    </row>
    <row r="2190" spans="1:16" x14ac:dyDescent="0.3">
      <c r="A2190">
        <v>50081</v>
      </c>
      <c r="B2190">
        <v>116</v>
      </c>
      <c r="C2190" t="s">
        <v>568</v>
      </c>
      <c r="D2190" s="453">
        <v>45901</v>
      </c>
      <c r="E2190">
        <v>20358</v>
      </c>
      <c r="F2190" t="s">
        <v>3952</v>
      </c>
      <c r="G2190">
        <v>2200</v>
      </c>
      <c r="H2190">
        <v>2.7</v>
      </c>
      <c r="I2190" t="s">
        <v>3888</v>
      </c>
      <c r="J2190" t="s">
        <v>3469</v>
      </c>
      <c r="K2190" t="s">
        <v>3739</v>
      </c>
      <c r="L2190">
        <v>14.3</v>
      </c>
      <c r="M2190" s="453">
        <v>45895</v>
      </c>
      <c r="N2190">
        <v>14.3</v>
      </c>
      <c r="O2190">
        <v>14.31</v>
      </c>
      <c r="P2190">
        <v>38.61</v>
      </c>
    </row>
    <row r="2191" spans="1:16" x14ac:dyDescent="0.3">
      <c r="A2191">
        <v>50157</v>
      </c>
      <c r="B2191">
        <v>116</v>
      </c>
      <c r="C2191" t="s">
        <v>568</v>
      </c>
      <c r="D2191" s="453">
        <v>45901</v>
      </c>
      <c r="E2191">
        <v>18341</v>
      </c>
      <c r="F2191" t="s">
        <v>4086</v>
      </c>
      <c r="G2191">
        <v>3293</v>
      </c>
      <c r="H2191">
        <v>1</v>
      </c>
      <c r="I2191" t="s">
        <v>3878</v>
      </c>
      <c r="J2191" t="s">
        <v>3497</v>
      </c>
      <c r="K2191" t="s">
        <v>3739</v>
      </c>
      <c r="L2191">
        <v>0</v>
      </c>
      <c r="M2191" s="453">
        <v>-693593</v>
      </c>
      <c r="N2191">
        <v>0</v>
      </c>
      <c r="O2191">
        <v>50</v>
      </c>
      <c r="P2191">
        <v>38</v>
      </c>
    </row>
    <row r="2192" spans="1:16" x14ac:dyDescent="0.3">
      <c r="A2192">
        <v>50138</v>
      </c>
      <c r="B2192">
        <v>116</v>
      </c>
      <c r="C2192" t="s">
        <v>568</v>
      </c>
      <c r="D2192" s="453">
        <v>45901</v>
      </c>
      <c r="E2192">
        <v>19779</v>
      </c>
      <c r="F2192" t="s">
        <v>4069</v>
      </c>
      <c r="G2192">
        <v>2479</v>
      </c>
      <c r="H2192">
        <v>1</v>
      </c>
      <c r="I2192" t="s">
        <v>3892</v>
      </c>
      <c r="J2192" t="s">
        <v>3469</v>
      </c>
      <c r="K2192" t="s">
        <v>3739</v>
      </c>
      <c r="L2192">
        <v>0</v>
      </c>
      <c r="M2192" s="453">
        <v>45826</v>
      </c>
      <c r="N2192">
        <v>37</v>
      </c>
      <c r="O2192">
        <v>30</v>
      </c>
      <c r="P2192">
        <v>37</v>
      </c>
    </row>
    <row r="2193" spans="1:16" x14ac:dyDescent="0.3">
      <c r="A2193">
        <v>50160</v>
      </c>
      <c r="B2193">
        <v>116</v>
      </c>
      <c r="C2193" t="s">
        <v>568</v>
      </c>
      <c r="D2193" s="453">
        <v>45901</v>
      </c>
      <c r="E2193">
        <v>18317</v>
      </c>
      <c r="F2193" t="s">
        <v>4045</v>
      </c>
      <c r="G2193">
        <v>3316</v>
      </c>
      <c r="H2193">
        <v>1</v>
      </c>
      <c r="I2193" t="s">
        <v>3878</v>
      </c>
      <c r="J2193" t="s">
        <v>3497</v>
      </c>
      <c r="K2193" t="s">
        <v>3739</v>
      </c>
      <c r="L2193">
        <v>0</v>
      </c>
      <c r="M2193" s="453">
        <v>45793</v>
      </c>
      <c r="N2193">
        <v>36.9</v>
      </c>
      <c r="O2193">
        <v>36.159999999999997</v>
      </c>
      <c r="P2193">
        <v>36.9</v>
      </c>
    </row>
    <row r="2194" spans="1:16" x14ac:dyDescent="0.3">
      <c r="A2194">
        <v>50162</v>
      </c>
      <c r="B2194">
        <v>116</v>
      </c>
      <c r="C2194" t="s">
        <v>568</v>
      </c>
      <c r="D2194" s="453">
        <v>45901</v>
      </c>
      <c r="E2194">
        <v>18272</v>
      </c>
      <c r="F2194" t="s">
        <v>4046</v>
      </c>
      <c r="G2194">
        <v>3358</v>
      </c>
      <c r="H2194">
        <v>1</v>
      </c>
      <c r="I2194" t="s">
        <v>3878</v>
      </c>
      <c r="J2194" t="s">
        <v>3497</v>
      </c>
      <c r="K2194" t="s">
        <v>3739</v>
      </c>
      <c r="L2194">
        <v>0</v>
      </c>
      <c r="M2194" s="453">
        <v>45845</v>
      </c>
      <c r="N2194">
        <v>36.5</v>
      </c>
      <c r="O2194">
        <v>36.28</v>
      </c>
      <c r="P2194">
        <v>36.5</v>
      </c>
    </row>
    <row r="2195" spans="1:16" x14ac:dyDescent="0.3">
      <c r="A2195">
        <v>50052</v>
      </c>
      <c r="B2195">
        <v>116</v>
      </c>
      <c r="C2195" t="s">
        <v>568</v>
      </c>
      <c r="D2195" s="453">
        <v>45901</v>
      </c>
      <c r="E2195">
        <v>19139</v>
      </c>
      <c r="F2195" t="s">
        <v>3887</v>
      </c>
      <c r="G2195">
        <v>2836</v>
      </c>
      <c r="H2195">
        <v>4</v>
      </c>
      <c r="I2195" t="s">
        <v>3888</v>
      </c>
      <c r="J2195" t="s">
        <v>3469</v>
      </c>
      <c r="K2195" t="s">
        <v>3739</v>
      </c>
      <c r="L2195">
        <v>9.1</v>
      </c>
      <c r="M2195" s="453">
        <v>45896</v>
      </c>
      <c r="N2195">
        <v>9.1</v>
      </c>
      <c r="O2195">
        <v>9.1</v>
      </c>
      <c r="P2195">
        <v>36.4</v>
      </c>
    </row>
    <row r="2196" spans="1:16" x14ac:dyDescent="0.3">
      <c r="A2196">
        <v>50070</v>
      </c>
      <c r="B2196">
        <v>116</v>
      </c>
      <c r="C2196" t="s">
        <v>568</v>
      </c>
      <c r="D2196" s="453">
        <v>45901</v>
      </c>
      <c r="E2196">
        <v>20410</v>
      </c>
      <c r="F2196" t="s">
        <v>4458</v>
      </c>
      <c r="G2196">
        <v>2190</v>
      </c>
      <c r="H2196">
        <v>3</v>
      </c>
      <c r="I2196" t="s">
        <v>3872</v>
      </c>
      <c r="J2196" t="s">
        <v>3469</v>
      </c>
      <c r="K2196" t="s">
        <v>3739</v>
      </c>
      <c r="L2196">
        <v>0</v>
      </c>
      <c r="M2196" s="453">
        <v>45811</v>
      </c>
      <c r="N2196">
        <v>11.85</v>
      </c>
      <c r="O2196">
        <v>12.42</v>
      </c>
      <c r="P2196">
        <v>35.549999999999997</v>
      </c>
    </row>
    <row r="2197" spans="1:16" x14ac:dyDescent="0.3">
      <c r="A2197">
        <v>50045</v>
      </c>
      <c r="B2197">
        <v>116</v>
      </c>
      <c r="C2197" t="s">
        <v>568</v>
      </c>
      <c r="D2197" s="453">
        <v>45901</v>
      </c>
      <c r="E2197">
        <v>23635</v>
      </c>
      <c r="F2197" t="s">
        <v>4102</v>
      </c>
      <c r="G2197">
        <v>2247</v>
      </c>
      <c r="H2197">
        <v>4</v>
      </c>
      <c r="I2197" t="s">
        <v>3892</v>
      </c>
      <c r="J2197" t="s">
        <v>3469</v>
      </c>
      <c r="K2197" t="s">
        <v>3739</v>
      </c>
      <c r="L2197">
        <v>8.6999999999999993</v>
      </c>
      <c r="M2197" s="453">
        <v>45874</v>
      </c>
      <c r="N2197">
        <v>8.6999999999999993</v>
      </c>
      <c r="O2197">
        <v>8.6999999999999993</v>
      </c>
      <c r="P2197">
        <v>34.799999999999997</v>
      </c>
    </row>
    <row r="2198" spans="1:16" x14ac:dyDescent="0.3">
      <c r="A2198">
        <v>50159</v>
      </c>
      <c r="B2198">
        <v>116</v>
      </c>
      <c r="C2198" t="s">
        <v>568</v>
      </c>
      <c r="D2198" s="453">
        <v>45901</v>
      </c>
      <c r="E2198">
        <v>18325</v>
      </c>
      <c r="F2198" t="s">
        <v>4459</v>
      </c>
      <c r="G2198">
        <v>3308</v>
      </c>
      <c r="H2198">
        <v>1</v>
      </c>
      <c r="I2198" t="s">
        <v>3878</v>
      </c>
      <c r="J2198" t="s">
        <v>3497</v>
      </c>
      <c r="K2198" t="s">
        <v>3739</v>
      </c>
      <c r="L2198">
        <v>0</v>
      </c>
      <c r="M2198" s="453">
        <v>-693593</v>
      </c>
      <c r="N2198">
        <v>0</v>
      </c>
      <c r="O2198">
        <v>34.479999999999997</v>
      </c>
      <c r="P2198">
        <v>34.479999999999997</v>
      </c>
    </row>
    <row r="2199" spans="1:16" x14ac:dyDescent="0.3">
      <c r="A2199">
        <v>50087</v>
      </c>
      <c r="B2199">
        <v>116</v>
      </c>
      <c r="C2199" t="s">
        <v>568</v>
      </c>
      <c r="D2199" s="453">
        <v>45901</v>
      </c>
      <c r="E2199">
        <v>24403</v>
      </c>
      <c r="F2199" t="s">
        <v>3992</v>
      </c>
      <c r="G2199">
        <v>3049</v>
      </c>
      <c r="H2199">
        <v>2.4</v>
      </c>
      <c r="I2199" t="s">
        <v>3892</v>
      </c>
      <c r="J2199" t="s">
        <v>3469</v>
      </c>
      <c r="K2199" t="s">
        <v>3739</v>
      </c>
      <c r="L2199">
        <v>13.9</v>
      </c>
      <c r="M2199" s="453">
        <v>45888</v>
      </c>
      <c r="N2199">
        <v>13.9</v>
      </c>
      <c r="O2199">
        <v>12.99</v>
      </c>
      <c r="P2199">
        <v>33.36</v>
      </c>
    </row>
    <row r="2200" spans="1:16" x14ac:dyDescent="0.3">
      <c r="A2200">
        <v>50071</v>
      </c>
      <c r="B2200">
        <v>116</v>
      </c>
      <c r="C2200" t="s">
        <v>568</v>
      </c>
      <c r="D2200" s="453">
        <v>45901</v>
      </c>
      <c r="E2200">
        <v>25769</v>
      </c>
      <c r="F2200" t="s">
        <v>4013</v>
      </c>
      <c r="G2200">
        <v>6318</v>
      </c>
      <c r="H2200">
        <v>3</v>
      </c>
      <c r="I2200" t="s">
        <v>3892</v>
      </c>
      <c r="J2200" t="s">
        <v>3469</v>
      </c>
      <c r="K2200" t="s">
        <v>3739</v>
      </c>
      <c r="L2200">
        <v>11</v>
      </c>
      <c r="M2200" s="453">
        <v>45888</v>
      </c>
      <c r="N2200">
        <v>11</v>
      </c>
      <c r="O2200">
        <v>11</v>
      </c>
      <c r="P2200">
        <v>33</v>
      </c>
    </row>
    <row r="2201" spans="1:16" x14ac:dyDescent="0.3">
      <c r="A2201">
        <v>50114</v>
      </c>
      <c r="B2201">
        <v>116</v>
      </c>
      <c r="C2201" t="s">
        <v>568</v>
      </c>
      <c r="D2201" s="453">
        <v>45901</v>
      </c>
      <c r="E2201">
        <v>24393</v>
      </c>
      <c r="F2201" t="s">
        <v>4039</v>
      </c>
      <c r="G2201">
        <v>3045</v>
      </c>
      <c r="H2201">
        <v>1.5</v>
      </c>
      <c r="I2201" t="s">
        <v>3892</v>
      </c>
      <c r="J2201" t="s">
        <v>3469</v>
      </c>
      <c r="K2201" t="s">
        <v>3739</v>
      </c>
      <c r="L2201">
        <v>0</v>
      </c>
      <c r="M2201" s="453">
        <v>45846</v>
      </c>
      <c r="N2201">
        <v>22</v>
      </c>
      <c r="O2201">
        <v>13.99</v>
      </c>
      <c r="P2201">
        <v>33</v>
      </c>
    </row>
    <row r="2202" spans="1:16" x14ac:dyDescent="0.3">
      <c r="A2202">
        <v>50134</v>
      </c>
      <c r="B2202">
        <v>116</v>
      </c>
      <c r="C2202" t="s">
        <v>568</v>
      </c>
      <c r="D2202" s="453">
        <v>45901</v>
      </c>
      <c r="E2202">
        <v>19652</v>
      </c>
      <c r="F2202" t="s">
        <v>4014</v>
      </c>
      <c r="G2202">
        <v>2587</v>
      </c>
      <c r="H2202">
        <v>1</v>
      </c>
      <c r="I2202" t="s">
        <v>3892</v>
      </c>
      <c r="J2202" t="s">
        <v>3469</v>
      </c>
      <c r="K2202" t="s">
        <v>3739</v>
      </c>
      <c r="L2202">
        <v>32</v>
      </c>
      <c r="M2202" s="453">
        <v>45883</v>
      </c>
      <c r="N2202">
        <v>32</v>
      </c>
      <c r="O2202">
        <v>32</v>
      </c>
      <c r="P2202">
        <v>32</v>
      </c>
    </row>
    <row r="2203" spans="1:16" x14ac:dyDescent="0.3">
      <c r="A2203">
        <v>50140</v>
      </c>
      <c r="B2203">
        <v>116</v>
      </c>
      <c r="C2203" t="s">
        <v>568</v>
      </c>
      <c r="D2203" s="453">
        <v>45901</v>
      </c>
      <c r="E2203">
        <v>19765</v>
      </c>
      <c r="F2203" t="s">
        <v>4071</v>
      </c>
      <c r="G2203">
        <v>2488</v>
      </c>
      <c r="H2203">
        <v>1</v>
      </c>
      <c r="I2203" t="s">
        <v>3892</v>
      </c>
      <c r="J2203" t="s">
        <v>3469</v>
      </c>
      <c r="K2203" t="s">
        <v>3739</v>
      </c>
      <c r="L2203">
        <v>32</v>
      </c>
      <c r="M2203" s="453">
        <v>45887</v>
      </c>
      <c r="N2203">
        <v>32</v>
      </c>
      <c r="O2203">
        <v>27</v>
      </c>
      <c r="P2203">
        <v>32</v>
      </c>
    </row>
    <row r="2204" spans="1:16" x14ac:dyDescent="0.3">
      <c r="A2204">
        <v>49999</v>
      </c>
      <c r="B2204">
        <v>116</v>
      </c>
      <c r="C2204" t="s">
        <v>568</v>
      </c>
      <c r="D2204" s="453">
        <v>45901</v>
      </c>
      <c r="E2204">
        <v>19906</v>
      </c>
      <c r="F2204" t="s">
        <v>4171</v>
      </c>
      <c r="G2204">
        <v>2381</v>
      </c>
      <c r="H2204">
        <v>11</v>
      </c>
      <c r="I2204" t="s">
        <v>3888</v>
      </c>
      <c r="J2204" t="s">
        <v>3469</v>
      </c>
      <c r="K2204" t="s">
        <v>3739</v>
      </c>
      <c r="L2204">
        <v>2.8</v>
      </c>
      <c r="M2204" s="453">
        <v>45888</v>
      </c>
      <c r="N2204">
        <v>2.8</v>
      </c>
      <c r="O2204">
        <v>28</v>
      </c>
      <c r="P2204">
        <v>30.8</v>
      </c>
    </row>
    <row r="2205" spans="1:16" x14ac:dyDescent="0.3">
      <c r="A2205">
        <v>50019</v>
      </c>
      <c r="B2205">
        <v>116</v>
      </c>
      <c r="C2205" t="s">
        <v>568</v>
      </c>
      <c r="D2205" s="453">
        <v>45901</v>
      </c>
      <c r="E2205">
        <v>23359</v>
      </c>
      <c r="F2205" t="s">
        <v>3932</v>
      </c>
      <c r="G2205">
        <v>2499</v>
      </c>
      <c r="H2205">
        <v>7</v>
      </c>
      <c r="I2205" t="s">
        <v>3892</v>
      </c>
      <c r="J2205" t="s">
        <v>3469</v>
      </c>
      <c r="K2205" t="s">
        <v>3739</v>
      </c>
      <c r="L2205">
        <v>4.3600000000000003</v>
      </c>
      <c r="M2205" s="453">
        <v>45897</v>
      </c>
      <c r="N2205">
        <v>5.4</v>
      </c>
      <c r="O2205">
        <v>5.4</v>
      </c>
      <c r="P2205">
        <v>30.52</v>
      </c>
    </row>
    <row r="2206" spans="1:16" x14ac:dyDescent="0.3">
      <c r="A2206">
        <v>50022</v>
      </c>
      <c r="B2206">
        <v>116</v>
      </c>
      <c r="C2206" t="s">
        <v>568</v>
      </c>
      <c r="D2206" s="453">
        <v>45901</v>
      </c>
      <c r="E2206">
        <v>20359</v>
      </c>
      <c r="F2206" t="s">
        <v>3917</v>
      </c>
      <c r="G2206">
        <v>2199</v>
      </c>
      <c r="H2206">
        <v>6.4</v>
      </c>
      <c r="I2206" t="s">
        <v>3872</v>
      </c>
      <c r="J2206" t="s">
        <v>3469</v>
      </c>
      <c r="K2206" t="s">
        <v>3739</v>
      </c>
      <c r="L2206">
        <v>0</v>
      </c>
      <c r="M2206" s="453">
        <v>45845</v>
      </c>
      <c r="N2206">
        <v>4.76</v>
      </c>
      <c r="O2206">
        <v>4.8</v>
      </c>
      <c r="P2206">
        <v>30.46</v>
      </c>
    </row>
    <row r="2207" spans="1:16" x14ac:dyDescent="0.3">
      <c r="A2207">
        <v>50124</v>
      </c>
      <c r="B2207">
        <v>116</v>
      </c>
      <c r="C2207" t="s">
        <v>568</v>
      </c>
      <c r="D2207" s="453">
        <v>45901</v>
      </c>
      <c r="E2207">
        <v>21078</v>
      </c>
      <c r="F2207" t="s">
        <v>4049</v>
      </c>
      <c r="G2207">
        <v>1991</v>
      </c>
      <c r="H2207">
        <v>1</v>
      </c>
      <c r="I2207" t="s">
        <v>3881</v>
      </c>
      <c r="J2207" t="s">
        <v>3469</v>
      </c>
      <c r="K2207" t="s">
        <v>3739</v>
      </c>
      <c r="L2207">
        <v>0</v>
      </c>
      <c r="M2207" s="453">
        <v>-693593</v>
      </c>
      <c r="N2207">
        <v>0</v>
      </c>
      <c r="O2207">
        <v>43.6</v>
      </c>
      <c r="P2207">
        <v>29.9</v>
      </c>
    </row>
    <row r="2208" spans="1:16" x14ac:dyDescent="0.3">
      <c r="A2208">
        <v>50156</v>
      </c>
      <c r="B2208">
        <v>116</v>
      </c>
      <c r="C2208" t="s">
        <v>568</v>
      </c>
      <c r="D2208" s="453">
        <v>45901</v>
      </c>
      <c r="E2208">
        <v>18395</v>
      </c>
      <c r="F2208" t="s">
        <v>4085</v>
      </c>
      <c r="G2208">
        <v>3245</v>
      </c>
      <c r="H2208">
        <v>1</v>
      </c>
      <c r="I2208" t="s">
        <v>3878</v>
      </c>
      <c r="J2208" t="s">
        <v>3497</v>
      </c>
      <c r="K2208" t="s">
        <v>3739</v>
      </c>
      <c r="L2208">
        <v>0</v>
      </c>
      <c r="M2208" s="453">
        <v>45845</v>
      </c>
      <c r="N2208">
        <v>29.43</v>
      </c>
      <c r="O2208">
        <v>29.55</v>
      </c>
      <c r="P2208">
        <v>29.43</v>
      </c>
    </row>
    <row r="2209" spans="1:16" x14ac:dyDescent="0.3">
      <c r="A2209">
        <v>50029</v>
      </c>
      <c r="B2209">
        <v>116</v>
      </c>
      <c r="C2209" t="s">
        <v>568</v>
      </c>
      <c r="D2209" s="453">
        <v>45901</v>
      </c>
      <c r="E2209">
        <v>20680</v>
      </c>
      <c r="F2209" t="s">
        <v>4460</v>
      </c>
      <c r="G2209">
        <v>2106</v>
      </c>
      <c r="H2209">
        <v>5</v>
      </c>
      <c r="I2209" t="s">
        <v>3872</v>
      </c>
      <c r="J2209" t="s">
        <v>3469</v>
      </c>
      <c r="K2209" t="s">
        <v>3739</v>
      </c>
      <c r="L2209">
        <v>5.8</v>
      </c>
      <c r="M2209" s="453">
        <v>45895</v>
      </c>
      <c r="N2209">
        <v>5.8</v>
      </c>
      <c r="O2209">
        <v>5.8</v>
      </c>
      <c r="P2209">
        <v>29</v>
      </c>
    </row>
    <row r="2210" spans="1:16" x14ac:dyDescent="0.3">
      <c r="A2210">
        <v>50122</v>
      </c>
      <c r="B2210">
        <v>116</v>
      </c>
      <c r="C2210" t="s">
        <v>568</v>
      </c>
      <c r="D2210" s="453">
        <v>45901</v>
      </c>
      <c r="E2210">
        <v>24392</v>
      </c>
      <c r="F2210" t="s">
        <v>4041</v>
      </c>
      <c r="G2210">
        <v>2366</v>
      </c>
      <c r="H2210">
        <v>1.3</v>
      </c>
      <c r="I2210" t="s">
        <v>3892</v>
      </c>
      <c r="J2210" t="s">
        <v>3469</v>
      </c>
      <c r="K2210" t="s">
        <v>3739</v>
      </c>
      <c r="L2210">
        <v>0</v>
      </c>
      <c r="M2210" s="453">
        <v>45524</v>
      </c>
      <c r="N2210">
        <v>21.9</v>
      </c>
      <c r="O2210">
        <v>22.9</v>
      </c>
      <c r="P2210">
        <v>28.47</v>
      </c>
    </row>
    <row r="2211" spans="1:16" x14ac:dyDescent="0.3">
      <c r="A2211">
        <v>50050</v>
      </c>
      <c r="B2211">
        <v>116</v>
      </c>
      <c r="C2211" t="s">
        <v>568</v>
      </c>
      <c r="D2211" s="453">
        <v>45901</v>
      </c>
      <c r="E2211">
        <v>19751</v>
      </c>
      <c r="F2211" t="s">
        <v>4019</v>
      </c>
      <c r="G2211">
        <v>2502</v>
      </c>
      <c r="H2211">
        <v>4</v>
      </c>
      <c r="I2211" t="s">
        <v>3892</v>
      </c>
      <c r="J2211" t="s">
        <v>3469</v>
      </c>
      <c r="K2211" t="s">
        <v>3739</v>
      </c>
      <c r="L2211">
        <v>7.05</v>
      </c>
      <c r="M2211" s="453">
        <v>45897</v>
      </c>
      <c r="N2211">
        <v>7.8</v>
      </c>
      <c r="O2211">
        <v>7.8</v>
      </c>
      <c r="P2211">
        <v>28.2</v>
      </c>
    </row>
    <row r="2212" spans="1:16" x14ac:dyDescent="0.3">
      <c r="A2212">
        <v>50051</v>
      </c>
      <c r="B2212">
        <v>116</v>
      </c>
      <c r="C2212" t="s">
        <v>568</v>
      </c>
      <c r="D2212" s="453">
        <v>45901</v>
      </c>
      <c r="E2212">
        <v>23171</v>
      </c>
      <c r="F2212" t="s">
        <v>4132</v>
      </c>
      <c r="G2212">
        <v>2682</v>
      </c>
      <c r="H2212">
        <v>4</v>
      </c>
      <c r="I2212" t="s">
        <v>3892</v>
      </c>
      <c r="J2212" t="s">
        <v>3469</v>
      </c>
      <c r="K2212" t="s">
        <v>3739</v>
      </c>
      <c r="L2212">
        <v>7.04</v>
      </c>
      <c r="M2212" s="453">
        <v>45897</v>
      </c>
      <c r="N2212">
        <v>6.25</v>
      </c>
      <c r="O2212">
        <v>6</v>
      </c>
      <c r="P2212">
        <v>28.16</v>
      </c>
    </row>
    <row r="2213" spans="1:16" x14ac:dyDescent="0.3">
      <c r="A2213">
        <v>50007</v>
      </c>
      <c r="B2213">
        <v>116</v>
      </c>
      <c r="C2213" t="s">
        <v>568</v>
      </c>
      <c r="D2213" s="453">
        <v>45901</v>
      </c>
      <c r="E2213">
        <v>19917</v>
      </c>
      <c r="F2213" t="s">
        <v>3920</v>
      </c>
      <c r="G2213">
        <v>2379</v>
      </c>
      <c r="H2213">
        <v>9</v>
      </c>
      <c r="I2213" t="s">
        <v>3888</v>
      </c>
      <c r="J2213" t="s">
        <v>3469</v>
      </c>
      <c r="K2213" t="s">
        <v>3739</v>
      </c>
      <c r="L2213">
        <v>0</v>
      </c>
      <c r="M2213" s="453">
        <v>45581</v>
      </c>
      <c r="N2213">
        <v>3.09</v>
      </c>
      <c r="O2213">
        <v>3.35</v>
      </c>
      <c r="P2213">
        <v>27.81</v>
      </c>
    </row>
    <row r="2214" spans="1:16" x14ac:dyDescent="0.3">
      <c r="A2214">
        <v>50130</v>
      </c>
      <c r="B2214">
        <v>116</v>
      </c>
      <c r="C2214" t="s">
        <v>568</v>
      </c>
      <c r="D2214" s="453">
        <v>45901</v>
      </c>
      <c r="E2214">
        <v>20487</v>
      </c>
      <c r="F2214" t="s">
        <v>4310</v>
      </c>
      <c r="G2214">
        <v>2157</v>
      </c>
      <c r="H2214">
        <v>1</v>
      </c>
      <c r="I2214" t="s">
        <v>3892</v>
      </c>
      <c r="J2214" t="s">
        <v>3469</v>
      </c>
      <c r="K2214" t="s">
        <v>3739</v>
      </c>
      <c r="L2214">
        <v>27.75</v>
      </c>
      <c r="M2214" s="453">
        <v>45881</v>
      </c>
      <c r="N2214">
        <v>27.75</v>
      </c>
      <c r="O2214">
        <v>27.75</v>
      </c>
      <c r="P2214">
        <v>27.75</v>
      </c>
    </row>
    <row r="2215" spans="1:16" x14ac:dyDescent="0.3">
      <c r="A2215">
        <v>50074</v>
      </c>
      <c r="B2215">
        <v>116</v>
      </c>
      <c r="C2215" t="s">
        <v>568</v>
      </c>
      <c r="D2215" s="453">
        <v>45901</v>
      </c>
      <c r="E2215">
        <v>19672</v>
      </c>
      <c r="F2215" t="s">
        <v>4024</v>
      </c>
      <c r="G2215">
        <v>2567</v>
      </c>
      <c r="H2215">
        <v>3</v>
      </c>
      <c r="I2215" t="s">
        <v>3892</v>
      </c>
      <c r="J2215" t="s">
        <v>3469</v>
      </c>
      <c r="K2215" t="s">
        <v>3739</v>
      </c>
      <c r="L2215">
        <v>9.0500000000000007</v>
      </c>
      <c r="M2215" s="453">
        <v>45897</v>
      </c>
      <c r="N2215">
        <v>7.87</v>
      </c>
      <c r="O2215">
        <v>7.87</v>
      </c>
      <c r="P2215">
        <v>27.15</v>
      </c>
    </row>
    <row r="2216" spans="1:16" x14ac:dyDescent="0.3">
      <c r="A2216">
        <v>49977</v>
      </c>
      <c r="B2216">
        <v>116</v>
      </c>
      <c r="C2216" t="s">
        <v>568</v>
      </c>
      <c r="D2216" s="453">
        <v>45901</v>
      </c>
      <c r="E2216">
        <v>23095</v>
      </c>
      <c r="F2216" t="s">
        <v>3882</v>
      </c>
      <c r="G2216">
        <v>2754</v>
      </c>
      <c r="H2216">
        <v>30</v>
      </c>
      <c r="I2216" t="s">
        <v>3872</v>
      </c>
      <c r="J2216" t="s">
        <v>3469</v>
      </c>
      <c r="K2216" t="s">
        <v>3739</v>
      </c>
      <c r="L2216">
        <v>0.9</v>
      </c>
      <c r="M2216" s="453">
        <v>45897</v>
      </c>
      <c r="N2216">
        <v>0.95</v>
      </c>
      <c r="O2216">
        <v>0.92</v>
      </c>
      <c r="P2216">
        <v>27</v>
      </c>
    </row>
    <row r="2217" spans="1:16" x14ac:dyDescent="0.3">
      <c r="A2217">
        <v>50132</v>
      </c>
      <c r="B2217">
        <v>116</v>
      </c>
      <c r="C2217" t="s">
        <v>568</v>
      </c>
      <c r="D2217" s="453">
        <v>45901</v>
      </c>
      <c r="E2217">
        <v>20610</v>
      </c>
      <c r="F2217" t="s">
        <v>4064</v>
      </c>
      <c r="G2217">
        <v>2120</v>
      </c>
      <c r="H2217">
        <v>1</v>
      </c>
      <c r="I2217" t="s">
        <v>3884</v>
      </c>
      <c r="J2217" t="s">
        <v>3469</v>
      </c>
      <c r="K2217" t="s">
        <v>3739</v>
      </c>
      <c r="L2217">
        <v>0</v>
      </c>
      <c r="M2217" s="453">
        <v>45770</v>
      </c>
      <c r="N2217">
        <v>26.9</v>
      </c>
      <c r="O2217">
        <v>25.3</v>
      </c>
      <c r="P2217">
        <v>26.9</v>
      </c>
    </row>
    <row r="2218" spans="1:16" x14ac:dyDescent="0.3">
      <c r="A2218">
        <v>50184</v>
      </c>
      <c r="B2218">
        <v>116</v>
      </c>
      <c r="C2218" t="s">
        <v>568</v>
      </c>
      <c r="D2218" s="453">
        <v>45901</v>
      </c>
      <c r="E2218">
        <v>18394</v>
      </c>
      <c r="F2218" t="s">
        <v>4044</v>
      </c>
      <c r="G2218">
        <v>3246</v>
      </c>
      <c r="H2218">
        <v>0.2</v>
      </c>
      <c r="I2218" t="s">
        <v>3878</v>
      </c>
      <c r="J2218" t="s">
        <v>3497</v>
      </c>
      <c r="K2218" t="s">
        <v>3739</v>
      </c>
      <c r="L2218">
        <v>0</v>
      </c>
      <c r="M2218" s="453">
        <v>45845</v>
      </c>
      <c r="N2218">
        <v>133.86000000000001</v>
      </c>
      <c r="O2218">
        <v>132.36000000000001</v>
      </c>
      <c r="P2218">
        <v>26.77</v>
      </c>
    </row>
    <row r="2219" spans="1:16" x14ac:dyDescent="0.3">
      <c r="A2219">
        <v>50013</v>
      </c>
      <c r="B2219">
        <v>116</v>
      </c>
      <c r="C2219" t="s">
        <v>568</v>
      </c>
      <c r="D2219" s="453">
        <v>45901</v>
      </c>
      <c r="E2219">
        <v>27079</v>
      </c>
      <c r="F2219" t="s">
        <v>3891</v>
      </c>
      <c r="G2219">
        <v>2497</v>
      </c>
      <c r="H2219">
        <v>8</v>
      </c>
      <c r="I2219" t="s">
        <v>3892</v>
      </c>
      <c r="J2219" t="s">
        <v>3469</v>
      </c>
      <c r="K2219" t="s">
        <v>3739</v>
      </c>
      <c r="L2219">
        <v>0</v>
      </c>
      <c r="M2219" s="453">
        <v>45813</v>
      </c>
      <c r="N2219">
        <v>3.25</v>
      </c>
      <c r="O2219">
        <v>3.25</v>
      </c>
      <c r="P2219">
        <v>26</v>
      </c>
    </row>
    <row r="2220" spans="1:16" x14ac:dyDescent="0.3">
      <c r="A2220">
        <v>50178</v>
      </c>
      <c r="B2220">
        <v>116</v>
      </c>
      <c r="C2220" t="s">
        <v>568</v>
      </c>
      <c r="D2220" s="453">
        <v>45901</v>
      </c>
      <c r="E2220">
        <v>18528</v>
      </c>
      <c r="F2220" t="s">
        <v>4108</v>
      </c>
      <c r="G2220">
        <v>3147</v>
      </c>
      <c r="H2220">
        <v>0.5</v>
      </c>
      <c r="I2220" t="s">
        <v>3878</v>
      </c>
      <c r="J2220" t="s">
        <v>3497</v>
      </c>
      <c r="K2220" t="s">
        <v>3739</v>
      </c>
      <c r="L2220">
        <v>51.8</v>
      </c>
      <c r="M2220" s="453">
        <v>45873</v>
      </c>
      <c r="N2220">
        <v>51.8</v>
      </c>
      <c r="O2220">
        <v>51.8</v>
      </c>
      <c r="P2220">
        <v>25.9</v>
      </c>
    </row>
    <row r="2221" spans="1:16" x14ac:dyDescent="0.3">
      <c r="A2221">
        <v>50135</v>
      </c>
      <c r="B2221">
        <v>116</v>
      </c>
      <c r="C2221" t="s">
        <v>568</v>
      </c>
      <c r="D2221" s="453">
        <v>45901</v>
      </c>
      <c r="E2221">
        <v>23270</v>
      </c>
      <c r="F2221" t="s">
        <v>4103</v>
      </c>
      <c r="G2221">
        <v>2590</v>
      </c>
      <c r="H2221">
        <v>1</v>
      </c>
      <c r="I2221" t="s">
        <v>3892</v>
      </c>
      <c r="J2221" t="s">
        <v>3469</v>
      </c>
      <c r="K2221" t="s">
        <v>3739</v>
      </c>
      <c r="L2221">
        <v>25</v>
      </c>
      <c r="M2221" s="453">
        <v>45895</v>
      </c>
      <c r="N2221">
        <v>25</v>
      </c>
      <c r="O2221">
        <v>25</v>
      </c>
      <c r="P2221">
        <v>25</v>
      </c>
    </row>
    <row r="2222" spans="1:16" x14ac:dyDescent="0.3">
      <c r="A2222">
        <v>49988</v>
      </c>
      <c r="B2222">
        <v>116</v>
      </c>
      <c r="C2222" t="s">
        <v>568</v>
      </c>
      <c r="D2222" s="453">
        <v>45901</v>
      </c>
      <c r="E2222">
        <v>24509</v>
      </c>
      <c r="F2222" t="s">
        <v>3906</v>
      </c>
      <c r="G2222">
        <v>2607</v>
      </c>
      <c r="H2222">
        <v>15</v>
      </c>
      <c r="I2222" t="s">
        <v>3892</v>
      </c>
      <c r="J2222" t="s">
        <v>3469</v>
      </c>
      <c r="K2222" t="s">
        <v>3739</v>
      </c>
      <c r="L2222">
        <v>1.65</v>
      </c>
      <c r="M2222" s="453">
        <v>45897</v>
      </c>
      <c r="N2222">
        <v>1.52</v>
      </c>
      <c r="O2222">
        <v>1.5</v>
      </c>
      <c r="P2222">
        <v>24.75</v>
      </c>
    </row>
    <row r="2223" spans="1:16" x14ac:dyDescent="0.3">
      <c r="A2223">
        <v>50091</v>
      </c>
      <c r="B2223">
        <v>116</v>
      </c>
      <c r="C2223" t="s">
        <v>568</v>
      </c>
      <c r="D2223" s="453">
        <v>45901</v>
      </c>
      <c r="E2223">
        <v>24212</v>
      </c>
      <c r="F2223" t="s">
        <v>4056</v>
      </c>
      <c r="G2223">
        <v>2064</v>
      </c>
      <c r="H2223">
        <v>2</v>
      </c>
      <c r="I2223" t="s">
        <v>3892</v>
      </c>
      <c r="J2223" t="s">
        <v>3469</v>
      </c>
      <c r="K2223" t="s">
        <v>3739</v>
      </c>
      <c r="L2223">
        <v>11.63</v>
      </c>
      <c r="M2223" s="453">
        <v>45894</v>
      </c>
      <c r="N2223">
        <v>11.9</v>
      </c>
      <c r="O2223">
        <v>11.9</v>
      </c>
      <c r="P2223">
        <v>23.26</v>
      </c>
    </row>
    <row r="2224" spans="1:16" x14ac:dyDescent="0.3">
      <c r="A2224">
        <v>50163</v>
      </c>
      <c r="B2224">
        <v>116</v>
      </c>
      <c r="C2224" t="s">
        <v>568</v>
      </c>
      <c r="D2224" s="453">
        <v>45901</v>
      </c>
      <c r="E2224">
        <v>17878</v>
      </c>
      <c r="F2224" t="s">
        <v>4096</v>
      </c>
      <c r="G2224">
        <v>3677</v>
      </c>
      <c r="H2224">
        <v>1</v>
      </c>
      <c r="I2224" t="s">
        <v>3872</v>
      </c>
      <c r="J2224" t="s">
        <v>3497</v>
      </c>
      <c r="K2224" t="s">
        <v>3739</v>
      </c>
      <c r="L2224">
        <v>23.23</v>
      </c>
      <c r="M2224" s="453">
        <v>45887</v>
      </c>
      <c r="N2224">
        <v>23.23</v>
      </c>
      <c r="O2224">
        <v>23.23</v>
      </c>
      <c r="P2224">
        <v>23.23</v>
      </c>
    </row>
    <row r="2225" spans="1:16" x14ac:dyDescent="0.3">
      <c r="A2225">
        <v>50131</v>
      </c>
      <c r="B2225">
        <v>116</v>
      </c>
      <c r="C2225" t="s">
        <v>568</v>
      </c>
      <c r="D2225" s="453">
        <v>45901</v>
      </c>
      <c r="E2225">
        <v>19902</v>
      </c>
      <c r="F2225" t="s">
        <v>3909</v>
      </c>
      <c r="G2225">
        <v>2382</v>
      </c>
      <c r="H2225">
        <v>1</v>
      </c>
      <c r="I2225" t="s">
        <v>3881</v>
      </c>
      <c r="J2225" t="s">
        <v>3469</v>
      </c>
      <c r="K2225" t="s">
        <v>3739</v>
      </c>
      <c r="L2225">
        <v>22.9</v>
      </c>
      <c r="M2225" s="453">
        <v>45881</v>
      </c>
      <c r="N2225">
        <v>22.9</v>
      </c>
      <c r="O2225">
        <v>22.9</v>
      </c>
      <c r="P2225">
        <v>22.9</v>
      </c>
    </row>
    <row r="2226" spans="1:16" x14ac:dyDescent="0.3">
      <c r="A2226">
        <v>50040</v>
      </c>
      <c r="B2226">
        <v>116</v>
      </c>
      <c r="C2226" t="s">
        <v>568</v>
      </c>
      <c r="D2226" s="453">
        <v>45901</v>
      </c>
      <c r="E2226">
        <v>21093</v>
      </c>
      <c r="F2226" t="s">
        <v>3903</v>
      </c>
      <c r="G2226">
        <v>1988</v>
      </c>
      <c r="H2226">
        <v>4.5</v>
      </c>
      <c r="I2226" t="s">
        <v>3892</v>
      </c>
      <c r="J2226" t="s">
        <v>3469</v>
      </c>
      <c r="K2226" t="s">
        <v>3739</v>
      </c>
      <c r="L2226">
        <v>4.91</v>
      </c>
      <c r="M2226" s="453">
        <v>45888</v>
      </c>
      <c r="N2226">
        <v>4.95</v>
      </c>
      <c r="O2226">
        <v>4.95</v>
      </c>
      <c r="P2226">
        <v>22.1</v>
      </c>
    </row>
    <row r="2227" spans="1:16" x14ac:dyDescent="0.3">
      <c r="A2227">
        <v>50152</v>
      </c>
      <c r="B2227">
        <v>116</v>
      </c>
      <c r="C2227" t="s">
        <v>568</v>
      </c>
      <c r="D2227" s="453">
        <v>45901</v>
      </c>
      <c r="E2227">
        <v>18666</v>
      </c>
      <c r="F2227" t="s">
        <v>4003</v>
      </c>
      <c r="G2227">
        <v>3053</v>
      </c>
      <c r="H2227">
        <v>1</v>
      </c>
      <c r="I2227" t="s">
        <v>3892</v>
      </c>
      <c r="J2227" t="s">
        <v>3469</v>
      </c>
      <c r="K2227" t="s">
        <v>3739</v>
      </c>
      <c r="L2227">
        <v>22</v>
      </c>
      <c r="M2227" s="453">
        <v>45888</v>
      </c>
      <c r="N2227">
        <v>22</v>
      </c>
      <c r="O2227">
        <v>22.99</v>
      </c>
      <c r="P2227">
        <v>22</v>
      </c>
    </row>
    <row r="2228" spans="1:16" x14ac:dyDescent="0.3">
      <c r="A2228">
        <v>50111</v>
      </c>
      <c r="B2228">
        <v>116</v>
      </c>
      <c r="C2228" t="s">
        <v>568</v>
      </c>
      <c r="D2228" s="453">
        <v>45901</v>
      </c>
      <c r="E2228">
        <v>19932</v>
      </c>
      <c r="F2228" t="s">
        <v>4011</v>
      </c>
      <c r="G2228">
        <v>2368</v>
      </c>
      <c r="H2228">
        <v>1.5</v>
      </c>
      <c r="I2228" t="s">
        <v>3872</v>
      </c>
      <c r="J2228" t="s">
        <v>3469</v>
      </c>
      <c r="K2228" t="s">
        <v>3739</v>
      </c>
      <c r="L2228">
        <v>13.2</v>
      </c>
      <c r="M2228" s="453">
        <v>45888</v>
      </c>
      <c r="N2228">
        <v>13.2</v>
      </c>
      <c r="O2228">
        <v>13.2</v>
      </c>
      <c r="P2228">
        <v>19.8</v>
      </c>
    </row>
    <row r="2229" spans="1:16" x14ac:dyDescent="0.3">
      <c r="A2229">
        <v>50049</v>
      </c>
      <c r="B2229">
        <v>116</v>
      </c>
      <c r="C2229" t="s">
        <v>568</v>
      </c>
      <c r="D2229" s="453">
        <v>45901</v>
      </c>
      <c r="E2229">
        <v>23389</v>
      </c>
      <c r="F2229" t="s">
        <v>4016</v>
      </c>
      <c r="G2229">
        <v>2475</v>
      </c>
      <c r="H2229">
        <v>4</v>
      </c>
      <c r="I2229" t="s">
        <v>3892</v>
      </c>
      <c r="J2229" t="s">
        <v>3469</v>
      </c>
      <c r="K2229" t="s">
        <v>3739</v>
      </c>
      <c r="L2229">
        <v>4.9000000000000004</v>
      </c>
      <c r="M2229" s="453">
        <v>45897</v>
      </c>
      <c r="N2229">
        <v>5.5</v>
      </c>
      <c r="O2229">
        <v>4.3</v>
      </c>
      <c r="P2229">
        <v>19.600000000000001</v>
      </c>
    </row>
    <row r="2230" spans="1:16" x14ac:dyDescent="0.3">
      <c r="A2230">
        <v>50127</v>
      </c>
      <c r="B2230">
        <v>116</v>
      </c>
      <c r="C2230" t="s">
        <v>568</v>
      </c>
      <c r="D2230" s="453">
        <v>45901</v>
      </c>
      <c r="E2230">
        <v>24364</v>
      </c>
      <c r="F2230" t="s">
        <v>4061</v>
      </c>
      <c r="G2230">
        <v>2043</v>
      </c>
      <c r="H2230">
        <v>1</v>
      </c>
      <c r="I2230" t="s">
        <v>3892</v>
      </c>
      <c r="J2230" t="s">
        <v>3469</v>
      </c>
      <c r="K2230" t="s">
        <v>3739</v>
      </c>
      <c r="L2230">
        <v>19</v>
      </c>
      <c r="M2230" s="453">
        <v>45888</v>
      </c>
      <c r="N2230">
        <v>19</v>
      </c>
      <c r="O2230">
        <v>17.8</v>
      </c>
      <c r="P2230">
        <v>19</v>
      </c>
    </row>
    <row r="2231" spans="1:16" x14ac:dyDescent="0.3">
      <c r="A2231">
        <v>50095</v>
      </c>
      <c r="B2231">
        <v>116</v>
      </c>
      <c r="C2231" t="s">
        <v>568</v>
      </c>
      <c r="D2231" s="453">
        <v>45901</v>
      </c>
      <c r="E2231">
        <v>19634</v>
      </c>
      <c r="F2231" t="s">
        <v>4068</v>
      </c>
      <c r="G2231">
        <v>2602</v>
      </c>
      <c r="H2231">
        <v>2</v>
      </c>
      <c r="I2231" t="s">
        <v>3892</v>
      </c>
      <c r="J2231" t="s">
        <v>3469</v>
      </c>
      <c r="K2231" t="s">
        <v>3739</v>
      </c>
      <c r="L2231">
        <v>9.06</v>
      </c>
      <c r="M2231" s="453">
        <v>45897</v>
      </c>
      <c r="N2231">
        <v>8.89</v>
      </c>
      <c r="O2231">
        <v>7.82</v>
      </c>
      <c r="P2231">
        <v>18.12</v>
      </c>
    </row>
    <row r="2232" spans="1:16" x14ac:dyDescent="0.3">
      <c r="A2232">
        <v>50048</v>
      </c>
      <c r="B2232">
        <v>116</v>
      </c>
      <c r="C2232" t="s">
        <v>568</v>
      </c>
      <c r="D2232" s="453">
        <v>45901</v>
      </c>
      <c r="E2232">
        <v>19787</v>
      </c>
      <c r="F2232" t="s">
        <v>3940</v>
      </c>
      <c r="G2232">
        <v>2471</v>
      </c>
      <c r="H2232">
        <v>4</v>
      </c>
      <c r="I2232" t="s">
        <v>3892</v>
      </c>
      <c r="J2232" t="s">
        <v>3469</v>
      </c>
      <c r="K2232" t="s">
        <v>3739</v>
      </c>
      <c r="L2232">
        <v>4.46</v>
      </c>
      <c r="M2232" s="453">
        <v>45897</v>
      </c>
      <c r="N2232">
        <v>4.3</v>
      </c>
      <c r="O2232">
        <v>3.99</v>
      </c>
      <c r="P2232">
        <v>17.84</v>
      </c>
    </row>
    <row r="2233" spans="1:16" x14ac:dyDescent="0.3">
      <c r="A2233">
        <v>50146</v>
      </c>
      <c r="B2233">
        <v>116</v>
      </c>
      <c r="C2233" t="s">
        <v>568</v>
      </c>
      <c r="D2233" s="453">
        <v>45901</v>
      </c>
      <c r="E2233">
        <v>19572</v>
      </c>
      <c r="F2233" t="s">
        <v>4023</v>
      </c>
      <c r="G2233">
        <v>2646</v>
      </c>
      <c r="H2233">
        <v>1</v>
      </c>
      <c r="I2233" t="s">
        <v>3892</v>
      </c>
      <c r="J2233" t="s">
        <v>3469</v>
      </c>
      <c r="K2233" t="s">
        <v>3739</v>
      </c>
      <c r="L2233">
        <v>17.02</v>
      </c>
      <c r="M2233" s="453">
        <v>45896</v>
      </c>
      <c r="N2233">
        <v>18</v>
      </c>
      <c r="O2233">
        <v>13.4</v>
      </c>
      <c r="P2233">
        <v>17.02</v>
      </c>
    </row>
    <row r="2234" spans="1:16" x14ac:dyDescent="0.3">
      <c r="A2234">
        <v>50170</v>
      </c>
      <c r="B2234">
        <v>116</v>
      </c>
      <c r="C2234" t="s">
        <v>568</v>
      </c>
      <c r="D2234" s="453">
        <v>45901</v>
      </c>
      <c r="E2234">
        <v>20832</v>
      </c>
      <c r="F2234" t="s">
        <v>4060</v>
      </c>
      <c r="G2234">
        <v>2065</v>
      </c>
      <c r="H2234">
        <v>0.5</v>
      </c>
      <c r="I2234" t="s">
        <v>3886</v>
      </c>
      <c r="J2234" t="s">
        <v>3469</v>
      </c>
      <c r="K2234" t="s">
        <v>3739</v>
      </c>
      <c r="L2234">
        <v>34</v>
      </c>
      <c r="M2234" s="453">
        <v>45888</v>
      </c>
      <c r="N2234">
        <v>34</v>
      </c>
      <c r="O2234">
        <v>34</v>
      </c>
      <c r="P2234">
        <v>17</v>
      </c>
    </row>
    <row r="2235" spans="1:16" x14ac:dyDescent="0.3">
      <c r="A2235">
        <v>50033</v>
      </c>
      <c r="B2235">
        <v>116</v>
      </c>
      <c r="C2235" t="s">
        <v>568</v>
      </c>
      <c r="D2235" s="453">
        <v>45901</v>
      </c>
      <c r="E2235">
        <v>24083</v>
      </c>
      <c r="F2235" t="s">
        <v>3898</v>
      </c>
      <c r="G2235">
        <v>2592</v>
      </c>
      <c r="H2235">
        <v>5</v>
      </c>
      <c r="I2235" t="s">
        <v>3892</v>
      </c>
      <c r="J2235" t="s">
        <v>3469</v>
      </c>
      <c r="K2235" t="s">
        <v>3739</v>
      </c>
      <c r="L2235">
        <v>3.38</v>
      </c>
      <c r="M2235" s="453">
        <v>45897</v>
      </c>
      <c r="N2235">
        <v>3.2</v>
      </c>
      <c r="O2235">
        <v>2.8</v>
      </c>
      <c r="P2235">
        <v>16.899999999999999</v>
      </c>
    </row>
    <row r="2236" spans="1:16" x14ac:dyDescent="0.3">
      <c r="A2236">
        <v>50169</v>
      </c>
      <c r="B2236">
        <v>116</v>
      </c>
      <c r="C2236" t="s">
        <v>568</v>
      </c>
      <c r="D2236" s="453">
        <v>45901</v>
      </c>
      <c r="E2236">
        <v>20213</v>
      </c>
      <c r="F2236" t="s">
        <v>4059</v>
      </c>
      <c r="G2236">
        <v>2251</v>
      </c>
      <c r="H2236">
        <v>0.5</v>
      </c>
      <c r="I2236" t="s">
        <v>3888</v>
      </c>
      <c r="J2236" t="s">
        <v>3469</v>
      </c>
      <c r="K2236" t="s">
        <v>3739</v>
      </c>
      <c r="L2236">
        <v>0</v>
      </c>
      <c r="M2236" s="453">
        <v>45818</v>
      </c>
      <c r="N2236">
        <v>31.62</v>
      </c>
      <c r="O2236">
        <v>31.61</v>
      </c>
      <c r="P2236">
        <v>15.81</v>
      </c>
    </row>
    <row r="2237" spans="1:16" x14ac:dyDescent="0.3">
      <c r="A2237">
        <v>50093</v>
      </c>
      <c r="B2237">
        <v>116</v>
      </c>
      <c r="C2237" t="s">
        <v>568</v>
      </c>
      <c r="D2237" s="453">
        <v>45901</v>
      </c>
      <c r="E2237">
        <v>25768</v>
      </c>
      <c r="F2237" t="s">
        <v>4012</v>
      </c>
      <c r="G2237">
        <v>6317</v>
      </c>
      <c r="H2237">
        <v>2</v>
      </c>
      <c r="I2237" t="s">
        <v>3892</v>
      </c>
      <c r="J2237" t="s">
        <v>3469</v>
      </c>
      <c r="K2237" t="s">
        <v>3739</v>
      </c>
      <c r="L2237">
        <v>6.9</v>
      </c>
      <c r="M2237" s="453">
        <v>45874</v>
      </c>
      <c r="N2237">
        <v>6.9</v>
      </c>
      <c r="O2237">
        <v>6.9</v>
      </c>
      <c r="P2237">
        <v>13.8</v>
      </c>
    </row>
    <row r="2238" spans="1:16" x14ac:dyDescent="0.3">
      <c r="A2238">
        <v>50176</v>
      </c>
      <c r="B2238">
        <v>116</v>
      </c>
      <c r="C2238" t="s">
        <v>568</v>
      </c>
      <c r="D2238" s="453">
        <v>45901</v>
      </c>
      <c r="E2238">
        <v>19710</v>
      </c>
      <c r="F2238" t="s">
        <v>4106</v>
      </c>
      <c r="G2238">
        <v>2540</v>
      </c>
      <c r="H2238">
        <v>0.5</v>
      </c>
      <c r="I2238" t="s">
        <v>3888</v>
      </c>
      <c r="J2238" t="s">
        <v>3469</v>
      </c>
      <c r="K2238" t="s">
        <v>3739</v>
      </c>
      <c r="L2238">
        <v>0</v>
      </c>
      <c r="M2238" s="453">
        <v>45783</v>
      </c>
      <c r="N2238">
        <v>23.9</v>
      </c>
      <c r="O2238">
        <v>23.75</v>
      </c>
      <c r="P2238">
        <v>11.95</v>
      </c>
    </row>
    <row r="2239" spans="1:16" x14ac:dyDescent="0.3">
      <c r="A2239">
        <v>50112</v>
      </c>
      <c r="B2239">
        <v>116</v>
      </c>
      <c r="C2239" t="s">
        <v>568</v>
      </c>
      <c r="D2239" s="453">
        <v>45901</v>
      </c>
      <c r="E2239">
        <v>19494</v>
      </c>
      <c r="F2239" t="s">
        <v>4126</v>
      </c>
      <c r="G2239">
        <v>2716</v>
      </c>
      <c r="H2239">
        <v>1.5</v>
      </c>
      <c r="I2239" t="s">
        <v>3892</v>
      </c>
      <c r="J2239" t="s">
        <v>3469</v>
      </c>
      <c r="K2239" t="s">
        <v>3739</v>
      </c>
      <c r="L2239">
        <v>7.9</v>
      </c>
      <c r="M2239" s="453">
        <v>45897</v>
      </c>
      <c r="N2239">
        <v>7</v>
      </c>
      <c r="O2239">
        <v>7</v>
      </c>
      <c r="P2239">
        <v>11.85</v>
      </c>
    </row>
    <row r="2240" spans="1:16" x14ac:dyDescent="0.3">
      <c r="A2240">
        <v>50072</v>
      </c>
      <c r="B2240">
        <v>116</v>
      </c>
      <c r="C2240" t="s">
        <v>568</v>
      </c>
      <c r="D2240" s="453">
        <v>45901</v>
      </c>
      <c r="E2240">
        <v>19623</v>
      </c>
      <c r="F2240" t="s">
        <v>3984</v>
      </c>
      <c r="G2240">
        <v>2611</v>
      </c>
      <c r="H2240">
        <v>3</v>
      </c>
      <c r="I2240" t="s">
        <v>3892</v>
      </c>
      <c r="J2240" t="s">
        <v>3469</v>
      </c>
      <c r="K2240" t="s">
        <v>3739</v>
      </c>
      <c r="L2240">
        <v>3.88</v>
      </c>
      <c r="M2240" s="453">
        <v>45897</v>
      </c>
      <c r="N2240">
        <v>3.75</v>
      </c>
      <c r="O2240">
        <v>3.5</v>
      </c>
      <c r="P2240">
        <v>11.64</v>
      </c>
    </row>
    <row r="2241" spans="1:16" x14ac:dyDescent="0.3">
      <c r="A2241">
        <v>50097</v>
      </c>
      <c r="B2241">
        <v>116</v>
      </c>
      <c r="C2241" t="s">
        <v>568</v>
      </c>
      <c r="D2241" s="453">
        <v>45901</v>
      </c>
      <c r="E2241">
        <v>23236</v>
      </c>
      <c r="F2241" t="s">
        <v>4017</v>
      </c>
      <c r="G2241">
        <v>2620</v>
      </c>
      <c r="H2241">
        <v>2</v>
      </c>
      <c r="I2241" t="s">
        <v>3892</v>
      </c>
      <c r="J2241" t="s">
        <v>3469</v>
      </c>
      <c r="K2241" t="s">
        <v>3739</v>
      </c>
      <c r="L2241">
        <v>5.4</v>
      </c>
      <c r="M2241" s="453">
        <v>45897</v>
      </c>
      <c r="N2241">
        <v>4.9000000000000004</v>
      </c>
      <c r="O2241">
        <v>4.5</v>
      </c>
      <c r="P2241">
        <v>10.8</v>
      </c>
    </row>
    <row r="2242" spans="1:16" x14ac:dyDescent="0.3">
      <c r="A2242">
        <v>50183</v>
      </c>
      <c r="B2242">
        <v>116</v>
      </c>
      <c r="C2242" t="s">
        <v>568</v>
      </c>
      <c r="D2242" s="453">
        <v>45901</v>
      </c>
      <c r="E2242">
        <v>19475</v>
      </c>
      <c r="F2242" t="s">
        <v>4111</v>
      </c>
      <c r="G2242">
        <v>2730</v>
      </c>
      <c r="H2242">
        <v>0.2</v>
      </c>
      <c r="I2242" t="s">
        <v>3892</v>
      </c>
      <c r="J2242" t="s">
        <v>3469</v>
      </c>
      <c r="K2242" t="s">
        <v>3739</v>
      </c>
      <c r="L2242">
        <v>0</v>
      </c>
      <c r="M2242" s="453">
        <v>45831</v>
      </c>
      <c r="N2242">
        <v>50</v>
      </c>
      <c r="O2242">
        <v>50</v>
      </c>
      <c r="P2242">
        <v>10</v>
      </c>
    </row>
    <row r="2243" spans="1:16" x14ac:dyDescent="0.3">
      <c r="A2243">
        <v>50173</v>
      </c>
      <c r="B2243">
        <v>116</v>
      </c>
      <c r="C2243" t="s">
        <v>568</v>
      </c>
      <c r="D2243" s="453">
        <v>45901</v>
      </c>
      <c r="E2243">
        <v>19558</v>
      </c>
      <c r="F2243" t="s">
        <v>4183</v>
      </c>
      <c r="G2243">
        <v>2659</v>
      </c>
      <c r="H2243">
        <v>0.5</v>
      </c>
      <c r="I2243" t="s">
        <v>3892</v>
      </c>
      <c r="J2243" t="s">
        <v>3469</v>
      </c>
      <c r="K2243" t="s">
        <v>3739</v>
      </c>
      <c r="L2243">
        <v>19.190000000000001</v>
      </c>
      <c r="M2243" s="453">
        <v>45894</v>
      </c>
      <c r="N2243">
        <v>22</v>
      </c>
      <c r="O2243">
        <v>11.17</v>
      </c>
      <c r="P2243">
        <v>9.6</v>
      </c>
    </row>
    <row r="2244" spans="1:16" x14ac:dyDescent="0.3">
      <c r="A2244">
        <v>50175</v>
      </c>
      <c r="B2244">
        <v>116</v>
      </c>
      <c r="C2244" t="s">
        <v>568</v>
      </c>
      <c r="D2244" s="453">
        <v>45901</v>
      </c>
      <c r="E2244">
        <v>23184</v>
      </c>
      <c r="F2244" t="s">
        <v>3894</v>
      </c>
      <c r="G2244">
        <v>2670</v>
      </c>
      <c r="H2244">
        <v>0.5</v>
      </c>
      <c r="I2244" t="s">
        <v>3892</v>
      </c>
      <c r="J2244" t="s">
        <v>3469</v>
      </c>
      <c r="K2244" t="s">
        <v>3739</v>
      </c>
      <c r="L2244">
        <v>18.88</v>
      </c>
      <c r="M2244" s="453">
        <v>45890</v>
      </c>
      <c r="N2244">
        <v>18.88</v>
      </c>
      <c r="O2244">
        <v>17.899999999999999</v>
      </c>
      <c r="P2244">
        <v>9.44</v>
      </c>
    </row>
    <row r="2245" spans="1:16" x14ac:dyDescent="0.3">
      <c r="A2245">
        <v>50126</v>
      </c>
      <c r="B2245">
        <v>116</v>
      </c>
      <c r="C2245" t="s">
        <v>568</v>
      </c>
      <c r="D2245" s="453">
        <v>45901</v>
      </c>
      <c r="E2245">
        <v>20133</v>
      </c>
      <c r="F2245" t="s">
        <v>4461</v>
      </c>
      <c r="G2245">
        <v>2286</v>
      </c>
      <c r="H2245">
        <v>1</v>
      </c>
      <c r="I2245" t="s">
        <v>3888</v>
      </c>
      <c r="J2245" t="s">
        <v>3469</v>
      </c>
      <c r="K2245" t="s">
        <v>3739</v>
      </c>
      <c r="L2245">
        <v>0</v>
      </c>
      <c r="M2245" s="453">
        <v>45763</v>
      </c>
      <c r="N2245">
        <v>9.3699999999999992</v>
      </c>
      <c r="O2245">
        <v>7.8</v>
      </c>
      <c r="P2245">
        <v>9.3699999999999992</v>
      </c>
    </row>
    <row r="2246" spans="1:16" x14ac:dyDescent="0.3">
      <c r="A2246">
        <v>50143</v>
      </c>
      <c r="B2246">
        <v>116</v>
      </c>
      <c r="C2246" t="s">
        <v>568</v>
      </c>
      <c r="D2246" s="453">
        <v>45901</v>
      </c>
      <c r="E2246">
        <v>19689</v>
      </c>
      <c r="F2246" t="s">
        <v>4073</v>
      </c>
      <c r="G2246">
        <v>2551</v>
      </c>
      <c r="H2246">
        <v>1</v>
      </c>
      <c r="I2246" t="s">
        <v>3892</v>
      </c>
      <c r="J2246" t="s">
        <v>3469</v>
      </c>
      <c r="K2246" t="s">
        <v>3739</v>
      </c>
      <c r="L2246">
        <v>0</v>
      </c>
      <c r="M2246" s="453">
        <v>45845</v>
      </c>
      <c r="N2246">
        <v>9</v>
      </c>
      <c r="O2246">
        <v>5.04</v>
      </c>
      <c r="P2246">
        <v>9</v>
      </c>
    </row>
    <row r="2247" spans="1:16" x14ac:dyDescent="0.3">
      <c r="A2247">
        <v>50139</v>
      </c>
      <c r="B2247">
        <v>116</v>
      </c>
      <c r="C2247" t="s">
        <v>568</v>
      </c>
      <c r="D2247" s="453">
        <v>45901</v>
      </c>
      <c r="E2247">
        <v>24598</v>
      </c>
      <c r="F2247" t="s">
        <v>4166</v>
      </c>
      <c r="G2247">
        <v>2725</v>
      </c>
      <c r="H2247">
        <v>1</v>
      </c>
      <c r="I2247" t="s">
        <v>3892</v>
      </c>
      <c r="J2247" t="s">
        <v>3469</v>
      </c>
      <c r="K2247" t="s">
        <v>3739</v>
      </c>
      <c r="L2247">
        <v>8.76</v>
      </c>
      <c r="M2247" s="453">
        <v>45897</v>
      </c>
      <c r="N2247">
        <v>8.5</v>
      </c>
      <c r="O2247">
        <v>7.82</v>
      </c>
      <c r="P2247">
        <v>8.76</v>
      </c>
    </row>
    <row r="2248" spans="1:16" x14ac:dyDescent="0.3">
      <c r="A2248">
        <v>50123</v>
      </c>
      <c r="B2248">
        <v>116</v>
      </c>
      <c r="C2248" t="s">
        <v>568</v>
      </c>
      <c r="D2248" s="453">
        <v>45901</v>
      </c>
      <c r="E2248">
        <v>21126</v>
      </c>
      <c r="F2248" t="s">
        <v>4004</v>
      </c>
      <c r="G2248">
        <v>1963</v>
      </c>
      <c r="H2248">
        <v>1</v>
      </c>
      <c r="I2248" t="s">
        <v>3888</v>
      </c>
      <c r="J2248" t="s">
        <v>3469</v>
      </c>
      <c r="K2248" t="s">
        <v>3739</v>
      </c>
      <c r="L2248">
        <v>8.4</v>
      </c>
      <c r="M2248" s="453">
        <v>45895</v>
      </c>
      <c r="N2248">
        <v>8.4</v>
      </c>
      <c r="O2248">
        <v>8.4</v>
      </c>
      <c r="P2248">
        <v>8.4</v>
      </c>
    </row>
    <row r="2249" spans="1:16" x14ac:dyDescent="0.3">
      <c r="A2249">
        <v>50136</v>
      </c>
      <c r="B2249">
        <v>116</v>
      </c>
      <c r="C2249" t="s">
        <v>568</v>
      </c>
      <c r="D2249" s="453">
        <v>45901</v>
      </c>
      <c r="E2249">
        <v>19647</v>
      </c>
      <c r="F2249" t="s">
        <v>4066</v>
      </c>
      <c r="G2249">
        <v>2591</v>
      </c>
      <c r="H2249">
        <v>1</v>
      </c>
      <c r="I2249" t="s">
        <v>3892</v>
      </c>
      <c r="J2249" t="s">
        <v>3469</v>
      </c>
      <c r="K2249" t="s">
        <v>3739</v>
      </c>
      <c r="L2249">
        <v>7.5</v>
      </c>
      <c r="M2249" s="453">
        <v>45897</v>
      </c>
      <c r="N2249">
        <v>8.5</v>
      </c>
      <c r="O2249">
        <v>8.5</v>
      </c>
      <c r="P2249">
        <v>7.5</v>
      </c>
    </row>
    <row r="2250" spans="1:16" x14ac:dyDescent="0.3">
      <c r="A2250">
        <v>50141</v>
      </c>
      <c r="B2250">
        <v>116</v>
      </c>
      <c r="C2250" t="s">
        <v>568</v>
      </c>
      <c r="D2250" s="453">
        <v>45901</v>
      </c>
      <c r="E2250">
        <v>19607</v>
      </c>
      <c r="F2250" t="s">
        <v>4105</v>
      </c>
      <c r="G2250">
        <v>2623</v>
      </c>
      <c r="H2250">
        <v>1</v>
      </c>
      <c r="I2250" t="s">
        <v>3892</v>
      </c>
      <c r="J2250" t="s">
        <v>3469</v>
      </c>
      <c r="K2250" t="s">
        <v>3739</v>
      </c>
      <c r="L2250">
        <v>7.5</v>
      </c>
      <c r="M2250" s="453">
        <v>45896</v>
      </c>
      <c r="N2250">
        <v>7.5</v>
      </c>
      <c r="O2250">
        <v>7.36</v>
      </c>
      <c r="P2250">
        <v>7.5</v>
      </c>
    </row>
    <row r="2251" spans="1:16" x14ac:dyDescent="0.3">
      <c r="A2251">
        <v>50144</v>
      </c>
      <c r="B2251">
        <v>116</v>
      </c>
      <c r="C2251" t="s">
        <v>568</v>
      </c>
      <c r="D2251" s="453">
        <v>45901</v>
      </c>
      <c r="E2251">
        <v>19742</v>
      </c>
      <c r="F2251" t="s">
        <v>4074</v>
      </c>
      <c r="G2251">
        <v>2511</v>
      </c>
      <c r="H2251">
        <v>1</v>
      </c>
      <c r="I2251" t="s">
        <v>3892</v>
      </c>
      <c r="J2251" t="s">
        <v>3469</v>
      </c>
      <c r="K2251" t="s">
        <v>3739</v>
      </c>
      <c r="L2251">
        <v>6.81</v>
      </c>
      <c r="M2251" s="453">
        <v>45894</v>
      </c>
      <c r="N2251">
        <v>4.5</v>
      </c>
      <c r="O2251">
        <v>7.55</v>
      </c>
      <c r="P2251">
        <v>6.81</v>
      </c>
    </row>
    <row r="2252" spans="1:16" x14ac:dyDescent="0.3">
      <c r="A2252">
        <v>50171</v>
      </c>
      <c r="B2252">
        <v>116</v>
      </c>
      <c r="C2252" t="s">
        <v>568</v>
      </c>
      <c r="D2252" s="453">
        <v>45901</v>
      </c>
      <c r="E2252">
        <v>19936</v>
      </c>
      <c r="F2252" t="s">
        <v>4462</v>
      </c>
      <c r="G2252">
        <v>2367</v>
      </c>
      <c r="H2252">
        <v>0.5</v>
      </c>
      <c r="I2252" t="s">
        <v>3892</v>
      </c>
      <c r="J2252" t="s">
        <v>3469</v>
      </c>
      <c r="K2252" t="s">
        <v>3739</v>
      </c>
      <c r="L2252">
        <v>0</v>
      </c>
      <c r="M2252" s="453">
        <v>45782</v>
      </c>
      <c r="N2252">
        <v>13.28</v>
      </c>
      <c r="O2252">
        <v>12.92</v>
      </c>
      <c r="P2252">
        <v>6.64</v>
      </c>
    </row>
    <row r="2253" spans="1:16" x14ac:dyDescent="0.3">
      <c r="A2253">
        <v>50174</v>
      </c>
      <c r="B2253">
        <v>116</v>
      </c>
      <c r="C2253" t="s">
        <v>568</v>
      </c>
      <c r="D2253" s="453">
        <v>45901</v>
      </c>
      <c r="E2253">
        <v>19555</v>
      </c>
      <c r="F2253" t="s">
        <v>4109</v>
      </c>
      <c r="G2253">
        <v>2662</v>
      </c>
      <c r="H2253">
        <v>0.5</v>
      </c>
      <c r="I2253" t="s">
        <v>3892</v>
      </c>
      <c r="J2253" t="s">
        <v>3469</v>
      </c>
      <c r="K2253" t="s">
        <v>3739</v>
      </c>
      <c r="L2253">
        <v>12.41</v>
      </c>
      <c r="M2253" s="453">
        <v>45897</v>
      </c>
      <c r="N2253">
        <v>10.58</v>
      </c>
      <c r="O2253">
        <v>10.58</v>
      </c>
      <c r="P2253">
        <v>6.2</v>
      </c>
    </row>
    <row r="2254" spans="1:16" x14ac:dyDescent="0.3">
      <c r="A2254">
        <v>50096</v>
      </c>
      <c r="B2254">
        <v>116</v>
      </c>
      <c r="C2254" t="s">
        <v>568</v>
      </c>
      <c r="D2254" s="453">
        <v>45901</v>
      </c>
      <c r="E2254">
        <v>19621</v>
      </c>
      <c r="F2254" t="s">
        <v>4125</v>
      </c>
      <c r="G2254">
        <v>2613</v>
      </c>
      <c r="H2254">
        <v>2</v>
      </c>
      <c r="I2254" t="s">
        <v>3892</v>
      </c>
      <c r="J2254" t="s">
        <v>3469</v>
      </c>
      <c r="K2254" t="s">
        <v>3739</v>
      </c>
      <c r="L2254">
        <v>2.57</v>
      </c>
      <c r="M2254" s="453">
        <v>45890</v>
      </c>
      <c r="N2254">
        <v>2.39</v>
      </c>
      <c r="O2254">
        <v>3.18</v>
      </c>
      <c r="P2254">
        <v>5.14</v>
      </c>
    </row>
    <row r="2255" spans="1:16" x14ac:dyDescent="0.3">
      <c r="A2255">
        <v>50168</v>
      </c>
      <c r="B2255">
        <v>116</v>
      </c>
      <c r="C2255" t="s">
        <v>568</v>
      </c>
      <c r="D2255" s="453">
        <v>45901</v>
      </c>
      <c r="E2255">
        <v>19498</v>
      </c>
      <c r="F2255" t="s">
        <v>4065</v>
      </c>
      <c r="G2255">
        <v>2712</v>
      </c>
      <c r="H2255">
        <v>0.6</v>
      </c>
      <c r="I2255" t="s">
        <v>3892</v>
      </c>
      <c r="J2255" t="s">
        <v>3469</v>
      </c>
      <c r="K2255" t="s">
        <v>3739</v>
      </c>
      <c r="L2255">
        <v>8.56</v>
      </c>
      <c r="M2255" s="453">
        <v>45897</v>
      </c>
      <c r="N2255">
        <v>7.5</v>
      </c>
      <c r="O2255">
        <v>7</v>
      </c>
      <c r="P2255">
        <v>5.14</v>
      </c>
    </row>
    <row r="2256" spans="1:16" x14ac:dyDescent="0.3">
      <c r="A2256">
        <v>50150</v>
      </c>
      <c r="B2256">
        <v>116</v>
      </c>
      <c r="C2256" t="s">
        <v>568</v>
      </c>
      <c r="D2256" s="453">
        <v>45901</v>
      </c>
      <c r="E2256">
        <v>19465</v>
      </c>
      <c r="F2256" t="s">
        <v>4080</v>
      </c>
      <c r="G2256">
        <v>2737</v>
      </c>
      <c r="H2256">
        <v>1</v>
      </c>
      <c r="I2256" t="s">
        <v>3892</v>
      </c>
      <c r="J2256" t="s">
        <v>3469</v>
      </c>
      <c r="K2256" t="s">
        <v>3739</v>
      </c>
      <c r="L2256">
        <v>5.03</v>
      </c>
      <c r="M2256" s="453">
        <v>45890</v>
      </c>
      <c r="N2256">
        <v>5.03</v>
      </c>
      <c r="O2256">
        <v>4.47</v>
      </c>
      <c r="P2256">
        <v>5.03</v>
      </c>
    </row>
    <row r="2257" spans="1:16" x14ac:dyDescent="0.3">
      <c r="A2257">
        <v>50185</v>
      </c>
      <c r="B2257">
        <v>116</v>
      </c>
      <c r="C2257" t="s">
        <v>568</v>
      </c>
      <c r="D2257" s="453">
        <v>45901</v>
      </c>
      <c r="E2257">
        <v>19506</v>
      </c>
      <c r="F2257" t="s">
        <v>4112</v>
      </c>
      <c r="G2257">
        <v>2705</v>
      </c>
      <c r="H2257">
        <v>0.1</v>
      </c>
      <c r="I2257" t="s">
        <v>3892</v>
      </c>
      <c r="J2257" t="s">
        <v>3469</v>
      </c>
      <c r="K2257" t="s">
        <v>3739</v>
      </c>
      <c r="L2257">
        <v>46.88</v>
      </c>
      <c r="M2257" s="453">
        <v>45896</v>
      </c>
      <c r="N2257">
        <v>50</v>
      </c>
      <c r="O2257">
        <v>45</v>
      </c>
      <c r="P2257">
        <v>4.6900000000000004</v>
      </c>
    </row>
    <row r="2258" spans="1:16" x14ac:dyDescent="0.3">
      <c r="A2258">
        <v>50142</v>
      </c>
      <c r="B2258">
        <v>116</v>
      </c>
      <c r="C2258" t="s">
        <v>568</v>
      </c>
      <c r="D2258" s="453">
        <v>45901</v>
      </c>
      <c r="E2258">
        <v>19752</v>
      </c>
      <c r="F2258" t="s">
        <v>4042</v>
      </c>
      <c r="G2258">
        <v>2501</v>
      </c>
      <c r="H2258">
        <v>1</v>
      </c>
      <c r="I2258" t="s">
        <v>3892</v>
      </c>
      <c r="J2258" t="s">
        <v>3469</v>
      </c>
      <c r="K2258" t="s">
        <v>3739</v>
      </c>
      <c r="L2258">
        <v>4.29</v>
      </c>
      <c r="M2258" s="453">
        <v>45896</v>
      </c>
      <c r="N2258">
        <v>5</v>
      </c>
      <c r="O2258">
        <v>5</v>
      </c>
      <c r="P2258">
        <v>4.29</v>
      </c>
    </row>
    <row r="2259" spans="1:16" x14ac:dyDescent="0.3">
      <c r="A2259">
        <v>50180</v>
      </c>
      <c r="B2259">
        <v>116</v>
      </c>
      <c r="C2259" t="s">
        <v>568</v>
      </c>
      <c r="D2259" s="453">
        <v>45901</v>
      </c>
      <c r="E2259">
        <v>24401</v>
      </c>
      <c r="F2259" t="s">
        <v>4063</v>
      </c>
      <c r="G2259">
        <v>2369</v>
      </c>
      <c r="H2259">
        <v>0.3</v>
      </c>
      <c r="I2259" t="s">
        <v>3872</v>
      </c>
      <c r="J2259" t="s">
        <v>3469</v>
      </c>
      <c r="K2259" t="s">
        <v>3739</v>
      </c>
      <c r="L2259">
        <v>13.2</v>
      </c>
      <c r="M2259" s="453">
        <v>45881</v>
      </c>
      <c r="N2259">
        <v>13.2</v>
      </c>
      <c r="O2259">
        <v>26.56</v>
      </c>
      <c r="P2259">
        <v>3.96</v>
      </c>
    </row>
    <row r="2260" spans="1:16" x14ac:dyDescent="0.3">
      <c r="A2260">
        <v>50179</v>
      </c>
      <c r="B2260">
        <v>116</v>
      </c>
      <c r="C2260" t="s">
        <v>568</v>
      </c>
      <c r="D2260" s="453">
        <v>45901</v>
      </c>
      <c r="E2260">
        <v>19468</v>
      </c>
      <c r="F2260" t="s">
        <v>4079</v>
      </c>
      <c r="G2260">
        <v>2736</v>
      </c>
      <c r="H2260">
        <v>0.4</v>
      </c>
      <c r="I2260" t="s">
        <v>3892</v>
      </c>
      <c r="J2260" t="s">
        <v>3469</v>
      </c>
      <c r="K2260" t="s">
        <v>3739</v>
      </c>
      <c r="L2260">
        <v>0</v>
      </c>
      <c r="M2260" s="453">
        <v>45831</v>
      </c>
      <c r="N2260">
        <v>8.5</v>
      </c>
      <c r="O2260">
        <v>5.5</v>
      </c>
      <c r="P2260">
        <v>3.4</v>
      </c>
    </row>
    <row r="2261" spans="1:16" x14ac:dyDescent="0.3">
      <c r="A2261">
        <v>50172</v>
      </c>
      <c r="B2261">
        <v>116</v>
      </c>
      <c r="C2261" t="s">
        <v>568</v>
      </c>
      <c r="D2261" s="453">
        <v>45901</v>
      </c>
      <c r="E2261">
        <v>19505</v>
      </c>
      <c r="F2261" t="s">
        <v>4101</v>
      </c>
      <c r="G2261">
        <v>2706</v>
      </c>
      <c r="H2261">
        <v>0.5</v>
      </c>
      <c r="I2261" t="s">
        <v>3892</v>
      </c>
      <c r="J2261" t="s">
        <v>3469</v>
      </c>
      <c r="K2261" t="s">
        <v>3739</v>
      </c>
      <c r="L2261">
        <v>6.58</v>
      </c>
      <c r="M2261" s="453">
        <v>45897</v>
      </c>
      <c r="N2261">
        <v>6.3</v>
      </c>
      <c r="O2261">
        <v>4.47</v>
      </c>
      <c r="P2261">
        <v>3.29</v>
      </c>
    </row>
    <row r="2262" spans="1:16" x14ac:dyDescent="0.3">
      <c r="A2262">
        <v>50137</v>
      </c>
      <c r="B2262">
        <v>116</v>
      </c>
      <c r="C2262" t="s">
        <v>568</v>
      </c>
      <c r="D2262" s="453">
        <v>45901</v>
      </c>
      <c r="E2262">
        <v>19642</v>
      </c>
      <c r="F2262" t="s">
        <v>4067</v>
      </c>
      <c r="G2262">
        <v>2596</v>
      </c>
      <c r="H2262">
        <v>1</v>
      </c>
      <c r="I2262" t="s">
        <v>3892</v>
      </c>
      <c r="J2262" t="s">
        <v>3469</v>
      </c>
      <c r="K2262" t="s">
        <v>3739</v>
      </c>
      <c r="L2262">
        <v>3.11</v>
      </c>
      <c r="M2262" s="453">
        <v>45897</v>
      </c>
      <c r="N2262">
        <v>3.8</v>
      </c>
      <c r="O2262">
        <v>3.3</v>
      </c>
      <c r="P2262">
        <v>3.11</v>
      </c>
    </row>
    <row r="2263" spans="1:16" x14ac:dyDescent="0.3">
      <c r="A2263">
        <v>50186</v>
      </c>
      <c r="B2263">
        <v>116</v>
      </c>
      <c r="C2263" t="s">
        <v>568</v>
      </c>
      <c r="D2263" s="453">
        <v>45901</v>
      </c>
      <c r="E2263">
        <v>19617</v>
      </c>
      <c r="F2263" t="s">
        <v>4110</v>
      </c>
      <c r="G2263">
        <v>2617</v>
      </c>
      <c r="H2263">
        <v>0.1</v>
      </c>
      <c r="I2263" t="s">
        <v>3892</v>
      </c>
      <c r="J2263" t="s">
        <v>3469</v>
      </c>
      <c r="K2263" t="s">
        <v>3739</v>
      </c>
      <c r="L2263">
        <v>27.22</v>
      </c>
      <c r="M2263" s="453">
        <v>45894</v>
      </c>
      <c r="N2263">
        <v>22</v>
      </c>
      <c r="O2263">
        <v>19</v>
      </c>
      <c r="P2263">
        <v>2.72</v>
      </c>
    </row>
    <row r="2264" spans="1:16" x14ac:dyDescent="0.3">
      <c r="A2264">
        <v>50182</v>
      </c>
      <c r="B2264">
        <v>116</v>
      </c>
      <c r="C2264" t="s">
        <v>568</v>
      </c>
      <c r="D2264" s="453">
        <v>45901</v>
      </c>
      <c r="E2264">
        <v>19480</v>
      </c>
      <c r="F2264" t="s">
        <v>4113</v>
      </c>
      <c r="G2264">
        <v>2726</v>
      </c>
      <c r="H2264">
        <v>0.2</v>
      </c>
      <c r="I2264" t="s">
        <v>3892</v>
      </c>
      <c r="J2264" t="s">
        <v>3469</v>
      </c>
      <c r="K2264" t="s">
        <v>3739</v>
      </c>
      <c r="L2264">
        <v>11.5</v>
      </c>
      <c r="M2264" s="453">
        <v>45896</v>
      </c>
      <c r="N2264">
        <v>12</v>
      </c>
      <c r="O2264">
        <v>12</v>
      </c>
      <c r="P2264">
        <v>2.2999999999999998</v>
      </c>
    </row>
    <row r="2265" spans="1:16" x14ac:dyDescent="0.3">
      <c r="A2265">
        <v>50149</v>
      </c>
      <c r="B2265">
        <v>116</v>
      </c>
      <c r="C2265" t="s">
        <v>568</v>
      </c>
      <c r="D2265" s="453">
        <v>45901</v>
      </c>
      <c r="E2265">
        <v>19553</v>
      </c>
      <c r="F2265" t="s">
        <v>4078</v>
      </c>
      <c r="G2265">
        <v>2663</v>
      </c>
      <c r="H2265">
        <v>1</v>
      </c>
      <c r="I2265" t="s">
        <v>3892</v>
      </c>
      <c r="J2265" t="s">
        <v>3469</v>
      </c>
      <c r="K2265" t="s">
        <v>3739</v>
      </c>
      <c r="L2265">
        <v>2.21</v>
      </c>
      <c r="M2265" s="453">
        <v>45890</v>
      </c>
      <c r="N2265">
        <v>2.0099999999999998</v>
      </c>
      <c r="O2265">
        <v>3.75</v>
      </c>
      <c r="P2265">
        <v>2.21</v>
      </c>
    </row>
    <row r="2266" spans="1:16" x14ac:dyDescent="0.3">
      <c r="A2266">
        <v>50181</v>
      </c>
      <c r="B2266">
        <v>116</v>
      </c>
      <c r="C2266" t="s">
        <v>568</v>
      </c>
      <c r="D2266" s="453">
        <v>45901</v>
      </c>
      <c r="E2266">
        <v>19488</v>
      </c>
      <c r="F2266" t="s">
        <v>4070</v>
      </c>
      <c r="G2266">
        <v>2720</v>
      </c>
      <c r="H2266">
        <v>0.2</v>
      </c>
      <c r="I2266" t="s">
        <v>3892</v>
      </c>
      <c r="J2266" t="s">
        <v>3469</v>
      </c>
      <c r="K2266" t="s">
        <v>3739</v>
      </c>
      <c r="L2266">
        <v>7.55</v>
      </c>
      <c r="M2266" s="453">
        <v>45890</v>
      </c>
      <c r="N2266">
        <v>7.55</v>
      </c>
      <c r="O2266">
        <v>6.7</v>
      </c>
      <c r="P2266">
        <v>1.51</v>
      </c>
    </row>
    <row r="2267" spans="1:16" x14ac:dyDescent="0.3">
      <c r="A2267">
        <v>45690</v>
      </c>
      <c r="B2267">
        <v>116</v>
      </c>
      <c r="C2267" t="s">
        <v>568</v>
      </c>
      <c r="D2267" s="453">
        <v>45870</v>
      </c>
      <c r="E2267">
        <v>18636</v>
      </c>
      <c r="F2267" t="s">
        <v>3921</v>
      </c>
      <c r="G2267">
        <v>3075</v>
      </c>
      <c r="H2267">
        <v>13</v>
      </c>
      <c r="I2267" t="s">
        <v>3922</v>
      </c>
      <c r="J2267" t="s">
        <v>3497</v>
      </c>
      <c r="K2267" t="s">
        <v>3742</v>
      </c>
      <c r="L2267">
        <v>445.34</v>
      </c>
      <c r="M2267" s="453">
        <v>45860</v>
      </c>
      <c r="N2267">
        <v>429</v>
      </c>
      <c r="O2267">
        <v>430.01</v>
      </c>
      <c r="P2267">
        <v>5789.42</v>
      </c>
    </row>
    <row r="2268" spans="1:16" x14ac:dyDescent="0.3">
      <c r="A2268">
        <v>45662</v>
      </c>
      <c r="B2268">
        <v>116</v>
      </c>
      <c r="C2268" t="s">
        <v>568</v>
      </c>
      <c r="D2268" s="453">
        <v>45870</v>
      </c>
      <c r="E2268">
        <v>22515</v>
      </c>
      <c r="F2268" t="s">
        <v>3883</v>
      </c>
      <c r="G2268">
        <v>3202</v>
      </c>
      <c r="H2268">
        <v>55.6</v>
      </c>
      <c r="I2268" t="s">
        <v>3884</v>
      </c>
      <c r="J2268" t="s">
        <v>3497</v>
      </c>
      <c r="K2268" t="s">
        <v>3742</v>
      </c>
      <c r="L2268">
        <v>0</v>
      </c>
      <c r="M2268" s="453">
        <v>45671</v>
      </c>
      <c r="N2268">
        <v>38</v>
      </c>
      <c r="O2268">
        <v>38</v>
      </c>
      <c r="P2268">
        <v>2112.8000000000002</v>
      </c>
    </row>
    <row r="2269" spans="1:16" x14ac:dyDescent="0.3">
      <c r="A2269">
        <v>45656</v>
      </c>
      <c r="B2269">
        <v>116</v>
      </c>
      <c r="C2269" t="s">
        <v>568</v>
      </c>
      <c r="D2269" s="453">
        <v>45870</v>
      </c>
      <c r="E2269">
        <v>22118</v>
      </c>
      <c r="F2269" t="s">
        <v>3880</v>
      </c>
      <c r="G2269">
        <v>3600</v>
      </c>
      <c r="H2269">
        <v>68</v>
      </c>
      <c r="I2269" t="s">
        <v>3881</v>
      </c>
      <c r="J2269" t="s">
        <v>3497</v>
      </c>
      <c r="K2269" t="s">
        <v>3742</v>
      </c>
      <c r="L2269">
        <v>28.92</v>
      </c>
      <c r="M2269" s="453">
        <v>45854</v>
      </c>
      <c r="N2269">
        <v>29.64</v>
      </c>
      <c r="O2269">
        <v>29.64</v>
      </c>
      <c r="P2269">
        <v>1966.56</v>
      </c>
    </row>
    <row r="2270" spans="1:16" x14ac:dyDescent="0.3">
      <c r="A2270">
        <v>45682</v>
      </c>
      <c r="B2270">
        <v>116</v>
      </c>
      <c r="C2270" t="s">
        <v>568</v>
      </c>
      <c r="D2270" s="453">
        <v>45870</v>
      </c>
      <c r="E2270">
        <v>18589</v>
      </c>
      <c r="F2270" t="s">
        <v>4234</v>
      </c>
      <c r="G2270">
        <v>3103</v>
      </c>
      <c r="H2270">
        <v>15</v>
      </c>
      <c r="I2270" t="s">
        <v>3888</v>
      </c>
      <c r="J2270" t="s">
        <v>3497</v>
      </c>
      <c r="K2270" t="s">
        <v>3742</v>
      </c>
      <c r="L2270">
        <v>0</v>
      </c>
      <c r="M2270" s="453">
        <v>45789</v>
      </c>
      <c r="N2270">
        <v>110.64</v>
      </c>
      <c r="O2270">
        <v>106.5</v>
      </c>
      <c r="P2270">
        <v>1659.6</v>
      </c>
    </row>
    <row r="2271" spans="1:16" x14ac:dyDescent="0.3">
      <c r="A2271">
        <v>45668</v>
      </c>
      <c r="B2271">
        <v>116</v>
      </c>
      <c r="C2271" t="s">
        <v>568</v>
      </c>
      <c r="D2271" s="453">
        <v>45870</v>
      </c>
      <c r="E2271">
        <v>24259</v>
      </c>
      <c r="F2271" t="s">
        <v>3895</v>
      </c>
      <c r="G2271">
        <v>2938</v>
      </c>
      <c r="H2271">
        <v>23.4</v>
      </c>
      <c r="I2271" t="s">
        <v>3892</v>
      </c>
      <c r="J2271" t="s">
        <v>3469</v>
      </c>
      <c r="K2271" t="s">
        <v>3742</v>
      </c>
      <c r="L2271">
        <v>66.27</v>
      </c>
      <c r="M2271" s="453">
        <v>45869</v>
      </c>
      <c r="N2271">
        <v>64.8</v>
      </c>
      <c r="O2271">
        <v>64.8</v>
      </c>
      <c r="P2271">
        <v>1550.72</v>
      </c>
    </row>
    <row r="2272" spans="1:16" x14ac:dyDescent="0.3">
      <c r="A2272">
        <v>45659</v>
      </c>
      <c r="B2272">
        <v>116</v>
      </c>
      <c r="C2272" t="s">
        <v>568</v>
      </c>
      <c r="D2272" s="453">
        <v>45870</v>
      </c>
      <c r="E2272">
        <v>20621</v>
      </c>
      <c r="F2272" t="s">
        <v>3885</v>
      </c>
      <c r="G2272">
        <v>2117</v>
      </c>
      <c r="H2272">
        <v>58</v>
      </c>
      <c r="I2272" t="s">
        <v>3886</v>
      </c>
      <c r="J2272" t="s">
        <v>3469</v>
      </c>
      <c r="K2272" t="s">
        <v>3742</v>
      </c>
      <c r="L2272">
        <v>0</v>
      </c>
      <c r="M2272" s="453">
        <v>45776</v>
      </c>
      <c r="N2272">
        <v>25.8</v>
      </c>
      <c r="O2272">
        <v>23.86</v>
      </c>
      <c r="P2272">
        <v>1496.4</v>
      </c>
    </row>
    <row r="2273" spans="1:16" x14ac:dyDescent="0.3">
      <c r="A2273">
        <v>45692</v>
      </c>
      <c r="B2273">
        <v>116</v>
      </c>
      <c r="C2273" t="s">
        <v>568</v>
      </c>
      <c r="D2273" s="453">
        <v>45870</v>
      </c>
      <c r="E2273">
        <v>18764</v>
      </c>
      <c r="F2273" t="s">
        <v>3907</v>
      </c>
      <c r="G2273">
        <v>3001</v>
      </c>
      <c r="H2273">
        <v>12.3</v>
      </c>
      <c r="I2273" t="s">
        <v>3892</v>
      </c>
      <c r="J2273" t="s">
        <v>3469</v>
      </c>
      <c r="K2273" t="s">
        <v>3742</v>
      </c>
      <c r="L2273">
        <v>0</v>
      </c>
      <c r="M2273" s="453">
        <v>45833</v>
      </c>
      <c r="N2273">
        <v>100</v>
      </c>
      <c r="O2273">
        <v>108</v>
      </c>
      <c r="P2273">
        <v>1230</v>
      </c>
    </row>
    <row r="2274" spans="1:16" x14ac:dyDescent="0.3">
      <c r="A2274">
        <v>45676</v>
      </c>
      <c r="B2274">
        <v>116</v>
      </c>
      <c r="C2274" t="s">
        <v>568</v>
      </c>
      <c r="D2274" s="453">
        <v>45870</v>
      </c>
      <c r="E2274">
        <v>18247</v>
      </c>
      <c r="F2274" t="s">
        <v>3877</v>
      </c>
      <c r="G2274">
        <v>3383</v>
      </c>
      <c r="H2274">
        <v>17.5</v>
      </c>
      <c r="I2274" t="s">
        <v>3878</v>
      </c>
      <c r="J2274" t="s">
        <v>3497</v>
      </c>
      <c r="K2274" t="s">
        <v>3742</v>
      </c>
      <c r="L2274">
        <v>0</v>
      </c>
      <c r="M2274" s="453">
        <v>-693593</v>
      </c>
      <c r="N2274">
        <v>0</v>
      </c>
      <c r="O2274">
        <v>0</v>
      </c>
      <c r="P2274">
        <v>1162</v>
      </c>
    </row>
    <row r="2275" spans="1:16" x14ac:dyDescent="0.3">
      <c r="A2275">
        <v>45695</v>
      </c>
      <c r="B2275">
        <v>116</v>
      </c>
      <c r="C2275" t="s">
        <v>568</v>
      </c>
      <c r="D2275" s="453">
        <v>45870</v>
      </c>
      <c r="E2275">
        <v>22734</v>
      </c>
      <c r="F2275" t="s">
        <v>3955</v>
      </c>
      <c r="G2275">
        <v>3024</v>
      </c>
      <c r="H2275">
        <v>11.9</v>
      </c>
      <c r="I2275" t="s">
        <v>3892</v>
      </c>
      <c r="J2275" t="s">
        <v>3469</v>
      </c>
      <c r="K2275" t="s">
        <v>3742</v>
      </c>
      <c r="L2275">
        <v>79</v>
      </c>
      <c r="M2275" s="453">
        <v>45860</v>
      </c>
      <c r="N2275">
        <v>79</v>
      </c>
      <c r="O2275">
        <v>410.8</v>
      </c>
      <c r="P2275">
        <v>940.1</v>
      </c>
    </row>
    <row r="2276" spans="1:16" x14ac:dyDescent="0.3">
      <c r="A2276">
        <v>45670</v>
      </c>
      <c r="B2276">
        <v>116</v>
      </c>
      <c r="C2276" t="s">
        <v>568</v>
      </c>
      <c r="D2276" s="453">
        <v>45870</v>
      </c>
      <c r="E2276">
        <v>18832</v>
      </c>
      <c r="F2276" t="s">
        <v>3900</v>
      </c>
      <c r="G2276">
        <v>2950</v>
      </c>
      <c r="H2276">
        <v>22</v>
      </c>
      <c r="I2276" t="s">
        <v>3892</v>
      </c>
      <c r="J2276" t="s">
        <v>3469</v>
      </c>
      <c r="K2276" t="s">
        <v>3742</v>
      </c>
      <c r="L2276">
        <v>39.15</v>
      </c>
      <c r="M2276" s="453">
        <v>45868</v>
      </c>
      <c r="N2276">
        <v>36.5</v>
      </c>
      <c r="O2276">
        <v>38.04</v>
      </c>
      <c r="P2276">
        <v>861.3</v>
      </c>
    </row>
    <row r="2277" spans="1:16" x14ac:dyDescent="0.3">
      <c r="A2277">
        <v>45741</v>
      </c>
      <c r="B2277">
        <v>116</v>
      </c>
      <c r="C2277" t="s">
        <v>568</v>
      </c>
      <c r="D2277" s="453">
        <v>45870</v>
      </c>
      <c r="E2277">
        <v>24072</v>
      </c>
      <c r="F2277" t="s">
        <v>4002</v>
      </c>
      <c r="G2277">
        <v>2982</v>
      </c>
      <c r="H2277">
        <v>4.2</v>
      </c>
      <c r="I2277" t="s">
        <v>3892</v>
      </c>
      <c r="J2277" t="s">
        <v>3469</v>
      </c>
      <c r="K2277" t="s">
        <v>3742</v>
      </c>
      <c r="L2277">
        <v>199</v>
      </c>
      <c r="M2277" s="453">
        <v>45860</v>
      </c>
      <c r="N2277">
        <v>199</v>
      </c>
      <c r="O2277">
        <v>83</v>
      </c>
      <c r="P2277">
        <v>835.8</v>
      </c>
    </row>
    <row r="2278" spans="1:16" x14ac:dyDescent="0.3">
      <c r="A2278">
        <v>45775</v>
      </c>
      <c r="B2278">
        <v>116</v>
      </c>
      <c r="C2278" t="s">
        <v>568</v>
      </c>
      <c r="D2278" s="453">
        <v>45870</v>
      </c>
      <c r="E2278">
        <v>18640</v>
      </c>
      <c r="F2278" t="s">
        <v>3994</v>
      </c>
      <c r="G2278">
        <v>3074</v>
      </c>
      <c r="H2278">
        <v>3</v>
      </c>
      <c r="I2278" t="s">
        <v>3922</v>
      </c>
      <c r="J2278" t="s">
        <v>3497</v>
      </c>
      <c r="K2278" t="s">
        <v>3742</v>
      </c>
      <c r="L2278">
        <v>274.66000000000003</v>
      </c>
      <c r="M2278" s="453">
        <v>45860</v>
      </c>
      <c r="N2278">
        <v>265.8</v>
      </c>
      <c r="O2278">
        <v>276.43</v>
      </c>
      <c r="P2278">
        <v>823.98</v>
      </c>
    </row>
    <row r="2279" spans="1:16" x14ac:dyDescent="0.3">
      <c r="A2279">
        <v>45678</v>
      </c>
      <c r="B2279">
        <v>116</v>
      </c>
      <c r="C2279" t="s">
        <v>568</v>
      </c>
      <c r="D2279" s="453">
        <v>45870</v>
      </c>
      <c r="E2279">
        <v>22829</v>
      </c>
      <c r="F2279" t="s">
        <v>4160</v>
      </c>
      <c r="G2279">
        <v>2942</v>
      </c>
      <c r="H2279">
        <v>15.4</v>
      </c>
      <c r="I2279" t="s">
        <v>3892</v>
      </c>
      <c r="J2279" t="s">
        <v>3469</v>
      </c>
      <c r="K2279" t="s">
        <v>3742</v>
      </c>
      <c r="L2279">
        <v>53.27</v>
      </c>
      <c r="M2279" s="453">
        <v>45868</v>
      </c>
      <c r="N2279">
        <v>54.9</v>
      </c>
      <c r="O2279">
        <v>47.46</v>
      </c>
      <c r="P2279">
        <v>820.36</v>
      </c>
    </row>
    <row r="2280" spans="1:16" x14ac:dyDescent="0.3">
      <c r="A2280">
        <v>45703</v>
      </c>
      <c r="B2280">
        <v>116</v>
      </c>
      <c r="C2280" t="s">
        <v>568</v>
      </c>
      <c r="D2280" s="453">
        <v>45870</v>
      </c>
      <c r="E2280">
        <v>24140</v>
      </c>
      <c r="F2280" t="s">
        <v>3889</v>
      </c>
      <c r="G2280">
        <v>3100</v>
      </c>
      <c r="H2280">
        <v>10</v>
      </c>
      <c r="I2280" t="s">
        <v>3872</v>
      </c>
      <c r="J2280" t="s">
        <v>3497</v>
      </c>
      <c r="K2280" t="s">
        <v>3742</v>
      </c>
      <c r="L2280">
        <v>0</v>
      </c>
      <c r="M2280" s="453">
        <v>45699</v>
      </c>
      <c r="N2280">
        <v>77.959999999999994</v>
      </c>
      <c r="O2280">
        <v>0</v>
      </c>
      <c r="P2280">
        <v>779.6</v>
      </c>
    </row>
    <row r="2281" spans="1:16" x14ac:dyDescent="0.3">
      <c r="A2281">
        <v>45671</v>
      </c>
      <c r="B2281">
        <v>116</v>
      </c>
      <c r="C2281" t="s">
        <v>568</v>
      </c>
      <c r="D2281" s="453">
        <v>45870</v>
      </c>
      <c r="E2281">
        <v>18475</v>
      </c>
      <c r="F2281" t="s">
        <v>3918</v>
      </c>
      <c r="G2281">
        <v>3181</v>
      </c>
      <c r="H2281">
        <v>22</v>
      </c>
      <c r="I2281" t="s">
        <v>3878</v>
      </c>
      <c r="J2281" t="s">
        <v>3497</v>
      </c>
      <c r="K2281" t="s">
        <v>3742</v>
      </c>
      <c r="L2281">
        <v>32.9</v>
      </c>
      <c r="M2281" s="453">
        <v>45854</v>
      </c>
      <c r="N2281">
        <v>32.9</v>
      </c>
      <c r="O2281">
        <v>32.9</v>
      </c>
      <c r="P2281">
        <v>723.8</v>
      </c>
    </row>
    <row r="2282" spans="1:16" x14ac:dyDescent="0.3">
      <c r="A2282">
        <v>45661</v>
      </c>
      <c r="B2282">
        <v>116</v>
      </c>
      <c r="C2282" t="s">
        <v>568</v>
      </c>
      <c r="D2282" s="453">
        <v>45870</v>
      </c>
      <c r="E2282">
        <v>20703</v>
      </c>
      <c r="F2282" t="s">
        <v>3893</v>
      </c>
      <c r="G2282">
        <v>2100</v>
      </c>
      <c r="H2282">
        <v>56</v>
      </c>
      <c r="I2282" t="s">
        <v>3886</v>
      </c>
      <c r="J2282" t="s">
        <v>3469</v>
      </c>
      <c r="K2282" t="s">
        <v>3742</v>
      </c>
      <c r="L2282">
        <v>0</v>
      </c>
      <c r="M2282" s="453">
        <v>45714</v>
      </c>
      <c r="N2282">
        <v>12.8</v>
      </c>
      <c r="O2282">
        <v>13.86</v>
      </c>
      <c r="P2282">
        <v>716.8</v>
      </c>
    </row>
    <row r="2283" spans="1:16" x14ac:dyDescent="0.3">
      <c r="A2283">
        <v>45686</v>
      </c>
      <c r="B2283">
        <v>116</v>
      </c>
      <c r="C2283" t="s">
        <v>568</v>
      </c>
      <c r="D2283" s="453">
        <v>45870</v>
      </c>
      <c r="E2283">
        <v>17710</v>
      </c>
      <c r="F2283" t="s">
        <v>3905</v>
      </c>
      <c r="G2283">
        <v>3824</v>
      </c>
      <c r="H2283">
        <v>14</v>
      </c>
      <c r="I2283" t="s">
        <v>3878</v>
      </c>
      <c r="J2283" t="s">
        <v>3497</v>
      </c>
      <c r="K2283" t="s">
        <v>3742</v>
      </c>
      <c r="L2283">
        <v>0</v>
      </c>
      <c r="M2283" s="453">
        <v>-693593</v>
      </c>
      <c r="N2283">
        <v>0</v>
      </c>
      <c r="O2283">
        <v>42.32</v>
      </c>
      <c r="P2283">
        <v>562.1</v>
      </c>
    </row>
    <row r="2284" spans="1:16" x14ac:dyDescent="0.3">
      <c r="A2284">
        <v>45683</v>
      </c>
      <c r="B2284">
        <v>116</v>
      </c>
      <c r="C2284" t="s">
        <v>568</v>
      </c>
      <c r="D2284" s="453">
        <v>45870</v>
      </c>
      <c r="E2284">
        <v>26194</v>
      </c>
      <c r="F2284" t="s">
        <v>4446</v>
      </c>
      <c r="G2284">
        <v>6617</v>
      </c>
      <c r="H2284">
        <v>14</v>
      </c>
      <c r="I2284" t="s">
        <v>3978</v>
      </c>
      <c r="J2284" t="s">
        <v>3469</v>
      </c>
      <c r="K2284" t="s">
        <v>3742</v>
      </c>
      <c r="L2284">
        <v>40.1</v>
      </c>
      <c r="M2284" s="453">
        <v>45855</v>
      </c>
      <c r="N2284">
        <v>40.1</v>
      </c>
      <c r="O2284">
        <v>40.1</v>
      </c>
      <c r="P2284">
        <v>561.4</v>
      </c>
    </row>
    <row r="2285" spans="1:16" x14ac:dyDescent="0.3">
      <c r="A2285">
        <v>45748</v>
      </c>
      <c r="B2285">
        <v>116</v>
      </c>
      <c r="C2285" t="s">
        <v>568</v>
      </c>
      <c r="D2285" s="453">
        <v>45870</v>
      </c>
      <c r="E2285">
        <v>16973</v>
      </c>
      <c r="F2285" t="s">
        <v>4455</v>
      </c>
      <c r="G2285">
        <v>3710</v>
      </c>
      <c r="H2285">
        <v>4</v>
      </c>
      <c r="I2285" t="s">
        <v>3881</v>
      </c>
      <c r="J2285" t="s">
        <v>3497</v>
      </c>
      <c r="K2285" t="s">
        <v>3742</v>
      </c>
      <c r="L2285">
        <v>0</v>
      </c>
      <c r="M2285" s="453">
        <v>45818</v>
      </c>
      <c r="N2285">
        <v>135</v>
      </c>
      <c r="O2285">
        <v>135</v>
      </c>
      <c r="P2285">
        <v>540</v>
      </c>
    </row>
    <row r="2286" spans="1:16" x14ac:dyDescent="0.3">
      <c r="A2286">
        <v>45737</v>
      </c>
      <c r="B2286">
        <v>116</v>
      </c>
      <c r="C2286" t="s">
        <v>568</v>
      </c>
      <c r="D2286" s="453">
        <v>45870</v>
      </c>
      <c r="E2286">
        <v>18179</v>
      </c>
      <c r="F2286" t="s">
        <v>3995</v>
      </c>
      <c r="G2286">
        <v>3443</v>
      </c>
      <c r="H2286">
        <v>4.8</v>
      </c>
      <c r="I2286" t="s">
        <v>3878</v>
      </c>
      <c r="J2286" t="s">
        <v>3497</v>
      </c>
      <c r="K2286" t="s">
        <v>3742</v>
      </c>
      <c r="L2286">
        <v>105.6</v>
      </c>
      <c r="M2286" s="453">
        <v>45845</v>
      </c>
      <c r="N2286">
        <v>105.6</v>
      </c>
      <c r="O2286">
        <v>105.56</v>
      </c>
      <c r="P2286">
        <v>506.88</v>
      </c>
    </row>
    <row r="2287" spans="1:16" x14ac:dyDescent="0.3">
      <c r="A2287">
        <v>45673</v>
      </c>
      <c r="B2287">
        <v>116</v>
      </c>
      <c r="C2287" t="s">
        <v>568</v>
      </c>
      <c r="D2287" s="453">
        <v>45870</v>
      </c>
      <c r="E2287">
        <v>21030</v>
      </c>
      <c r="F2287" t="s">
        <v>3890</v>
      </c>
      <c r="G2287">
        <v>2001</v>
      </c>
      <c r="H2287">
        <v>19</v>
      </c>
      <c r="I2287" t="s">
        <v>3872</v>
      </c>
      <c r="J2287" t="s">
        <v>3469</v>
      </c>
      <c r="K2287" t="s">
        <v>3742</v>
      </c>
      <c r="L2287">
        <v>23.9</v>
      </c>
      <c r="M2287" s="453">
        <v>45867</v>
      </c>
      <c r="N2287">
        <v>22.5</v>
      </c>
      <c r="O2287">
        <v>25.88</v>
      </c>
      <c r="P2287">
        <v>454.1</v>
      </c>
    </row>
    <row r="2288" spans="1:16" x14ac:dyDescent="0.3">
      <c r="A2288">
        <v>45681</v>
      </c>
      <c r="B2288">
        <v>116</v>
      </c>
      <c r="C2288" t="s">
        <v>568</v>
      </c>
      <c r="D2288" s="453">
        <v>45870</v>
      </c>
      <c r="E2288">
        <v>22705</v>
      </c>
      <c r="F2288" t="s">
        <v>3990</v>
      </c>
      <c r="G2288">
        <v>3044</v>
      </c>
      <c r="H2288">
        <v>15</v>
      </c>
      <c r="I2288" t="s">
        <v>3892</v>
      </c>
      <c r="J2288" t="s">
        <v>3469</v>
      </c>
      <c r="K2288" t="s">
        <v>3742</v>
      </c>
      <c r="L2288">
        <v>29.8</v>
      </c>
      <c r="M2288" s="453">
        <v>45854</v>
      </c>
      <c r="N2288">
        <v>29.8</v>
      </c>
      <c r="O2288">
        <v>29.8</v>
      </c>
      <c r="P2288">
        <v>447</v>
      </c>
    </row>
    <row r="2289" spans="1:16" x14ac:dyDescent="0.3">
      <c r="A2289">
        <v>45663</v>
      </c>
      <c r="B2289">
        <v>116</v>
      </c>
      <c r="C2289" t="s">
        <v>568</v>
      </c>
      <c r="D2289" s="453">
        <v>45870</v>
      </c>
      <c r="E2289">
        <v>20985</v>
      </c>
      <c r="F2289" t="s">
        <v>3914</v>
      </c>
      <c r="G2289">
        <v>2011</v>
      </c>
      <c r="H2289">
        <v>54</v>
      </c>
      <c r="I2289" t="s">
        <v>3872</v>
      </c>
      <c r="J2289" t="s">
        <v>3469</v>
      </c>
      <c r="K2289" t="s">
        <v>3742</v>
      </c>
      <c r="L2289">
        <v>8.18</v>
      </c>
      <c r="M2289" s="453">
        <v>45869</v>
      </c>
      <c r="N2289">
        <v>8.25</v>
      </c>
      <c r="O2289">
        <v>8.25</v>
      </c>
      <c r="P2289">
        <v>441.72</v>
      </c>
    </row>
    <row r="2290" spans="1:16" x14ac:dyDescent="0.3">
      <c r="A2290">
        <v>45699</v>
      </c>
      <c r="B2290">
        <v>116</v>
      </c>
      <c r="C2290" t="s">
        <v>568</v>
      </c>
      <c r="D2290" s="453">
        <v>45870</v>
      </c>
      <c r="E2290">
        <v>19324</v>
      </c>
      <c r="F2290" t="s">
        <v>3937</v>
      </c>
      <c r="G2290">
        <v>2773</v>
      </c>
      <c r="H2290">
        <v>10.8</v>
      </c>
      <c r="I2290" t="s">
        <v>3892</v>
      </c>
      <c r="J2290" t="s">
        <v>3469</v>
      </c>
      <c r="K2290" t="s">
        <v>3742</v>
      </c>
      <c r="L2290">
        <v>40.15</v>
      </c>
      <c r="M2290" s="453">
        <v>45867</v>
      </c>
      <c r="N2290">
        <v>39.5</v>
      </c>
      <c r="O2290">
        <v>36.5</v>
      </c>
      <c r="P2290">
        <v>433.62</v>
      </c>
    </row>
    <row r="2291" spans="1:16" x14ac:dyDescent="0.3">
      <c r="A2291">
        <v>45696</v>
      </c>
      <c r="B2291">
        <v>116</v>
      </c>
      <c r="C2291" t="s">
        <v>568</v>
      </c>
      <c r="D2291" s="453">
        <v>45870</v>
      </c>
      <c r="E2291">
        <v>24402</v>
      </c>
      <c r="F2291" t="s">
        <v>3896</v>
      </c>
      <c r="G2291">
        <v>2949</v>
      </c>
      <c r="H2291">
        <v>11.7</v>
      </c>
      <c r="I2291" t="s">
        <v>3892</v>
      </c>
      <c r="J2291" t="s">
        <v>3469</v>
      </c>
      <c r="K2291" t="s">
        <v>3742</v>
      </c>
      <c r="L2291">
        <v>0</v>
      </c>
      <c r="M2291" s="453">
        <v>45833</v>
      </c>
      <c r="N2291">
        <v>36.5</v>
      </c>
      <c r="O2291">
        <v>36.5</v>
      </c>
      <c r="P2291">
        <v>427.05</v>
      </c>
    </row>
    <row r="2292" spans="1:16" x14ac:dyDescent="0.3">
      <c r="A2292">
        <v>45783</v>
      </c>
      <c r="B2292">
        <v>116</v>
      </c>
      <c r="C2292" t="s">
        <v>568</v>
      </c>
      <c r="D2292" s="453">
        <v>45870</v>
      </c>
      <c r="E2292">
        <v>23897</v>
      </c>
      <c r="F2292" t="s">
        <v>4058</v>
      </c>
      <c r="G2292">
        <v>2003</v>
      </c>
      <c r="H2292">
        <v>2.5</v>
      </c>
      <c r="I2292" t="s">
        <v>3872</v>
      </c>
      <c r="J2292" t="s">
        <v>3469</v>
      </c>
      <c r="K2292" t="s">
        <v>3742</v>
      </c>
      <c r="L2292">
        <v>167.27</v>
      </c>
      <c r="M2292" s="453">
        <v>45860</v>
      </c>
      <c r="N2292">
        <v>159.9</v>
      </c>
      <c r="O2292">
        <v>165.54</v>
      </c>
      <c r="P2292">
        <v>418.18</v>
      </c>
    </row>
    <row r="2293" spans="1:16" x14ac:dyDescent="0.3">
      <c r="A2293">
        <v>45727</v>
      </c>
      <c r="B2293">
        <v>116</v>
      </c>
      <c r="C2293" t="s">
        <v>568</v>
      </c>
      <c r="D2293" s="453">
        <v>45870</v>
      </c>
      <c r="E2293">
        <v>19297</v>
      </c>
      <c r="F2293" t="s">
        <v>3949</v>
      </c>
      <c r="G2293">
        <v>2775</v>
      </c>
      <c r="H2293">
        <v>5.5</v>
      </c>
      <c r="I2293" t="s">
        <v>3892</v>
      </c>
      <c r="J2293" t="s">
        <v>3469</v>
      </c>
      <c r="K2293" t="s">
        <v>3742</v>
      </c>
      <c r="L2293">
        <v>75.88</v>
      </c>
      <c r="M2293" s="453">
        <v>45867</v>
      </c>
      <c r="N2293">
        <v>75.31</v>
      </c>
      <c r="O2293">
        <v>70.89</v>
      </c>
      <c r="P2293">
        <v>417.34</v>
      </c>
    </row>
    <row r="2294" spans="1:16" x14ac:dyDescent="0.3">
      <c r="A2294">
        <v>45649</v>
      </c>
      <c r="B2294">
        <v>116</v>
      </c>
      <c r="C2294" t="s">
        <v>568</v>
      </c>
      <c r="D2294" s="453">
        <v>45870</v>
      </c>
      <c r="E2294">
        <v>17957</v>
      </c>
      <c r="F2294" t="s">
        <v>3879</v>
      </c>
      <c r="G2294">
        <v>3622</v>
      </c>
      <c r="H2294">
        <v>25.83</v>
      </c>
      <c r="I2294" t="s">
        <v>3872</v>
      </c>
      <c r="J2294" t="s">
        <v>3497</v>
      </c>
      <c r="K2294" t="s">
        <v>3742</v>
      </c>
      <c r="L2294">
        <v>15.9</v>
      </c>
      <c r="M2294" s="453">
        <v>45859</v>
      </c>
      <c r="N2294">
        <v>15.9</v>
      </c>
      <c r="O2294">
        <v>15.9</v>
      </c>
      <c r="P2294">
        <v>410.7</v>
      </c>
    </row>
    <row r="2295" spans="1:16" x14ac:dyDescent="0.3">
      <c r="A2295">
        <v>45785</v>
      </c>
      <c r="B2295">
        <v>116</v>
      </c>
      <c r="C2295" t="s">
        <v>568</v>
      </c>
      <c r="D2295" s="453">
        <v>45870</v>
      </c>
      <c r="E2295">
        <v>23982</v>
      </c>
      <c r="F2295" t="s">
        <v>3977</v>
      </c>
      <c r="G2295">
        <v>1999</v>
      </c>
      <c r="H2295">
        <v>2</v>
      </c>
      <c r="I2295" t="s">
        <v>3978</v>
      </c>
      <c r="J2295" t="s">
        <v>3469</v>
      </c>
      <c r="K2295" t="s">
        <v>3742</v>
      </c>
      <c r="L2295">
        <v>0</v>
      </c>
      <c r="M2295" s="453">
        <v>45817</v>
      </c>
      <c r="N2295">
        <v>200</v>
      </c>
      <c r="O2295">
        <v>261.23</v>
      </c>
      <c r="P2295">
        <v>400</v>
      </c>
    </row>
    <row r="2296" spans="1:16" x14ac:dyDescent="0.3">
      <c r="A2296">
        <v>45677</v>
      </c>
      <c r="B2296">
        <v>116</v>
      </c>
      <c r="C2296" t="s">
        <v>568</v>
      </c>
      <c r="D2296" s="453">
        <v>45870</v>
      </c>
      <c r="E2296">
        <v>20549</v>
      </c>
      <c r="F2296" t="s">
        <v>4007</v>
      </c>
      <c r="G2296">
        <v>2141</v>
      </c>
      <c r="H2296">
        <v>16.100000000000001</v>
      </c>
      <c r="I2296" t="s">
        <v>3892</v>
      </c>
      <c r="J2296" t="s">
        <v>3469</v>
      </c>
      <c r="K2296" t="s">
        <v>3742</v>
      </c>
      <c r="L2296">
        <v>24.41</v>
      </c>
      <c r="M2296" s="453">
        <v>45869</v>
      </c>
      <c r="N2296">
        <v>24</v>
      </c>
      <c r="O2296">
        <v>21.78</v>
      </c>
      <c r="P2296">
        <v>393</v>
      </c>
    </row>
    <row r="2297" spans="1:16" x14ac:dyDescent="0.3">
      <c r="A2297">
        <v>45697</v>
      </c>
      <c r="B2297">
        <v>116</v>
      </c>
      <c r="C2297" t="s">
        <v>568</v>
      </c>
      <c r="D2297" s="453">
        <v>45870</v>
      </c>
      <c r="E2297">
        <v>24388</v>
      </c>
      <c r="F2297" t="s">
        <v>3915</v>
      </c>
      <c r="G2297">
        <v>2945</v>
      </c>
      <c r="H2297">
        <v>11.2</v>
      </c>
      <c r="I2297" t="s">
        <v>3892</v>
      </c>
      <c r="J2297" t="s">
        <v>3469</v>
      </c>
      <c r="K2297" t="s">
        <v>3742</v>
      </c>
      <c r="L2297">
        <v>33.479999999999997</v>
      </c>
      <c r="M2297" s="453">
        <v>45861</v>
      </c>
      <c r="N2297">
        <v>35</v>
      </c>
      <c r="O2297">
        <v>35</v>
      </c>
      <c r="P2297">
        <v>374.98</v>
      </c>
    </row>
    <row r="2298" spans="1:16" x14ac:dyDescent="0.3">
      <c r="A2298">
        <v>45700</v>
      </c>
      <c r="B2298">
        <v>116</v>
      </c>
      <c r="C2298" t="s">
        <v>568</v>
      </c>
      <c r="D2298" s="453">
        <v>45870</v>
      </c>
      <c r="E2298">
        <v>20519</v>
      </c>
      <c r="F2298" t="s">
        <v>3902</v>
      </c>
      <c r="G2298">
        <v>2150</v>
      </c>
      <c r="H2298">
        <v>10</v>
      </c>
      <c r="I2298" t="s">
        <v>3892</v>
      </c>
      <c r="J2298" t="s">
        <v>3469</v>
      </c>
      <c r="K2298" t="s">
        <v>3742</v>
      </c>
      <c r="L2298">
        <v>0</v>
      </c>
      <c r="M2298" s="453">
        <v>45743</v>
      </c>
      <c r="N2298">
        <v>36.4</v>
      </c>
      <c r="O2298">
        <v>36.4</v>
      </c>
      <c r="P2298">
        <v>364</v>
      </c>
    </row>
    <row r="2299" spans="1:16" x14ac:dyDescent="0.3">
      <c r="A2299">
        <v>45708</v>
      </c>
      <c r="B2299">
        <v>116</v>
      </c>
      <c r="C2299" t="s">
        <v>568</v>
      </c>
      <c r="D2299" s="453">
        <v>45870</v>
      </c>
      <c r="E2299">
        <v>20539</v>
      </c>
      <c r="F2299" t="s">
        <v>3908</v>
      </c>
      <c r="G2299">
        <v>2145</v>
      </c>
      <c r="H2299">
        <v>8.9</v>
      </c>
      <c r="I2299" t="s">
        <v>3892</v>
      </c>
      <c r="J2299" t="s">
        <v>3469</v>
      </c>
      <c r="K2299" t="s">
        <v>3742</v>
      </c>
      <c r="L2299">
        <v>40.4</v>
      </c>
      <c r="M2299" s="453">
        <v>45861</v>
      </c>
      <c r="N2299">
        <v>40.4</v>
      </c>
      <c r="O2299">
        <v>40.4</v>
      </c>
      <c r="P2299">
        <v>359.56</v>
      </c>
    </row>
    <row r="2300" spans="1:16" x14ac:dyDescent="0.3">
      <c r="A2300">
        <v>45763</v>
      </c>
      <c r="B2300">
        <v>116</v>
      </c>
      <c r="C2300" t="s">
        <v>568</v>
      </c>
      <c r="D2300" s="453">
        <v>45870</v>
      </c>
      <c r="E2300">
        <v>20752</v>
      </c>
      <c r="F2300" t="s">
        <v>3964</v>
      </c>
      <c r="G2300">
        <v>2088</v>
      </c>
      <c r="H2300">
        <v>3</v>
      </c>
      <c r="I2300" t="s">
        <v>3886</v>
      </c>
      <c r="J2300" t="s">
        <v>3469</v>
      </c>
      <c r="K2300" t="s">
        <v>3742</v>
      </c>
      <c r="L2300">
        <v>117.06</v>
      </c>
      <c r="M2300" s="453">
        <v>45867</v>
      </c>
      <c r="N2300">
        <v>118.98</v>
      </c>
      <c r="O2300">
        <v>118.98</v>
      </c>
      <c r="P2300">
        <v>351.18</v>
      </c>
    </row>
    <row r="2301" spans="1:16" x14ac:dyDescent="0.3">
      <c r="A2301">
        <v>45698</v>
      </c>
      <c r="B2301">
        <v>116</v>
      </c>
      <c r="C2301" t="s">
        <v>568</v>
      </c>
      <c r="D2301" s="453">
        <v>45870</v>
      </c>
      <c r="E2301">
        <v>20304</v>
      </c>
      <c r="F2301" t="s">
        <v>3938</v>
      </c>
      <c r="G2301">
        <v>2223</v>
      </c>
      <c r="H2301">
        <v>11</v>
      </c>
      <c r="I2301" t="s">
        <v>3888</v>
      </c>
      <c r="J2301" t="s">
        <v>3469</v>
      </c>
      <c r="K2301" t="s">
        <v>3742</v>
      </c>
      <c r="L2301">
        <v>31.57</v>
      </c>
      <c r="M2301" s="453">
        <v>45861</v>
      </c>
      <c r="N2301">
        <v>25.5</v>
      </c>
      <c r="O2301">
        <v>35</v>
      </c>
      <c r="P2301">
        <v>347.27</v>
      </c>
    </row>
    <row r="2302" spans="1:16" x14ac:dyDescent="0.3">
      <c r="A2302">
        <v>45693</v>
      </c>
      <c r="B2302">
        <v>116</v>
      </c>
      <c r="C2302" t="s">
        <v>568</v>
      </c>
      <c r="D2302" s="453">
        <v>45870</v>
      </c>
      <c r="E2302">
        <v>24517</v>
      </c>
      <c r="F2302" t="s">
        <v>3991</v>
      </c>
      <c r="G2302">
        <v>3047</v>
      </c>
      <c r="H2302">
        <v>12</v>
      </c>
      <c r="I2302" t="s">
        <v>3892</v>
      </c>
      <c r="J2302" t="s">
        <v>3469</v>
      </c>
      <c r="K2302" t="s">
        <v>3742</v>
      </c>
      <c r="L2302">
        <v>27.99</v>
      </c>
      <c r="M2302" s="453">
        <v>45860</v>
      </c>
      <c r="N2302">
        <v>27.99</v>
      </c>
      <c r="O2302">
        <v>27.99</v>
      </c>
      <c r="P2302">
        <v>335.88</v>
      </c>
    </row>
    <row r="2303" spans="1:16" x14ac:dyDescent="0.3">
      <c r="A2303">
        <v>45702</v>
      </c>
      <c r="B2303">
        <v>116</v>
      </c>
      <c r="C2303" t="s">
        <v>568</v>
      </c>
      <c r="D2303" s="453">
        <v>45870</v>
      </c>
      <c r="E2303">
        <v>18818</v>
      </c>
      <c r="F2303" t="s">
        <v>3916</v>
      </c>
      <c r="G2303">
        <v>2956</v>
      </c>
      <c r="H2303">
        <v>10</v>
      </c>
      <c r="I2303" t="s">
        <v>3892</v>
      </c>
      <c r="J2303" t="s">
        <v>3469</v>
      </c>
      <c r="K2303" t="s">
        <v>3742</v>
      </c>
      <c r="L2303">
        <v>32.799999999999997</v>
      </c>
      <c r="M2303" s="453">
        <v>45860</v>
      </c>
      <c r="N2303">
        <v>32.799999999999997</v>
      </c>
      <c r="O2303">
        <v>32.799999999999997</v>
      </c>
      <c r="P2303">
        <v>328</v>
      </c>
    </row>
    <row r="2304" spans="1:16" x14ac:dyDescent="0.3">
      <c r="A2304">
        <v>45651</v>
      </c>
      <c r="B2304">
        <v>116</v>
      </c>
      <c r="C2304" t="s">
        <v>568</v>
      </c>
      <c r="D2304" s="453">
        <v>45870</v>
      </c>
      <c r="E2304">
        <v>24409</v>
      </c>
      <c r="F2304" t="s">
        <v>4036</v>
      </c>
      <c r="G2304">
        <v>3665</v>
      </c>
      <c r="H2304">
        <v>148</v>
      </c>
      <c r="I2304" t="s">
        <v>3872</v>
      </c>
      <c r="J2304" t="s">
        <v>3497</v>
      </c>
      <c r="K2304" t="s">
        <v>3742</v>
      </c>
      <c r="L2304">
        <v>0</v>
      </c>
      <c r="M2304" s="453">
        <v>45551</v>
      </c>
      <c r="N2304">
        <v>2.19</v>
      </c>
      <c r="O2304">
        <v>2.19</v>
      </c>
      <c r="P2304">
        <v>324.12</v>
      </c>
    </row>
    <row r="2305" spans="1:16" x14ac:dyDescent="0.3">
      <c r="A2305">
        <v>45704</v>
      </c>
      <c r="B2305">
        <v>116</v>
      </c>
      <c r="C2305" t="s">
        <v>568</v>
      </c>
      <c r="D2305" s="453">
        <v>45870</v>
      </c>
      <c r="E2305">
        <v>20278</v>
      </c>
      <c r="F2305" t="s">
        <v>3939</v>
      </c>
      <c r="G2305">
        <v>2230</v>
      </c>
      <c r="H2305">
        <v>9.5</v>
      </c>
      <c r="I2305" t="s">
        <v>3872</v>
      </c>
      <c r="J2305" t="s">
        <v>3469</v>
      </c>
      <c r="K2305" t="s">
        <v>3742</v>
      </c>
      <c r="L2305">
        <v>33.270000000000003</v>
      </c>
      <c r="M2305" s="453">
        <v>45867</v>
      </c>
      <c r="N2305">
        <v>33.270000000000003</v>
      </c>
      <c r="O2305">
        <v>33.270000000000003</v>
      </c>
      <c r="P2305">
        <v>316.07</v>
      </c>
    </row>
    <row r="2306" spans="1:16" x14ac:dyDescent="0.3">
      <c r="A2306">
        <v>45738</v>
      </c>
      <c r="B2306">
        <v>116</v>
      </c>
      <c r="C2306" t="s">
        <v>568</v>
      </c>
      <c r="D2306" s="453">
        <v>45870</v>
      </c>
      <c r="E2306">
        <v>18948</v>
      </c>
      <c r="F2306" t="s">
        <v>3961</v>
      </c>
      <c r="G2306">
        <v>2927</v>
      </c>
      <c r="H2306">
        <v>4.7</v>
      </c>
      <c r="I2306" t="s">
        <v>3892</v>
      </c>
      <c r="J2306" t="s">
        <v>3469</v>
      </c>
      <c r="K2306" t="s">
        <v>3742</v>
      </c>
      <c r="L2306">
        <v>65.87</v>
      </c>
      <c r="M2306" s="453">
        <v>45860</v>
      </c>
      <c r="N2306">
        <v>65.87</v>
      </c>
      <c r="O2306">
        <v>65.900000000000006</v>
      </c>
      <c r="P2306">
        <v>309.58999999999997</v>
      </c>
    </row>
    <row r="2307" spans="1:16" x14ac:dyDescent="0.3">
      <c r="A2307">
        <v>45749</v>
      </c>
      <c r="B2307">
        <v>116</v>
      </c>
      <c r="C2307" t="s">
        <v>568</v>
      </c>
      <c r="D2307" s="453">
        <v>45870</v>
      </c>
      <c r="E2307">
        <v>20555</v>
      </c>
      <c r="F2307" t="s">
        <v>3959</v>
      </c>
      <c r="G2307">
        <v>2139</v>
      </c>
      <c r="H2307">
        <v>3.9</v>
      </c>
      <c r="I2307" t="s">
        <v>3892</v>
      </c>
      <c r="J2307" t="s">
        <v>3469</v>
      </c>
      <c r="K2307" t="s">
        <v>3742</v>
      </c>
      <c r="L2307">
        <v>79</v>
      </c>
      <c r="M2307" s="453">
        <v>45860</v>
      </c>
      <c r="N2307">
        <v>79</v>
      </c>
      <c r="O2307">
        <v>79</v>
      </c>
      <c r="P2307">
        <v>308.10000000000002</v>
      </c>
    </row>
    <row r="2308" spans="1:16" x14ac:dyDescent="0.3">
      <c r="A2308">
        <v>45779</v>
      </c>
      <c r="B2308">
        <v>116</v>
      </c>
      <c r="C2308" t="s">
        <v>568</v>
      </c>
      <c r="D2308" s="453">
        <v>45870</v>
      </c>
      <c r="E2308">
        <v>18538</v>
      </c>
      <c r="F2308" t="s">
        <v>4026</v>
      </c>
      <c r="G2308">
        <v>3139</v>
      </c>
      <c r="H2308">
        <v>2.7</v>
      </c>
      <c r="I2308" t="s">
        <v>3878</v>
      </c>
      <c r="J2308" t="s">
        <v>3497</v>
      </c>
      <c r="K2308" t="s">
        <v>3742</v>
      </c>
      <c r="L2308">
        <v>106.94</v>
      </c>
      <c r="M2308" s="453">
        <v>45867</v>
      </c>
      <c r="N2308">
        <v>107.5</v>
      </c>
      <c r="O2308">
        <v>107.5</v>
      </c>
      <c r="P2308">
        <v>288.74</v>
      </c>
    </row>
    <row r="2309" spans="1:16" x14ac:dyDescent="0.3">
      <c r="A2309">
        <v>45650</v>
      </c>
      <c r="B2309">
        <v>116</v>
      </c>
      <c r="C2309" t="s">
        <v>568</v>
      </c>
      <c r="D2309" s="453">
        <v>45870</v>
      </c>
      <c r="E2309">
        <v>22108</v>
      </c>
      <c r="F2309" t="s">
        <v>3871</v>
      </c>
      <c r="G2309">
        <v>3609</v>
      </c>
      <c r="H2309">
        <v>197</v>
      </c>
      <c r="I2309" t="s">
        <v>3872</v>
      </c>
      <c r="J2309" t="s">
        <v>3497</v>
      </c>
      <c r="K2309" t="s">
        <v>3742</v>
      </c>
      <c r="L2309">
        <v>0</v>
      </c>
      <c r="M2309" s="453">
        <v>45670</v>
      </c>
      <c r="N2309">
        <v>1.42</v>
      </c>
      <c r="O2309">
        <v>1.85</v>
      </c>
      <c r="P2309">
        <v>280.73</v>
      </c>
    </row>
    <row r="2310" spans="1:16" x14ac:dyDescent="0.3">
      <c r="A2310">
        <v>45736</v>
      </c>
      <c r="B2310">
        <v>116</v>
      </c>
      <c r="C2310" t="s">
        <v>568</v>
      </c>
      <c r="D2310" s="453">
        <v>45870</v>
      </c>
      <c r="E2310">
        <v>19346</v>
      </c>
      <c r="F2310" t="s">
        <v>3948</v>
      </c>
      <c r="G2310">
        <v>2770</v>
      </c>
      <c r="H2310">
        <v>4.9000000000000004</v>
      </c>
      <c r="I2310" t="s">
        <v>3892</v>
      </c>
      <c r="J2310" t="s">
        <v>3469</v>
      </c>
      <c r="K2310" t="s">
        <v>3742</v>
      </c>
      <c r="L2310">
        <v>57.22</v>
      </c>
      <c r="M2310" s="453">
        <v>45860</v>
      </c>
      <c r="N2310">
        <v>57.22</v>
      </c>
      <c r="O2310">
        <v>54.5</v>
      </c>
      <c r="P2310">
        <v>280.38</v>
      </c>
    </row>
    <row r="2311" spans="1:16" x14ac:dyDescent="0.3">
      <c r="A2311">
        <v>45709</v>
      </c>
      <c r="B2311">
        <v>116</v>
      </c>
      <c r="C2311" t="s">
        <v>568</v>
      </c>
      <c r="D2311" s="453">
        <v>45870</v>
      </c>
      <c r="E2311">
        <v>18172</v>
      </c>
      <c r="F2311" t="s">
        <v>3923</v>
      </c>
      <c r="G2311">
        <v>3450</v>
      </c>
      <c r="H2311">
        <v>8.3000000000000007</v>
      </c>
      <c r="I2311" t="s">
        <v>3878</v>
      </c>
      <c r="J2311" t="s">
        <v>3497</v>
      </c>
      <c r="K2311" t="s">
        <v>3742</v>
      </c>
      <c r="L2311">
        <v>32.74</v>
      </c>
      <c r="M2311" s="453">
        <v>45845</v>
      </c>
      <c r="N2311">
        <v>32.840000000000003</v>
      </c>
      <c r="O2311">
        <v>32.840000000000003</v>
      </c>
      <c r="P2311">
        <v>271.74</v>
      </c>
    </row>
    <row r="2312" spans="1:16" x14ac:dyDescent="0.3">
      <c r="A2312">
        <v>45669</v>
      </c>
      <c r="B2312">
        <v>116</v>
      </c>
      <c r="C2312" t="s">
        <v>568</v>
      </c>
      <c r="D2312" s="453">
        <v>45870</v>
      </c>
      <c r="E2312">
        <v>20131</v>
      </c>
      <c r="F2312" t="s">
        <v>4447</v>
      </c>
      <c r="G2312">
        <v>2287</v>
      </c>
      <c r="H2312">
        <v>22</v>
      </c>
      <c r="I2312" t="s">
        <v>3892</v>
      </c>
      <c r="J2312" t="s">
        <v>3469</v>
      </c>
      <c r="K2312" t="s">
        <v>3742</v>
      </c>
      <c r="L2312">
        <v>12</v>
      </c>
      <c r="M2312" s="453">
        <v>45853</v>
      </c>
      <c r="N2312">
        <v>12</v>
      </c>
      <c r="O2312">
        <v>12</v>
      </c>
      <c r="P2312">
        <v>264</v>
      </c>
    </row>
    <row r="2313" spans="1:16" x14ac:dyDescent="0.3">
      <c r="A2313">
        <v>45722</v>
      </c>
      <c r="B2313">
        <v>116</v>
      </c>
      <c r="C2313" t="s">
        <v>568</v>
      </c>
      <c r="D2313" s="453">
        <v>45870</v>
      </c>
      <c r="E2313">
        <v>24117</v>
      </c>
      <c r="F2313" t="s">
        <v>4463</v>
      </c>
      <c r="G2313">
        <v>2925</v>
      </c>
      <c r="H2313">
        <v>6</v>
      </c>
      <c r="I2313" t="s">
        <v>3892</v>
      </c>
      <c r="J2313" t="s">
        <v>3469</v>
      </c>
      <c r="K2313" t="s">
        <v>3742</v>
      </c>
      <c r="L2313">
        <v>44</v>
      </c>
      <c r="M2313" s="453">
        <v>45860</v>
      </c>
      <c r="N2313">
        <v>44</v>
      </c>
      <c r="O2313">
        <v>41.9</v>
      </c>
      <c r="P2313">
        <v>264</v>
      </c>
    </row>
    <row r="2314" spans="1:16" x14ac:dyDescent="0.3">
      <c r="A2314">
        <v>45725</v>
      </c>
      <c r="B2314">
        <v>116</v>
      </c>
      <c r="C2314" t="s">
        <v>568</v>
      </c>
      <c r="D2314" s="453">
        <v>45870</v>
      </c>
      <c r="E2314">
        <v>24194</v>
      </c>
      <c r="F2314" t="s">
        <v>4181</v>
      </c>
      <c r="G2314">
        <v>3038</v>
      </c>
      <c r="H2314">
        <v>5.7</v>
      </c>
      <c r="I2314" t="s">
        <v>3892</v>
      </c>
      <c r="J2314" t="s">
        <v>3469</v>
      </c>
      <c r="K2314" t="s">
        <v>3742</v>
      </c>
      <c r="L2314">
        <v>42</v>
      </c>
      <c r="M2314" s="453">
        <v>45860</v>
      </c>
      <c r="N2314">
        <v>42</v>
      </c>
      <c r="O2314">
        <v>42</v>
      </c>
      <c r="P2314">
        <v>239.4</v>
      </c>
    </row>
    <row r="2315" spans="1:16" x14ac:dyDescent="0.3">
      <c r="A2315">
        <v>45717</v>
      </c>
      <c r="B2315">
        <v>116</v>
      </c>
      <c r="C2315" t="s">
        <v>568</v>
      </c>
      <c r="D2315" s="453">
        <v>45870</v>
      </c>
      <c r="E2315">
        <v>18685</v>
      </c>
      <c r="F2315" t="s">
        <v>3945</v>
      </c>
      <c r="G2315">
        <v>3040</v>
      </c>
      <c r="H2315">
        <v>6.1</v>
      </c>
      <c r="I2315" t="s">
        <v>3892</v>
      </c>
      <c r="J2315" t="s">
        <v>3469</v>
      </c>
      <c r="K2315" t="s">
        <v>3742</v>
      </c>
      <c r="L2315">
        <v>39</v>
      </c>
      <c r="M2315" s="453">
        <v>45860</v>
      </c>
      <c r="N2315">
        <v>39</v>
      </c>
      <c r="O2315">
        <v>39</v>
      </c>
      <c r="P2315">
        <v>237.9</v>
      </c>
    </row>
    <row r="2316" spans="1:16" x14ac:dyDescent="0.3">
      <c r="A2316">
        <v>45724</v>
      </c>
      <c r="B2316">
        <v>116</v>
      </c>
      <c r="C2316" t="s">
        <v>568</v>
      </c>
      <c r="D2316" s="453">
        <v>45870</v>
      </c>
      <c r="E2316">
        <v>20456</v>
      </c>
      <c r="F2316" t="s">
        <v>4000</v>
      </c>
      <c r="G2316">
        <v>2166</v>
      </c>
      <c r="H2316">
        <v>5.8</v>
      </c>
      <c r="I2316" t="s">
        <v>3892</v>
      </c>
      <c r="J2316" t="s">
        <v>3469</v>
      </c>
      <c r="K2316" t="s">
        <v>3742</v>
      </c>
      <c r="L2316">
        <v>39</v>
      </c>
      <c r="M2316" s="453">
        <v>45860</v>
      </c>
      <c r="N2316">
        <v>39</v>
      </c>
      <c r="O2316">
        <v>39</v>
      </c>
      <c r="P2316">
        <v>226.2</v>
      </c>
    </row>
    <row r="2317" spans="1:16" x14ac:dyDescent="0.3">
      <c r="A2317">
        <v>45805</v>
      </c>
      <c r="B2317">
        <v>116</v>
      </c>
      <c r="C2317" t="s">
        <v>568</v>
      </c>
      <c r="D2317" s="453">
        <v>45870</v>
      </c>
      <c r="E2317">
        <v>18295</v>
      </c>
      <c r="F2317" t="s">
        <v>4030</v>
      </c>
      <c r="G2317">
        <v>3334</v>
      </c>
      <c r="H2317">
        <v>1.7</v>
      </c>
      <c r="I2317" t="s">
        <v>3878</v>
      </c>
      <c r="J2317" t="s">
        <v>3497</v>
      </c>
      <c r="K2317" t="s">
        <v>3742</v>
      </c>
      <c r="L2317">
        <v>130.41999999999999</v>
      </c>
      <c r="M2317" s="453">
        <v>45866</v>
      </c>
      <c r="N2317">
        <v>135.22999999999999</v>
      </c>
      <c r="O2317">
        <v>135.22999999999999</v>
      </c>
      <c r="P2317">
        <v>221.71</v>
      </c>
    </row>
    <row r="2318" spans="1:16" x14ac:dyDescent="0.3">
      <c r="A2318">
        <v>45780</v>
      </c>
      <c r="B2318">
        <v>116</v>
      </c>
      <c r="C2318" t="s">
        <v>568</v>
      </c>
      <c r="D2318" s="453">
        <v>45870</v>
      </c>
      <c r="E2318">
        <v>18467</v>
      </c>
      <c r="F2318" t="s">
        <v>4028</v>
      </c>
      <c r="G2318">
        <v>3189</v>
      </c>
      <c r="H2318">
        <v>2.7</v>
      </c>
      <c r="I2318" t="s">
        <v>3878</v>
      </c>
      <c r="J2318" t="s">
        <v>3497</v>
      </c>
      <c r="K2318" t="s">
        <v>3742</v>
      </c>
      <c r="L2318">
        <v>78.569999999999993</v>
      </c>
      <c r="M2318" s="453">
        <v>45867</v>
      </c>
      <c r="N2318">
        <v>78.55</v>
      </c>
      <c r="O2318">
        <v>78.55</v>
      </c>
      <c r="P2318">
        <v>212.14</v>
      </c>
    </row>
    <row r="2319" spans="1:16" x14ac:dyDescent="0.3">
      <c r="A2319">
        <v>45739</v>
      </c>
      <c r="B2319">
        <v>116</v>
      </c>
      <c r="C2319" t="s">
        <v>568</v>
      </c>
      <c r="D2319" s="453">
        <v>45870</v>
      </c>
      <c r="E2319">
        <v>20007</v>
      </c>
      <c r="F2319" t="s">
        <v>4009</v>
      </c>
      <c r="G2319">
        <v>2343</v>
      </c>
      <c r="H2319">
        <v>4.5</v>
      </c>
      <c r="I2319" t="s">
        <v>3966</v>
      </c>
      <c r="J2319" t="s">
        <v>3469</v>
      </c>
      <c r="K2319" t="s">
        <v>3742</v>
      </c>
      <c r="L2319">
        <v>45.87</v>
      </c>
      <c r="M2319" s="453">
        <v>45839</v>
      </c>
      <c r="N2319">
        <v>45.87</v>
      </c>
      <c r="O2319">
        <v>47.78</v>
      </c>
      <c r="P2319">
        <v>206.42</v>
      </c>
    </row>
    <row r="2320" spans="1:16" x14ac:dyDescent="0.3">
      <c r="A2320">
        <v>45726</v>
      </c>
      <c r="B2320">
        <v>116</v>
      </c>
      <c r="C2320" t="s">
        <v>568</v>
      </c>
      <c r="D2320" s="453">
        <v>45870</v>
      </c>
      <c r="E2320">
        <v>18684</v>
      </c>
      <c r="F2320" t="s">
        <v>3925</v>
      </c>
      <c r="G2320">
        <v>3041</v>
      </c>
      <c r="H2320">
        <v>5.6</v>
      </c>
      <c r="I2320" t="s">
        <v>3892</v>
      </c>
      <c r="J2320" t="s">
        <v>3469</v>
      </c>
      <c r="K2320" t="s">
        <v>3742</v>
      </c>
      <c r="L2320">
        <v>36.71</v>
      </c>
      <c r="M2320" s="453">
        <v>45868</v>
      </c>
      <c r="N2320">
        <v>36</v>
      </c>
      <c r="O2320">
        <v>36</v>
      </c>
      <c r="P2320">
        <v>205.58</v>
      </c>
    </row>
    <row r="2321" spans="1:16" x14ac:dyDescent="0.3">
      <c r="A2321">
        <v>45751</v>
      </c>
      <c r="B2321">
        <v>116</v>
      </c>
      <c r="C2321" t="s">
        <v>568</v>
      </c>
      <c r="D2321" s="453">
        <v>45870</v>
      </c>
      <c r="E2321">
        <v>20729</v>
      </c>
      <c r="F2321" t="s">
        <v>3965</v>
      </c>
      <c r="G2321">
        <v>2093</v>
      </c>
      <c r="H2321">
        <v>3.5</v>
      </c>
      <c r="I2321" t="s">
        <v>3966</v>
      </c>
      <c r="J2321" t="s">
        <v>3469</v>
      </c>
      <c r="K2321" t="s">
        <v>3742</v>
      </c>
      <c r="L2321">
        <v>57.66</v>
      </c>
      <c r="M2321" s="453">
        <v>45867</v>
      </c>
      <c r="N2321">
        <v>56.97</v>
      </c>
      <c r="O2321">
        <v>56.97</v>
      </c>
      <c r="P2321">
        <v>201.81</v>
      </c>
    </row>
    <row r="2322" spans="1:16" x14ac:dyDescent="0.3">
      <c r="A2322">
        <v>45667</v>
      </c>
      <c r="B2322">
        <v>116</v>
      </c>
      <c r="C2322" t="s">
        <v>568</v>
      </c>
      <c r="D2322" s="453">
        <v>45870</v>
      </c>
      <c r="E2322">
        <v>25167</v>
      </c>
      <c r="F2322" t="s">
        <v>3951</v>
      </c>
      <c r="G2322">
        <v>5930</v>
      </c>
      <c r="H2322">
        <v>25</v>
      </c>
      <c r="I2322" t="s">
        <v>3892</v>
      </c>
      <c r="J2322" t="s">
        <v>3469</v>
      </c>
      <c r="K2322" t="s">
        <v>3742</v>
      </c>
      <c r="L2322">
        <v>7.9</v>
      </c>
      <c r="M2322" s="453">
        <v>45840</v>
      </c>
      <c r="N2322">
        <v>7.9</v>
      </c>
      <c r="O2322">
        <v>7.9</v>
      </c>
      <c r="P2322">
        <v>197.5</v>
      </c>
    </row>
    <row r="2323" spans="1:16" x14ac:dyDescent="0.3">
      <c r="A2323">
        <v>45778</v>
      </c>
      <c r="B2323">
        <v>116</v>
      </c>
      <c r="C2323" t="s">
        <v>568</v>
      </c>
      <c r="D2323" s="453">
        <v>45870</v>
      </c>
      <c r="E2323">
        <v>18493</v>
      </c>
      <c r="F2323" t="s">
        <v>3958</v>
      </c>
      <c r="G2323">
        <v>3164</v>
      </c>
      <c r="H2323">
        <v>2.8</v>
      </c>
      <c r="I2323" t="s">
        <v>3878</v>
      </c>
      <c r="J2323" t="s">
        <v>3497</v>
      </c>
      <c r="K2323" t="s">
        <v>3742</v>
      </c>
      <c r="L2323">
        <v>69.900000000000006</v>
      </c>
      <c r="M2323" s="453">
        <v>45854</v>
      </c>
      <c r="N2323">
        <v>69.900000000000006</v>
      </c>
      <c r="O2323">
        <v>69.900000000000006</v>
      </c>
      <c r="P2323">
        <v>195.72</v>
      </c>
    </row>
    <row r="2324" spans="1:16" x14ac:dyDescent="0.3">
      <c r="A2324">
        <v>45714</v>
      </c>
      <c r="B2324">
        <v>116</v>
      </c>
      <c r="C2324" t="s">
        <v>568</v>
      </c>
      <c r="D2324" s="453">
        <v>45870</v>
      </c>
      <c r="E2324">
        <v>26195</v>
      </c>
      <c r="F2324" t="s">
        <v>4037</v>
      </c>
      <c r="G2324">
        <v>6618</v>
      </c>
      <c r="H2324">
        <v>7</v>
      </c>
      <c r="I2324" t="s">
        <v>3878</v>
      </c>
      <c r="J2324" t="s">
        <v>3497</v>
      </c>
      <c r="K2324" t="s">
        <v>3742</v>
      </c>
      <c r="L2324">
        <v>0</v>
      </c>
      <c r="M2324" s="453">
        <v>-693593</v>
      </c>
      <c r="N2324">
        <v>0</v>
      </c>
      <c r="O2324">
        <v>0</v>
      </c>
      <c r="P2324">
        <v>194.18</v>
      </c>
    </row>
    <row r="2325" spans="1:16" x14ac:dyDescent="0.3">
      <c r="A2325">
        <v>45731</v>
      </c>
      <c r="B2325">
        <v>116</v>
      </c>
      <c r="C2325" t="s">
        <v>568</v>
      </c>
      <c r="D2325" s="453">
        <v>45870</v>
      </c>
      <c r="E2325">
        <v>18702</v>
      </c>
      <c r="F2325" t="s">
        <v>4043</v>
      </c>
      <c r="G2325">
        <v>3033</v>
      </c>
      <c r="H2325">
        <v>5.0999999999999996</v>
      </c>
      <c r="I2325" t="s">
        <v>3892</v>
      </c>
      <c r="J2325" t="s">
        <v>3469</v>
      </c>
      <c r="K2325" t="s">
        <v>3742</v>
      </c>
      <c r="L2325">
        <v>35.799999999999997</v>
      </c>
      <c r="M2325" s="453">
        <v>45867</v>
      </c>
      <c r="N2325">
        <v>32.9</v>
      </c>
      <c r="O2325">
        <v>32.9</v>
      </c>
      <c r="P2325">
        <v>182.58</v>
      </c>
    </row>
    <row r="2326" spans="1:16" x14ac:dyDescent="0.3">
      <c r="A2326">
        <v>45764</v>
      </c>
      <c r="B2326">
        <v>116</v>
      </c>
      <c r="C2326" t="s">
        <v>568</v>
      </c>
      <c r="D2326" s="453">
        <v>45870</v>
      </c>
      <c r="E2326">
        <v>23698</v>
      </c>
      <c r="F2326" t="s">
        <v>4453</v>
      </c>
      <c r="G2326">
        <v>2188</v>
      </c>
      <c r="H2326">
        <v>3</v>
      </c>
      <c r="I2326" t="s">
        <v>3892</v>
      </c>
      <c r="J2326" t="s">
        <v>3469</v>
      </c>
      <c r="K2326" t="s">
        <v>3742</v>
      </c>
      <c r="L2326">
        <v>60</v>
      </c>
      <c r="M2326" s="453">
        <v>45840</v>
      </c>
      <c r="N2326">
        <v>60</v>
      </c>
      <c r="O2326">
        <v>60</v>
      </c>
      <c r="P2326">
        <v>180</v>
      </c>
    </row>
    <row r="2327" spans="1:16" x14ac:dyDescent="0.3">
      <c r="A2327">
        <v>45863</v>
      </c>
      <c r="B2327">
        <v>116</v>
      </c>
      <c r="C2327" t="s">
        <v>568</v>
      </c>
      <c r="D2327" s="453">
        <v>45870</v>
      </c>
      <c r="E2327">
        <v>18313</v>
      </c>
      <c r="F2327" t="s">
        <v>4464</v>
      </c>
      <c r="G2327">
        <v>3320</v>
      </c>
      <c r="H2327">
        <v>1</v>
      </c>
      <c r="I2327" t="s">
        <v>3878</v>
      </c>
      <c r="J2327" t="s">
        <v>3497</v>
      </c>
      <c r="K2327" t="s">
        <v>3742</v>
      </c>
      <c r="L2327">
        <v>0</v>
      </c>
      <c r="M2327" s="453">
        <v>45793</v>
      </c>
      <c r="N2327">
        <v>178.9</v>
      </c>
      <c r="O2327">
        <v>147.9</v>
      </c>
      <c r="P2327">
        <v>178.9</v>
      </c>
    </row>
    <row r="2328" spans="1:16" x14ac:dyDescent="0.3">
      <c r="A2328">
        <v>45806</v>
      </c>
      <c r="B2328">
        <v>116</v>
      </c>
      <c r="C2328" t="s">
        <v>568</v>
      </c>
      <c r="D2328" s="453">
        <v>45870</v>
      </c>
      <c r="E2328">
        <v>18232</v>
      </c>
      <c r="F2328" t="s">
        <v>4091</v>
      </c>
      <c r="G2328">
        <v>3396</v>
      </c>
      <c r="H2328">
        <v>1.7</v>
      </c>
      <c r="I2328" t="s">
        <v>3878</v>
      </c>
      <c r="J2328" t="s">
        <v>3497</v>
      </c>
      <c r="K2328" t="s">
        <v>3742</v>
      </c>
      <c r="L2328">
        <v>103.99</v>
      </c>
      <c r="M2328" s="453">
        <v>45845</v>
      </c>
      <c r="N2328">
        <v>103.99</v>
      </c>
      <c r="O2328">
        <v>102.81</v>
      </c>
      <c r="P2328">
        <v>176.78</v>
      </c>
    </row>
    <row r="2329" spans="1:16" x14ac:dyDescent="0.3">
      <c r="A2329">
        <v>45674</v>
      </c>
      <c r="B2329">
        <v>116</v>
      </c>
      <c r="C2329" t="s">
        <v>568</v>
      </c>
      <c r="D2329" s="453">
        <v>45870</v>
      </c>
      <c r="E2329">
        <v>20682</v>
      </c>
      <c r="F2329" t="s">
        <v>3929</v>
      </c>
      <c r="G2329">
        <v>2106</v>
      </c>
      <c r="H2329">
        <v>18</v>
      </c>
      <c r="I2329" t="s">
        <v>3872</v>
      </c>
      <c r="J2329" t="s">
        <v>3469</v>
      </c>
      <c r="K2329" t="s">
        <v>3742</v>
      </c>
      <c r="L2329">
        <v>9.8000000000000007</v>
      </c>
      <c r="M2329" s="453">
        <v>45840</v>
      </c>
      <c r="N2329">
        <v>9.8000000000000007</v>
      </c>
      <c r="O2329">
        <v>8.7799999999999994</v>
      </c>
      <c r="P2329">
        <v>176.4</v>
      </c>
    </row>
    <row r="2330" spans="1:16" x14ac:dyDescent="0.3">
      <c r="A2330">
        <v>45687</v>
      </c>
      <c r="B2330">
        <v>116</v>
      </c>
      <c r="C2330" t="s">
        <v>568</v>
      </c>
      <c r="D2330" s="453">
        <v>45870</v>
      </c>
      <c r="E2330">
        <v>19961</v>
      </c>
      <c r="F2330" t="s">
        <v>4465</v>
      </c>
      <c r="G2330">
        <v>2357</v>
      </c>
      <c r="H2330">
        <v>13</v>
      </c>
      <c r="I2330" t="s">
        <v>3886</v>
      </c>
      <c r="J2330" t="s">
        <v>3469</v>
      </c>
      <c r="K2330" t="s">
        <v>3742</v>
      </c>
      <c r="L2330">
        <v>0</v>
      </c>
      <c r="M2330" s="453">
        <v>45762</v>
      </c>
      <c r="N2330">
        <v>13.5</v>
      </c>
      <c r="O2330">
        <v>13.76</v>
      </c>
      <c r="P2330">
        <v>175.5</v>
      </c>
    </row>
    <row r="2331" spans="1:16" x14ac:dyDescent="0.3">
      <c r="A2331">
        <v>45735</v>
      </c>
      <c r="B2331">
        <v>116</v>
      </c>
      <c r="C2331" t="s">
        <v>568</v>
      </c>
      <c r="D2331" s="453">
        <v>45870</v>
      </c>
      <c r="E2331">
        <v>18547</v>
      </c>
      <c r="F2331" t="s">
        <v>3962</v>
      </c>
      <c r="G2331">
        <v>3132</v>
      </c>
      <c r="H2331">
        <v>5</v>
      </c>
      <c r="I2331" t="s">
        <v>3878</v>
      </c>
      <c r="J2331" t="s">
        <v>3497</v>
      </c>
      <c r="K2331" t="s">
        <v>3742</v>
      </c>
      <c r="L2331">
        <v>0</v>
      </c>
      <c r="M2331" s="453">
        <v>45770</v>
      </c>
      <c r="N2331">
        <v>34.74</v>
      </c>
      <c r="O2331">
        <v>34</v>
      </c>
      <c r="P2331">
        <v>173.7</v>
      </c>
    </row>
    <row r="2332" spans="1:16" x14ac:dyDescent="0.3">
      <c r="A2332">
        <v>45716</v>
      </c>
      <c r="B2332">
        <v>116</v>
      </c>
      <c r="C2332" t="s">
        <v>568</v>
      </c>
      <c r="D2332" s="453">
        <v>45870</v>
      </c>
      <c r="E2332">
        <v>18933</v>
      </c>
      <c r="F2332" t="s">
        <v>3957</v>
      </c>
      <c r="G2332">
        <v>2930</v>
      </c>
      <c r="H2332">
        <v>6.2</v>
      </c>
      <c r="I2332" t="s">
        <v>3892</v>
      </c>
      <c r="J2332" t="s">
        <v>3469</v>
      </c>
      <c r="K2332" t="s">
        <v>3742</v>
      </c>
      <c r="L2332">
        <v>27.91</v>
      </c>
      <c r="M2332" s="453">
        <v>45860</v>
      </c>
      <c r="N2332">
        <v>27.92</v>
      </c>
      <c r="O2332">
        <v>27.92</v>
      </c>
      <c r="P2332">
        <v>173.04</v>
      </c>
    </row>
    <row r="2333" spans="1:16" x14ac:dyDescent="0.3">
      <c r="A2333">
        <v>45745</v>
      </c>
      <c r="B2333">
        <v>116</v>
      </c>
      <c r="C2333" t="s">
        <v>568</v>
      </c>
      <c r="D2333" s="453">
        <v>45870</v>
      </c>
      <c r="E2333">
        <v>19967</v>
      </c>
      <c r="F2333" t="s">
        <v>3930</v>
      </c>
      <c r="G2333">
        <v>2356</v>
      </c>
      <c r="H2333">
        <v>4</v>
      </c>
      <c r="I2333" t="s">
        <v>3931</v>
      </c>
      <c r="J2333" t="s">
        <v>3469</v>
      </c>
      <c r="K2333" t="s">
        <v>3742</v>
      </c>
      <c r="L2333">
        <v>0</v>
      </c>
      <c r="M2333" s="453">
        <v>45805</v>
      </c>
      <c r="N2333">
        <v>0</v>
      </c>
      <c r="O2333">
        <v>45.6</v>
      </c>
      <c r="P2333">
        <v>170.56</v>
      </c>
    </row>
    <row r="2334" spans="1:16" x14ac:dyDescent="0.3">
      <c r="A2334">
        <v>45653</v>
      </c>
      <c r="B2334">
        <v>116</v>
      </c>
      <c r="C2334" t="s">
        <v>568</v>
      </c>
      <c r="D2334" s="453">
        <v>45870</v>
      </c>
      <c r="E2334">
        <v>22044</v>
      </c>
      <c r="F2334" t="s">
        <v>3928</v>
      </c>
      <c r="G2334">
        <v>3656</v>
      </c>
      <c r="H2334">
        <v>77</v>
      </c>
      <c r="I2334" t="s">
        <v>3872</v>
      </c>
      <c r="J2334" t="s">
        <v>3497</v>
      </c>
      <c r="K2334" t="s">
        <v>3742</v>
      </c>
      <c r="L2334">
        <v>0</v>
      </c>
      <c r="M2334" s="453">
        <v>45677</v>
      </c>
      <c r="N2334">
        <v>2.19</v>
      </c>
      <c r="O2334">
        <v>2.04</v>
      </c>
      <c r="P2334">
        <v>168.63</v>
      </c>
    </row>
    <row r="2335" spans="1:16" x14ac:dyDescent="0.3">
      <c r="A2335">
        <v>45855</v>
      </c>
      <c r="B2335">
        <v>116</v>
      </c>
      <c r="C2335" t="s">
        <v>568</v>
      </c>
      <c r="D2335" s="453">
        <v>45870</v>
      </c>
      <c r="E2335">
        <v>18550</v>
      </c>
      <c r="F2335" t="s">
        <v>4083</v>
      </c>
      <c r="G2335">
        <v>3130</v>
      </c>
      <c r="H2335">
        <v>1</v>
      </c>
      <c r="I2335" t="s">
        <v>3878</v>
      </c>
      <c r="J2335" t="s">
        <v>3497</v>
      </c>
      <c r="K2335" t="s">
        <v>3742</v>
      </c>
      <c r="L2335">
        <v>0</v>
      </c>
      <c r="M2335" s="453">
        <v>-693593</v>
      </c>
      <c r="N2335">
        <v>0</v>
      </c>
      <c r="O2335">
        <v>153</v>
      </c>
      <c r="P2335">
        <v>165.45</v>
      </c>
    </row>
    <row r="2336" spans="1:16" x14ac:dyDescent="0.3">
      <c r="A2336">
        <v>45815</v>
      </c>
      <c r="B2336">
        <v>116</v>
      </c>
      <c r="C2336" t="s">
        <v>568</v>
      </c>
      <c r="D2336" s="453">
        <v>45870</v>
      </c>
      <c r="E2336">
        <v>18129</v>
      </c>
      <c r="F2336" t="s">
        <v>4092</v>
      </c>
      <c r="G2336">
        <v>3486</v>
      </c>
      <c r="H2336">
        <v>1.2</v>
      </c>
      <c r="I2336" t="s">
        <v>3878</v>
      </c>
      <c r="J2336" t="s">
        <v>3497</v>
      </c>
      <c r="K2336" t="s">
        <v>3742</v>
      </c>
      <c r="L2336">
        <v>128.80000000000001</v>
      </c>
      <c r="M2336" s="453">
        <v>45840</v>
      </c>
      <c r="N2336">
        <v>128.80000000000001</v>
      </c>
      <c r="O2336">
        <v>128.5</v>
      </c>
      <c r="P2336">
        <v>154.56</v>
      </c>
    </row>
    <row r="2337" spans="1:16" x14ac:dyDescent="0.3">
      <c r="A2337">
        <v>45710</v>
      </c>
      <c r="B2337">
        <v>116</v>
      </c>
      <c r="C2337" t="s">
        <v>568</v>
      </c>
      <c r="D2337" s="453">
        <v>45870</v>
      </c>
      <c r="E2337">
        <v>19984</v>
      </c>
      <c r="F2337" t="s">
        <v>3904</v>
      </c>
      <c r="G2337">
        <v>2351</v>
      </c>
      <c r="H2337">
        <v>8</v>
      </c>
      <c r="I2337" t="s">
        <v>3872</v>
      </c>
      <c r="J2337" t="s">
        <v>3469</v>
      </c>
      <c r="K2337" t="s">
        <v>3742</v>
      </c>
      <c r="L2337">
        <v>0</v>
      </c>
      <c r="M2337" s="453">
        <v>45804</v>
      </c>
      <c r="N2337">
        <v>18.899999999999999</v>
      </c>
      <c r="O2337">
        <v>18.899999999999999</v>
      </c>
      <c r="P2337">
        <v>151.19999999999999</v>
      </c>
    </row>
    <row r="2338" spans="1:16" x14ac:dyDescent="0.3">
      <c r="A2338">
        <v>45711</v>
      </c>
      <c r="B2338">
        <v>116</v>
      </c>
      <c r="C2338" t="s">
        <v>568</v>
      </c>
      <c r="D2338" s="453">
        <v>45870</v>
      </c>
      <c r="E2338">
        <v>17609</v>
      </c>
      <c r="F2338" t="s">
        <v>4038</v>
      </c>
      <c r="G2338">
        <v>3917</v>
      </c>
      <c r="H2338">
        <v>8</v>
      </c>
      <c r="I2338" t="s">
        <v>3878</v>
      </c>
      <c r="J2338" t="s">
        <v>3497</v>
      </c>
      <c r="K2338" t="s">
        <v>3742</v>
      </c>
      <c r="L2338">
        <v>0</v>
      </c>
      <c r="M2338" s="453">
        <v>45573</v>
      </c>
      <c r="N2338">
        <v>18.899999999999999</v>
      </c>
      <c r="O2338">
        <v>18.899999999999999</v>
      </c>
      <c r="P2338">
        <v>151.19999999999999</v>
      </c>
    </row>
    <row r="2339" spans="1:16" x14ac:dyDescent="0.3">
      <c r="A2339">
        <v>45654</v>
      </c>
      <c r="B2339">
        <v>116</v>
      </c>
      <c r="C2339" t="s">
        <v>568</v>
      </c>
      <c r="D2339" s="453">
        <v>45870</v>
      </c>
      <c r="E2339">
        <v>24029</v>
      </c>
      <c r="F2339" t="s">
        <v>3875</v>
      </c>
      <c r="G2339">
        <v>3591</v>
      </c>
      <c r="H2339">
        <v>74</v>
      </c>
      <c r="I2339" t="s">
        <v>3872</v>
      </c>
      <c r="J2339" t="s">
        <v>3497</v>
      </c>
      <c r="K2339" t="s">
        <v>3742</v>
      </c>
      <c r="L2339">
        <v>0</v>
      </c>
      <c r="M2339" s="453">
        <v>45537</v>
      </c>
      <c r="N2339">
        <v>1.99</v>
      </c>
      <c r="O2339">
        <v>2.19</v>
      </c>
      <c r="P2339">
        <v>147.26</v>
      </c>
    </row>
    <row r="2340" spans="1:16" x14ac:dyDescent="0.3">
      <c r="A2340">
        <v>45655</v>
      </c>
      <c r="B2340">
        <v>116</v>
      </c>
      <c r="C2340" t="s">
        <v>568</v>
      </c>
      <c r="D2340" s="453">
        <v>45870</v>
      </c>
      <c r="E2340">
        <v>24467</v>
      </c>
      <c r="F2340" t="s">
        <v>3944</v>
      </c>
      <c r="G2340">
        <v>3673</v>
      </c>
      <c r="H2340">
        <v>74</v>
      </c>
      <c r="I2340" t="s">
        <v>3872</v>
      </c>
      <c r="J2340" t="s">
        <v>3497</v>
      </c>
      <c r="K2340" t="s">
        <v>3742</v>
      </c>
      <c r="L2340">
        <v>0</v>
      </c>
      <c r="M2340" s="453">
        <v>45510</v>
      </c>
      <c r="N2340">
        <v>1.99</v>
      </c>
      <c r="O2340">
        <v>2.19</v>
      </c>
      <c r="P2340">
        <v>147.26</v>
      </c>
    </row>
    <row r="2341" spans="1:16" x14ac:dyDescent="0.3">
      <c r="A2341">
        <v>45657</v>
      </c>
      <c r="B2341">
        <v>116</v>
      </c>
      <c r="C2341" t="s">
        <v>568</v>
      </c>
      <c r="D2341" s="453">
        <v>45870</v>
      </c>
      <c r="E2341">
        <v>22042</v>
      </c>
      <c r="F2341" t="s">
        <v>3901</v>
      </c>
      <c r="G2341">
        <v>3658</v>
      </c>
      <c r="H2341">
        <v>64</v>
      </c>
      <c r="I2341" t="s">
        <v>3872</v>
      </c>
      <c r="J2341" t="s">
        <v>3497</v>
      </c>
      <c r="K2341" t="s">
        <v>3742</v>
      </c>
      <c r="L2341">
        <v>0</v>
      </c>
      <c r="M2341" s="453">
        <v>45677</v>
      </c>
      <c r="N2341">
        <v>2.19</v>
      </c>
      <c r="O2341">
        <v>1.99</v>
      </c>
      <c r="P2341">
        <v>140.16</v>
      </c>
    </row>
    <row r="2342" spans="1:16" x14ac:dyDescent="0.3">
      <c r="A2342">
        <v>45862</v>
      </c>
      <c r="B2342">
        <v>116</v>
      </c>
      <c r="C2342" t="s">
        <v>568</v>
      </c>
      <c r="D2342" s="453">
        <v>45870</v>
      </c>
      <c r="E2342">
        <v>18315</v>
      </c>
      <c r="F2342" t="s">
        <v>4088</v>
      </c>
      <c r="G2342">
        <v>3318</v>
      </c>
      <c r="H2342">
        <v>1</v>
      </c>
      <c r="I2342" t="s">
        <v>3878</v>
      </c>
      <c r="J2342" t="s">
        <v>3497</v>
      </c>
      <c r="K2342" t="s">
        <v>3742</v>
      </c>
      <c r="L2342">
        <v>0</v>
      </c>
      <c r="M2342" s="453">
        <v>45817</v>
      </c>
      <c r="N2342">
        <v>135</v>
      </c>
      <c r="O2342">
        <v>127</v>
      </c>
      <c r="P2342">
        <v>135</v>
      </c>
    </row>
    <row r="2343" spans="1:16" x14ac:dyDescent="0.3">
      <c r="A2343">
        <v>45858</v>
      </c>
      <c r="B2343">
        <v>116</v>
      </c>
      <c r="C2343" t="s">
        <v>568</v>
      </c>
      <c r="D2343" s="453">
        <v>45870</v>
      </c>
      <c r="E2343">
        <v>18394</v>
      </c>
      <c r="F2343" t="s">
        <v>4044</v>
      </c>
      <c r="G2343">
        <v>3246</v>
      </c>
      <c r="H2343">
        <v>1</v>
      </c>
      <c r="I2343" t="s">
        <v>3878</v>
      </c>
      <c r="J2343" t="s">
        <v>3497</v>
      </c>
      <c r="K2343" t="s">
        <v>3742</v>
      </c>
      <c r="L2343">
        <v>133.86000000000001</v>
      </c>
      <c r="M2343" s="453">
        <v>45845</v>
      </c>
      <c r="N2343">
        <v>133.86000000000001</v>
      </c>
      <c r="O2343">
        <v>132.36000000000001</v>
      </c>
      <c r="P2343">
        <v>133.86000000000001</v>
      </c>
    </row>
    <row r="2344" spans="1:16" x14ac:dyDescent="0.3">
      <c r="A2344">
        <v>45675</v>
      </c>
      <c r="B2344">
        <v>116</v>
      </c>
      <c r="C2344" t="s">
        <v>568</v>
      </c>
      <c r="D2344" s="453">
        <v>45870</v>
      </c>
      <c r="E2344">
        <v>19540</v>
      </c>
      <c r="F2344" t="s">
        <v>4454</v>
      </c>
      <c r="G2344">
        <v>2676</v>
      </c>
      <c r="H2344">
        <v>18</v>
      </c>
      <c r="I2344" t="s">
        <v>3892</v>
      </c>
      <c r="J2344" t="s">
        <v>3469</v>
      </c>
      <c r="K2344" t="s">
        <v>3742</v>
      </c>
      <c r="L2344">
        <v>0</v>
      </c>
      <c r="M2344" s="453">
        <v>45832</v>
      </c>
      <c r="N2344">
        <v>7.42</v>
      </c>
      <c r="O2344">
        <v>6.7</v>
      </c>
      <c r="P2344">
        <v>133.56</v>
      </c>
    </row>
    <row r="2345" spans="1:16" x14ac:dyDescent="0.3">
      <c r="A2345">
        <v>45660</v>
      </c>
      <c r="B2345">
        <v>116</v>
      </c>
      <c r="C2345" t="s">
        <v>568</v>
      </c>
      <c r="D2345" s="453">
        <v>45870</v>
      </c>
      <c r="E2345">
        <v>24414</v>
      </c>
      <c r="F2345" t="s">
        <v>3943</v>
      </c>
      <c r="G2345">
        <v>3670</v>
      </c>
      <c r="H2345">
        <v>58</v>
      </c>
      <c r="I2345" t="s">
        <v>3872</v>
      </c>
      <c r="J2345" t="s">
        <v>3497</v>
      </c>
      <c r="K2345" t="s">
        <v>3742</v>
      </c>
      <c r="L2345">
        <v>0</v>
      </c>
      <c r="M2345" s="453">
        <v>45544</v>
      </c>
      <c r="N2345">
        <v>2.19</v>
      </c>
      <c r="O2345">
        <v>2.19</v>
      </c>
      <c r="P2345">
        <v>127.02</v>
      </c>
    </row>
    <row r="2346" spans="1:16" x14ac:dyDescent="0.3">
      <c r="A2346">
        <v>45773</v>
      </c>
      <c r="B2346">
        <v>116</v>
      </c>
      <c r="C2346" t="s">
        <v>568</v>
      </c>
      <c r="D2346" s="453">
        <v>45870</v>
      </c>
      <c r="E2346">
        <v>19405</v>
      </c>
      <c r="F2346" t="s">
        <v>4097</v>
      </c>
      <c r="G2346">
        <v>2761</v>
      </c>
      <c r="H2346">
        <v>3</v>
      </c>
      <c r="I2346" t="s">
        <v>3892</v>
      </c>
      <c r="J2346" t="s">
        <v>3469</v>
      </c>
      <c r="K2346" t="s">
        <v>3742</v>
      </c>
      <c r="L2346">
        <v>0</v>
      </c>
      <c r="M2346" s="453">
        <v>45790</v>
      </c>
      <c r="N2346">
        <v>40</v>
      </c>
      <c r="O2346">
        <v>35.9</v>
      </c>
      <c r="P2346">
        <v>120</v>
      </c>
    </row>
    <row r="2347" spans="1:16" x14ac:dyDescent="0.3">
      <c r="A2347">
        <v>45814</v>
      </c>
      <c r="B2347">
        <v>116</v>
      </c>
      <c r="C2347" t="s">
        <v>568</v>
      </c>
      <c r="D2347" s="453">
        <v>45870</v>
      </c>
      <c r="E2347">
        <v>18359</v>
      </c>
      <c r="F2347" t="s">
        <v>4029</v>
      </c>
      <c r="G2347">
        <v>3278</v>
      </c>
      <c r="H2347">
        <v>1.2</v>
      </c>
      <c r="I2347" t="s">
        <v>3878</v>
      </c>
      <c r="J2347" t="s">
        <v>3497</v>
      </c>
      <c r="K2347" t="s">
        <v>3742</v>
      </c>
      <c r="L2347">
        <v>0</v>
      </c>
      <c r="M2347" s="453">
        <v>45818</v>
      </c>
      <c r="N2347">
        <v>99.9</v>
      </c>
      <c r="O2347">
        <v>99.9</v>
      </c>
      <c r="P2347">
        <v>119.88</v>
      </c>
    </row>
    <row r="2348" spans="1:16" x14ac:dyDescent="0.3">
      <c r="A2348">
        <v>45672</v>
      </c>
      <c r="B2348">
        <v>116</v>
      </c>
      <c r="C2348" t="s">
        <v>568</v>
      </c>
      <c r="D2348" s="453">
        <v>45870</v>
      </c>
      <c r="E2348">
        <v>19139</v>
      </c>
      <c r="F2348" t="s">
        <v>3887</v>
      </c>
      <c r="G2348">
        <v>2836</v>
      </c>
      <c r="H2348">
        <v>21</v>
      </c>
      <c r="I2348" t="s">
        <v>3888</v>
      </c>
      <c r="J2348" t="s">
        <v>3469</v>
      </c>
      <c r="K2348" t="s">
        <v>3742</v>
      </c>
      <c r="L2348">
        <v>5.46</v>
      </c>
      <c r="M2348" s="453">
        <v>45869</v>
      </c>
      <c r="N2348">
        <v>9.1</v>
      </c>
      <c r="O2348">
        <v>9.1</v>
      </c>
      <c r="P2348">
        <v>114.66</v>
      </c>
    </row>
    <row r="2349" spans="1:16" x14ac:dyDescent="0.3">
      <c r="A2349">
        <v>45771</v>
      </c>
      <c r="B2349">
        <v>116</v>
      </c>
      <c r="C2349" t="s">
        <v>568</v>
      </c>
      <c r="D2349" s="453">
        <v>45870</v>
      </c>
      <c r="E2349">
        <v>19578</v>
      </c>
      <c r="F2349" t="s">
        <v>3985</v>
      </c>
      <c r="G2349">
        <v>2640</v>
      </c>
      <c r="H2349">
        <v>3</v>
      </c>
      <c r="I2349" t="s">
        <v>3892</v>
      </c>
      <c r="J2349" t="s">
        <v>3469</v>
      </c>
      <c r="K2349" t="s">
        <v>3742</v>
      </c>
      <c r="L2349">
        <v>38</v>
      </c>
      <c r="M2349" s="453">
        <v>45859</v>
      </c>
      <c r="N2349">
        <v>38</v>
      </c>
      <c r="O2349">
        <v>38</v>
      </c>
      <c r="P2349">
        <v>114</v>
      </c>
    </row>
    <row r="2350" spans="1:16" x14ac:dyDescent="0.3">
      <c r="A2350">
        <v>45755</v>
      </c>
      <c r="B2350">
        <v>116</v>
      </c>
      <c r="C2350" t="s">
        <v>568</v>
      </c>
      <c r="D2350" s="453">
        <v>45870</v>
      </c>
      <c r="E2350">
        <v>20809</v>
      </c>
      <c r="F2350" t="s">
        <v>4005</v>
      </c>
      <c r="G2350">
        <v>2074</v>
      </c>
      <c r="H2350">
        <v>3.2</v>
      </c>
      <c r="I2350" t="s">
        <v>3888</v>
      </c>
      <c r="J2350" t="s">
        <v>3469</v>
      </c>
      <c r="K2350" t="s">
        <v>3742</v>
      </c>
      <c r="L2350">
        <v>35.450000000000003</v>
      </c>
      <c r="M2350" s="453">
        <v>45867</v>
      </c>
      <c r="N2350">
        <v>35</v>
      </c>
      <c r="O2350">
        <v>29.88</v>
      </c>
      <c r="P2350">
        <v>113.44</v>
      </c>
    </row>
    <row r="2351" spans="1:16" x14ac:dyDescent="0.3">
      <c r="A2351">
        <v>45817</v>
      </c>
      <c r="B2351">
        <v>116</v>
      </c>
      <c r="C2351" t="s">
        <v>568</v>
      </c>
      <c r="D2351" s="453">
        <v>45870</v>
      </c>
      <c r="E2351">
        <v>18233</v>
      </c>
      <c r="F2351" t="s">
        <v>4090</v>
      </c>
      <c r="G2351">
        <v>3395</v>
      </c>
      <c r="H2351">
        <v>1.1000000000000001</v>
      </c>
      <c r="I2351" t="s">
        <v>3878</v>
      </c>
      <c r="J2351" t="s">
        <v>3497</v>
      </c>
      <c r="K2351" t="s">
        <v>3742</v>
      </c>
      <c r="L2351">
        <v>102.9</v>
      </c>
      <c r="M2351" s="453">
        <v>45867</v>
      </c>
      <c r="N2351">
        <v>102.9</v>
      </c>
      <c r="O2351">
        <v>0</v>
      </c>
      <c r="P2351">
        <v>113.19</v>
      </c>
    </row>
    <row r="2352" spans="1:16" x14ac:dyDescent="0.3">
      <c r="A2352">
        <v>45768</v>
      </c>
      <c r="B2352">
        <v>116</v>
      </c>
      <c r="C2352" t="s">
        <v>568</v>
      </c>
      <c r="D2352" s="453">
        <v>45870</v>
      </c>
      <c r="E2352">
        <v>20117</v>
      </c>
      <c r="F2352" t="s">
        <v>4010</v>
      </c>
      <c r="G2352">
        <v>2291</v>
      </c>
      <c r="H2352">
        <v>3</v>
      </c>
      <c r="I2352" t="s">
        <v>3872</v>
      </c>
      <c r="J2352" t="s">
        <v>3469</v>
      </c>
      <c r="K2352" t="s">
        <v>3742</v>
      </c>
      <c r="L2352">
        <v>37.5</v>
      </c>
      <c r="M2352" s="453">
        <v>45867</v>
      </c>
      <c r="N2352">
        <v>37.5</v>
      </c>
      <c r="O2352">
        <v>37.5</v>
      </c>
      <c r="P2352">
        <v>112.5</v>
      </c>
    </row>
    <row r="2353" spans="1:16" x14ac:dyDescent="0.3">
      <c r="A2353">
        <v>45729</v>
      </c>
      <c r="B2353">
        <v>116</v>
      </c>
      <c r="C2353" t="s">
        <v>568</v>
      </c>
      <c r="D2353" s="453">
        <v>45870</v>
      </c>
      <c r="E2353">
        <v>22899</v>
      </c>
      <c r="F2353" t="s">
        <v>4172</v>
      </c>
      <c r="G2353">
        <v>2893</v>
      </c>
      <c r="H2353">
        <v>5.3</v>
      </c>
      <c r="I2353" t="s">
        <v>3892</v>
      </c>
      <c r="J2353" t="s">
        <v>3469</v>
      </c>
      <c r="K2353" t="s">
        <v>3742</v>
      </c>
      <c r="L2353">
        <v>20.9</v>
      </c>
      <c r="M2353" s="453">
        <v>45841</v>
      </c>
      <c r="N2353">
        <v>20.9</v>
      </c>
      <c r="O2353">
        <v>17.690000000000001</v>
      </c>
      <c r="P2353">
        <v>110.77</v>
      </c>
    </row>
    <row r="2354" spans="1:16" x14ac:dyDescent="0.3">
      <c r="A2354">
        <v>45665</v>
      </c>
      <c r="B2354">
        <v>116</v>
      </c>
      <c r="C2354" t="s">
        <v>568</v>
      </c>
      <c r="D2354" s="453">
        <v>45870</v>
      </c>
      <c r="E2354">
        <v>23361</v>
      </c>
      <c r="F2354" t="s">
        <v>4220</v>
      </c>
      <c r="G2354">
        <v>2497</v>
      </c>
      <c r="H2354">
        <v>36</v>
      </c>
      <c r="I2354" t="s">
        <v>3892</v>
      </c>
      <c r="J2354" t="s">
        <v>3469</v>
      </c>
      <c r="K2354" t="s">
        <v>3742</v>
      </c>
      <c r="L2354">
        <v>3.03</v>
      </c>
      <c r="M2354" s="453">
        <v>45869</v>
      </c>
      <c r="N2354">
        <v>2.8</v>
      </c>
      <c r="O2354">
        <v>2.68</v>
      </c>
      <c r="P2354">
        <v>109.08</v>
      </c>
    </row>
    <row r="2355" spans="1:16" x14ac:dyDescent="0.3">
      <c r="A2355">
        <v>45762</v>
      </c>
      <c r="B2355">
        <v>116</v>
      </c>
      <c r="C2355" t="s">
        <v>568</v>
      </c>
      <c r="D2355" s="453">
        <v>45870</v>
      </c>
      <c r="E2355">
        <v>21166</v>
      </c>
      <c r="F2355" t="s">
        <v>4001</v>
      </c>
      <c r="G2355">
        <v>1940</v>
      </c>
      <c r="H2355">
        <v>3</v>
      </c>
      <c r="I2355" t="s">
        <v>3872</v>
      </c>
      <c r="J2355" t="s">
        <v>3469</v>
      </c>
      <c r="K2355" t="s">
        <v>3742</v>
      </c>
      <c r="L2355">
        <v>0</v>
      </c>
      <c r="M2355" s="453">
        <v>45615</v>
      </c>
      <c r="N2355">
        <v>36</v>
      </c>
      <c r="O2355">
        <v>36</v>
      </c>
      <c r="P2355">
        <v>108</v>
      </c>
    </row>
    <row r="2356" spans="1:16" x14ac:dyDescent="0.3">
      <c r="A2356">
        <v>45781</v>
      </c>
      <c r="B2356">
        <v>116</v>
      </c>
      <c r="C2356" t="s">
        <v>568</v>
      </c>
      <c r="D2356" s="453">
        <v>45870</v>
      </c>
      <c r="E2356">
        <v>19287</v>
      </c>
      <c r="F2356" t="s">
        <v>3974</v>
      </c>
      <c r="G2356">
        <v>2778</v>
      </c>
      <c r="H2356">
        <v>2.6</v>
      </c>
      <c r="I2356" t="s">
        <v>3892</v>
      </c>
      <c r="J2356" t="s">
        <v>3469</v>
      </c>
      <c r="K2356" t="s">
        <v>3742</v>
      </c>
      <c r="L2356">
        <v>41.53</v>
      </c>
      <c r="M2356" s="453">
        <v>45860</v>
      </c>
      <c r="N2356">
        <v>41.5</v>
      </c>
      <c r="O2356">
        <v>40.53</v>
      </c>
      <c r="P2356">
        <v>107.98</v>
      </c>
    </row>
    <row r="2357" spans="1:16" x14ac:dyDescent="0.3">
      <c r="A2357">
        <v>45750</v>
      </c>
      <c r="B2357">
        <v>116</v>
      </c>
      <c r="C2357" t="s">
        <v>568</v>
      </c>
      <c r="D2357" s="453">
        <v>45870</v>
      </c>
      <c r="E2357">
        <v>22338</v>
      </c>
      <c r="F2357" t="s">
        <v>3947</v>
      </c>
      <c r="G2357">
        <v>3376</v>
      </c>
      <c r="H2357">
        <v>3.6</v>
      </c>
      <c r="I2357" t="s">
        <v>3872</v>
      </c>
      <c r="J2357" t="s">
        <v>3497</v>
      </c>
      <c r="K2357" t="s">
        <v>3742</v>
      </c>
      <c r="L2357">
        <v>0</v>
      </c>
      <c r="M2357" s="453">
        <v>45659</v>
      </c>
      <c r="N2357">
        <v>29.97</v>
      </c>
      <c r="O2357">
        <v>28.97</v>
      </c>
      <c r="P2357">
        <v>107.89</v>
      </c>
    </row>
    <row r="2358" spans="1:16" x14ac:dyDescent="0.3">
      <c r="A2358">
        <v>45728</v>
      </c>
      <c r="B2358">
        <v>116</v>
      </c>
      <c r="C2358" t="s">
        <v>568</v>
      </c>
      <c r="D2358" s="453">
        <v>45870</v>
      </c>
      <c r="E2358">
        <v>18696</v>
      </c>
      <c r="F2358" t="s">
        <v>3956</v>
      </c>
      <c r="G2358">
        <v>3035</v>
      </c>
      <c r="H2358">
        <v>5.5</v>
      </c>
      <c r="I2358" t="s">
        <v>3892</v>
      </c>
      <c r="J2358" t="s">
        <v>3469</v>
      </c>
      <c r="K2358" t="s">
        <v>3742</v>
      </c>
      <c r="L2358">
        <v>19.329999999999998</v>
      </c>
      <c r="M2358" s="453">
        <v>45868</v>
      </c>
      <c r="N2358">
        <v>18.899999999999999</v>
      </c>
      <c r="O2358">
        <v>19.579999999999998</v>
      </c>
      <c r="P2358">
        <v>106.32</v>
      </c>
    </row>
    <row r="2359" spans="1:16" x14ac:dyDescent="0.3">
      <c r="A2359">
        <v>45864</v>
      </c>
      <c r="B2359">
        <v>116</v>
      </c>
      <c r="C2359" t="s">
        <v>568</v>
      </c>
      <c r="D2359" s="453">
        <v>45870</v>
      </c>
      <c r="E2359">
        <v>18312</v>
      </c>
      <c r="F2359" t="s">
        <v>4089</v>
      </c>
      <c r="G2359">
        <v>3321</v>
      </c>
      <c r="H2359">
        <v>1</v>
      </c>
      <c r="I2359" t="s">
        <v>3878</v>
      </c>
      <c r="J2359" t="s">
        <v>3497</v>
      </c>
      <c r="K2359" t="s">
        <v>3742</v>
      </c>
      <c r="L2359">
        <v>0</v>
      </c>
      <c r="M2359" s="453">
        <v>45793</v>
      </c>
      <c r="N2359">
        <v>105.9</v>
      </c>
      <c r="O2359">
        <v>86</v>
      </c>
      <c r="P2359">
        <v>105.9</v>
      </c>
    </row>
    <row r="2360" spans="1:16" x14ac:dyDescent="0.3">
      <c r="A2360">
        <v>45756</v>
      </c>
      <c r="B2360">
        <v>116</v>
      </c>
      <c r="C2360" t="s">
        <v>568</v>
      </c>
      <c r="D2360" s="453">
        <v>45870</v>
      </c>
      <c r="E2360">
        <v>20458</v>
      </c>
      <c r="F2360" t="s">
        <v>4121</v>
      </c>
      <c r="G2360">
        <v>2164</v>
      </c>
      <c r="H2360">
        <v>3.2</v>
      </c>
      <c r="I2360" t="s">
        <v>3892</v>
      </c>
      <c r="J2360" t="s">
        <v>3469</v>
      </c>
      <c r="K2360" t="s">
        <v>3742</v>
      </c>
      <c r="L2360">
        <v>32.9</v>
      </c>
      <c r="M2360" s="453">
        <v>45846</v>
      </c>
      <c r="N2360">
        <v>32.9</v>
      </c>
      <c r="O2360">
        <v>32.9</v>
      </c>
      <c r="P2360">
        <v>105.28</v>
      </c>
    </row>
    <row r="2361" spans="1:16" x14ac:dyDescent="0.3">
      <c r="A2361">
        <v>45860</v>
      </c>
      <c r="B2361">
        <v>116</v>
      </c>
      <c r="C2361" t="s">
        <v>568</v>
      </c>
      <c r="D2361" s="453">
        <v>45870</v>
      </c>
      <c r="E2361">
        <v>18327</v>
      </c>
      <c r="F2361" t="s">
        <v>4087</v>
      </c>
      <c r="G2361">
        <v>3306</v>
      </c>
      <c r="H2361">
        <v>1</v>
      </c>
      <c r="I2361" t="s">
        <v>3878</v>
      </c>
      <c r="J2361" t="s">
        <v>3497</v>
      </c>
      <c r="K2361" t="s">
        <v>3742</v>
      </c>
      <c r="L2361">
        <v>0</v>
      </c>
      <c r="M2361" s="453">
        <v>45790</v>
      </c>
      <c r="N2361">
        <v>105</v>
      </c>
      <c r="O2361">
        <v>116.9</v>
      </c>
      <c r="P2361">
        <v>105</v>
      </c>
    </row>
    <row r="2362" spans="1:16" x14ac:dyDescent="0.3">
      <c r="A2362">
        <v>45821</v>
      </c>
      <c r="B2362">
        <v>116</v>
      </c>
      <c r="C2362" t="s">
        <v>568</v>
      </c>
      <c r="D2362" s="453">
        <v>45870</v>
      </c>
      <c r="E2362">
        <v>20755</v>
      </c>
      <c r="F2362" t="s">
        <v>4052</v>
      </c>
      <c r="G2362">
        <v>2087</v>
      </c>
      <c r="H2362">
        <v>1</v>
      </c>
      <c r="I2362" t="s">
        <v>3966</v>
      </c>
      <c r="J2362" t="s">
        <v>3469</v>
      </c>
      <c r="K2362" t="s">
        <v>3742</v>
      </c>
      <c r="L2362">
        <v>0</v>
      </c>
      <c r="M2362" s="453">
        <v>45832</v>
      </c>
      <c r="N2362">
        <v>104.27</v>
      </c>
      <c r="O2362">
        <v>118</v>
      </c>
      <c r="P2362">
        <v>104.27</v>
      </c>
    </row>
    <row r="2363" spans="1:16" x14ac:dyDescent="0.3">
      <c r="A2363">
        <v>45689</v>
      </c>
      <c r="B2363">
        <v>116</v>
      </c>
      <c r="C2363" t="s">
        <v>568</v>
      </c>
      <c r="D2363" s="453">
        <v>45870</v>
      </c>
      <c r="E2363">
        <v>17093</v>
      </c>
      <c r="F2363" t="s">
        <v>3993</v>
      </c>
      <c r="G2363">
        <v>4165</v>
      </c>
      <c r="H2363">
        <v>13</v>
      </c>
      <c r="I2363" t="s">
        <v>3888</v>
      </c>
      <c r="J2363" t="s">
        <v>3497</v>
      </c>
      <c r="K2363" t="s">
        <v>3742</v>
      </c>
      <c r="L2363">
        <v>0</v>
      </c>
      <c r="M2363" s="453">
        <v>45803</v>
      </c>
      <c r="N2363">
        <v>8</v>
      </c>
      <c r="O2363">
        <v>8</v>
      </c>
      <c r="P2363">
        <v>104</v>
      </c>
    </row>
    <row r="2364" spans="1:16" x14ac:dyDescent="0.3">
      <c r="A2364">
        <v>45868</v>
      </c>
      <c r="B2364">
        <v>116</v>
      </c>
      <c r="C2364" t="s">
        <v>568</v>
      </c>
      <c r="D2364" s="453">
        <v>45870</v>
      </c>
      <c r="E2364">
        <v>18146</v>
      </c>
      <c r="F2364" t="s">
        <v>4100</v>
      </c>
      <c r="G2364">
        <v>3471</v>
      </c>
      <c r="H2364">
        <v>0.9</v>
      </c>
      <c r="I2364" t="s">
        <v>3878</v>
      </c>
      <c r="J2364" t="s">
        <v>3497</v>
      </c>
      <c r="K2364" t="s">
        <v>3742</v>
      </c>
      <c r="L2364">
        <v>0</v>
      </c>
      <c r="M2364" s="453">
        <v>45782</v>
      </c>
      <c r="N2364">
        <v>114.32</v>
      </c>
      <c r="O2364">
        <v>154.72</v>
      </c>
      <c r="P2364">
        <v>102.89</v>
      </c>
    </row>
    <row r="2365" spans="1:16" x14ac:dyDescent="0.3">
      <c r="A2365">
        <v>45732</v>
      </c>
      <c r="B2365">
        <v>116</v>
      </c>
      <c r="C2365" t="s">
        <v>568</v>
      </c>
      <c r="D2365" s="453">
        <v>45870</v>
      </c>
      <c r="E2365">
        <v>20234</v>
      </c>
      <c r="F2365" t="s">
        <v>3979</v>
      </c>
      <c r="G2365">
        <v>2245</v>
      </c>
      <c r="H2365">
        <v>5</v>
      </c>
      <c r="I2365" t="s">
        <v>3892</v>
      </c>
      <c r="J2365" t="s">
        <v>3469</v>
      </c>
      <c r="K2365" t="s">
        <v>3742</v>
      </c>
      <c r="L2365">
        <v>20.5</v>
      </c>
      <c r="M2365" s="453">
        <v>45853</v>
      </c>
      <c r="N2365">
        <v>20.5</v>
      </c>
      <c r="O2365">
        <v>20.8</v>
      </c>
      <c r="P2365">
        <v>102.5</v>
      </c>
    </row>
    <row r="2366" spans="1:16" x14ac:dyDescent="0.3">
      <c r="A2366">
        <v>45754</v>
      </c>
      <c r="B2366">
        <v>116</v>
      </c>
      <c r="C2366" t="s">
        <v>568</v>
      </c>
      <c r="D2366" s="453">
        <v>45870</v>
      </c>
      <c r="E2366">
        <v>19649</v>
      </c>
      <c r="F2366" t="s">
        <v>4015</v>
      </c>
      <c r="G2366">
        <v>2589</v>
      </c>
      <c r="H2366">
        <v>3.5</v>
      </c>
      <c r="I2366" t="s">
        <v>3892</v>
      </c>
      <c r="J2366" t="s">
        <v>3469</v>
      </c>
      <c r="K2366" t="s">
        <v>3742</v>
      </c>
      <c r="L2366">
        <v>0</v>
      </c>
      <c r="M2366" s="453">
        <v>45831</v>
      </c>
      <c r="N2366">
        <v>29</v>
      </c>
      <c r="O2366">
        <v>25</v>
      </c>
      <c r="P2366">
        <v>101.5</v>
      </c>
    </row>
    <row r="2367" spans="1:16" x14ac:dyDescent="0.3">
      <c r="A2367">
        <v>45664</v>
      </c>
      <c r="B2367">
        <v>116</v>
      </c>
      <c r="C2367" t="s">
        <v>568</v>
      </c>
      <c r="D2367" s="453">
        <v>45870</v>
      </c>
      <c r="E2367">
        <v>17881</v>
      </c>
      <c r="F2367" t="s">
        <v>4095</v>
      </c>
      <c r="G2367">
        <v>3675</v>
      </c>
      <c r="H2367">
        <v>3.58</v>
      </c>
      <c r="I2367" t="s">
        <v>3888</v>
      </c>
      <c r="J2367" t="s">
        <v>3497</v>
      </c>
      <c r="K2367" t="s">
        <v>3742</v>
      </c>
      <c r="L2367">
        <v>27.3</v>
      </c>
      <c r="M2367" s="453">
        <v>45854</v>
      </c>
      <c r="N2367">
        <v>28.32</v>
      </c>
      <c r="O2367">
        <v>28.32</v>
      </c>
      <c r="P2367">
        <v>97.73</v>
      </c>
    </row>
    <row r="2368" spans="1:16" x14ac:dyDescent="0.3">
      <c r="A2368">
        <v>45666</v>
      </c>
      <c r="B2368">
        <v>116</v>
      </c>
      <c r="C2368" t="s">
        <v>568</v>
      </c>
      <c r="D2368" s="453">
        <v>45870</v>
      </c>
      <c r="E2368">
        <v>24083</v>
      </c>
      <c r="F2368" t="s">
        <v>3898</v>
      </c>
      <c r="G2368">
        <v>2592</v>
      </c>
      <c r="H2368">
        <v>27</v>
      </c>
      <c r="I2368" t="s">
        <v>3892</v>
      </c>
      <c r="J2368" t="s">
        <v>3469</v>
      </c>
      <c r="K2368" t="s">
        <v>3742</v>
      </c>
      <c r="L2368">
        <v>3.58</v>
      </c>
      <c r="M2368" s="453">
        <v>45869</v>
      </c>
      <c r="N2368">
        <v>3.2</v>
      </c>
      <c r="O2368">
        <v>3.01</v>
      </c>
      <c r="P2368">
        <v>96.66</v>
      </c>
    </row>
    <row r="2369" spans="1:16" x14ac:dyDescent="0.3">
      <c r="A2369">
        <v>45812</v>
      </c>
      <c r="B2369">
        <v>116</v>
      </c>
      <c r="C2369" t="s">
        <v>568</v>
      </c>
      <c r="D2369" s="453">
        <v>45870</v>
      </c>
      <c r="E2369">
        <v>20757</v>
      </c>
      <c r="F2369" t="s">
        <v>4050</v>
      </c>
      <c r="G2369">
        <v>2086</v>
      </c>
      <c r="H2369">
        <v>1.2</v>
      </c>
      <c r="I2369" t="s">
        <v>3966</v>
      </c>
      <c r="J2369" t="s">
        <v>3469</v>
      </c>
      <c r="K2369" t="s">
        <v>3742</v>
      </c>
      <c r="L2369">
        <v>0</v>
      </c>
      <c r="M2369" s="453">
        <v>45811</v>
      </c>
      <c r="N2369">
        <v>80.150000000000006</v>
      </c>
      <c r="O2369">
        <v>80.900000000000006</v>
      </c>
      <c r="P2369">
        <v>96.18</v>
      </c>
    </row>
    <row r="2370" spans="1:16" x14ac:dyDescent="0.3">
      <c r="A2370">
        <v>45685</v>
      </c>
      <c r="B2370">
        <v>116</v>
      </c>
      <c r="C2370" t="s">
        <v>568</v>
      </c>
      <c r="D2370" s="453">
        <v>45870</v>
      </c>
      <c r="E2370">
        <v>24227</v>
      </c>
      <c r="F2370" t="s">
        <v>3970</v>
      </c>
      <c r="G2370">
        <v>3648</v>
      </c>
      <c r="H2370">
        <v>14</v>
      </c>
      <c r="I2370" t="s">
        <v>3872</v>
      </c>
      <c r="J2370" t="s">
        <v>3497</v>
      </c>
      <c r="K2370" t="s">
        <v>3742</v>
      </c>
      <c r="L2370">
        <v>0</v>
      </c>
      <c r="M2370" s="453">
        <v>-693593</v>
      </c>
      <c r="N2370">
        <v>0</v>
      </c>
      <c r="O2370">
        <v>26.22</v>
      </c>
      <c r="P2370">
        <v>95.48</v>
      </c>
    </row>
    <row r="2371" spans="1:16" x14ac:dyDescent="0.3">
      <c r="A2371">
        <v>45753</v>
      </c>
      <c r="B2371">
        <v>116</v>
      </c>
      <c r="C2371" t="s">
        <v>568</v>
      </c>
      <c r="D2371" s="453">
        <v>45870</v>
      </c>
      <c r="E2371">
        <v>20487</v>
      </c>
      <c r="F2371" t="s">
        <v>4310</v>
      </c>
      <c r="G2371">
        <v>2157</v>
      </c>
      <c r="H2371">
        <v>3.5</v>
      </c>
      <c r="I2371" t="s">
        <v>3892</v>
      </c>
      <c r="J2371" t="s">
        <v>3469</v>
      </c>
      <c r="K2371" t="s">
        <v>3742</v>
      </c>
      <c r="L2371">
        <v>0</v>
      </c>
      <c r="M2371" s="453">
        <v>45832</v>
      </c>
      <c r="N2371">
        <v>26.75</v>
      </c>
      <c r="O2371">
        <v>24.48</v>
      </c>
      <c r="P2371">
        <v>93.63</v>
      </c>
    </row>
    <row r="2372" spans="1:16" x14ac:dyDescent="0.3">
      <c r="A2372">
        <v>45866</v>
      </c>
      <c r="B2372">
        <v>116</v>
      </c>
      <c r="C2372" t="s">
        <v>568</v>
      </c>
      <c r="D2372" s="453">
        <v>45870</v>
      </c>
      <c r="E2372">
        <v>18111</v>
      </c>
      <c r="F2372" t="s">
        <v>4047</v>
      </c>
      <c r="G2372">
        <v>3500</v>
      </c>
      <c r="H2372">
        <v>1</v>
      </c>
      <c r="I2372" t="s">
        <v>3878</v>
      </c>
      <c r="J2372" t="s">
        <v>3497</v>
      </c>
      <c r="K2372" t="s">
        <v>3742</v>
      </c>
      <c r="L2372">
        <v>93.41</v>
      </c>
      <c r="M2372" s="453">
        <v>45840</v>
      </c>
      <c r="N2372">
        <v>93.41</v>
      </c>
      <c r="O2372">
        <v>93.4</v>
      </c>
      <c r="P2372">
        <v>93.41</v>
      </c>
    </row>
    <row r="2373" spans="1:16" x14ac:dyDescent="0.3">
      <c r="A2373">
        <v>45776</v>
      </c>
      <c r="B2373">
        <v>116</v>
      </c>
      <c r="C2373" t="s">
        <v>568</v>
      </c>
      <c r="D2373" s="453">
        <v>45870</v>
      </c>
      <c r="E2373">
        <v>17914</v>
      </c>
      <c r="F2373" t="s">
        <v>3997</v>
      </c>
      <c r="G2373">
        <v>3649</v>
      </c>
      <c r="H2373">
        <v>3</v>
      </c>
      <c r="I2373" t="s">
        <v>3888</v>
      </c>
      <c r="J2373" t="s">
        <v>3497</v>
      </c>
      <c r="K2373" t="s">
        <v>3742</v>
      </c>
      <c r="L2373">
        <v>0</v>
      </c>
      <c r="M2373" s="453">
        <v>45810</v>
      </c>
      <c r="N2373">
        <v>30.76</v>
      </c>
      <c r="O2373">
        <v>30.76</v>
      </c>
      <c r="P2373">
        <v>92.28</v>
      </c>
    </row>
    <row r="2374" spans="1:16" x14ac:dyDescent="0.3">
      <c r="A2374">
        <v>45784</v>
      </c>
      <c r="B2374">
        <v>116</v>
      </c>
      <c r="C2374" t="s">
        <v>568</v>
      </c>
      <c r="D2374" s="453">
        <v>45870</v>
      </c>
      <c r="E2374">
        <v>18272</v>
      </c>
      <c r="F2374" t="s">
        <v>4046</v>
      </c>
      <c r="G2374">
        <v>3358</v>
      </c>
      <c r="H2374">
        <v>2.5</v>
      </c>
      <c r="I2374" t="s">
        <v>3878</v>
      </c>
      <c r="J2374" t="s">
        <v>3497</v>
      </c>
      <c r="K2374" t="s">
        <v>3742</v>
      </c>
      <c r="L2374">
        <v>36.5</v>
      </c>
      <c r="M2374" s="453">
        <v>45845</v>
      </c>
      <c r="N2374">
        <v>36.5</v>
      </c>
      <c r="O2374">
        <v>36.44</v>
      </c>
      <c r="P2374">
        <v>91.25</v>
      </c>
    </row>
    <row r="2375" spans="1:16" x14ac:dyDescent="0.3">
      <c r="A2375">
        <v>45730</v>
      </c>
      <c r="B2375">
        <v>116</v>
      </c>
      <c r="C2375" t="s">
        <v>568</v>
      </c>
      <c r="D2375" s="453">
        <v>45870</v>
      </c>
      <c r="E2375">
        <v>22889</v>
      </c>
      <c r="F2375" t="s">
        <v>4466</v>
      </c>
      <c r="G2375">
        <v>2900</v>
      </c>
      <c r="H2375">
        <v>5.3</v>
      </c>
      <c r="I2375" t="s">
        <v>3892</v>
      </c>
      <c r="J2375" t="s">
        <v>3469</v>
      </c>
      <c r="K2375" t="s">
        <v>3742</v>
      </c>
      <c r="L2375">
        <v>0</v>
      </c>
      <c r="M2375" s="453">
        <v>45674</v>
      </c>
      <c r="N2375">
        <v>17.100000000000001</v>
      </c>
      <c r="O2375">
        <v>17.100000000000001</v>
      </c>
      <c r="P2375">
        <v>90.63</v>
      </c>
    </row>
    <row r="2376" spans="1:16" x14ac:dyDescent="0.3">
      <c r="A2376">
        <v>45856</v>
      </c>
      <c r="B2376">
        <v>116</v>
      </c>
      <c r="C2376" t="s">
        <v>568</v>
      </c>
      <c r="D2376" s="453">
        <v>45870</v>
      </c>
      <c r="E2376">
        <v>18534</v>
      </c>
      <c r="F2376" t="s">
        <v>4084</v>
      </c>
      <c r="G2376">
        <v>3143</v>
      </c>
      <c r="H2376">
        <v>1</v>
      </c>
      <c r="I2376" t="s">
        <v>3878</v>
      </c>
      <c r="J2376" t="s">
        <v>3497</v>
      </c>
      <c r="K2376" t="s">
        <v>3742</v>
      </c>
      <c r="L2376">
        <v>0</v>
      </c>
      <c r="M2376" s="453">
        <v>-693593</v>
      </c>
      <c r="N2376">
        <v>0</v>
      </c>
      <c r="O2376">
        <v>76.900000000000006</v>
      </c>
      <c r="P2376">
        <v>86.89</v>
      </c>
    </row>
    <row r="2377" spans="1:16" x14ac:dyDescent="0.3">
      <c r="A2377">
        <v>45757</v>
      </c>
      <c r="B2377">
        <v>116</v>
      </c>
      <c r="C2377" t="s">
        <v>568</v>
      </c>
      <c r="D2377" s="453">
        <v>45870</v>
      </c>
      <c r="E2377">
        <v>20508</v>
      </c>
      <c r="F2377" t="s">
        <v>4449</v>
      </c>
      <c r="G2377">
        <v>2153</v>
      </c>
      <c r="H2377">
        <v>3.1</v>
      </c>
      <c r="I2377" t="s">
        <v>3892</v>
      </c>
      <c r="J2377" t="s">
        <v>3469</v>
      </c>
      <c r="K2377" t="s">
        <v>3742</v>
      </c>
      <c r="L2377">
        <v>28</v>
      </c>
      <c r="M2377" s="453">
        <v>45854</v>
      </c>
      <c r="N2377">
        <v>28</v>
      </c>
      <c r="O2377">
        <v>28</v>
      </c>
      <c r="P2377">
        <v>86.8</v>
      </c>
    </row>
    <row r="2378" spans="1:16" x14ac:dyDescent="0.3">
      <c r="A2378">
        <v>45803</v>
      </c>
      <c r="B2378">
        <v>116</v>
      </c>
      <c r="C2378" t="s">
        <v>568</v>
      </c>
      <c r="D2378" s="453">
        <v>45870</v>
      </c>
      <c r="E2378">
        <v>17896</v>
      </c>
      <c r="F2378" t="s">
        <v>3972</v>
      </c>
      <c r="G2378">
        <v>3664</v>
      </c>
      <c r="H2378">
        <v>2</v>
      </c>
      <c r="I2378" t="s">
        <v>3888</v>
      </c>
      <c r="J2378" t="s">
        <v>3497</v>
      </c>
      <c r="K2378" t="s">
        <v>3742</v>
      </c>
      <c r="L2378">
        <v>42.12</v>
      </c>
      <c r="M2378" s="453">
        <v>45854</v>
      </c>
      <c r="N2378">
        <v>38.64</v>
      </c>
      <c r="O2378">
        <v>38.64</v>
      </c>
      <c r="P2378">
        <v>84.24</v>
      </c>
    </row>
    <row r="2379" spans="1:16" x14ac:dyDescent="0.3">
      <c r="A2379">
        <v>45787</v>
      </c>
      <c r="B2379">
        <v>116</v>
      </c>
      <c r="C2379" t="s">
        <v>568</v>
      </c>
      <c r="D2379" s="453">
        <v>45870</v>
      </c>
      <c r="E2379">
        <v>20250</v>
      </c>
      <c r="F2379" t="s">
        <v>4008</v>
      </c>
      <c r="G2379">
        <v>2241</v>
      </c>
      <c r="H2379">
        <v>2</v>
      </c>
      <c r="I2379" t="s">
        <v>3888</v>
      </c>
      <c r="J2379" t="s">
        <v>3469</v>
      </c>
      <c r="K2379" t="s">
        <v>3742</v>
      </c>
      <c r="L2379">
        <v>40.54</v>
      </c>
      <c r="M2379" s="453">
        <v>45867</v>
      </c>
      <c r="N2379">
        <v>40.54</v>
      </c>
      <c r="O2379">
        <v>40.54</v>
      </c>
      <c r="P2379">
        <v>81.08</v>
      </c>
    </row>
    <row r="2380" spans="1:16" x14ac:dyDescent="0.3">
      <c r="A2380">
        <v>45788</v>
      </c>
      <c r="B2380">
        <v>116</v>
      </c>
      <c r="C2380" t="s">
        <v>568</v>
      </c>
      <c r="D2380" s="453">
        <v>45870</v>
      </c>
      <c r="E2380">
        <v>20053</v>
      </c>
      <c r="F2380" t="s">
        <v>4457</v>
      </c>
      <c r="G2380">
        <v>2326</v>
      </c>
      <c r="H2380">
        <v>2</v>
      </c>
      <c r="I2380" t="s">
        <v>3888</v>
      </c>
      <c r="J2380" t="s">
        <v>3469</v>
      </c>
      <c r="K2380" t="s">
        <v>3742</v>
      </c>
      <c r="L2380">
        <v>0</v>
      </c>
      <c r="M2380" s="453">
        <v>45832</v>
      </c>
      <c r="N2380">
        <v>40.200000000000003</v>
      </c>
      <c r="O2380">
        <v>40.1</v>
      </c>
      <c r="P2380">
        <v>80.400000000000006</v>
      </c>
    </row>
    <row r="2381" spans="1:16" x14ac:dyDescent="0.3">
      <c r="A2381">
        <v>45797</v>
      </c>
      <c r="B2381">
        <v>116</v>
      </c>
      <c r="C2381" t="s">
        <v>568</v>
      </c>
      <c r="D2381" s="453">
        <v>45870</v>
      </c>
      <c r="E2381">
        <v>19565</v>
      </c>
      <c r="F2381" t="s">
        <v>3987</v>
      </c>
      <c r="G2381">
        <v>2652</v>
      </c>
      <c r="H2381">
        <v>2</v>
      </c>
      <c r="I2381" t="s">
        <v>3892</v>
      </c>
      <c r="J2381" t="s">
        <v>3469</v>
      </c>
      <c r="K2381" t="s">
        <v>3742</v>
      </c>
      <c r="L2381">
        <v>40</v>
      </c>
      <c r="M2381" s="453">
        <v>45859</v>
      </c>
      <c r="N2381">
        <v>40</v>
      </c>
      <c r="O2381">
        <v>40</v>
      </c>
      <c r="P2381">
        <v>80</v>
      </c>
    </row>
    <row r="2382" spans="1:16" x14ac:dyDescent="0.3">
      <c r="A2382">
        <v>45809</v>
      </c>
      <c r="B2382">
        <v>116</v>
      </c>
      <c r="C2382" t="s">
        <v>568</v>
      </c>
      <c r="D2382" s="453">
        <v>45870</v>
      </c>
      <c r="E2382">
        <v>20624</v>
      </c>
      <c r="F2382" t="s">
        <v>3982</v>
      </c>
      <c r="G2382">
        <v>2116</v>
      </c>
      <c r="H2382">
        <v>1.5</v>
      </c>
      <c r="I2382" t="s">
        <v>3966</v>
      </c>
      <c r="J2382" t="s">
        <v>3469</v>
      </c>
      <c r="K2382" t="s">
        <v>3742</v>
      </c>
      <c r="L2382">
        <v>52.4</v>
      </c>
      <c r="M2382" s="453">
        <v>45853</v>
      </c>
      <c r="N2382">
        <v>69.900000000000006</v>
      </c>
      <c r="O2382">
        <v>69.8</v>
      </c>
      <c r="P2382">
        <v>78.599999999999994</v>
      </c>
    </row>
    <row r="2383" spans="1:16" x14ac:dyDescent="0.3">
      <c r="A2383">
        <v>45723</v>
      </c>
      <c r="B2383">
        <v>116</v>
      </c>
      <c r="C2383" t="s">
        <v>568</v>
      </c>
      <c r="D2383" s="453">
        <v>45870</v>
      </c>
      <c r="E2383">
        <v>18447</v>
      </c>
      <c r="F2383" t="s">
        <v>4027</v>
      </c>
      <c r="G2383">
        <v>3204</v>
      </c>
      <c r="H2383">
        <v>6</v>
      </c>
      <c r="I2383" t="s">
        <v>3878</v>
      </c>
      <c r="J2383" t="s">
        <v>3497</v>
      </c>
      <c r="K2383" t="s">
        <v>3742</v>
      </c>
      <c r="L2383">
        <v>12.9</v>
      </c>
      <c r="M2383" s="453">
        <v>45845</v>
      </c>
      <c r="N2383">
        <v>12.9</v>
      </c>
      <c r="O2383">
        <v>12.9</v>
      </c>
      <c r="P2383">
        <v>77.400000000000006</v>
      </c>
    </row>
    <row r="2384" spans="1:16" x14ac:dyDescent="0.3">
      <c r="A2384">
        <v>45694</v>
      </c>
      <c r="B2384">
        <v>116</v>
      </c>
      <c r="C2384" t="s">
        <v>568</v>
      </c>
      <c r="D2384" s="453">
        <v>45870</v>
      </c>
      <c r="E2384">
        <v>24226</v>
      </c>
      <c r="F2384" t="s">
        <v>3998</v>
      </c>
      <c r="G2384">
        <v>3647</v>
      </c>
      <c r="H2384">
        <v>12</v>
      </c>
      <c r="I2384" t="s">
        <v>3872</v>
      </c>
      <c r="J2384" t="s">
        <v>3497</v>
      </c>
      <c r="K2384" t="s">
        <v>3742</v>
      </c>
      <c r="L2384">
        <v>0</v>
      </c>
      <c r="M2384" s="453">
        <v>45355</v>
      </c>
      <c r="N2384">
        <v>6.42</v>
      </c>
      <c r="O2384">
        <v>6.82</v>
      </c>
      <c r="P2384">
        <v>77</v>
      </c>
    </row>
    <row r="2385" spans="1:16" x14ac:dyDescent="0.3">
      <c r="A2385">
        <v>45844</v>
      </c>
      <c r="B2385">
        <v>116</v>
      </c>
      <c r="C2385" t="s">
        <v>568</v>
      </c>
      <c r="D2385" s="453">
        <v>45870</v>
      </c>
      <c r="E2385">
        <v>19478</v>
      </c>
      <c r="F2385" t="s">
        <v>4072</v>
      </c>
      <c r="G2385">
        <v>2728</v>
      </c>
      <c r="H2385">
        <v>1</v>
      </c>
      <c r="I2385" t="s">
        <v>3892</v>
      </c>
      <c r="J2385" t="s">
        <v>3469</v>
      </c>
      <c r="K2385" t="s">
        <v>3742</v>
      </c>
      <c r="L2385">
        <v>0</v>
      </c>
      <c r="M2385" s="453">
        <v>45810</v>
      </c>
      <c r="N2385">
        <v>75</v>
      </c>
      <c r="O2385">
        <v>43.86</v>
      </c>
      <c r="P2385">
        <v>75</v>
      </c>
    </row>
    <row r="2386" spans="1:16" x14ac:dyDescent="0.3">
      <c r="A2386">
        <v>45804</v>
      </c>
      <c r="B2386">
        <v>116</v>
      </c>
      <c r="C2386" t="s">
        <v>568</v>
      </c>
      <c r="D2386" s="453">
        <v>45870</v>
      </c>
      <c r="E2386">
        <v>20457</v>
      </c>
      <c r="F2386" t="s">
        <v>3999</v>
      </c>
      <c r="G2386">
        <v>2165</v>
      </c>
      <c r="H2386">
        <v>1.9</v>
      </c>
      <c r="I2386" t="s">
        <v>3892</v>
      </c>
      <c r="J2386" t="s">
        <v>3469</v>
      </c>
      <c r="K2386" t="s">
        <v>3742</v>
      </c>
      <c r="L2386">
        <v>39</v>
      </c>
      <c r="M2386" s="453">
        <v>45846</v>
      </c>
      <c r="N2386">
        <v>39</v>
      </c>
      <c r="O2386">
        <v>39</v>
      </c>
      <c r="P2386">
        <v>74.099999999999994</v>
      </c>
    </row>
    <row r="2387" spans="1:16" x14ac:dyDescent="0.3">
      <c r="A2387">
        <v>45679</v>
      </c>
      <c r="B2387">
        <v>116</v>
      </c>
      <c r="C2387" t="s">
        <v>568</v>
      </c>
      <c r="D2387" s="453">
        <v>45870</v>
      </c>
      <c r="E2387">
        <v>21093</v>
      </c>
      <c r="F2387" t="s">
        <v>3903</v>
      </c>
      <c r="G2387">
        <v>1988</v>
      </c>
      <c r="H2387">
        <v>15</v>
      </c>
      <c r="I2387" t="s">
        <v>3892</v>
      </c>
      <c r="J2387" t="s">
        <v>3469</v>
      </c>
      <c r="K2387" t="s">
        <v>3742</v>
      </c>
      <c r="L2387">
        <v>4.91</v>
      </c>
      <c r="M2387" s="453">
        <v>45861</v>
      </c>
      <c r="N2387">
        <v>4.9000000000000004</v>
      </c>
      <c r="O2387">
        <v>4.79</v>
      </c>
      <c r="P2387">
        <v>73.650000000000006</v>
      </c>
    </row>
    <row r="2388" spans="1:16" x14ac:dyDescent="0.3">
      <c r="A2388">
        <v>45752</v>
      </c>
      <c r="B2388">
        <v>116</v>
      </c>
      <c r="C2388" t="s">
        <v>568</v>
      </c>
      <c r="D2388" s="453">
        <v>45870</v>
      </c>
      <c r="E2388">
        <v>24328</v>
      </c>
      <c r="F2388" t="s">
        <v>4456</v>
      </c>
      <c r="G2388">
        <v>2146</v>
      </c>
      <c r="H2388">
        <v>3.5</v>
      </c>
      <c r="I2388" t="s">
        <v>3892</v>
      </c>
      <c r="J2388" t="s">
        <v>3469</v>
      </c>
      <c r="K2388" t="s">
        <v>3742</v>
      </c>
      <c r="L2388">
        <v>0</v>
      </c>
      <c r="M2388" s="453">
        <v>-693593</v>
      </c>
      <c r="N2388">
        <v>0</v>
      </c>
      <c r="O2388">
        <v>20.9</v>
      </c>
      <c r="P2388">
        <v>73.150000000000006</v>
      </c>
    </row>
    <row r="2389" spans="1:16" x14ac:dyDescent="0.3">
      <c r="A2389">
        <v>45795</v>
      </c>
      <c r="B2389">
        <v>116</v>
      </c>
      <c r="C2389" t="s">
        <v>568</v>
      </c>
      <c r="D2389" s="453">
        <v>45870</v>
      </c>
      <c r="E2389">
        <v>19579</v>
      </c>
      <c r="F2389" t="s">
        <v>4020</v>
      </c>
      <c r="G2389">
        <v>2640</v>
      </c>
      <c r="H2389">
        <v>2</v>
      </c>
      <c r="I2389" t="s">
        <v>3892</v>
      </c>
      <c r="J2389" t="s">
        <v>3469</v>
      </c>
      <c r="K2389" t="s">
        <v>3742</v>
      </c>
      <c r="L2389">
        <v>36</v>
      </c>
      <c r="M2389" s="453">
        <v>45859</v>
      </c>
      <c r="N2389">
        <v>36</v>
      </c>
      <c r="O2389">
        <v>36</v>
      </c>
      <c r="P2389">
        <v>72</v>
      </c>
    </row>
    <row r="2390" spans="1:16" x14ac:dyDescent="0.3">
      <c r="A2390">
        <v>45718</v>
      </c>
      <c r="B2390">
        <v>116</v>
      </c>
      <c r="C2390" t="s">
        <v>568</v>
      </c>
      <c r="D2390" s="453">
        <v>45870</v>
      </c>
      <c r="E2390">
        <v>26193</v>
      </c>
      <c r="F2390" t="s">
        <v>3950</v>
      </c>
      <c r="G2390">
        <v>6616</v>
      </c>
      <c r="H2390">
        <v>6</v>
      </c>
      <c r="I2390" t="s">
        <v>3872</v>
      </c>
      <c r="J2390" t="s">
        <v>3469</v>
      </c>
      <c r="K2390" t="s">
        <v>3742</v>
      </c>
      <c r="L2390">
        <v>0</v>
      </c>
      <c r="M2390" s="453">
        <v>-693593</v>
      </c>
      <c r="N2390">
        <v>0</v>
      </c>
      <c r="O2390">
        <v>12.25</v>
      </c>
      <c r="P2390">
        <v>71.099999999999994</v>
      </c>
    </row>
    <row r="2391" spans="1:16" x14ac:dyDescent="0.3">
      <c r="A2391">
        <v>45800</v>
      </c>
      <c r="B2391">
        <v>116</v>
      </c>
      <c r="C2391" t="s">
        <v>568</v>
      </c>
      <c r="D2391" s="453">
        <v>45870</v>
      </c>
      <c r="E2391">
        <v>18325</v>
      </c>
      <c r="F2391" t="s">
        <v>4459</v>
      </c>
      <c r="G2391">
        <v>3308</v>
      </c>
      <c r="H2391">
        <v>2</v>
      </c>
      <c r="I2391" t="s">
        <v>3878</v>
      </c>
      <c r="J2391" t="s">
        <v>3497</v>
      </c>
      <c r="K2391" t="s">
        <v>3742</v>
      </c>
      <c r="L2391">
        <v>0</v>
      </c>
      <c r="M2391" s="453">
        <v>-693593</v>
      </c>
      <c r="N2391">
        <v>0</v>
      </c>
      <c r="O2391">
        <v>34.479999999999997</v>
      </c>
      <c r="P2391">
        <v>68.959999999999994</v>
      </c>
    </row>
    <row r="2392" spans="1:16" x14ac:dyDescent="0.3">
      <c r="A2392">
        <v>45854</v>
      </c>
      <c r="B2392">
        <v>116</v>
      </c>
      <c r="C2392" t="s">
        <v>568</v>
      </c>
      <c r="D2392" s="453">
        <v>45870</v>
      </c>
      <c r="E2392">
        <v>19264</v>
      </c>
      <c r="F2392" t="s">
        <v>4082</v>
      </c>
      <c r="G2392">
        <v>2781</v>
      </c>
      <c r="H2392">
        <v>1</v>
      </c>
      <c r="I2392" t="s">
        <v>3888</v>
      </c>
      <c r="J2392" t="s">
        <v>3469</v>
      </c>
      <c r="K2392" t="s">
        <v>3742</v>
      </c>
      <c r="L2392">
        <v>68.5</v>
      </c>
      <c r="M2392" s="453">
        <v>45860</v>
      </c>
      <c r="N2392">
        <v>68.5</v>
      </c>
      <c r="O2392">
        <v>60.7</v>
      </c>
      <c r="P2392">
        <v>68.5</v>
      </c>
    </row>
    <row r="2393" spans="1:16" x14ac:dyDescent="0.3">
      <c r="A2393">
        <v>45758</v>
      </c>
      <c r="B2393">
        <v>116</v>
      </c>
      <c r="C2393" t="s">
        <v>568</v>
      </c>
      <c r="D2393" s="453">
        <v>45870</v>
      </c>
      <c r="E2393">
        <v>24393</v>
      </c>
      <c r="F2393" t="s">
        <v>4039</v>
      </c>
      <c r="G2393">
        <v>3045</v>
      </c>
      <c r="H2393">
        <v>3.1</v>
      </c>
      <c r="I2393" t="s">
        <v>3892</v>
      </c>
      <c r="J2393" t="s">
        <v>3469</v>
      </c>
      <c r="K2393" t="s">
        <v>3742</v>
      </c>
      <c r="L2393">
        <v>22</v>
      </c>
      <c r="M2393" s="453">
        <v>45846</v>
      </c>
      <c r="N2393">
        <v>22</v>
      </c>
      <c r="O2393">
        <v>13.99</v>
      </c>
      <c r="P2393">
        <v>68.2</v>
      </c>
    </row>
    <row r="2394" spans="1:16" x14ac:dyDescent="0.3">
      <c r="A2394">
        <v>45760</v>
      </c>
      <c r="B2394">
        <v>116</v>
      </c>
      <c r="C2394" t="s">
        <v>568</v>
      </c>
      <c r="D2394" s="453">
        <v>45870</v>
      </c>
      <c r="E2394">
        <v>18666</v>
      </c>
      <c r="F2394" t="s">
        <v>4003</v>
      </c>
      <c r="G2394">
        <v>3053</v>
      </c>
      <c r="H2394">
        <v>3.1</v>
      </c>
      <c r="I2394" t="s">
        <v>3892</v>
      </c>
      <c r="J2394" t="s">
        <v>3469</v>
      </c>
      <c r="K2394" t="s">
        <v>3742</v>
      </c>
      <c r="L2394">
        <v>22</v>
      </c>
      <c r="M2394" s="453">
        <v>45854</v>
      </c>
      <c r="N2394">
        <v>22</v>
      </c>
      <c r="O2394">
        <v>22</v>
      </c>
      <c r="P2394">
        <v>68.2</v>
      </c>
    </row>
    <row r="2395" spans="1:16" x14ac:dyDescent="0.3">
      <c r="A2395">
        <v>45789</v>
      </c>
      <c r="B2395">
        <v>116</v>
      </c>
      <c r="C2395" t="s">
        <v>568</v>
      </c>
      <c r="D2395" s="453">
        <v>45870</v>
      </c>
      <c r="E2395">
        <v>20832</v>
      </c>
      <c r="F2395" t="s">
        <v>4060</v>
      </c>
      <c r="G2395">
        <v>2065</v>
      </c>
      <c r="H2395">
        <v>2</v>
      </c>
      <c r="I2395" t="s">
        <v>3886</v>
      </c>
      <c r="J2395" t="s">
        <v>3469</v>
      </c>
      <c r="K2395" t="s">
        <v>3742</v>
      </c>
      <c r="L2395">
        <v>34</v>
      </c>
      <c r="M2395" s="453">
        <v>45846</v>
      </c>
      <c r="N2395">
        <v>34</v>
      </c>
      <c r="O2395">
        <v>34</v>
      </c>
      <c r="P2395">
        <v>68</v>
      </c>
    </row>
    <row r="2396" spans="1:16" x14ac:dyDescent="0.3">
      <c r="A2396">
        <v>45742</v>
      </c>
      <c r="B2396">
        <v>116</v>
      </c>
      <c r="C2396" t="s">
        <v>568</v>
      </c>
      <c r="D2396" s="453">
        <v>45870</v>
      </c>
      <c r="E2396">
        <v>25720</v>
      </c>
      <c r="F2396" t="s">
        <v>3926</v>
      </c>
      <c r="G2396">
        <v>2197</v>
      </c>
      <c r="H2396">
        <v>4</v>
      </c>
      <c r="I2396" t="s">
        <v>3892</v>
      </c>
      <c r="J2396" t="s">
        <v>3469</v>
      </c>
      <c r="K2396" t="s">
        <v>3742</v>
      </c>
      <c r="L2396">
        <v>0</v>
      </c>
      <c r="M2396" s="453">
        <v>-693593</v>
      </c>
      <c r="N2396">
        <v>0</v>
      </c>
      <c r="O2396">
        <v>0</v>
      </c>
      <c r="P2396">
        <v>67.599999999999994</v>
      </c>
    </row>
    <row r="2397" spans="1:16" x14ac:dyDescent="0.3">
      <c r="A2397">
        <v>45811</v>
      </c>
      <c r="B2397">
        <v>116</v>
      </c>
      <c r="C2397" t="s">
        <v>568</v>
      </c>
      <c r="D2397" s="453">
        <v>45870</v>
      </c>
      <c r="E2397">
        <v>18545</v>
      </c>
      <c r="F2397" t="s">
        <v>4099</v>
      </c>
      <c r="G2397">
        <v>3134</v>
      </c>
      <c r="H2397">
        <v>1.5</v>
      </c>
      <c r="I2397" t="s">
        <v>3878</v>
      </c>
      <c r="J2397" t="s">
        <v>3497</v>
      </c>
      <c r="K2397" t="s">
        <v>3742</v>
      </c>
      <c r="L2397">
        <v>44.24</v>
      </c>
      <c r="M2397" s="453">
        <v>45860</v>
      </c>
      <c r="N2397">
        <v>44.24</v>
      </c>
      <c r="O2397">
        <v>43.99</v>
      </c>
      <c r="P2397">
        <v>66.36</v>
      </c>
    </row>
    <row r="2398" spans="1:16" x14ac:dyDescent="0.3">
      <c r="A2398">
        <v>45701</v>
      </c>
      <c r="B2398">
        <v>116</v>
      </c>
      <c r="C2398" t="s">
        <v>568</v>
      </c>
      <c r="D2398" s="453">
        <v>45870</v>
      </c>
      <c r="E2398">
        <v>19740</v>
      </c>
      <c r="F2398" t="s">
        <v>3933</v>
      </c>
      <c r="G2398">
        <v>2513</v>
      </c>
      <c r="H2398">
        <v>10</v>
      </c>
      <c r="I2398" t="s">
        <v>3892</v>
      </c>
      <c r="J2398" t="s">
        <v>3469</v>
      </c>
      <c r="K2398" t="s">
        <v>3742</v>
      </c>
      <c r="L2398">
        <v>6.51</v>
      </c>
      <c r="M2398" s="453">
        <v>45869</v>
      </c>
      <c r="N2398">
        <v>8.4</v>
      </c>
      <c r="O2398">
        <v>7.92</v>
      </c>
      <c r="P2398">
        <v>65.099999999999994</v>
      </c>
    </row>
    <row r="2399" spans="1:16" x14ac:dyDescent="0.3">
      <c r="A2399">
        <v>45691</v>
      </c>
      <c r="B2399">
        <v>116</v>
      </c>
      <c r="C2399" t="s">
        <v>568</v>
      </c>
      <c r="D2399" s="453">
        <v>45870</v>
      </c>
      <c r="E2399">
        <v>24002</v>
      </c>
      <c r="F2399" t="s">
        <v>3924</v>
      </c>
      <c r="G2399">
        <v>3614</v>
      </c>
      <c r="H2399">
        <v>13</v>
      </c>
      <c r="I2399" t="s">
        <v>3872</v>
      </c>
      <c r="J2399" t="s">
        <v>3497</v>
      </c>
      <c r="K2399" t="s">
        <v>3742</v>
      </c>
      <c r="L2399">
        <v>0</v>
      </c>
      <c r="M2399" s="453">
        <v>45811</v>
      </c>
      <c r="N2399">
        <v>4.6900000000000004</v>
      </c>
      <c r="O2399">
        <v>4.46</v>
      </c>
      <c r="P2399">
        <v>60.97</v>
      </c>
    </row>
    <row r="2400" spans="1:16" x14ac:dyDescent="0.3">
      <c r="A2400">
        <v>45777</v>
      </c>
      <c r="B2400">
        <v>116</v>
      </c>
      <c r="C2400" t="s">
        <v>568</v>
      </c>
      <c r="D2400" s="453">
        <v>45870</v>
      </c>
      <c r="E2400">
        <v>20500</v>
      </c>
      <c r="F2400" t="s">
        <v>3954</v>
      </c>
      <c r="G2400">
        <v>2154</v>
      </c>
      <c r="H2400">
        <v>2.9</v>
      </c>
      <c r="I2400" t="s">
        <v>3872</v>
      </c>
      <c r="J2400" t="s">
        <v>3469</v>
      </c>
      <c r="K2400" t="s">
        <v>3742</v>
      </c>
      <c r="L2400">
        <v>20.8</v>
      </c>
      <c r="M2400" s="453">
        <v>45853</v>
      </c>
      <c r="N2400">
        <v>20.8</v>
      </c>
      <c r="O2400">
        <v>20.9</v>
      </c>
      <c r="P2400">
        <v>60.32</v>
      </c>
    </row>
    <row r="2401" spans="1:16" x14ac:dyDescent="0.3">
      <c r="A2401">
        <v>45743</v>
      </c>
      <c r="B2401">
        <v>116</v>
      </c>
      <c r="C2401" t="s">
        <v>568</v>
      </c>
      <c r="D2401" s="453">
        <v>45870</v>
      </c>
      <c r="E2401">
        <v>20358</v>
      </c>
      <c r="F2401" t="s">
        <v>3952</v>
      </c>
      <c r="G2401">
        <v>2200</v>
      </c>
      <c r="H2401">
        <v>4</v>
      </c>
      <c r="I2401" t="s">
        <v>3888</v>
      </c>
      <c r="J2401" t="s">
        <v>3469</v>
      </c>
      <c r="K2401" t="s">
        <v>3742</v>
      </c>
      <c r="L2401">
        <v>14.3</v>
      </c>
      <c r="M2401" s="453">
        <v>45866</v>
      </c>
      <c r="N2401">
        <v>14.3</v>
      </c>
      <c r="O2401">
        <v>14.29</v>
      </c>
      <c r="P2401">
        <v>57.2</v>
      </c>
    </row>
    <row r="2402" spans="1:16" x14ac:dyDescent="0.3">
      <c r="A2402">
        <v>45713</v>
      </c>
      <c r="B2402">
        <v>116</v>
      </c>
      <c r="C2402" t="s">
        <v>568</v>
      </c>
      <c r="D2402" s="453">
        <v>45870</v>
      </c>
      <c r="E2402">
        <v>20949</v>
      </c>
      <c r="F2402" t="s">
        <v>3983</v>
      </c>
      <c r="G2402">
        <v>2023</v>
      </c>
      <c r="H2402">
        <v>7</v>
      </c>
      <c r="I2402" t="s">
        <v>3878</v>
      </c>
      <c r="J2402" t="s">
        <v>3469</v>
      </c>
      <c r="K2402" t="s">
        <v>3742</v>
      </c>
      <c r="L2402">
        <v>8.15</v>
      </c>
      <c r="M2402" s="453">
        <v>45867</v>
      </c>
      <c r="N2402">
        <v>8.1</v>
      </c>
      <c r="O2402">
        <v>8.1</v>
      </c>
      <c r="P2402">
        <v>57.05</v>
      </c>
    </row>
    <row r="2403" spans="1:16" x14ac:dyDescent="0.3">
      <c r="A2403">
        <v>45746</v>
      </c>
      <c r="B2403">
        <v>116</v>
      </c>
      <c r="C2403" t="s">
        <v>568</v>
      </c>
      <c r="D2403" s="453">
        <v>45870</v>
      </c>
      <c r="E2403">
        <v>20965</v>
      </c>
      <c r="F2403" t="s">
        <v>3969</v>
      </c>
      <c r="G2403">
        <v>2013</v>
      </c>
      <c r="H2403">
        <v>4</v>
      </c>
      <c r="I2403" t="s">
        <v>3872</v>
      </c>
      <c r="J2403" t="s">
        <v>3469</v>
      </c>
      <c r="K2403" t="s">
        <v>3742</v>
      </c>
      <c r="L2403">
        <v>0</v>
      </c>
      <c r="M2403" s="453">
        <v>45832</v>
      </c>
      <c r="N2403">
        <v>14.2</v>
      </c>
      <c r="O2403">
        <v>14.2</v>
      </c>
      <c r="P2403">
        <v>56.8</v>
      </c>
    </row>
    <row r="2404" spans="1:16" x14ac:dyDescent="0.3">
      <c r="A2404">
        <v>45801</v>
      </c>
      <c r="B2404">
        <v>116</v>
      </c>
      <c r="C2404" t="s">
        <v>568</v>
      </c>
      <c r="D2404" s="453">
        <v>45870</v>
      </c>
      <c r="E2404">
        <v>18030</v>
      </c>
      <c r="F2404" t="s">
        <v>4033</v>
      </c>
      <c r="G2404">
        <v>3568</v>
      </c>
      <c r="H2404">
        <v>2</v>
      </c>
      <c r="I2404" t="s">
        <v>3878</v>
      </c>
      <c r="J2404" t="s">
        <v>3497</v>
      </c>
      <c r="K2404" t="s">
        <v>3742</v>
      </c>
      <c r="L2404">
        <v>0</v>
      </c>
      <c r="M2404" s="453">
        <v>45807</v>
      </c>
      <c r="N2404">
        <v>27.9</v>
      </c>
      <c r="O2404">
        <v>27</v>
      </c>
      <c r="P2404">
        <v>55.8</v>
      </c>
    </row>
    <row r="2405" spans="1:16" x14ac:dyDescent="0.3">
      <c r="A2405">
        <v>45652</v>
      </c>
      <c r="B2405">
        <v>116</v>
      </c>
      <c r="C2405" t="s">
        <v>568</v>
      </c>
      <c r="D2405" s="453">
        <v>45870</v>
      </c>
      <c r="E2405">
        <v>23096</v>
      </c>
      <c r="F2405" t="s">
        <v>3876</v>
      </c>
      <c r="G2405">
        <v>2753</v>
      </c>
      <c r="H2405">
        <v>85</v>
      </c>
      <c r="I2405" t="s">
        <v>3872</v>
      </c>
      <c r="J2405" t="s">
        <v>3469</v>
      </c>
      <c r="K2405" t="s">
        <v>3742</v>
      </c>
      <c r="L2405">
        <v>0.63</v>
      </c>
      <c r="M2405" s="453">
        <v>45869</v>
      </c>
      <c r="N2405">
        <v>0.6</v>
      </c>
      <c r="O2405">
        <v>0.6</v>
      </c>
      <c r="P2405">
        <v>53.55</v>
      </c>
    </row>
    <row r="2406" spans="1:16" x14ac:dyDescent="0.3">
      <c r="A2406">
        <v>45707</v>
      </c>
      <c r="B2406">
        <v>116</v>
      </c>
      <c r="C2406" t="s">
        <v>568</v>
      </c>
      <c r="D2406" s="453">
        <v>45870</v>
      </c>
      <c r="E2406">
        <v>19420</v>
      </c>
      <c r="F2406" t="s">
        <v>3899</v>
      </c>
      <c r="G2406">
        <v>2758</v>
      </c>
      <c r="H2406">
        <v>9</v>
      </c>
      <c r="I2406" t="s">
        <v>3872</v>
      </c>
      <c r="J2406" t="s">
        <v>3469</v>
      </c>
      <c r="K2406" t="s">
        <v>3742</v>
      </c>
      <c r="L2406">
        <v>5.79</v>
      </c>
      <c r="M2406" s="453">
        <v>45845</v>
      </c>
      <c r="N2406">
        <v>5.79</v>
      </c>
      <c r="O2406">
        <v>5.79</v>
      </c>
      <c r="P2406">
        <v>52.11</v>
      </c>
    </row>
    <row r="2407" spans="1:16" x14ac:dyDescent="0.3">
      <c r="A2407">
        <v>45869</v>
      </c>
      <c r="B2407">
        <v>116</v>
      </c>
      <c r="C2407" t="s">
        <v>568</v>
      </c>
      <c r="D2407" s="453">
        <v>45870</v>
      </c>
      <c r="E2407">
        <v>20466</v>
      </c>
      <c r="F2407" t="s">
        <v>4098</v>
      </c>
      <c r="G2407">
        <v>2160</v>
      </c>
      <c r="H2407">
        <v>0.8</v>
      </c>
      <c r="I2407" t="s">
        <v>3892</v>
      </c>
      <c r="J2407" t="s">
        <v>3469</v>
      </c>
      <c r="K2407" t="s">
        <v>3742</v>
      </c>
      <c r="L2407">
        <v>65</v>
      </c>
      <c r="M2407" s="453">
        <v>45854</v>
      </c>
      <c r="N2407">
        <v>65</v>
      </c>
      <c r="O2407">
        <v>65</v>
      </c>
      <c r="P2407">
        <v>52</v>
      </c>
    </row>
    <row r="2408" spans="1:16" x14ac:dyDescent="0.3">
      <c r="A2408">
        <v>45712</v>
      </c>
      <c r="B2408">
        <v>116</v>
      </c>
      <c r="C2408" t="s">
        <v>568</v>
      </c>
      <c r="D2408" s="453">
        <v>45870</v>
      </c>
      <c r="E2408">
        <v>20246</v>
      </c>
      <c r="F2408" t="s">
        <v>3911</v>
      </c>
      <c r="G2408">
        <v>2242</v>
      </c>
      <c r="H2408">
        <v>7</v>
      </c>
      <c r="I2408" t="s">
        <v>3872</v>
      </c>
      <c r="J2408" t="s">
        <v>3469</v>
      </c>
      <c r="K2408" t="s">
        <v>3742</v>
      </c>
      <c r="L2408">
        <v>7.3</v>
      </c>
      <c r="M2408" s="453">
        <v>45856</v>
      </c>
      <c r="N2408">
        <v>7.3</v>
      </c>
      <c r="O2408">
        <v>7.3</v>
      </c>
      <c r="P2408">
        <v>51.1</v>
      </c>
    </row>
    <row r="2409" spans="1:16" x14ac:dyDescent="0.3">
      <c r="A2409">
        <v>45772</v>
      </c>
      <c r="B2409">
        <v>116</v>
      </c>
      <c r="C2409" t="s">
        <v>568</v>
      </c>
      <c r="D2409" s="453">
        <v>45870</v>
      </c>
      <c r="E2409">
        <v>19572</v>
      </c>
      <c r="F2409" t="s">
        <v>4023</v>
      </c>
      <c r="G2409">
        <v>2646</v>
      </c>
      <c r="H2409">
        <v>3</v>
      </c>
      <c r="I2409" t="s">
        <v>3892</v>
      </c>
      <c r="J2409" t="s">
        <v>3469</v>
      </c>
      <c r="K2409" t="s">
        <v>3742</v>
      </c>
      <c r="L2409">
        <v>16.68</v>
      </c>
      <c r="M2409" s="453">
        <v>45869</v>
      </c>
      <c r="N2409">
        <v>17</v>
      </c>
      <c r="O2409">
        <v>16.66</v>
      </c>
      <c r="P2409">
        <v>50.04</v>
      </c>
    </row>
    <row r="2410" spans="1:16" x14ac:dyDescent="0.3">
      <c r="A2410">
        <v>45836</v>
      </c>
      <c r="B2410">
        <v>116</v>
      </c>
      <c r="C2410" t="s">
        <v>568</v>
      </c>
      <c r="D2410" s="453">
        <v>45870</v>
      </c>
      <c r="E2410">
        <v>20954</v>
      </c>
      <c r="F2410" t="s">
        <v>4452</v>
      </c>
      <c r="G2410">
        <v>2021</v>
      </c>
      <c r="H2410">
        <v>1</v>
      </c>
      <c r="I2410" t="s">
        <v>3878</v>
      </c>
      <c r="J2410" t="s">
        <v>3469</v>
      </c>
      <c r="K2410" t="s">
        <v>3742</v>
      </c>
      <c r="L2410">
        <v>48.9</v>
      </c>
      <c r="M2410" s="453">
        <v>45845</v>
      </c>
      <c r="N2410">
        <v>48.9</v>
      </c>
      <c r="O2410">
        <v>46.9</v>
      </c>
      <c r="P2410">
        <v>48.9</v>
      </c>
    </row>
    <row r="2411" spans="1:16" x14ac:dyDescent="0.3">
      <c r="A2411">
        <v>45769</v>
      </c>
      <c r="B2411">
        <v>116</v>
      </c>
      <c r="C2411" t="s">
        <v>568</v>
      </c>
      <c r="D2411" s="453">
        <v>45870</v>
      </c>
      <c r="E2411">
        <v>19979</v>
      </c>
      <c r="F2411" t="s">
        <v>4295</v>
      </c>
      <c r="G2411">
        <v>2353</v>
      </c>
      <c r="H2411">
        <v>3</v>
      </c>
      <c r="I2411" t="s">
        <v>3931</v>
      </c>
      <c r="J2411" t="s">
        <v>3469</v>
      </c>
      <c r="K2411" t="s">
        <v>3742</v>
      </c>
      <c r="L2411">
        <v>0</v>
      </c>
      <c r="M2411" s="453">
        <v>45790</v>
      </c>
      <c r="N2411">
        <v>16</v>
      </c>
      <c r="O2411">
        <v>18.98</v>
      </c>
      <c r="P2411">
        <v>48</v>
      </c>
    </row>
    <row r="2412" spans="1:16" x14ac:dyDescent="0.3">
      <c r="A2412">
        <v>45794</v>
      </c>
      <c r="B2412">
        <v>116</v>
      </c>
      <c r="C2412" t="s">
        <v>568</v>
      </c>
      <c r="D2412" s="453">
        <v>45870</v>
      </c>
      <c r="E2412">
        <v>23234</v>
      </c>
      <c r="F2412" t="s">
        <v>4018</v>
      </c>
      <c r="G2412">
        <v>2622</v>
      </c>
      <c r="H2412">
        <v>2</v>
      </c>
      <c r="I2412" t="s">
        <v>3892</v>
      </c>
      <c r="J2412" t="s">
        <v>3469</v>
      </c>
      <c r="K2412" t="s">
        <v>3742</v>
      </c>
      <c r="L2412">
        <v>23.5</v>
      </c>
      <c r="M2412" s="453">
        <v>45869</v>
      </c>
      <c r="N2412">
        <v>22</v>
      </c>
      <c r="O2412">
        <v>21.53</v>
      </c>
      <c r="P2412">
        <v>47</v>
      </c>
    </row>
    <row r="2413" spans="1:16" x14ac:dyDescent="0.3">
      <c r="A2413">
        <v>45721</v>
      </c>
      <c r="B2413">
        <v>116</v>
      </c>
      <c r="C2413" t="s">
        <v>568</v>
      </c>
      <c r="D2413" s="453">
        <v>45870</v>
      </c>
      <c r="E2413">
        <v>19415</v>
      </c>
      <c r="F2413" t="s">
        <v>3941</v>
      </c>
      <c r="G2413">
        <v>2759</v>
      </c>
      <c r="H2413">
        <v>6</v>
      </c>
      <c r="I2413" t="s">
        <v>3872</v>
      </c>
      <c r="J2413" t="s">
        <v>3469</v>
      </c>
      <c r="K2413" t="s">
        <v>3742</v>
      </c>
      <c r="L2413">
        <v>7.77</v>
      </c>
      <c r="M2413" s="453">
        <v>45856</v>
      </c>
      <c r="N2413">
        <v>7.75</v>
      </c>
      <c r="O2413">
        <v>7.65</v>
      </c>
      <c r="P2413">
        <v>46.62</v>
      </c>
    </row>
    <row r="2414" spans="1:16" x14ac:dyDescent="0.3">
      <c r="A2414">
        <v>45715</v>
      </c>
      <c r="B2414">
        <v>116</v>
      </c>
      <c r="C2414" t="s">
        <v>568</v>
      </c>
      <c r="D2414" s="453">
        <v>45870</v>
      </c>
      <c r="E2414">
        <v>23171</v>
      </c>
      <c r="F2414" t="s">
        <v>4132</v>
      </c>
      <c r="G2414">
        <v>2682</v>
      </c>
      <c r="H2414">
        <v>6.2</v>
      </c>
      <c r="I2414" t="s">
        <v>3892</v>
      </c>
      <c r="J2414" t="s">
        <v>3469</v>
      </c>
      <c r="K2414" t="s">
        <v>3742</v>
      </c>
      <c r="L2414">
        <v>7.45</v>
      </c>
      <c r="M2414" s="453">
        <v>45869</v>
      </c>
      <c r="N2414">
        <v>7.5</v>
      </c>
      <c r="O2414">
        <v>6.63</v>
      </c>
      <c r="P2414">
        <v>46.19</v>
      </c>
    </row>
    <row r="2415" spans="1:16" x14ac:dyDescent="0.3">
      <c r="A2415">
        <v>45684</v>
      </c>
      <c r="B2415">
        <v>116</v>
      </c>
      <c r="C2415" t="s">
        <v>568</v>
      </c>
      <c r="D2415" s="453">
        <v>45870</v>
      </c>
      <c r="E2415">
        <v>19907</v>
      </c>
      <c r="F2415" t="s">
        <v>4467</v>
      </c>
      <c r="G2415">
        <v>2381</v>
      </c>
      <c r="H2415">
        <v>14</v>
      </c>
      <c r="I2415" t="s">
        <v>3872</v>
      </c>
      <c r="J2415" t="s">
        <v>3469</v>
      </c>
      <c r="K2415" t="s">
        <v>3742</v>
      </c>
      <c r="L2415">
        <v>3.23</v>
      </c>
      <c r="M2415" s="453">
        <v>45839</v>
      </c>
      <c r="N2415">
        <v>3.23</v>
      </c>
      <c r="O2415">
        <v>3.23</v>
      </c>
      <c r="P2415">
        <v>45.22</v>
      </c>
    </row>
    <row r="2416" spans="1:16" x14ac:dyDescent="0.3">
      <c r="A2416">
        <v>45819</v>
      </c>
      <c r="B2416">
        <v>116</v>
      </c>
      <c r="C2416" t="s">
        <v>568</v>
      </c>
      <c r="D2416" s="453">
        <v>45870</v>
      </c>
      <c r="E2416">
        <v>21085</v>
      </c>
      <c r="F2416" t="s">
        <v>4114</v>
      </c>
      <c r="G2416">
        <v>1989</v>
      </c>
      <c r="H2416">
        <v>1</v>
      </c>
      <c r="I2416" t="s">
        <v>3881</v>
      </c>
      <c r="J2416" t="s">
        <v>3469</v>
      </c>
      <c r="K2416" t="s">
        <v>3742</v>
      </c>
      <c r="L2416">
        <v>0</v>
      </c>
      <c r="M2416" s="453">
        <v>45524</v>
      </c>
      <c r="N2416">
        <v>44.8</v>
      </c>
      <c r="O2416">
        <v>20.77</v>
      </c>
      <c r="P2416">
        <v>44.8</v>
      </c>
    </row>
    <row r="2417" spans="1:16" x14ac:dyDescent="0.3">
      <c r="A2417">
        <v>45744</v>
      </c>
      <c r="B2417">
        <v>116</v>
      </c>
      <c r="C2417" t="s">
        <v>568</v>
      </c>
      <c r="D2417" s="453">
        <v>45870</v>
      </c>
      <c r="E2417">
        <v>20227</v>
      </c>
      <c r="F2417" t="s">
        <v>3968</v>
      </c>
      <c r="G2417">
        <v>2248</v>
      </c>
      <c r="H2417">
        <v>4</v>
      </c>
      <c r="I2417" t="s">
        <v>3888</v>
      </c>
      <c r="J2417" t="s">
        <v>3469</v>
      </c>
      <c r="K2417" t="s">
        <v>3742</v>
      </c>
      <c r="L2417">
        <v>11.11</v>
      </c>
      <c r="M2417" s="453">
        <v>45866</v>
      </c>
      <c r="N2417">
        <v>11.2</v>
      </c>
      <c r="O2417">
        <v>10.98</v>
      </c>
      <c r="P2417">
        <v>44.44</v>
      </c>
    </row>
    <row r="2418" spans="1:16" x14ac:dyDescent="0.3">
      <c r="A2418">
        <v>45733</v>
      </c>
      <c r="B2418">
        <v>116</v>
      </c>
      <c r="C2418" t="s">
        <v>568</v>
      </c>
      <c r="D2418" s="453">
        <v>45870</v>
      </c>
      <c r="E2418">
        <v>20661</v>
      </c>
      <c r="F2418" t="s">
        <v>3919</v>
      </c>
      <c r="G2418">
        <v>2110</v>
      </c>
      <c r="H2418">
        <v>5</v>
      </c>
      <c r="I2418" t="s">
        <v>3872</v>
      </c>
      <c r="J2418" t="s">
        <v>3469</v>
      </c>
      <c r="K2418" t="s">
        <v>3742</v>
      </c>
      <c r="L2418">
        <v>8.7799999999999994</v>
      </c>
      <c r="M2418" s="453">
        <v>45866</v>
      </c>
      <c r="N2418">
        <v>9.1</v>
      </c>
      <c r="O2418">
        <v>8.77</v>
      </c>
      <c r="P2418">
        <v>43.9</v>
      </c>
    </row>
    <row r="2419" spans="1:16" x14ac:dyDescent="0.3">
      <c r="A2419">
        <v>45824</v>
      </c>
      <c r="B2419">
        <v>116</v>
      </c>
      <c r="C2419" t="s">
        <v>568</v>
      </c>
      <c r="D2419" s="453">
        <v>45870</v>
      </c>
      <c r="E2419">
        <v>20702</v>
      </c>
      <c r="F2419" t="s">
        <v>4006</v>
      </c>
      <c r="G2419">
        <v>2101</v>
      </c>
      <c r="H2419">
        <v>1</v>
      </c>
      <c r="I2419" t="s">
        <v>3966</v>
      </c>
      <c r="J2419" t="s">
        <v>3469</v>
      </c>
      <c r="K2419" t="s">
        <v>3742</v>
      </c>
      <c r="L2419">
        <v>43.2</v>
      </c>
      <c r="M2419" s="453">
        <v>45867</v>
      </c>
      <c r="N2419">
        <v>52</v>
      </c>
      <c r="O2419">
        <v>52</v>
      </c>
      <c r="P2419">
        <v>43.2</v>
      </c>
    </row>
    <row r="2420" spans="1:16" x14ac:dyDescent="0.3">
      <c r="A2420">
        <v>45865</v>
      </c>
      <c r="B2420">
        <v>116</v>
      </c>
      <c r="C2420" t="s">
        <v>568</v>
      </c>
      <c r="D2420" s="453">
        <v>45870</v>
      </c>
      <c r="E2420">
        <v>18200</v>
      </c>
      <c r="F2420" t="s">
        <v>4032</v>
      </c>
      <c r="G2420">
        <v>3426</v>
      </c>
      <c r="H2420">
        <v>1</v>
      </c>
      <c r="I2420" t="s">
        <v>3878</v>
      </c>
      <c r="J2420" t="s">
        <v>3497</v>
      </c>
      <c r="K2420" t="s">
        <v>3742</v>
      </c>
      <c r="L2420">
        <v>0</v>
      </c>
      <c r="M2420" s="453">
        <v>45699</v>
      </c>
      <c r="N2420">
        <v>41.18</v>
      </c>
      <c r="O2420">
        <v>41.5</v>
      </c>
      <c r="P2420">
        <v>41.18</v>
      </c>
    </row>
    <row r="2421" spans="1:16" x14ac:dyDescent="0.3">
      <c r="A2421">
        <v>45774</v>
      </c>
      <c r="B2421">
        <v>116</v>
      </c>
      <c r="C2421" t="s">
        <v>568</v>
      </c>
      <c r="D2421" s="453">
        <v>45870</v>
      </c>
      <c r="E2421">
        <v>19034</v>
      </c>
      <c r="F2421" t="s">
        <v>3989</v>
      </c>
      <c r="G2421">
        <v>2890</v>
      </c>
      <c r="H2421">
        <v>3</v>
      </c>
      <c r="I2421" t="s">
        <v>3892</v>
      </c>
      <c r="J2421" t="s">
        <v>3469</v>
      </c>
      <c r="K2421" t="s">
        <v>3742</v>
      </c>
      <c r="L2421">
        <v>13.5</v>
      </c>
      <c r="M2421" s="453">
        <v>45845</v>
      </c>
      <c r="N2421">
        <v>13.5</v>
      </c>
      <c r="O2421">
        <v>10.14</v>
      </c>
      <c r="P2421">
        <v>40.5</v>
      </c>
    </row>
    <row r="2422" spans="1:16" x14ac:dyDescent="0.3">
      <c r="A2422">
        <v>45688</v>
      </c>
      <c r="B2422">
        <v>116</v>
      </c>
      <c r="C2422" t="s">
        <v>568</v>
      </c>
      <c r="D2422" s="453">
        <v>45870</v>
      </c>
      <c r="E2422">
        <v>19917</v>
      </c>
      <c r="F2422" t="s">
        <v>3920</v>
      </c>
      <c r="G2422">
        <v>2379</v>
      </c>
      <c r="H2422">
        <v>13</v>
      </c>
      <c r="I2422" t="s">
        <v>3888</v>
      </c>
      <c r="J2422" t="s">
        <v>3469</v>
      </c>
      <c r="K2422" t="s">
        <v>3742</v>
      </c>
      <c r="L2422">
        <v>0</v>
      </c>
      <c r="M2422" s="453">
        <v>45581</v>
      </c>
      <c r="N2422">
        <v>3.09</v>
      </c>
      <c r="O2422">
        <v>3.35</v>
      </c>
      <c r="P2422">
        <v>40.17</v>
      </c>
    </row>
    <row r="2423" spans="1:16" x14ac:dyDescent="0.3">
      <c r="A2423">
        <v>45759</v>
      </c>
      <c r="B2423">
        <v>116</v>
      </c>
      <c r="C2423" t="s">
        <v>568</v>
      </c>
      <c r="D2423" s="453">
        <v>45870</v>
      </c>
      <c r="E2423">
        <v>24403</v>
      </c>
      <c r="F2423" t="s">
        <v>3992</v>
      </c>
      <c r="G2423">
        <v>3049</v>
      </c>
      <c r="H2423">
        <v>3.1</v>
      </c>
      <c r="I2423" t="s">
        <v>3892</v>
      </c>
      <c r="J2423" t="s">
        <v>3469</v>
      </c>
      <c r="K2423" t="s">
        <v>3742</v>
      </c>
      <c r="L2423">
        <v>12.9</v>
      </c>
      <c r="M2423" s="453">
        <v>45854</v>
      </c>
      <c r="N2423">
        <v>12.9</v>
      </c>
      <c r="O2423">
        <v>12.99</v>
      </c>
      <c r="P2423">
        <v>39.99</v>
      </c>
    </row>
    <row r="2424" spans="1:16" x14ac:dyDescent="0.3">
      <c r="A2424">
        <v>45705</v>
      </c>
      <c r="B2424">
        <v>116</v>
      </c>
      <c r="C2424" t="s">
        <v>568</v>
      </c>
      <c r="D2424" s="453">
        <v>45870</v>
      </c>
      <c r="E2424">
        <v>19787</v>
      </c>
      <c r="F2424" t="s">
        <v>3940</v>
      </c>
      <c r="G2424">
        <v>2471</v>
      </c>
      <c r="H2424">
        <v>9</v>
      </c>
      <c r="I2424" t="s">
        <v>3892</v>
      </c>
      <c r="J2424" t="s">
        <v>3469</v>
      </c>
      <c r="K2424" t="s">
        <v>3742</v>
      </c>
      <c r="L2424">
        <v>4.42</v>
      </c>
      <c r="M2424" s="453">
        <v>45869</v>
      </c>
      <c r="N2424">
        <v>4.2</v>
      </c>
      <c r="O2424">
        <v>4.12</v>
      </c>
      <c r="P2424">
        <v>39.78</v>
      </c>
    </row>
    <row r="2425" spans="1:16" x14ac:dyDescent="0.3">
      <c r="A2425">
        <v>45823</v>
      </c>
      <c r="B2425">
        <v>116</v>
      </c>
      <c r="C2425" t="s">
        <v>568</v>
      </c>
      <c r="D2425" s="453">
        <v>45870</v>
      </c>
      <c r="E2425">
        <v>20717</v>
      </c>
      <c r="F2425" t="s">
        <v>4055</v>
      </c>
      <c r="G2425">
        <v>2097</v>
      </c>
      <c r="H2425">
        <v>1</v>
      </c>
      <c r="I2425" t="s">
        <v>3872</v>
      </c>
      <c r="J2425" t="s">
        <v>3469</v>
      </c>
      <c r="K2425" t="s">
        <v>3742</v>
      </c>
      <c r="L2425">
        <v>0</v>
      </c>
      <c r="M2425" s="453">
        <v>45817</v>
      </c>
      <c r="N2425">
        <v>39.6</v>
      </c>
      <c r="O2425">
        <v>39.6</v>
      </c>
      <c r="P2425">
        <v>39.6</v>
      </c>
    </row>
    <row r="2426" spans="1:16" x14ac:dyDescent="0.3">
      <c r="A2426">
        <v>45658</v>
      </c>
      <c r="B2426">
        <v>116</v>
      </c>
      <c r="C2426" t="s">
        <v>568</v>
      </c>
      <c r="D2426" s="453">
        <v>45870</v>
      </c>
      <c r="E2426">
        <v>24394</v>
      </c>
      <c r="F2426" t="s">
        <v>3876</v>
      </c>
      <c r="G2426">
        <v>2753</v>
      </c>
      <c r="H2426">
        <v>60</v>
      </c>
      <c r="I2426" t="s">
        <v>3872</v>
      </c>
      <c r="J2426" t="s">
        <v>3469</v>
      </c>
      <c r="K2426" t="s">
        <v>3742</v>
      </c>
      <c r="L2426">
        <v>0</v>
      </c>
      <c r="M2426" s="453">
        <v>45824</v>
      </c>
      <c r="N2426">
        <v>0.65</v>
      </c>
      <c r="O2426">
        <v>0.53</v>
      </c>
      <c r="P2426">
        <v>39</v>
      </c>
    </row>
    <row r="2427" spans="1:16" x14ac:dyDescent="0.3">
      <c r="A2427">
        <v>45849</v>
      </c>
      <c r="B2427">
        <v>116</v>
      </c>
      <c r="C2427" t="s">
        <v>568</v>
      </c>
      <c r="D2427" s="453">
        <v>45870</v>
      </c>
      <c r="E2427">
        <v>19574</v>
      </c>
      <c r="F2427" t="s">
        <v>4077</v>
      </c>
      <c r="G2427">
        <v>2644</v>
      </c>
      <c r="H2427">
        <v>1</v>
      </c>
      <c r="I2427" t="s">
        <v>3892</v>
      </c>
      <c r="J2427" t="s">
        <v>3469</v>
      </c>
      <c r="K2427" t="s">
        <v>3742</v>
      </c>
      <c r="L2427">
        <v>38</v>
      </c>
      <c r="M2427" s="453">
        <v>45859</v>
      </c>
      <c r="N2427">
        <v>38</v>
      </c>
      <c r="O2427">
        <v>30</v>
      </c>
      <c r="P2427">
        <v>38</v>
      </c>
    </row>
    <row r="2428" spans="1:16" x14ac:dyDescent="0.3">
      <c r="A2428">
        <v>45859</v>
      </c>
      <c r="B2428">
        <v>116</v>
      </c>
      <c r="C2428" t="s">
        <v>568</v>
      </c>
      <c r="D2428" s="453">
        <v>45870</v>
      </c>
      <c r="E2428">
        <v>18341</v>
      </c>
      <c r="F2428" t="s">
        <v>4086</v>
      </c>
      <c r="G2428">
        <v>3293</v>
      </c>
      <c r="H2428">
        <v>1</v>
      </c>
      <c r="I2428" t="s">
        <v>3878</v>
      </c>
      <c r="J2428" t="s">
        <v>3497</v>
      </c>
      <c r="K2428" t="s">
        <v>3742</v>
      </c>
      <c r="L2428">
        <v>0</v>
      </c>
      <c r="M2428" s="453">
        <v>-693593</v>
      </c>
      <c r="N2428">
        <v>0</v>
      </c>
      <c r="O2428">
        <v>50</v>
      </c>
      <c r="P2428">
        <v>38</v>
      </c>
    </row>
    <row r="2429" spans="1:16" x14ac:dyDescent="0.3">
      <c r="A2429">
        <v>45861</v>
      </c>
      <c r="B2429">
        <v>116</v>
      </c>
      <c r="C2429" t="s">
        <v>568</v>
      </c>
      <c r="D2429" s="453">
        <v>45870</v>
      </c>
      <c r="E2429">
        <v>18317</v>
      </c>
      <c r="F2429" t="s">
        <v>4045</v>
      </c>
      <c r="G2429">
        <v>3316</v>
      </c>
      <c r="H2429">
        <v>1</v>
      </c>
      <c r="I2429" t="s">
        <v>3878</v>
      </c>
      <c r="J2429" t="s">
        <v>3497</v>
      </c>
      <c r="K2429" t="s">
        <v>3742</v>
      </c>
      <c r="L2429">
        <v>0</v>
      </c>
      <c r="M2429" s="453">
        <v>45793</v>
      </c>
      <c r="N2429">
        <v>36.9</v>
      </c>
      <c r="O2429">
        <v>36.51</v>
      </c>
      <c r="P2429">
        <v>36.9</v>
      </c>
    </row>
    <row r="2430" spans="1:16" x14ac:dyDescent="0.3">
      <c r="A2430">
        <v>45847</v>
      </c>
      <c r="B2430">
        <v>116</v>
      </c>
      <c r="C2430" t="s">
        <v>568</v>
      </c>
      <c r="D2430" s="453">
        <v>45870</v>
      </c>
      <c r="E2430">
        <v>19583</v>
      </c>
      <c r="F2430" t="s">
        <v>4076</v>
      </c>
      <c r="G2430">
        <v>2639</v>
      </c>
      <c r="H2430">
        <v>1</v>
      </c>
      <c r="I2430" t="s">
        <v>3892</v>
      </c>
      <c r="J2430" t="s">
        <v>3469</v>
      </c>
      <c r="K2430" t="s">
        <v>3742</v>
      </c>
      <c r="L2430">
        <v>34</v>
      </c>
      <c r="M2430" s="453">
        <v>45859</v>
      </c>
      <c r="N2430">
        <v>32</v>
      </c>
      <c r="O2430">
        <v>37</v>
      </c>
      <c r="P2430">
        <v>34</v>
      </c>
    </row>
    <row r="2431" spans="1:16" x14ac:dyDescent="0.3">
      <c r="A2431">
        <v>45786</v>
      </c>
      <c r="B2431">
        <v>116</v>
      </c>
      <c r="C2431" t="s">
        <v>568</v>
      </c>
      <c r="D2431" s="453">
        <v>45870</v>
      </c>
      <c r="E2431">
        <v>20077</v>
      </c>
      <c r="F2431" t="s">
        <v>4054</v>
      </c>
      <c r="G2431">
        <v>2317</v>
      </c>
      <c r="H2431">
        <v>2</v>
      </c>
      <c r="I2431" t="s">
        <v>3888</v>
      </c>
      <c r="J2431" t="s">
        <v>3469</v>
      </c>
      <c r="K2431" t="s">
        <v>3742</v>
      </c>
      <c r="L2431">
        <v>16.489999999999998</v>
      </c>
      <c r="M2431" s="453">
        <v>45867</v>
      </c>
      <c r="N2431">
        <v>16.32</v>
      </c>
      <c r="O2431">
        <v>16.32</v>
      </c>
      <c r="P2431">
        <v>32.979999999999997</v>
      </c>
    </row>
    <row r="2432" spans="1:16" x14ac:dyDescent="0.3">
      <c r="A2432">
        <v>45807</v>
      </c>
      <c r="B2432">
        <v>116</v>
      </c>
      <c r="C2432" t="s">
        <v>568</v>
      </c>
      <c r="D2432" s="453">
        <v>45870</v>
      </c>
      <c r="E2432">
        <v>24456</v>
      </c>
      <c r="F2432" t="s">
        <v>4048</v>
      </c>
      <c r="G2432">
        <v>1965</v>
      </c>
      <c r="H2432">
        <v>1.5</v>
      </c>
      <c r="I2432" t="s">
        <v>3892</v>
      </c>
      <c r="J2432" t="s">
        <v>3469</v>
      </c>
      <c r="K2432" t="s">
        <v>3742</v>
      </c>
      <c r="L2432">
        <v>0</v>
      </c>
      <c r="M2432" s="453">
        <v>45826</v>
      </c>
      <c r="N2432">
        <v>21.76</v>
      </c>
      <c r="O2432">
        <v>29.83</v>
      </c>
      <c r="P2432">
        <v>32.64</v>
      </c>
    </row>
    <row r="2433" spans="1:16" x14ac:dyDescent="0.3">
      <c r="A2433">
        <v>45839</v>
      </c>
      <c r="B2433">
        <v>116</v>
      </c>
      <c r="C2433" t="s">
        <v>568</v>
      </c>
      <c r="D2433" s="453">
        <v>45870</v>
      </c>
      <c r="E2433">
        <v>19652</v>
      </c>
      <c r="F2433" t="s">
        <v>4014</v>
      </c>
      <c r="G2433">
        <v>2587</v>
      </c>
      <c r="H2433">
        <v>1</v>
      </c>
      <c r="I2433" t="s">
        <v>3892</v>
      </c>
      <c r="J2433" t="s">
        <v>3469</v>
      </c>
      <c r="K2433" t="s">
        <v>3742</v>
      </c>
      <c r="L2433">
        <v>32</v>
      </c>
      <c r="M2433" s="453">
        <v>45869</v>
      </c>
      <c r="N2433">
        <v>32</v>
      </c>
      <c r="O2433">
        <v>32</v>
      </c>
      <c r="P2433">
        <v>32</v>
      </c>
    </row>
    <row r="2434" spans="1:16" x14ac:dyDescent="0.3">
      <c r="A2434">
        <v>45798</v>
      </c>
      <c r="B2434">
        <v>116</v>
      </c>
      <c r="C2434" t="s">
        <v>568</v>
      </c>
      <c r="D2434" s="453">
        <v>45870</v>
      </c>
      <c r="E2434">
        <v>23198</v>
      </c>
      <c r="F2434" t="s">
        <v>4167</v>
      </c>
      <c r="G2434">
        <v>2657</v>
      </c>
      <c r="H2434">
        <v>2</v>
      </c>
      <c r="I2434" t="s">
        <v>3892</v>
      </c>
      <c r="J2434" t="s">
        <v>3469</v>
      </c>
      <c r="K2434" t="s">
        <v>3742</v>
      </c>
      <c r="L2434">
        <v>15.86</v>
      </c>
      <c r="M2434" s="453">
        <v>45869</v>
      </c>
      <c r="N2434">
        <v>17</v>
      </c>
      <c r="O2434">
        <v>16.7</v>
      </c>
      <c r="P2434">
        <v>31.72</v>
      </c>
    </row>
    <row r="2435" spans="1:16" x14ac:dyDescent="0.3">
      <c r="A2435">
        <v>45827</v>
      </c>
      <c r="B2435">
        <v>116</v>
      </c>
      <c r="C2435" t="s">
        <v>568</v>
      </c>
      <c r="D2435" s="453">
        <v>45870</v>
      </c>
      <c r="E2435">
        <v>20213</v>
      </c>
      <c r="F2435" t="s">
        <v>4059</v>
      </c>
      <c r="G2435">
        <v>2251</v>
      </c>
      <c r="H2435">
        <v>1</v>
      </c>
      <c r="I2435" t="s">
        <v>3888</v>
      </c>
      <c r="J2435" t="s">
        <v>3469</v>
      </c>
      <c r="K2435" t="s">
        <v>3742</v>
      </c>
      <c r="L2435">
        <v>0</v>
      </c>
      <c r="M2435" s="453">
        <v>45818</v>
      </c>
      <c r="N2435">
        <v>31.62</v>
      </c>
      <c r="O2435">
        <v>31.62</v>
      </c>
      <c r="P2435">
        <v>31.62</v>
      </c>
    </row>
    <row r="2436" spans="1:16" x14ac:dyDescent="0.3">
      <c r="A2436">
        <v>45808</v>
      </c>
      <c r="B2436">
        <v>116</v>
      </c>
      <c r="C2436" t="s">
        <v>568</v>
      </c>
      <c r="D2436" s="453">
        <v>45870</v>
      </c>
      <c r="E2436">
        <v>24185</v>
      </c>
      <c r="F2436" t="s">
        <v>4040</v>
      </c>
      <c r="G2436">
        <v>2331</v>
      </c>
      <c r="H2436">
        <v>1.5</v>
      </c>
      <c r="I2436" t="s">
        <v>3892</v>
      </c>
      <c r="J2436" t="s">
        <v>3469</v>
      </c>
      <c r="K2436" t="s">
        <v>3742</v>
      </c>
      <c r="L2436">
        <v>0</v>
      </c>
      <c r="M2436" s="453">
        <v>45818</v>
      </c>
      <c r="N2436">
        <v>21</v>
      </c>
      <c r="O2436">
        <v>23.1</v>
      </c>
      <c r="P2436">
        <v>31.5</v>
      </c>
    </row>
    <row r="2437" spans="1:16" x14ac:dyDescent="0.3">
      <c r="A2437">
        <v>45790</v>
      </c>
      <c r="B2437">
        <v>116</v>
      </c>
      <c r="C2437" t="s">
        <v>568</v>
      </c>
      <c r="D2437" s="453">
        <v>45870</v>
      </c>
      <c r="E2437">
        <v>19973</v>
      </c>
      <c r="F2437" t="s">
        <v>3981</v>
      </c>
      <c r="G2437">
        <v>2354</v>
      </c>
      <c r="H2437">
        <v>2</v>
      </c>
      <c r="I2437" t="s">
        <v>3872</v>
      </c>
      <c r="J2437" t="s">
        <v>3469</v>
      </c>
      <c r="K2437" t="s">
        <v>3742</v>
      </c>
      <c r="L2437">
        <v>15.5</v>
      </c>
      <c r="M2437" s="453">
        <v>45845</v>
      </c>
      <c r="N2437">
        <v>15.5</v>
      </c>
      <c r="O2437">
        <v>15.2</v>
      </c>
      <c r="P2437">
        <v>31</v>
      </c>
    </row>
    <row r="2438" spans="1:16" x14ac:dyDescent="0.3">
      <c r="A2438">
        <v>45842</v>
      </c>
      <c r="B2438">
        <v>116</v>
      </c>
      <c r="C2438" t="s">
        <v>568</v>
      </c>
      <c r="D2438" s="453">
        <v>45870</v>
      </c>
      <c r="E2438">
        <v>19765</v>
      </c>
      <c r="F2438" t="s">
        <v>4071</v>
      </c>
      <c r="G2438">
        <v>2488</v>
      </c>
      <c r="H2438">
        <v>1</v>
      </c>
      <c r="I2438" t="s">
        <v>3892</v>
      </c>
      <c r="J2438" t="s">
        <v>3469</v>
      </c>
      <c r="K2438" t="s">
        <v>3742</v>
      </c>
      <c r="L2438">
        <v>31</v>
      </c>
      <c r="M2438" s="453">
        <v>45845</v>
      </c>
      <c r="N2438">
        <v>31</v>
      </c>
      <c r="O2438">
        <v>27</v>
      </c>
      <c r="P2438">
        <v>31</v>
      </c>
    </row>
    <row r="2439" spans="1:16" x14ac:dyDescent="0.3">
      <c r="A2439">
        <v>45820</v>
      </c>
      <c r="B2439">
        <v>116</v>
      </c>
      <c r="C2439" t="s">
        <v>568</v>
      </c>
      <c r="D2439" s="453">
        <v>45870</v>
      </c>
      <c r="E2439">
        <v>21078</v>
      </c>
      <c r="F2439" t="s">
        <v>4049</v>
      </c>
      <c r="G2439">
        <v>1991</v>
      </c>
      <c r="H2439">
        <v>1</v>
      </c>
      <c r="I2439" t="s">
        <v>3881</v>
      </c>
      <c r="J2439" t="s">
        <v>3469</v>
      </c>
      <c r="K2439" t="s">
        <v>3742</v>
      </c>
      <c r="L2439">
        <v>0</v>
      </c>
      <c r="M2439" s="453">
        <v>-693593</v>
      </c>
      <c r="N2439">
        <v>0</v>
      </c>
      <c r="O2439">
        <v>43.6</v>
      </c>
      <c r="P2439">
        <v>29.9</v>
      </c>
    </row>
    <row r="2440" spans="1:16" x14ac:dyDescent="0.3">
      <c r="A2440">
        <v>45857</v>
      </c>
      <c r="B2440">
        <v>116</v>
      </c>
      <c r="C2440" t="s">
        <v>568</v>
      </c>
      <c r="D2440" s="453">
        <v>45870</v>
      </c>
      <c r="E2440">
        <v>18395</v>
      </c>
      <c r="F2440" t="s">
        <v>4085</v>
      </c>
      <c r="G2440">
        <v>3245</v>
      </c>
      <c r="H2440">
        <v>1</v>
      </c>
      <c r="I2440" t="s">
        <v>3878</v>
      </c>
      <c r="J2440" t="s">
        <v>3497</v>
      </c>
      <c r="K2440" t="s">
        <v>3742</v>
      </c>
      <c r="L2440">
        <v>29.43</v>
      </c>
      <c r="M2440" s="453">
        <v>45845</v>
      </c>
      <c r="N2440">
        <v>29.43</v>
      </c>
      <c r="O2440">
        <v>29.78</v>
      </c>
      <c r="P2440">
        <v>29.43</v>
      </c>
    </row>
    <row r="2441" spans="1:16" x14ac:dyDescent="0.3">
      <c r="A2441">
        <v>45740</v>
      </c>
      <c r="B2441">
        <v>116</v>
      </c>
      <c r="C2441" t="s">
        <v>568</v>
      </c>
      <c r="D2441" s="453">
        <v>45870</v>
      </c>
      <c r="E2441">
        <v>19751</v>
      </c>
      <c r="F2441" t="s">
        <v>4019</v>
      </c>
      <c r="G2441">
        <v>2502</v>
      </c>
      <c r="H2441">
        <v>4.5</v>
      </c>
      <c r="I2441" t="s">
        <v>3892</v>
      </c>
      <c r="J2441" t="s">
        <v>3469</v>
      </c>
      <c r="K2441" t="s">
        <v>3742</v>
      </c>
      <c r="L2441">
        <v>6.44</v>
      </c>
      <c r="M2441" s="453">
        <v>45848</v>
      </c>
      <c r="N2441">
        <v>6.4</v>
      </c>
      <c r="O2441">
        <v>5.75</v>
      </c>
      <c r="P2441">
        <v>28.98</v>
      </c>
    </row>
    <row r="2442" spans="1:16" x14ac:dyDescent="0.3">
      <c r="A2442">
        <v>45767</v>
      </c>
      <c r="B2442">
        <v>116</v>
      </c>
      <c r="C2442" t="s">
        <v>568</v>
      </c>
      <c r="D2442" s="453">
        <v>45870</v>
      </c>
      <c r="E2442">
        <v>20133</v>
      </c>
      <c r="F2442" t="s">
        <v>4461</v>
      </c>
      <c r="G2442">
        <v>2286</v>
      </c>
      <c r="H2442">
        <v>3</v>
      </c>
      <c r="I2442" t="s">
        <v>3888</v>
      </c>
      <c r="J2442" t="s">
        <v>3469</v>
      </c>
      <c r="K2442" t="s">
        <v>3742</v>
      </c>
      <c r="L2442">
        <v>0</v>
      </c>
      <c r="M2442" s="453">
        <v>45763</v>
      </c>
      <c r="N2442">
        <v>9.3699999999999992</v>
      </c>
      <c r="O2442">
        <v>7.8</v>
      </c>
      <c r="P2442">
        <v>28.11</v>
      </c>
    </row>
    <row r="2443" spans="1:16" x14ac:dyDescent="0.3">
      <c r="A2443">
        <v>45680</v>
      </c>
      <c r="B2443">
        <v>116</v>
      </c>
      <c r="C2443" t="s">
        <v>568</v>
      </c>
      <c r="D2443" s="453">
        <v>45870</v>
      </c>
      <c r="E2443">
        <v>24509</v>
      </c>
      <c r="F2443" t="s">
        <v>3906</v>
      </c>
      <c r="G2443">
        <v>2607</v>
      </c>
      <c r="H2443">
        <v>15</v>
      </c>
      <c r="I2443" t="s">
        <v>3892</v>
      </c>
      <c r="J2443" t="s">
        <v>3469</v>
      </c>
      <c r="K2443" t="s">
        <v>3742</v>
      </c>
      <c r="L2443">
        <v>1.82</v>
      </c>
      <c r="M2443" s="453">
        <v>45869</v>
      </c>
      <c r="N2443">
        <v>1.56</v>
      </c>
      <c r="O2443">
        <v>1.59</v>
      </c>
      <c r="P2443">
        <v>27.3</v>
      </c>
    </row>
    <row r="2444" spans="1:16" x14ac:dyDescent="0.3">
      <c r="A2444">
        <v>45822</v>
      </c>
      <c r="B2444">
        <v>116</v>
      </c>
      <c r="C2444" t="s">
        <v>568</v>
      </c>
      <c r="D2444" s="453">
        <v>45870</v>
      </c>
      <c r="E2444">
        <v>20287</v>
      </c>
      <c r="F2444" t="s">
        <v>4053</v>
      </c>
      <c r="G2444">
        <v>2229</v>
      </c>
      <c r="H2444">
        <v>1</v>
      </c>
      <c r="I2444" t="s">
        <v>3888</v>
      </c>
      <c r="J2444" t="s">
        <v>3469</v>
      </c>
      <c r="K2444" t="s">
        <v>3742</v>
      </c>
      <c r="L2444">
        <v>26.96</v>
      </c>
      <c r="M2444" s="453">
        <v>45859</v>
      </c>
      <c r="N2444">
        <v>26.99</v>
      </c>
      <c r="O2444">
        <v>26.99</v>
      </c>
      <c r="P2444">
        <v>26.96</v>
      </c>
    </row>
    <row r="2445" spans="1:16" x14ac:dyDescent="0.3">
      <c r="A2445">
        <v>45835</v>
      </c>
      <c r="B2445">
        <v>116</v>
      </c>
      <c r="C2445" t="s">
        <v>568</v>
      </c>
      <c r="D2445" s="453">
        <v>45870</v>
      </c>
      <c r="E2445">
        <v>20610</v>
      </c>
      <c r="F2445" t="s">
        <v>4064</v>
      </c>
      <c r="G2445">
        <v>2120</v>
      </c>
      <c r="H2445">
        <v>1</v>
      </c>
      <c r="I2445" t="s">
        <v>3884</v>
      </c>
      <c r="J2445" t="s">
        <v>3469</v>
      </c>
      <c r="K2445" t="s">
        <v>3742</v>
      </c>
      <c r="L2445">
        <v>0</v>
      </c>
      <c r="M2445" s="453">
        <v>45770</v>
      </c>
      <c r="N2445">
        <v>26.9</v>
      </c>
      <c r="O2445">
        <v>25.85</v>
      </c>
      <c r="P2445">
        <v>26.9</v>
      </c>
    </row>
    <row r="2446" spans="1:16" x14ac:dyDescent="0.3">
      <c r="A2446">
        <v>45765</v>
      </c>
      <c r="B2446">
        <v>116</v>
      </c>
      <c r="C2446" t="s">
        <v>568</v>
      </c>
      <c r="D2446" s="453">
        <v>45870</v>
      </c>
      <c r="E2446">
        <v>23635</v>
      </c>
      <c r="F2446" t="s">
        <v>4102</v>
      </c>
      <c r="G2446">
        <v>2247</v>
      </c>
      <c r="H2446">
        <v>3</v>
      </c>
      <c r="I2446" t="s">
        <v>3892</v>
      </c>
      <c r="J2446" t="s">
        <v>3469</v>
      </c>
      <c r="K2446" t="s">
        <v>3742</v>
      </c>
      <c r="L2446">
        <v>8.8000000000000007</v>
      </c>
      <c r="M2446" s="453">
        <v>45839</v>
      </c>
      <c r="N2446">
        <v>8.8000000000000007</v>
      </c>
      <c r="O2446">
        <v>8.7100000000000009</v>
      </c>
      <c r="P2446">
        <v>26.4</v>
      </c>
    </row>
    <row r="2447" spans="1:16" x14ac:dyDescent="0.3">
      <c r="A2447">
        <v>45802</v>
      </c>
      <c r="B2447">
        <v>116</v>
      </c>
      <c r="C2447" t="s">
        <v>568</v>
      </c>
      <c r="D2447" s="453">
        <v>45870</v>
      </c>
      <c r="E2447">
        <v>17942</v>
      </c>
      <c r="F2447" t="s">
        <v>4035</v>
      </c>
      <c r="G2447">
        <v>3630</v>
      </c>
      <c r="H2447">
        <v>2</v>
      </c>
      <c r="I2447" t="s">
        <v>3872</v>
      </c>
      <c r="J2447" t="s">
        <v>3497</v>
      </c>
      <c r="K2447" t="s">
        <v>3742</v>
      </c>
      <c r="L2447">
        <v>0</v>
      </c>
      <c r="M2447" s="453">
        <v>45803</v>
      </c>
      <c r="N2447">
        <v>13</v>
      </c>
      <c r="O2447">
        <v>13</v>
      </c>
      <c r="P2447">
        <v>26</v>
      </c>
    </row>
    <row r="2448" spans="1:16" x14ac:dyDescent="0.3">
      <c r="A2448">
        <v>45867</v>
      </c>
      <c r="B2448">
        <v>116</v>
      </c>
      <c r="C2448" t="s">
        <v>568</v>
      </c>
      <c r="D2448" s="453">
        <v>45870</v>
      </c>
      <c r="E2448">
        <v>17878</v>
      </c>
      <c r="F2448" t="s">
        <v>4096</v>
      </c>
      <c r="G2448">
        <v>3677</v>
      </c>
      <c r="H2448">
        <v>1</v>
      </c>
      <c r="I2448" t="s">
        <v>3872</v>
      </c>
      <c r="J2448" t="s">
        <v>3497</v>
      </c>
      <c r="K2448" t="s">
        <v>3742</v>
      </c>
      <c r="L2448">
        <v>0</v>
      </c>
      <c r="M2448" s="453">
        <v>45832</v>
      </c>
      <c r="N2448">
        <v>24.87</v>
      </c>
      <c r="O2448">
        <v>23.43</v>
      </c>
      <c r="P2448">
        <v>24.87</v>
      </c>
    </row>
    <row r="2449" spans="1:16" x14ac:dyDescent="0.3">
      <c r="A2449">
        <v>45747</v>
      </c>
      <c r="B2449">
        <v>116</v>
      </c>
      <c r="C2449" t="s">
        <v>568</v>
      </c>
      <c r="D2449" s="453">
        <v>45870</v>
      </c>
      <c r="E2449">
        <v>19613</v>
      </c>
      <c r="F2449" t="s">
        <v>4017</v>
      </c>
      <c r="G2449">
        <v>2620</v>
      </c>
      <c r="H2449">
        <v>4</v>
      </c>
      <c r="I2449" t="s">
        <v>3892</v>
      </c>
      <c r="J2449" t="s">
        <v>3469</v>
      </c>
      <c r="K2449" t="s">
        <v>3742</v>
      </c>
      <c r="L2449">
        <v>0</v>
      </c>
      <c r="M2449" s="453">
        <v>45831</v>
      </c>
      <c r="N2449">
        <v>6</v>
      </c>
      <c r="O2449">
        <v>11.5</v>
      </c>
      <c r="P2449">
        <v>24</v>
      </c>
    </row>
    <row r="2450" spans="1:16" x14ac:dyDescent="0.3">
      <c r="A2450">
        <v>45766</v>
      </c>
      <c r="B2450">
        <v>116</v>
      </c>
      <c r="C2450" t="s">
        <v>568</v>
      </c>
      <c r="D2450" s="453">
        <v>45870</v>
      </c>
      <c r="E2450">
        <v>20326</v>
      </c>
      <c r="F2450" t="s">
        <v>3953</v>
      </c>
      <c r="G2450">
        <v>2211</v>
      </c>
      <c r="H2450">
        <v>3</v>
      </c>
      <c r="I2450" t="s">
        <v>3892</v>
      </c>
      <c r="J2450" t="s">
        <v>3469</v>
      </c>
      <c r="K2450" t="s">
        <v>3742</v>
      </c>
      <c r="L2450">
        <v>7.8</v>
      </c>
      <c r="M2450" s="453">
        <v>45855</v>
      </c>
      <c r="N2450">
        <v>7.8</v>
      </c>
      <c r="O2450">
        <v>7.97</v>
      </c>
      <c r="P2450">
        <v>23.4</v>
      </c>
    </row>
    <row r="2451" spans="1:16" x14ac:dyDescent="0.3">
      <c r="A2451">
        <v>45720</v>
      </c>
      <c r="B2451">
        <v>116</v>
      </c>
      <c r="C2451" t="s">
        <v>568</v>
      </c>
      <c r="D2451" s="453">
        <v>45870</v>
      </c>
      <c r="E2451">
        <v>23389</v>
      </c>
      <c r="F2451" t="s">
        <v>4016</v>
      </c>
      <c r="G2451">
        <v>2475</v>
      </c>
      <c r="H2451">
        <v>6</v>
      </c>
      <c r="I2451" t="s">
        <v>3892</v>
      </c>
      <c r="J2451" t="s">
        <v>3469</v>
      </c>
      <c r="K2451" t="s">
        <v>3742</v>
      </c>
      <c r="L2451">
        <v>3.86</v>
      </c>
      <c r="M2451" s="453">
        <v>45869</v>
      </c>
      <c r="N2451">
        <v>4.32</v>
      </c>
      <c r="O2451">
        <v>3.51</v>
      </c>
      <c r="P2451">
        <v>23.16</v>
      </c>
    </row>
    <row r="2452" spans="1:16" x14ac:dyDescent="0.3">
      <c r="A2452">
        <v>45706</v>
      </c>
      <c r="B2452">
        <v>116</v>
      </c>
      <c r="C2452" t="s">
        <v>568</v>
      </c>
      <c r="D2452" s="453">
        <v>45870</v>
      </c>
      <c r="E2452">
        <v>23359</v>
      </c>
      <c r="F2452" t="s">
        <v>3932</v>
      </c>
      <c r="G2452">
        <v>2499</v>
      </c>
      <c r="H2452">
        <v>9</v>
      </c>
      <c r="I2452" t="s">
        <v>3892</v>
      </c>
      <c r="J2452" t="s">
        <v>3469</v>
      </c>
      <c r="K2452" t="s">
        <v>3742</v>
      </c>
      <c r="L2452">
        <v>2.56</v>
      </c>
      <c r="M2452" s="453">
        <v>45869</v>
      </c>
      <c r="N2452">
        <v>3.36</v>
      </c>
      <c r="O2452">
        <v>2.0499999999999998</v>
      </c>
      <c r="P2452">
        <v>23.04</v>
      </c>
    </row>
    <row r="2453" spans="1:16" x14ac:dyDescent="0.3">
      <c r="A2453">
        <v>45833</v>
      </c>
      <c r="B2453">
        <v>116</v>
      </c>
      <c r="C2453" t="s">
        <v>568</v>
      </c>
      <c r="D2453" s="453">
        <v>45870</v>
      </c>
      <c r="E2453">
        <v>19902</v>
      </c>
      <c r="F2453" t="s">
        <v>3909</v>
      </c>
      <c r="G2453">
        <v>2382</v>
      </c>
      <c r="H2453">
        <v>1</v>
      </c>
      <c r="I2453" t="s">
        <v>3881</v>
      </c>
      <c r="J2453" t="s">
        <v>3469</v>
      </c>
      <c r="K2453" t="s">
        <v>3742</v>
      </c>
      <c r="L2453">
        <v>22.9</v>
      </c>
      <c r="M2453" s="453">
        <v>45856</v>
      </c>
      <c r="N2453">
        <v>22.9</v>
      </c>
      <c r="O2453">
        <v>23.98</v>
      </c>
      <c r="P2453">
        <v>22.9</v>
      </c>
    </row>
    <row r="2454" spans="1:16" x14ac:dyDescent="0.3">
      <c r="A2454">
        <v>45829</v>
      </c>
      <c r="B2454">
        <v>116</v>
      </c>
      <c r="C2454" t="s">
        <v>568</v>
      </c>
      <c r="D2454" s="453">
        <v>45870</v>
      </c>
      <c r="E2454">
        <v>24392</v>
      </c>
      <c r="F2454" t="s">
        <v>4041</v>
      </c>
      <c r="G2454">
        <v>2366</v>
      </c>
      <c r="H2454">
        <v>1</v>
      </c>
      <c r="I2454" t="s">
        <v>3892</v>
      </c>
      <c r="J2454" t="s">
        <v>3469</v>
      </c>
      <c r="K2454" t="s">
        <v>3742</v>
      </c>
      <c r="L2454">
        <v>0</v>
      </c>
      <c r="M2454" s="453">
        <v>45524</v>
      </c>
      <c r="N2454">
        <v>21.9</v>
      </c>
      <c r="O2454">
        <v>22.9</v>
      </c>
      <c r="P2454">
        <v>21.9</v>
      </c>
    </row>
    <row r="2455" spans="1:16" x14ac:dyDescent="0.3">
      <c r="A2455">
        <v>45719</v>
      </c>
      <c r="B2455">
        <v>116</v>
      </c>
      <c r="C2455" t="s">
        <v>568</v>
      </c>
      <c r="D2455" s="453">
        <v>45870</v>
      </c>
      <c r="E2455">
        <v>20680</v>
      </c>
      <c r="F2455" t="s">
        <v>4460</v>
      </c>
      <c r="G2455">
        <v>2106</v>
      </c>
      <c r="H2455">
        <v>6</v>
      </c>
      <c r="I2455" t="s">
        <v>3872</v>
      </c>
      <c r="J2455" t="s">
        <v>3469</v>
      </c>
      <c r="K2455" t="s">
        <v>3742</v>
      </c>
      <c r="L2455">
        <v>0</v>
      </c>
      <c r="M2455" s="453">
        <v>45835</v>
      </c>
      <c r="N2455">
        <v>3.6</v>
      </c>
      <c r="O2455">
        <v>3.6</v>
      </c>
      <c r="P2455">
        <v>21.6</v>
      </c>
    </row>
    <row r="2456" spans="1:16" x14ac:dyDescent="0.3">
      <c r="A2456">
        <v>45799</v>
      </c>
      <c r="B2456">
        <v>116</v>
      </c>
      <c r="C2456" t="s">
        <v>568</v>
      </c>
      <c r="D2456" s="453">
        <v>45870</v>
      </c>
      <c r="E2456">
        <v>19672</v>
      </c>
      <c r="F2456" t="s">
        <v>4024</v>
      </c>
      <c r="G2456">
        <v>2567</v>
      </c>
      <c r="H2456">
        <v>2</v>
      </c>
      <c r="I2456" t="s">
        <v>3892</v>
      </c>
      <c r="J2456" t="s">
        <v>3469</v>
      </c>
      <c r="K2456" t="s">
        <v>3742</v>
      </c>
      <c r="L2456">
        <v>9.73</v>
      </c>
      <c r="M2456" s="453">
        <v>45869</v>
      </c>
      <c r="N2456">
        <v>8.75</v>
      </c>
      <c r="O2456">
        <v>8.75</v>
      </c>
      <c r="P2456">
        <v>19.46</v>
      </c>
    </row>
    <row r="2457" spans="1:16" x14ac:dyDescent="0.3">
      <c r="A2457">
        <v>45828</v>
      </c>
      <c r="B2457">
        <v>116</v>
      </c>
      <c r="C2457" t="s">
        <v>568</v>
      </c>
      <c r="D2457" s="453">
        <v>45870</v>
      </c>
      <c r="E2457">
        <v>24364</v>
      </c>
      <c r="F2457" t="s">
        <v>4061</v>
      </c>
      <c r="G2457">
        <v>2043</v>
      </c>
      <c r="H2457">
        <v>1</v>
      </c>
      <c r="I2457" t="s">
        <v>3892</v>
      </c>
      <c r="J2457" t="s">
        <v>3469</v>
      </c>
      <c r="K2457" t="s">
        <v>3742</v>
      </c>
      <c r="L2457">
        <v>19</v>
      </c>
      <c r="M2457" s="453">
        <v>45845</v>
      </c>
      <c r="N2457">
        <v>19</v>
      </c>
      <c r="O2457">
        <v>19</v>
      </c>
      <c r="P2457">
        <v>19</v>
      </c>
    </row>
    <row r="2458" spans="1:16" x14ac:dyDescent="0.3">
      <c r="A2458">
        <v>45874</v>
      </c>
      <c r="B2458">
        <v>116</v>
      </c>
      <c r="C2458" t="s">
        <v>568</v>
      </c>
      <c r="D2458" s="453">
        <v>45870</v>
      </c>
      <c r="E2458">
        <v>19779</v>
      </c>
      <c r="F2458" t="s">
        <v>4069</v>
      </c>
      <c r="G2458">
        <v>2479</v>
      </c>
      <c r="H2458">
        <v>0.5</v>
      </c>
      <c r="I2458" t="s">
        <v>3892</v>
      </c>
      <c r="J2458" t="s">
        <v>3469</v>
      </c>
      <c r="K2458" t="s">
        <v>3742</v>
      </c>
      <c r="L2458">
        <v>0</v>
      </c>
      <c r="M2458" s="453">
        <v>45826</v>
      </c>
      <c r="N2458">
        <v>37</v>
      </c>
      <c r="O2458">
        <v>30</v>
      </c>
      <c r="P2458">
        <v>18.5</v>
      </c>
    </row>
    <row r="2459" spans="1:16" x14ac:dyDescent="0.3">
      <c r="A2459">
        <v>45792</v>
      </c>
      <c r="B2459">
        <v>116</v>
      </c>
      <c r="C2459" t="s">
        <v>568</v>
      </c>
      <c r="D2459" s="453">
        <v>45870</v>
      </c>
      <c r="E2459">
        <v>19494</v>
      </c>
      <c r="F2459" t="s">
        <v>4126</v>
      </c>
      <c r="G2459">
        <v>2716</v>
      </c>
      <c r="H2459">
        <v>2</v>
      </c>
      <c r="I2459" t="s">
        <v>3892</v>
      </c>
      <c r="J2459" t="s">
        <v>3469</v>
      </c>
      <c r="K2459" t="s">
        <v>3742</v>
      </c>
      <c r="L2459">
        <v>8.6999999999999993</v>
      </c>
      <c r="M2459" s="453">
        <v>45869</v>
      </c>
      <c r="N2459">
        <v>8</v>
      </c>
      <c r="O2459">
        <v>8</v>
      </c>
      <c r="P2459">
        <v>17.399999999999999</v>
      </c>
    </row>
    <row r="2460" spans="1:16" x14ac:dyDescent="0.3">
      <c r="A2460">
        <v>45848</v>
      </c>
      <c r="B2460">
        <v>116</v>
      </c>
      <c r="C2460" t="s">
        <v>568</v>
      </c>
      <c r="D2460" s="453">
        <v>45870</v>
      </c>
      <c r="E2460">
        <v>19576</v>
      </c>
      <c r="F2460" t="s">
        <v>4021</v>
      </c>
      <c r="G2460">
        <v>2642</v>
      </c>
      <c r="H2460">
        <v>1</v>
      </c>
      <c r="I2460" t="s">
        <v>3892</v>
      </c>
      <c r="J2460" t="s">
        <v>3469</v>
      </c>
      <c r="K2460" t="s">
        <v>3742</v>
      </c>
      <c r="L2460">
        <v>17</v>
      </c>
      <c r="M2460" s="453">
        <v>45859</v>
      </c>
      <c r="N2460">
        <v>17</v>
      </c>
      <c r="O2460">
        <v>17</v>
      </c>
      <c r="P2460">
        <v>17</v>
      </c>
    </row>
    <row r="2461" spans="1:16" x14ac:dyDescent="0.3">
      <c r="A2461">
        <v>45734</v>
      </c>
      <c r="B2461">
        <v>116</v>
      </c>
      <c r="C2461" t="s">
        <v>568</v>
      </c>
      <c r="D2461" s="453">
        <v>45870</v>
      </c>
      <c r="E2461">
        <v>27079</v>
      </c>
      <c r="F2461" t="s">
        <v>3891</v>
      </c>
      <c r="G2461">
        <v>2497</v>
      </c>
      <c r="H2461">
        <v>5</v>
      </c>
      <c r="I2461" t="s">
        <v>3892</v>
      </c>
      <c r="J2461" t="s">
        <v>3469</v>
      </c>
      <c r="K2461" t="s">
        <v>3742</v>
      </c>
      <c r="L2461">
        <v>0</v>
      </c>
      <c r="M2461" s="453">
        <v>45813</v>
      </c>
      <c r="N2461">
        <v>3.25</v>
      </c>
      <c r="O2461">
        <v>3.25</v>
      </c>
      <c r="P2461">
        <v>16.25</v>
      </c>
    </row>
    <row r="2462" spans="1:16" x14ac:dyDescent="0.3">
      <c r="A2462">
        <v>45853</v>
      </c>
      <c r="B2462">
        <v>116</v>
      </c>
      <c r="C2462" t="s">
        <v>568</v>
      </c>
      <c r="D2462" s="453">
        <v>45870</v>
      </c>
      <c r="E2462">
        <v>24484</v>
      </c>
      <c r="F2462" t="s">
        <v>4154</v>
      </c>
      <c r="G2462">
        <v>2684</v>
      </c>
      <c r="H2462">
        <v>1</v>
      </c>
      <c r="I2462" t="s">
        <v>3892</v>
      </c>
      <c r="J2462" t="s">
        <v>3469</v>
      </c>
      <c r="K2462" t="s">
        <v>3742</v>
      </c>
      <c r="L2462">
        <v>0</v>
      </c>
      <c r="M2462" s="453">
        <v>45813</v>
      </c>
      <c r="N2462">
        <v>16</v>
      </c>
      <c r="O2462">
        <v>16</v>
      </c>
      <c r="P2462">
        <v>16</v>
      </c>
    </row>
    <row r="2463" spans="1:16" x14ac:dyDescent="0.3">
      <c r="A2463">
        <v>45850</v>
      </c>
      <c r="B2463">
        <v>116</v>
      </c>
      <c r="C2463" t="s">
        <v>568</v>
      </c>
      <c r="D2463" s="453">
        <v>45870</v>
      </c>
      <c r="E2463">
        <v>19558</v>
      </c>
      <c r="F2463" t="s">
        <v>4183</v>
      </c>
      <c r="G2463">
        <v>2659</v>
      </c>
      <c r="H2463">
        <v>1</v>
      </c>
      <c r="I2463" t="s">
        <v>3892</v>
      </c>
      <c r="J2463" t="s">
        <v>3469</v>
      </c>
      <c r="K2463" t="s">
        <v>3742</v>
      </c>
      <c r="L2463">
        <v>15.38</v>
      </c>
      <c r="M2463" s="453">
        <v>45866</v>
      </c>
      <c r="N2463">
        <v>15</v>
      </c>
      <c r="O2463">
        <v>11.09</v>
      </c>
      <c r="P2463">
        <v>15.38</v>
      </c>
    </row>
    <row r="2464" spans="1:16" x14ac:dyDescent="0.3">
      <c r="A2464">
        <v>45878</v>
      </c>
      <c r="B2464">
        <v>116</v>
      </c>
      <c r="C2464" t="s">
        <v>568</v>
      </c>
      <c r="D2464" s="453">
        <v>45870</v>
      </c>
      <c r="E2464">
        <v>19475</v>
      </c>
      <c r="F2464" t="s">
        <v>4111</v>
      </c>
      <c r="G2464">
        <v>2730</v>
      </c>
      <c r="H2464">
        <v>0.3</v>
      </c>
      <c r="I2464" t="s">
        <v>3892</v>
      </c>
      <c r="J2464" t="s">
        <v>3469</v>
      </c>
      <c r="K2464" t="s">
        <v>3742</v>
      </c>
      <c r="L2464">
        <v>0</v>
      </c>
      <c r="M2464" s="453">
        <v>45831</v>
      </c>
      <c r="N2464">
        <v>50</v>
      </c>
      <c r="O2464">
        <v>50</v>
      </c>
      <c r="P2464">
        <v>15</v>
      </c>
    </row>
    <row r="2465" spans="1:16" x14ac:dyDescent="0.3">
      <c r="A2465">
        <v>45876</v>
      </c>
      <c r="B2465">
        <v>116</v>
      </c>
      <c r="C2465" t="s">
        <v>568</v>
      </c>
      <c r="D2465" s="453">
        <v>45870</v>
      </c>
      <c r="E2465">
        <v>19506</v>
      </c>
      <c r="F2465" t="s">
        <v>4112</v>
      </c>
      <c r="G2465">
        <v>2705</v>
      </c>
      <c r="H2465">
        <v>0.3</v>
      </c>
      <c r="I2465" t="s">
        <v>3892</v>
      </c>
      <c r="J2465" t="s">
        <v>3469</v>
      </c>
      <c r="K2465" t="s">
        <v>3742</v>
      </c>
      <c r="L2465">
        <v>48.69</v>
      </c>
      <c r="M2465" s="453">
        <v>45869</v>
      </c>
      <c r="N2465">
        <v>45</v>
      </c>
      <c r="O2465">
        <v>45</v>
      </c>
      <c r="P2465">
        <v>14.61</v>
      </c>
    </row>
    <row r="2466" spans="1:16" x14ac:dyDescent="0.3">
      <c r="A2466">
        <v>45830</v>
      </c>
      <c r="B2466">
        <v>116</v>
      </c>
      <c r="C2466" t="s">
        <v>568</v>
      </c>
      <c r="D2466" s="453">
        <v>45870</v>
      </c>
      <c r="E2466">
        <v>19936</v>
      </c>
      <c r="F2466" t="s">
        <v>4462</v>
      </c>
      <c r="G2466">
        <v>2367</v>
      </c>
      <c r="H2466">
        <v>1</v>
      </c>
      <c r="I2466" t="s">
        <v>3892</v>
      </c>
      <c r="J2466" t="s">
        <v>3469</v>
      </c>
      <c r="K2466" t="s">
        <v>3742</v>
      </c>
      <c r="L2466">
        <v>0</v>
      </c>
      <c r="M2466" s="453">
        <v>45782</v>
      </c>
      <c r="N2466">
        <v>13.28</v>
      </c>
      <c r="O2466">
        <v>17</v>
      </c>
      <c r="P2466">
        <v>13.28</v>
      </c>
    </row>
    <row r="2467" spans="1:16" x14ac:dyDescent="0.3">
      <c r="A2467">
        <v>45873</v>
      </c>
      <c r="B2467">
        <v>116</v>
      </c>
      <c r="C2467" t="s">
        <v>568</v>
      </c>
      <c r="D2467" s="453">
        <v>45870</v>
      </c>
      <c r="E2467">
        <v>24037</v>
      </c>
      <c r="F2467" t="s">
        <v>4104</v>
      </c>
      <c r="G2467">
        <v>2590</v>
      </c>
      <c r="H2467">
        <v>0.5</v>
      </c>
      <c r="I2467" t="s">
        <v>3892</v>
      </c>
      <c r="J2467" t="s">
        <v>3469</v>
      </c>
      <c r="K2467" t="s">
        <v>3742</v>
      </c>
      <c r="L2467">
        <v>26.04</v>
      </c>
      <c r="M2467" s="453">
        <v>45869</v>
      </c>
      <c r="N2467">
        <v>25</v>
      </c>
      <c r="O2467">
        <v>23.32</v>
      </c>
      <c r="P2467">
        <v>13.02</v>
      </c>
    </row>
    <row r="2468" spans="1:16" x14ac:dyDescent="0.3">
      <c r="A2468">
        <v>45770</v>
      </c>
      <c r="B2468">
        <v>116</v>
      </c>
      <c r="C2468" t="s">
        <v>568</v>
      </c>
      <c r="D2468" s="453">
        <v>45870</v>
      </c>
      <c r="E2468">
        <v>19623</v>
      </c>
      <c r="F2468" t="s">
        <v>3984</v>
      </c>
      <c r="G2468">
        <v>2611</v>
      </c>
      <c r="H2468">
        <v>3</v>
      </c>
      <c r="I2468" t="s">
        <v>3892</v>
      </c>
      <c r="J2468" t="s">
        <v>3469</v>
      </c>
      <c r="K2468" t="s">
        <v>3742</v>
      </c>
      <c r="L2468">
        <v>4.3099999999999996</v>
      </c>
      <c r="M2468" s="453">
        <v>45869</v>
      </c>
      <c r="N2468">
        <v>3.7</v>
      </c>
      <c r="O2468">
        <v>3.7</v>
      </c>
      <c r="P2468">
        <v>12.93</v>
      </c>
    </row>
    <row r="2469" spans="1:16" x14ac:dyDescent="0.3">
      <c r="A2469">
        <v>45810</v>
      </c>
      <c r="B2469">
        <v>116</v>
      </c>
      <c r="C2469" t="s">
        <v>568</v>
      </c>
      <c r="D2469" s="453">
        <v>45870</v>
      </c>
      <c r="E2469">
        <v>19468</v>
      </c>
      <c r="F2469" t="s">
        <v>4079</v>
      </c>
      <c r="G2469">
        <v>2736</v>
      </c>
      <c r="H2469">
        <v>1.5</v>
      </c>
      <c r="I2469" t="s">
        <v>3892</v>
      </c>
      <c r="J2469" t="s">
        <v>3469</v>
      </c>
      <c r="K2469" t="s">
        <v>3742</v>
      </c>
      <c r="L2469">
        <v>0</v>
      </c>
      <c r="M2469" s="453">
        <v>45831</v>
      </c>
      <c r="N2469">
        <v>8.5</v>
      </c>
      <c r="O2469">
        <v>5.56</v>
      </c>
      <c r="P2469">
        <v>12.75</v>
      </c>
    </row>
    <row r="2470" spans="1:16" x14ac:dyDescent="0.3">
      <c r="A2470">
        <v>45834</v>
      </c>
      <c r="B2470">
        <v>116</v>
      </c>
      <c r="C2470" t="s">
        <v>568</v>
      </c>
      <c r="D2470" s="453">
        <v>45870</v>
      </c>
      <c r="E2470">
        <v>25769</v>
      </c>
      <c r="F2470" t="s">
        <v>4013</v>
      </c>
      <c r="G2470">
        <v>6318</v>
      </c>
      <c r="H2470">
        <v>1</v>
      </c>
      <c r="I2470" t="s">
        <v>3892</v>
      </c>
      <c r="J2470" t="s">
        <v>3469</v>
      </c>
      <c r="K2470" t="s">
        <v>3742</v>
      </c>
      <c r="L2470">
        <v>0</v>
      </c>
      <c r="M2470" s="453">
        <v>45832</v>
      </c>
      <c r="N2470">
        <v>12.5</v>
      </c>
      <c r="O2470">
        <v>10.4</v>
      </c>
      <c r="P2470">
        <v>12.5</v>
      </c>
    </row>
    <row r="2471" spans="1:16" x14ac:dyDescent="0.3">
      <c r="A2471">
        <v>45875</v>
      </c>
      <c r="B2471">
        <v>116</v>
      </c>
      <c r="C2471" t="s">
        <v>568</v>
      </c>
      <c r="D2471" s="453">
        <v>45870</v>
      </c>
      <c r="E2471">
        <v>19710</v>
      </c>
      <c r="F2471" t="s">
        <v>4106</v>
      </c>
      <c r="G2471">
        <v>2540</v>
      </c>
      <c r="H2471">
        <v>0.5</v>
      </c>
      <c r="I2471" t="s">
        <v>3888</v>
      </c>
      <c r="J2471" t="s">
        <v>3469</v>
      </c>
      <c r="K2471" t="s">
        <v>3742</v>
      </c>
      <c r="L2471">
        <v>0</v>
      </c>
      <c r="M2471" s="453">
        <v>45783</v>
      </c>
      <c r="N2471">
        <v>23.9</v>
      </c>
      <c r="O2471">
        <v>23.75</v>
      </c>
      <c r="P2471">
        <v>11.95</v>
      </c>
    </row>
    <row r="2472" spans="1:16" x14ac:dyDescent="0.3">
      <c r="A2472">
        <v>45782</v>
      </c>
      <c r="B2472">
        <v>116</v>
      </c>
      <c r="C2472" t="s">
        <v>568</v>
      </c>
      <c r="D2472" s="453">
        <v>45870</v>
      </c>
      <c r="E2472">
        <v>20359</v>
      </c>
      <c r="F2472" t="s">
        <v>3917</v>
      </c>
      <c r="G2472">
        <v>2199</v>
      </c>
      <c r="H2472">
        <v>2.5</v>
      </c>
      <c r="I2472" t="s">
        <v>3872</v>
      </c>
      <c r="J2472" t="s">
        <v>3469</v>
      </c>
      <c r="K2472" t="s">
        <v>3742</v>
      </c>
      <c r="L2472">
        <v>4.76</v>
      </c>
      <c r="M2472" s="453">
        <v>45845</v>
      </c>
      <c r="N2472">
        <v>4.76</v>
      </c>
      <c r="O2472">
        <v>4.79</v>
      </c>
      <c r="P2472">
        <v>11.9</v>
      </c>
    </row>
    <row r="2473" spans="1:16" x14ac:dyDescent="0.3">
      <c r="A2473">
        <v>45826</v>
      </c>
      <c r="B2473">
        <v>116</v>
      </c>
      <c r="C2473" t="s">
        <v>568</v>
      </c>
      <c r="D2473" s="453">
        <v>45870</v>
      </c>
      <c r="E2473">
        <v>20410</v>
      </c>
      <c r="F2473" t="s">
        <v>4458</v>
      </c>
      <c r="G2473">
        <v>2190</v>
      </c>
      <c r="H2473">
        <v>1</v>
      </c>
      <c r="I2473" t="s">
        <v>3872</v>
      </c>
      <c r="J2473" t="s">
        <v>3469</v>
      </c>
      <c r="K2473" t="s">
        <v>3742</v>
      </c>
      <c r="L2473">
        <v>0</v>
      </c>
      <c r="M2473" s="453">
        <v>45811</v>
      </c>
      <c r="N2473">
        <v>11.85</v>
      </c>
      <c r="O2473">
        <v>12.81</v>
      </c>
      <c r="P2473">
        <v>11.85</v>
      </c>
    </row>
    <row r="2474" spans="1:16" x14ac:dyDescent="0.3">
      <c r="A2474">
        <v>45825</v>
      </c>
      <c r="B2474">
        <v>116</v>
      </c>
      <c r="C2474" t="s">
        <v>568</v>
      </c>
      <c r="D2474" s="453">
        <v>45870</v>
      </c>
      <c r="E2474">
        <v>24212</v>
      </c>
      <c r="F2474" t="s">
        <v>4056</v>
      </c>
      <c r="G2474">
        <v>2064</v>
      </c>
      <c r="H2474">
        <v>1</v>
      </c>
      <c r="I2474" t="s">
        <v>3892</v>
      </c>
      <c r="J2474" t="s">
        <v>3469</v>
      </c>
      <c r="K2474" t="s">
        <v>3742</v>
      </c>
      <c r="L2474">
        <v>11.5</v>
      </c>
      <c r="M2474" s="453">
        <v>45853</v>
      </c>
      <c r="N2474">
        <v>11.5</v>
      </c>
      <c r="O2474">
        <v>11.5</v>
      </c>
      <c r="P2474">
        <v>11.5</v>
      </c>
    </row>
    <row r="2475" spans="1:16" x14ac:dyDescent="0.3">
      <c r="A2475">
        <v>45791</v>
      </c>
      <c r="B2475">
        <v>116</v>
      </c>
      <c r="C2475" t="s">
        <v>568</v>
      </c>
      <c r="D2475" s="453">
        <v>45870</v>
      </c>
      <c r="E2475">
        <v>19634</v>
      </c>
      <c r="F2475" t="s">
        <v>4068</v>
      </c>
      <c r="G2475">
        <v>2602</v>
      </c>
      <c r="H2475">
        <v>2</v>
      </c>
      <c r="I2475" t="s">
        <v>3892</v>
      </c>
      <c r="J2475" t="s">
        <v>3469</v>
      </c>
      <c r="K2475" t="s">
        <v>3742</v>
      </c>
      <c r="L2475">
        <v>5.48</v>
      </c>
      <c r="M2475" s="453">
        <v>45862</v>
      </c>
      <c r="N2475">
        <v>4.9000000000000004</v>
      </c>
      <c r="O2475">
        <v>5.04</v>
      </c>
      <c r="P2475">
        <v>10.96</v>
      </c>
    </row>
    <row r="2476" spans="1:16" x14ac:dyDescent="0.3">
      <c r="A2476">
        <v>45846</v>
      </c>
      <c r="B2476">
        <v>116</v>
      </c>
      <c r="C2476" t="s">
        <v>568</v>
      </c>
      <c r="D2476" s="453">
        <v>45870</v>
      </c>
      <c r="E2476">
        <v>19742</v>
      </c>
      <c r="F2476" t="s">
        <v>4074</v>
      </c>
      <c r="G2476">
        <v>2511</v>
      </c>
      <c r="H2476">
        <v>1</v>
      </c>
      <c r="I2476" t="s">
        <v>3892</v>
      </c>
      <c r="J2476" t="s">
        <v>3469</v>
      </c>
      <c r="K2476" t="s">
        <v>3742</v>
      </c>
      <c r="L2476">
        <v>10.7</v>
      </c>
      <c r="M2476" s="453">
        <v>45862</v>
      </c>
      <c r="N2476">
        <v>7.6</v>
      </c>
      <c r="O2476">
        <v>7.6</v>
      </c>
      <c r="P2476">
        <v>10.7</v>
      </c>
    </row>
    <row r="2477" spans="1:16" x14ac:dyDescent="0.3">
      <c r="A2477">
        <v>45837</v>
      </c>
      <c r="B2477">
        <v>116</v>
      </c>
      <c r="C2477" t="s">
        <v>568</v>
      </c>
      <c r="D2477" s="453">
        <v>45870</v>
      </c>
      <c r="E2477">
        <v>19507</v>
      </c>
      <c r="F2477" t="s">
        <v>4328</v>
      </c>
      <c r="G2477">
        <v>2704</v>
      </c>
      <c r="H2477">
        <v>1</v>
      </c>
      <c r="I2477" t="s">
        <v>3892</v>
      </c>
      <c r="J2477" t="s">
        <v>3469</v>
      </c>
      <c r="K2477" t="s">
        <v>3742</v>
      </c>
      <c r="L2477">
        <v>10</v>
      </c>
      <c r="M2477" s="453">
        <v>45845</v>
      </c>
      <c r="N2477">
        <v>10</v>
      </c>
      <c r="O2477">
        <v>8.35</v>
      </c>
      <c r="P2477">
        <v>10</v>
      </c>
    </row>
    <row r="2478" spans="1:16" x14ac:dyDescent="0.3">
      <c r="A2478">
        <v>45838</v>
      </c>
      <c r="B2478">
        <v>116</v>
      </c>
      <c r="C2478" t="s">
        <v>568</v>
      </c>
      <c r="D2478" s="453">
        <v>45870</v>
      </c>
      <c r="E2478">
        <v>19498</v>
      </c>
      <c r="F2478" t="s">
        <v>4065</v>
      </c>
      <c r="G2478">
        <v>2712</v>
      </c>
      <c r="H2478">
        <v>1</v>
      </c>
      <c r="I2478" t="s">
        <v>3892</v>
      </c>
      <c r="J2478" t="s">
        <v>3469</v>
      </c>
      <c r="K2478" t="s">
        <v>3742</v>
      </c>
      <c r="L2478">
        <v>9.5</v>
      </c>
      <c r="M2478" s="453">
        <v>45866</v>
      </c>
      <c r="N2478">
        <v>10.5</v>
      </c>
      <c r="O2478">
        <v>9</v>
      </c>
      <c r="P2478">
        <v>9.5</v>
      </c>
    </row>
    <row r="2479" spans="1:16" x14ac:dyDescent="0.3">
      <c r="A2479">
        <v>45813</v>
      </c>
      <c r="B2479">
        <v>116</v>
      </c>
      <c r="C2479" t="s">
        <v>568</v>
      </c>
      <c r="D2479" s="453">
        <v>45870</v>
      </c>
      <c r="E2479">
        <v>19505</v>
      </c>
      <c r="F2479" t="s">
        <v>4101</v>
      </c>
      <c r="G2479">
        <v>2706</v>
      </c>
      <c r="H2479">
        <v>1.2</v>
      </c>
      <c r="I2479" t="s">
        <v>3892</v>
      </c>
      <c r="J2479" t="s">
        <v>3469</v>
      </c>
      <c r="K2479" t="s">
        <v>3742</v>
      </c>
      <c r="L2479">
        <v>7.77</v>
      </c>
      <c r="M2479" s="453">
        <v>45869</v>
      </c>
      <c r="N2479">
        <v>6.98</v>
      </c>
      <c r="O2479">
        <v>5.59</v>
      </c>
      <c r="P2479">
        <v>9.32</v>
      </c>
    </row>
    <row r="2480" spans="1:16" x14ac:dyDescent="0.3">
      <c r="A2480">
        <v>45845</v>
      </c>
      <c r="B2480">
        <v>116</v>
      </c>
      <c r="C2480" t="s">
        <v>568</v>
      </c>
      <c r="D2480" s="453">
        <v>45870</v>
      </c>
      <c r="E2480">
        <v>19689</v>
      </c>
      <c r="F2480" t="s">
        <v>4073</v>
      </c>
      <c r="G2480">
        <v>2551</v>
      </c>
      <c r="H2480">
        <v>1</v>
      </c>
      <c r="I2480" t="s">
        <v>3892</v>
      </c>
      <c r="J2480" t="s">
        <v>3469</v>
      </c>
      <c r="K2480" t="s">
        <v>3742</v>
      </c>
      <c r="L2480">
        <v>9</v>
      </c>
      <c r="M2480" s="453">
        <v>45845</v>
      </c>
      <c r="N2480">
        <v>9</v>
      </c>
      <c r="O2480">
        <v>5.04</v>
      </c>
      <c r="P2480">
        <v>9</v>
      </c>
    </row>
    <row r="2481" spans="1:16" x14ac:dyDescent="0.3">
      <c r="A2481">
        <v>45841</v>
      </c>
      <c r="B2481">
        <v>116</v>
      </c>
      <c r="C2481" t="s">
        <v>568</v>
      </c>
      <c r="D2481" s="453">
        <v>45870</v>
      </c>
      <c r="E2481">
        <v>24598</v>
      </c>
      <c r="F2481" t="s">
        <v>4166</v>
      </c>
      <c r="G2481">
        <v>2725</v>
      </c>
      <c r="H2481">
        <v>1</v>
      </c>
      <c r="I2481" t="s">
        <v>3892</v>
      </c>
      <c r="J2481" t="s">
        <v>3469</v>
      </c>
      <c r="K2481" t="s">
        <v>3742</v>
      </c>
      <c r="L2481">
        <v>8.8800000000000008</v>
      </c>
      <c r="M2481" s="453">
        <v>45869</v>
      </c>
      <c r="N2481">
        <v>8.5</v>
      </c>
      <c r="O2481">
        <v>8.5</v>
      </c>
      <c r="P2481">
        <v>8.8800000000000008</v>
      </c>
    </row>
    <row r="2482" spans="1:16" x14ac:dyDescent="0.3">
      <c r="A2482">
        <v>45877</v>
      </c>
      <c r="B2482">
        <v>116</v>
      </c>
      <c r="C2482" t="s">
        <v>568</v>
      </c>
      <c r="D2482" s="453">
        <v>45870</v>
      </c>
      <c r="E2482">
        <v>19617</v>
      </c>
      <c r="F2482" t="s">
        <v>4110</v>
      </c>
      <c r="G2482">
        <v>2617</v>
      </c>
      <c r="H2482">
        <v>0.3</v>
      </c>
      <c r="I2482" t="s">
        <v>3892</v>
      </c>
      <c r="J2482" t="s">
        <v>3469</v>
      </c>
      <c r="K2482" t="s">
        <v>3742</v>
      </c>
      <c r="L2482">
        <v>29.61</v>
      </c>
      <c r="M2482" s="453">
        <v>45866</v>
      </c>
      <c r="N2482">
        <v>31</v>
      </c>
      <c r="O2482">
        <v>30.07</v>
      </c>
      <c r="P2482">
        <v>8.8800000000000008</v>
      </c>
    </row>
    <row r="2483" spans="1:16" x14ac:dyDescent="0.3">
      <c r="A2483">
        <v>45818</v>
      </c>
      <c r="B2483">
        <v>116</v>
      </c>
      <c r="C2483" t="s">
        <v>568</v>
      </c>
      <c r="D2483" s="453">
        <v>45870</v>
      </c>
      <c r="E2483">
        <v>26257</v>
      </c>
      <c r="F2483" t="s">
        <v>4468</v>
      </c>
      <c r="G2483">
        <v>1963</v>
      </c>
      <c r="H2483">
        <v>1</v>
      </c>
      <c r="I2483" t="s">
        <v>3872</v>
      </c>
      <c r="J2483" t="s">
        <v>3469</v>
      </c>
      <c r="K2483" t="s">
        <v>3742</v>
      </c>
      <c r="L2483">
        <v>8.5</v>
      </c>
      <c r="M2483" s="453">
        <v>45866</v>
      </c>
      <c r="N2483">
        <v>8.5</v>
      </c>
      <c r="O2483">
        <v>8.5</v>
      </c>
      <c r="P2483">
        <v>8.5</v>
      </c>
    </row>
    <row r="2484" spans="1:16" x14ac:dyDescent="0.3">
      <c r="A2484">
        <v>45871</v>
      </c>
      <c r="B2484">
        <v>116</v>
      </c>
      <c r="C2484" t="s">
        <v>568</v>
      </c>
      <c r="D2484" s="453">
        <v>45870</v>
      </c>
      <c r="E2484">
        <v>19555</v>
      </c>
      <c r="F2484" t="s">
        <v>4109</v>
      </c>
      <c r="G2484">
        <v>2662</v>
      </c>
      <c r="H2484">
        <v>0.6</v>
      </c>
      <c r="I2484" t="s">
        <v>3892</v>
      </c>
      <c r="J2484" t="s">
        <v>3469</v>
      </c>
      <c r="K2484" t="s">
        <v>3742</v>
      </c>
      <c r="L2484">
        <v>14.04</v>
      </c>
      <c r="M2484" s="453">
        <v>45869</v>
      </c>
      <c r="N2484">
        <v>12.5</v>
      </c>
      <c r="O2484">
        <v>12.5</v>
      </c>
      <c r="P2484">
        <v>8.42</v>
      </c>
    </row>
    <row r="2485" spans="1:16" x14ac:dyDescent="0.3">
      <c r="A2485">
        <v>45816</v>
      </c>
      <c r="B2485">
        <v>116</v>
      </c>
      <c r="C2485" t="s">
        <v>568</v>
      </c>
      <c r="D2485" s="453">
        <v>45870</v>
      </c>
      <c r="E2485">
        <v>19647</v>
      </c>
      <c r="F2485" t="s">
        <v>4066</v>
      </c>
      <c r="G2485">
        <v>2591</v>
      </c>
      <c r="H2485">
        <v>1.1000000000000001</v>
      </c>
      <c r="I2485" t="s">
        <v>3892</v>
      </c>
      <c r="J2485" t="s">
        <v>3469</v>
      </c>
      <c r="K2485" t="s">
        <v>3742</v>
      </c>
      <c r="L2485">
        <v>7.6</v>
      </c>
      <c r="M2485" s="453">
        <v>45866</v>
      </c>
      <c r="N2485">
        <v>6.8</v>
      </c>
      <c r="O2485">
        <v>6.5</v>
      </c>
      <c r="P2485">
        <v>8.36</v>
      </c>
    </row>
    <row r="2486" spans="1:16" x14ac:dyDescent="0.3">
      <c r="A2486">
        <v>45831</v>
      </c>
      <c r="B2486">
        <v>116</v>
      </c>
      <c r="C2486" t="s">
        <v>568</v>
      </c>
      <c r="D2486" s="453">
        <v>45870</v>
      </c>
      <c r="E2486">
        <v>19935</v>
      </c>
      <c r="F2486" t="s">
        <v>4469</v>
      </c>
      <c r="G2486">
        <v>2368</v>
      </c>
      <c r="H2486">
        <v>1</v>
      </c>
      <c r="I2486" t="s">
        <v>3888</v>
      </c>
      <c r="J2486" t="s">
        <v>3469</v>
      </c>
      <c r="K2486" t="s">
        <v>3742</v>
      </c>
      <c r="L2486">
        <v>6.75</v>
      </c>
      <c r="M2486" s="453">
        <v>45839</v>
      </c>
      <c r="N2486">
        <v>6.75</v>
      </c>
      <c r="O2486">
        <v>6.75</v>
      </c>
      <c r="P2486">
        <v>6.75</v>
      </c>
    </row>
    <row r="2487" spans="1:16" x14ac:dyDescent="0.3">
      <c r="A2487">
        <v>45832</v>
      </c>
      <c r="B2487">
        <v>116</v>
      </c>
      <c r="C2487" t="s">
        <v>568</v>
      </c>
      <c r="D2487" s="453">
        <v>45870</v>
      </c>
      <c r="E2487">
        <v>19931</v>
      </c>
      <c r="F2487" t="s">
        <v>4470</v>
      </c>
      <c r="G2487">
        <v>2369</v>
      </c>
      <c r="H2487">
        <v>1</v>
      </c>
      <c r="I2487" t="s">
        <v>3888</v>
      </c>
      <c r="J2487" t="s">
        <v>3469</v>
      </c>
      <c r="K2487" t="s">
        <v>3742</v>
      </c>
      <c r="L2487">
        <v>6.75</v>
      </c>
      <c r="M2487" s="453">
        <v>45839</v>
      </c>
      <c r="N2487">
        <v>6.75</v>
      </c>
      <c r="O2487">
        <v>6.75</v>
      </c>
      <c r="P2487">
        <v>6.75</v>
      </c>
    </row>
    <row r="2488" spans="1:16" x14ac:dyDescent="0.3">
      <c r="A2488">
        <v>45852</v>
      </c>
      <c r="B2488">
        <v>116</v>
      </c>
      <c r="C2488" t="s">
        <v>568</v>
      </c>
      <c r="D2488" s="453">
        <v>45870</v>
      </c>
      <c r="E2488">
        <v>19465</v>
      </c>
      <c r="F2488" t="s">
        <v>4080</v>
      </c>
      <c r="G2488">
        <v>2737</v>
      </c>
      <c r="H2488">
        <v>1</v>
      </c>
      <c r="I2488" t="s">
        <v>3892</v>
      </c>
      <c r="J2488" t="s">
        <v>3469</v>
      </c>
      <c r="K2488" t="s">
        <v>3742</v>
      </c>
      <c r="L2488">
        <v>6.63</v>
      </c>
      <c r="M2488" s="453">
        <v>45862</v>
      </c>
      <c r="N2488">
        <v>6</v>
      </c>
      <c r="O2488">
        <v>6.32</v>
      </c>
      <c r="P2488">
        <v>6.63</v>
      </c>
    </row>
    <row r="2489" spans="1:16" x14ac:dyDescent="0.3">
      <c r="A2489">
        <v>45872</v>
      </c>
      <c r="B2489">
        <v>116</v>
      </c>
      <c r="C2489" t="s">
        <v>568</v>
      </c>
      <c r="D2489" s="453">
        <v>45870</v>
      </c>
      <c r="E2489">
        <v>25768</v>
      </c>
      <c r="F2489" t="s">
        <v>4012</v>
      </c>
      <c r="G2489">
        <v>6317</v>
      </c>
      <c r="H2489">
        <v>0.5</v>
      </c>
      <c r="I2489" t="s">
        <v>3892</v>
      </c>
      <c r="J2489" t="s">
        <v>3469</v>
      </c>
      <c r="K2489" t="s">
        <v>3742</v>
      </c>
      <c r="L2489">
        <v>0</v>
      </c>
      <c r="M2489" s="453">
        <v>45797</v>
      </c>
      <c r="N2489">
        <v>12.8</v>
      </c>
      <c r="O2489">
        <v>6.98</v>
      </c>
      <c r="P2489">
        <v>6.4</v>
      </c>
    </row>
    <row r="2490" spans="1:16" x14ac:dyDescent="0.3">
      <c r="A2490">
        <v>45870</v>
      </c>
      <c r="B2490">
        <v>116</v>
      </c>
      <c r="C2490" t="s">
        <v>568</v>
      </c>
      <c r="D2490" s="453">
        <v>45870</v>
      </c>
      <c r="E2490">
        <v>19607</v>
      </c>
      <c r="F2490" t="s">
        <v>4105</v>
      </c>
      <c r="G2490">
        <v>2623</v>
      </c>
      <c r="H2490">
        <v>0.8</v>
      </c>
      <c r="I2490" t="s">
        <v>3892</v>
      </c>
      <c r="J2490" t="s">
        <v>3469</v>
      </c>
      <c r="K2490" t="s">
        <v>3742</v>
      </c>
      <c r="L2490">
        <v>7.79</v>
      </c>
      <c r="M2490" s="453">
        <v>45859</v>
      </c>
      <c r="N2490">
        <v>7.15</v>
      </c>
      <c r="O2490">
        <v>7.99</v>
      </c>
      <c r="P2490">
        <v>6.23</v>
      </c>
    </row>
    <row r="2491" spans="1:16" x14ac:dyDescent="0.3">
      <c r="A2491">
        <v>45793</v>
      </c>
      <c r="B2491">
        <v>116</v>
      </c>
      <c r="C2491" t="s">
        <v>568</v>
      </c>
      <c r="D2491" s="453">
        <v>45870</v>
      </c>
      <c r="E2491">
        <v>19621</v>
      </c>
      <c r="F2491" t="s">
        <v>4125</v>
      </c>
      <c r="G2491">
        <v>2613</v>
      </c>
      <c r="H2491">
        <v>2</v>
      </c>
      <c r="I2491" t="s">
        <v>3892</v>
      </c>
      <c r="J2491" t="s">
        <v>3469</v>
      </c>
      <c r="K2491" t="s">
        <v>3742</v>
      </c>
      <c r="L2491">
        <v>1.9</v>
      </c>
      <c r="M2491" s="453">
        <v>45855</v>
      </c>
      <c r="N2491">
        <v>1.9</v>
      </c>
      <c r="O2491">
        <v>1.63</v>
      </c>
      <c r="P2491">
        <v>3.8</v>
      </c>
    </row>
    <row r="2492" spans="1:16" x14ac:dyDescent="0.3">
      <c r="A2492">
        <v>45843</v>
      </c>
      <c r="B2492">
        <v>116</v>
      </c>
      <c r="C2492" t="s">
        <v>568</v>
      </c>
      <c r="D2492" s="453">
        <v>45870</v>
      </c>
      <c r="E2492">
        <v>19752</v>
      </c>
      <c r="F2492" t="s">
        <v>4042</v>
      </c>
      <c r="G2492">
        <v>2501</v>
      </c>
      <c r="H2492">
        <v>1</v>
      </c>
      <c r="I2492" t="s">
        <v>3892</v>
      </c>
      <c r="J2492" t="s">
        <v>3469</v>
      </c>
      <c r="K2492" t="s">
        <v>3742</v>
      </c>
      <c r="L2492">
        <v>3.26</v>
      </c>
      <c r="M2492" s="453">
        <v>45869</v>
      </c>
      <c r="N2492">
        <v>3</v>
      </c>
      <c r="O2492">
        <v>4.07</v>
      </c>
      <c r="P2492">
        <v>3.26</v>
      </c>
    </row>
    <row r="2493" spans="1:16" x14ac:dyDescent="0.3">
      <c r="A2493">
        <v>45840</v>
      </c>
      <c r="B2493">
        <v>116</v>
      </c>
      <c r="C2493" t="s">
        <v>568</v>
      </c>
      <c r="D2493" s="453">
        <v>45870</v>
      </c>
      <c r="E2493">
        <v>19642</v>
      </c>
      <c r="F2493" t="s">
        <v>4067</v>
      </c>
      <c r="G2493">
        <v>2596</v>
      </c>
      <c r="H2493">
        <v>1</v>
      </c>
      <c r="I2493" t="s">
        <v>3892</v>
      </c>
      <c r="J2493" t="s">
        <v>3469</v>
      </c>
      <c r="K2493" t="s">
        <v>3742</v>
      </c>
      <c r="L2493">
        <v>2.81</v>
      </c>
      <c r="M2493" s="453">
        <v>45869</v>
      </c>
      <c r="N2493">
        <v>2.42</v>
      </c>
      <c r="O2493">
        <v>2.42</v>
      </c>
      <c r="P2493">
        <v>2.81</v>
      </c>
    </row>
    <row r="2494" spans="1:16" x14ac:dyDescent="0.3">
      <c r="A2494">
        <v>45879</v>
      </c>
      <c r="B2494">
        <v>116</v>
      </c>
      <c r="C2494" t="s">
        <v>568</v>
      </c>
      <c r="D2494" s="453">
        <v>45870</v>
      </c>
      <c r="E2494">
        <v>19488</v>
      </c>
      <c r="F2494" t="s">
        <v>4070</v>
      </c>
      <c r="G2494">
        <v>2720</v>
      </c>
      <c r="H2494">
        <v>0.2</v>
      </c>
      <c r="I2494" t="s">
        <v>3892</v>
      </c>
      <c r="J2494" t="s">
        <v>3469</v>
      </c>
      <c r="K2494" t="s">
        <v>3742</v>
      </c>
      <c r="L2494">
        <v>11.97</v>
      </c>
      <c r="M2494" s="453">
        <v>45862</v>
      </c>
      <c r="N2494">
        <v>9</v>
      </c>
      <c r="O2494">
        <v>8.67</v>
      </c>
      <c r="P2494">
        <v>2.39</v>
      </c>
    </row>
    <row r="2495" spans="1:16" x14ac:dyDescent="0.3">
      <c r="A2495">
        <v>45880</v>
      </c>
      <c r="B2495">
        <v>116</v>
      </c>
      <c r="C2495" t="s">
        <v>568</v>
      </c>
      <c r="D2495" s="453">
        <v>45870</v>
      </c>
      <c r="E2495">
        <v>19480</v>
      </c>
      <c r="F2495" t="s">
        <v>4113</v>
      </c>
      <c r="G2495">
        <v>2726</v>
      </c>
      <c r="H2495">
        <v>0.2</v>
      </c>
      <c r="I2495" t="s">
        <v>3892</v>
      </c>
      <c r="J2495" t="s">
        <v>3469</v>
      </c>
      <c r="K2495" t="s">
        <v>3742</v>
      </c>
      <c r="L2495">
        <v>10.5</v>
      </c>
      <c r="M2495" s="453">
        <v>45869</v>
      </c>
      <c r="N2495">
        <v>10.5</v>
      </c>
      <c r="O2495">
        <v>10.74</v>
      </c>
      <c r="P2495">
        <v>2.1</v>
      </c>
    </row>
    <row r="2496" spans="1:16" x14ac:dyDescent="0.3">
      <c r="A2496">
        <v>45851</v>
      </c>
      <c r="B2496">
        <v>116</v>
      </c>
      <c r="C2496" t="s">
        <v>568</v>
      </c>
      <c r="D2496" s="453">
        <v>45870</v>
      </c>
      <c r="E2496">
        <v>19553</v>
      </c>
      <c r="F2496" t="s">
        <v>4078</v>
      </c>
      <c r="G2496">
        <v>2663</v>
      </c>
      <c r="H2496">
        <v>1</v>
      </c>
      <c r="I2496" t="s">
        <v>3892</v>
      </c>
      <c r="J2496" t="s">
        <v>3469</v>
      </c>
      <c r="K2496" t="s">
        <v>3742</v>
      </c>
      <c r="L2496">
        <v>2.0099999999999998</v>
      </c>
      <c r="M2496" s="453">
        <v>45862</v>
      </c>
      <c r="N2496">
        <v>1.9</v>
      </c>
      <c r="O2496">
        <v>1.85</v>
      </c>
      <c r="P2496">
        <v>2.0099999999999998</v>
      </c>
    </row>
    <row r="2497" spans="1:16" x14ac:dyDescent="0.3">
      <c r="A2497">
        <v>45761</v>
      </c>
      <c r="B2497">
        <v>116</v>
      </c>
      <c r="C2497" t="s">
        <v>568</v>
      </c>
      <c r="D2497" s="453">
        <v>45870</v>
      </c>
      <c r="E2497">
        <v>25767</v>
      </c>
      <c r="F2497" t="s">
        <v>3976</v>
      </c>
      <c r="G2497">
        <v>6316</v>
      </c>
      <c r="H2497">
        <v>3</v>
      </c>
      <c r="I2497" t="s">
        <v>3892</v>
      </c>
      <c r="J2497" t="s">
        <v>3469</v>
      </c>
      <c r="K2497" t="s">
        <v>3742</v>
      </c>
      <c r="L2497">
        <v>0</v>
      </c>
      <c r="M2497" s="453">
        <v>45859</v>
      </c>
      <c r="N2497">
        <v>0</v>
      </c>
      <c r="O2497">
        <v>0</v>
      </c>
      <c r="P2497">
        <v>0</v>
      </c>
    </row>
    <row r="2498" spans="1:16" x14ac:dyDescent="0.3">
      <c r="A2498">
        <v>45796</v>
      </c>
      <c r="B2498">
        <v>116</v>
      </c>
      <c r="C2498" t="s">
        <v>568</v>
      </c>
      <c r="D2498" s="453">
        <v>45870</v>
      </c>
      <c r="E2498">
        <v>19566</v>
      </c>
      <c r="F2498" t="s">
        <v>3986</v>
      </c>
      <c r="G2498">
        <v>2651</v>
      </c>
      <c r="H2498">
        <v>2</v>
      </c>
      <c r="I2498" t="s">
        <v>3892</v>
      </c>
      <c r="J2498" t="s">
        <v>3469</v>
      </c>
      <c r="K2498" t="s">
        <v>3742</v>
      </c>
      <c r="L2498">
        <v>0</v>
      </c>
      <c r="M2498" s="453">
        <v>45859</v>
      </c>
      <c r="N2498">
        <v>0</v>
      </c>
      <c r="O2498">
        <v>0</v>
      </c>
      <c r="P2498">
        <v>0</v>
      </c>
    </row>
    <row r="2499" spans="1:16" x14ac:dyDescent="0.3">
      <c r="A2499">
        <v>40032</v>
      </c>
      <c r="B2499">
        <v>116</v>
      </c>
      <c r="C2499" t="s">
        <v>568</v>
      </c>
      <c r="D2499" s="453">
        <v>45839</v>
      </c>
      <c r="E2499">
        <v>18636</v>
      </c>
      <c r="F2499" t="s">
        <v>3921</v>
      </c>
      <c r="G2499">
        <v>3075</v>
      </c>
      <c r="H2499">
        <v>15.5</v>
      </c>
      <c r="I2499" t="s">
        <v>3922</v>
      </c>
      <c r="J2499" t="s">
        <v>3497</v>
      </c>
      <c r="K2499" t="s">
        <v>3745</v>
      </c>
      <c r="L2499">
        <v>446.16</v>
      </c>
      <c r="M2499" s="453">
        <v>45827</v>
      </c>
      <c r="N2499">
        <v>446.16</v>
      </c>
      <c r="O2499">
        <v>446.16</v>
      </c>
      <c r="P2499">
        <v>6915.48</v>
      </c>
    </row>
    <row r="2500" spans="1:16" x14ac:dyDescent="0.3">
      <c r="A2500">
        <v>40059</v>
      </c>
      <c r="B2500">
        <v>116</v>
      </c>
      <c r="C2500" t="s">
        <v>568</v>
      </c>
      <c r="D2500" s="453">
        <v>45839</v>
      </c>
      <c r="E2500">
        <v>18247</v>
      </c>
      <c r="F2500" t="s">
        <v>3877</v>
      </c>
      <c r="G2500">
        <v>3383</v>
      </c>
      <c r="H2500">
        <v>24.5</v>
      </c>
      <c r="I2500" t="s">
        <v>3878</v>
      </c>
      <c r="J2500" t="s">
        <v>3497</v>
      </c>
      <c r="K2500" t="s">
        <v>3745</v>
      </c>
      <c r="L2500">
        <v>0</v>
      </c>
      <c r="M2500" s="453">
        <v>-693593</v>
      </c>
      <c r="N2500">
        <v>0</v>
      </c>
      <c r="O2500">
        <v>0</v>
      </c>
      <c r="P2500">
        <v>1626.8</v>
      </c>
    </row>
    <row r="2501" spans="1:16" x14ac:dyDescent="0.3">
      <c r="A2501">
        <v>40030</v>
      </c>
      <c r="B2501">
        <v>116</v>
      </c>
      <c r="C2501" t="s">
        <v>568</v>
      </c>
      <c r="D2501" s="453">
        <v>45839</v>
      </c>
      <c r="E2501">
        <v>24140</v>
      </c>
      <c r="F2501" t="s">
        <v>3889</v>
      </c>
      <c r="G2501">
        <v>3100</v>
      </c>
      <c r="H2501">
        <v>18</v>
      </c>
      <c r="I2501" t="s">
        <v>3872</v>
      </c>
      <c r="J2501" t="s">
        <v>3497</v>
      </c>
      <c r="K2501" t="s">
        <v>3745</v>
      </c>
      <c r="L2501">
        <v>0</v>
      </c>
      <c r="M2501" s="453">
        <v>45699</v>
      </c>
      <c r="N2501">
        <v>77.959999999999994</v>
      </c>
      <c r="O2501">
        <v>0</v>
      </c>
      <c r="P2501">
        <v>1403.28</v>
      </c>
    </row>
    <row r="2502" spans="1:16" x14ac:dyDescent="0.3">
      <c r="A2502">
        <v>39907</v>
      </c>
      <c r="B2502">
        <v>116</v>
      </c>
      <c r="C2502" t="s">
        <v>568</v>
      </c>
      <c r="D2502" s="453">
        <v>45839</v>
      </c>
      <c r="E2502">
        <v>20539</v>
      </c>
      <c r="F2502" t="s">
        <v>3908</v>
      </c>
      <c r="G2502">
        <v>2145</v>
      </c>
      <c r="H2502">
        <v>31.3</v>
      </c>
      <c r="I2502" t="s">
        <v>3892</v>
      </c>
      <c r="J2502" t="s">
        <v>3469</v>
      </c>
      <c r="K2502" t="s">
        <v>3745</v>
      </c>
      <c r="L2502">
        <v>40.4</v>
      </c>
      <c r="M2502" s="453">
        <v>45818</v>
      </c>
      <c r="N2502">
        <v>40.4</v>
      </c>
      <c r="O2502">
        <v>40.4</v>
      </c>
      <c r="P2502">
        <v>1264.52</v>
      </c>
    </row>
    <row r="2503" spans="1:16" x14ac:dyDescent="0.3">
      <c r="A2503">
        <v>40015</v>
      </c>
      <c r="B2503">
        <v>116</v>
      </c>
      <c r="C2503" t="s">
        <v>568</v>
      </c>
      <c r="D2503" s="453">
        <v>45839</v>
      </c>
      <c r="E2503">
        <v>18764</v>
      </c>
      <c r="F2503" t="s">
        <v>3907</v>
      </c>
      <c r="G2503">
        <v>3001</v>
      </c>
      <c r="H2503">
        <v>11.2</v>
      </c>
      <c r="I2503" t="s">
        <v>3892</v>
      </c>
      <c r="J2503" t="s">
        <v>3469</v>
      </c>
      <c r="K2503" t="s">
        <v>3745</v>
      </c>
      <c r="L2503">
        <v>0</v>
      </c>
      <c r="M2503" s="453">
        <v>45804</v>
      </c>
      <c r="N2503">
        <v>108</v>
      </c>
      <c r="O2503">
        <v>100</v>
      </c>
      <c r="P2503">
        <v>1209.5999999999999</v>
      </c>
    </row>
    <row r="2504" spans="1:16" x14ac:dyDescent="0.3">
      <c r="A2504">
        <v>39873</v>
      </c>
      <c r="B2504">
        <v>116</v>
      </c>
      <c r="C2504" t="s">
        <v>568</v>
      </c>
      <c r="D2504" s="453">
        <v>45839</v>
      </c>
      <c r="E2504">
        <v>23982</v>
      </c>
      <c r="F2504" t="s">
        <v>3977</v>
      </c>
      <c r="G2504">
        <v>1999</v>
      </c>
      <c r="H2504">
        <v>4.5</v>
      </c>
      <c r="I2504" t="s">
        <v>3978</v>
      </c>
      <c r="J2504" t="s">
        <v>3469</v>
      </c>
      <c r="K2504" t="s">
        <v>3745</v>
      </c>
      <c r="L2504">
        <v>200</v>
      </c>
      <c r="M2504" s="453">
        <v>45817</v>
      </c>
      <c r="N2504">
        <v>200</v>
      </c>
      <c r="O2504">
        <v>268.82</v>
      </c>
      <c r="P2504">
        <v>900</v>
      </c>
    </row>
    <row r="2505" spans="1:16" x14ac:dyDescent="0.3">
      <c r="A2505">
        <v>40031</v>
      </c>
      <c r="B2505">
        <v>116</v>
      </c>
      <c r="C2505" t="s">
        <v>568</v>
      </c>
      <c r="D2505" s="453">
        <v>45839</v>
      </c>
      <c r="E2505">
        <v>18640</v>
      </c>
      <c r="F2505" t="s">
        <v>3994</v>
      </c>
      <c r="G2505">
        <v>3074</v>
      </c>
      <c r="H2505">
        <v>3</v>
      </c>
      <c r="I2505" t="s">
        <v>3922</v>
      </c>
      <c r="J2505" t="s">
        <v>3497</v>
      </c>
      <c r="K2505" t="s">
        <v>3745</v>
      </c>
      <c r="L2505">
        <v>276.43</v>
      </c>
      <c r="M2505" s="453">
        <v>45824</v>
      </c>
      <c r="N2505">
        <v>276.43</v>
      </c>
      <c r="O2505">
        <v>276.43</v>
      </c>
      <c r="P2505">
        <v>829.29</v>
      </c>
    </row>
    <row r="2506" spans="1:16" x14ac:dyDescent="0.3">
      <c r="A2506">
        <v>40003</v>
      </c>
      <c r="B2506">
        <v>116</v>
      </c>
      <c r="C2506" t="s">
        <v>568</v>
      </c>
      <c r="D2506" s="453">
        <v>45839</v>
      </c>
      <c r="E2506">
        <v>19297</v>
      </c>
      <c r="F2506" t="s">
        <v>3949</v>
      </c>
      <c r="G2506">
        <v>2775</v>
      </c>
      <c r="H2506">
        <v>10.5</v>
      </c>
      <c r="I2506" t="s">
        <v>3892</v>
      </c>
      <c r="J2506" t="s">
        <v>3469</v>
      </c>
      <c r="K2506" t="s">
        <v>3745</v>
      </c>
      <c r="L2506">
        <v>75.33</v>
      </c>
      <c r="M2506" s="453">
        <v>45824</v>
      </c>
      <c r="N2506">
        <v>75.31</v>
      </c>
      <c r="O2506">
        <v>71.900000000000006</v>
      </c>
      <c r="P2506">
        <v>790.96</v>
      </c>
    </row>
    <row r="2507" spans="1:16" x14ac:dyDescent="0.3">
      <c r="A2507">
        <v>40043</v>
      </c>
      <c r="B2507">
        <v>116</v>
      </c>
      <c r="C2507" t="s">
        <v>568</v>
      </c>
      <c r="D2507" s="453">
        <v>45839</v>
      </c>
      <c r="E2507">
        <v>18475</v>
      </c>
      <c r="F2507" t="s">
        <v>3918</v>
      </c>
      <c r="G2507">
        <v>3181</v>
      </c>
      <c r="H2507">
        <v>24</v>
      </c>
      <c r="I2507" t="s">
        <v>3878</v>
      </c>
      <c r="J2507" t="s">
        <v>3497</v>
      </c>
      <c r="K2507" t="s">
        <v>3745</v>
      </c>
      <c r="L2507">
        <v>32.9</v>
      </c>
      <c r="M2507" s="453">
        <v>45825</v>
      </c>
      <c r="N2507">
        <v>32.9</v>
      </c>
      <c r="O2507">
        <v>32.9</v>
      </c>
      <c r="P2507">
        <v>789.6</v>
      </c>
    </row>
    <row r="2508" spans="1:16" x14ac:dyDescent="0.3">
      <c r="A2508">
        <v>40074</v>
      </c>
      <c r="B2508">
        <v>116</v>
      </c>
      <c r="C2508" t="s">
        <v>568</v>
      </c>
      <c r="D2508" s="453">
        <v>45839</v>
      </c>
      <c r="E2508">
        <v>16973</v>
      </c>
      <c r="F2508" t="s">
        <v>4455</v>
      </c>
      <c r="G2508">
        <v>3710</v>
      </c>
      <c r="H2508">
        <v>5.5</v>
      </c>
      <c r="I2508" t="s">
        <v>3881</v>
      </c>
      <c r="J2508" t="s">
        <v>3497</v>
      </c>
      <c r="K2508" t="s">
        <v>3745</v>
      </c>
      <c r="L2508">
        <v>135</v>
      </c>
      <c r="M2508" s="453">
        <v>45818</v>
      </c>
      <c r="N2508">
        <v>135</v>
      </c>
      <c r="O2508">
        <v>135</v>
      </c>
      <c r="P2508">
        <v>742.5</v>
      </c>
    </row>
    <row r="2509" spans="1:16" x14ac:dyDescent="0.3">
      <c r="A2509">
        <v>39929</v>
      </c>
      <c r="B2509">
        <v>116</v>
      </c>
      <c r="C2509" t="s">
        <v>568</v>
      </c>
      <c r="D2509" s="453">
        <v>45839</v>
      </c>
      <c r="E2509">
        <v>20621</v>
      </c>
      <c r="F2509" t="s">
        <v>3885</v>
      </c>
      <c r="G2509">
        <v>2117</v>
      </c>
      <c r="H2509">
        <v>28</v>
      </c>
      <c r="I2509" t="s">
        <v>3886</v>
      </c>
      <c r="J2509" t="s">
        <v>3469</v>
      </c>
      <c r="K2509" t="s">
        <v>3745</v>
      </c>
      <c r="L2509">
        <v>0</v>
      </c>
      <c r="M2509" s="453">
        <v>45776</v>
      </c>
      <c r="N2509">
        <v>25.8</v>
      </c>
      <c r="O2509">
        <v>23.32</v>
      </c>
      <c r="P2509">
        <v>722.4</v>
      </c>
    </row>
    <row r="2510" spans="1:16" x14ac:dyDescent="0.3">
      <c r="A2510">
        <v>40008</v>
      </c>
      <c r="B2510">
        <v>116</v>
      </c>
      <c r="C2510" t="s">
        <v>568</v>
      </c>
      <c r="D2510" s="453">
        <v>45839</v>
      </c>
      <c r="E2510">
        <v>24072</v>
      </c>
      <c r="F2510" t="s">
        <v>4002</v>
      </c>
      <c r="G2510">
        <v>2982</v>
      </c>
      <c r="H2510">
        <v>3.6</v>
      </c>
      <c r="I2510" t="s">
        <v>3892</v>
      </c>
      <c r="J2510" t="s">
        <v>3469</v>
      </c>
      <c r="K2510" t="s">
        <v>3745</v>
      </c>
      <c r="L2510">
        <v>199</v>
      </c>
      <c r="M2510" s="453">
        <v>45818</v>
      </c>
      <c r="N2510">
        <v>199</v>
      </c>
      <c r="O2510">
        <v>199</v>
      </c>
      <c r="P2510">
        <v>716.4</v>
      </c>
    </row>
    <row r="2511" spans="1:16" x14ac:dyDescent="0.3">
      <c r="A2511">
        <v>40040</v>
      </c>
      <c r="B2511">
        <v>116</v>
      </c>
      <c r="C2511" t="s">
        <v>568</v>
      </c>
      <c r="D2511" s="453">
        <v>45839</v>
      </c>
      <c r="E2511">
        <v>22515</v>
      </c>
      <c r="F2511" t="s">
        <v>3883</v>
      </c>
      <c r="G2511">
        <v>3202</v>
      </c>
      <c r="H2511">
        <v>17.600000000000001</v>
      </c>
      <c r="I2511" t="s">
        <v>3884</v>
      </c>
      <c r="J2511" t="s">
        <v>3497</v>
      </c>
      <c r="K2511" t="s">
        <v>3745</v>
      </c>
      <c r="L2511">
        <v>0</v>
      </c>
      <c r="M2511" s="453">
        <v>45671</v>
      </c>
      <c r="N2511">
        <v>38</v>
      </c>
      <c r="O2511">
        <v>38</v>
      </c>
      <c r="P2511">
        <v>668.8</v>
      </c>
    </row>
    <row r="2512" spans="1:16" x14ac:dyDescent="0.3">
      <c r="A2512">
        <v>40006</v>
      </c>
      <c r="B2512">
        <v>116</v>
      </c>
      <c r="C2512" t="s">
        <v>568</v>
      </c>
      <c r="D2512" s="453">
        <v>45839</v>
      </c>
      <c r="E2512">
        <v>19139</v>
      </c>
      <c r="F2512" t="s">
        <v>3887</v>
      </c>
      <c r="G2512">
        <v>2836</v>
      </c>
      <c r="H2512">
        <v>69</v>
      </c>
      <c r="I2512" t="s">
        <v>3888</v>
      </c>
      <c r="J2512" t="s">
        <v>3469</v>
      </c>
      <c r="K2512" t="s">
        <v>3745</v>
      </c>
      <c r="L2512">
        <v>9.1</v>
      </c>
      <c r="M2512" s="453">
        <v>45826</v>
      </c>
      <c r="N2512">
        <v>9.1</v>
      </c>
      <c r="O2512">
        <v>9.1</v>
      </c>
      <c r="P2512">
        <v>627.9</v>
      </c>
    </row>
    <row r="2513" spans="1:16" x14ac:dyDescent="0.3">
      <c r="A2513">
        <v>40007</v>
      </c>
      <c r="B2513">
        <v>116</v>
      </c>
      <c r="C2513" t="s">
        <v>568</v>
      </c>
      <c r="D2513" s="453">
        <v>45839</v>
      </c>
      <c r="E2513">
        <v>22734</v>
      </c>
      <c r="F2513" t="s">
        <v>3955</v>
      </c>
      <c r="G2513">
        <v>3024</v>
      </c>
      <c r="H2513">
        <v>7.5</v>
      </c>
      <c r="I2513" t="s">
        <v>3892</v>
      </c>
      <c r="J2513" t="s">
        <v>3469</v>
      </c>
      <c r="K2513" t="s">
        <v>3745</v>
      </c>
      <c r="L2513">
        <v>78</v>
      </c>
      <c r="M2513" s="453">
        <v>45818</v>
      </c>
      <c r="N2513">
        <v>78</v>
      </c>
      <c r="O2513">
        <v>78</v>
      </c>
      <c r="P2513">
        <v>585</v>
      </c>
    </row>
    <row r="2514" spans="1:16" x14ac:dyDescent="0.3">
      <c r="A2514">
        <v>40095</v>
      </c>
      <c r="B2514">
        <v>116</v>
      </c>
      <c r="C2514" t="s">
        <v>568</v>
      </c>
      <c r="D2514" s="453">
        <v>45839</v>
      </c>
      <c r="E2514">
        <v>17710</v>
      </c>
      <c r="F2514" t="s">
        <v>3905</v>
      </c>
      <c r="G2514">
        <v>3824</v>
      </c>
      <c r="H2514">
        <v>14</v>
      </c>
      <c r="I2514" t="s">
        <v>3878</v>
      </c>
      <c r="J2514" t="s">
        <v>3497</v>
      </c>
      <c r="K2514" t="s">
        <v>3745</v>
      </c>
      <c r="L2514">
        <v>0</v>
      </c>
      <c r="M2514" s="453">
        <v>-693593</v>
      </c>
      <c r="N2514">
        <v>0</v>
      </c>
      <c r="O2514">
        <v>37.700000000000003</v>
      </c>
      <c r="P2514">
        <v>562.1</v>
      </c>
    </row>
    <row r="2515" spans="1:16" x14ac:dyDescent="0.3">
      <c r="A2515">
        <v>39872</v>
      </c>
      <c r="B2515">
        <v>116</v>
      </c>
      <c r="C2515" t="s">
        <v>568</v>
      </c>
      <c r="D2515" s="453">
        <v>45839</v>
      </c>
      <c r="E2515">
        <v>21030</v>
      </c>
      <c r="F2515" t="s">
        <v>3890</v>
      </c>
      <c r="G2515">
        <v>2001</v>
      </c>
      <c r="H2515">
        <v>22</v>
      </c>
      <c r="I2515" t="s">
        <v>3872</v>
      </c>
      <c r="J2515" t="s">
        <v>3469</v>
      </c>
      <c r="K2515" t="s">
        <v>3745</v>
      </c>
      <c r="L2515">
        <v>24.99</v>
      </c>
      <c r="M2515" s="453">
        <v>45817</v>
      </c>
      <c r="N2515">
        <v>24.99</v>
      </c>
      <c r="O2515">
        <v>28.4</v>
      </c>
      <c r="P2515">
        <v>549.78</v>
      </c>
    </row>
    <row r="2516" spans="1:16" x14ac:dyDescent="0.3">
      <c r="A2516">
        <v>39887</v>
      </c>
      <c r="B2516">
        <v>116</v>
      </c>
      <c r="C2516" t="s">
        <v>568</v>
      </c>
      <c r="D2516" s="453">
        <v>45839</v>
      </c>
      <c r="E2516">
        <v>20555</v>
      </c>
      <c r="F2516" t="s">
        <v>3959</v>
      </c>
      <c r="G2516">
        <v>2139</v>
      </c>
      <c r="H2516">
        <v>6.7</v>
      </c>
      <c r="I2516" t="s">
        <v>3892</v>
      </c>
      <c r="J2516" t="s">
        <v>3469</v>
      </c>
      <c r="K2516" t="s">
        <v>3745</v>
      </c>
      <c r="L2516">
        <v>79</v>
      </c>
      <c r="M2516" s="453">
        <v>45818</v>
      </c>
      <c r="N2516">
        <v>79</v>
      </c>
      <c r="O2516">
        <v>79</v>
      </c>
      <c r="P2516">
        <v>529.29999999999995</v>
      </c>
    </row>
    <row r="2517" spans="1:16" x14ac:dyDescent="0.3">
      <c r="A2517">
        <v>39884</v>
      </c>
      <c r="B2517">
        <v>116</v>
      </c>
      <c r="C2517" t="s">
        <v>568</v>
      </c>
      <c r="D2517" s="453">
        <v>45839</v>
      </c>
      <c r="E2517">
        <v>20703</v>
      </c>
      <c r="F2517" t="s">
        <v>3893</v>
      </c>
      <c r="G2517">
        <v>2100</v>
      </c>
      <c r="H2517">
        <v>39</v>
      </c>
      <c r="I2517" t="s">
        <v>3886</v>
      </c>
      <c r="J2517" t="s">
        <v>3469</v>
      </c>
      <c r="K2517" t="s">
        <v>3745</v>
      </c>
      <c r="L2517">
        <v>0</v>
      </c>
      <c r="M2517" s="453">
        <v>45714</v>
      </c>
      <c r="N2517">
        <v>12.8</v>
      </c>
      <c r="O2517">
        <v>13.86</v>
      </c>
      <c r="P2517">
        <v>499.2</v>
      </c>
    </row>
    <row r="2518" spans="1:16" x14ac:dyDescent="0.3">
      <c r="A2518">
        <v>40025</v>
      </c>
      <c r="B2518">
        <v>116</v>
      </c>
      <c r="C2518" t="s">
        <v>568</v>
      </c>
      <c r="D2518" s="453">
        <v>45839</v>
      </c>
      <c r="E2518">
        <v>18832</v>
      </c>
      <c r="F2518" t="s">
        <v>3900</v>
      </c>
      <c r="G2518">
        <v>2950</v>
      </c>
      <c r="H2518">
        <v>10.5</v>
      </c>
      <c r="I2518" t="s">
        <v>3892</v>
      </c>
      <c r="J2518" t="s">
        <v>3469</v>
      </c>
      <c r="K2518" t="s">
        <v>3745</v>
      </c>
      <c r="L2518">
        <v>37.630000000000003</v>
      </c>
      <c r="M2518" s="453">
        <v>45824</v>
      </c>
      <c r="N2518">
        <v>37.9</v>
      </c>
      <c r="O2518">
        <v>36.9</v>
      </c>
      <c r="P2518">
        <v>395.12</v>
      </c>
    </row>
    <row r="2519" spans="1:16" x14ac:dyDescent="0.3">
      <c r="A2519">
        <v>40016</v>
      </c>
      <c r="B2519">
        <v>116</v>
      </c>
      <c r="C2519" t="s">
        <v>568</v>
      </c>
      <c r="D2519" s="453">
        <v>45839</v>
      </c>
      <c r="E2519">
        <v>24259</v>
      </c>
      <c r="F2519" t="s">
        <v>3895</v>
      </c>
      <c r="G2519">
        <v>2938</v>
      </c>
      <c r="H2519">
        <v>5.7</v>
      </c>
      <c r="I2519" t="s">
        <v>3892</v>
      </c>
      <c r="J2519" t="s">
        <v>3469</v>
      </c>
      <c r="K2519" t="s">
        <v>3745</v>
      </c>
      <c r="L2519">
        <v>68.27</v>
      </c>
      <c r="M2519" s="453">
        <v>45824</v>
      </c>
      <c r="N2519">
        <v>68.2</v>
      </c>
      <c r="O2519">
        <v>0</v>
      </c>
      <c r="P2519">
        <v>389.14</v>
      </c>
    </row>
    <row r="2520" spans="1:16" x14ac:dyDescent="0.3">
      <c r="A2520">
        <v>40041</v>
      </c>
      <c r="B2520">
        <v>116</v>
      </c>
      <c r="C2520" t="s">
        <v>568</v>
      </c>
      <c r="D2520" s="453">
        <v>45839</v>
      </c>
      <c r="E2520">
        <v>18493</v>
      </c>
      <c r="F2520" t="s">
        <v>3958</v>
      </c>
      <c r="G2520">
        <v>3164</v>
      </c>
      <c r="H2520">
        <v>5.5</v>
      </c>
      <c r="I2520" t="s">
        <v>3878</v>
      </c>
      <c r="J2520" t="s">
        <v>3497</v>
      </c>
      <c r="K2520" t="s">
        <v>3745</v>
      </c>
      <c r="L2520">
        <v>0</v>
      </c>
      <c r="M2520" s="453">
        <v>45797</v>
      </c>
      <c r="N2520">
        <v>69.900000000000006</v>
      </c>
      <c r="O2520">
        <v>69.900000000000006</v>
      </c>
      <c r="P2520">
        <v>384.45</v>
      </c>
    </row>
    <row r="2521" spans="1:16" x14ac:dyDescent="0.3">
      <c r="A2521">
        <v>39875</v>
      </c>
      <c r="B2521">
        <v>116</v>
      </c>
      <c r="C2521" t="s">
        <v>568</v>
      </c>
      <c r="D2521" s="453">
        <v>45839</v>
      </c>
      <c r="E2521">
        <v>20752</v>
      </c>
      <c r="F2521" t="s">
        <v>3964</v>
      </c>
      <c r="G2521">
        <v>2088</v>
      </c>
      <c r="H2521">
        <v>3.5</v>
      </c>
      <c r="I2521" t="s">
        <v>3886</v>
      </c>
      <c r="J2521" t="s">
        <v>3469</v>
      </c>
      <c r="K2521" t="s">
        <v>3745</v>
      </c>
      <c r="L2521">
        <v>109.19</v>
      </c>
      <c r="M2521" s="453">
        <v>45824</v>
      </c>
      <c r="N2521">
        <v>109.39</v>
      </c>
      <c r="O2521">
        <v>122.4</v>
      </c>
      <c r="P2521">
        <v>382.16</v>
      </c>
    </row>
    <row r="2522" spans="1:16" x14ac:dyDescent="0.3">
      <c r="A2522">
        <v>40002</v>
      </c>
      <c r="B2522">
        <v>116</v>
      </c>
      <c r="C2522" t="s">
        <v>568</v>
      </c>
      <c r="D2522" s="453">
        <v>45839</v>
      </c>
      <c r="E2522">
        <v>19324</v>
      </c>
      <c r="F2522" t="s">
        <v>3937</v>
      </c>
      <c r="G2522">
        <v>2773</v>
      </c>
      <c r="H2522">
        <v>8.6999999999999993</v>
      </c>
      <c r="I2522" t="s">
        <v>3892</v>
      </c>
      <c r="J2522" t="s">
        <v>3469</v>
      </c>
      <c r="K2522" t="s">
        <v>3745</v>
      </c>
      <c r="L2522">
        <v>41.22</v>
      </c>
      <c r="M2522" s="453">
        <v>45824</v>
      </c>
      <c r="N2522">
        <v>40.82</v>
      </c>
      <c r="O2522">
        <v>37.54</v>
      </c>
      <c r="P2522">
        <v>358.61</v>
      </c>
    </row>
    <row r="2523" spans="1:16" x14ac:dyDescent="0.3">
      <c r="A2523">
        <v>39922</v>
      </c>
      <c r="B2523">
        <v>116</v>
      </c>
      <c r="C2523" t="s">
        <v>568</v>
      </c>
      <c r="D2523" s="453">
        <v>45839</v>
      </c>
      <c r="E2523">
        <v>19967</v>
      </c>
      <c r="F2523" t="s">
        <v>3930</v>
      </c>
      <c r="G2523">
        <v>2356</v>
      </c>
      <c r="H2523">
        <v>8</v>
      </c>
      <c r="I2523" t="s">
        <v>3931</v>
      </c>
      <c r="J2523" t="s">
        <v>3469</v>
      </c>
      <c r="K2523" t="s">
        <v>3745</v>
      </c>
      <c r="L2523">
        <v>0</v>
      </c>
      <c r="M2523" s="453">
        <v>45805</v>
      </c>
      <c r="N2523">
        <v>0</v>
      </c>
      <c r="O2523">
        <v>46.2</v>
      </c>
      <c r="P2523">
        <v>341.12</v>
      </c>
    </row>
    <row r="2524" spans="1:16" x14ac:dyDescent="0.3">
      <c r="A2524">
        <v>39903</v>
      </c>
      <c r="B2524">
        <v>116</v>
      </c>
      <c r="C2524" t="s">
        <v>568</v>
      </c>
      <c r="D2524" s="453">
        <v>45839</v>
      </c>
      <c r="E2524">
        <v>21024</v>
      </c>
      <c r="F2524" t="s">
        <v>4180</v>
      </c>
      <c r="G2524">
        <v>2003</v>
      </c>
      <c r="H2524">
        <v>2</v>
      </c>
      <c r="I2524" t="s">
        <v>3966</v>
      </c>
      <c r="J2524" t="s">
        <v>3469</v>
      </c>
      <c r="K2524" t="s">
        <v>3745</v>
      </c>
      <c r="L2524">
        <v>166.42</v>
      </c>
      <c r="M2524" s="453">
        <v>45824</v>
      </c>
      <c r="N2524">
        <v>174.23</v>
      </c>
      <c r="O2524">
        <v>174.23</v>
      </c>
      <c r="P2524">
        <v>332.84</v>
      </c>
    </row>
    <row r="2525" spans="1:16" x14ac:dyDescent="0.3">
      <c r="A2525">
        <v>39877</v>
      </c>
      <c r="B2525">
        <v>116</v>
      </c>
      <c r="C2525" t="s">
        <v>568</v>
      </c>
      <c r="D2525" s="453">
        <v>45839</v>
      </c>
      <c r="E2525">
        <v>20278</v>
      </c>
      <c r="F2525" t="s">
        <v>3939</v>
      </c>
      <c r="G2525">
        <v>2230</v>
      </c>
      <c r="H2525">
        <v>10</v>
      </c>
      <c r="I2525" t="s">
        <v>3872</v>
      </c>
      <c r="J2525" t="s">
        <v>3469</v>
      </c>
      <c r="K2525" t="s">
        <v>3745</v>
      </c>
      <c r="L2525">
        <v>33.270000000000003</v>
      </c>
      <c r="M2525" s="453">
        <v>45817</v>
      </c>
      <c r="N2525">
        <v>33.270000000000003</v>
      </c>
      <c r="O2525">
        <v>33.270000000000003</v>
      </c>
      <c r="P2525">
        <v>332.7</v>
      </c>
    </row>
    <row r="2526" spans="1:16" x14ac:dyDescent="0.3">
      <c r="A2526">
        <v>40027</v>
      </c>
      <c r="B2526">
        <v>116</v>
      </c>
      <c r="C2526" t="s">
        <v>568</v>
      </c>
      <c r="D2526" s="453">
        <v>45839</v>
      </c>
      <c r="E2526">
        <v>25541</v>
      </c>
      <c r="F2526" t="s">
        <v>4330</v>
      </c>
      <c r="G2526">
        <v>6160</v>
      </c>
      <c r="H2526">
        <v>10</v>
      </c>
      <c r="I2526" t="s">
        <v>3892</v>
      </c>
      <c r="J2526" t="s">
        <v>3469</v>
      </c>
      <c r="K2526" t="s">
        <v>3745</v>
      </c>
      <c r="L2526">
        <v>32.04</v>
      </c>
      <c r="M2526" s="453">
        <v>45825</v>
      </c>
      <c r="N2526">
        <v>32.799999999999997</v>
      </c>
      <c r="O2526">
        <v>32.799999999999997</v>
      </c>
      <c r="P2526">
        <v>320.39999999999998</v>
      </c>
    </row>
    <row r="2527" spans="1:16" x14ac:dyDescent="0.3">
      <c r="A2527">
        <v>40010</v>
      </c>
      <c r="B2527">
        <v>116</v>
      </c>
      <c r="C2527" t="s">
        <v>568</v>
      </c>
      <c r="D2527" s="453">
        <v>45839</v>
      </c>
      <c r="E2527">
        <v>24117</v>
      </c>
      <c r="F2527" t="s">
        <v>4463</v>
      </c>
      <c r="G2527">
        <v>2925</v>
      </c>
      <c r="H2527">
        <v>7.2</v>
      </c>
      <c r="I2527" t="s">
        <v>3892</v>
      </c>
      <c r="J2527" t="s">
        <v>3469</v>
      </c>
      <c r="K2527" t="s">
        <v>3745</v>
      </c>
      <c r="L2527">
        <v>44</v>
      </c>
      <c r="M2527" s="453">
        <v>45824</v>
      </c>
      <c r="N2527">
        <v>44</v>
      </c>
      <c r="O2527">
        <v>43.3</v>
      </c>
      <c r="P2527">
        <v>316.8</v>
      </c>
    </row>
    <row r="2528" spans="1:16" x14ac:dyDescent="0.3">
      <c r="A2528">
        <v>40087</v>
      </c>
      <c r="B2528">
        <v>116</v>
      </c>
      <c r="C2528" t="s">
        <v>568</v>
      </c>
      <c r="D2528" s="453">
        <v>45839</v>
      </c>
      <c r="E2528">
        <v>17895</v>
      </c>
      <c r="F2528" t="s">
        <v>4137</v>
      </c>
      <c r="G2528">
        <v>3665</v>
      </c>
      <c r="H2528">
        <v>12</v>
      </c>
      <c r="I2528" t="s">
        <v>3888</v>
      </c>
      <c r="J2528" t="s">
        <v>3497</v>
      </c>
      <c r="K2528" t="s">
        <v>3745</v>
      </c>
      <c r="L2528">
        <v>26.28</v>
      </c>
      <c r="M2528" s="453">
        <v>45817</v>
      </c>
      <c r="N2528">
        <v>26.28</v>
      </c>
      <c r="O2528">
        <v>26.28</v>
      </c>
      <c r="P2528">
        <v>315.36</v>
      </c>
    </row>
    <row r="2529" spans="1:16" x14ac:dyDescent="0.3">
      <c r="A2529">
        <v>40023</v>
      </c>
      <c r="B2529">
        <v>116</v>
      </c>
      <c r="C2529" t="s">
        <v>568</v>
      </c>
      <c r="D2529" s="453">
        <v>45839</v>
      </c>
      <c r="E2529">
        <v>24517</v>
      </c>
      <c r="F2529" t="s">
        <v>3991</v>
      </c>
      <c r="G2529">
        <v>3047</v>
      </c>
      <c r="H2529">
        <v>11</v>
      </c>
      <c r="I2529" t="s">
        <v>3892</v>
      </c>
      <c r="J2529" t="s">
        <v>3469</v>
      </c>
      <c r="K2529" t="s">
        <v>3745</v>
      </c>
      <c r="L2529">
        <v>28.5</v>
      </c>
      <c r="M2529" s="453">
        <v>45818</v>
      </c>
      <c r="N2529">
        <v>28.5</v>
      </c>
      <c r="O2529">
        <v>27.99</v>
      </c>
      <c r="P2529">
        <v>313.5</v>
      </c>
    </row>
    <row r="2530" spans="1:16" x14ac:dyDescent="0.3">
      <c r="A2530">
        <v>40071</v>
      </c>
      <c r="B2530">
        <v>116</v>
      </c>
      <c r="C2530" t="s">
        <v>568</v>
      </c>
      <c r="D2530" s="453">
        <v>45839</v>
      </c>
      <c r="E2530">
        <v>24019</v>
      </c>
      <c r="F2530" t="s">
        <v>4471</v>
      </c>
      <c r="G2530">
        <v>3617</v>
      </c>
      <c r="H2530">
        <v>189</v>
      </c>
      <c r="I2530" t="s">
        <v>3872</v>
      </c>
      <c r="J2530" t="s">
        <v>3497</v>
      </c>
      <c r="K2530" t="s">
        <v>3745</v>
      </c>
      <c r="L2530">
        <v>0</v>
      </c>
      <c r="M2530" s="453">
        <v>45545</v>
      </c>
      <c r="N2530">
        <v>1.62</v>
      </c>
      <c r="O2530">
        <v>1.63</v>
      </c>
      <c r="P2530">
        <v>307.12</v>
      </c>
    </row>
    <row r="2531" spans="1:16" x14ac:dyDescent="0.3">
      <c r="A2531">
        <v>40083</v>
      </c>
      <c r="B2531">
        <v>116</v>
      </c>
      <c r="C2531" t="s">
        <v>568</v>
      </c>
      <c r="D2531" s="453">
        <v>45839</v>
      </c>
      <c r="E2531">
        <v>17903</v>
      </c>
      <c r="F2531" t="s">
        <v>3971</v>
      </c>
      <c r="G2531">
        <v>3658</v>
      </c>
      <c r="H2531">
        <v>11</v>
      </c>
      <c r="I2531" t="s">
        <v>3888</v>
      </c>
      <c r="J2531" t="s">
        <v>3497</v>
      </c>
      <c r="K2531" t="s">
        <v>3745</v>
      </c>
      <c r="L2531">
        <v>27.48</v>
      </c>
      <c r="M2531" s="453">
        <v>45817</v>
      </c>
      <c r="N2531">
        <v>27.48</v>
      </c>
      <c r="O2531">
        <v>27.48</v>
      </c>
      <c r="P2531">
        <v>302.27999999999997</v>
      </c>
    </row>
    <row r="2532" spans="1:16" x14ac:dyDescent="0.3">
      <c r="A2532">
        <v>40001</v>
      </c>
      <c r="B2532">
        <v>116</v>
      </c>
      <c r="C2532" t="s">
        <v>568</v>
      </c>
      <c r="D2532" s="453">
        <v>45839</v>
      </c>
      <c r="E2532">
        <v>19346</v>
      </c>
      <c r="F2532" t="s">
        <v>3948</v>
      </c>
      <c r="G2532">
        <v>2770</v>
      </c>
      <c r="H2532">
        <v>5.2</v>
      </c>
      <c r="I2532" t="s">
        <v>3892</v>
      </c>
      <c r="J2532" t="s">
        <v>3469</v>
      </c>
      <c r="K2532" t="s">
        <v>3745</v>
      </c>
      <c r="L2532">
        <v>57.22</v>
      </c>
      <c r="M2532" s="453">
        <v>45824</v>
      </c>
      <c r="N2532">
        <v>57.22</v>
      </c>
      <c r="O2532">
        <v>54.9</v>
      </c>
      <c r="P2532">
        <v>297.54000000000002</v>
      </c>
    </row>
    <row r="2533" spans="1:16" x14ac:dyDescent="0.3">
      <c r="A2533">
        <v>40011</v>
      </c>
      <c r="B2533">
        <v>116</v>
      </c>
      <c r="C2533" t="s">
        <v>568</v>
      </c>
      <c r="D2533" s="453">
        <v>45839</v>
      </c>
      <c r="E2533">
        <v>18948</v>
      </c>
      <c r="F2533" t="s">
        <v>3961</v>
      </c>
      <c r="G2533">
        <v>2927</v>
      </c>
      <c r="H2533">
        <v>4.3</v>
      </c>
      <c r="I2533" t="s">
        <v>3892</v>
      </c>
      <c r="J2533" t="s">
        <v>3469</v>
      </c>
      <c r="K2533" t="s">
        <v>3745</v>
      </c>
      <c r="L2533">
        <v>65.900000000000006</v>
      </c>
      <c r="M2533" s="453">
        <v>45819</v>
      </c>
      <c r="N2533">
        <v>65.900000000000006</v>
      </c>
      <c r="O2533">
        <v>65.91</v>
      </c>
      <c r="P2533">
        <v>283.37</v>
      </c>
    </row>
    <row r="2534" spans="1:16" x14ac:dyDescent="0.3">
      <c r="A2534">
        <v>39914</v>
      </c>
      <c r="B2534">
        <v>116</v>
      </c>
      <c r="C2534" t="s">
        <v>568</v>
      </c>
      <c r="D2534" s="453">
        <v>45839</v>
      </c>
      <c r="E2534">
        <v>20131</v>
      </c>
      <c r="F2534" t="s">
        <v>4447</v>
      </c>
      <c r="G2534">
        <v>2287</v>
      </c>
      <c r="H2534">
        <v>21</v>
      </c>
      <c r="I2534" t="s">
        <v>3892</v>
      </c>
      <c r="J2534" t="s">
        <v>3469</v>
      </c>
      <c r="K2534" t="s">
        <v>3745</v>
      </c>
      <c r="L2534">
        <v>0</v>
      </c>
      <c r="M2534" s="453">
        <v>45672</v>
      </c>
      <c r="N2534">
        <v>12</v>
      </c>
      <c r="O2534">
        <v>12</v>
      </c>
      <c r="P2534">
        <v>252</v>
      </c>
    </row>
    <row r="2535" spans="1:16" x14ac:dyDescent="0.3">
      <c r="A2535">
        <v>40019</v>
      </c>
      <c r="B2535">
        <v>116</v>
      </c>
      <c r="C2535" t="s">
        <v>568</v>
      </c>
      <c r="D2535" s="453">
        <v>45839</v>
      </c>
      <c r="E2535">
        <v>24320</v>
      </c>
      <c r="F2535" t="s">
        <v>4160</v>
      </c>
      <c r="G2535">
        <v>2942</v>
      </c>
      <c r="H2535">
        <v>7.2</v>
      </c>
      <c r="I2535" t="s">
        <v>3892</v>
      </c>
      <c r="J2535" t="s">
        <v>3469</v>
      </c>
      <c r="K2535" t="s">
        <v>3745</v>
      </c>
      <c r="L2535">
        <v>33.799999999999997</v>
      </c>
      <c r="M2535" s="453">
        <v>45826</v>
      </c>
      <c r="N2535">
        <v>33.799999999999997</v>
      </c>
      <c r="O2535">
        <v>33.799999999999997</v>
      </c>
      <c r="P2535">
        <v>243.36</v>
      </c>
    </row>
    <row r="2536" spans="1:16" x14ac:dyDescent="0.3">
      <c r="A2536">
        <v>40018</v>
      </c>
      <c r="B2536">
        <v>116</v>
      </c>
      <c r="C2536" t="s">
        <v>568</v>
      </c>
      <c r="D2536" s="453">
        <v>45839</v>
      </c>
      <c r="E2536">
        <v>18684</v>
      </c>
      <c r="F2536" t="s">
        <v>3925</v>
      </c>
      <c r="G2536">
        <v>3041</v>
      </c>
      <c r="H2536">
        <v>6.5</v>
      </c>
      <c r="I2536" t="s">
        <v>3892</v>
      </c>
      <c r="J2536" t="s">
        <v>3469</v>
      </c>
      <c r="K2536" t="s">
        <v>3745</v>
      </c>
      <c r="L2536">
        <v>35.47</v>
      </c>
      <c r="M2536" s="453">
        <v>45818</v>
      </c>
      <c r="N2536">
        <v>36</v>
      </c>
      <c r="O2536">
        <v>390</v>
      </c>
      <c r="P2536">
        <v>230.56</v>
      </c>
    </row>
    <row r="2537" spans="1:16" x14ac:dyDescent="0.3">
      <c r="A2537">
        <v>39888</v>
      </c>
      <c r="B2537">
        <v>116</v>
      </c>
      <c r="C2537" t="s">
        <v>568</v>
      </c>
      <c r="D2537" s="453">
        <v>45839</v>
      </c>
      <c r="E2537">
        <v>20549</v>
      </c>
      <c r="F2537" t="s">
        <v>4007</v>
      </c>
      <c r="G2537">
        <v>2141</v>
      </c>
      <c r="H2537">
        <v>9.5</v>
      </c>
      <c r="I2537" t="s">
        <v>3892</v>
      </c>
      <c r="J2537" t="s">
        <v>3469</v>
      </c>
      <c r="K2537" t="s">
        <v>3745</v>
      </c>
      <c r="L2537">
        <v>24</v>
      </c>
      <c r="M2537" s="453">
        <v>45819</v>
      </c>
      <c r="N2537">
        <v>24</v>
      </c>
      <c r="O2537">
        <v>24</v>
      </c>
      <c r="P2537">
        <v>228</v>
      </c>
    </row>
    <row r="2538" spans="1:16" x14ac:dyDescent="0.3">
      <c r="A2538">
        <v>40063</v>
      </c>
      <c r="B2538">
        <v>116</v>
      </c>
      <c r="C2538" t="s">
        <v>568</v>
      </c>
      <c r="D2538" s="453">
        <v>45839</v>
      </c>
      <c r="E2538">
        <v>18179</v>
      </c>
      <c r="F2538" t="s">
        <v>3995</v>
      </c>
      <c r="G2538">
        <v>3443</v>
      </c>
      <c r="H2538">
        <v>2.5</v>
      </c>
      <c r="I2538" t="s">
        <v>3878</v>
      </c>
      <c r="J2538" t="s">
        <v>3497</v>
      </c>
      <c r="K2538" t="s">
        <v>3745</v>
      </c>
      <c r="L2538">
        <v>89.75</v>
      </c>
      <c r="M2538" s="453">
        <v>45818</v>
      </c>
      <c r="N2538">
        <v>89.75</v>
      </c>
      <c r="O2538">
        <v>105.54</v>
      </c>
      <c r="P2538">
        <v>224.38</v>
      </c>
    </row>
    <row r="2539" spans="1:16" x14ac:dyDescent="0.3">
      <c r="A2539">
        <v>40042</v>
      </c>
      <c r="B2539">
        <v>116</v>
      </c>
      <c r="C2539" t="s">
        <v>568</v>
      </c>
      <c r="D2539" s="453">
        <v>45839</v>
      </c>
      <c r="E2539">
        <v>18491</v>
      </c>
      <c r="F2539" t="s">
        <v>3934</v>
      </c>
      <c r="G2539">
        <v>3166</v>
      </c>
      <c r="H2539">
        <v>6</v>
      </c>
      <c r="I2539" t="s">
        <v>3878</v>
      </c>
      <c r="J2539" t="s">
        <v>3497</v>
      </c>
      <c r="K2539" t="s">
        <v>3745</v>
      </c>
      <c r="L2539">
        <v>0</v>
      </c>
      <c r="M2539" s="453">
        <v>45677</v>
      </c>
      <c r="N2539">
        <v>35.9</v>
      </c>
      <c r="O2539">
        <v>35.9</v>
      </c>
      <c r="P2539">
        <v>215.4</v>
      </c>
    </row>
    <row r="2540" spans="1:16" x14ac:dyDescent="0.3">
      <c r="A2540">
        <v>40004</v>
      </c>
      <c r="B2540">
        <v>116</v>
      </c>
      <c r="C2540" t="s">
        <v>568</v>
      </c>
      <c r="D2540" s="453">
        <v>45839</v>
      </c>
      <c r="E2540">
        <v>19287</v>
      </c>
      <c r="F2540" t="s">
        <v>3974</v>
      </c>
      <c r="G2540">
        <v>2778</v>
      </c>
      <c r="H2540">
        <v>4.9000000000000004</v>
      </c>
      <c r="I2540" t="s">
        <v>3892</v>
      </c>
      <c r="J2540" t="s">
        <v>3469</v>
      </c>
      <c r="K2540" t="s">
        <v>3745</v>
      </c>
      <c r="L2540">
        <v>42.6</v>
      </c>
      <c r="M2540" s="453">
        <v>45818</v>
      </c>
      <c r="N2540">
        <v>42.6</v>
      </c>
      <c r="O2540">
        <v>40.119999999999997</v>
      </c>
      <c r="P2540">
        <v>208.74</v>
      </c>
    </row>
    <row r="2541" spans="1:16" x14ac:dyDescent="0.3">
      <c r="A2541">
        <v>40024</v>
      </c>
      <c r="B2541">
        <v>116</v>
      </c>
      <c r="C2541" t="s">
        <v>568</v>
      </c>
      <c r="D2541" s="453">
        <v>45839</v>
      </c>
      <c r="E2541">
        <v>24402</v>
      </c>
      <c r="F2541" t="s">
        <v>3896</v>
      </c>
      <c r="G2541">
        <v>2949</v>
      </c>
      <c r="H2541">
        <v>5.7</v>
      </c>
      <c r="I2541" t="s">
        <v>3892</v>
      </c>
      <c r="J2541" t="s">
        <v>3469</v>
      </c>
      <c r="K2541" t="s">
        <v>3745</v>
      </c>
      <c r="L2541">
        <v>35.46</v>
      </c>
      <c r="M2541" s="453">
        <v>45824</v>
      </c>
      <c r="N2541">
        <v>37.5</v>
      </c>
      <c r="O2541">
        <v>36.5</v>
      </c>
      <c r="P2541">
        <v>202.12</v>
      </c>
    </row>
    <row r="2542" spans="1:16" x14ac:dyDescent="0.3">
      <c r="A2542">
        <v>39871</v>
      </c>
      <c r="B2542">
        <v>116</v>
      </c>
      <c r="C2542" t="s">
        <v>568</v>
      </c>
      <c r="D2542" s="453">
        <v>45839</v>
      </c>
      <c r="E2542">
        <v>20304</v>
      </c>
      <c r="F2542" t="s">
        <v>3938</v>
      </c>
      <c r="G2542">
        <v>2223</v>
      </c>
      <c r="H2542">
        <v>7</v>
      </c>
      <c r="I2542" t="s">
        <v>3888</v>
      </c>
      <c r="J2542" t="s">
        <v>3469</v>
      </c>
      <c r="K2542" t="s">
        <v>3745</v>
      </c>
      <c r="L2542">
        <v>27.33</v>
      </c>
      <c r="M2542" s="453">
        <v>45826</v>
      </c>
      <c r="N2542">
        <v>27</v>
      </c>
      <c r="O2542">
        <v>27</v>
      </c>
      <c r="P2542">
        <v>191.31</v>
      </c>
    </row>
    <row r="2543" spans="1:16" x14ac:dyDescent="0.3">
      <c r="A2543">
        <v>40017</v>
      </c>
      <c r="B2543">
        <v>116</v>
      </c>
      <c r="C2543" t="s">
        <v>568</v>
      </c>
      <c r="D2543" s="453">
        <v>45839</v>
      </c>
      <c r="E2543">
        <v>18685</v>
      </c>
      <c r="F2543" t="s">
        <v>3945</v>
      </c>
      <c r="G2543">
        <v>3040</v>
      </c>
      <c r="H2543">
        <v>4.9000000000000004</v>
      </c>
      <c r="I2543" t="s">
        <v>3892</v>
      </c>
      <c r="J2543" t="s">
        <v>3469</v>
      </c>
      <c r="K2543" t="s">
        <v>3745</v>
      </c>
      <c r="L2543">
        <v>38.43</v>
      </c>
      <c r="M2543" s="453">
        <v>45818</v>
      </c>
      <c r="N2543">
        <v>39</v>
      </c>
      <c r="O2543">
        <v>39</v>
      </c>
      <c r="P2543">
        <v>188.31</v>
      </c>
    </row>
    <row r="2544" spans="1:16" x14ac:dyDescent="0.3">
      <c r="A2544">
        <v>40012</v>
      </c>
      <c r="B2544">
        <v>116</v>
      </c>
      <c r="C2544" t="s">
        <v>568</v>
      </c>
      <c r="D2544" s="453">
        <v>45839</v>
      </c>
      <c r="E2544">
        <v>18933</v>
      </c>
      <c r="F2544" t="s">
        <v>3957</v>
      </c>
      <c r="G2544">
        <v>2930</v>
      </c>
      <c r="H2544">
        <v>8</v>
      </c>
      <c r="I2544" t="s">
        <v>3892</v>
      </c>
      <c r="J2544" t="s">
        <v>3469</v>
      </c>
      <c r="K2544" t="s">
        <v>3745</v>
      </c>
      <c r="L2544">
        <v>0</v>
      </c>
      <c r="M2544" s="453">
        <v>45797</v>
      </c>
      <c r="N2544">
        <v>23.5</v>
      </c>
      <c r="O2544">
        <v>27.9</v>
      </c>
      <c r="P2544">
        <v>188</v>
      </c>
    </row>
    <row r="2545" spans="1:16" x14ac:dyDescent="0.3">
      <c r="A2545">
        <v>40089</v>
      </c>
      <c r="B2545">
        <v>116</v>
      </c>
      <c r="C2545" t="s">
        <v>568</v>
      </c>
      <c r="D2545" s="453">
        <v>45839</v>
      </c>
      <c r="E2545">
        <v>17886</v>
      </c>
      <c r="F2545" t="s">
        <v>3935</v>
      </c>
      <c r="G2545">
        <v>3670</v>
      </c>
      <c r="H2545">
        <v>7</v>
      </c>
      <c r="I2545" t="s">
        <v>3888</v>
      </c>
      <c r="J2545" t="s">
        <v>3497</v>
      </c>
      <c r="K2545" t="s">
        <v>3745</v>
      </c>
      <c r="L2545">
        <v>26.28</v>
      </c>
      <c r="M2545" s="453">
        <v>45824</v>
      </c>
      <c r="N2545">
        <v>26.28</v>
      </c>
      <c r="O2545">
        <v>23.71</v>
      </c>
      <c r="P2545">
        <v>183.96</v>
      </c>
    </row>
    <row r="2546" spans="1:16" x14ac:dyDescent="0.3">
      <c r="A2546">
        <v>40021</v>
      </c>
      <c r="B2546">
        <v>116</v>
      </c>
      <c r="C2546" t="s">
        <v>568</v>
      </c>
      <c r="D2546" s="453">
        <v>45839</v>
      </c>
      <c r="E2546">
        <v>24388</v>
      </c>
      <c r="F2546" t="s">
        <v>3915</v>
      </c>
      <c r="G2546">
        <v>2945</v>
      </c>
      <c r="H2546">
        <v>6.2</v>
      </c>
      <c r="I2546" t="s">
        <v>3892</v>
      </c>
      <c r="J2546" t="s">
        <v>3469</v>
      </c>
      <c r="K2546" t="s">
        <v>3745</v>
      </c>
      <c r="L2546">
        <v>29.22</v>
      </c>
      <c r="M2546" s="453">
        <v>45819</v>
      </c>
      <c r="N2546">
        <v>29</v>
      </c>
      <c r="O2546">
        <v>29</v>
      </c>
      <c r="P2546">
        <v>181.16</v>
      </c>
    </row>
    <row r="2547" spans="1:16" x14ac:dyDescent="0.3">
      <c r="A2547">
        <v>40035</v>
      </c>
      <c r="B2547">
        <v>116</v>
      </c>
      <c r="C2547" t="s">
        <v>568</v>
      </c>
      <c r="D2547" s="453">
        <v>45839</v>
      </c>
      <c r="E2547">
        <v>18547</v>
      </c>
      <c r="F2547" t="s">
        <v>3962</v>
      </c>
      <c r="G2547">
        <v>3132</v>
      </c>
      <c r="H2547">
        <v>5.2</v>
      </c>
      <c r="I2547" t="s">
        <v>3878</v>
      </c>
      <c r="J2547" t="s">
        <v>3497</v>
      </c>
      <c r="K2547" t="s">
        <v>3745</v>
      </c>
      <c r="L2547">
        <v>0</v>
      </c>
      <c r="M2547" s="453">
        <v>45770</v>
      </c>
      <c r="N2547">
        <v>34.74</v>
      </c>
      <c r="O2547">
        <v>37.520000000000003</v>
      </c>
      <c r="P2547">
        <v>180.65</v>
      </c>
    </row>
    <row r="2548" spans="1:16" x14ac:dyDescent="0.3">
      <c r="A2548">
        <v>40056</v>
      </c>
      <c r="B2548">
        <v>116</v>
      </c>
      <c r="C2548" t="s">
        <v>568</v>
      </c>
      <c r="D2548" s="453">
        <v>45839</v>
      </c>
      <c r="E2548">
        <v>18295</v>
      </c>
      <c r="F2548" t="s">
        <v>4030</v>
      </c>
      <c r="G2548">
        <v>3334</v>
      </c>
      <c r="H2548">
        <v>1.4</v>
      </c>
      <c r="I2548" t="s">
        <v>3878</v>
      </c>
      <c r="J2548" t="s">
        <v>3497</v>
      </c>
      <c r="K2548" t="s">
        <v>3745</v>
      </c>
      <c r="L2548">
        <v>129</v>
      </c>
      <c r="M2548" s="453">
        <v>45817</v>
      </c>
      <c r="N2548">
        <v>129</v>
      </c>
      <c r="O2548">
        <v>129</v>
      </c>
      <c r="P2548">
        <v>180.6</v>
      </c>
    </row>
    <row r="2549" spans="1:16" x14ac:dyDescent="0.3">
      <c r="A2549">
        <v>40054</v>
      </c>
      <c r="B2549">
        <v>116</v>
      </c>
      <c r="C2549" t="s">
        <v>568</v>
      </c>
      <c r="D2549" s="453">
        <v>45839</v>
      </c>
      <c r="E2549">
        <v>18313</v>
      </c>
      <c r="F2549" t="s">
        <v>4464</v>
      </c>
      <c r="G2549">
        <v>3320</v>
      </c>
      <c r="H2549">
        <v>1</v>
      </c>
      <c r="I2549" t="s">
        <v>3878</v>
      </c>
      <c r="J2549" t="s">
        <v>3497</v>
      </c>
      <c r="K2549" t="s">
        <v>3745</v>
      </c>
      <c r="L2549">
        <v>0</v>
      </c>
      <c r="M2549" s="453">
        <v>45793</v>
      </c>
      <c r="N2549">
        <v>178.9</v>
      </c>
      <c r="O2549">
        <v>178.9</v>
      </c>
      <c r="P2549">
        <v>178.9</v>
      </c>
    </row>
    <row r="2550" spans="1:16" x14ac:dyDescent="0.3">
      <c r="A2550">
        <v>40065</v>
      </c>
      <c r="B2550">
        <v>116</v>
      </c>
      <c r="C2550" t="s">
        <v>568</v>
      </c>
      <c r="D2550" s="453">
        <v>45839</v>
      </c>
      <c r="E2550">
        <v>18146</v>
      </c>
      <c r="F2550" t="s">
        <v>4100</v>
      </c>
      <c r="G2550">
        <v>3471</v>
      </c>
      <c r="H2550">
        <v>1.5</v>
      </c>
      <c r="I2550" t="s">
        <v>3878</v>
      </c>
      <c r="J2550" t="s">
        <v>3497</v>
      </c>
      <c r="K2550" t="s">
        <v>3745</v>
      </c>
      <c r="L2550">
        <v>0</v>
      </c>
      <c r="M2550" s="453">
        <v>45782</v>
      </c>
      <c r="N2550">
        <v>114.32</v>
      </c>
      <c r="O2550">
        <v>117.68</v>
      </c>
      <c r="P2550">
        <v>171.48</v>
      </c>
    </row>
    <row r="2551" spans="1:16" x14ac:dyDescent="0.3">
      <c r="A2551">
        <v>40093</v>
      </c>
      <c r="B2551">
        <v>116</v>
      </c>
      <c r="C2551" t="s">
        <v>568</v>
      </c>
      <c r="D2551" s="453">
        <v>45839</v>
      </c>
      <c r="E2551">
        <v>26195</v>
      </c>
      <c r="F2551" t="s">
        <v>4037</v>
      </c>
      <c r="G2551">
        <v>6618</v>
      </c>
      <c r="H2551">
        <v>6</v>
      </c>
      <c r="I2551" t="s">
        <v>3878</v>
      </c>
      <c r="J2551" t="s">
        <v>3497</v>
      </c>
      <c r="K2551" t="s">
        <v>3745</v>
      </c>
      <c r="L2551">
        <v>0</v>
      </c>
      <c r="M2551" s="453">
        <v>-693593</v>
      </c>
      <c r="N2551">
        <v>0</v>
      </c>
      <c r="O2551">
        <v>0</v>
      </c>
      <c r="P2551">
        <v>166.44</v>
      </c>
    </row>
    <row r="2552" spans="1:16" x14ac:dyDescent="0.3">
      <c r="A2552">
        <v>40034</v>
      </c>
      <c r="B2552">
        <v>116</v>
      </c>
      <c r="C2552" t="s">
        <v>568</v>
      </c>
      <c r="D2552" s="453">
        <v>45839</v>
      </c>
      <c r="E2552">
        <v>18550</v>
      </c>
      <c r="F2552" t="s">
        <v>4083</v>
      </c>
      <c r="G2552">
        <v>3130</v>
      </c>
      <c r="H2552">
        <v>1</v>
      </c>
      <c r="I2552" t="s">
        <v>3878</v>
      </c>
      <c r="J2552" t="s">
        <v>3497</v>
      </c>
      <c r="K2552" t="s">
        <v>3745</v>
      </c>
      <c r="L2552">
        <v>0</v>
      </c>
      <c r="M2552" s="453">
        <v>-693593</v>
      </c>
      <c r="N2552">
        <v>0</v>
      </c>
      <c r="O2552">
        <v>176.96</v>
      </c>
      <c r="P2552">
        <v>165.45</v>
      </c>
    </row>
    <row r="2553" spans="1:16" x14ac:dyDescent="0.3">
      <c r="A2553">
        <v>39921</v>
      </c>
      <c r="B2553">
        <v>116</v>
      </c>
      <c r="C2553" t="s">
        <v>568</v>
      </c>
      <c r="D2553" s="453">
        <v>45839</v>
      </c>
      <c r="E2553">
        <v>19961</v>
      </c>
      <c r="F2553" t="s">
        <v>4465</v>
      </c>
      <c r="G2553">
        <v>2357</v>
      </c>
      <c r="H2553">
        <v>12</v>
      </c>
      <c r="I2553" t="s">
        <v>3886</v>
      </c>
      <c r="J2553" t="s">
        <v>3469</v>
      </c>
      <c r="K2553" t="s">
        <v>3745</v>
      </c>
      <c r="L2553">
        <v>0</v>
      </c>
      <c r="M2553" s="453">
        <v>45762</v>
      </c>
      <c r="N2553">
        <v>13.5</v>
      </c>
      <c r="O2553">
        <v>13.3</v>
      </c>
      <c r="P2553">
        <v>162</v>
      </c>
    </row>
    <row r="2554" spans="1:16" x14ac:dyDescent="0.3">
      <c r="A2554">
        <v>39924</v>
      </c>
      <c r="B2554">
        <v>116</v>
      </c>
      <c r="C2554" t="s">
        <v>568</v>
      </c>
      <c r="D2554" s="453">
        <v>45839</v>
      </c>
      <c r="E2554">
        <v>20988</v>
      </c>
      <c r="F2554" t="s">
        <v>4117</v>
      </c>
      <c r="G2554">
        <v>2011</v>
      </c>
      <c r="H2554">
        <v>21</v>
      </c>
      <c r="I2554" t="s">
        <v>3931</v>
      </c>
      <c r="J2554" t="s">
        <v>3469</v>
      </c>
      <c r="K2554" t="s">
        <v>3745</v>
      </c>
      <c r="L2554">
        <v>7.64</v>
      </c>
      <c r="M2554" s="453">
        <v>45817</v>
      </c>
      <c r="N2554">
        <v>7.59</v>
      </c>
      <c r="O2554">
        <v>7.98</v>
      </c>
      <c r="P2554">
        <v>160.44</v>
      </c>
    </row>
    <row r="2555" spans="1:16" x14ac:dyDescent="0.3">
      <c r="A2555">
        <v>40049</v>
      </c>
      <c r="B2555">
        <v>116</v>
      </c>
      <c r="C2555" t="s">
        <v>568</v>
      </c>
      <c r="D2555" s="453">
        <v>45839</v>
      </c>
      <c r="E2555">
        <v>18359</v>
      </c>
      <c r="F2555" t="s">
        <v>4029</v>
      </c>
      <c r="G2555">
        <v>3278</v>
      </c>
      <c r="H2555">
        <v>1.6</v>
      </c>
      <c r="I2555" t="s">
        <v>3878</v>
      </c>
      <c r="J2555" t="s">
        <v>3497</v>
      </c>
      <c r="K2555" t="s">
        <v>3745</v>
      </c>
      <c r="L2555">
        <v>99.9</v>
      </c>
      <c r="M2555" s="453">
        <v>45818</v>
      </c>
      <c r="N2555">
        <v>99.9</v>
      </c>
      <c r="O2555">
        <v>99.9</v>
      </c>
      <c r="P2555">
        <v>159.84</v>
      </c>
    </row>
    <row r="2556" spans="1:16" x14ac:dyDescent="0.3">
      <c r="A2556">
        <v>40075</v>
      </c>
      <c r="B2556">
        <v>116</v>
      </c>
      <c r="C2556" t="s">
        <v>568</v>
      </c>
      <c r="D2556" s="453">
        <v>45839</v>
      </c>
      <c r="E2556">
        <v>17914</v>
      </c>
      <c r="F2556" t="s">
        <v>3997</v>
      </c>
      <c r="G2556">
        <v>3649</v>
      </c>
      <c r="H2556">
        <v>5</v>
      </c>
      <c r="I2556" t="s">
        <v>3888</v>
      </c>
      <c r="J2556" t="s">
        <v>3497</v>
      </c>
      <c r="K2556" t="s">
        <v>3745</v>
      </c>
      <c r="L2556">
        <v>30.76</v>
      </c>
      <c r="M2556" s="453">
        <v>45810</v>
      </c>
      <c r="N2556">
        <v>30.76</v>
      </c>
      <c r="O2556">
        <v>30.76</v>
      </c>
      <c r="P2556">
        <v>153.80000000000001</v>
      </c>
    </row>
    <row r="2557" spans="1:16" x14ac:dyDescent="0.3">
      <c r="A2557">
        <v>39999</v>
      </c>
      <c r="B2557">
        <v>116</v>
      </c>
      <c r="C2557" t="s">
        <v>568</v>
      </c>
      <c r="D2557" s="453">
        <v>45839</v>
      </c>
      <c r="E2557">
        <v>19405</v>
      </c>
      <c r="F2557" t="s">
        <v>4097</v>
      </c>
      <c r="G2557">
        <v>2761</v>
      </c>
      <c r="H2557">
        <v>3.7</v>
      </c>
      <c r="I2557" t="s">
        <v>3892</v>
      </c>
      <c r="J2557" t="s">
        <v>3469</v>
      </c>
      <c r="K2557" t="s">
        <v>3745</v>
      </c>
      <c r="L2557">
        <v>0</v>
      </c>
      <c r="M2557" s="453">
        <v>45790</v>
      </c>
      <c r="N2557">
        <v>40</v>
      </c>
      <c r="O2557">
        <v>39.799999999999997</v>
      </c>
      <c r="P2557">
        <v>148</v>
      </c>
    </row>
    <row r="2558" spans="1:16" x14ac:dyDescent="0.3">
      <c r="A2558">
        <v>39909</v>
      </c>
      <c r="B2558">
        <v>116</v>
      </c>
      <c r="C2558" t="s">
        <v>568</v>
      </c>
      <c r="D2558" s="453">
        <v>45839</v>
      </c>
      <c r="E2558">
        <v>20519</v>
      </c>
      <c r="F2558" t="s">
        <v>3902</v>
      </c>
      <c r="G2558">
        <v>2150</v>
      </c>
      <c r="H2558">
        <v>4</v>
      </c>
      <c r="I2558" t="s">
        <v>3892</v>
      </c>
      <c r="J2558" t="s">
        <v>3469</v>
      </c>
      <c r="K2558" t="s">
        <v>3745</v>
      </c>
      <c r="L2558">
        <v>0</v>
      </c>
      <c r="M2558" s="453">
        <v>45743</v>
      </c>
      <c r="N2558">
        <v>36.4</v>
      </c>
      <c r="O2558">
        <v>36.4</v>
      </c>
      <c r="P2558">
        <v>145.6</v>
      </c>
    </row>
    <row r="2559" spans="1:16" x14ac:dyDescent="0.3">
      <c r="A2559">
        <v>39866</v>
      </c>
      <c r="B2559">
        <v>116</v>
      </c>
      <c r="C2559" t="s">
        <v>568</v>
      </c>
      <c r="D2559" s="453">
        <v>45839</v>
      </c>
      <c r="E2559">
        <v>21166</v>
      </c>
      <c r="F2559" t="s">
        <v>4001</v>
      </c>
      <c r="G2559">
        <v>1940</v>
      </c>
      <c r="H2559">
        <v>4</v>
      </c>
      <c r="I2559" t="s">
        <v>3872</v>
      </c>
      <c r="J2559" t="s">
        <v>3469</v>
      </c>
      <c r="K2559" t="s">
        <v>3745</v>
      </c>
      <c r="L2559">
        <v>0</v>
      </c>
      <c r="M2559" s="453">
        <v>45615</v>
      </c>
      <c r="N2559">
        <v>36</v>
      </c>
      <c r="O2559">
        <v>36</v>
      </c>
      <c r="P2559">
        <v>144</v>
      </c>
    </row>
    <row r="2560" spans="1:16" x14ac:dyDescent="0.3">
      <c r="A2560">
        <v>40064</v>
      </c>
      <c r="B2560">
        <v>116</v>
      </c>
      <c r="C2560" t="s">
        <v>568</v>
      </c>
      <c r="D2560" s="453">
        <v>45839</v>
      </c>
      <c r="E2560">
        <v>18172</v>
      </c>
      <c r="F2560" t="s">
        <v>3923</v>
      </c>
      <c r="G2560">
        <v>3450</v>
      </c>
      <c r="H2560">
        <v>4.5999999999999996</v>
      </c>
      <c r="I2560" t="s">
        <v>3878</v>
      </c>
      <c r="J2560" t="s">
        <v>3497</v>
      </c>
      <c r="K2560" t="s">
        <v>3745</v>
      </c>
      <c r="L2560">
        <v>31.12</v>
      </c>
      <c r="M2560" s="453">
        <v>45818</v>
      </c>
      <c r="N2560">
        <v>32.64</v>
      </c>
      <c r="O2560">
        <v>32.840000000000003</v>
      </c>
      <c r="P2560">
        <v>143.15</v>
      </c>
    </row>
    <row r="2561" spans="1:16" x14ac:dyDescent="0.3">
      <c r="A2561">
        <v>40081</v>
      </c>
      <c r="B2561">
        <v>116</v>
      </c>
      <c r="C2561" t="s">
        <v>568</v>
      </c>
      <c r="D2561" s="453">
        <v>45839</v>
      </c>
      <c r="E2561">
        <v>17905</v>
      </c>
      <c r="F2561" t="s">
        <v>4139</v>
      </c>
      <c r="G2561">
        <v>3656</v>
      </c>
      <c r="H2561">
        <v>5</v>
      </c>
      <c r="I2561" t="s">
        <v>3888</v>
      </c>
      <c r="J2561" t="s">
        <v>3497</v>
      </c>
      <c r="K2561" t="s">
        <v>3745</v>
      </c>
      <c r="L2561">
        <v>27.48</v>
      </c>
      <c r="M2561" s="453">
        <v>45817</v>
      </c>
      <c r="N2561">
        <v>27.48</v>
      </c>
      <c r="O2561">
        <v>27.48</v>
      </c>
      <c r="P2561">
        <v>137.4</v>
      </c>
    </row>
    <row r="2562" spans="1:16" x14ac:dyDescent="0.3">
      <c r="A2562">
        <v>39911</v>
      </c>
      <c r="B2562">
        <v>116</v>
      </c>
      <c r="C2562" t="s">
        <v>568</v>
      </c>
      <c r="D2562" s="453">
        <v>45839</v>
      </c>
      <c r="E2562">
        <v>20501</v>
      </c>
      <c r="F2562" t="s">
        <v>4219</v>
      </c>
      <c r="G2562">
        <v>2154</v>
      </c>
      <c r="H2562">
        <v>6</v>
      </c>
      <c r="I2562" t="s">
        <v>3892</v>
      </c>
      <c r="J2562" t="s">
        <v>3469</v>
      </c>
      <c r="K2562" t="s">
        <v>3745</v>
      </c>
      <c r="L2562">
        <v>22.85</v>
      </c>
      <c r="M2562" s="453">
        <v>45825</v>
      </c>
      <c r="N2562">
        <v>20.8</v>
      </c>
      <c r="O2562">
        <v>23.8</v>
      </c>
      <c r="P2562">
        <v>137.1</v>
      </c>
    </row>
    <row r="2563" spans="1:16" x14ac:dyDescent="0.3">
      <c r="A2563">
        <v>39870</v>
      </c>
      <c r="B2563">
        <v>116</v>
      </c>
      <c r="C2563" t="s">
        <v>568</v>
      </c>
      <c r="D2563" s="453">
        <v>45839</v>
      </c>
      <c r="E2563">
        <v>20757</v>
      </c>
      <c r="F2563" t="s">
        <v>4050</v>
      </c>
      <c r="G2563">
        <v>2086</v>
      </c>
      <c r="H2563">
        <v>1.7</v>
      </c>
      <c r="I2563" t="s">
        <v>3966</v>
      </c>
      <c r="J2563" t="s">
        <v>3469</v>
      </c>
      <c r="K2563" t="s">
        <v>3745</v>
      </c>
      <c r="L2563">
        <v>80.150000000000006</v>
      </c>
      <c r="M2563" s="453">
        <v>45811</v>
      </c>
      <c r="N2563">
        <v>80.150000000000006</v>
      </c>
      <c r="O2563">
        <v>79.8</v>
      </c>
      <c r="P2563">
        <v>136.26</v>
      </c>
    </row>
    <row r="2564" spans="1:16" x14ac:dyDescent="0.3">
      <c r="A2564">
        <v>40058</v>
      </c>
      <c r="B2564">
        <v>116</v>
      </c>
      <c r="C2564" t="s">
        <v>568</v>
      </c>
      <c r="D2564" s="453">
        <v>45839</v>
      </c>
      <c r="E2564">
        <v>22338</v>
      </c>
      <c r="F2564" t="s">
        <v>3947</v>
      </c>
      <c r="G2564">
        <v>3376</v>
      </c>
      <c r="H2564">
        <v>4.5</v>
      </c>
      <c r="I2564" t="s">
        <v>3872</v>
      </c>
      <c r="J2564" t="s">
        <v>3497</v>
      </c>
      <c r="K2564" t="s">
        <v>3745</v>
      </c>
      <c r="L2564">
        <v>0</v>
      </c>
      <c r="M2564" s="453">
        <v>45659</v>
      </c>
      <c r="N2564">
        <v>29.97</v>
      </c>
      <c r="O2564">
        <v>28.97</v>
      </c>
      <c r="P2564">
        <v>134.86000000000001</v>
      </c>
    </row>
    <row r="2565" spans="1:16" x14ac:dyDescent="0.3">
      <c r="A2565">
        <v>40061</v>
      </c>
      <c r="B2565">
        <v>116</v>
      </c>
      <c r="C2565" t="s">
        <v>568</v>
      </c>
      <c r="D2565" s="453">
        <v>45839</v>
      </c>
      <c r="E2565">
        <v>18232</v>
      </c>
      <c r="F2565" t="s">
        <v>4091</v>
      </c>
      <c r="G2565">
        <v>3396</v>
      </c>
      <c r="H2565">
        <v>1.5</v>
      </c>
      <c r="I2565" t="s">
        <v>3878</v>
      </c>
      <c r="J2565" t="s">
        <v>3497</v>
      </c>
      <c r="K2565" t="s">
        <v>3745</v>
      </c>
      <c r="L2565">
        <v>0</v>
      </c>
      <c r="M2565" s="453">
        <v>45434</v>
      </c>
      <c r="N2565">
        <v>88.9</v>
      </c>
      <c r="O2565">
        <v>100.88</v>
      </c>
      <c r="P2565">
        <v>133.35</v>
      </c>
    </row>
    <row r="2566" spans="1:16" x14ac:dyDescent="0.3">
      <c r="A2566">
        <v>40094</v>
      </c>
      <c r="B2566">
        <v>116</v>
      </c>
      <c r="C2566" t="s">
        <v>568</v>
      </c>
      <c r="D2566" s="453">
        <v>45839</v>
      </c>
      <c r="E2566">
        <v>17609</v>
      </c>
      <c r="F2566" t="s">
        <v>4038</v>
      </c>
      <c r="G2566">
        <v>3917</v>
      </c>
      <c r="H2566">
        <v>7</v>
      </c>
      <c r="I2566" t="s">
        <v>3878</v>
      </c>
      <c r="J2566" t="s">
        <v>3497</v>
      </c>
      <c r="K2566" t="s">
        <v>3745</v>
      </c>
      <c r="L2566">
        <v>0</v>
      </c>
      <c r="M2566" s="453">
        <v>45573</v>
      </c>
      <c r="N2566">
        <v>18.899999999999999</v>
      </c>
      <c r="O2566">
        <v>18.899999999999999</v>
      </c>
      <c r="P2566">
        <v>132.30000000000001</v>
      </c>
    </row>
    <row r="2567" spans="1:16" x14ac:dyDescent="0.3">
      <c r="A2567">
        <v>39874</v>
      </c>
      <c r="B2567">
        <v>116</v>
      </c>
      <c r="C2567" t="s">
        <v>568</v>
      </c>
      <c r="D2567" s="453">
        <v>45839</v>
      </c>
      <c r="E2567">
        <v>20755</v>
      </c>
      <c r="F2567" t="s">
        <v>4052</v>
      </c>
      <c r="G2567">
        <v>2087</v>
      </c>
      <c r="H2567">
        <v>1</v>
      </c>
      <c r="I2567" t="s">
        <v>3966</v>
      </c>
      <c r="J2567" t="s">
        <v>3469</v>
      </c>
      <c r="K2567" t="s">
        <v>3745</v>
      </c>
      <c r="L2567">
        <v>130</v>
      </c>
      <c r="M2567" s="453">
        <v>45818</v>
      </c>
      <c r="N2567">
        <v>130</v>
      </c>
      <c r="O2567">
        <v>108.58</v>
      </c>
      <c r="P2567">
        <v>130</v>
      </c>
    </row>
    <row r="2568" spans="1:16" x14ac:dyDescent="0.3">
      <c r="A2568">
        <v>40070</v>
      </c>
      <c r="B2568">
        <v>116</v>
      </c>
      <c r="C2568" t="s">
        <v>568</v>
      </c>
      <c r="D2568" s="453">
        <v>45839</v>
      </c>
      <c r="E2568">
        <v>22108</v>
      </c>
      <c r="F2568" t="s">
        <v>3871</v>
      </c>
      <c r="G2568">
        <v>3609</v>
      </c>
      <c r="H2568">
        <v>86</v>
      </c>
      <c r="I2568" t="s">
        <v>3872</v>
      </c>
      <c r="J2568" t="s">
        <v>3497</v>
      </c>
      <c r="K2568" t="s">
        <v>3745</v>
      </c>
      <c r="L2568">
        <v>0</v>
      </c>
      <c r="M2568" s="453">
        <v>45670</v>
      </c>
      <c r="N2568">
        <v>1.42</v>
      </c>
      <c r="O2568">
        <v>1.85</v>
      </c>
      <c r="P2568">
        <v>122.55</v>
      </c>
    </row>
    <row r="2569" spans="1:16" x14ac:dyDescent="0.3">
      <c r="A2569">
        <v>39863</v>
      </c>
      <c r="B2569">
        <v>116</v>
      </c>
      <c r="C2569" t="s">
        <v>568</v>
      </c>
      <c r="D2569" s="453">
        <v>45839</v>
      </c>
      <c r="E2569">
        <v>25767</v>
      </c>
      <c r="F2569" t="s">
        <v>3976</v>
      </c>
      <c r="G2569">
        <v>6316</v>
      </c>
      <c r="H2569">
        <v>2</v>
      </c>
      <c r="I2569" t="s">
        <v>3892</v>
      </c>
      <c r="J2569" t="s">
        <v>3469</v>
      </c>
      <c r="K2569" t="s">
        <v>3745</v>
      </c>
      <c r="L2569">
        <v>0</v>
      </c>
      <c r="M2569" s="453">
        <v>45635</v>
      </c>
      <c r="N2569">
        <v>60</v>
      </c>
      <c r="O2569">
        <v>60</v>
      </c>
      <c r="P2569">
        <v>120</v>
      </c>
    </row>
    <row r="2570" spans="1:16" x14ac:dyDescent="0.3">
      <c r="A2570">
        <v>39987</v>
      </c>
      <c r="B2570">
        <v>116</v>
      </c>
      <c r="C2570" t="s">
        <v>568</v>
      </c>
      <c r="D2570" s="453">
        <v>45839</v>
      </c>
      <c r="E2570">
        <v>19565</v>
      </c>
      <c r="F2570" t="s">
        <v>3987</v>
      </c>
      <c r="G2570">
        <v>2652</v>
      </c>
      <c r="H2570">
        <v>3</v>
      </c>
      <c r="I2570" t="s">
        <v>3892</v>
      </c>
      <c r="J2570" t="s">
        <v>3469</v>
      </c>
      <c r="K2570" t="s">
        <v>3745</v>
      </c>
      <c r="L2570">
        <v>0</v>
      </c>
      <c r="M2570" s="453">
        <v>45754</v>
      </c>
      <c r="N2570">
        <v>39</v>
      </c>
      <c r="O2570">
        <v>38</v>
      </c>
      <c r="P2570">
        <v>117</v>
      </c>
    </row>
    <row r="2571" spans="1:16" x14ac:dyDescent="0.3">
      <c r="A2571">
        <v>39876</v>
      </c>
      <c r="B2571">
        <v>116</v>
      </c>
      <c r="C2571" t="s">
        <v>568</v>
      </c>
      <c r="D2571" s="453">
        <v>45839</v>
      </c>
      <c r="E2571">
        <v>20729</v>
      </c>
      <c r="F2571" t="s">
        <v>3965</v>
      </c>
      <c r="G2571">
        <v>2093</v>
      </c>
      <c r="H2571">
        <v>2</v>
      </c>
      <c r="I2571" t="s">
        <v>3966</v>
      </c>
      <c r="J2571" t="s">
        <v>3469</v>
      </c>
      <c r="K2571" t="s">
        <v>3745</v>
      </c>
      <c r="L2571">
        <v>56</v>
      </c>
      <c r="M2571" s="453">
        <v>45824</v>
      </c>
      <c r="N2571">
        <v>56.04</v>
      </c>
      <c r="O2571">
        <v>56.97</v>
      </c>
      <c r="P2571">
        <v>112</v>
      </c>
    </row>
    <row r="2572" spans="1:16" x14ac:dyDescent="0.3">
      <c r="A2572">
        <v>39969</v>
      </c>
      <c r="B2572">
        <v>116</v>
      </c>
      <c r="C2572" t="s">
        <v>568</v>
      </c>
      <c r="D2572" s="453">
        <v>45839</v>
      </c>
      <c r="E2572">
        <v>27079</v>
      </c>
      <c r="F2572" t="s">
        <v>3891</v>
      </c>
      <c r="G2572">
        <v>2497</v>
      </c>
      <c r="H2572">
        <v>33</v>
      </c>
      <c r="I2572" t="s">
        <v>3892</v>
      </c>
      <c r="J2572" t="s">
        <v>3469</v>
      </c>
      <c r="K2572" t="s">
        <v>3745</v>
      </c>
      <c r="L2572">
        <v>3.38</v>
      </c>
      <c r="M2572" s="453">
        <v>45813</v>
      </c>
      <c r="N2572">
        <v>3.25</v>
      </c>
      <c r="O2572">
        <v>3.25</v>
      </c>
      <c r="P2572">
        <v>111.54</v>
      </c>
    </row>
    <row r="2573" spans="1:16" x14ac:dyDescent="0.3">
      <c r="A2573">
        <v>39936</v>
      </c>
      <c r="B2573">
        <v>116</v>
      </c>
      <c r="C2573" t="s">
        <v>568</v>
      </c>
      <c r="D2573" s="453">
        <v>45839</v>
      </c>
      <c r="E2573">
        <v>20458</v>
      </c>
      <c r="F2573" t="s">
        <v>4121</v>
      </c>
      <c r="G2573">
        <v>2164</v>
      </c>
      <c r="H2573">
        <v>3.8</v>
      </c>
      <c r="I2573" t="s">
        <v>3892</v>
      </c>
      <c r="J2573" t="s">
        <v>3469</v>
      </c>
      <c r="K2573" t="s">
        <v>3745</v>
      </c>
      <c r="L2573">
        <v>0</v>
      </c>
      <c r="M2573" s="453">
        <v>45804</v>
      </c>
      <c r="N2573">
        <v>28.9</v>
      </c>
      <c r="O2573">
        <v>28.9</v>
      </c>
      <c r="P2573">
        <v>109.82</v>
      </c>
    </row>
    <row r="2574" spans="1:16" x14ac:dyDescent="0.3">
      <c r="A2574">
        <v>40053</v>
      </c>
      <c r="B2574">
        <v>116</v>
      </c>
      <c r="C2574" t="s">
        <v>568</v>
      </c>
      <c r="D2574" s="453">
        <v>45839</v>
      </c>
      <c r="E2574">
        <v>18315</v>
      </c>
      <c r="F2574" t="s">
        <v>4088</v>
      </c>
      <c r="G2574">
        <v>3318</v>
      </c>
      <c r="H2574">
        <v>0.8</v>
      </c>
      <c r="I2574" t="s">
        <v>3878</v>
      </c>
      <c r="J2574" t="s">
        <v>3497</v>
      </c>
      <c r="K2574" t="s">
        <v>3745</v>
      </c>
      <c r="L2574">
        <v>135</v>
      </c>
      <c r="M2574" s="453">
        <v>45817</v>
      </c>
      <c r="N2574">
        <v>135</v>
      </c>
      <c r="O2574">
        <v>131.68</v>
      </c>
      <c r="P2574">
        <v>108</v>
      </c>
    </row>
    <row r="2575" spans="1:16" x14ac:dyDescent="0.3">
      <c r="A2575">
        <v>39881</v>
      </c>
      <c r="B2575">
        <v>116</v>
      </c>
      <c r="C2575" t="s">
        <v>568</v>
      </c>
      <c r="D2575" s="453">
        <v>45839</v>
      </c>
      <c r="E2575">
        <v>26193</v>
      </c>
      <c r="F2575" t="s">
        <v>3950</v>
      </c>
      <c r="G2575">
        <v>6616</v>
      </c>
      <c r="H2575">
        <v>9</v>
      </c>
      <c r="I2575" t="s">
        <v>3872</v>
      </c>
      <c r="J2575" t="s">
        <v>3469</v>
      </c>
      <c r="K2575" t="s">
        <v>3745</v>
      </c>
      <c r="L2575">
        <v>0</v>
      </c>
      <c r="M2575" s="453">
        <v>-693593</v>
      </c>
      <c r="N2575">
        <v>0</v>
      </c>
      <c r="O2575">
        <v>12.3</v>
      </c>
      <c r="P2575">
        <v>106.65</v>
      </c>
    </row>
    <row r="2576" spans="1:16" x14ac:dyDescent="0.3">
      <c r="A2576">
        <v>40055</v>
      </c>
      <c r="B2576">
        <v>116</v>
      </c>
      <c r="C2576" t="s">
        <v>568</v>
      </c>
      <c r="D2576" s="453">
        <v>45839</v>
      </c>
      <c r="E2576">
        <v>18312</v>
      </c>
      <c r="F2576" t="s">
        <v>4089</v>
      </c>
      <c r="G2576">
        <v>3321</v>
      </c>
      <c r="H2576">
        <v>1</v>
      </c>
      <c r="I2576" t="s">
        <v>3878</v>
      </c>
      <c r="J2576" t="s">
        <v>3497</v>
      </c>
      <c r="K2576" t="s">
        <v>3745</v>
      </c>
      <c r="L2576">
        <v>0</v>
      </c>
      <c r="M2576" s="453">
        <v>45793</v>
      </c>
      <c r="N2576">
        <v>105.9</v>
      </c>
      <c r="O2576">
        <v>105.9</v>
      </c>
      <c r="P2576">
        <v>105.9</v>
      </c>
    </row>
    <row r="2577" spans="1:16" x14ac:dyDescent="0.3">
      <c r="A2577">
        <v>39926</v>
      </c>
      <c r="B2577">
        <v>116</v>
      </c>
      <c r="C2577" t="s">
        <v>568</v>
      </c>
      <c r="D2577" s="453">
        <v>45839</v>
      </c>
      <c r="E2577">
        <v>20624</v>
      </c>
      <c r="F2577" t="s">
        <v>3982</v>
      </c>
      <c r="G2577">
        <v>2116</v>
      </c>
      <c r="H2577">
        <v>1.5</v>
      </c>
      <c r="I2577" t="s">
        <v>3966</v>
      </c>
      <c r="J2577" t="s">
        <v>3469</v>
      </c>
      <c r="K2577" t="s">
        <v>3745</v>
      </c>
      <c r="L2577">
        <v>70.44</v>
      </c>
      <c r="M2577" s="453">
        <v>45824</v>
      </c>
      <c r="N2577">
        <v>70.98</v>
      </c>
      <c r="O2577">
        <v>70.02</v>
      </c>
      <c r="P2577">
        <v>105.66</v>
      </c>
    </row>
    <row r="2578" spans="1:16" x14ac:dyDescent="0.3">
      <c r="A2578">
        <v>40050</v>
      </c>
      <c r="B2578">
        <v>116</v>
      </c>
      <c r="C2578" t="s">
        <v>568</v>
      </c>
      <c r="D2578" s="453">
        <v>45839</v>
      </c>
      <c r="E2578">
        <v>18327</v>
      </c>
      <c r="F2578" t="s">
        <v>4087</v>
      </c>
      <c r="G2578">
        <v>3306</v>
      </c>
      <c r="H2578">
        <v>1</v>
      </c>
      <c r="I2578" t="s">
        <v>3878</v>
      </c>
      <c r="J2578" t="s">
        <v>3497</v>
      </c>
      <c r="K2578" t="s">
        <v>3745</v>
      </c>
      <c r="L2578">
        <v>0</v>
      </c>
      <c r="M2578" s="453">
        <v>45790</v>
      </c>
      <c r="N2578">
        <v>105</v>
      </c>
      <c r="O2578">
        <v>106.9</v>
      </c>
      <c r="P2578">
        <v>105</v>
      </c>
    </row>
    <row r="2579" spans="1:16" x14ac:dyDescent="0.3">
      <c r="A2579">
        <v>39901</v>
      </c>
      <c r="B2579">
        <v>116</v>
      </c>
      <c r="C2579" t="s">
        <v>568</v>
      </c>
      <c r="D2579" s="453">
        <v>45839</v>
      </c>
      <c r="E2579">
        <v>20234</v>
      </c>
      <c r="F2579" t="s">
        <v>3979</v>
      </c>
      <c r="G2579">
        <v>2245</v>
      </c>
      <c r="H2579">
        <v>5</v>
      </c>
      <c r="I2579" t="s">
        <v>3892</v>
      </c>
      <c r="J2579" t="s">
        <v>3469</v>
      </c>
      <c r="K2579" t="s">
        <v>3745</v>
      </c>
      <c r="L2579">
        <v>20.9</v>
      </c>
      <c r="M2579" s="453">
        <v>45812</v>
      </c>
      <c r="N2579">
        <v>20.9</v>
      </c>
      <c r="O2579">
        <v>21.73</v>
      </c>
      <c r="P2579">
        <v>104.5</v>
      </c>
    </row>
    <row r="2580" spans="1:16" x14ac:dyDescent="0.3">
      <c r="A2580">
        <v>40020</v>
      </c>
      <c r="B2580">
        <v>116</v>
      </c>
      <c r="C2580" t="s">
        <v>568</v>
      </c>
      <c r="D2580" s="453">
        <v>45839</v>
      </c>
      <c r="E2580">
        <v>24343</v>
      </c>
      <c r="F2580" t="s">
        <v>3990</v>
      </c>
      <c r="G2580">
        <v>3044</v>
      </c>
      <c r="H2580">
        <v>3.5</v>
      </c>
      <c r="I2580" t="s">
        <v>3892</v>
      </c>
      <c r="J2580" t="s">
        <v>3469</v>
      </c>
      <c r="K2580" t="s">
        <v>3745</v>
      </c>
      <c r="L2580">
        <v>29.8</v>
      </c>
      <c r="M2580" s="453">
        <v>45824</v>
      </c>
      <c r="N2580">
        <v>29.8</v>
      </c>
      <c r="O2580">
        <v>29.8</v>
      </c>
      <c r="P2580">
        <v>104.3</v>
      </c>
    </row>
    <row r="2581" spans="1:16" x14ac:dyDescent="0.3">
      <c r="A2581">
        <v>40051</v>
      </c>
      <c r="B2581">
        <v>116</v>
      </c>
      <c r="C2581" t="s">
        <v>568</v>
      </c>
      <c r="D2581" s="453">
        <v>45839</v>
      </c>
      <c r="E2581">
        <v>18325</v>
      </c>
      <c r="F2581" t="s">
        <v>4459</v>
      </c>
      <c r="G2581">
        <v>3308</v>
      </c>
      <c r="H2581">
        <v>3</v>
      </c>
      <c r="I2581" t="s">
        <v>3878</v>
      </c>
      <c r="J2581" t="s">
        <v>3497</v>
      </c>
      <c r="K2581" t="s">
        <v>3745</v>
      </c>
      <c r="L2581">
        <v>0</v>
      </c>
      <c r="M2581" s="453">
        <v>-693593</v>
      </c>
      <c r="N2581">
        <v>0</v>
      </c>
      <c r="O2581">
        <v>34.479999999999997</v>
      </c>
      <c r="P2581">
        <v>103.44</v>
      </c>
    </row>
    <row r="2582" spans="1:16" x14ac:dyDescent="0.3">
      <c r="A2582">
        <v>40005</v>
      </c>
      <c r="B2582">
        <v>116</v>
      </c>
      <c r="C2582" t="s">
        <v>568</v>
      </c>
      <c r="D2582" s="453">
        <v>45839</v>
      </c>
      <c r="E2582">
        <v>19264</v>
      </c>
      <c r="F2582" t="s">
        <v>4082</v>
      </c>
      <c r="G2582">
        <v>2781</v>
      </c>
      <c r="H2582">
        <v>1.5</v>
      </c>
      <c r="I2582" t="s">
        <v>3888</v>
      </c>
      <c r="J2582" t="s">
        <v>3469</v>
      </c>
      <c r="K2582" t="s">
        <v>3745</v>
      </c>
      <c r="L2582">
        <v>68.5</v>
      </c>
      <c r="M2582" s="453">
        <v>45824</v>
      </c>
      <c r="N2582">
        <v>68.5</v>
      </c>
      <c r="O2582">
        <v>60.9</v>
      </c>
      <c r="P2582">
        <v>102.75</v>
      </c>
    </row>
    <row r="2583" spans="1:16" x14ac:dyDescent="0.3">
      <c r="A2583">
        <v>39897</v>
      </c>
      <c r="B2583">
        <v>116</v>
      </c>
      <c r="C2583" t="s">
        <v>568</v>
      </c>
      <c r="D2583" s="453">
        <v>45839</v>
      </c>
      <c r="E2583">
        <v>20250</v>
      </c>
      <c r="F2583" t="s">
        <v>4008</v>
      </c>
      <c r="G2583">
        <v>2241</v>
      </c>
      <c r="H2583">
        <v>2.5</v>
      </c>
      <c r="I2583" t="s">
        <v>3888</v>
      </c>
      <c r="J2583" t="s">
        <v>3469</v>
      </c>
      <c r="K2583" t="s">
        <v>3745</v>
      </c>
      <c r="L2583">
        <v>0</v>
      </c>
      <c r="M2583" s="453">
        <v>45782</v>
      </c>
      <c r="N2583">
        <v>41</v>
      </c>
      <c r="O2583">
        <v>40.54</v>
      </c>
      <c r="P2583">
        <v>102.5</v>
      </c>
    </row>
    <row r="2584" spans="1:16" x14ac:dyDescent="0.3">
      <c r="A2584">
        <v>39981</v>
      </c>
      <c r="B2584">
        <v>116</v>
      </c>
      <c r="C2584" t="s">
        <v>568</v>
      </c>
      <c r="D2584" s="453">
        <v>45839</v>
      </c>
      <c r="E2584">
        <v>19578</v>
      </c>
      <c r="F2584" t="s">
        <v>3985</v>
      </c>
      <c r="G2584">
        <v>2640</v>
      </c>
      <c r="H2584">
        <v>2</v>
      </c>
      <c r="I2584" t="s">
        <v>3892</v>
      </c>
      <c r="J2584" t="s">
        <v>3469</v>
      </c>
      <c r="K2584" t="s">
        <v>3745</v>
      </c>
      <c r="L2584">
        <v>0</v>
      </c>
      <c r="M2584" s="453">
        <v>45754</v>
      </c>
      <c r="N2584">
        <v>50</v>
      </c>
      <c r="O2584">
        <v>45</v>
      </c>
      <c r="P2584">
        <v>100</v>
      </c>
    </row>
    <row r="2585" spans="1:16" x14ac:dyDescent="0.3">
      <c r="A2585">
        <v>39982</v>
      </c>
      <c r="B2585">
        <v>116</v>
      </c>
      <c r="C2585" t="s">
        <v>568</v>
      </c>
      <c r="D2585" s="453">
        <v>45839</v>
      </c>
      <c r="E2585">
        <v>19579</v>
      </c>
      <c r="F2585" t="s">
        <v>4020</v>
      </c>
      <c r="G2585">
        <v>2640</v>
      </c>
      <c r="H2585">
        <v>2</v>
      </c>
      <c r="I2585" t="s">
        <v>3892</v>
      </c>
      <c r="J2585" t="s">
        <v>3469</v>
      </c>
      <c r="K2585" t="s">
        <v>3745</v>
      </c>
      <c r="L2585">
        <v>0</v>
      </c>
      <c r="M2585" s="453">
        <v>45754</v>
      </c>
      <c r="N2585">
        <v>50</v>
      </c>
      <c r="O2585">
        <v>50</v>
      </c>
      <c r="P2585">
        <v>100</v>
      </c>
    </row>
    <row r="2586" spans="1:16" x14ac:dyDescent="0.3">
      <c r="A2586">
        <v>39952</v>
      </c>
      <c r="B2586">
        <v>116</v>
      </c>
      <c r="C2586" t="s">
        <v>568</v>
      </c>
      <c r="D2586" s="453">
        <v>45839</v>
      </c>
      <c r="E2586">
        <v>24083</v>
      </c>
      <c r="F2586" t="s">
        <v>3898</v>
      </c>
      <c r="G2586">
        <v>2592</v>
      </c>
      <c r="H2586">
        <v>17</v>
      </c>
      <c r="I2586" t="s">
        <v>3892</v>
      </c>
      <c r="J2586" t="s">
        <v>3469</v>
      </c>
      <c r="K2586" t="s">
        <v>3745</v>
      </c>
      <c r="L2586">
        <v>5.84</v>
      </c>
      <c r="M2586" s="453">
        <v>45827</v>
      </c>
      <c r="N2586">
        <v>4.8</v>
      </c>
      <c r="O2586">
        <v>4.2300000000000004</v>
      </c>
      <c r="P2586">
        <v>99.28</v>
      </c>
    </row>
    <row r="2587" spans="1:16" x14ac:dyDescent="0.3">
      <c r="A2587">
        <v>39915</v>
      </c>
      <c r="B2587">
        <v>116</v>
      </c>
      <c r="C2587" t="s">
        <v>568</v>
      </c>
      <c r="D2587" s="453">
        <v>45839</v>
      </c>
      <c r="E2587">
        <v>20117</v>
      </c>
      <c r="F2587" t="s">
        <v>4010</v>
      </c>
      <c r="G2587">
        <v>2291</v>
      </c>
      <c r="H2587">
        <v>2.5</v>
      </c>
      <c r="I2587" t="s">
        <v>3872</v>
      </c>
      <c r="J2587" t="s">
        <v>3469</v>
      </c>
      <c r="K2587" t="s">
        <v>3745</v>
      </c>
      <c r="L2587">
        <v>38.950000000000003</v>
      </c>
      <c r="M2587" s="453">
        <v>45824</v>
      </c>
      <c r="N2587">
        <v>38.950000000000003</v>
      </c>
      <c r="O2587">
        <v>37.9</v>
      </c>
      <c r="P2587">
        <v>97.38</v>
      </c>
    </row>
    <row r="2588" spans="1:16" x14ac:dyDescent="0.3">
      <c r="A2588">
        <v>39930</v>
      </c>
      <c r="B2588">
        <v>116</v>
      </c>
      <c r="C2588" t="s">
        <v>568</v>
      </c>
      <c r="D2588" s="453">
        <v>45839</v>
      </c>
      <c r="E2588">
        <v>20487</v>
      </c>
      <c r="F2588" t="s">
        <v>4310</v>
      </c>
      <c r="G2588">
        <v>2157</v>
      </c>
      <c r="H2588">
        <v>3.4</v>
      </c>
      <c r="I2588" t="s">
        <v>3892</v>
      </c>
      <c r="J2588" t="s">
        <v>3469</v>
      </c>
      <c r="K2588" t="s">
        <v>3745</v>
      </c>
      <c r="L2588">
        <v>0</v>
      </c>
      <c r="M2588" s="453">
        <v>45818</v>
      </c>
      <c r="N2588">
        <v>0</v>
      </c>
      <c r="O2588">
        <v>0</v>
      </c>
      <c r="P2588">
        <v>96.7</v>
      </c>
    </row>
    <row r="2589" spans="1:16" x14ac:dyDescent="0.3">
      <c r="A2589">
        <v>39919</v>
      </c>
      <c r="B2589">
        <v>116</v>
      </c>
      <c r="C2589" t="s">
        <v>568</v>
      </c>
      <c r="D2589" s="453">
        <v>45839</v>
      </c>
      <c r="E2589">
        <v>19984</v>
      </c>
      <c r="F2589" t="s">
        <v>3904</v>
      </c>
      <c r="G2589">
        <v>2351</v>
      </c>
      <c r="H2589">
        <v>5</v>
      </c>
      <c r="I2589" t="s">
        <v>3872</v>
      </c>
      <c r="J2589" t="s">
        <v>3469</v>
      </c>
      <c r="K2589" t="s">
        <v>3745</v>
      </c>
      <c r="L2589">
        <v>0</v>
      </c>
      <c r="M2589" s="453">
        <v>45804</v>
      </c>
      <c r="N2589">
        <v>18.899999999999999</v>
      </c>
      <c r="O2589">
        <v>18.989999999999998</v>
      </c>
      <c r="P2589">
        <v>94.5</v>
      </c>
    </row>
    <row r="2590" spans="1:16" x14ac:dyDescent="0.3">
      <c r="A2590">
        <v>39913</v>
      </c>
      <c r="B2590">
        <v>116</v>
      </c>
      <c r="C2590" t="s">
        <v>568</v>
      </c>
      <c r="D2590" s="453">
        <v>45839</v>
      </c>
      <c r="E2590">
        <v>20007</v>
      </c>
      <c r="F2590" t="s">
        <v>4009</v>
      </c>
      <c r="G2590">
        <v>2343</v>
      </c>
      <c r="H2590">
        <v>2</v>
      </c>
      <c r="I2590" t="s">
        <v>3966</v>
      </c>
      <c r="J2590" t="s">
        <v>3469</v>
      </c>
      <c r="K2590" t="s">
        <v>3745</v>
      </c>
      <c r="L2590">
        <v>47.23</v>
      </c>
      <c r="M2590" s="453">
        <v>45817</v>
      </c>
      <c r="N2590">
        <v>47.23</v>
      </c>
      <c r="O2590">
        <v>46.96</v>
      </c>
      <c r="P2590">
        <v>94.46</v>
      </c>
    </row>
    <row r="2591" spans="1:16" x14ac:dyDescent="0.3">
      <c r="A2591">
        <v>40066</v>
      </c>
      <c r="B2591">
        <v>116</v>
      </c>
      <c r="C2591" t="s">
        <v>568</v>
      </c>
      <c r="D2591" s="453">
        <v>45839</v>
      </c>
      <c r="E2591">
        <v>18129</v>
      </c>
      <c r="F2591" t="s">
        <v>4092</v>
      </c>
      <c r="G2591">
        <v>3486</v>
      </c>
      <c r="H2591">
        <v>0.6</v>
      </c>
      <c r="I2591" t="s">
        <v>3878</v>
      </c>
      <c r="J2591" t="s">
        <v>3497</v>
      </c>
      <c r="K2591" t="s">
        <v>3745</v>
      </c>
      <c r="L2591">
        <v>0</v>
      </c>
      <c r="M2591" s="453">
        <v>45770</v>
      </c>
      <c r="N2591">
        <v>156.31</v>
      </c>
      <c r="O2591">
        <v>165.9</v>
      </c>
      <c r="P2591">
        <v>93.79</v>
      </c>
    </row>
    <row r="2592" spans="1:16" x14ac:dyDescent="0.3">
      <c r="A2592">
        <v>40045</v>
      </c>
      <c r="B2592">
        <v>116</v>
      </c>
      <c r="C2592" t="s">
        <v>568</v>
      </c>
      <c r="D2592" s="453">
        <v>45839</v>
      </c>
      <c r="E2592">
        <v>18467</v>
      </c>
      <c r="F2592" t="s">
        <v>4028</v>
      </c>
      <c r="G2592">
        <v>3189</v>
      </c>
      <c r="H2592">
        <v>1.2</v>
      </c>
      <c r="I2592" t="s">
        <v>3878</v>
      </c>
      <c r="J2592" t="s">
        <v>3497</v>
      </c>
      <c r="K2592" t="s">
        <v>3745</v>
      </c>
      <c r="L2592">
        <v>76.58</v>
      </c>
      <c r="M2592" s="453">
        <v>45818</v>
      </c>
      <c r="N2592">
        <v>76.58</v>
      </c>
      <c r="O2592">
        <v>76.58</v>
      </c>
      <c r="P2592">
        <v>91.9</v>
      </c>
    </row>
    <row r="2593" spans="1:16" x14ac:dyDescent="0.3">
      <c r="A2593">
        <v>39973</v>
      </c>
      <c r="B2593">
        <v>116</v>
      </c>
      <c r="C2593" t="s">
        <v>568</v>
      </c>
      <c r="D2593" s="453">
        <v>45839</v>
      </c>
      <c r="E2593">
        <v>19478</v>
      </c>
      <c r="F2593" t="s">
        <v>4072</v>
      </c>
      <c r="G2593">
        <v>2728</v>
      </c>
      <c r="H2593">
        <v>1.2</v>
      </c>
      <c r="I2593" t="s">
        <v>3892</v>
      </c>
      <c r="J2593" t="s">
        <v>3469</v>
      </c>
      <c r="K2593" t="s">
        <v>3745</v>
      </c>
      <c r="L2593">
        <v>75</v>
      </c>
      <c r="M2593" s="453">
        <v>45810</v>
      </c>
      <c r="N2593">
        <v>75</v>
      </c>
      <c r="O2593">
        <v>35.869999999999997</v>
      </c>
      <c r="P2593">
        <v>90</v>
      </c>
    </row>
    <row r="2594" spans="1:16" x14ac:dyDescent="0.3">
      <c r="A2594">
        <v>40060</v>
      </c>
      <c r="B2594">
        <v>116</v>
      </c>
      <c r="C2594" t="s">
        <v>568</v>
      </c>
      <c r="D2594" s="453">
        <v>45839</v>
      </c>
      <c r="E2594">
        <v>18233</v>
      </c>
      <c r="F2594" t="s">
        <v>4090</v>
      </c>
      <c r="G2594">
        <v>3395</v>
      </c>
      <c r="H2594">
        <v>1</v>
      </c>
      <c r="I2594" t="s">
        <v>3878</v>
      </c>
      <c r="J2594" t="s">
        <v>3497</v>
      </c>
      <c r="K2594" t="s">
        <v>3745</v>
      </c>
      <c r="L2594">
        <v>0</v>
      </c>
      <c r="M2594" s="453">
        <v>45664</v>
      </c>
      <c r="N2594">
        <v>88.9</v>
      </c>
      <c r="O2594">
        <v>106.9</v>
      </c>
      <c r="P2594">
        <v>88.9</v>
      </c>
    </row>
    <row r="2595" spans="1:16" x14ac:dyDescent="0.3">
      <c r="A2595">
        <v>40038</v>
      </c>
      <c r="B2595">
        <v>116</v>
      </c>
      <c r="C2595" t="s">
        <v>568</v>
      </c>
      <c r="D2595" s="453">
        <v>45839</v>
      </c>
      <c r="E2595">
        <v>18538</v>
      </c>
      <c r="F2595" t="s">
        <v>4026</v>
      </c>
      <c r="G2595">
        <v>3139</v>
      </c>
      <c r="H2595">
        <v>0.8</v>
      </c>
      <c r="I2595" t="s">
        <v>3878</v>
      </c>
      <c r="J2595" t="s">
        <v>3497</v>
      </c>
      <c r="K2595" t="s">
        <v>3745</v>
      </c>
      <c r="L2595">
        <v>108.95</v>
      </c>
      <c r="M2595" s="453">
        <v>45824</v>
      </c>
      <c r="N2595">
        <v>109.9</v>
      </c>
      <c r="O2595">
        <v>109.9</v>
      </c>
      <c r="P2595">
        <v>87.16</v>
      </c>
    </row>
    <row r="2596" spans="1:16" x14ac:dyDescent="0.3">
      <c r="A2596">
        <v>40039</v>
      </c>
      <c r="B2596">
        <v>116</v>
      </c>
      <c r="C2596" t="s">
        <v>568</v>
      </c>
      <c r="D2596" s="453">
        <v>45839</v>
      </c>
      <c r="E2596">
        <v>18534</v>
      </c>
      <c r="F2596" t="s">
        <v>4084</v>
      </c>
      <c r="G2596">
        <v>3143</v>
      </c>
      <c r="H2596">
        <v>1</v>
      </c>
      <c r="I2596" t="s">
        <v>3878</v>
      </c>
      <c r="J2596" t="s">
        <v>3497</v>
      </c>
      <c r="K2596" t="s">
        <v>3745</v>
      </c>
      <c r="L2596">
        <v>0</v>
      </c>
      <c r="M2596" s="453">
        <v>-693593</v>
      </c>
      <c r="N2596">
        <v>0</v>
      </c>
      <c r="O2596">
        <v>79.900000000000006</v>
      </c>
      <c r="P2596">
        <v>86.89</v>
      </c>
    </row>
    <row r="2597" spans="1:16" x14ac:dyDescent="0.3">
      <c r="A2597">
        <v>40077</v>
      </c>
      <c r="B2597">
        <v>116</v>
      </c>
      <c r="C2597" t="s">
        <v>568</v>
      </c>
      <c r="D2597" s="453">
        <v>45839</v>
      </c>
      <c r="E2597">
        <v>17918</v>
      </c>
      <c r="F2597" t="s">
        <v>4034</v>
      </c>
      <c r="G2597">
        <v>3647</v>
      </c>
      <c r="H2597">
        <v>2</v>
      </c>
      <c r="I2597" t="s">
        <v>3888</v>
      </c>
      <c r="J2597" t="s">
        <v>3497</v>
      </c>
      <c r="K2597" t="s">
        <v>3745</v>
      </c>
      <c r="L2597">
        <v>40.92</v>
      </c>
      <c r="M2597" s="453">
        <v>45810</v>
      </c>
      <c r="N2597">
        <v>40.92</v>
      </c>
      <c r="O2597">
        <v>40.92</v>
      </c>
      <c r="P2597">
        <v>81.84</v>
      </c>
    </row>
    <row r="2598" spans="1:16" x14ac:dyDescent="0.3">
      <c r="A2598">
        <v>40079</v>
      </c>
      <c r="B2598">
        <v>116</v>
      </c>
      <c r="C2598" t="s">
        <v>568</v>
      </c>
      <c r="D2598" s="453">
        <v>45839</v>
      </c>
      <c r="E2598">
        <v>17916</v>
      </c>
      <c r="F2598" t="s">
        <v>4191</v>
      </c>
      <c r="G2598">
        <v>3648</v>
      </c>
      <c r="H2598">
        <v>3</v>
      </c>
      <c r="I2598" t="s">
        <v>3888</v>
      </c>
      <c r="J2598" t="s">
        <v>3497</v>
      </c>
      <c r="K2598" t="s">
        <v>3745</v>
      </c>
      <c r="L2598">
        <v>27.28</v>
      </c>
      <c r="M2598" s="453">
        <v>45810</v>
      </c>
      <c r="N2598">
        <v>27.28</v>
      </c>
      <c r="O2598">
        <v>27.28</v>
      </c>
      <c r="P2598">
        <v>81.84</v>
      </c>
    </row>
    <row r="2599" spans="1:16" x14ac:dyDescent="0.3">
      <c r="A2599">
        <v>39905</v>
      </c>
      <c r="B2599">
        <v>116</v>
      </c>
      <c r="C2599" t="s">
        <v>568</v>
      </c>
      <c r="D2599" s="453">
        <v>45839</v>
      </c>
      <c r="E2599">
        <v>20053</v>
      </c>
      <c r="F2599" t="s">
        <v>4457</v>
      </c>
      <c r="G2599">
        <v>2326</v>
      </c>
      <c r="H2599">
        <v>2</v>
      </c>
      <c r="I2599" t="s">
        <v>3888</v>
      </c>
      <c r="J2599" t="s">
        <v>3469</v>
      </c>
      <c r="K2599" t="s">
        <v>3745</v>
      </c>
      <c r="L2599">
        <v>40.200000000000003</v>
      </c>
      <c r="M2599" s="453">
        <v>45818</v>
      </c>
      <c r="N2599">
        <v>40.200000000000003</v>
      </c>
      <c r="O2599">
        <v>40.200000000000003</v>
      </c>
      <c r="P2599">
        <v>80.400000000000006</v>
      </c>
    </row>
    <row r="2600" spans="1:16" x14ac:dyDescent="0.3">
      <c r="A2600">
        <v>40013</v>
      </c>
      <c r="B2600">
        <v>116</v>
      </c>
      <c r="C2600" t="s">
        <v>568</v>
      </c>
      <c r="D2600" s="453">
        <v>45839</v>
      </c>
      <c r="E2600">
        <v>24194</v>
      </c>
      <c r="F2600" t="s">
        <v>4181</v>
      </c>
      <c r="G2600">
        <v>3038</v>
      </c>
      <c r="H2600">
        <v>1.9</v>
      </c>
      <c r="I2600" t="s">
        <v>3892</v>
      </c>
      <c r="J2600" t="s">
        <v>3469</v>
      </c>
      <c r="K2600" t="s">
        <v>3745</v>
      </c>
      <c r="L2600">
        <v>42</v>
      </c>
      <c r="M2600" s="453">
        <v>45824</v>
      </c>
      <c r="N2600">
        <v>42</v>
      </c>
      <c r="O2600">
        <v>18.670000000000002</v>
      </c>
      <c r="P2600">
        <v>79.8</v>
      </c>
    </row>
    <row r="2601" spans="1:16" x14ac:dyDescent="0.3">
      <c r="A2601">
        <v>39938</v>
      </c>
      <c r="B2601">
        <v>116</v>
      </c>
      <c r="C2601" t="s">
        <v>568</v>
      </c>
      <c r="D2601" s="453">
        <v>45839</v>
      </c>
      <c r="E2601">
        <v>20456</v>
      </c>
      <c r="F2601" t="s">
        <v>4000</v>
      </c>
      <c r="G2601">
        <v>2166</v>
      </c>
      <c r="H2601">
        <v>2</v>
      </c>
      <c r="I2601" t="s">
        <v>3892</v>
      </c>
      <c r="J2601" t="s">
        <v>3469</v>
      </c>
      <c r="K2601" t="s">
        <v>3745</v>
      </c>
      <c r="L2601">
        <v>0</v>
      </c>
      <c r="M2601" s="453">
        <v>45804</v>
      </c>
      <c r="N2601">
        <v>39</v>
      </c>
      <c r="O2601">
        <v>39</v>
      </c>
      <c r="P2601">
        <v>78</v>
      </c>
    </row>
    <row r="2602" spans="1:16" x14ac:dyDescent="0.3">
      <c r="A2602">
        <v>40033</v>
      </c>
      <c r="B2602">
        <v>116</v>
      </c>
      <c r="C2602" t="s">
        <v>568</v>
      </c>
      <c r="D2602" s="453">
        <v>45839</v>
      </c>
      <c r="E2602">
        <v>18589</v>
      </c>
      <c r="F2602" t="s">
        <v>4234</v>
      </c>
      <c r="G2602">
        <v>3103</v>
      </c>
      <c r="H2602">
        <v>0.67</v>
      </c>
      <c r="I2602" t="s">
        <v>3888</v>
      </c>
      <c r="J2602" t="s">
        <v>3497</v>
      </c>
      <c r="K2602" t="s">
        <v>3745</v>
      </c>
      <c r="L2602">
        <v>0</v>
      </c>
      <c r="M2602" s="453">
        <v>45789</v>
      </c>
      <c r="N2602">
        <v>110.64</v>
      </c>
      <c r="O2602">
        <v>110.54</v>
      </c>
      <c r="P2602">
        <v>73.760000000000005</v>
      </c>
    </row>
    <row r="2603" spans="1:16" x14ac:dyDescent="0.3">
      <c r="A2603">
        <v>39879</v>
      </c>
      <c r="B2603">
        <v>116</v>
      </c>
      <c r="C2603" t="s">
        <v>568</v>
      </c>
      <c r="D2603" s="453">
        <v>45839</v>
      </c>
      <c r="E2603">
        <v>20809</v>
      </c>
      <c r="F2603" t="s">
        <v>4005</v>
      </c>
      <c r="G2603">
        <v>2074</v>
      </c>
      <c r="H2603">
        <v>2</v>
      </c>
      <c r="I2603" t="s">
        <v>3888</v>
      </c>
      <c r="J2603" t="s">
        <v>3469</v>
      </c>
      <c r="K2603" t="s">
        <v>3745</v>
      </c>
      <c r="L2603">
        <v>36.83</v>
      </c>
      <c r="M2603" s="453">
        <v>45824</v>
      </c>
      <c r="N2603">
        <v>36.799999999999997</v>
      </c>
      <c r="O2603">
        <v>33.950000000000003</v>
      </c>
      <c r="P2603">
        <v>73.66</v>
      </c>
    </row>
    <row r="2604" spans="1:16" x14ac:dyDescent="0.3">
      <c r="A2604">
        <v>40026</v>
      </c>
      <c r="B2604">
        <v>116</v>
      </c>
      <c r="C2604" t="s">
        <v>568</v>
      </c>
      <c r="D2604" s="453">
        <v>45839</v>
      </c>
      <c r="E2604">
        <v>22889</v>
      </c>
      <c r="F2604" t="s">
        <v>4466</v>
      </c>
      <c r="G2604">
        <v>2900</v>
      </c>
      <c r="H2604">
        <v>4.3</v>
      </c>
      <c r="I2604" t="s">
        <v>3892</v>
      </c>
      <c r="J2604" t="s">
        <v>3469</v>
      </c>
      <c r="K2604" t="s">
        <v>3745</v>
      </c>
      <c r="L2604">
        <v>0</v>
      </c>
      <c r="M2604" s="453">
        <v>45674</v>
      </c>
      <c r="N2604">
        <v>17.100000000000001</v>
      </c>
      <c r="O2604">
        <v>17.100000000000001</v>
      </c>
      <c r="P2604">
        <v>73.53</v>
      </c>
    </row>
    <row r="2605" spans="1:16" x14ac:dyDescent="0.3">
      <c r="A2605">
        <v>40014</v>
      </c>
      <c r="B2605">
        <v>116</v>
      </c>
      <c r="C2605" t="s">
        <v>568</v>
      </c>
      <c r="D2605" s="453">
        <v>45839</v>
      </c>
      <c r="E2605">
        <v>19034</v>
      </c>
      <c r="F2605" t="s">
        <v>3989</v>
      </c>
      <c r="G2605">
        <v>2890</v>
      </c>
      <c r="H2605">
        <v>6.2</v>
      </c>
      <c r="I2605" t="s">
        <v>3892</v>
      </c>
      <c r="J2605" t="s">
        <v>3469</v>
      </c>
      <c r="K2605" t="s">
        <v>3745</v>
      </c>
      <c r="L2605">
        <v>0</v>
      </c>
      <c r="M2605" s="453">
        <v>45797</v>
      </c>
      <c r="N2605">
        <v>11.5</v>
      </c>
      <c r="O2605">
        <v>10.47</v>
      </c>
      <c r="P2605">
        <v>71.3</v>
      </c>
    </row>
    <row r="2606" spans="1:16" x14ac:dyDescent="0.3">
      <c r="A2606">
        <v>40048</v>
      </c>
      <c r="B2606">
        <v>116</v>
      </c>
      <c r="C2606" t="s">
        <v>568</v>
      </c>
      <c r="D2606" s="453">
        <v>45839</v>
      </c>
      <c r="E2606">
        <v>18341</v>
      </c>
      <c r="F2606" t="s">
        <v>4086</v>
      </c>
      <c r="G2606">
        <v>3293</v>
      </c>
      <c r="H2606">
        <v>1.8</v>
      </c>
      <c r="I2606" t="s">
        <v>3878</v>
      </c>
      <c r="J2606" t="s">
        <v>3497</v>
      </c>
      <c r="K2606" t="s">
        <v>3745</v>
      </c>
      <c r="L2606">
        <v>0</v>
      </c>
      <c r="M2606" s="453">
        <v>-693593</v>
      </c>
      <c r="N2606">
        <v>0</v>
      </c>
      <c r="O2606">
        <v>50</v>
      </c>
      <c r="P2606">
        <v>68.400000000000006</v>
      </c>
    </row>
    <row r="2607" spans="1:16" x14ac:dyDescent="0.3">
      <c r="A2607">
        <v>39948</v>
      </c>
      <c r="B2607">
        <v>116</v>
      </c>
      <c r="C2607" t="s">
        <v>568</v>
      </c>
      <c r="D2607" s="453">
        <v>45839</v>
      </c>
      <c r="E2607">
        <v>19649</v>
      </c>
      <c r="F2607" t="s">
        <v>4015</v>
      </c>
      <c r="G2607">
        <v>2589</v>
      </c>
      <c r="H2607">
        <v>2.5</v>
      </c>
      <c r="I2607" t="s">
        <v>3892</v>
      </c>
      <c r="J2607" t="s">
        <v>3469</v>
      </c>
      <c r="K2607" t="s">
        <v>3745</v>
      </c>
      <c r="L2607">
        <v>27.35</v>
      </c>
      <c r="M2607" s="453">
        <v>45827</v>
      </c>
      <c r="N2607">
        <v>28</v>
      </c>
      <c r="O2607">
        <v>26.8</v>
      </c>
      <c r="P2607">
        <v>68.38</v>
      </c>
    </row>
    <row r="2608" spans="1:16" x14ac:dyDescent="0.3">
      <c r="A2608">
        <v>39894</v>
      </c>
      <c r="B2608">
        <v>116</v>
      </c>
      <c r="C2608" t="s">
        <v>568</v>
      </c>
      <c r="D2608" s="453">
        <v>45839</v>
      </c>
      <c r="E2608">
        <v>25720</v>
      </c>
      <c r="F2608" t="s">
        <v>3926</v>
      </c>
      <c r="G2608">
        <v>2197</v>
      </c>
      <c r="H2608">
        <v>4</v>
      </c>
      <c r="I2608" t="s">
        <v>3892</v>
      </c>
      <c r="J2608" t="s">
        <v>3469</v>
      </c>
      <c r="K2608" t="s">
        <v>3745</v>
      </c>
      <c r="L2608">
        <v>0</v>
      </c>
      <c r="M2608" s="453">
        <v>-693593</v>
      </c>
      <c r="N2608">
        <v>0</v>
      </c>
      <c r="O2608">
        <v>0</v>
      </c>
      <c r="P2608">
        <v>67.599999999999994</v>
      </c>
    </row>
    <row r="2609" spans="1:16" x14ac:dyDescent="0.3">
      <c r="A2609">
        <v>39979</v>
      </c>
      <c r="B2609">
        <v>116</v>
      </c>
      <c r="C2609" t="s">
        <v>568</v>
      </c>
      <c r="D2609" s="453">
        <v>45839</v>
      </c>
      <c r="E2609">
        <v>23095</v>
      </c>
      <c r="F2609" t="s">
        <v>3882</v>
      </c>
      <c r="G2609">
        <v>2754</v>
      </c>
      <c r="H2609">
        <v>60</v>
      </c>
      <c r="I2609" t="s">
        <v>3872</v>
      </c>
      <c r="J2609" t="s">
        <v>3469</v>
      </c>
      <c r="K2609" t="s">
        <v>3745</v>
      </c>
      <c r="L2609">
        <v>1.1100000000000001</v>
      </c>
      <c r="M2609" s="453">
        <v>45826</v>
      </c>
      <c r="N2609">
        <v>0.99</v>
      </c>
      <c r="O2609">
        <v>1</v>
      </c>
      <c r="P2609">
        <v>66.599999999999994</v>
      </c>
    </row>
    <row r="2610" spans="1:16" x14ac:dyDescent="0.3">
      <c r="A2610">
        <v>39900</v>
      </c>
      <c r="B2610">
        <v>116</v>
      </c>
      <c r="C2610" t="s">
        <v>568</v>
      </c>
      <c r="D2610" s="453">
        <v>45839</v>
      </c>
      <c r="E2610">
        <v>20227</v>
      </c>
      <c r="F2610" t="s">
        <v>3968</v>
      </c>
      <c r="G2610">
        <v>2248</v>
      </c>
      <c r="H2610">
        <v>6</v>
      </c>
      <c r="I2610" t="s">
        <v>3888</v>
      </c>
      <c r="J2610" t="s">
        <v>3469</v>
      </c>
      <c r="K2610" t="s">
        <v>3745</v>
      </c>
      <c r="L2610">
        <v>11.09</v>
      </c>
      <c r="M2610" s="453">
        <v>45824</v>
      </c>
      <c r="N2610">
        <v>11.2</v>
      </c>
      <c r="O2610">
        <v>11.2</v>
      </c>
      <c r="P2610">
        <v>66.540000000000006</v>
      </c>
    </row>
    <row r="2611" spans="1:16" x14ac:dyDescent="0.3">
      <c r="A2611">
        <v>39977</v>
      </c>
      <c r="B2611">
        <v>116</v>
      </c>
      <c r="C2611" t="s">
        <v>568</v>
      </c>
      <c r="D2611" s="453">
        <v>45839</v>
      </c>
      <c r="E2611">
        <v>19740</v>
      </c>
      <c r="F2611" t="s">
        <v>3933</v>
      </c>
      <c r="G2611">
        <v>2513</v>
      </c>
      <c r="H2611">
        <v>8</v>
      </c>
      <c r="I2611" t="s">
        <v>3892</v>
      </c>
      <c r="J2611" t="s">
        <v>3469</v>
      </c>
      <c r="K2611" t="s">
        <v>3745</v>
      </c>
      <c r="L2611">
        <v>8.2899999999999991</v>
      </c>
      <c r="M2611" s="453">
        <v>45826</v>
      </c>
      <c r="N2611">
        <v>6.3</v>
      </c>
      <c r="O2611">
        <v>6.2</v>
      </c>
      <c r="P2611">
        <v>66.319999999999993</v>
      </c>
    </row>
    <row r="2612" spans="1:16" x14ac:dyDescent="0.3">
      <c r="A2612">
        <v>39986</v>
      </c>
      <c r="B2612">
        <v>116</v>
      </c>
      <c r="C2612" t="s">
        <v>568</v>
      </c>
      <c r="D2612" s="453">
        <v>45839</v>
      </c>
      <c r="E2612">
        <v>19566</v>
      </c>
      <c r="F2612" t="s">
        <v>3986</v>
      </c>
      <c r="G2612">
        <v>2651</v>
      </c>
      <c r="H2612">
        <v>3</v>
      </c>
      <c r="I2612" t="s">
        <v>3892</v>
      </c>
      <c r="J2612" t="s">
        <v>3469</v>
      </c>
      <c r="K2612" t="s">
        <v>3745</v>
      </c>
      <c r="L2612">
        <v>0</v>
      </c>
      <c r="M2612" s="453">
        <v>45757</v>
      </c>
      <c r="N2612">
        <v>22.1</v>
      </c>
      <c r="O2612">
        <v>22.1</v>
      </c>
      <c r="P2612">
        <v>66.3</v>
      </c>
    </row>
    <row r="2613" spans="1:16" x14ac:dyDescent="0.3">
      <c r="A2613">
        <v>39937</v>
      </c>
      <c r="B2613">
        <v>116</v>
      </c>
      <c r="C2613" t="s">
        <v>568</v>
      </c>
      <c r="D2613" s="453">
        <v>45839</v>
      </c>
      <c r="E2613">
        <v>20457</v>
      </c>
      <c r="F2613" t="s">
        <v>3999</v>
      </c>
      <c r="G2613">
        <v>2165</v>
      </c>
      <c r="H2613">
        <v>1.7</v>
      </c>
      <c r="I2613" t="s">
        <v>3892</v>
      </c>
      <c r="J2613" t="s">
        <v>3469</v>
      </c>
      <c r="K2613" t="s">
        <v>3745</v>
      </c>
      <c r="L2613">
        <v>0</v>
      </c>
      <c r="M2613" s="453">
        <v>45804</v>
      </c>
      <c r="N2613">
        <v>36</v>
      </c>
      <c r="O2613">
        <v>38</v>
      </c>
      <c r="P2613">
        <v>61.2</v>
      </c>
    </row>
    <row r="2614" spans="1:16" x14ac:dyDescent="0.3">
      <c r="A2614">
        <v>40072</v>
      </c>
      <c r="B2614">
        <v>116</v>
      </c>
      <c r="C2614" t="s">
        <v>568</v>
      </c>
      <c r="D2614" s="453">
        <v>45839</v>
      </c>
      <c r="E2614">
        <v>24029</v>
      </c>
      <c r="F2614" t="s">
        <v>3875</v>
      </c>
      <c r="G2614">
        <v>3591</v>
      </c>
      <c r="H2614">
        <v>30</v>
      </c>
      <c r="I2614" t="s">
        <v>3872</v>
      </c>
      <c r="J2614" t="s">
        <v>3497</v>
      </c>
      <c r="K2614" t="s">
        <v>3745</v>
      </c>
      <c r="L2614">
        <v>0</v>
      </c>
      <c r="M2614" s="453">
        <v>45537</v>
      </c>
      <c r="N2614">
        <v>1.99</v>
      </c>
      <c r="O2614">
        <v>2.19</v>
      </c>
      <c r="P2614">
        <v>59.7</v>
      </c>
    </row>
    <row r="2615" spans="1:16" x14ac:dyDescent="0.3">
      <c r="A2615">
        <v>39959</v>
      </c>
      <c r="B2615">
        <v>116</v>
      </c>
      <c r="C2615" t="s">
        <v>568</v>
      </c>
      <c r="D2615" s="453">
        <v>45839</v>
      </c>
      <c r="E2615">
        <v>19486</v>
      </c>
      <c r="F2615" t="s">
        <v>4472</v>
      </c>
      <c r="G2615">
        <v>7790</v>
      </c>
      <c r="H2615">
        <v>1.5</v>
      </c>
      <c r="I2615" t="s">
        <v>3966</v>
      </c>
      <c r="J2615" t="s">
        <v>3469</v>
      </c>
      <c r="K2615" t="s">
        <v>3745</v>
      </c>
      <c r="L2615">
        <v>0</v>
      </c>
      <c r="M2615" s="453">
        <v>45797</v>
      </c>
      <c r="N2615">
        <v>39.6</v>
      </c>
      <c r="O2615">
        <v>39.6</v>
      </c>
      <c r="P2615">
        <v>59.4</v>
      </c>
    </row>
    <row r="2616" spans="1:16" x14ac:dyDescent="0.3">
      <c r="A2616">
        <v>40028</v>
      </c>
      <c r="B2616">
        <v>116</v>
      </c>
      <c r="C2616" t="s">
        <v>568</v>
      </c>
      <c r="D2616" s="453">
        <v>45839</v>
      </c>
      <c r="E2616">
        <v>18666</v>
      </c>
      <c r="F2616" t="s">
        <v>4003</v>
      </c>
      <c r="G2616">
        <v>3053</v>
      </c>
      <c r="H2616">
        <v>2.7</v>
      </c>
      <c r="I2616" t="s">
        <v>3892</v>
      </c>
      <c r="J2616" t="s">
        <v>3469</v>
      </c>
      <c r="K2616" t="s">
        <v>3745</v>
      </c>
      <c r="L2616">
        <v>22</v>
      </c>
      <c r="M2616" s="453">
        <v>45824</v>
      </c>
      <c r="N2616">
        <v>22</v>
      </c>
      <c r="O2616">
        <v>22</v>
      </c>
      <c r="P2616">
        <v>59.4</v>
      </c>
    </row>
    <row r="2617" spans="1:16" x14ac:dyDescent="0.3">
      <c r="A2617">
        <v>39908</v>
      </c>
      <c r="B2617">
        <v>116</v>
      </c>
      <c r="C2617" t="s">
        <v>568</v>
      </c>
      <c r="D2617" s="453">
        <v>45839</v>
      </c>
      <c r="E2617">
        <v>24328</v>
      </c>
      <c r="F2617" t="s">
        <v>4456</v>
      </c>
      <c r="G2617">
        <v>2146</v>
      </c>
      <c r="H2617">
        <v>2.8</v>
      </c>
      <c r="I2617" t="s">
        <v>3892</v>
      </c>
      <c r="J2617" t="s">
        <v>3469</v>
      </c>
      <c r="K2617" t="s">
        <v>3745</v>
      </c>
      <c r="L2617">
        <v>0</v>
      </c>
      <c r="M2617" s="453">
        <v>-693593</v>
      </c>
      <c r="N2617">
        <v>0</v>
      </c>
      <c r="O2617">
        <v>20.9</v>
      </c>
      <c r="P2617">
        <v>58.52</v>
      </c>
    </row>
    <row r="2618" spans="1:16" x14ac:dyDescent="0.3">
      <c r="A2618">
        <v>39885</v>
      </c>
      <c r="B2618">
        <v>116</v>
      </c>
      <c r="C2618" t="s">
        <v>568</v>
      </c>
      <c r="D2618" s="453">
        <v>45839</v>
      </c>
      <c r="E2618">
        <v>20702</v>
      </c>
      <c r="F2618" t="s">
        <v>4006</v>
      </c>
      <c r="G2618">
        <v>2101</v>
      </c>
      <c r="H2618">
        <v>1.5</v>
      </c>
      <c r="I2618" t="s">
        <v>3966</v>
      </c>
      <c r="J2618" t="s">
        <v>3469</v>
      </c>
      <c r="K2618" t="s">
        <v>3745</v>
      </c>
      <c r="L2618">
        <v>38.9</v>
      </c>
      <c r="M2618" s="453">
        <v>45812</v>
      </c>
      <c r="N2618">
        <v>38.9</v>
      </c>
      <c r="O2618">
        <v>38.700000000000003</v>
      </c>
      <c r="P2618">
        <v>58.35</v>
      </c>
    </row>
    <row r="2619" spans="1:16" x14ac:dyDescent="0.3">
      <c r="A2619">
        <v>39910</v>
      </c>
      <c r="B2619">
        <v>116</v>
      </c>
      <c r="C2619" t="s">
        <v>568</v>
      </c>
      <c r="D2619" s="453">
        <v>45839</v>
      </c>
      <c r="E2619">
        <v>20508</v>
      </c>
      <c r="F2619" t="s">
        <v>4449</v>
      </c>
      <c r="G2619">
        <v>2153</v>
      </c>
      <c r="H2619">
        <v>2</v>
      </c>
      <c r="I2619" t="s">
        <v>3892</v>
      </c>
      <c r="J2619" t="s">
        <v>3469</v>
      </c>
      <c r="K2619" t="s">
        <v>3745</v>
      </c>
      <c r="L2619">
        <v>0</v>
      </c>
      <c r="M2619" s="453">
        <v>45678</v>
      </c>
      <c r="N2619">
        <v>28</v>
      </c>
      <c r="O2619">
        <v>39.9</v>
      </c>
      <c r="P2619">
        <v>56</v>
      </c>
    </row>
    <row r="2620" spans="1:16" x14ac:dyDescent="0.3">
      <c r="A2620">
        <v>40068</v>
      </c>
      <c r="B2620">
        <v>116</v>
      </c>
      <c r="C2620" t="s">
        <v>568</v>
      </c>
      <c r="D2620" s="453">
        <v>45839</v>
      </c>
      <c r="E2620">
        <v>18030</v>
      </c>
      <c r="F2620" t="s">
        <v>4033</v>
      </c>
      <c r="G2620">
        <v>3568</v>
      </c>
      <c r="H2620">
        <v>2</v>
      </c>
      <c r="I2620" t="s">
        <v>3878</v>
      </c>
      <c r="J2620" t="s">
        <v>3497</v>
      </c>
      <c r="K2620" t="s">
        <v>3745</v>
      </c>
      <c r="L2620">
        <v>0</v>
      </c>
      <c r="M2620" s="453">
        <v>45807</v>
      </c>
      <c r="N2620">
        <v>27.9</v>
      </c>
      <c r="O2620">
        <v>28.4</v>
      </c>
      <c r="P2620">
        <v>55.8</v>
      </c>
    </row>
    <row r="2621" spans="1:16" x14ac:dyDescent="0.3">
      <c r="A2621">
        <v>40009</v>
      </c>
      <c r="B2621">
        <v>116</v>
      </c>
      <c r="C2621" t="s">
        <v>568</v>
      </c>
      <c r="D2621" s="453">
        <v>45839</v>
      </c>
      <c r="E2621">
        <v>18702</v>
      </c>
      <c r="F2621" t="s">
        <v>4043</v>
      </c>
      <c r="G2621">
        <v>3033</v>
      </c>
      <c r="H2621">
        <v>1.65</v>
      </c>
      <c r="I2621" t="s">
        <v>3892</v>
      </c>
      <c r="J2621" t="s">
        <v>3469</v>
      </c>
      <c r="K2621" t="s">
        <v>3745</v>
      </c>
      <c r="L2621">
        <v>33.75</v>
      </c>
      <c r="M2621" s="453">
        <v>45818</v>
      </c>
      <c r="N2621">
        <v>33.75</v>
      </c>
      <c r="O2621">
        <v>39</v>
      </c>
      <c r="P2621">
        <v>55.69</v>
      </c>
    </row>
    <row r="2622" spans="1:16" x14ac:dyDescent="0.3">
      <c r="A2622">
        <v>40037</v>
      </c>
      <c r="B2622">
        <v>116</v>
      </c>
      <c r="C2622" t="s">
        <v>568</v>
      </c>
      <c r="D2622" s="453">
        <v>45839</v>
      </c>
      <c r="E2622">
        <v>18545</v>
      </c>
      <c r="F2622" t="s">
        <v>4099</v>
      </c>
      <c r="G2622">
        <v>3134</v>
      </c>
      <c r="H2622">
        <v>1.2</v>
      </c>
      <c r="I2622" t="s">
        <v>3878</v>
      </c>
      <c r="J2622" t="s">
        <v>3497</v>
      </c>
      <c r="K2622" t="s">
        <v>3745</v>
      </c>
      <c r="L2622">
        <v>45.53</v>
      </c>
      <c r="M2622" s="453">
        <v>45811</v>
      </c>
      <c r="N2622">
        <v>45.53</v>
      </c>
      <c r="O2622">
        <v>46.21</v>
      </c>
      <c r="P2622">
        <v>54.64</v>
      </c>
    </row>
    <row r="2623" spans="1:16" x14ac:dyDescent="0.3">
      <c r="A2623">
        <v>40091</v>
      </c>
      <c r="B2623">
        <v>116</v>
      </c>
      <c r="C2623" t="s">
        <v>568</v>
      </c>
      <c r="D2623" s="453">
        <v>45839</v>
      </c>
      <c r="E2623">
        <v>17881</v>
      </c>
      <c r="F2623" t="s">
        <v>4095</v>
      </c>
      <c r="G2623">
        <v>3675</v>
      </c>
      <c r="H2623">
        <v>2</v>
      </c>
      <c r="I2623" t="s">
        <v>3888</v>
      </c>
      <c r="J2623" t="s">
        <v>3497</v>
      </c>
      <c r="K2623" t="s">
        <v>3745</v>
      </c>
      <c r="L2623">
        <v>26.28</v>
      </c>
      <c r="M2623" s="453">
        <v>45824</v>
      </c>
      <c r="N2623">
        <v>26.28</v>
      </c>
      <c r="O2623">
        <v>26.28</v>
      </c>
      <c r="P2623">
        <v>52.56</v>
      </c>
    </row>
    <row r="2624" spans="1:16" x14ac:dyDescent="0.3">
      <c r="A2624">
        <v>40044</v>
      </c>
      <c r="B2624">
        <v>116</v>
      </c>
      <c r="C2624" t="s">
        <v>568</v>
      </c>
      <c r="D2624" s="453">
        <v>45839</v>
      </c>
      <c r="E2624">
        <v>18447</v>
      </c>
      <c r="F2624" t="s">
        <v>4027</v>
      </c>
      <c r="G2624">
        <v>3204</v>
      </c>
      <c r="H2624">
        <v>4</v>
      </c>
      <c r="I2624" t="s">
        <v>3878</v>
      </c>
      <c r="J2624" t="s">
        <v>3497</v>
      </c>
      <c r="K2624" t="s">
        <v>3745</v>
      </c>
      <c r="L2624">
        <v>0</v>
      </c>
      <c r="M2624" s="453">
        <v>45770</v>
      </c>
      <c r="N2624">
        <v>12.34</v>
      </c>
      <c r="O2624">
        <v>12.34</v>
      </c>
      <c r="P2624">
        <v>49.36</v>
      </c>
    </row>
    <row r="2625" spans="1:16" x14ac:dyDescent="0.3">
      <c r="A2625">
        <v>40022</v>
      </c>
      <c r="B2625">
        <v>116</v>
      </c>
      <c r="C2625" t="s">
        <v>568</v>
      </c>
      <c r="D2625" s="453">
        <v>45839</v>
      </c>
      <c r="E2625">
        <v>24393</v>
      </c>
      <c r="F2625" t="s">
        <v>4039</v>
      </c>
      <c r="G2625">
        <v>3045</v>
      </c>
      <c r="H2625">
        <v>2.2000000000000002</v>
      </c>
      <c r="I2625" t="s">
        <v>3892</v>
      </c>
      <c r="J2625" t="s">
        <v>3469</v>
      </c>
      <c r="K2625" t="s">
        <v>3745</v>
      </c>
      <c r="L2625">
        <v>22</v>
      </c>
      <c r="M2625" s="453">
        <v>45824</v>
      </c>
      <c r="N2625">
        <v>22</v>
      </c>
      <c r="O2625">
        <v>22</v>
      </c>
      <c r="P2625">
        <v>48.4</v>
      </c>
    </row>
    <row r="2626" spans="1:16" x14ac:dyDescent="0.3">
      <c r="A2626">
        <v>39920</v>
      </c>
      <c r="B2626">
        <v>116</v>
      </c>
      <c r="C2626" t="s">
        <v>568</v>
      </c>
      <c r="D2626" s="453">
        <v>45839</v>
      </c>
      <c r="E2626">
        <v>19973</v>
      </c>
      <c r="F2626" t="s">
        <v>3981</v>
      </c>
      <c r="G2626">
        <v>2354</v>
      </c>
      <c r="H2626">
        <v>3</v>
      </c>
      <c r="I2626" t="s">
        <v>3872</v>
      </c>
      <c r="J2626" t="s">
        <v>3469</v>
      </c>
      <c r="K2626" t="s">
        <v>3745</v>
      </c>
      <c r="L2626">
        <v>0</v>
      </c>
      <c r="M2626" s="453">
        <v>45804</v>
      </c>
      <c r="N2626">
        <v>15.5</v>
      </c>
      <c r="O2626">
        <v>19.5</v>
      </c>
      <c r="P2626">
        <v>46.5</v>
      </c>
    </row>
    <row r="2627" spans="1:16" x14ac:dyDescent="0.3">
      <c r="A2627">
        <v>39980</v>
      </c>
      <c r="B2627">
        <v>116</v>
      </c>
      <c r="C2627" t="s">
        <v>568</v>
      </c>
      <c r="D2627" s="453">
        <v>45839</v>
      </c>
      <c r="E2627">
        <v>19583</v>
      </c>
      <c r="F2627" t="s">
        <v>4076</v>
      </c>
      <c r="G2627">
        <v>2639</v>
      </c>
      <c r="H2627">
        <v>2</v>
      </c>
      <c r="I2627" t="s">
        <v>3892</v>
      </c>
      <c r="J2627" t="s">
        <v>3469</v>
      </c>
      <c r="K2627" t="s">
        <v>3745</v>
      </c>
      <c r="L2627">
        <v>0</v>
      </c>
      <c r="M2627" s="453">
        <v>45806</v>
      </c>
      <c r="N2627">
        <v>23</v>
      </c>
      <c r="O2627">
        <v>38.4</v>
      </c>
      <c r="P2627">
        <v>46</v>
      </c>
    </row>
    <row r="2628" spans="1:16" x14ac:dyDescent="0.3">
      <c r="A2628">
        <v>39868</v>
      </c>
      <c r="B2628">
        <v>116</v>
      </c>
      <c r="C2628" t="s">
        <v>568</v>
      </c>
      <c r="D2628" s="453">
        <v>45839</v>
      </c>
      <c r="E2628">
        <v>21085</v>
      </c>
      <c r="F2628" t="s">
        <v>4114</v>
      </c>
      <c r="G2628">
        <v>1989</v>
      </c>
      <c r="H2628">
        <v>1</v>
      </c>
      <c r="I2628" t="s">
        <v>3881</v>
      </c>
      <c r="J2628" t="s">
        <v>3469</v>
      </c>
      <c r="K2628" t="s">
        <v>3745</v>
      </c>
      <c r="L2628">
        <v>0</v>
      </c>
      <c r="M2628" s="453">
        <v>45524</v>
      </c>
      <c r="N2628">
        <v>44.8</v>
      </c>
      <c r="O2628">
        <v>20.43</v>
      </c>
      <c r="P2628">
        <v>44.8</v>
      </c>
    </row>
    <row r="2629" spans="1:16" x14ac:dyDescent="0.3">
      <c r="A2629">
        <v>39941</v>
      </c>
      <c r="B2629">
        <v>116</v>
      </c>
      <c r="C2629" t="s">
        <v>568</v>
      </c>
      <c r="D2629" s="453">
        <v>45839</v>
      </c>
      <c r="E2629">
        <v>20965</v>
      </c>
      <c r="F2629" t="s">
        <v>3969</v>
      </c>
      <c r="G2629">
        <v>2013</v>
      </c>
      <c r="H2629">
        <v>3</v>
      </c>
      <c r="I2629" t="s">
        <v>3872</v>
      </c>
      <c r="J2629" t="s">
        <v>3469</v>
      </c>
      <c r="K2629" t="s">
        <v>3745</v>
      </c>
      <c r="L2629">
        <v>0</v>
      </c>
      <c r="M2629" s="453">
        <v>45783</v>
      </c>
      <c r="N2629">
        <v>14.5</v>
      </c>
      <c r="O2629">
        <v>14.5</v>
      </c>
      <c r="P2629">
        <v>43.5</v>
      </c>
    </row>
    <row r="2630" spans="1:16" x14ac:dyDescent="0.3">
      <c r="A2630">
        <v>40069</v>
      </c>
      <c r="B2630">
        <v>116</v>
      </c>
      <c r="C2630" t="s">
        <v>568</v>
      </c>
      <c r="D2630" s="453">
        <v>45839</v>
      </c>
      <c r="E2630">
        <v>24002</v>
      </c>
      <c r="F2630" t="s">
        <v>3924</v>
      </c>
      <c r="G2630">
        <v>3614</v>
      </c>
      <c r="H2630">
        <v>9</v>
      </c>
      <c r="I2630" t="s">
        <v>3872</v>
      </c>
      <c r="J2630" t="s">
        <v>3497</v>
      </c>
      <c r="K2630" t="s">
        <v>3745</v>
      </c>
      <c r="L2630">
        <v>4.6900000000000004</v>
      </c>
      <c r="M2630" s="453">
        <v>45811</v>
      </c>
      <c r="N2630">
        <v>4.6900000000000004</v>
      </c>
      <c r="O2630">
        <v>6.8</v>
      </c>
      <c r="P2630">
        <v>42.21</v>
      </c>
    </row>
    <row r="2631" spans="1:16" x14ac:dyDescent="0.3">
      <c r="A2631">
        <v>39886</v>
      </c>
      <c r="B2631">
        <v>116</v>
      </c>
      <c r="C2631" t="s">
        <v>568</v>
      </c>
      <c r="D2631" s="453">
        <v>45839</v>
      </c>
      <c r="E2631">
        <v>24185</v>
      </c>
      <c r="F2631" t="s">
        <v>4040</v>
      </c>
      <c r="G2631">
        <v>2331</v>
      </c>
      <c r="H2631">
        <v>2</v>
      </c>
      <c r="I2631" t="s">
        <v>3892</v>
      </c>
      <c r="J2631" t="s">
        <v>3469</v>
      </c>
      <c r="K2631" t="s">
        <v>3745</v>
      </c>
      <c r="L2631">
        <v>21</v>
      </c>
      <c r="M2631" s="453">
        <v>45818</v>
      </c>
      <c r="N2631">
        <v>21</v>
      </c>
      <c r="O2631">
        <v>21</v>
      </c>
      <c r="P2631">
        <v>42</v>
      </c>
    </row>
    <row r="2632" spans="1:16" x14ac:dyDescent="0.3">
      <c r="A2632">
        <v>39942</v>
      </c>
      <c r="B2632">
        <v>116</v>
      </c>
      <c r="C2632" t="s">
        <v>568</v>
      </c>
      <c r="D2632" s="453">
        <v>45839</v>
      </c>
      <c r="E2632">
        <v>19787</v>
      </c>
      <c r="F2632" t="s">
        <v>3940</v>
      </c>
      <c r="G2632">
        <v>2471</v>
      </c>
      <c r="H2632">
        <v>9.5</v>
      </c>
      <c r="I2632" t="s">
        <v>3892</v>
      </c>
      <c r="J2632" t="s">
        <v>3469</v>
      </c>
      <c r="K2632" t="s">
        <v>3745</v>
      </c>
      <c r="L2632">
        <v>4.41</v>
      </c>
      <c r="M2632" s="453">
        <v>45827</v>
      </c>
      <c r="N2632">
        <v>4.2</v>
      </c>
      <c r="O2632">
        <v>4.3</v>
      </c>
      <c r="P2632">
        <v>41.9</v>
      </c>
    </row>
    <row r="2633" spans="1:16" x14ac:dyDescent="0.3">
      <c r="A2633">
        <v>40057</v>
      </c>
      <c r="B2633">
        <v>116</v>
      </c>
      <c r="C2633" t="s">
        <v>568</v>
      </c>
      <c r="D2633" s="453">
        <v>45839</v>
      </c>
      <c r="E2633">
        <v>18272</v>
      </c>
      <c r="F2633" t="s">
        <v>4046</v>
      </c>
      <c r="G2633">
        <v>3358</v>
      </c>
      <c r="H2633">
        <v>1.2</v>
      </c>
      <c r="I2633" t="s">
        <v>3878</v>
      </c>
      <c r="J2633" t="s">
        <v>3497</v>
      </c>
      <c r="K2633" t="s">
        <v>3745</v>
      </c>
      <c r="L2633">
        <v>0</v>
      </c>
      <c r="M2633" s="453">
        <v>45761</v>
      </c>
      <c r="N2633">
        <v>34.85</v>
      </c>
      <c r="O2633">
        <v>37.299999999999997</v>
      </c>
      <c r="P2633">
        <v>41.82</v>
      </c>
    </row>
    <row r="2634" spans="1:16" x14ac:dyDescent="0.3">
      <c r="A2634">
        <v>39935</v>
      </c>
      <c r="B2634">
        <v>116</v>
      </c>
      <c r="C2634" t="s">
        <v>568</v>
      </c>
      <c r="D2634" s="453">
        <v>45839</v>
      </c>
      <c r="E2634">
        <v>20466</v>
      </c>
      <c r="F2634" t="s">
        <v>4098</v>
      </c>
      <c r="G2634">
        <v>2160</v>
      </c>
      <c r="H2634">
        <v>0.7</v>
      </c>
      <c r="I2634" t="s">
        <v>3892</v>
      </c>
      <c r="J2634" t="s">
        <v>3469</v>
      </c>
      <c r="K2634" t="s">
        <v>3745</v>
      </c>
      <c r="L2634">
        <v>58</v>
      </c>
      <c r="M2634" s="453">
        <v>45811</v>
      </c>
      <c r="N2634">
        <v>58</v>
      </c>
      <c r="O2634">
        <v>58</v>
      </c>
      <c r="P2634">
        <v>40.6</v>
      </c>
    </row>
    <row r="2635" spans="1:16" x14ac:dyDescent="0.3">
      <c r="A2635">
        <v>39867</v>
      </c>
      <c r="B2635">
        <v>116</v>
      </c>
      <c r="C2635" t="s">
        <v>568</v>
      </c>
      <c r="D2635" s="453">
        <v>45839</v>
      </c>
      <c r="E2635">
        <v>21093</v>
      </c>
      <c r="F2635" t="s">
        <v>3903</v>
      </c>
      <c r="G2635">
        <v>1988</v>
      </c>
      <c r="H2635">
        <v>9</v>
      </c>
      <c r="I2635" t="s">
        <v>3892</v>
      </c>
      <c r="J2635" t="s">
        <v>3469</v>
      </c>
      <c r="K2635" t="s">
        <v>3745</v>
      </c>
      <c r="L2635">
        <v>4.5</v>
      </c>
      <c r="M2635" s="453">
        <v>45818</v>
      </c>
      <c r="N2635">
        <v>4.5</v>
      </c>
      <c r="O2635">
        <v>4.93</v>
      </c>
      <c r="P2635">
        <v>40.5</v>
      </c>
    </row>
    <row r="2636" spans="1:16" x14ac:dyDescent="0.3">
      <c r="A2636">
        <v>39985</v>
      </c>
      <c r="B2636">
        <v>116</v>
      </c>
      <c r="C2636" t="s">
        <v>568</v>
      </c>
      <c r="D2636" s="453">
        <v>45839</v>
      </c>
      <c r="E2636">
        <v>19572</v>
      </c>
      <c r="F2636" t="s">
        <v>4023</v>
      </c>
      <c r="G2636">
        <v>2646</v>
      </c>
      <c r="H2636">
        <v>2.5</v>
      </c>
      <c r="I2636" t="s">
        <v>3892</v>
      </c>
      <c r="J2636" t="s">
        <v>3469</v>
      </c>
      <c r="K2636" t="s">
        <v>3745</v>
      </c>
      <c r="L2636">
        <v>16</v>
      </c>
      <c r="M2636" s="453">
        <v>45820</v>
      </c>
      <c r="N2636">
        <v>18</v>
      </c>
      <c r="O2636">
        <v>20</v>
      </c>
      <c r="P2636">
        <v>40</v>
      </c>
    </row>
    <row r="2637" spans="1:16" x14ac:dyDescent="0.3">
      <c r="A2637">
        <v>40067</v>
      </c>
      <c r="B2637">
        <v>116</v>
      </c>
      <c r="C2637" t="s">
        <v>568</v>
      </c>
      <c r="D2637" s="453">
        <v>45839</v>
      </c>
      <c r="E2637">
        <v>18111</v>
      </c>
      <c r="F2637" t="s">
        <v>4047</v>
      </c>
      <c r="G2637">
        <v>3500</v>
      </c>
      <c r="H2637">
        <v>0.5</v>
      </c>
      <c r="I2637" t="s">
        <v>3878</v>
      </c>
      <c r="J2637" t="s">
        <v>3497</v>
      </c>
      <c r="K2637" t="s">
        <v>3745</v>
      </c>
      <c r="L2637">
        <v>0</v>
      </c>
      <c r="M2637" s="453">
        <v>45776</v>
      </c>
      <c r="N2637">
        <v>79.900000000000006</v>
      </c>
      <c r="O2637">
        <v>93.41</v>
      </c>
      <c r="P2637">
        <v>39.950000000000003</v>
      </c>
    </row>
    <row r="2638" spans="1:16" x14ac:dyDescent="0.3">
      <c r="A2638">
        <v>40047</v>
      </c>
      <c r="B2638">
        <v>116</v>
      </c>
      <c r="C2638" t="s">
        <v>568</v>
      </c>
      <c r="D2638" s="453">
        <v>45839</v>
      </c>
      <c r="E2638">
        <v>18394</v>
      </c>
      <c r="F2638" t="s">
        <v>4044</v>
      </c>
      <c r="G2638">
        <v>3246</v>
      </c>
      <c r="H2638">
        <v>0.3</v>
      </c>
      <c r="I2638" t="s">
        <v>3878</v>
      </c>
      <c r="J2638" t="s">
        <v>3497</v>
      </c>
      <c r="K2638" t="s">
        <v>3745</v>
      </c>
      <c r="L2638">
        <v>0</v>
      </c>
      <c r="M2638" s="453">
        <v>45790</v>
      </c>
      <c r="N2638">
        <v>132.75</v>
      </c>
      <c r="O2638">
        <v>134</v>
      </c>
      <c r="P2638">
        <v>39.82</v>
      </c>
    </row>
    <row r="2639" spans="1:16" x14ac:dyDescent="0.3">
      <c r="A2639">
        <v>39883</v>
      </c>
      <c r="B2639">
        <v>116</v>
      </c>
      <c r="C2639" t="s">
        <v>568</v>
      </c>
      <c r="D2639" s="453">
        <v>45839</v>
      </c>
      <c r="E2639">
        <v>20717</v>
      </c>
      <c r="F2639" t="s">
        <v>4055</v>
      </c>
      <c r="G2639">
        <v>2097</v>
      </c>
      <c r="H2639">
        <v>1</v>
      </c>
      <c r="I2639" t="s">
        <v>3872</v>
      </c>
      <c r="J2639" t="s">
        <v>3469</v>
      </c>
      <c r="K2639" t="s">
        <v>3745</v>
      </c>
      <c r="L2639">
        <v>39.6</v>
      </c>
      <c r="M2639" s="453">
        <v>45817</v>
      </c>
      <c r="N2639">
        <v>39.6</v>
      </c>
      <c r="O2639">
        <v>39.6</v>
      </c>
      <c r="P2639">
        <v>39.6</v>
      </c>
    </row>
    <row r="2640" spans="1:16" x14ac:dyDescent="0.3">
      <c r="A2640">
        <v>39892</v>
      </c>
      <c r="B2640">
        <v>116</v>
      </c>
      <c r="C2640" t="s">
        <v>568</v>
      </c>
      <c r="D2640" s="453">
        <v>45839</v>
      </c>
      <c r="E2640">
        <v>25167</v>
      </c>
      <c r="F2640" t="s">
        <v>3951</v>
      </c>
      <c r="G2640">
        <v>5930</v>
      </c>
      <c r="H2640">
        <v>5</v>
      </c>
      <c r="I2640" t="s">
        <v>3892</v>
      </c>
      <c r="J2640" t="s">
        <v>3469</v>
      </c>
      <c r="K2640" t="s">
        <v>3745</v>
      </c>
      <c r="L2640">
        <v>7.9</v>
      </c>
      <c r="M2640" s="453">
        <v>45811</v>
      </c>
      <c r="N2640">
        <v>7.9</v>
      </c>
      <c r="O2640">
        <v>7.9</v>
      </c>
      <c r="P2640">
        <v>39.5</v>
      </c>
    </row>
    <row r="2641" spans="1:16" x14ac:dyDescent="0.3">
      <c r="A2641">
        <v>39899</v>
      </c>
      <c r="B2641">
        <v>116</v>
      </c>
      <c r="C2641" t="s">
        <v>568</v>
      </c>
      <c r="D2641" s="453">
        <v>45839</v>
      </c>
      <c r="E2641">
        <v>20231</v>
      </c>
      <c r="F2641" t="s">
        <v>4123</v>
      </c>
      <c r="G2641">
        <v>2247</v>
      </c>
      <c r="H2641">
        <v>2</v>
      </c>
      <c r="I2641" t="s">
        <v>3888</v>
      </c>
      <c r="J2641" t="s">
        <v>3469</v>
      </c>
      <c r="K2641" t="s">
        <v>3745</v>
      </c>
      <c r="L2641">
        <v>0</v>
      </c>
      <c r="M2641" s="453">
        <v>45797</v>
      </c>
      <c r="N2641">
        <v>19.7</v>
      </c>
      <c r="O2641">
        <v>12.1</v>
      </c>
      <c r="P2641">
        <v>39.4</v>
      </c>
    </row>
    <row r="2642" spans="1:16" x14ac:dyDescent="0.3">
      <c r="A2642">
        <v>39878</v>
      </c>
      <c r="B2642">
        <v>116</v>
      </c>
      <c r="C2642" t="s">
        <v>568</v>
      </c>
      <c r="D2642" s="453">
        <v>45839</v>
      </c>
      <c r="E2642">
        <v>20287</v>
      </c>
      <c r="F2642" t="s">
        <v>4053</v>
      </c>
      <c r="G2642">
        <v>2229</v>
      </c>
      <c r="H2642">
        <v>1.5</v>
      </c>
      <c r="I2642" t="s">
        <v>3888</v>
      </c>
      <c r="J2642" t="s">
        <v>3469</v>
      </c>
      <c r="K2642" t="s">
        <v>3745</v>
      </c>
      <c r="L2642">
        <v>26.25</v>
      </c>
      <c r="M2642" s="453">
        <v>45824</v>
      </c>
      <c r="N2642">
        <v>26.25</v>
      </c>
      <c r="O2642">
        <v>26.25</v>
      </c>
      <c r="P2642">
        <v>39.380000000000003</v>
      </c>
    </row>
    <row r="2643" spans="1:16" x14ac:dyDescent="0.3">
      <c r="A2643">
        <v>40080</v>
      </c>
      <c r="B2643">
        <v>116</v>
      </c>
      <c r="C2643" t="s">
        <v>568</v>
      </c>
      <c r="D2643" s="453">
        <v>45839</v>
      </c>
      <c r="E2643">
        <v>17942</v>
      </c>
      <c r="F2643" t="s">
        <v>4035</v>
      </c>
      <c r="G2643">
        <v>3630</v>
      </c>
      <c r="H2643">
        <v>3</v>
      </c>
      <c r="I2643" t="s">
        <v>3872</v>
      </c>
      <c r="J2643" t="s">
        <v>3497</v>
      </c>
      <c r="K2643" t="s">
        <v>3745</v>
      </c>
      <c r="L2643">
        <v>0</v>
      </c>
      <c r="M2643" s="453">
        <v>45803</v>
      </c>
      <c r="N2643">
        <v>13</v>
      </c>
      <c r="O2643">
        <v>13</v>
      </c>
      <c r="P2643">
        <v>39</v>
      </c>
    </row>
    <row r="2644" spans="1:16" x14ac:dyDescent="0.3">
      <c r="A2644">
        <v>39972</v>
      </c>
      <c r="B2644">
        <v>116</v>
      </c>
      <c r="C2644" t="s">
        <v>568</v>
      </c>
      <c r="D2644" s="453">
        <v>45839</v>
      </c>
      <c r="E2644">
        <v>24326</v>
      </c>
      <c r="F2644" t="s">
        <v>3932</v>
      </c>
      <c r="G2644">
        <v>2499</v>
      </c>
      <c r="H2644">
        <v>13</v>
      </c>
      <c r="I2644" t="s">
        <v>3892</v>
      </c>
      <c r="J2644" t="s">
        <v>3469</v>
      </c>
      <c r="K2644" t="s">
        <v>3745</v>
      </c>
      <c r="L2644">
        <v>2.89</v>
      </c>
      <c r="M2644" s="453">
        <v>45827</v>
      </c>
      <c r="N2644">
        <v>2.6</v>
      </c>
      <c r="O2644">
        <v>1.9</v>
      </c>
      <c r="P2644">
        <v>37.57</v>
      </c>
    </row>
    <row r="2645" spans="1:16" x14ac:dyDescent="0.3">
      <c r="A2645">
        <v>39912</v>
      </c>
      <c r="B2645">
        <v>116</v>
      </c>
      <c r="C2645" t="s">
        <v>568</v>
      </c>
      <c r="D2645" s="453">
        <v>45839</v>
      </c>
      <c r="E2645">
        <v>20133</v>
      </c>
      <c r="F2645" t="s">
        <v>4461</v>
      </c>
      <c r="G2645">
        <v>2286</v>
      </c>
      <c r="H2645">
        <v>4</v>
      </c>
      <c r="I2645" t="s">
        <v>3888</v>
      </c>
      <c r="J2645" t="s">
        <v>3469</v>
      </c>
      <c r="K2645" t="s">
        <v>3745</v>
      </c>
      <c r="L2645">
        <v>0</v>
      </c>
      <c r="M2645" s="453">
        <v>45763</v>
      </c>
      <c r="N2645">
        <v>9.3699999999999992</v>
      </c>
      <c r="O2645">
        <v>8.8000000000000007</v>
      </c>
      <c r="P2645">
        <v>37.479999999999997</v>
      </c>
    </row>
    <row r="2646" spans="1:16" x14ac:dyDescent="0.3">
      <c r="A2646">
        <v>39923</v>
      </c>
      <c r="B2646">
        <v>116</v>
      </c>
      <c r="C2646" t="s">
        <v>568</v>
      </c>
      <c r="D2646" s="453">
        <v>45839</v>
      </c>
      <c r="E2646">
        <v>20984</v>
      </c>
      <c r="F2646" t="s">
        <v>4235</v>
      </c>
      <c r="G2646">
        <v>2011</v>
      </c>
      <c r="H2646">
        <v>4.5</v>
      </c>
      <c r="I2646" t="s">
        <v>3931</v>
      </c>
      <c r="J2646" t="s">
        <v>3469</v>
      </c>
      <c r="K2646" t="s">
        <v>3745</v>
      </c>
      <c r="L2646">
        <v>0</v>
      </c>
      <c r="M2646" s="453">
        <v>45790</v>
      </c>
      <c r="N2646">
        <v>8.23</v>
      </c>
      <c r="O2646">
        <v>7.8</v>
      </c>
      <c r="P2646">
        <v>37.04</v>
      </c>
    </row>
    <row r="2647" spans="1:16" x14ac:dyDescent="0.3">
      <c r="A2647">
        <v>40085</v>
      </c>
      <c r="B2647">
        <v>116</v>
      </c>
      <c r="C2647" t="s">
        <v>568</v>
      </c>
      <c r="D2647" s="453">
        <v>45839</v>
      </c>
      <c r="E2647">
        <v>17896</v>
      </c>
      <c r="F2647" t="s">
        <v>3972</v>
      </c>
      <c r="G2647">
        <v>3664</v>
      </c>
      <c r="H2647">
        <v>1</v>
      </c>
      <c r="I2647" t="s">
        <v>3888</v>
      </c>
      <c r="J2647" t="s">
        <v>3497</v>
      </c>
      <c r="K2647" t="s">
        <v>3745</v>
      </c>
      <c r="L2647">
        <v>0</v>
      </c>
      <c r="M2647" s="453">
        <v>45806</v>
      </c>
      <c r="N2647">
        <v>35.76</v>
      </c>
      <c r="O2647">
        <v>30.19</v>
      </c>
      <c r="P2647">
        <v>35.76</v>
      </c>
    </row>
    <row r="2648" spans="1:16" x14ac:dyDescent="0.3">
      <c r="A2648">
        <v>39896</v>
      </c>
      <c r="B2648">
        <v>116</v>
      </c>
      <c r="C2648" t="s">
        <v>568</v>
      </c>
      <c r="D2648" s="453">
        <v>45839</v>
      </c>
      <c r="E2648">
        <v>20358</v>
      </c>
      <c r="F2648" t="s">
        <v>3952</v>
      </c>
      <c r="G2648">
        <v>2200</v>
      </c>
      <c r="H2648">
        <v>2.5</v>
      </c>
      <c r="I2648" t="s">
        <v>3888</v>
      </c>
      <c r="J2648" t="s">
        <v>3469</v>
      </c>
      <c r="K2648" t="s">
        <v>3745</v>
      </c>
      <c r="L2648">
        <v>14.3</v>
      </c>
      <c r="M2648" s="453">
        <v>45824</v>
      </c>
      <c r="N2648">
        <v>14.3</v>
      </c>
      <c r="O2648">
        <v>14.27</v>
      </c>
      <c r="P2648">
        <v>35.75</v>
      </c>
    </row>
    <row r="2649" spans="1:16" x14ac:dyDescent="0.3">
      <c r="A2649">
        <v>39984</v>
      </c>
      <c r="B2649">
        <v>116</v>
      </c>
      <c r="C2649" t="s">
        <v>568</v>
      </c>
      <c r="D2649" s="453">
        <v>45839</v>
      </c>
      <c r="E2649">
        <v>19574</v>
      </c>
      <c r="F2649" t="s">
        <v>4077</v>
      </c>
      <c r="G2649">
        <v>2644</v>
      </c>
      <c r="H2649">
        <v>1</v>
      </c>
      <c r="I2649" t="s">
        <v>3892</v>
      </c>
      <c r="J2649" t="s">
        <v>3469</v>
      </c>
      <c r="K2649" t="s">
        <v>3745</v>
      </c>
      <c r="L2649">
        <v>0</v>
      </c>
      <c r="M2649" s="453">
        <v>45754</v>
      </c>
      <c r="N2649">
        <v>35</v>
      </c>
      <c r="O2649">
        <v>40</v>
      </c>
      <c r="P2649">
        <v>35</v>
      </c>
    </row>
    <row r="2650" spans="1:16" x14ac:dyDescent="0.3">
      <c r="A2650">
        <v>39916</v>
      </c>
      <c r="B2650">
        <v>116</v>
      </c>
      <c r="C2650" t="s">
        <v>568</v>
      </c>
      <c r="D2650" s="453">
        <v>45839</v>
      </c>
      <c r="E2650">
        <v>20832</v>
      </c>
      <c r="F2650" t="s">
        <v>4060</v>
      </c>
      <c r="G2650">
        <v>2065</v>
      </c>
      <c r="H2650">
        <v>1</v>
      </c>
      <c r="I2650" t="s">
        <v>3886</v>
      </c>
      <c r="J2650" t="s">
        <v>3469</v>
      </c>
      <c r="K2650" t="s">
        <v>3745</v>
      </c>
      <c r="L2650">
        <v>34</v>
      </c>
      <c r="M2650" s="453">
        <v>45812</v>
      </c>
      <c r="N2650">
        <v>34</v>
      </c>
      <c r="O2650">
        <v>38.6</v>
      </c>
      <c r="P2650">
        <v>34</v>
      </c>
    </row>
    <row r="2651" spans="1:16" x14ac:dyDescent="0.3">
      <c r="A2651">
        <v>39865</v>
      </c>
      <c r="B2651">
        <v>116</v>
      </c>
      <c r="C2651" t="s">
        <v>568</v>
      </c>
      <c r="D2651" s="453">
        <v>45839</v>
      </c>
      <c r="E2651">
        <v>24456</v>
      </c>
      <c r="F2651" t="s">
        <v>4048</v>
      </c>
      <c r="G2651">
        <v>1965</v>
      </c>
      <c r="H2651">
        <v>1.5</v>
      </c>
      <c r="I2651" t="s">
        <v>3892</v>
      </c>
      <c r="J2651" t="s">
        <v>3469</v>
      </c>
      <c r="K2651" t="s">
        <v>3745</v>
      </c>
      <c r="L2651">
        <v>21.67</v>
      </c>
      <c r="M2651" s="453">
        <v>45826</v>
      </c>
      <c r="N2651">
        <v>21.76</v>
      </c>
      <c r="O2651">
        <v>21.22</v>
      </c>
      <c r="P2651">
        <v>32.51</v>
      </c>
    </row>
    <row r="2652" spans="1:16" x14ac:dyDescent="0.3">
      <c r="A2652">
        <v>39964</v>
      </c>
      <c r="B2652">
        <v>116</v>
      </c>
      <c r="C2652" t="s">
        <v>568</v>
      </c>
      <c r="D2652" s="453">
        <v>45839</v>
      </c>
      <c r="E2652">
        <v>24230</v>
      </c>
      <c r="F2652" t="s">
        <v>4018</v>
      </c>
      <c r="G2652">
        <v>2622</v>
      </c>
      <c r="H2652">
        <v>1.5</v>
      </c>
      <c r="I2652" t="s">
        <v>3892</v>
      </c>
      <c r="J2652" t="s">
        <v>3469</v>
      </c>
      <c r="K2652" t="s">
        <v>3745</v>
      </c>
      <c r="L2652">
        <v>21.5</v>
      </c>
      <c r="M2652" s="453">
        <v>45820</v>
      </c>
      <c r="N2652">
        <v>21.5</v>
      </c>
      <c r="O2652">
        <v>21.5</v>
      </c>
      <c r="P2652">
        <v>32.25</v>
      </c>
    </row>
    <row r="2653" spans="1:16" x14ac:dyDescent="0.3">
      <c r="A2653">
        <v>39993</v>
      </c>
      <c r="B2653">
        <v>116</v>
      </c>
      <c r="C2653" t="s">
        <v>568</v>
      </c>
      <c r="D2653" s="453">
        <v>45839</v>
      </c>
      <c r="E2653">
        <v>19672</v>
      </c>
      <c r="F2653" t="s">
        <v>4024</v>
      </c>
      <c r="G2653">
        <v>2567</v>
      </c>
      <c r="H2653">
        <v>2</v>
      </c>
      <c r="I2653" t="s">
        <v>3892</v>
      </c>
      <c r="J2653" t="s">
        <v>3469</v>
      </c>
      <c r="K2653" t="s">
        <v>3745</v>
      </c>
      <c r="L2653">
        <v>16.100000000000001</v>
      </c>
      <c r="M2653" s="453">
        <v>45826</v>
      </c>
      <c r="N2653">
        <v>16.63</v>
      </c>
      <c r="O2653">
        <v>16.5</v>
      </c>
      <c r="P2653">
        <v>32.200000000000003</v>
      </c>
    </row>
    <row r="2654" spans="1:16" x14ac:dyDescent="0.3">
      <c r="A2654">
        <v>39918</v>
      </c>
      <c r="B2654">
        <v>116</v>
      </c>
      <c r="C2654" t="s">
        <v>568</v>
      </c>
      <c r="D2654" s="453">
        <v>45839</v>
      </c>
      <c r="E2654">
        <v>19979</v>
      </c>
      <c r="F2654" t="s">
        <v>4295</v>
      </c>
      <c r="G2654">
        <v>2353</v>
      </c>
      <c r="H2654">
        <v>2</v>
      </c>
      <c r="I2654" t="s">
        <v>3931</v>
      </c>
      <c r="J2654" t="s">
        <v>3469</v>
      </c>
      <c r="K2654" t="s">
        <v>3745</v>
      </c>
      <c r="L2654">
        <v>0</v>
      </c>
      <c r="M2654" s="453">
        <v>45790</v>
      </c>
      <c r="N2654">
        <v>16</v>
      </c>
      <c r="O2654">
        <v>17.8</v>
      </c>
      <c r="P2654">
        <v>32</v>
      </c>
    </row>
    <row r="2655" spans="1:16" x14ac:dyDescent="0.3">
      <c r="A2655">
        <v>39947</v>
      </c>
      <c r="B2655">
        <v>116</v>
      </c>
      <c r="C2655" t="s">
        <v>568</v>
      </c>
      <c r="D2655" s="453">
        <v>45839</v>
      </c>
      <c r="E2655">
        <v>19652</v>
      </c>
      <c r="F2655" t="s">
        <v>4014</v>
      </c>
      <c r="G2655">
        <v>2587</v>
      </c>
      <c r="H2655">
        <v>1</v>
      </c>
      <c r="I2655" t="s">
        <v>3892</v>
      </c>
      <c r="J2655" t="s">
        <v>3469</v>
      </c>
      <c r="K2655" t="s">
        <v>3745</v>
      </c>
      <c r="L2655">
        <v>32</v>
      </c>
      <c r="M2655" s="453">
        <v>45824</v>
      </c>
      <c r="N2655">
        <v>32</v>
      </c>
      <c r="O2655">
        <v>31.56</v>
      </c>
      <c r="P2655">
        <v>32</v>
      </c>
    </row>
    <row r="2656" spans="1:16" x14ac:dyDescent="0.3">
      <c r="A2656">
        <v>39904</v>
      </c>
      <c r="B2656">
        <v>116</v>
      </c>
      <c r="C2656" t="s">
        <v>568</v>
      </c>
      <c r="D2656" s="453">
        <v>45839</v>
      </c>
      <c r="E2656">
        <v>20213</v>
      </c>
      <c r="F2656" t="s">
        <v>4059</v>
      </c>
      <c r="G2656">
        <v>2251</v>
      </c>
      <c r="H2656">
        <v>1</v>
      </c>
      <c r="I2656" t="s">
        <v>3888</v>
      </c>
      <c r="J2656" t="s">
        <v>3469</v>
      </c>
      <c r="K2656" t="s">
        <v>3745</v>
      </c>
      <c r="L2656">
        <v>31.62</v>
      </c>
      <c r="M2656" s="453">
        <v>45818</v>
      </c>
      <c r="N2656">
        <v>31.62</v>
      </c>
      <c r="O2656">
        <v>31.62</v>
      </c>
      <c r="P2656">
        <v>31.62</v>
      </c>
    </row>
    <row r="2657" spans="1:16" x14ac:dyDescent="0.3">
      <c r="A2657">
        <v>39994</v>
      </c>
      <c r="B2657">
        <v>116</v>
      </c>
      <c r="C2657" t="s">
        <v>568</v>
      </c>
      <c r="D2657" s="453">
        <v>45839</v>
      </c>
      <c r="E2657">
        <v>19544</v>
      </c>
      <c r="F2657" t="s">
        <v>4473</v>
      </c>
      <c r="G2657">
        <v>2672</v>
      </c>
      <c r="H2657">
        <v>4</v>
      </c>
      <c r="I2657" t="s">
        <v>3892</v>
      </c>
      <c r="J2657" t="s">
        <v>3469</v>
      </c>
      <c r="K2657" t="s">
        <v>3745</v>
      </c>
      <c r="L2657">
        <v>7.75</v>
      </c>
      <c r="M2657" s="453">
        <v>45826</v>
      </c>
      <c r="N2657">
        <v>7.5</v>
      </c>
      <c r="O2657">
        <v>7.5</v>
      </c>
      <c r="P2657">
        <v>31</v>
      </c>
    </row>
    <row r="2658" spans="1:16" x14ac:dyDescent="0.3">
      <c r="A2658">
        <v>39966</v>
      </c>
      <c r="B2658">
        <v>116</v>
      </c>
      <c r="C2658" t="s">
        <v>568</v>
      </c>
      <c r="D2658" s="453">
        <v>45839</v>
      </c>
      <c r="E2658">
        <v>19765</v>
      </c>
      <c r="F2658" t="s">
        <v>4071</v>
      </c>
      <c r="G2658">
        <v>2488</v>
      </c>
      <c r="H2658">
        <v>1</v>
      </c>
      <c r="I2658" t="s">
        <v>3892</v>
      </c>
      <c r="J2658" t="s">
        <v>3469</v>
      </c>
      <c r="K2658" t="s">
        <v>3745</v>
      </c>
      <c r="L2658">
        <v>0</v>
      </c>
      <c r="M2658" s="453">
        <v>45789</v>
      </c>
      <c r="N2658">
        <v>30</v>
      </c>
      <c r="O2658">
        <v>32</v>
      </c>
      <c r="P2658">
        <v>30</v>
      </c>
    </row>
    <row r="2659" spans="1:16" x14ac:dyDescent="0.3">
      <c r="A2659">
        <v>39882</v>
      </c>
      <c r="B2659">
        <v>116</v>
      </c>
      <c r="C2659" t="s">
        <v>568</v>
      </c>
      <c r="D2659" s="453">
        <v>45839</v>
      </c>
      <c r="E2659">
        <v>24125</v>
      </c>
      <c r="F2659" t="s">
        <v>4474</v>
      </c>
      <c r="G2659">
        <v>2328</v>
      </c>
      <c r="H2659">
        <v>1</v>
      </c>
      <c r="I2659" t="s">
        <v>3892</v>
      </c>
      <c r="J2659" t="s">
        <v>3469</v>
      </c>
      <c r="K2659" t="s">
        <v>3745</v>
      </c>
      <c r="L2659">
        <v>30</v>
      </c>
      <c r="M2659" s="453">
        <v>45820</v>
      </c>
      <c r="N2659">
        <v>30</v>
      </c>
      <c r="O2659">
        <v>30</v>
      </c>
      <c r="P2659">
        <v>30</v>
      </c>
    </row>
    <row r="2660" spans="1:16" x14ac:dyDescent="0.3">
      <c r="A2660">
        <v>39869</v>
      </c>
      <c r="B2660">
        <v>116</v>
      </c>
      <c r="C2660" t="s">
        <v>568</v>
      </c>
      <c r="D2660" s="453">
        <v>45839</v>
      </c>
      <c r="E2660">
        <v>21078</v>
      </c>
      <c r="F2660" t="s">
        <v>4049</v>
      </c>
      <c r="G2660">
        <v>1991</v>
      </c>
      <c r="H2660">
        <v>1</v>
      </c>
      <c r="I2660" t="s">
        <v>3881</v>
      </c>
      <c r="J2660" t="s">
        <v>3469</v>
      </c>
      <c r="K2660" t="s">
        <v>3745</v>
      </c>
      <c r="L2660">
        <v>0</v>
      </c>
      <c r="M2660" s="453">
        <v>-693593</v>
      </c>
      <c r="N2660">
        <v>0</v>
      </c>
      <c r="O2660">
        <v>43.6</v>
      </c>
      <c r="P2660">
        <v>29.9</v>
      </c>
    </row>
    <row r="2661" spans="1:16" x14ac:dyDescent="0.3">
      <c r="A2661">
        <v>39956</v>
      </c>
      <c r="B2661">
        <v>116</v>
      </c>
      <c r="C2661" t="s">
        <v>568</v>
      </c>
      <c r="D2661" s="453">
        <v>45839</v>
      </c>
      <c r="E2661">
        <v>19779</v>
      </c>
      <c r="F2661" t="s">
        <v>4069</v>
      </c>
      <c r="G2661">
        <v>2479</v>
      </c>
      <c r="H2661">
        <v>0.8</v>
      </c>
      <c r="I2661" t="s">
        <v>3892</v>
      </c>
      <c r="J2661" t="s">
        <v>3469</v>
      </c>
      <c r="K2661" t="s">
        <v>3745</v>
      </c>
      <c r="L2661">
        <v>37</v>
      </c>
      <c r="M2661" s="453">
        <v>45826</v>
      </c>
      <c r="N2661">
        <v>37</v>
      </c>
      <c r="O2661">
        <v>38</v>
      </c>
      <c r="P2661">
        <v>29.6</v>
      </c>
    </row>
    <row r="2662" spans="1:16" x14ac:dyDescent="0.3">
      <c r="A2662">
        <v>39890</v>
      </c>
      <c r="B2662">
        <v>116</v>
      </c>
      <c r="C2662" t="s">
        <v>568</v>
      </c>
      <c r="D2662" s="453">
        <v>45839</v>
      </c>
      <c r="E2662">
        <v>20682</v>
      </c>
      <c r="F2662" t="s">
        <v>3929</v>
      </c>
      <c r="G2662">
        <v>2106</v>
      </c>
      <c r="H2662">
        <v>3</v>
      </c>
      <c r="I2662" t="s">
        <v>3872</v>
      </c>
      <c r="J2662" t="s">
        <v>3469</v>
      </c>
      <c r="K2662" t="s">
        <v>3745</v>
      </c>
      <c r="L2662">
        <v>9.6999999999999993</v>
      </c>
      <c r="M2662" s="453">
        <v>45811</v>
      </c>
      <c r="N2662">
        <v>9.6999999999999993</v>
      </c>
      <c r="O2662">
        <v>9.6999999999999993</v>
      </c>
      <c r="P2662">
        <v>29.1</v>
      </c>
    </row>
    <row r="2663" spans="1:16" x14ac:dyDescent="0.3">
      <c r="A2663">
        <v>39917</v>
      </c>
      <c r="B2663">
        <v>116</v>
      </c>
      <c r="C2663" t="s">
        <v>568</v>
      </c>
      <c r="D2663" s="453">
        <v>45839</v>
      </c>
      <c r="E2663">
        <v>20871</v>
      </c>
      <c r="F2663" t="s">
        <v>4475</v>
      </c>
      <c r="G2663">
        <v>2043</v>
      </c>
      <c r="H2663">
        <v>1</v>
      </c>
      <c r="I2663" t="s">
        <v>3886</v>
      </c>
      <c r="J2663" t="s">
        <v>3469</v>
      </c>
      <c r="K2663" t="s">
        <v>3745</v>
      </c>
      <c r="L2663">
        <v>0</v>
      </c>
      <c r="M2663" s="453">
        <v>45790</v>
      </c>
      <c r="N2663">
        <v>28.9</v>
      </c>
      <c r="O2663">
        <v>28.9</v>
      </c>
      <c r="P2663">
        <v>28.9</v>
      </c>
    </row>
    <row r="2664" spans="1:16" x14ac:dyDescent="0.3">
      <c r="A2664">
        <v>39898</v>
      </c>
      <c r="B2664">
        <v>116</v>
      </c>
      <c r="C2664" t="s">
        <v>568</v>
      </c>
      <c r="D2664" s="453">
        <v>45839</v>
      </c>
      <c r="E2664">
        <v>20242</v>
      </c>
      <c r="F2664" t="s">
        <v>4120</v>
      </c>
      <c r="G2664">
        <v>2242</v>
      </c>
      <c r="H2664">
        <v>2</v>
      </c>
      <c r="I2664" t="s">
        <v>3888</v>
      </c>
      <c r="J2664" t="s">
        <v>3469</v>
      </c>
      <c r="K2664" t="s">
        <v>3745</v>
      </c>
      <c r="L2664">
        <v>14.05</v>
      </c>
      <c r="M2664" s="453">
        <v>45824</v>
      </c>
      <c r="N2664">
        <v>13.99</v>
      </c>
      <c r="O2664">
        <v>13.99</v>
      </c>
      <c r="P2664">
        <v>28.1</v>
      </c>
    </row>
    <row r="2665" spans="1:16" x14ac:dyDescent="0.3">
      <c r="A2665">
        <v>39906</v>
      </c>
      <c r="B2665">
        <v>116</v>
      </c>
      <c r="C2665" t="s">
        <v>568</v>
      </c>
      <c r="D2665" s="453">
        <v>45839</v>
      </c>
      <c r="E2665">
        <v>20661</v>
      </c>
      <c r="F2665" t="s">
        <v>3919</v>
      </c>
      <c r="G2665">
        <v>2110</v>
      </c>
      <c r="H2665">
        <v>3</v>
      </c>
      <c r="I2665" t="s">
        <v>3872</v>
      </c>
      <c r="J2665" t="s">
        <v>3469</v>
      </c>
      <c r="K2665" t="s">
        <v>3745</v>
      </c>
      <c r="L2665">
        <v>9.11</v>
      </c>
      <c r="M2665" s="453">
        <v>45824</v>
      </c>
      <c r="N2665">
        <v>9.1</v>
      </c>
      <c r="O2665">
        <v>8.7899999999999991</v>
      </c>
      <c r="P2665">
        <v>27.33</v>
      </c>
    </row>
    <row r="2666" spans="1:16" x14ac:dyDescent="0.3">
      <c r="A2666">
        <v>40036</v>
      </c>
      <c r="B2666">
        <v>116</v>
      </c>
      <c r="C2666" t="s">
        <v>568</v>
      </c>
      <c r="D2666" s="453">
        <v>45839</v>
      </c>
      <c r="E2666">
        <v>18528</v>
      </c>
      <c r="F2666" t="s">
        <v>4108</v>
      </c>
      <c r="G2666">
        <v>3147</v>
      </c>
      <c r="H2666">
        <v>0.5</v>
      </c>
      <c r="I2666" t="s">
        <v>3878</v>
      </c>
      <c r="J2666" t="s">
        <v>3497</v>
      </c>
      <c r="K2666" t="s">
        <v>3745</v>
      </c>
      <c r="L2666">
        <v>0</v>
      </c>
      <c r="M2666" s="453">
        <v>45793</v>
      </c>
      <c r="N2666">
        <v>54.55</v>
      </c>
      <c r="O2666">
        <v>54.55</v>
      </c>
      <c r="P2666">
        <v>27.28</v>
      </c>
    </row>
    <row r="2667" spans="1:16" x14ac:dyDescent="0.3">
      <c r="A2667">
        <v>39940</v>
      </c>
      <c r="B2667">
        <v>116</v>
      </c>
      <c r="C2667" t="s">
        <v>568</v>
      </c>
      <c r="D2667" s="453">
        <v>45839</v>
      </c>
      <c r="E2667">
        <v>20610</v>
      </c>
      <c r="F2667" t="s">
        <v>4064</v>
      </c>
      <c r="G2667">
        <v>2120</v>
      </c>
      <c r="H2667">
        <v>1</v>
      </c>
      <c r="I2667" t="s">
        <v>3884</v>
      </c>
      <c r="J2667" t="s">
        <v>3469</v>
      </c>
      <c r="K2667" t="s">
        <v>3745</v>
      </c>
      <c r="L2667">
        <v>0</v>
      </c>
      <c r="M2667" s="453">
        <v>45770</v>
      </c>
      <c r="N2667">
        <v>26.9</v>
      </c>
      <c r="O2667">
        <v>24.9</v>
      </c>
      <c r="P2667">
        <v>26.9</v>
      </c>
    </row>
    <row r="2668" spans="1:16" x14ac:dyDescent="0.3">
      <c r="A2668">
        <v>40046</v>
      </c>
      <c r="B2668">
        <v>116</v>
      </c>
      <c r="C2668" t="s">
        <v>568</v>
      </c>
      <c r="D2668" s="453">
        <v>45839</v>
      </c>
      <c r="E2668">
        <v>18395</v>
      </c>
      <c r="F2668" t="s">
        <v>4085</v>
      </c>
      <c r="G2668">
        <v>3245</v>
      </c>
      <c r="H2668">
        <v>0.8</v>
      </c>
      <c r="I2668" t="s">
        <v>3878</v>
      </c>
      <c r="J2668" t="s">
        <v>3497</v>
      </c>
      <c r="K2668" t="s">
        <v>3745</v>
      </c>
      <c r="L2668">
        <v>0</v>
      </c>
      <c r="M2668" s="453">
        <v>45782</v>
      </c>
      <c r="N2668">
        <v>33.03</v>
      </c>
      <c r="O2668">
        <v>0</v>
      </c>
      <c r="P2668">
        <v>26.42</v>
      </c>
    </row>
    <row r="2669" spans="1:16" x14ac:dyDescent="0.3">
      <c r="A2669">
        <v>39955</v>
      </c>
      <c r="B2669">
        <v>116</v>
      </c>
      <c r="C2669" t="s">
        <v>568</v>
      </c>
      <c r="D2669" s="453">
        <v>45839</v>
      </c>
      <c r="E2669">
        <v>19494</v>
      </c>
      <c r="F2669" t="s">
        <v>4126</v>
      </c>
      <c r="G2669">
        <v>2716</v>
      </c>
      <c r="H2669">
        <v>2</v>
      </c>
      <c r="I2669" t="s">
        <v>3892</v>
      </c>
      <c r="J2669" t="s">
        <v>3469</v>
      </c>
      <c r="K2669" t="s">
        <v>3745</v>
      </c>
      <c r="L2669">
        <v>12.9</v>
      </c>
      <c r="M2669" s="453">
        <v>45824</v>
      </c>
      <c r="N2669">
        <v>8.5</v>
      </c>
      <c r="O2669">
        <v>8.5</v>
      </c>
      <c r="P2669">
        <v>25.8</v>
      </c>
    </row>
    <row r="2670" spans="1:16" x14ac:dyDescent="0.3">
      <c r="A2670">
        <v>39931</v>
      </c>
      <c r="B2670">
        <v>116</v>
      </c>
      <c r="C2670" t="s">
        <v>568</v>
      </c>
      <c r="D2670" s="453">
        <v>45839</v>
      </c>
      <c r="E2670">
        <v>25768</v>
      </c>
      <c r="F2670" t="s">
        <v>4012</v>
      </c>
      <c r="G2670">
        <v>6317</v>
      </c>
      <c r="H2670">
        <v>2</v>
      </c>
      <c r="I2670" t="s">
        <v>3892</v>
      </c>
      <c r="J2670" t="s">
        <v>3469</v>
      </c>
      <c r="K2670" t="s">
        <v>3745</v>
      </c>
      <c r="L2670">
        <v>0</v>
      </c>
      <c r="M2670" s="453">
        <v>45797</v>
      </c>
      <c r="N2670">
        <v>12.8</v>
      </c>
      <c r="O2670">
        <v>6.9</v>
      </c>
      <c r="P2670">
        <v>25.6</v>
      </c>
    </row>
    <row r="2671" spans="1:16" x14ac:dyDescent="0.3">
      <c r="A2671">
        <v>39957</v>
      </c>
      <c r="B2671">
        <v>116</v>
      </c>
      <c r="C2671" t="s">
        <v>568</v>
      </c>
      <c r="D2671" s="453">
        <v>45839</v>
      </c>
      <c r="E2671">
        <v>24509</v>
      </c>
      <c r="F2671" t="s">
        <v>3906</v>
      </c>
      <c r="G2671">
        <v>2607</v>
      </c>
      <c r="H2671">
        <v>9.8000000000000007</v>
      </c>
      <c r="I2671" t="s">
        <v>3892</v>
      </c>
      <c r="J2671" t="s">
        <v>3469</v>
      </c>
      <c r="K2671" t="s">
        <v>3745</v>
      </c>
      <c r="L2671">
        <v>2.52</v>
      </c>
      <c r="M2671" s="453">
        <v>45826</v>
      </c>
      <c r="N2671">
        <v>2.2400000000000002</v>
      </c>
      <c r="O2671">
        <v>2.19</v>
      </c>
      <c r="P2671">
        <v>24.7</v>
      </c>
    </row>
    <row r="2672" spans="1:16" x14ac:dyDescent="0.3">
      <c r="A2672">
        <v>40029</v>
      </c>
      <c r="B2672">
        <v>116</v>
      </c>
      <c r="C2672" t="s">
        <v>568</v>
      </c>
      <c r="D2672" s="453">
        <v>45839</v>
      </c>
      <c r="E2672">
        <v>17093</v>
      </c>
      <c r="F2672" t="s">
        <v>3993</v>
      </c>
      <c r="G2672">
        <v>4165</v>
      </c>
      <c r="H2672">
        <v>3</v>
      </c>
      <c r="I2672" t="s">
        <v>3888</v>
      </c>
      <c r="J2672" t="s">
        <v>3497</v>
      </c>
      <c r="K2672" t="s">
        <v>3745</v>
      </c>
      <c r="L2672">
        <v>0</v>
      </c>
      <c r="M2672" s="453">
        <v>45803</v>
      </c>
      <c r="N2672">
        <v>8</v>
      </c>
      <c r="O2672">
        <v>8</v>
      </c>
      <c r="P2672">
        <v>24</v>
      </c>
    </row>
    <row r="2673" spans="1:16" x14ac:dyDescent="0.3">
      <c r="A2673">
        <v>39934</v>
      </c>
      <c r="B2673">
        <v>116</v>
      </c>
      <c r="C2673" t="s">
        <v>568</v>
      </c>
      <c r="D2673" s="453">
        <v>45839</v>
      </c>
      <c r="E2673">
        <v>19902</v>
      </c>
      <c r="F2673" t="s">
        <v>3909</v>
      </c>
      <c r="G2673">
        <v>2382</v>
      </c>
      <c r="H2673">
        <v>1</v>
      </c>
      <c r="I2673" t="s">
        <v>3881</v>
      </c>
      <c r="J2673" t="s">
        <v>3469</v>
      </c>
      <c r="K2673" t="s">
        <v>3745</v>
      </c>
      <c r="L2673">
        <v>23.9</v>
      </c>
      <c r="M2673" s="453">
        <v>45812</v>
      </c>
      <c r="N2673">
        <v>23.9</v>
      </c>
      <c r="O2673">
        <v>23.99</v>
      </c>
      <c r="P2673">
        <v>23.9</v>
      </c>
    </row>
    <row r="2674" spans="1:16" x14ac:dyDescent="0.3">
      <c r="A2674">
        <v>39895</v>
      </c>
      <c r="B2674">
        <v>116</v>
      </c>
      <c r="C2674" t="s">
        <v>568</v>
      </c>
      <c r="D2674" s="453">
        <v>45839</v>
      </c>
      <c r="E2674">
        <v>20359</v>
      </c>
      <c r="F2674" t="s">
        <v>3917</v>
      </c>
      <c r="G2674">
        <v>2199</v>
      </c>
      <c r="H2674">
        <v>5</v>
      </c>
      <c r="I2674" t="s">
        <v>3872</v>
      </c>
      <c r="J2674" t="s">
        <v>3469</v>
      </c>
      <c r="K2674" t="s">
        <v>3745</v>
      </c>
      <c r="L2674">
        <v>4.78</v>
      </c>
      <c r="M2674" s="453">
        <v>45826</v>
      </c>
      <c r="N2674">
        <v>4.78</v>
      </c>
      <c r="O2674">
        <v>4.76</v>
      </c>
      <c r="P2674">
        <v>23.9</v>
      </c>
    </row>
    <row r="2675" spans="1:16" x14ac:dyDescent="0.3">
      <c r="A2675">
        <v>39893</v>
      </c>
      <c r="B2675">
        <v>116</v>
      </c>
      <c r="C2675" t="s">
        <v>568</v>
      </c>
      <c r="D2675" s="453">
        <v>45839</v>
      </c>
      <c r="E2675">
        <v>20410</v>
      </c>
      <c r="F2675" t="s">
        <v>4458</v>
      </c>
      <c r="G2675">
        <v>2190</v>
      </c>
      <c r="H2675">
        <v>2</v>
      </c>
      <c r="I2675" t="s">
        <v>3872</v>
      </c>
      <c r="J2675" t="s">
        <v>3469</v>
      </c>
      <c r="K2675" t="s">
        <v>3745</v>
      </c>
      <c r="L2675">
        <v>11.85</v>
      </c>
      <c r="M2675" s="453">
        <v>45811</v>
      </c>
      <c r="N2675">
        <v>11.85</v>
      </c>
      <c r="O2675">
        <v>11.78</v>
      </c>
      <c r="P2675">
        <v>23.7</v>
      </c>
    </row>
    <row r="2676" spans="1:16" x14ac:dyDescent="0.3">
      <c r="A2676">
        <v>39998</v>
      </c>
      <c r="B2676">
        <v>116</v>
      </c>
      <c r="C2676" t="s">
        <v>568</v>
      </c>
      <c r="D2676" s="453">
        <v>45839</v>
      </c>
      <c r="E2676">
        <v>19428</v>
      </c>
      <c r="F2676" t="s">
        <v>4169</v>
      </c>
      <c r="G2676">
        <v>2758</v>
      </c>
      <c r="H2676">
        <v>4</v>
      </c>
      <c r="I2676" t="s">
        <v>3872</v>
      </c>
      <c r="J2676" t="s">
        <v>3469</v>
      </c>
      <c r="K2676" t="s">
        <v>3745</v>
      </c>
      <c r="L2676">
        <v>5.92</v>
      </c>
      <c r="M2676" s="453">
        <v>45824</v>
      </c>
      <c r="N2676">
        <v>5.92</v>
      </c>
      <c r="O2676">
        <v>5.92</v>
      </c>
      <c r="P2676">
        <v>23.68</v>
      </c>
    </row>
    <row r="2677" spans="1:16" x14ac:dyDescent="0.3">
      <c r="A2677">
        <v>40000</v>
      </c>
      <c r="B2677">
        <v>116</v>
      </c>
      <c r="C2677" t="s">
        <v>568</v>
      </c>
      <c r="D2677" s="453">
        <v>45839</v>
      </c>
      <c r="E2677">
        <v>19415</v>
      </c>
      <c r="F2677" t="s">
        <v>3941</v>
      </c>
      <c r="G2677">
        <v>2759</v>
      </c>
      <c r="H2677">
        <v>3</v>
      </c>
      <c r="I2677" t="s">
        <v>3872</v>
      </c>
      <c r="J2677" t="s">
        <v>3469</v>
      </c>
      <c r="K2677" t="s">
        <v>3745</v>
      </c>
      <c r="L2677">
        <v>7.8</v>
      </c>
      <c r="M2677" s="453">
        <v>45818</v>
      </c>
      <c r="N2677">
        <v>7.8</v>
      </c>
      <c r="O2677">
        <v>7.6</v>
      </c>
      <c r="P2677">
        <v>23.4</v>
      </c>
    </row>
    <row r="2678" spans="1:16" x14ac:dyDescent="0.3">
      <c r="A2678">
        <v>39891</v>
      </c>
      <c r="B2678">
        <v>116</v>
      </c>
      <c r="C2678" t="s">
        <v>568</v>
      </c>
      <c r="D2678" s="453">
        <v>45839</v>
      </c>
      <c r="E2678">
        <v>20680</v>
      </c>
      <c r="F2678" t="s">
        <v>4460</v>
      </c>
      <c r="G2678">
        <v>2106</v>
      </c>
      <c r="H2678">
        <v>6</v>
      </c>
      <c r="I2678" t="s">
        <v>3872</v>
      </c>
      <c r="J2678" t="s">
        <v>3469</v>
      </c>
      <c r="K2678" t="s">
        <v>3745</v>
      </c>
      <c r="L2678">
        <v>0</v>
      </c>
      <c r="M2678" s="453">
        <v>45805</v>
      </c>
      <c r="N2678">
        <v>3.8</v>
      </c>
      <c r="O2678">
        <v>5.55</v>
      </c>
      <c r="P2678">
        <v>22.8</v>
      </c>
    </row>
    <row r="2679" spans="1:16" x14ac:dyDescent="0.3">
      <c r="A2679">
        <v>39949</v>
      </c>
      <c r="B2679">
        <v>116</v>
      </c>
      <c r="C2679" t="s">
        <v>568</v>
      </c>
      <c r="D2679" s="453">
        <v>45839</v>
      </c>
      <c r="E2679">
        <v>24037</v>
      </c>
      <c r="F2679" t="s">
        <v>4104</v>
      </c>
      <c r="G2679">
        <v>2590</v>
      </c>
      <c r="H2679">
        <v>0.9</v>
      </c>
      <c r="I2679" t="s">
        <v>3892</v>
      </c>
      <c r="J2679" t="s">
        <v>3469</v>
      </c>
      <c r="K2679" t="s">
        <v>3745</v>
      </c>
      <c r="L2679">
        <v>25.1</v>
      </c>
      <c r="M2679" s="453">
        <v>45824</v>
      </c>
      <c r="N2679">
        <v>25.1</v>
      </c>
      <c r="O2679">
        <v>26.8</v>
      </c>
      <c r="P2679">
        <v>22.59</v>
      </c>
    </row>
    <row r="2680" spans="1:16" x14ac:dyDescent="0.3">
      <c r="A2680">
        <v>39939</v>
      </c>
      <c r="B2680">
        <v>116</v>
      </c>
      <c r="C2680" t="s">
        <v>568</v>
      </c>
      <c r="D2680" s="453">
        <v>45839</v>
      </c>
      <c r="E2680">
        <v>25769</v>
      </c>
      <c r="F2680" t="s">
        <v>4013</v>
      </c>
      <c r="G2680">
        <v>6318</v>
      </c>
      <c r="H2680">
        <v>2</v>
      </c>
      <c r="I2680" t="s">
        <v>3892</v>
      </c>
      <c r="J2680" t="s">
        <v>3469</v>
      </c>
      <c r="K2680" t="s">
        <v>3745</v>
      </c>
      <c r="L2680">
        <v>0</v>
      </c>
      <c r="M2680" s="453">
        <v>45790</v>
      </c>
      <c r="N2680">
        <v>11.2</v>
      </c>
      <c r="O2680">
        <v>5.5</v>
      </c>
      <c r="P2680">
        <v>22.4</v>
      </c>
    </row>
    <row r="2681" spans="1:16" x14ac:dyDescent="0.3">
      <c r="A2681">
        <v>39978</v>
      </c>
      <c r="B2681">
        <v>116</v>
      </c>
      <c r="C2681" t="s">
        <v>568</v>
      </c>
      <c r="D2681" s="453">
        <v>45839</v>
      </c>
      <c r="E2681">
        <v>24394</v>
      </c>
      <c r="F2681" t="s">
        <v>3876</v>
      </c>
      <c r="G2681">
        <v>2753</v>
      </c>
      <c r="H2681">
        <v>31</v>
      </c>
      <c r="I2681" t="s">
        <v>3872</v>
      </c>
      <c r="J2681" t="s">
        <v>3469</v>
      </c>
      <c r="K2681" t="s">
        <v>3745</v>
      </c>
      <c r="L2681">
        <v>0.72</v>
      </c>
      <c r="M2681" s="453">
        <v>45824</v>
      </c>
      <c r="N2681">
        <v>0.65</v>
      </c>
      <c r="O2681">
        <v>0.56000000000000005</v>
      </c>
      <c r="P2681">
        <v>22.32</v>
      </c>
    </row>
    <row r="2682" spans="1:16" x14ac:dyDescent="0.3">
      <c r="A2682">
        <v>39925</v>
      </c>
      <c r="B2682">
        <v>116</v>
      </c>
      <c r="C2682" t="s">
        <v>568</v>
      </c>
      <c r="D2682" s="453">
        <v>45839</v>
      </c>
      <c r="E2682">
        <v>24392</v>
      </c>
      <c r="F2682" t="s">
        <v>4041</v>
      </c>
      <c r="G2682">
        <v>2366</v>
      </c>
      <c r="H2682">
        <v>1</v>
      </c>
      <c r="I2682" t="s">
        <v>3892</v>
      </c>
      <c r="J2682" t="s">
        <v>3469</v>
      </c>
      <c r="K2682" t="s">
        <v>3745</v>
      </c>
      <c r="L2682">
        <v>0</v>
      </c>
      <c r="M2682" s="453">
        <v>45524</v>
      </c>
      <c r="N2682">
        <v>21.9</v>
      </c>
      <c r="O2682">
        <v>22.9</v>
      </c>
      <c r="P2682">
        <v>21.9</v>
      </c>
    </row>
    <row r="2683" spans="1:16" x14ac:dyDescent="0.3">
      <c r="A2683">
        <v>39963</v>
      </c>
      <c r="B2683">
        <v>116</v>
      </c>
      <c r="C2683" t="s">
        <v>568</v>
      </c>
      <c r="D2683" s="453">
        <v>45839</v>
      </c>
      <c r="E2683">
        <v>19613</v>
      </c>
      <c r="F2683" t="s">
        <v>4017</v>
      </c>
      <c r="G2683">
        <v>2620</v>
      </c>
      <c r="H2683">
        <v>3</v>
      </c>
      <c r="I2683" t="s">
        <v>3892</v>
      </c>
      <c r="J2683" t="s">
        <v>3469</v>
      </c>
      <c r="K2683" t="s">
        <v>3745</v>
      </c>
      <c r="L2683">
        <v>7.07</v>
      </c>
      <c r="M2683" s="453">
        <v>45827</v>
      </c>
      <c r="N2683">
        <v>4.9000000000000004</v>
      </c>
      <c r="O2683">
        <v>7.5</v>
      </c>
      <c r="P2683">
        <v>21.21</v>
      </c>
    </row>
    <row r="2684" spans="1:16" x14ac:dyDescent="0.3">
      <c r="A2684">
        <v>39944</v>
      </c>
      <c r="B2684">
        <v>116</v>
      </c>
      <c r="C2684" t="s">
        <v>568</v>
      </c>
      <c r="D2684" s="453">
        <v>45839</v>
      </c>
      <c r="E2684">
        <v>19506</v>
      </c>
      <c r="F2684" t="s">
        <v>4112</v>
      </c>
      <c r="G2684">
        <v>2705</v>
      </c>
      <c r="H2684">
        <v>0.4</v>
      </c>
      <c r="I2684" t="s">
        <v>3892</v>
      </c>
      <c r="J2684" t="s">
        <v>3469</v>
      </c>
      <c r="K2684" t="s">
        <v>3745</v>
      </c>
      <c r="L2684">
        <v>52.85</v>
      </c>
      <c r="M2684" s="453">
        <v>45826</v>
      </c>
      <c r="N2684">
        <v>38.4</v>
      </c>
      <c r="O2684">
        <v>38.4</v>
      </c>
      <c r="P2684">
        <v>21.14</v>
      </c>
    </row>
    <row r="2685" spans="1:16" x14ac:dyDescent="0.3">
      <c r="A2685">
        <v>39951</v>
      </c>
      <c r="B2685">
        <v>116</v>
      </c>
      <c r="C2685" t="s">
        <v>568</v>
      </c>
      <c r="D2685" s="453">
        <v>45839</v>
      </c>
      <c r="E2685">
        <v>19783</v>
      </c>
      <c r="F2685" t="s">
        <v>4016</v>
      </c>
      <c r="G2685">
        <v>2475</v>
      </c>
      <c r="H2685">
        <v>5.2</v>
      </c>
      <c r="I2685" t="s">
        <v>3892</v>
      </c>
      <c r="J2685" t="s">
        <v>3469</v>
      </c>
      <c r="K2685" t="s">
        <v>3745</v>
      </c>
      <c r="L2685">
        <v>4.0599999999999996</v>
      </c>
      <c r="M2685" s="453">
        <v>45826</v>
      </c>
      <c r="N2685">
        <v>4.3499999999999996</v>
      </c>
      <c r="O2685">
        <v>3.9</v>
      </c>
      <c r="P2685">
        <v>21.11</v>
      </c>
    </row>
    <row r="2686" spans="1:16" x14ac:dyDescent="0.3">
      <c r="A2686">
        <v>39995</v>
      </c>
      <c r="B2686">
        <v>116</v>
      </c>
      <c r="C2686" t="s">
        <v>568</v>
      </c>
      <c r="D2686" s="453">
        <v>45839</v>
      </c>
      <c r="E2686">
        <v>19540</v>
      </c>
      <c r="F2686" t="s">
        <v>4454</v>
      </c>
      <c r="G2686">
        <v>2676</v>
      </c>
      <c r="H2686">
        <v>3</v>
      </c>
      <c r="I2686" t="s">
        <v>3892</v>
      </c>
      <c r="J2686" t="s">
        <v>3469</v>
      </c>
      <c r="K2686" t="s">
        <v>3745</v>
      </c>
      <c r="L2686">
        <v>7</v>
      </c>
      <c r="M2686" s="453">
        <v>45824</v>
      </c>
      <c r="N2686">
        <v>7.2</v>
      </c>
      <c r="O2686">
        <v>9</v>
      </c>
      <c r="P2686">
        <v>21</v>
      </c>
    </row>
    <row r="2687" spans="1:16" x14ac:dyDescent="0.3">
      <c r="A2687">
        <v>40062</v>
      </c>
      <c r="B2687">
        <v>116</v>
      </c>
      <c r="C2687" t="s">
        <v>568</v>
      </c>
      <c r="D2687" s="453">
        <v>45839</v>
      </c>
      <c r="E2687">
        <v>18200</v>
      </c>
      <c r="F2687" t="s">
        <v>4032</v>
      </c>
      <c r="G2687">
        <v>3426</v>
      </c>
      <c r="H2687">
        <v>0.5</v>
      </c>
      <c r="I2687" t="s">
        <v>3878</v>
      </c>
      <c r="J2687" t="s">
        <v>3497</v>
      </c>
      <c r="K2687" t="s">
        <v>3745</v>
      </c>
      <c r="L2687">
        <v>0</v>
      </c>
      <c r="M2687" s="453">
        <v>45699</v>
      </c>
      <c r="N2687">
        <v>41.18</v>
      </c>
      <c r="O2687">
        <v>41.5</v>
      </c>
      <c r="P2687">
        <v>20.59</v>
      </c>
    </row>
    <row r="2688" spans="1:16" x14ac:dyDescent="0.3">
      <c r="A2688">
        <v>40078</v>
      </c>
      <c r="B2688">
        <v>116</v>
      </c>
      <c r="C2688" t="s">
        <v>568</v>
      </c>
      <c r="D2688" s="453">
        <v>45839</v>
      </c>
      <c r="E2688">
        <v>24227</v>
      </c>
      <c r="F2688" t="s">
        <v>3970</v>
      </c>
      <c r="G2688">
        <v>3648</v>
      </c>
      <c r="H2688">
        <v>3</v>
      </c>
      <c r="I2688" t="s">
        <v>3872</v>
      </c>
      <c r="J2688" t="s">
        <v>3497</v>
      </c>
      <c r="K2688" t="s">
        <v>3745</v>
      </c>
      <c r="L2688">
        <v>0</v>
      </c>
      <c r="M2688" s="453">
        <v>-693593</v>
      </c>
      <c r="N2688">
        <v>0</v>
      </c>
      <c r="O2688">
        <v>23.89</v>
      </c>
      <c r="P2688">
        <v>20.46</v>
      </c>
    </row>
    <row r="2689" spans="1:16" x14ac:dyDescent="0.3">
      <c r="A2689">
        <v>39946</v>
      </c>
      <c r="B2689">
        <v>116</v>
      </c>
      <c r="C2689" t="s">
        <v>568</v>
      </c>
      <c r="D2689" s="453">
        <v>45839</v>
      </c>
      <c r="E2689">
        <v>19498</v>
      </c>
      <c r="F2689" t="s">
        <v>4065</v>
      </c>
      <c r="G2689">
        <v>2712</v>
      </c>
      <c r="H2689">
        <v>1.6</v>
      </c>
      <c r="I2689" t="s">
        <v>3892</v>
      </c>
      <c r="J2689" t="s">
        <v>3469</v>
      </c>
      <c r="K2689" t="s">
        <v>3745</v>
      </c>
      <c r="L2689">
        <v>12.5</v>
      </c>
      <c r="M2689" s="453">
        <v>45824</v>
      </c>
      <c r="N2689">
        <v>8</v>
      </c>
      <c r="O2689">
        <v>8.5</v>
      </c>
      <c r="P2689">
        <v>20</v>
      </c>
    </row>
    <row r="2690" spans="1:16" x14ac:dyDescent="0.3">
      <c r="A2690">
        <v>40092</v>
      </c>
      <c r="B2690">
        <v>116</v>
      </c>
      <c r="C2690" t="s">
        <v>568</v>
      </c>
      <c r="D2690" s="453">
        <v>45839</v>
      </c>
      <c r="E2690">
        <v>17878</v>
      </c>
      <c r="F2690" t="s">
        <v>4096</v>
      </c>
      <c r="G2690">
        <v>3677</v>
      </c>
      <c r="H2690">
        <v>1</v>
      </c>
      <c r="I2690" t="s">
        <v>3872</v>
      </c>
      <c r="J2690" t="s">
        <v>3497</v>
      </c>
      <c r="K2690" t="s">
        <v>3745</v>
      </c>
      <c r="L2690">
        <v>0</v>
      </c>
      <c r="M2690" s="453">
        <v>45790</v>
      </c>
      <c r="N2690">
        <v>18.899999999999999</v>
      </c>
      <c r="O2690">
        <v>24.78</v>
      </c>
      <c r="P2690">
        <v>18.899999999999999</v>
      </c>
    </row>
    <row r="2691" spans="1:16" x14ac:dyDescent="0.3">
      <c r="A2691">
        <v>39971</v>
      </c>
      <c r="B2691">
        <v>116</v>
      </c>
      <c r="C2691" t="s">
        <v>568</v>
      </c>
      <c r="D2691" s="453">
        <v>45839</v>
      </c>
      <c r="E2691">
        <v>19751</v>
      </c>
      <c r="F2691" t="s">
        <v>4019</v>
      </c>
      <c r="G2691">
        <v>2502</v>
      </c>
      <c r="H2691">
        <v>2.5</v>
      </c>
      <c r="I2691" t="s">
        <v>3892</v>
      </c>
      <c r="J2691" t="s">
        <v>3469</v>
      </c>
      <c r="K2691" t="s">
        <v>3745</v>
      </c>
      <c r="L2691">
        <v>7.45</v>
      </c>
      <c r="M2691" s="453">
        <v>45824</v>
      </c>
      <c r="N2691">
        <v>6.4</v>
      </c>
      <c r="O2691">
        <v>7.4</v>
      </c>
      <c r="P2691">
        <v>18.62</v>
      </c>
    </row>
    <row r="2692" spans="1:16" x14ac:dyDescent="0.3">
      <c r="A2692">
        <v>39932</v>
      </c>
      <c r="B2692">
        <v>116</v>
      </c>
      <c r="C2692" t="s">
        <v>568</v>
      </c>
      <c r="D2692" s="453">
        <v>45839</v>
      </c>
      <c r="E2692">
        <v>19917</v>
      </c>
      <c r="F2692" t="s">
        <v>3920</v>
      </c>
      <c r="G2692">
        <v>2379</v>
      </c>
      <c r="H2692">
        <v>6</v>
      </c>
      <c r="I2692" t="s">
        <v>3888</v>
      </c>
      <c r="J2692" t="s">
        <v>3469</v>
      </c>
      <c r="K2692" t="s">
        <v>3745</v>
      </c>
      <c r="L2692">
        <v>0</v>
      </c>
      <c r="M2692" s="453">
        <v>45581</v>
      </c>
      <c r="N2692">
        <v>3.09</v>
      </c>
      <c r="O2692">
        <v>3.35</v>
      </c>
      <c r="P2692">
        <v>18.54</v>
      </c>
    </row>
    <row r="2693" spans="1:16" x14ac:dyDescent="0.3">
      <c r="A2693">
        <v>39954</v>
      </c>
      <c r="B2693">
        <v>116</v>
      </c>
      <c r="C2693" t="s">
        <v>568</v>
      </c>
      <c r="D2693" s="453">
        <v>45839</v>
      </c>
      <c r="E2693">
        <v>19634</v>
      </c>
      <c r="F2693" t="s">
        <v>4068</v>
      </c>
      <c r="G2693">
        <v>2602</v>
      </c>
      <c r="H2693">
        <v>2</v>
      </c>
      <c r="I2693" t="s">
        <v>3892</v>
      </c>
      <c r="J2693" t="s">
        <v>3469</v>
      </c>
      <c r="K2693" t="s">
        <v>3745</v>
      </c>
      <c r="L2693">
        <v>8.5</v>
      </c>
      <c r="M2693" s="453">
        <v>45820</v>
      </c>
      <c r="N2693">
        <v>8.5</v>
      </c>
      <c r="O2693">
        <v>5.5</v>
      </c>
      <c r="P2693">
        <v>17</v>
      </c>
    </row>
    <row r="2694" spans="1:16" x14ac:dyDescent="0.3">
      <c r="A2694">
        <v>39983</v>
      </c>
      <c r="B2694">
        <v>116</v>
      </c>
      <c r="C2694" t="s">
        <v>568</v>
      </c>
      <c r="D2694" s="453">
        <v>45839</v>
      </c>
      <c r="E2694">
        <v>19576</v>
      </c>
      <c r="F2694" t="s">
        <v>4021</v>
      </c>
      <c r="G2694">
        <v>2642</v>
      </c>
      <c r="H2694">
        <v>1</v>
      </c>
      <c r="I2694" t="s">
        <v>3892</v>
      </c>
      <c r="J2694" t="s">
        <v>3469</v>
      </c>
      <c r="K2694" t="s">
        <v>3745</v>
      </c>
      <c r="L2694">
        <v>0</v>
      </c>
      <c r="M2694" s="453">
        <v>45754</v>
      </c>
      <c r="N2694">
        <v>17</v>
      </c>
      <c r="O2694">
        <v>12</v>
      </c>
      <c r="P2694">
        <v>17</v>
      </c>
    </row>
    <row r="2695" spans="1:16" x14ac:dyDescent="0.3">
      <c r="A2695">
        <v>39958</v>
      </c>
      <c r="B2695">
        <v>116</v>
      </c>
      <c r="C2695" t="s">
        <v>568</v>
      </c>
      <c r="D2695" s="453">
        <v>45839</v>
      </c>
      <c r="E2695">
        <v>19623</v>
      </c>
      <c r="F2695" t="s">
        <v>3984</v>
      </c>
      <c r="G2695">
        <v>2611</v>
      </c>
      <c r="H2695">
        <v>3.2</v>
      </c>
      <c r="I2695" t="s">
        <v>3892</v>
      </c>
      <c r="J2695" t="s">
        <v>3469</v>
      </c>
      <c r="K2695" t="s">
        <v>3745</v>
      </c>
      <c r="L2695">
        <v>5.29</v>
      </c>
      <c r="M2695" s="453">
        <v>45826</v>
      </c>
      <c r="N2695">
        <v>5.12</v>
      </c>
      <c r="O2695">
        <v>5</v>
      </c>
      <c r="P2695">
        <v>16.93</v>
      </c>
    </row>
    <row r="2696" spans="1:16" x14ac:dyDescent="0.3">
      <c r="A2696">
        <v>39997</v>
      </c>
      <c r="B2696">
        <v>116</v>
      </c>
      <c r="C2696" t="s">
        <v>568</v>
      </c>
      <c r="D2696" s="453">
        <v>45839</v>
      </c>
      <c r="E2696">
        <v>19710</v>
      </c>
      <c r="F2696" t="s">
        <v>4106</v>
      </c>
      <c r="G2696">
        <v>2540</v>
      </c>
      <c r="H2696">
        <v>0.7</v>
      </c>
      <c r="I2696" t="s">
        <v>3888</v>
      </c>
      <c r="J2696" t="s">
        <v>3469</v>
      </c>
      <c r="K2696" t="s">
        <v>3745</v>
      </c>
      <c r="L2696">
        <v>0</v>
      </c>
      <c r="M2696" s="453">
        <v>45783</v>
      </c>
      <c r="N2696">
        <v>23.9</v>
      </c>
      <c r="O2696">
        <v>23.46</v>
      </c>
      <c r="P2696">
        <v>16.73</v>
      </c>
    </row>
    <row r="2697" spans="1:16" x14ac:dyDescent="0.3">
      <c r="A2697">
        <v>39880</v>
      </c>
      <c r="B2697">
        <v>116</v>
      </c>
      <c r="C2697" t="s">
        <v>568</v>
      </c>
      <c r="D2697" s="453">
        <v>45839</v>
      </c>
      <c r="E2697">
        <v>20077</v>
      </c>
      <c r="F2697" t="s">
        <v>4054</v>
      </c>
      <c r="G2697">
        <v>2317</v>
      </c>
      <c r="H2697">
        <v>1</v>
      </c>
      <c r="I2697" t="s">
        <v>3888</v>
      </c>
      <c r="J2697" t="s">
        <v>3469</v>
      </c>
      <c r="K2697" t="s">
        <v>3745</v>
      </c>
      <c r="L2697">
        <v>15.96</v>
      </c>
      <c r="M2697" s="453">
        <v>45818</v>
      </c>
      <c r="N2697">
        <v>15.96</v>
      </c>
      <c r="O2697">
        <v>15.96</v>
      </c>
      <c r="P2697">
        <v>15.96</v>
      </c>
    </row>
    <row r="2698" spans="1:16" x14ac:dyDescent="0.3">
      <c r="A2698">
        <v>39988</v>
      </c>
      <c r="B2698">
        <v>116</v>
      </c>
      <c r="C2698" t="s">
        <v>568</v>
      </c>
      <c r="D2698" s="453">
        <v>45839</v>
      </c>
      <c r="E2698">
        <v>19558</v>
      </c>
      <c r="F2698" t="s">
        <v>4183</v>
      </c>
      <c r="G2698">
        <v>2659</v>
      </c>
      <c r="H2698">
        <v>1</v>
      </c>
      <c r="I2698" t="s">
        <v>3892</v>
      </c>
      <c r="J2698" t="s">
        <v>3469</v>
      </c>
      <c r="K2698" t="s">
        <v>3745</v>
      </c>
      <c r="L2698">
        <v>15</v>
      </c>
      <c r="M2698" s="453">
        <v>45824</v>
      </c>
      <c r="N2698">
        <v>16</v>
      </c>
      <c r="O2698">
        <v>15</v>
      </c>
      <c r="P2698">
        <v>15</v>
      </c>
    </row>
    <row r="2699" spans="1:16" x14ac:dyDescent="0.3">
      <c r="A2699">
        <v>39945</v>
      </c>
      <c r="B2699">
        <v>116</v>
      </c>
      <c r="C2699" t="s">
        <v>568</v>
      </c>
      <c r="D2699" s="453">
        <v>45839</v>
      </c>
      <c r="E2699">
        <v>19505</v>
      </c>
      <c r="F2699" t="s">
        <v>4101</v>
      </c>
      <c r="G2699">
        <v>2706</v>
      </c>
      <c r="H2699">
        <v>1.4</v>
      </c>
      <c r="I2699" t="s">
        <v>3892</v>
      </c>
      <c r="J2699" t="s">
        <v>3469</v>
      </c>
      <c r="K2699" t="s">
        <v>3745</v>
      </c>
      <c r="L2699">
        <v>10.6</v>
      </c>
      <c r="M2699" s="453">
        <v>45827</v>
      </c>
      <c r="N2699">
        <v>7</v>
      </c>
      <c r="O2699">
        <v>7.65</v>
      </c>
      <c r="P2699">
        <v>14.84</v>
      </c>
    </row>
    <row r="2700" spans="1:16" x14ac:dyDescent="0.3">
      <c r="A2700">
        <v>40052</v>
      </c>
      <c r="B2700">
        <v>116</v>
      </c>
      <c r="C2700" t="s">
        <v>568</v>
      </c>
      <c r="D2700" s="453">
        <v>45839</v>
      </c>
      <c r="E2700">
        <v>18317</v>
      </c>
      <c r="F2700" t="s">
        <v>4045</v>
      </c>
      <c r="G2700">
        <v>3316</v>
      </c>
      <c r="H2700">
        <v>0.4</v>
      </c>
      <c r="I2700" t="s">
        <v>3878</v>
      </c>
      <c r="J2700" t="s">
        <v>3497</v>
      </c>
      <c r="K2700" t="s">
        <v>3745</v>
      </c>
      <c r="L2700">
        <v>0</v>
      </c>
      <c r="M2700" s="453">
        <v>45793</v>
      </c>
      <c r="N2700">
        <v>36.9</v>
      </c>
      <c r="O2700">
        <v>35.11</v>
      </c>
      <c r="P2700">
        <v>14.76</v>
      </c>
    </row>
    <row r="2701" spans="1:16" x14ac:dyDescent="0.3">
      <c r="A2701">
        <v>39989</v>
      </c>
      <c r="B2701">
        <v>116</v>
      </c>
      <c r="C2701" t="s">
        <v>568</v>
      </c>
      <c r="D2701" s="453">
        <v>45839</v>
      </c>
      <c r="E2701">
        <v>19555</v>
      </c>
      <c r="F2701" t="s">
        <v>4109</v>
      </c>
      <c r="G2701">
        <v>2662</v>
      </c>
      <c r="H2701">
        <v>0.8</v>
      </c>
      <c r="I2701" t="s">
        <v>3892</v>
      </c>
      <c r="J2701" t="s">
        <v>3469</v>
      </c>
      <c r="K2701" t="s">
        <v>3745</v>
      </c>
      <c r="L2701">
        <v>17.75</v>
      </c>
      <c r="M2701" s="453">
        <v>45827</v>
      </c>
      <c r="N2701">
        <v>15</v>
      </c>
      <c r="O2701">
        <v>15</v>
      </c>
      <c r="P2701">
        <v>14.2</v>
      </c>
    </row>
    <row r="2702" spans="1:16" x14ac:dyDescent="0.3">
      <c r="A2702">
        <v>39902</v>
      </c>
      <c r="B2702">
        <v>116</v>
      </c>
      <c r="C2702" t="s">
        <v>568</v>
      </c>
      <c r="D2702" s="453">
        <v>45839</v>
      </c>
      <c r="E2702">
        <v>20326</v>
      </c>
      <c r="F2702" t="s">
        <v>3953</v>
      </c>
      <c r="G2702">
        <v>2211</v>
      </c>
      <c r="H2702">
        <v>3</v>
      </c>
      <c r="I2702" t="s">
        <v>3892</v>
      </c>
      <c r="J2702" t="s">
        <v>3469</v>
      </c>
      <c r="K2702" t="s">
        <v>3745</v>
      </c>
      <c r="L2702">
        <v>4.5</v>
      </c>
      <c r="M2702" s="453">
        <v>45817</v>
      </c>
      <c r="N2702">
        <v>4.5</v>
      </c>
      <c r="O2702">
        <v>7.15</v>
      </c>
      <c r="P2702">
        <v>13.5</v>
      </c>
    </row>
    <row r="2703" spans="1:16" x14ac:dyDescent="0.3">
      <c r="A2703">
        <v>40086</v>
      </c>
      <c r="B2703">
        <v>116</v>
      </c>
      <c r="C2703" t="s">
        <v>568</v>
      </c>
      <c r="D2703" s="453">
        <v>45839</v>
      </c>
      <c r="E2703">
        <v>24409</v>
      </c>
      <c r="F2703" t="s">
        <v>4036</v>
      </c>
      <c r="G2703">
        <v>3665</v>
      </c>
      <c r="H2703">
        <v>6</v>
      </c>
      <c r="I2703" t="s">
        <v>3872</v>
      </c>
      <c r="J2703" t="s">
        <v>3497</v>
      </c>
      <c r="K2703" t="s">
        <v>3745</v>
      </c>
      <c r="L2703">
        <v>0</v>
      </c>
      <c r="M2703" s="453">
        <v>45551</v>
      </c>
      <c r="N2703">
        <v>2.19</v>
      </c>
      <c r="O2703">
        <v>2.19</v>
      </c>
      <c r="P2703">
        <v>13.14</v>
      </c>
    </row>
    <row r="2704" spans="1:16" x14ac:dyDescent="0.3">
      <c r="A2704">
        <v>40076</v>
      </c>
      <c r="B2704">
        <v>116</v>
      </c>
      <c r="C2704" t="s">
        <v>568</v>
      </c>
      <c r="D2704" s="453">
        <v>45839</v>
      </c>
      <c r="E2704">
        <v>24226</v>
      </c>
      <c r="F2704" t="s">
        <v>3998</v>
      </c>
      <c r="G2704">
        <v>3647</v>
      </c>
      <c r="H2704">
        <v>2</v>
      </c>
      <c r="I2704" t="s">
        <v>3872</v>
      </c>
      <c r="J2704" t="s">
        <v>3497</v>
      </c>
      <c r="K2704" t="s">
        <v>3745</v>
      </c>
      <c r="L2704">
        <v>0</v>
      </c>
      <c r="M2704" s="453">
        <v>45355</v>
      </c>
      <c r="N2704">
        <v>6.42</v>
      </c>
      <c r="O2704">
        <v>6.82</v>
      </c>
      <c r="P2704">
        <v>12.83</v>
      </c>
    </row>
    <row r="2705" spans="1:16" x14ac:dyDescent="0.3">
      <c r="A2705">
        <v>39991</v>
      </c>
      <c r="B2705">
        <v>116</v>
      </c>
      <c r="C2705" t="s">
        <v>568</v>
      </c>
      <c r="D2705" s="453">
        <v>45839</v>
      </c>
      <c r="E2705">
        <v>19468</v>
      </c>
      <c r="F2705" t="s">
        <v>4079</v>
      </c>
      <c r="G2705">
        <v>2736</v>
      </c>
      <c r="H2705">
        <v>1.5</v>
      </c>
      <c r="I2705" t="s">
        <v>3892</v>
      </c>
      <c r="J2705" t="s">
        <v>3469</v>
      </c>
      <c r="K2705" t="s">
        <v>3745</v>
      </c>
      <c r="L2705">
        <v>8.2200000000000006</v>
      </c>
      <c r="M2705" s="453">
        <v>45827</v>
      </c>
      <c r="N2705">
        <v>7.5</v>
      </c>
      <c r="O2705">
        <v>7.5</v>
      </c>
      <c r="P2705">
        <v>12.33</v>
      </c>
    </row>
    <row r="2706" spans="1:16" x14ac:dyDescent="0.3">
      <c r="A2706">
        <v>39976</v>
      </c>
      <c r="B2706">
        <v>116</v>
      </c>
      <c r="C2706" t="s">
        <v>568</v>
      </c>
      <c r="D2706" s="453">
        <v>45839</v>
      </c>
      <c r="E2706">
        <v>19475</v>
      </c>
      <c r="F2706" t="s">
        <v>4111</v>
      </c>
      <c r="G2706">
        <v>2730</v>
      </c>
      <c r="H2706">
        <v>0.3</v>
      </c>
      <c r="I2706" t="s">
        <v>3892</v>
      </c>
      <c r="J2706" t="s">
        <v>3469</v>
      </c>
      <c r="K2706" t="s">
        <v>3745</v>
      </c>
      <c r="L2706">
        <v>39.67</v>
      </c>
      <c r="M2706" s="453">
        <v>45826</v>
      </c>
      <c r="N2706">
        <v>38</v>
      </c>
      <c r="O2706">
        <v>38</v>
      </c>
      <c r="P2706">
        <v>11.9</v>
      </c>
    </row>
    <row r="2707" spans="1:16" x14ac:dyDescent="0.3">
      <c r="A2707">
        <v>39933</v>
      </c>
      <c r="B2707">
        <v>116</v>
      </c>
      <c r="C2707" t="s">
        <v>568</v>
      </c>
      <c r="D2707" s="453">
        <v>45839</v>
      </c>
      <c r="E2707">
        <v>19906</v>
      </c>
      <c r="F2707" t="s">
        <v>4171</v>
      </c>
      <c r="G2707">
        <v>2381</v>
      </c>
      <c r="H2707">
        <v>5</v>
      </c>
      <c r="I2707" t="s">
        <v>3888</v>
      </c>
      <c r="J2707" t="s">
        <v>3469</v>
      </c>
      <c r="K2707" t="s">
        <v>3745</v>
      </c>
      <c r="L2707">
        <v>2.35</v>
      </c>
      <c r="M2707" s="453">
        <v>45812</v>
      </c>
      <c r="N2707">
        <v>2.35</v>
      </c>
      <c r="O2707">
        <v>7</v>
      </c>
      <c r="P2707">
        <v>11.75</v>
      </c>
    </row>
    <row r="2708" spans="1:16" x14ac:dyDescent="0.3">
      <c r="A2708">
        <v>39965</v>
      </c>
      <c r="B2708">
        <v>116</v>
      </c>
      <c r="C2708" t="s">
        <v>568</v>
      </c>
      <c r="D2708" s="453">
        <v>45839</v>
      </c>
      <c r="E2708">
        <v>24598</v>
      </c>
      <c r="F2708" t="s">
        <v>4166</v>
      </c>
      <c r="G2708">
        <v>2725</v>
      </c>
      <c r="H2708">
        <v>1</v>
      </c>
      <c r="I2708" t="s">
        <v>3892</v>
      </c>
      <c r="J2708" t="s">
        <v>3469</v>
      </c>
      <c r="K2708" t="s">
        <v>3745</v>
      </c>
      <c r="L2708">
        <v>11.73</v>
      </c>
      <c r="M2708" s="453">
        <v>45826</v>
      </c>
      <c r="N2708">
        <v>6.4</v>
      </c>
      <c r="O2708">
        <v>6.4</v>
      </c>
      <c r="P2708">
        <v>11.73</v>
      </c>
    </row>
    <row r="2709" spans="1:16" x14ac:dyDescent="0.3">
      <c r="A2709">
        <v>39889</v>
      </c>
      <c r="B2709">
        <v>116</v>
      </c>
      <c r="C2709" t="s">
        <v>568</v>
      </c>
      <c r="D2709" s="453">
        <v>45839</v>
      </c>
      <c r="E2709">
        <v>24212</v>
      </c>
      <c r="F2709" t="s">
        <v>4056</v>
      </c>
      <c r="G2709">
        <v>2064</v>
      </c>
      <c r="H2709">
        <v>1</v>
      </c>
      <c r="I2709" t="s">
        <v>3892</v>
      </c>
      <c r="J2709" t="s">
        <v>3469</v>
      </c>
      <c r="K2709" t="s">
        <v>3745</v>
      </c>
      <c r="L2709">
        <v>11.58</v>
      </c>
      <c r="M2709" s="453">
        <v>45818</v>
      </c>
      <c r="N2709">
        <v>11.8</v>
      </c>
      <c r="O2709">
        <v>11.55</v>
      </c>
      <c r="P2709">
        <v>11.58</v>
      </c>
    </row>
    <row r="2710" spans="1:16" x14ac:dyDescent="0.3">
      <c r="A2710">
        <v>39975</v>
      </c>
      <c r="B2710">
        <v>116</v>
      </c>
      <c r="C2710" t="s">
        <v>568</v>
      </c>
      <c r="D2710" s="453">
        <v>45839</v>
      </c>
      <c r="E2710">
        <v>19742</v>
      </c>
      <c r="F2710" t="s">
        <v>4074</v>
      </c>
      <c r="G2710">
        <v>2511</v>
      </c>
      <c r="H2710">
        <v>1.5</v>
      </c>
      <c r="I2710" t="s">
        <v>3892</v>
      </c>
      <c r="J2710" t="s">
        <v>3469</v>
      </c>
      <c r="K2710" t="s">
        <v>3745</v>
      </c>
      <c r="L2710">
        <v>7.47</v>
      </c>
      <c r="M2710" s="453">
        <v>45826</v>
      </c>
      <c r="N2710">
        <v>7.5</v>
      </c>
      <c r="O2710">
        <v>9.35</v>
      </c>
      <c r="P2710">
        <v>11.2</v>
      </c>
    </row>
    <row r="2711" spans="1:16" x14ac:dyDescent="0.3">
      <c r="A2711">
        <v>39950</v>
      </c>
      <c r="B2711">
        <v>116</v>
      </c>
      <c r="C2711" t="s">
        <v>568</v>
      </c>
      <c r="D2711" s="453">
        <v>45839</v>
      </c>
      <c r="E2711">
        <v>19647</v>
      </c>
      <c r="F2711" t="s">
        <v>4066</v>
      </c>
      <c r="G2711">
        <v>2591</v>
      </c>
      <c r="H2711">
        <v>1</v>
      </c>
      <c r="I2711" t="s">
        <v>3892</v>
      </c>
      <c r="J2711" t="s">
        <v>3469</v>
      </c>
      <c r="K2711" t="s">
        <v>3745</v>
      </c>
      <c r="L2711">
        <v>11</v>
      </c>
      <c r="M2711" s="453">
        <v>45817</v>
      </c>
      <c r="N2711">
        <v>10</v>
      </c>
      <c r="O2711">
        <v>8</v>
      </c>
      <c r="P2711">
        <v>11</v>
      </c>
    </row>
    <row r="2712" spans="1:16" x14ac:dyDescent="0.3">
      <c r="A2712">
        <v>40088</v>
      </c>
      <c r="B2712">
        <v>116</v>
      </c>
      <c r="C2712" t="s">
        <v>568</v>
      </c>
      <c r="D2712" s="453">
        <v>45839</v>
      </c>
      <c r="E2712">
        <v>24414</v>
      </c>
      <c r="F2712" t="s">
        <v>3943</v>
      </c>
      <c r="G2712">
        <v>3670</v>
      </c>
      <c r="H2712">
        <v>5</v>
      </c>
      <c r="I2712" t="s">
        <v>3872</v>
      </c>
      <c r="J2712" t="s">
        <v>3497</v>
      </c>
      <c r="K2712" t="s">
        <v>3745</v>
      </c>
      <c r="L2712">
        <v>0</v>
      </c>
      <c r="M2712" s="453">
        <v>45544</v>
      </c>
      <c r="N2712">
        <v>2.19</v>
      </c>
      <c r="O2712">
        <v>2.19</v>
      </c>
      <c r="P2712">
        <v>10.95</v>
      </c>
    </row>
    <row r="2713" spans="1:16" x14ac:dyDescent="0.3">
      <c r="A2713">
        <v>39943</v>
      </c>
      <c r="B2713">
        <v>116</v>
      </c>
      <c r="C2713" t="s">
        <v>568</v>
      </c>
      <c r="D2713" s="453">
        <v>45839</v>
      </c>
      <c r="E2713">
        <v>19458</v>
      </c>
      <c r="F2713" t="s">
        <v>4212</v>
      </c>
      <c r="G2713">
        <v>2746</v>
      </c>
      <c r="H2713">
        <v>1</v>
      </c>
      <c r="I2713" t="s">
        <v>3892</v>
      </c>
      <c r="J2713" t="s">
        <v>3469</v>
      </c>
      <c r="K2713" t="s">
        <v>3745</v>
      </c>
      <c r="L2713">
        <v>10.5</v>
      </c>
      <c r="M2713" s="453">
        <v>45824</v>
      </c>
      <c r="N2713">
        <v>10</v>
      </c>
      <c r="O2713">
        <v>10</v>
      </c>
      <c r="P2713">
        <v>10.5</v>
      </c>
    </row>
    <row r="2714" spans="1:16" x14ac:dyDescent="0.3">
      <c r="A2714">
        <v>39992</v>
      </c>
      <c r="B2714">
        <v>116</v>
      </c>
      <c r="C2714" t="s">
        <v>568</v>
      </c>
      <c r="D2714" s="453">
        <v>45839</v>
      </c>
      <c r="E2714">
        <v>19465</v>
      </c>
      <c r="F2714" t="s">
        <v>4080</v>
      </c>
      <c r="G2714">
        <v>2737</v>
      </c>
      <c r="H2714">
        <v>1.2</v>
      </c>
      <c r="I2714" t="s">
        <v>3892</v>
      </c>
      <c r="J2714" t="s">
        <v>3469</v>
      </c>
      <c r="K2714" t="s">
        <v>3745</v>
      </c>
      <c r="L2714">
        <v>7.15</v>
      </c>
      <c r="M2714" s="453">
        <v>45827</v>
      </c>
      <c r="N2714">
        <v>6.8</v>
      </c>
      <c r="O2714">
        <v>6.5</v>
      </c>
      <c r="P2714">
        <v>8.58</v>
      </c>
    </row>
    <row r="2715" spans="1:16" x14ac:dyDescent="0.3">
      <c r="A2715">
        <v>39864</v>
      </c>
      <c r="B2715">
        <v>116</v>
      </c>
      <c r="C2715" t="s">
        <v>568</v>
      </c>
      <c r="D2715" s="453">
        <v>45839</v>
      </c>
      <c r="E2715">
        <v>26257</v>
      </c>
      <c r="F2715" t="s">
        <v>4468</v>
      </c>
      <c r="G2715">
        <v>1963</v>
      </c>
      <c r="H2715">
        <v>0.5</v>
      </c>
      <c r="I2715" t="s">
        <v>3872</v>
      </c>
      <c r="J2715" t="s">
        <v>3469</v>
      </c>
      <c r="K2715" t="s">
        <v>3745</v>
      </c>
      <c r="L2715">
        <v>0</v>
      </c>
      <c r="M2715" s="453">
        <v>45763</v>
      </c>
      <c r="N2715">
        <v>16.8</v>
      </c>
      <c r="O2715">
        <v>16.8</v>
      </c>
      <c r="P2715">
        <v>8.4</v>
      </c>
    </row>
    <row r="2716" spans="1:16" x14ac:dyDescent="0.3">
      <c r="A2716">
        <v>39996</v>
      </c>
      <c r="B2716">
        <v>116</v>
      </c>
      <c r="C2716" t="s">
        <v>568</v>
      </c>
      <c r="D2716" s="453">
        <v>45839</v>
      </c>
      <c r="E2716">
        <v>24484</v>
      </c>
      <c r="F2716" t="s">
        <v>4154</v>
      </c>
      <c r="G2716">
        <v>2684</v>
      </c>
      <c r="H2716">
        <v>0.5</v>
      </c>
      <c r="I2716" t="s">
        <v>3892</v>
      </c>
      <c r="J2716" t="s">
        <v>3469</v>
      </c>
      <c r="K2716" t="s">
        <v>3745</v>
      </c>
      <c r="L2716">
        <v>16</v>
      </c>
      <c r="M2716" s="453">
        <v>45813</v>
      </c>
      <c r="N2716">
        <v>16</v>
      </c>
      <c r="O2716">
        <v>16</v>
      </c>
      <c r="P2716">
        <v>8</v>
      </c>
    </row>
    <row r="2717" spans="1:16" x14ac:dyDescent="0.3">
      <c r="A2717">
        <v>40090</v>
      </c>
      <c r="B2717">
        <v>116</v>
      </c>
      <c r="C2717" t="s">
        <v>568</v>
      </c>
      <c r="D2717" s="453">
        <v>45839</v>
      </c>
      <c r="E2717">
        <v>24467</v>
      </c>
      <c r="F2717" t="s">
        <v>3944</v>
      </c>
      <c r="G2717">
        <v>3673</v>
      </c>
      <c r="H2717">
        <v>4</v>
      </c>
      <c r="I2717" t="s">
        <v>3872</v>
      </c>
      <c r="J2717" t="s">
        <v>3497</v>
      </c>
      <c r="K2717" t="s">
        <v>3745</v>
      </c>
      <c r="L2717">
        <v>0</v>
      </c>
      <c r="M2717" s="453">
        <v>45510</v>
      </c>
      <c r="N2717">
        <v>1.99</v>
      </c>
      <c r="O2717">
        <v>2.19</v>
      </c>
      <c r="P2717">
        <v>7.96</v>
      </c>
    </row>
    <row r="2718" spans="1:16" x14ac:dyDescent="0.3">
      <c r="A2718">
        <v>40073</v>
      </c>
      <c r="B2718">
        <v>116</v>
      </c>
      <c r="C2718" t="s">
        <v>568</v>
      </c>
      <c r="D2718" s="453">
        <v>45839</v>
      </c>
      <c r="E2718">
        <v>18004</v>
      </c>
      <c r="F2718" t="s">
        <v>4140</v>
      </c>
      <c r="G2718">
        <v>3592</v>
      </c>
      <c r="H2718">
        <v>2</v>
      </c>
      <c r="I2718" t="s">
        <v>3888</v>
      </c>
      <c r="J2718" t="s">
        <v>3497</v>
      </c>
      <c r="K2718" t="s">
        <v>3745</v>
      </c>
      <c r="L2718">
        <v>0</v>
      </c>
      <c r="M2718" s="453">
        <v>45797</v>
      </c>
      <c r="N2718">
        <v>3.63</v>
      </c>
      <c r="O2718">
        <v>36.9</v>
      </c>
      <c r="P2718">
        <v>7.26</v>
      </c>
    </row>
    <row r="2719" spans="1:16" x14ac:dyDescent="0.3">
      <c r="A2719">
        <v>39927</v>
      </c>
      <c r="B2719">
        <v>116</v>
      </c>
      <c r="C2719" t="s">
        <v>568</v>
      </c>
      <c r="D2719" s="453">
        <v>45839</v>
      </c>
      <c r="E2719">
        <v>19936</v>
      </c>
      <c r="F2719" t="s">
        <v>4462</v>
      </c>
      <c r="G2719">
        <v>2367</v>
      </c>
      <c r="H2719">
        <v>0.5</v>
      </c>
      <c r="I2719" t="s">
        <v>3892</v>
      </c>
      <c r="J2719" t="s">
        <v>3469</v>
      </c>
      <c r="K2719" t="s">
        <v>3745</v>
      </c>
      <c r="L2719">
        <v>0</v>
      </c>
      <c r="M2719" s="453">
        <v>45782</v>
      </c>
      <c r="N2719">
        <v>13.28</v>
      </c>
      <c r="O2719">
        <v>13.5</v>
      </c>
      <c r="P2719">
        <v>6.64</v>
      </c>
    </row>
    <row r="2720" spans="1:16" x14ac:dyDescent="0.3">
      <c r="A2720">
        <v>40084</v>
      </c>
      <c r="B2720">
        <v>116</v>
      </c>
      <c r="C2720" t="s">
        <v>568</v>
      </c>
      <c r="D2720" s="453">
        <v>45839</v>
      </c>
      <c r="E2720">
        <v>22042</v>
      </c>
      <c r="F2720" t="s">
        <v>3901</v>
      </c>
      <c r="G2720">
        <v>3658</v>
      </c>
      <c r="H2720">
        <v>3</v>
      </c>
      <c r="I2720" t="s">
        <v>3872</v>
      </c>
      <c r="J2720" t="s">
        <v>3497</v>
      </c>
      <c r="K2720" t="s">
        <v>3745</v>
      </c>
      <c r="L2720">
        <v>0</v>
      </c>
      <c r="M2720" s="453">
        <v>45677</v>
      </c>
      <c r="N2720">
        <v>2.19</v>
      </c>
      <c r="O2720">
        <v>1.99</v>
      </c>
      <c r="P2720">
        <v>6.57</v>
      </c>
    </row>
    <row r="2721" spans="1:16" x14ac:dyDescent="0.3">
      <c r="A2721">
        <v>39953</v>
      </c>
      <c r="B2721">
        <v>116</v>
      </c>
      <c r="C2721" t="s">
        <v>568</v>
      </c>
      <c r="D2721" s="453">
        <v>45839</v>
      </c>
      <c r="E2721">
        <v>19642</v>
      </c>
      <c r="F2721" t="s">
        <v>4067</v>
      </c>
      <c r="G2721">
        <v>2596</v>
      </c>
      <c r="H2721">
        <v>1.5</v>
      </c>
      <c r="I2721" t="s">
        <v>3892</v>
      </c>
      <c r="J2721" t="s">
        <v>3469</v>
      </c>
      <c r="K2721" t="s">
        <v>3745</v>
      </c>
      <c r="L2721">
        <v>4.1500000000000004</v>
      </c>
      <c r="M2721" s="453">
        <v>45824</v>
      </c>
      <c r="N2721">
        <v>4.0999999999999996</v>
      </c>
      <c r="O2721">
        <v>3.4</v>
      </c>
      <c r="P2721">
        <v>6.22</v>
      </c>
    </row>
    <row r="2722" spans="1:16" x14ac:dyDescent="0.3">
      <c r="A2722">
        <v>39961</v>
      </c>
      <c r="B2722">
        <v>116</v>
      </c>
      <c r="C2722" t="s">
        <v>568</v>
      </c>
      <c r="D2722" s="453">
        <v>45839</v>
      </c>
      <c r="E2722">
        <v>19621</v>
      </c>
      <c r="F2722" t="s">
        <v>4125</v>
      </c>
      <c r="G2722">
        <v>2613</v>
      </c>
      <c r="H2722">
        <v>2</v>
      </c>
      <c r="I2722" t="s">
        <v>3892</v>
      </c>
      <c r="J2722" t="s">
        <v>3469</v>
      </c>
      <c r="K2722" t="s">
        <v>3745</v>
      </c>
      <c r="L2722">
        <v>2.8</v>
      </c>
      <c r="M2722" s="453">
        <v>45813</v>
      </c>
      <c r="N2722">
        <v>2.8</v>
      </c>
      <c r="O2722">
        <v>2.0099999999999998</v>
      </c>
      <c r="P2722">
        <v>5.6</v>
      </c>
    </row>
    <row r="2723" spans="1:16" x14ac:dyDescent="0.3">
      <c r="A2723">
        <v>39967</v>
      </c>
      <c r="B2723">
        <v>116</v>
      </c>
      <c r="C2723" t="s">
        <v>568</v>
      </c>
      <c r="D2723" s="453">
        <v>45839</v>
      </c>
      <c r="E2723">
        <v>19607</v>
      </c>
      <c r="F2723" t="s">
        <v>4105</v>
      </c>
      <c r="G2723">
        <v>2623</v>
      </c>
      <c r="H2723">
        <v>0.5</v>
      </c>
      <c r="I2723" t="s">
        <v>3892</v>
      </c>
      <c r="J2723" t="s">
        <v>3469</v>
      </c>
      <c r="K2723" t="s">
        <v>3745</v>
      </c>
      <c r="L2723">
        <v>9</v>
      </c>
      <c r="M2723" s="453">
        <v>45820</v>
      </c>
      <c r="N2723">
        <v>9</v>
      </c>
      <c r="O2723">
        <v>6.99</v>
      </c>
      <c r="P2723">
        <v>4.5</v>
      </c>
    </row>
    <row r="2724" spans="1:16" x14ac:dyDescent="0.3">
      <c r="A2724">
        <v>39990</v>
      </c>
      <c r="B2724">
        <v>116</v>
      </c>
      <c r="C2724" t="s">
        <v>568</v>
      </c>
      <c r="D2724" s="453">
        <v>45839</v>
      </c>
      <c r="E2724">
        <v>19553</v>
      </c>
      <c r="F2724" t="s">
        <v>4078</v>
      </c>
      <c r="G2724">
        <v>2663</v>
      </c>
      <c r="H2724">
        <v>2</v>
      </c>
      <c r="I2724" t="s">
        <v>3892</v>
      </c>
      <c r="J2724" t="s">
        <v>3469</v>
      </c>
      <c r="K2724" t="s">
        <v>3745</v>
      </c>
      <c r="L2724">
        <v>2.21</v>
      </c>
      <c r="M2724" s="453">
        <v>45826</v>
      </c>
      <c r="N2724">
        <v>2.14</v>
      </c>
      <c r="O2724">
        <v>2.14</v>
      </c>
      <c r="P2724">
        <v>4.42</v>
      </c>
    </row>
    <row r="2725" spans="1:16" x14ac:dyDescent="0.3">
      <c r="A2725">
        <v>40082</v>
      </c>
      <c r="B2725">
        <v>116</v>
      </c>
      <c r="C2725" t="s">
        <v>568</v>
      </c>
      <c r="D2725" s="453">
        <v>45839</v>
      </c>
      <c r="E2725">
        <v>22044</v>
      </c>
      <c r="F2725" t="s">
        <v>3928</v>
      </c>
      <c r="G2725">
        <v>3656</v>
      </c>
      <c r="H2725">
        <v>2</v>
      </c>
      <c r="I2725" t="s">
        <v>3872</v>
      </c>
      <c r="J2725" t="s">
        <v>3497</v>
      </c>
      <c r="K2725" t="s">
        <v>3745</v>
      </c>
      <c r="L2725">
        <v>0</v>
      </c>
      <c r="M2725" s="453">
        <v>45677</v>
      </c>
      <c r="N2725">
        <v>2.19</v>
      </c>
      <c r="O2725">
        <v>2.04</v>
      </c>
      <c r="P2725">
        <v>4.38</v>
      </c>
    </row>
    <row r="2726" spans="1:16" x14ac:dyDescent="0.3">
      <c r="A2726">
        <v>39960</v>
      </c>
      <c r="B2726">
        <v>116</v>
      </c>
      <c r="C2726" t="s">
        <v>568</v>
      </c>
      <c r="D2726" s="453">
        <v>45839</v>
      </c>
      <c r="E2726">
        <v>19488</v>
      </c>
      <c r="F2726" t="s">
        <v>4070</v>
      </c>
      <c r="G2726">
        <v>2720</v>
      </c>
      <c r="H2726">
        <v>0.35</v>
      </c>
      <c r="I2726" t="s">
        <v>3892</v>
      </c>
      <c r="J2726" t="s">
        <v>3469</v>
      </c>
      <c r="K2726" t="s">
        <v>3745</v>
      </c>
      <c r="L2726">
        <v>12.17</v>
      </c>
      <c r="M2726" s="453">
        <v>45827</v>
      </c>
      <c r="N2726">
        <v>12</v>
      </c>
      <c r="O2726">
        <v>9</v>
      </c>
      <c r="P2726">
        <v>4.26</v>
      </c>
    </row>
    <row r="2727" spans="1:16" x14ac:dyDescent="0.3">
      <c r="A2727">
        <v>39974</v>
      </c>
      <c r="B2727">
        <v>116</v>
      </c>
      <c r="C2727" t="s">
        <v>568</v>
      </c>
      <c r="D2727" s="453">
        <v>45839</v>
      </c>
      <c r="E2727">
        <v>19689</v>
      </c>
      <c r="F2727" t="s">
        <v>4073</v>
      </c>
      <c r="G2727">
        <v>2551</v>
      </c>
      <c r="H2727">
        <v>1</v>
      </c>
      <c r="I2727" t="s">
        <v>3892</v>
      </c>
      <c r="J2727" t="s">
        <v>3469</v>
      </c>
      <c r="K2727" t="s">
        <v>3745</v>
      </c>
      <c r="L2727">
        <v>4.2</v>
      </c>
      <c r="M2727" s="453">
        <v>45813</v>
      </c>
      <c r="N2727">
        <v>4.2</v>
      </c>
      <c r="O2727">
        <v>4.38</v>
      </c>
      <c r="P2727">
        <v>4.2</v>
      </c>
    </row>
    <row r="2728" spans="1:16" x14ac:dyDescent="0.3">
      <c r="A2728">
        <v>39928</v>
      </c>
      <c r="B2728">
        <v>116</v>
      </c>
      <c r="C2728" t="s">
        <v>568</v>
      </c>
      <c r="D2728" s="453">
        <v>45839</v>
      </c>
      <c r="E2728">
        <v>24401</v>
      </c>
      <c r="F2728" t="s">
        <v>4063</v>
      </c>
      <c r="G2728">
        <v>2369</v>
      </c>
      <c r="H2728">
        <v>0.3</v>
      </c>
      <c r="I2728" t="s">
        <v>3872</v>
      </c>
      <c r="J2728" t="s">
        <v>3469</v>
      </c>
      <c r="K2728" t="s">
        <v>3745</v>
      </c>
      <c r="L2728">
        <v>0</v>
      </c>
      <c r="M2728" s="453">
        <v>45797</v>
      </c>
      <c r="N2728">
        <v>13.5</v>
      </c>
      <c r="O2728">
        <v>13.5</v>
      </c>
      <c r="P2728">
        <v>4.05</v>
      </c>
    </row>
    <row r="2729" spans="1:16" x14ac:dyDescent="0.3">
      <c r="A2729">
        <v>39970</v>
      </c>
      <c r="B2729">
        <v>116</v>
      </c>
      <c r="C2729" t="s">
        <v>568</v>
      </c>
      <c r="D2729" s="453">
        <v>45839</v>
      </c>
      <c r="E2729">
        <v>19752</v>
      </c>
      <c r="F2729" t="s">
        <v>4042</v>
      </c>
      <c r="G2729">
        <v>2501</v>
      </c>
      <c r="H2729">
        <v>1</v>
      </c>
      <c r="I2729" t="s">
        <v>3892</v>
      </c>
      <c r="J2729" t="s">
        <v>3469</v>
      </c>
      <c r="K2729" t="s">
        <v>3745</v>
      </c>
      <c r="L2729">
        <v>3.85</v>
      </c>
      <c r="M2729" s="453">
        <v>45826</v>
      </c>
      <c r="N2729">
        <v>3</v>
      </c>
      <c r="O2729">
        <v>5</v>
      </c>
      <c r="P2729">
        <v>3.85</v>
      </c>
    </row>
    <row r="2730" spans="1:16" x14ac:dyDescent="0.3">
      <c r="A2730">
        <v>39962</v>
      </c>
      <c r="B2730">
        <v>116</v>
      </c>
      <c r="C2730" t="s">
        <v>568</v>
      </c>
      <c r="D2730" s="453">
        <v>45839</v>
      </c>
      <c r="E2730">
        <v>19617</v>
      </c>
      <c r="F2730" t="s">
        <v>4110</v>
      </c>
      <c r="G2730">
        <v>2617</v>
      </c>
      <c r="H2730">
        <v>0.3</v>
      </c>
      <c r="I2730" t="s">
        <v>3892</v>
      </c>
      <c r="J2730" t="s">
        <v>3469</v>
      </c>
      <c r="K2730" t="s">
        <v>3745</v>
      </c>
      <c r="L2730">
        <v>10</v>
      </c>
      <c r="M2730" s="453">
        <v>45810</v>
      </c>
      <c r="N2730">
        <v>10</v>
      </c>
      <c r="O2730">
        <v>18</v>
      </c>
      <c r="P2730">
        <v>3</v>
      </c>
    </row>
    <row r="2731" spans="1:16" x14ac:dyDescent="0.3">
      <c r="A2731">
        <v>39968</v>
      </c>
      <c r="B2731">
        <v>116</v>
      </c>
      <c r="C2731" t="s">
        <v>568</v>
      </c>
      <c r="D2731" s="453">
        <v>45839</v>
      </c>
      <c r="E2731">
        <v>19480</v>
      </c>
      <c r="F2731" t="s">
        <v>4113</v>
      </c>
      <c r="G2731">
        <v>2726</v>
      </c>
      <c r="H2731">
        <v>0.2</v>
      </c>
      <c r="I2731" t="s">
        <v>3892</v>
      </c>
      <c r="J2731" t="s">
        <v>3469</v>
      </c>
      <c r="K2731" t="s">
        <v>3745</v>
      </c>
      <c r="L2731">
        <v>12</v>
      </c>
      <c r="M2731" s="453">
        <v>45813</v>
      </c>
      <c r="N2731">
        <v>12</v>
      </c>
      <c r="O2731">
        <v>13</v>
      </c>
      <c r="P2731">
        <v>2.4</v>
      </c>
    </row>
    <row r="2732" spans="1:16" x14ac:dyDescent="0.3">
      <c r="A2732">
        <v>36672</v>
      </c>
      <c r="B2732">
        <v>116</v>
      </c>
      <c r="C2732" t="s">
        <v>568</v>
      </c>
      <c r="D2732" s="453">
        <v>45809</v>
      </c>
      <c r="E2732">
        <v>18791</v>
      </c>
      <c r="F2732" t="s">
        <v>4476</v>
      </c>
      <c r="G2732">
        <v>2982</v>
      </c>
      <c r="H2732">
        <v>17.5</v>
      </c>
      <c r="I2732" t="s">
        <v>3881</v>
      </c>
      <c r="J2732" t="s">
        <v>3469</v>
      </c>
      <c r="K2732" t="s">
        <v>3696</v>
      </c>
      <c r="L2732">
        <v>235.58</v>
      </c>
      <c r="M2732" s="453">
        <v>45804</v>
      </c>
      <c r="N2732">
        <v>125</v>
      </c>
      <c r="O2732">
        <v>3475</v>
      </c>
      <c r="P2732">
        <v>4122.6499999999996</v>
      </c>
    </row>
    <row r="2733" spans="1:16" x14ac:dyDescent="0.3">
      <c r="A2733">
        <v>36696</v>
      </c>
      <c r="B2733">
        <v>116</v>
      </c>
      <c r="C2733" t="s">
        <v>568</v>
      </c>
      <c r="D2733" s="453">
        <v>45809</v>
      </c>
      <c r="E2733">
        <v>18636</v>
      </c>
      <c r="F2733" t="s">
        <v>3921</v>
      </c>
      <c r="G2733">
        <v>3075</v>
      </c>
      <c r="H2733">
        <v>8.5</v>
      </c>
      <c r="I2733" t="s">
        <v>3922</v>
      </c>
      <c r="J2733" t="s">
        <v>3497</v>
      </c>
      <c r="K2733" t="s">
        <v>3696</v>
      </c>
      <c r="L2733">
        <v>446.19</v>
      </c>
      <c r="M2733" s="453">
        <v>45805</v>
      </c>
      <c r="N2733">
        <v>446.16</v>
      </c>
      <c r="O2733">
        <v>446.16</v>
      </c>
      <c r="P2733">
        <v>3792.62</v>
      </c>
    </row>
    <row r="2734" spans="1:16" x14ac:dyDescent="0.3">
      <c r="A2734">
        <v>36691</v>
      </c>
      <c r="B2734">
        <v>116</v>
      </c>
      <c r="C2734" t="s">
        <v>568</v>
      </c>
      <c r="D2734" s="453">
        <v>45809</v>
      </c>
      <c r="E2734">
        <v>25543</v>
      </c>
      <c r="F2734" t="s">
        <v>4477</v>
      </c>
      <c r="G2734">
        <v>6161</v>
      </c>
      <c r="H2734">
        <v>12</v>
      </c>
      <c r="I2734" t="s">
        <v>3892</v>
      </c>
      <c r="J2734" t="s">
        <v>3469</v>
      </c>
      <c r="K2734" t="s">
        <v>3696</v>
      </c>
      <c r="L2734">
        <v>0</v>
      </c>
      <c r="M2734" s="453">
        <v>-693593</v>
      </c>
      <c r="N2734">
        <v>0</v>
      </c>
      <c r="O2734">
        <v>0</v>
      </c>
      <c r="P2734">
        <v>2268</v>
      </c>
    </row>
    <row r="2735" spans="1:16" x14ac:dyDescent="0.3">
      <c r="A2735">
        <v>36704</v>
      </c>
      <c r="B2735">
        <v>116</v>
      </c>
      <c r="C2735" t="s">
        <v>568</v>
      </c>
      <c r="D2735" s="453">
        <v>45809</v>
      </c>
      <c r="E2735">
        <v>22515</v>
      </c>
      <c r="F2735" t="s">
        <v>3883</v>
      </c>
      <c r="G2735">
        <v>3202</v>
      </c>
      <c r="H2735">
        <v>44.2</v>
      </c>
      <c r="I2735" t="s">
        <v>3884</v>
      </c>
      <c r="J2735" t="s">
        <v>3497</v>
      </c>
      <c r="K2735" t="s">
        <v>3696</v>
      </c>
      <c r="L2735">
        <v>0</v>
      </c>
      <c r="M2735" s="453">
        <v>45671</v>
      </c>
      <c r="N2735">
        <v>38</v>
      </c>
      <c r="O2735">
        <v>38</v>
      </c>
      <c r="P2735">
        <v>1679.6</v>
      </c>
    </row>
    <row r="2736" spans="1:16" x14ac:dyDescent="0.3">
      <c r="A2736">
        <v>36596</v>
      </c>
      <c r="B2736">
        <v>116</v>
      </c>
      <c r="C2736" t="s">
        <v>568</v>
      </c>
      <c r="D2736" s="453">
        <v>45809</v>
      </c>
      <c r="E2736">
        <v>20621</v>
      </c>
      <c r="F2736" t="s">
        <v>3885</v>
      </c>
      <c r="G2736">
        <v>2117</v>
      </c>
      <c r="H2736">
        <v>54</v>
      </c>
      <c r="I2736" t="s">
        <v>3886</v>
      </c>
      <c r="J2736" t="s">
        <v>3469</v>
      </c>
      <c r="K2736" t="s">
        <v>3696</v>
      </c>
      <c r="L2736">
        <v>0</v>
      </c>
      <c r="M2736" s="453">
        <v>45776</v>
      </c>
      <c r="N2736">
        <v>25.8</v>
      </c>
      <c r="O2736">
        <v>22.9</v>
      </c>
      <c r="P2736">
        <v>1393.2</v>
      </c>
    </row>
    <row r="2737" spans="1:16" x14ac:dyDescent="0.3">
      <c r="A2737">
        <v>36668</v>
      </c>
      <c r="B2737">
        <v>116</v>
      </c>
      <c r="C2737" t="s">
        <v>568</v>
      </c>
      <c r="D2737" s="453">
        <v>45809</v>
      </c>
      <c r="E2737">
        <v>19297</v>
      </c>
      <c r="F2737" t="s">
        <v>3949</v>
      </c>
      <c r="G2737">
        <v>2775</v>
      </c>
      <c r="H2737">
        <v>13.8</v>
      </c>
      <c r="I2737" t="s">
        <v>3892</v>
      </c>
      <c r="J2737" t="s">
        <v>3469</v>
      </c>
      <c r="K2737" t="s">
        <v>3696</v>
      </c>
      <c r="L2737">
        <v>76.48</v>
      </c>
      <c r="M2737" s="453">
        <v>45800</v>
      </c>
      <c r="N2737">
        <v>98</v>
      </c>
      <c r="O2737">
        <v>59.99</v>
      </c>
      <c r="P2737">
        <v>1055.42</v>
      </c>
    </row>
    <row r="2738" spans="1:16" x14ac:dyDescent="0.3">
      <c r="A2738">
        <v>36679</v>
      </c>
      <c r="B2738">
        <v>116</v>
      </c>
      <c r="C2738" t="s">
        <v>568</v>
      </c>
      <c r="D2738" s="453">
        <v>45809</v>
      </c>
      <c r="E2738">
        <v>18883</v>
      </c>
      <c r="F2738" t="s">
        <v>4478</v>
      </c>
      <c r="G2738">
        <v>2938</v>
      </c>
      <c r="H2738">
        <v>11.4</v>
      </c>
      <c r="I2738" t="s">
        <v>3892</v>
      </c>
      <c r="J2738" t="s">
        <v>3469</v>
      </c>
      <c r="K2738" t="s">
        <v>3696</v>
      </c>
      <c r="L2738">
        <v>0</v>
      </c>
      <c r="M2738" s="453">
        <v>45677</v>
      </c>
      <c r="N2738">
        <v>79.5</v>
      </c>
      <c r="O2738">
        <v>79.900000000000006</v>
      </c>
      <c r="P2738">
        <v>906.3</v>
      </c>
    </row>
    <row r="2739" spans="1:16" x14ac:dyDescent="0.3">
      <c r="A2739">
        <v>36678</v>
      </c>
      <c r="B2739">
        <v>116</v>
      </c>
      <c r="C2739" t="s">
        <v>568</v>
      </c>
      <c r="D2739" s="453">
        <v>45809</v>
      </c>
      <c r="E2739">
        <v>18764</v>
      </c>
      <c r="F2739" t="s">
        <v>3907</v>
      </c>
      <c r="G2739">
        <v>3001</v>
      </c>
      <c r="H2739">
        <v>8.1999999999999993</v>
      </c>
      <c r="I2739" t="s">
        <v>3892</v>
      </c>
      <c r="J2739" t="s">
        <v>3469</v>
      </c>
      <c r="K2739" t="s">
        <v>3696</v>
      </c>
      <c r="L2739">
        <v>109.95</v>
      </c>
      <c r="M2739" s="453">
        <v>45804</v>
      </c>
      <c r="N2739">
        <v>108</v>
      </c>
      <c r="O2739">
        <v>105</v>
      </c>
      <c r="P2739">
        <v>901.59</v>
      </c>
    </row>
    <row r="2740" spans="1:16" x14ac:dyDescent="0.3">
      <c r="A2740">
        <v>36542</v>
      </c>
      <c r="B2740">
        <v>116</v>
      </c>
      <c r="C2740" t="s">
        <v>568</v>
      </c>
      <c r="D2740" s="453">
        <v>45809</v>
      </c>
      <c r="E2740">
        <v>23982</v>
      </c>
      <c r="F2740" t="s">
        <v>3977</v>
      </c>
      <c r="G2740">
        <v>1999</v>
      </c>
      <c r="H2740">
        <v>3</v>
      </c>
      <c r="I2740" t="s">
        <v>3978</v>
      </c>
      <c r="J2740" t="s">
        <v>3469</v>
      </c>
      <c r="K2740" t="s">
        <v>3696</v>
      </c>
      <c r="L2740">
        <v>292.02999999999997</v>
      </c>
      <c r="M2740" s="453">
        <v>45790</v>
      </c>
      <c r="N2740">
        <v>292.02999999999997</v>
      </c>
      <c r="O2740">
        <v>265</v>
      </c>
      <c r="P2740">
        <v>876.09</v>
      </c>
    </row>
    <row r="2741" spans="1:16" x14ac:dyDescent="0.3">
      <c r="A2741">
        <v>36707</v>
      </c>
      <c r="B2741">
        <v>116</v>
      </c>
      <c r="C2741" t="s">
        <v>568</v>
      </c>
      <c r="D2741" s="453">
        <v>45809</v>
      </c>
      <c r="E2741">
        <v>18475</v>
      </c>
      <c r="F2741" t="s">
        <v>3918</v>
      </c>
      <c r="G2741">
        <v>3181</v>
      </c>
      <c r="H2741">
        <v>25.5</v>
      </c>
      <c r="I2741" t="s">
        <v>3878</v>
      </c>
      <c r="J2741" t="s">
        <v>3497</v>
      </c>
      <c r="K2741" t="s">
        <v>3696</v>
      </c>
      <c r="L2741">
        <v>32.9</v>
      </c>
      <c r="M2741" s="453">
        <v>45797</v>
      </c>
      <c r="N2741">
        <v>32.9</v>
      </c>
      <c r="O2741">
        <v>32.89</v>
      </c>
      <c r="P2741">
        <v>838.95</v>
      </c>
    </row>
    <row r="2742" spans="1:16" x14ac:dyDescent="0.3">
      <c r="A2742">
        <v>36572</v>
      </c>
      <c r="B2742">
        <v>116</v>
      </c>
      <c r="C2742" t="s">
        <v>568</v>
      </c>
      <c r="D2742" s="453">
        <v>45809</v>
      </c>
      <c r="E2742">
        <v>20539</v>
      </c>
      <c r="F2742" t="s">
        <v>3908</v>
      </c>
      <c r="G2742">
        <v>2145</v>
      </c>
      <c r="H2742">
        <v>20.7</v>
      </c>
      <c r="I2742" t="s">
        <v>3892</v>
      </c>
      <c r="J2742" t="s">
        <v>3469</v>
      </c>
      <c r="K2742" t="s">
        <v>3696</v>
      </c>
      <c r="L2742">
        <v>40.4</v>
      </c>
      <c r="M2742" s="453">
        <v>45790</v>
      </c>
      <c r="N2742">
        <v>40.4</v>
      </c>
      <c r="O2742">
        <v>40.4</v>
      </c>
      <c r="P2742">
        <v>836.28</v>
      </c>
    </row>
    <row r="2743" spans="1:16" x14ac:dyDescent="0.3">
      <c r="A2743">
        <v>36552</v>
      </c>
      <c r="B2743">
        <v>116</v>
      </c>
      <c r="C2743" t="s">
        <v>568</v>
      </c>
      <c r="D2743" s="453">
        <v>45809</v>
      </c>
      <c r="E2743">
        <v>20703</v>
      </c>
      <c r="F2743" t="s">
        <v>3893</v>
      </c>
      <c r="G2743">
        <v>2100</v>
      </c>
      <c r="H2743">
        <v>48</v>
      </c>
      <c r="I2743" t="s">
        <v>3886</v>
      </c>
      <c r="J2743" t="s">
        <v>3469</v>
      </c>
      <c r="K2743" t="s">
        <v>3696</v>
      </c>
      <c r="L2743">
        <v>0</v>
      </c>
      <c r="M2743" s="453">
        <v>45714</v>
      </c>
      <c r="N2743">
        <v>12.8</v>
      </c>
      <c r="O2743">
        <v>13.86</v>
      </c>
      <c r="P2743">
        <v>614.4</v>
      </c>
    </row>
    <row r="2744" spans="1:16" x14ac:dyDescent="0.3">
      <c r="A2744">
        <v>36574</v>
      </c>
      <c r="B2744">
        <v>116</v>
      </c>
      <c r="C2744" t="s">
        <v>568</v>
      </c>
      <c r="D2744" s="453">
        <v>45809</v>
      </c>
      <c r="E2744">
        <v>20519</v>
      </c>
      <c r="F2744" t="s">
        <v>3902</v>
      </c>
      <c r="G2744">
        <v>2150</v>
      </c>
      <c r="H2744">
        <v>15.2</v>
      </c>
      <c r="I2744" t="s">
        <v>3892</v>
      </c>
      <c r="J2744" t="s">
        <v>3469</v>
      </c>
      <c r="K2744" t="s">
        <v>3696</v>
      </c>
      <c r="L2744">
        <v>0</v>
      </c>
      <c r="M2744" s="453">
        <v>45743</v>
      </c>
      <c r="N2744">
        <v>36.4</v>
      </c>
      <c r="O2744">
        <v>36.4</v>
      </c>
      <c r="P2744">
        <v>553.28</v>
      </c>
    </row>
    <row r="2745" spans="1:16" x14ac:dyDescent="0.3">
      <c r="A2745">
        <v>36695</v>
      </c>
      <c r="B2745">
        <v>116</v>
      </c>
      <c r="C2745" t="s">
        <v>568</v>
      </c>
      <c r="D2745" s="453">
        <v>45809</v>
      </c>
      <c r="E2745">
        <v>18640</v>
      </c>
      <c r="F2745" t="s">
        <v>3994</v>
      </c>
      <c r="G2745">
        <v>3074</v>
      </c>
      <c r="H2745">
        <v>2</v>
      </c>
      <c r="I2745" t="s">
        <v>3922</v>
      </c>
      <c r="J2745" t="s">
        <v>3497</v>
      </c>
      <c r="K2745" t="s">
        <v>3696</v>
      </c>
      <c r="L2745">
        <v>276.43</v>
      </c>
      <c r="M2745" s="453">
        <v>45806</v>
      </c>
      <c r="N2745">
        <v>276.43</v>
      </c>
      <c r="O2745">
        <v>276.43</v>
      </c>
      <c r="P2745">
        <v>552.86</v>
      </c>
    </row>
    <row r="2746" spans="1:16" x14ac:dyDescent="0.3">
      <c r="A2746">
        <v>36588</v>
      </c>
      <c r="B2746">
        <v>116</v>
      </c>
      <c r="C2746" t="s">
        <v>568</v>
      </c>
      <c r="D2746" s="453">
        <v>45809</v>
      </c>
      <c r="E2746">
        <v>19967</v>
      </c>
      <c r="F2746" t="s">
        <v>3930</v>
      </c>
      <c r="G2746">
        <v>2356</v>
      </c>
      <c r="H2746">
        <v>12</v>
      </c>
      <c r="I2746" t="s">
        <v>3931</v>
      </c>
      <c r="J2746" t="s">
        <v>3469</v>
      </c>
      <c r="K2746" t="s">
        <v>3696</v>
      </c>
      <c r="L2746">
        <v>42.64</v>
      </c>
      <c r="M2746" s="453">
        <v>45805</v>
      </c>
      <c r="N2746">
        <v>0</v>
      </c>
      <c r="O2746">
        <v>37.29</v>
      </c>
      <c r="P2746">
        <v>511.68</v>
      </c>
    </row>
    <row r="2747" spans="1:16" x14ac:dyDescent="0.3">
      <c r="A2747">
        <v>36705</v>
      </c>
      <c r="B2747">
        <v>116</v>
      </c>
      <c r="C2747" t="s">
        <v>568</v>
      </c>
      <c r="D2747" s="453">
        <v>45809</v>
      </c>
      <c r="E2747">
        <v>18493</v>
      </c>
      <c r="F2747" t="s">
        <v>3958</v>
      </c>
      <c r="G2747">
        <v>3164</v>
      </c>
      <c r="H2747">
        <v>6.8</v>
      </c>
      <c r="I2747" t="s">
        <v>3878</v>
      </c>
      <c r="J2747" t="s">
        <v>3497</v>
      </c>
      <c r="K2747" t="s">
        <v>3696</v>
      </c>
      <c r="L2747">
        <v>69.900000000000006</v>
      </c>
      <c r="M2747" s="453">
        <v>45797</v>
      </c>
      <c r="N2747">
        <v>69.900000000000006</v>
      </c>
      <c r="O2747">
        <v>69.900000000000006</v>
      </c>
      <c r="P2747">
        <v>475.32</v>
      </c>
    </row>
    <row r="2748" spans="1:16" x14ac:dyDescent="0.3">
      <c r="A2748">
        <v>36748</v>
      </c>
      <c r="B2748">
        <v>116</v>
      </c>
      <c r="C2748" t="s">
        <v>568</v>
      </c>
      <c r="D2748" s="453">
        <v>45809</v>
      </c>
      <c r="E2748">
        <v>24414</v>
      </c>
      <c r="F2748" t="s">
        <v>3943</v>
      </c>
      <c r="G2748">
        <v>3670</v>
      </c>
      <c r="H2748">
        <v>190</v>
      </c>
      <c r="I2748" t="s">
        <v>3872</v>
      </c>
      <c r="J2748" t="s">
        <v>3497</v>
      </c>
      <c r="K2748" t="s">
        <v>3696</v>
      </c>
      <c r="L2748">
        <v>0</v>
      </c>
      <c r="M2748" s="453">
        <v>45544</v>
      </c>
      <c r="N2748">
        <v>2.19</v>
      </c>
      <c r="O2748">
        <v>2.19</v>
      </c>
      <c r="P2748">
        <v>416.1</v>
      </c>
    </row>
    <row r="2749" spans="1:16" x14ac:dyDescent="0.3">
      <c r="A2749">
        <v>36739</v>
      </c>
      <c r="B2749">
        <v>116</v>
      </c>
      <c r="C2749" t="s">
        <v>568</v>
      </c>
      <c r="D2749" s="453">
        <v>45809</v>
      </c>
      <c r="E2749">
        <v>16974</v>
      </c>
      <c r="F2749" t="s">
        <v>3996</v>
      </c>
      <c r="G2749">
        <v>3711</v>
      </c>
      <c r="H2749">
        <v>3</v>
      </c>
      <c r="I2749" t="s">
        <v>3881</v>
      </c>
      <c r="J2749" t="s">
        <v>3497</v>
      </c>
      <c r="K2749" t="s">
        <v>3696</v>
      </c>
      <c r="L2749">
        <v>135</v>
      </c>
      <c r="M2749" s="453">
        <v>45798</v>
      </c>
      <c r="N2749">
        <v>135</v>
      </c>
      <c r="O2749">
        <v>135</v>
      </c>
      <c r="P2749">
        <v>405</v>
      </c>
    </row>
    <row r="2750" spans="1:16" x14ac:dyDescent="0.3">
      <c r="A2750">
        <v>36754</v>
      </c>
      <c r="B2750">
        <v>116</v>
      </c>
      <c r="C2750" t="s">
        <v>568</v>
      </c>
      <c r="D2750" s="453">
        <v>45809</v>
      </c>
      <c r="E2750">
        <v>17710</v>
      </c>
      <c r="F2750" t="s">
        <v>3905</v>
      </c>
      <c r="G2750">
        <v>3824</v>
      </c>
      <c r="H2750">
        <v>10</v>
      </c>
      <c r="I2750" t="s">
        <v>3878</v>
      </c>
      <c r="J2750" t="s">
        <v>3497</v>
      </c>
      <c r="K2750" t="s">
        <v>3696</v>
      </c>
      <c r="L2750">
        <v>0</v>
      </c>
      <c r="M2750" s="453">
        <v>-693593</v>
      </c>
      <c r="N2750">
        <v>0</v>
      </c>
      <c r="O2750">
        <v>40.15</v>
      </c>
      <c r="P2750">
        <v>401.5</v>
      </c>
    </row>
    <row r="2751" spans="1:16" x14ac:dyDescent="0.3">
      <c r="A2751">
        <v>36685</v>
      </c>
      <c r="B2751">
        <v>116</v>
      </c>
      <c r="C2751" t="s">
        <v>568</v>
      </c>
      <c r="D2751" s="453">
        <v>45809</v>
      </c>
      <c r="E2751">
        <v>24402</v>
      </c>
      <c r="F2751" t="s">
        <v>3896</v>
      </c>
      <c r="G2751">
        <v>2949</v>
      </c>
      <c r="H2751">
        <v>9.6</v>
      </c>
      <c r="I2751" t="s">
        <v>3892</v>
      </c>
      <c r="J2751" t="s">
        <v>3469</v>
      </c>
      <c r="K2751" t="s">
        <v>3696</v>
      </c>
      <c r="L2751">
        <v>39.380000000000003</v>
      </c>
      <c r="M2751" s="453">
        <v>45807</v>
      </c>
      <c r="N2751">
        <v>47.8</v>
      </c>
      <c r="O2751">
        <v>47.8</v>
      </c>
      <c r="P2751">
        <v>378.05</v>
      </c>
    </row>
    <row r="2752" spans="1:16" x14ac:dyDescent="0.3">
      <c r="A2752">
        <v>36686</v>
      </c>
      <c r="B2752">
        <v>116</v>
      </c>
      <c r="C2752" t="s">
        <v>568</v>
      </c>
      <c r="D2752" s="453">
        <v>45809</v>
      </c>
      <c r="E2752">
        <v>18832</v>
      </c>
      <c r="F2752" t="s">
        <v>3900</v>
      </c>
      <c r="G2752">
        <v>2950</v>
      </c>
      <c r="H2752">
        <v>10</v>
      </c>
      <c r="I2752" t="s">
        <v>3892</v>
      </c>
      <c r="J2752" t="s">
        <v>3469</v>
      </c>
      <c r="K2752" t="s">
        <v>3696</v>
      </c>
      <c r="L2752">
        <v>37.21</v>
      </c>
      <c r="M2752" s="453">
        <v>45804</v>
      </c>
      <c r="N2752">
        <v>36.9</v>
      </c>
      <c r="O2752">
        <v>47</v>
      </c>
      <c r="P2752">
        <v>372.1</v>
      </c>
    </row>
    <row r="2753" spans="1:16" x14ac:dyDescent="0.3">
      <c r="A2753">
        <v>36689</v>
      </c>
      <c r="B2753">
        <v>116</v>
      </c>
      <c r="C2753" t="s">
        <v>568</v>
      </c>
      <c r="D2753" s="453">
        <v>45809</v>
      </c>
      <c r="E2753">
        <v>25541</v>
      </c>
      <c r="F2753" t="s">
        <v>4330</v>
      </c>
      <c r="G2753">
        <v>6160</v>
      </c>
      <c r="H2753">
        <v>11.2</v>
      </c>
      <c r="I2753" t="s">
        <v>3892</v>
      </c>
      <c r="J2753" t="s">
        <v>3469</v>
      </c>
      <c r="K2753" t="s">
        <v>3696</v>
      </c>
      <c r="L2753">
        <v>32.799999999999997</v>
      </c>
      <c r="M2753" s="453">
        <v>45806</v>
      </c>
      <c r="N2753">
        <v>32.799999999999997</v>
      </c>
      <c r="O2753">
        <v>32.799999999999997</v>
      </c>
      <c r="P2753">
        <v>367.36</v>
      </c>
    </row>
    <row r="2754" spans="1:16" x14ac:dyDescent="0.3">
      <c r="A2754">
        <v>36666</v>
      </c>
      <c r="B2754">
        <v>116</v>
      </c>
      <c r="C2754" t="s">
        <v>568</v>
      </c>
      <c r="D2754" s="453">
        <v>45809</v>
      </c>
      <c r="E2754">
        <v>19346</v>
      </c>
      <c r="F2754" t="s">
        <v>3948</v>
      </c>
      <c r="G2754">
        <v>2770</v>
      </c>
      <c r="H2754">
        <v>6.4</v>
      </c>
      <c r="I2754" t="s">
        <v>3892</v>
      </c>
      <c r="J2754" t="s">
        <v>3469</v>
      </c>
      <c r="K2754" t="s">
        <v>3696</v>
      </c>
      <c r="L2754">
        <v>57.22</v>
      </c>
      <c r="M2754" s="453">
        <v>45807</v>
      </c>
      <c r="N2754">
        <v>57.22</v>
      </c>
      <c r="O2754">
        <v>57.22</v>
      </c>
      <c r="P2754">
        <v>366.21</v>
      </c>
    </row>
    <row r="2755" spans="1:16" x14ac:dyDescent="0.3">
      <c r="A2755">
        <v>36541</v>
      </c>
      <c r="B2755">
        <v>116</v>
      </c>
      <c r="C2755" t="s">
        <v>568</v>
      </c>
      <c r="D2755" s="453">
        <v>45809</v>
      </c>
      <c r="E2755">
        <v>21030</v>
      </c>
      <c r="F2755" t="s">
        <v>3890</v>
      </c>
      <c r="G2755">
        <v>2001</v>
      </c>
      <c r="H2755">
        <v>14</v>
      </c>
      <c r="I2755" t="s">
        <v>3872</v>
      </c>
      <c r="J2755" t="s">
        <v>3469</v>
      </c>
      <c r="K2755" t="s">
        <v>3696</v>
      </c>
      <c r="L2755">
        <v>25.9</v>
      </c>
      <c r="M2755" s="453">
        <v>45804</v>
      </c>
      <c r="N2755">
        <v>25.9</v>
      </c>
      <c r="O2755">
        <v>27.46</v>
      </c>
      <c r="P2755">
        <v>362.6</v>
      </c>
    </row>
    <row r="2756" spans="1:16" x14ac:dyDescent="0.3">
      <c r="A2756">
        <v>36720</v>
      </c>
      <c r="B2756">
        <v>116</v>
      </c>
      <c r="C2756" t="s">
        <v>568</v>
      </c>
      <c r="D2756" s="453">
        <v>45809</v>
      </c>
      <c r="E2756">
        <v>18295</v>
      </c>
      <c r="F2756" t="s">
        <v>4030</v>
      </c>
      <c r="G2756">
        <v>3334</v>
      </c>
      <c r="H2756">
        <v>2.4</v>
      </c>
      <c r="I2756" t="s">
        <v>3878</v>
      </c>
      <c r="J2756" t="s">
        <v>3497</v>
      </c>
      <c r="K2756" t="s">
        <v>3696</v>
      </c>
      <c r="L2756">
        <v>150.35</v>
      </c>
      <c r="M2756" s="453">
        <v>45797</v>
      </c>
      <c r="N2756">
        <v>155.9</v>
      </c>
      <c r="O2756">
        <v>155.9</v>
      </c>
      <c r="P2756">
        <v>360.84</v>
      </c>
    </row>
    <row r="2757" spans="1:16" x14ac:dyDescent="0.3">
      <c r="A2757">
        <v>36752</v>
      </c>
      <c r="B2757">
        <v>116</v>
      </c>
      <c r="C2757" t="s">
        <v>568</v>
      </c>
      <c r="D2757" s="453">
        <v>45809</v>
      </c>
      <c r="E2757">
        <v>26195</v>
      </c>
      <c r="F2757" t="s">
        <v>4037</v>
      </c>
      <c r="G2757">
        <v>6618</v>
      </c>
      <c r="H2757">
        <v>11</v>
      </c>
      <c r="I2757" t="s">
        <v>3878</v>
      </c>
      <c r="J2757" t="s">
        <v>3497</v>
      </c>
      <c r="K2757" t="s">
        <v>3696</v>
      </c>
      <c r="L2757">
        <v>0</v>
      </c>
      <c r="M2757" s="453">
        <v>-693593</v>
      </c>
      <c r="N2757">
        <v>0</v>
      </c>
      <c r="O2757">
        <v>0</v>
      </c>
      <c r="P2757">
        <v>305.14</v>
      </c>
    </row>
    <row r="2758" spans="1:16" x14ac:dyDescent="0.3">
      <c r="A2758">
        <v>36674</v>
      </c>
      <c r="B2758">
        <v>116</v>
      </c>
      <c r="C2758" t="s">
        <v>568</v>
      </c>
      <c r="D2758" s="453">
        <v>45809</v>
      </c>
      <c r="E2758">
        <v>18948</v>
      </c>
      <c r="F2758" t="s">
        <v>3961</v>
      </c>
      <c r="G2758">
        <v>2927</v>
      </c>
      <c r="H2758">
        <v>4.5</v>
      </c>
      <c r="I2758" t="s">
        <v>3892</v>
      </c>
      <c r="J2758" t="s">
        <v>3469</v>
      </c>
      <c r="K2758" t="s">
        <v>3696</v>
      </c>
      <c r="L2758">
        <v>66.34</v>
      </c>
      <c r="M2758" s="453">
        <v>45806</v>
      </c>
      <c r="N2758">
        <v>73.900000000000006</v>
      </c>
      <c r="O2758">
        <v>73.900000000000006</v>
      </c>
      <c r="P2758">
        <v>298.52999999999997</v>
      </c>
    </row>
    <row r="2759" spans="1:16" x14ac:dyDescent="0.3">
      <c r="A2759">
        <v>36736</v>
      </c>
      <c r="B2759">
        <v>116</v>
      </c>
      <c r="C2759" t="s">
        <v>568</v>
      </c>
      <c r="D2759" s="453">
        <v>45809</v>
      </c>
      <c r="E2759">
        <v>24019</v>
      </c>
      <c r="F2759" t="s">
        <v>4471</v>
      </c>
      <c r="G2759">
        <v>3617</v>
      </c>
      <c r="H2759">
        <v>183</v>
      </c>
      <c r="I2759" t="s">
        <v>3872</v>
      </c>
      <c r="J2759" t="s">
        <v>3497</v>
      </c>
      <c r="K2759" t="s">
        <v>3696</v>
      </c>
      <c r="L2759">
        <v>0</v>
      </c>
      <c r="M2759" s="453">
        <v>45545</v>
      </c>
      <c r="N2759">
        <v>1.62</v>
      </c>
      <c r="O2759">
        <v>1.63</v>
      </c>
      <c r="P2759">
        <v>297.38</v>
      </c>
    </row>
    <row r="2760" spans="1:16" x14ac:dyDescent="0.3">
      <c r="A2760">
        <v>36702</v>
      </c>
      <c r="B2760">
        <v>116</v>
      </c>
      <c r="C2760" t="s">
        <v>568</v>
      </c>
      <c r="D2760" s="453">
        <v>45809</v>
      </c>
      <c r="E2760">
        <v>18538</v>
      </c>
      <c r="F2760" t="s">
        <v>4026</v>
      </c>
      <c r="G2760">
        <v>3139</v>
      </c>
      <c r="H2760">
        <v>2.8</v>
      </c>
      <c r="I2760" t="s">
        <v>3878</v>
      </c>
      <c r="J2760" t="s">
        <v>3497</v>
      </c>
      <c r="K2760" t="s">
        <v>3696</v>
      </c>
      <c r="L2760">
        <v>105.76</v>
      </c>
      <c r="M2760" s="453">
        <v>45807</v>
      </c>
      <c r="N2760">
        <v>106</v>
      </c>
      <c r="O2760">
        <v>106</v>
      </c>
      <c r="P2760">
        <v>296.13</v>
      </c>
    </row>
    <row r="2761" spans="1:16" x14ac:dyDescent="0.3">
      <c r="A2761">
        <v>36603</v>
      </c>
      <c r="B2761">
        <v>116</v>
      </c>
      <c r="C2761" t="s">
        <v>568</v>
      </c>
      <c r="D2761" s="453">
        <v>45809</v>
      </c>
      <c r="E2761">
        <v>20458</v>
      </c>
      <c r="F2761" t="s">
        <v>4121</v>
      </c>
      <c r="G2761">
        <v>2164</v>
      </c>
      <c r="H2761">
        <v>9.6</v>
      </c>
      <c r="I2761" t="s">
        <v>3892</v>
      </c>
      <c r="J2761" t="s">
        <v>3469</v>
      </c>
      <c r="K2761" t="s">
        <v>3696</v>
      </c>
      <c r="L2761">
        <v>28.9</v>
      </c>
      <c r="M2761" s="453">
        <v>45804</v>
      </c>
      <c r="N2761">
        <v>28.9</v>
      </c>
      <c r="O2761">
        <v>28.9</v>
      </c>
      <c r="P2761">
        <v>277.44</v>
      </c>
    </row>
    <row r="2762" spans="1:16" x14ac:dyDescent="0.3">
      <c r="A2762">
        <v>36546</v>
      </c>
      <c r="B2762">
        <v>116</v>
      </c>
      <c r="C2762" t="s">
        <v>568</v>
      </c>
      <c r="D2762" s="453">
        <v>45809</v>
      </c>
      <c r="E2762">
        <v>20278</v>
      </c>
      <c r="F2762" t="s">
        <v>3939</v>
      </c>
      <c r="G2762">
        <v>2230</v>
      </c>
      <c r="H2762">
        <v>9</v>
      </c>
      <c r="I2762" t="s">
        <v>3872</v>
      </c>
      <c r="J2762" t="s">
        <v>3469</v>
      </c>
      <c r="K2762" t="s">
        <v>3696</v>
      </c>
      <c r="L2762">
        <v>30.48</v>
      </c>
      <c r="M2762" s="453">
        <v>45803</v>
      </c>
      <c r="N2762">
        <v>33.270000000000003</v>
      </c>
      <c r="O2762">
        <v>33.270000000000003</v>
      </c>
      <c r="P2762">
        <v>274.32</v>
      </c>
    </row>
    <row r="2763" spans="1:16" x14ac:dyDescent="0.3">
      <c r="A2763">
        <v>36681</v>
      </c>
      <c r="B2763">
        <v>116</v>
      </c>
      <c r="C2763" t="s">
        <v>568</v>
      </c>
      <c r="D2763" s="453">
        <v>45809</v>
      </c>
      <c r="E2763">
        <v>24320</v>
      </c>
      <c r="F2763" t="s">
        <v>4160</v>
      </c>
      <c r="G2763">
        <v>2942</v>
      </c>
      <c r="H2763">
        <v>6.4</v>
      </c>
      <c r="I2763" t="s">
        <v>3892</v>
      </c>
      <c r="J2763" t="s">
        <v>3469</v>
      </c>
      <c r="K2763" t="s">
        <v>3696</v>
      </c>
      <c r="L2763">
        <v>41.41</v>
      </c>
      <c r="M2763" s="453">
        <v>45804</v>
      </c>
      <c r="N2763">
        <v>44.5</v>
      </c>
      <c r="O2763">
        <v>49.9</v>
      </c>
      <c r="P2763">
        <v>265.02</v>
      </c>
    </row>
    <row r="2764" spans="1:16" x14ac:dyDescent="0.3">
      <c r="A2764">
        <v>36568</v>
      </c>
      <c r="B2764">
        <v>116</v>
      </c>
      <c r="C2764" t="s">
        <v>568</v>
      </c>
      <c r="D2764" s="453">
        <v>45809</v>
      </c>
      <c r="E2764">
        <v>21024</v>
      </c>
      <c r="F2764" t="s">
        <v>4180</v>
      </c>
      <c r="G2764">
        <v>2003</v>
      </c>
      <c r="H2764">
        <v>1.5</v>
      </c>
      <c r="I2764" t="s">
        <v>3966</v>
      </c>
      <c r="J2764" t="s">
        <v>3469</v>
      </c>
      <c r="K2764" t="s">
        <v>3696</v>
      </c>
      <c r="L2764">
        <v>168.69</v>
      </c>
      <c r="M2764" s="453">
        <v>45803</v>
      </c>
      <c r="N2764">
        <v>169.98</v>
      </c>
      <c r="O2764">
        <v>174.31</v>
      </c>
      <c r="P2764">
        <v>253.04</v>
      </c>
    </row>
    <row r="2765" spans="1:16" x14ac:dyDescent="0.3">
      <c r="A2765">
        <v>36555</v>
      </c>
      <c r="B2765">
        <v>116</v>
      </c>
      <c r="C2765" t="s">
        <v>568</v>
      </c>
      <c r="D2765" s="453">
        <v>45809</v>
      </c>
      <c r="E2765">
        <v>20555</v>
      </c>
      <c r="F2765" t="s">
        <v>3959</v>
      </c>
      <c r="G2765">
        <v>2139</v>
      </c>
      <c r="H2765">
        <v>3.2</v>
      </c>
      <c r="I2765" t="s">
        <v>3892</v>
      </c>
      <c r="J2765" t="s">
        <v>3469</v>
      </c>
      <c r="K2765" t="s">
        <v>3696</v>
      </c>
      <c r="L2765">
        <v>79</v>
      </c>
      <c r="M2765" s="453">
        <v>45804</v>
      </c>
      <c r="N2765">
        <v>79</v>
      </c>
      <c r="O2765">
        <v>79</v>
      </c>
      <c r="P2765">
        <v>252.8</v>
      </c>
    </row>
    <row r="2766" spans="1:16" x14ac:dyDescent="0.3">
      <c r="A2766">
        <v>36745</v>
      </c>
      <c r="B2766">
        <v>116</v>
      </c>
      <c r="C2766" t="s">
        <v>568</v>
      </c>
      <c r="D2766" s="453">
        <v>45809</v>
      </c>
      <c r="E2766">
        <v>22042</v>
      </c>
      <c r="F2766" t="s">
        <v>3901</v>
      </c>
      <c r="G2766">
        <v>3658</v>
      </c>
      <c r="H2766">
        <v>112</v>
      </c>
      <c r="I2766" t="s">
        <v>3872</v>
      </c>
      <c r="J2766" t="s">
        <v>3497</v>
      </c>
      <c r="K2766" t="s">
        <v>3696</v>
      </c>
      <c r="L2766">
        <v>0</v>
      </c>
      <c r="M2766" s="453">
        <v>45677</v>
      </c>
      <c r="N2766">
        <v>2.19</v>
      </c>
      <c r="O2766">
        <v>1.99</v>
      </c>
      <c r="P2766">
        <v>245.28</v>
      </c>
    </row>
    <row r="2767" spans="1:16" x14ac:dyDescent="0.3">
      <c r="A2767">
        <v>36684</v>
      </c>
      <c r="B2767">
        <v>116</v>
      </c>
      <c r="C2767" t="s">
        <v>568</v>
      </c>
      <c r="D2767" s="453">
        <v>45809</v>
      </c>
      <c r="E2767">
        <v>24517</v>
      </c>
      <c r="F2767" t="s">
        <v>3991</v>
      </c>
      <c r="G2767">
        <v>3047</v>
      </c>
      <c r="H2767">
        <v>8.6999999999999993</v>
      </c>
      <c r="I2767" t="s">
        <v>3892</v>
      </c>
      <c r="J2767" t="s">
        <v>3469</v>
      </c>
      <c r="K2767" t="s">
        <v>3696</v>
      </c>
      <c r="L2767">
        <v>28.19</v>
      </c>
      <c r="M2767" s="453">
        <v>45804</v>
      </c>
      <c r="N2767">
        <v>28.5</v>
      </c>
      <c r="O2767">
        <v>27.99</v>
      </c>
      <c r="P2767">
        <v>245.25</v>
      </c>
    </row>
    <row r="2768" spans="1:16" x14ac:dyDescent="0.3">
      <c r="A2768">
        <v>36667</v>
      </c>
      <c r="B2768">
        <v>116</v>
      </c>
      <c r="C2768" t="s">
        <v>568</v>
      </c>
      <c r="D2768" s="453">
        <v>45809</v>
      </c>
      <c r="E2768">
        <v>19324</v>
      </c>
      <c r="F2768" t="s">
        <v>3937</v>
      </c>
      <c r="G2768">
        <v>2773</v>
      </c>
      <c r="H2768">
        <v>5.7</v>
      </c>
      <c r="I2768" t="s">
        <v>3892</v>
      </c>
      <c r="J2768" t="s">
        <v>3469</v>
      </c>
      <c r="K2768" t="s">
        <v>3696</v>
      </c>
      <c r="L2768">
        <v>42.85</v>
      </c>
      <c r="M2768" s="453">
        <v>45804</v>
      </c>
      <c r="N2768">
        <v>42.6</v>
      </c>
      <c r="O2768">
        <v>38.450000000000003</v>
      </c>
      <c r="P2768">
        <v>244.24</v>
      </c>
    </row>
    <row r="2769" spans="1:16" x14ac:dyDescent="0.3">
      <c r="A2769">
        <v>36682</v>
      </c>
      <c r="B2769">
        <v>116</v>
      </c>
      <c r="C2769" t="s">
        <v>568</v>
      </c>
      <c r="D2769" s="453">
        <v>45809</v>
      </c>
      <c r="E2769">
        <v>24388</v>
      </c>
      <c r="F2769" t="s">
        <v>3915</v>
      </c>
      <c r="G2769">
        <v>2945</v>
      </c>
      <c r="H2769">
        <v>7.2</v>
      </c>
      <c r="I2769" t="s">
        <v>3892</v>
      </c>
      <c r="J2769" t="s">
        <v>3469</v>
      </c>
      <c r="K2769" t="s">
        <v>3696</v>
      </c>
      <c r="L2769">
        <v>33.15</v>
      </c>
      <c r="M2769" s="453">
        <v>45804</v>
      </c>
      <c r="N2769">
        <v>33.5</v>
      </c>
      <c r="O2769">
        <v>33.5</v>
      </c>
      <c r="P2769">
        <v>238.68</v>
      </c>
    </row>
    <row r="2770" spans="1:16" x14ac:dyDescent="0.3">
      <c r="A2770">
        <v>36587</v>
      </c>
      <c r="B2770">
        <v>116</v>
      </c>
      <c r="C2770" t="s">
        <v>568</v>
      </c>
      <c r="D2770" s="453">
        <v>45809</v>
      </c>
      <c r="E2770">
        <v>19961</v>
      </c>
      <c r="F2770" t="s">
        <v>4465</v>
      </c>
      <c r="G2770">
        <v>2357</v>
      </c>
      <c r="H2770">
        <v>16</v>
      </c>
      <c r="I2770" t="s">
        <v>3886</v>
      </c>
      <c r="J2770" t="s">
        <v>3469</v>
      </c>
      <c r="K2770" t="s">
        <v>3696</v>
      </c>
      <c r="L2770">
        <v>0</v>
      </c>
      <c r="M2770" s="453">
        <v>45762</v>
      </c>
      <c r="N2770">
        <v>13.5</v>
      </c>
      <c r="O2770">
        <v>13.3</v>
      </c>
      <c r="P2770">
        <v>216</v>
      </c>
    </row>
    <row r="2771" spans="1:16" x14ac:dyDescent="0.3">
      <c r="A2771">
        <v>36747</v>
      </c>
      <c r="B2771">
        <v>116</v>
      </c>
      <c r="C2771" t="s">
        <v>568</v>
      </c>
      <c r="D2771" s="453">
        <v>45809</v>
      </c>
      <c r="E2771">
        <v>24409</v>
      </c>
      <c r="F2771" t="s">
        <v>4036</v>
      </c>
      <c r="G2771">
        <v>3665</v>
      </c>
      <c r="H2771">
        <v>97</v>
      </c>
      <c r="I2771" t="s">
        <v>3872</v>
      </c>
      <c r="J2771" t="s">
        <v>3497</v>
      </c>
      <c r="K2771" t="s">
        <v>3696</v>
      </c>
      <c r="L2771">
        <v>0</v>
      </c>
      <c r="M2771" s="453">
        <v>45551</v>
      </c>
      <c r="N2771">
        <v>2.19</v>
      </c>
      <c r="O2771">
        <v>2.19</v>
      </c>
      <c r="P2771">
        <v>212.43</v>
      </c>
    </row>
    <row r="2772" spans="1:16" x14ac:dyDescent="0.3">
      <c r="A2772">
        <v>36584</v>
      </c>
      <c r="B2772">
        <v>116</v>
      </c>
      <c r="C2772" t="s">
        <v>568</v>
      </c>
      <c r="D2772" s="453">
        <v>45809</v>
      </c>
      <c r="E2772">
        <v>19984</v>
      </c>
      <c r="F2772" t="s">
        <v>3904</v>
      </c>
      <c r="G2772">
        <v>2351</v>
      </c>
      <c r="H2772">
        <v>11</v>
      </c>
      <c r="I2772" t="s">
        <v>3872</v>
      </c>
      <c r="J2772" t="s">
        <v>3469</v>
      </c>
      <c r="K2772" t="s">
        <v>3696</v>
      </c>
      <c r="L2772">
        <v>18.899999999999999</v>
      </c>
      <c r="M2772" s="453">
        <v>45804</v>
      </c>
      <c r="N2772">
        <v>18.899999999999999</v>
      </c>
      <c r="O2772">
        <v>18.899999999999999</v>
      </c>
      <c r="P2772">
        <v>207.9</v>
      </c>
    </row>
    <row r="2773" spans="1:16" x14ac:dyDescent="0.3">
      <c r="A2773">
        <v>36664</v>
      </c>
      <c r="B2773">
        <v>116</v>
      </c>
      <c r="C2773" t="s">
        <v>568</v>
      </c>
      <c r="D2773" s="453">
        <v>45809</v>
      </c>
      <c r="E2773">
        <v>19405</v>
      </c>
      <c r="F2773" t="s">
        <v>4097</v>
      </c>
      <c r="G2773">
        <v>2761</v>
      </c>
      <c r="H2773">
        <v>5</v>
      </c>
      <c r="I2773" t="s">
        <v>3892</v>
      </c>
      <c r="J2773" t="s">
        <v>3469</v>
      </c>
      <c r="K2773" t="s">
        <v>3696</v>
      </c>
      <c r="L2773">
        <v>40</v>
      </c>
      <c r="M2773" s="453">
        <v>45790</v>
      </c>
      <c r="N2773">
        <v>40</v>
      </c>
      <c r="O2773">
        <v>39.6</v>
      </c>
      <c r="P2773">
        <v>200</v>
      </c>
    </row>
    <row r="2774" spans="1:16" x14ac:dyDescent="0.3">
      <c r="A2774">
        <v>36723</v>
      </c>
      <c r="B2774">
        <v>116</v>
      </c>
      <c r="C2774" t="s">
        <v>568</v>
      </c>
      <c r="D2774" s="453">
        <v>45809</v>
      </c>
      <c r="E2774">
        <v>18247</v>
      </c>
      <c r="F2774" t="s">
        <v>3877</v>
      </c>
      <c r="G2774">
        <v>3383</v>
      </c>
      <c r="H2774">
        <v>3</v>
      </c>
      <c r="I2774" t="s">
        <v>3878</v>
      </c>
      <c r="J2774" t="s">
        <v>3497</v>
      </c>
      <c r="K2774" t="s">
        <v>3696</v>
      </c>
      <c r="L2774">
        <v>0</v>
      </c>
      <c r="M2774" s="453">
        <v>-693593</v>
      </c>
      <c r="N2774">
        <v>0</v>
      </c>
      <c r="O2774">
        <v>0</v>
      </c>
      <c r="P2774">
        <v>199.2</v>
      </c>
    </row>
    <row r="2775" spans="1:16" x14ac:dyDescent="0.3">
      <c r="A2775">
        <v>36669</v>
      </c>
      <c r="B2775">
        <v>116</v>
      </c>
      <c r="C2775" t="s">
        <v>568</v>
      </c>
      <c r="D2775" s="453">
        <v>45809</v>
      </c>
      <c r="E2775">
        <v>19287</v>
      </c>
      <c r="F2775" t="s">
        <v>3974</v>
      </c>
      <c r="G2775">
        <v>2778</v>
      </c>
      <c r="H2775">
        <v>4.3</v>
      </c>
      <c r="I2775" t="s">
        <v>3892</v>
      </c>
      <c r="J2775" t="s">
        <v>3469</v>
      </c>
      <c r="K2775" t="s">
        <v>3696</v>
      </c>
      <c r="L2775">
        <v>43.39</v>
      </c>
      <c r="M2775" s="453">
        <v>45797</v>
      </c>
      <c r="N2775">
        <v>43.2</v>
      </c>
      <c r="O2775">
        <v>41.84</v>
      </c>
      <c r="P2775">
        <v>186.58</v>
      </c>
    </row>
    <row r="2776" spans="1:16" x14ac:dyDescent="0.3">
      <c r="A2776">
        <v>36706</v>
      </c>
      <c r="B2776">
        <v>116</v>
      </c>
      <c r="C2776" t="s">
        <v>568</v>
      </c>
      <c r="D2776" s="453">
        <v>45809</v>
      </c>
      <c r="E2776">
        <v>18491</v>
      </c>
      <c r="F2776" t="s">
        <v>3934</v>
      </c>
      <c r="G2776">
        <v>3166</v>
      </c>
      <c r="H2776">
        <v>5</v>
      </c>
      <c r="I2776" t="s">
        <v>3878</v>
      </c>
      <c r="J2776" t="s">
        <v>3497</v>
      </c>
      <c r="K2776" t="s">
        <v>3696</v>
      </c>
      <c r="L2776">
        <v>0</v>
      </c>
      <c r="M2776" s="453">
        <v>45677</v>
      </c>
      <c r="N2776">
        <v>35.9</v>
      </c>
      <c r="O2776">
        <v>35.9</v>
      </c>
      <c r="P2776">
        <v>179.5</v>
      </c>
    </row>
    <row r="2777" spans="1:16" x14ac:dyDescent="0.3">
      <c r="A2777">
        <v>36718</v>
      </c>
      <c r="B2777">
        <v>116</v>
      </c>
      <c r="C2777" t="s">
        <v>568</v>
      </c>
      <c r="D2777" s="453">
        <v>45809</v>
      </c>
      <c r="E2777">
        <v>18313</v>
      </c>
      <c r="F2777" t="s">
        <v>4464</v>
      </c>
      <c r="G2777">
        <v>3320</v>
      </c>
      <c r="H2777">
        <v>1</v>
      </c>
      <c r="I2777" t="s">
        <v>3878</v>
      </c>
      <c r="J2777" t="s">
        <v>3497</v>
      </c>
      <c r="K2777" t="s">
        <v>3696</v>
      </c>
      <c r="L2777">
        <v>178.9</v>
      </c>
      <c r="M2777" s="453">
        <v>45793</v>
      </c>
      <c r="N2777">
        <v>178.9</v>
      </c>
      <c r="O2777">
        <v>178.9</v>
      </c>
      <c r="P2777">
        <v>178.9</v>
      </c>
    </row>
    <row r="2778" spans="1:16" x14ac:dyDescent="0.3">
      <c r="A2778">
        <v>36699</v>
      </c>
      <c r="B2778">
        <v>116</v>
      </c>
      <c r="C2778" t="s">
        <v>568</v>
      </c>
      <c r="D2778" s="453">
        <v>45809</v>
      </c>
      <c r="E2778">
        <v>18547</v>
      </c>
      <c r="F2778" t="s">
        <v>3962</v>
      </c>
      <c r="G2778">
        <v>3132</v>
      </c>
      <c r="H2778">
        <v>5</v>
      </c>
      <c r="I2778" t="s">
        <v>3878</v>
      </c>
      <c r="J2778" t="s">
        <v>3497</v>
      </c>
      <c r="K2778" t="s">
        <v>3696</v>
      </c>
      <c r="L2778">
        <v>0</v>
      </c>
      <c r="M2778" s="453">
        <v>45770</v>
      </c>
      <c r="N2778">
        <v>34.74</v>
      </c>
      <c r="O2778">
        <v>34.75</v>
      </c>
      <c r="P2778">
        <v>173.7</v>
      </c>
    </row>
    <row r="2779" spans="1:16" x14ac:dyDescent="0.3">
      <c r="A2779">
        <v>36753</v>
      </c>
      <c r="B2779">
        <v>116</v>
      </c>
      <c r="C2779" t="s">
        <v>568</v>
      </c>
      <c r="D2779" s="453">
        <v>45809</v>
      </c>
      <c r="E2779">
        <v>17609</v>
      </c>
      <c r="F2779" t="s">
        <v>4038</v>
      </c>
      <c r="G2779">
        <v>3917</v>
      </c>
      <c r="H2779">
        <v>9</v>
      </c>
      <c r="I2779" t="s">
        <v>3878</v>
      </c>
      <c r="J2779" t="s">
        <v>3497</v>
      </c>
      <c r="K2779" t="s">
        <v>3696</v>
      </c>
      <c r="L2779">
        <v>0</v>
      </c>
      <c r="M2779" s="453">
        <v>45573</v>
      </c>
      <c r="N2779">
        <v>18.899999999999999</v>
      </c>
      <c r="O2779">
        <v>18.899999999999999</v>
      </c>
      <c r="P2779">
        <v>170.1</v>
      </c>
    </row>
    <row r="2780" spans="1:16" x14ac:dyDescent="0.3">
      <c r="A2780">
        <v>36579</v>
      </c>
      <c r="B2780">
        <v>116</v>
      </c>
      <c r="C2780" t="s">
        <v>568</v>
      </c>
      <c r="D2780" s="453">
        <v>45809</v>
      </c>
      <c r="E2780">
        <v>20131</v>
      </c>
      <c r="F2780" t="s">
        <v>4447</v>
      </c>
      <c r="G2780">
        <v>2287</v>
      </c>
      <c r="H2780">
        <v>14</v>
      </c>
      <c r="I2780" t="s">
        <v>3892</v>
      </c>
      <c r="J2780" t="s">
        <v>3469</v>
      </c>
      <c r="K2780" t="s">
        <v>3696</v>
      </c>
      <c r="L2780">
        <v>0</v>
      </c>
      <c r="M2780" s="453">
        <v>45672</v>
      </c>
      <c r="N2780">
        <v>12</v>
      </c>
      <c r="O2780">
        <v>12</v>
      </c>
      <c r="P2780">
        <v>168</v>
      </c>
    </row>
    <row r="2781" spans="1:16" x14ac:dyDescent="0.3">
      <c r="A2781">
        <v>36698</v>
      </c>
      <c r="B2781">
        <v>116</v>
      </c>
      <c r="C2781" t="s">
        <v>568</v>
      </c>
      <c r="D2781" s="453">
        <v>45809</v>
      </c>
      <c r="E2781">
        <v>18550</v>
      </c>
      <c r="F2781" t="s">
        <v>4083</v>
      </c>
      <c r="G2781">
        <v>3130</v>
      </c>
      <c r="H2781">
        <v>1</v>
      </c>
      <c r="I2781" t="s">
        <v>3878</v>
      </c>
      <c r="J2781" t="s">
        <v>3497</v>
      </c>
      <c r="K2781" t="s">
        <v>3696</v>
      </c>
      <c r="L2781">
        <v>0</v>
      </c>
      <c r="M2781" s="453">
        <v>-693593</v>
      </c>
      <c r="N2781">
        <v>0</v>
      </c>
      <c r="O2781">
        <v>171.9</v>
      </c>
      <c r="P2781">
        <v>165.45</v>
      </c>
    </row>
    <row r="2782" spans="1:16" x14ac:dyDescent="0.3">
      <c r="A2782">
        <v>36728</v>
      </c>
      <c r="B2782">
        <v>116</v>
      </c>
      <c r="C2782" t="s">
        <v>568</v>
      </c>
      <c r="D2782" s="453">
        <v>45809</v>
      </c>
      <c r="E2782">
        <v>18179</v>
      </c>
      <c r="F2782" t="s">
        <v>3995</v>
      </c>
      <c r="G2782">
        <v>3443</v>
      </c>
      <c r="H2782">
        <v>2</v>
      </c>
      <c r="I2782" t="s">
        <v>3878</v>
      </c>
      <c r="J2782" t="s">
        <v>3497</v>
      </c>
      <c r="K2782" t="s">
        <v>3696</v>
      </c>
      <c r="L2782">
        <v>0</v>
      </c>
      <c r="M2782" s="453">
        <v>45770</v>
      </c>
      <c r="N2782">
        <v>79.900000000000006</v>
      </c>
      <c r="O2782">
        <v>95.28</v>
      </c>
      <c r="P2782">
        <v>159.80000000000001</v>
      </c>
    </row>
    <row r="2783" spans="1:16" x14ac:dyDescent="0.3">
      <c r="A2783">
        <v>36544</v>
      </c>
      <c r="B2783">
        <v>116</v>
      </c>
      <c r="C2783" t="s">
        <v>568</v>
      </c>
      <c r="D2783" s="453">
        <v>45809</v>
      </c>
      <c r="E2783">
        <v>20752</v>
      </c>
      <c r="F2783" t="s">
        <v>3964</v>
      </c>
      <c r="G2783">
        <v>2088</v>
      </c>
      <c r="H2783">
        <v>1.5</v>
      </c>
      <c r="I2783" t="s">
        <v>3886</v>
      </c>
      <c r="J2783" t="s">
        <v>3469</v>
      </c>
      <c r="K2783" t="s">
        <v>3696</v>
      </c>
      <c r="L2783">
        <v>105.54</v>
      </c>
      <c r="M2783" s="453">
        <v>45804</v>
      </c>
      <c r="N2783">
        <v>123.35</v>
      </c>
      <c r="O2783">
        <v>119.76</v>
      </c>
      <c r="P2783">
        <v>158.31</v>
      </c>
    </row>
    <row r="2784" spans="1:16" x14ac:dyDescent="0.3">
      <c r="A2784">
        <v>36731</v>
      </c>
      <c r="B2784">
        <v>116</v>
      </c>
      <c r="C2784" t="s">
        <v>568</v>
      </c>
      <c r="D2784" s="453">
        <v>45809</v>
      </c>
      <c r="E2784">
        <v>18129</v>
      </c>
      <c r="F2784" t="s">
        <v>4092</v>
      </c>
      <c r="G2784">
        <v>3486</v>
      </c>
      <c r="H2784">
        <v>1</v>
      </c>
      <c r="I2784" t="s">
        <v>3878</v>
      </c>
      <c r="J2784" t="s">
        <v>3497</v>
      </c>
      <c r="K2784" t="s">
        <v>3696</v>
      </c>
      <c r="L2784">
        <v>0</v>
      </c>
      <c r="M2784" s="453">
        <v>45770</v>
      </c>
      <c r="N2784">
        <v>156.31</v>
      </c>
      <c r="O2784">
        <v>128.1</v>
      </c>
      <c r="P2784">
        <v>156.31</v>
      </c>
    </row>
    <row r="2785" spans="1:16" x14ac:dyDescent="0.3">
      <c r="A2785">
        <v>36709</v>
      </c>
      <c r="B2785">
        <v>116</v>
      </c>
      <c r="C2785" t="s">
        <v>568</v>
      </c>
      <c r="D2785" s="453">
        <v>45809</v>
      </c>
      <c r="E2785">
        <v>18467</v>
      </c>
      <c r="F2785" t="s">
        <v>4028</v>
      </c>
      <c r="G2785">
        <v>3189</v>
      </c>
      <c r="H2785">
        <v>2</v>
      </c>
      <c r="I2785" t="s">
        <v>3878</v>
      </c>
      <c r="J2785" t="s">
        <v>3497</v>
      </c>
      <c r="K2785" t="s">
        <v>3696</v>
      </c>
      <c r="L2785">
        <v>74.28</v>
      </c>
      <c r="M2785" s="453">
        <v>45797</v>
      </c>
      <c r="N2785">
        <v>78.55</v>
      </c>
      <c r="O2785">
        <v>78.55</v>
      </c>
      <c r="P2785">
        <v>148.56</v>
      </c>
    </row>
    <row r="2786" spans="1:16" x14ac:dyDescent="0.3">
      <c r="A2786">
        <v>36590</v>
      </c>
      <c r="B2786">
        <v>116</v>
      </c>
      <c r="C2786" t="s">
        <v>568</v>
      </c>
      <c r="D2786" s="453">
        <v>45809</v>
      </c>
      <c r="E2786">
        <v>20988</v>
      </c>
      <c r="F2786" t="s">
        <v>4117</v>
      </c>
      <c r="G2786">
        <v>2011</v>
      </c>
      <c r="H2786">
        <v>11</v>
      </c>
      <c r="I2786" t="s">
        <v>3931</v>
      </c>
      <c r="J2786" t="s">
        <v>3469</v>
      </c>
      <c r="K2786" t="s">
        <v>3696</v>
      </c>
      <c r="L2786">
        <v>13.13</v>
      </c>
      <c r="M2786" s="453">
        <v>45803</v>
      </c>
      <c r="N2786">
        <v>7.59</v>
      </c>
      <c r="O2786">
        <v>8.15</v>
      </c>
      <c r="P2786">
        <v>144.43</v>
      </c>
    </row>
    <row r="2787" spans="1:16" x14ac:dyDescent="0.3">
      <c r="A2787">
        <v>36713</v>
      </c>
      <c r="B2787">
        <v>116</v>
      </c>
      <c r="C2787" t="s">
        <v>568</v>
      </c>
      <c r="D2787" s="453">
        <v>45809</v>
      </c>
      <c r="E2787">
        <v>18359</v>
      </c>
      <c r="F2787" t="s">
        <v>4029</v>
      </c>
      <c r="G2787">
        <v>3278</v>
      </c>
      <c r="H2787">
        <v>1.5</v>
      </c>
      <c r="I2787" t="s">
        <v>3878</v>
      </c>
      <c r="J2787" t="s">
        <v>3497</v>
      </c>
      <c r="K2787" t="s">
        <v>3696</v>
      </c>
      <c r="L2787">
        <v>91.53</v>
      </c>
      <c r="M2787" s="453">
        <v>45782</v>
      </c>
      <c r="N2787">
        <v>91.53</v>
      </c>
      <c r="O2787">
        <v>98.47</v>
      </c>
      <c r="P2787">
        <v>137.30000000000001</v>
      </c>
    </row>
    <row r="2788" spans="1:16" x14ac:dyDescent="0.3">
      <c r="A2788">
        <v>36729</v>
      </c>
      <c r="B2788">
        <v>116</v>
      </c>
      <c r="C2788" t="s">
        <v>568</v>
      </c>
      <c r="D2788" s="453">
        <v>45809</v>
      </c>
      <c r="E2788">
        <v>18172</v>
      </c>
      <c r="F2788" t="s">
        <v>3923</v>
      </c>
      <c r="G2788">
        <v>3450</v>
      </c>
      <c r="H2788">
        <v>4.5</v>
      </c>
      <c r="I2788" t="s">
        <v>3878</v>
      </c>
      <c r="J2788" t="s">
        <v>3497</v>
      </c>
      <c r="K2788" t="s">
        <v>3696</v>
      </c>
      <c r="L2788">
        <v>29.6</v>
      </c>
      <c r="M2788" s="453">
        <v>45790</v>
      </c>
      <c r="N2788">
        <v>29.6</v>
      </c>
      <c r="O2788">
        <v>32.64</v>
      </c>
      <c r="P2788">
        <v>133.19999999999999</v>
      </c>
    </row>
    <row r="2789" spans="1:16" x14ac:dyDescent="0.3">
      <c r="A2789">
        <v>36711</v>
      </c>
      <c r="B2789">
        <v>116</v>
      </c>
      <c r="C2789" t="s">
        <v>568</v>
      </c>
      <c r="D2789" s="453">
        <v>45809</v>
      </c>
      <c r="E2789">
        <v>18394</v>
      </c>
      <c r="F2789" t="s">
        <v>4044</v>
      </c>
      <c r="G2789">
        <v>3246</v>
      </c>
      <c r="H2789">
        <v>1</v>
      </c>
      <c r="I2789" t="s">
        <v>3878</v>
      </c>
      <c r="J2789" t="s">
        <v>3497</v>
      </c>
      <c r="K2789" t="s">
        <v>3696</v>
      </c>
      <c r="L2789">
        <v>132.75</v>
      </c>
      <c r="M2789" s="453">
        <v>45790</v>
      </c>
      <c r="N2789">
        <v>132.75</v>
      </c>
      <c r="O2789">
        <v>134</v>
      </c>
      <c r="P2789">
        <v>132.75</v>
      </c>
    </row>
    <row r="2790" spans="1:16" x14ac:dyDescent="0.3">
      <c r="A2790">
        <v>36540</v>
      </c>
      <c r="B2790">
        <v>116</v>
      </c>
      <c r="C2790" t="s">
        <v>568</v>
      </c>
      <c r="D2790" s="453">
        <v>45809</v>
      </c>
      <c r="E2790">
        <v>20304</v>
      </c>
      <c r="F2790" t="s">
        <v>3938</v>
      </c>
      <c r="G2790">
        <v>2223</v>
      </c>
      <c r="H2790">
        <v>4</v>
      </c>
      <c r="I2790" t="s">
        <v>3888</v>
      </c>
      <c r="J2790" t="s">
        <v>3469</v>
      </c>
      <c r="K2790" t="s">
        <v>3696</v>
      </c>
      <c r="L2790">
        <v>33.18</v>
      </c>
      <c r="M2790" s="453">
        <v>45805</v>
      </c>
      <c r="N2790">
        <v>28</v>
      </c>
      <c r="O2790">
        <v>28</v>
      </c>
      <c r="P2790">
        <v>132.72</v>
      </c>
    </row>
    <row r="2791" spans="1:16" x14ac:dyDescent="0.3">
      <c r="A2791">
        <v>36604</v>
      </c>
      <c r="B2791">
        <v>116</v>
      </c>
      <c r="C2791" t="s">
        <v>568</v>
      </c>
      <c r="D2791" s="453">
        <v>45809</v>
      </c>
      <c r="E2791">
        <v>20457</v>
      </c>
      <c r="F2791" t="s">
        <v>3999</v>
      </c>
      <c r="G2791">
        <v>2165</v>
      </c>
      <c r="H2791">
        <v>4</v>
      </c>
      <c r="I2791" t="s">
        <v>3892</v>
      </c>
      <c r="J2791" t="s">
        <v>3469</v>
      </c>
      <c r="K2791" t="s">
        <v>3696</v>
      </c>
      <c r="L2791">
        <v>32.950000000000003</v>
      </c>
      <c r="M2791" s="453">
        <v>45804</v>
      </c>
      <c r="N2791">
        <v>36</v>
      </c>
      <c r="O2791">
        <v>36</v>
      </c>
      <c r="P2791">
        <v>131.80000000000001</v>
      </c>
    </row>
    <row r="2792" spans="1:16" x14ac:dyDescent="0.3">
      <c r="A2792">
        <v>36534</v>
      </c>
      <c r="B2792">
        <v>116</v>
      </c>
      <c r="C2792" t="s">
        <v>568</v>
      </c>
      <c r="D2792" s="453">
        <v>45809</v>
      </c>
      <c r="E2792">
        <v>21166</v>
      </c>
      <c r="F2792" t="s">
        <v>4001</v>
      </c>
      <c r="G2792">
        <v>1940</v>
      </c>
      <c r="H2792">
        <v>3.5</v>
      </c>
      <c r="I2792" t="s">
        <v>3872</v>
      </c>
      <c r="J2792" t="s">
        <v>3469</v>
      </c>
      <c r="K2792" t="s">
        <v>3696</v>
      </c>
      <c r="L2792">
        <v>0</v>
      </c>
      <c r="M2792" s="453">
        <v>45615</v>
      </c>
      <c r="N2792">
        <v>36</v>
      </c>
      <c r="O2792">
        <v>36</v>
      </c>
      <c r="P2792">
        <v>126</v>
      </c>
    </row>
    <row r="2793" spans="1:16" x14ac:dyDescent="0.3">
      <c r="A2793">
        <v>36567</v>
      </c>
      <c r="B2793">
        <v>116</v>
      </c>
      <c r="C2793" t="s">
        <v>568</v>
      </c>
      <c r="D2793" s="453">
        <v>45809</v>
      </c>
      <c r="E2793">
        <v>20234</v>
      </c>
      <c r="F2793" t="s">
        <v>3979</v>
      </c>
      <c r="G2793">
        <v>2245</v>
      </c>
      <c r="H2793">
        <v>6</v>
      </c>
      <c r="I2793" t="s">
        <v>3892</v>
      </c>
      <c r="J2793" t="s">
        <v>3469</v>
      </c>
      <c r="K2793" t="s">
        <v>3696</v>
      </c>
      <c r="L2793">
        <v>20.9</v>
      </c>
      <c r="M2793" s="453">
        <v>45790</v>
      </c>
      <c r="N2793">
        <v>20.9</v>
      </c>
      <c r="O2793">
        <v>20.9</v>
      </c>
      <c r="P2793">
        <v>125.4</v>
      </c>
    </row>
    <row r="2794" spans="1:16" x14ac:dyDescent="0.3">
      <c r="A2794">
        <v>36725</v>
      </c>
      <c r="B2794">
        <v>116</v>
      </c>
      <c r="C2794" t="s">
        <v>568</v>
      </c>
      <c r="D2794" s="453">
        <v>45809</v>
      </c>
      <c r="E2794">
        <v>18232</v>
      </c>
      <c r="F2794" t="s">
        <v>4091</v>
      </c>
      <c r="G2794">
        <v>3396</v>
      </c>
      <c r="H2794">
        <v>1.4</v>
      </c>
      <c r="I2794" t="s">
        <v>3878</v>
      </c>
      <c r="J2794" t="s">
        <v>3497</v>
      </c>
      <c r="K2794" t="s">
        <v>3696</v>
      </c>
      <c r="L2794">
        <v>0</v>
      </c>
      <c r="M2794" s="453">
        <v>45434</v>
      </c>
      <c r="N2794">
        <v>88.9</v>
      </c>
      <c r="O2794">
        <v>100.89</v>
      </c>
      <c r="P2794">
        <v>124.46</v>
      </c>
    </row>
    <row r="2795" spans="1:16" x14ac:dyDescent="0.3">
      <c r="A2795">
        <v>36531</v>
      </c>
      <c r="B2795">
        <v>116</v>
      </c>
      <c r="C2795" t="s">
        <v>568</v>
      </c>
      <c r="D2795" s="453">
        <v>45809</v>
      </c>
      <c r="E2795">
        <v>25767</v>
      </c>
      <c r="F2795" t="s">
        <v>3976</v>
      </c>
      <c r="G2795">
        <v>6316</v>
      </c>
      <c r="H2795">
        <v>2</v>
      </c>
      <c r="I2795" t="s">
        <v>3892</v>
      </c>
      <c r="J2795" t="s">
        <v>3469</v>
      </c>
      <c r="K2795" t="s">
        <v>3696</v>
      </c>
      <c r="L2795">
        <v>0</v>
      </c>
      <c r="M2795" s="453">
        <v>45635</v>
      </c>
      <c r="N2795">
        <v>60</v>
      </c>
      <c r="O2795">
        <v>60</v>
      </c>
      <c r="P2795">
        <v>120</v>
      </c>
    </row>
    <row r="2796" spans="1:16" x14ac:dyDescent="0.3">
      <c r="A2796">
        <v>36688</v>
      </c>
      <c r="B2796">
        <v>116</v>
      </c>
      <c r="C2796" t="s">
        <v>568</v>
      </c>
      <c r="D2796" s="453">
        <v>45809</v>
      </c>
      <c r="E2796">
        <v>22889</v>
      </c>
      <c r="F2796" t="s">
        <v>4466</v>
      </c>
      <c r="G2796">
        <v>2900</v>
      </c>
      <c r="H2796">
        <v>7</v>
      </c>
      <c r="I2796" t="s">
        <v>3892</v>
      </c>
      <c r="J2796" t="s">
        <v>3469</v>
      </c>
      <c r="K2796" t="s">
        <v>3696</v>
      </c>
      <c r="L2796">
        <v>0</v>
      </c>
      <c r="M2796" s="453">
        <v>45674</v>
      </c>
      <c r="N2796">
        <v>17.100000000000001</v>
      </c>
      <c r="O2796">
        <v>17.100000000000001</v>
      </c>
      <c r="P2796">
        <v>119.7</v>
      </c>
    </row>
    <row r="2797" spans="1:16" x14ac:dyDescent="0.3">
      <c r="A2797">
        <v>36601</v>
      </c>
      <c r="B2797">
        <v>116</v>
      </c>
      <c r="C2797" t="s">
        <v>568</v>
      </c>
      <c r="D2797" s="453">
        <v>45809</v>
      </c>
      <c r="E2797">
        <v>19902</v>
      </c>
      <c r="F2797" t="s">
        <v>3909</v>
      </c>
      <c r="G2797">
        <v>2382</v>
      </c>
      <c r="H2797">
        <v>5</v>
      </c>
      <c r="I2797" t="s">
        <v>3881</v>
      </c>
      <c r="J2797" t="s">
        <v>3469</v>
      </c>
      <c r="K2797" t="s">
        <v>3696</v>
      </c>
      <c r="L2797">
        <v>0</v>
      </c>
      <c r="M2797" s="453">
        <v>45727</v>
      </c>
      <c r="N2797">
        <v>23.6</v>
      </c>
      <c r="O2797">
        <v>22.9</v>
      </c>
      <c r="P2797">
        <v>118</v>
      </c>
    </row>
    <row r="2798" spans="1:16" x14ac:dyDescent="0.3">
      <c r="A2798">
        <v>36675</v>
      </c>
      <c r="B2798">
        <v>116</v>
      </c>
      <c r="C2798" t="s">
        <v>568</v>
      </c>
      <c r="D2798" s="453">
        <v>45809</v>
      </c>
      <c r="E2798">
        <v>18933</v>
      </c>
      <c r="F2798" t="s">
        <v>3957</v>
      </c>
      <c r="G2798">
        <v>2930</v>
      </c>
      <c r="H2798">
        <v>5</v>
      </c>
      <c r="I2798" t="s">
        <v>3892</v>
      </c>
      <c r="J2798" t="s">
        <v>3469</v>
      </c>
      <c r="K2798" t="s">
        <v>3696</v>
      </c>
      <c r="L2798">
        <v>23.5</v>
      </c>
      <c r="M2798" s="453">
        <v>45797</v>
      </c>
      <c r="N2798">
        <v>23.5</v>
      </c>
      <c r="O2798">
        <v>27.9</v>
      </c>
      <c r="P2798">
        <v>117.5</v>
      </c>
    </row>
    <row r="2799" spans="1:16" x14ac:dyDescent="0.3">
      <c r="A2799">
        <v>36735</v>
      </c>
      <c r="B2799">
        <v>116</v>
      </c>
      <c r="C2799" t="s">
        <v>568</v>
      </c>
      <c r="D2799" s="453">
        <v>45809</v>
      </c>
      <c r="E2799">
        <v>22108</v>
      </c>
      <c r="F2799" t="s">
        <v>3871</v>
      </c>
      <c r="G2799">
        <v>3609</v>
      </c>
      <c r="H2799">
        <v>82</v>
      </c>
      <c r="I2799" t="s">
        <v>3872</v>
      </c>
      <c r="J2799" t="s">
        <v>3497</v>
      </c>
      <c r="K2799" t="s">
        <v>3696</v>
      </c>
      <c r="L2799">
        <v>0</v>
      </c>
      <c r="M2799" s="453">
        <v>45670</v>
      </c>
      <c r="N2799">
        <v>1.42</v>
      </c>
      <c r="O2799">
        <v>1.85</v>
      </c>
      <c r="P2799">
        <v>116.85</v>
      </c>
    </row>
    <row r="2800" spans="1:16" x14ac:dyDescent="0.3">
      <c r="A2800">
        <v>36578</v>
      </c>
      <c r="B2800">
        <v>116</v>
      </c>
      <c r="C2800" t="s">
        <v>568</v>
      </c>
      <c r="D2800" s="453">
        <v>45809</v>
      </c>
      <c r="E2800">
        <v>20007</v>
      </c>
      <c r="F2800" t="s">
        <v>4009</v>
      </c>
      <c r="G2800">
        <v>2343</v>
      </c>
      <c r="H2800">
        <v>2.5</v>
      </c>
      <c r="I2800" t="s">
        <v>3966</v>
      </c>
      <c r="J2800" t="s">
        <v>3469</v>
      </c>
      <c r="K2800" t="s">
        <v>3696</v>
      </c>
      <c r="L2800">
        <v>46</v>
      </c>
      <c r="M2800" s="453">
        <v>45803</v>
      </c>
      <c r="N2800">
        <v>46.98</v>
      </c>
      <c r="O2800">
        <v>46.18</v>
      </c>
      <c r="P2800">
        <v>115</v>
      </c>
    </row>
    <row r="2801" spans="1:16" x14ac:dyDescent="0.3">
      <c r="A2801">
        <v>36673</v>
      </c>
      <c r="B2801">
        <v>116</v>
      </c>
      <c r="C2801" t="s">
        <v>568</v>
      </c>
      <c r="D2801" s="453">
        <v>45809</v>
      </c>
      <c r="E2801">
        <v>18702</v>
      </c>
      <c r="F2801" t="s">
        <v>4043</v>
      </c>
      <c r="G2801">
        <v>3033</v>
      </c>
      <c r="H2801">
        <v>3.4</v>
      </c>
      <c r="I2801" t="s">
        <v>3892</v>
      </c>
      <c r="J2801" t="s">
        <v>3469</v>
      </c>
      <c r="K2801" t="s">
        <v>3696</v>
      </c>
      <c r="L2801">
        <v>33.75</v>
      </c>
      <c r="M2801" s="453">
        <v>45804</v>
      </c>
      <c r="N2801">
        <v>33.75</v>
      </c>
      <c r="O2801">
        <v>33.75</v>
      </c>
      <c r="P2801">
        <v>114.75</v>
      </c>
    </row>
    <row r="2802" spans="1:16" x14ac:dyDescent="0.3">
      <c r="A2802">
        <v>36730</v>
      </c>
      <c r="B2802">
        <v>116</v>
      </c>
      <c r="C2802" t="s">
        <v>568</v>
      </c>
      <c r="D2802" s="453">
        <v>45809</v>
      </c>
      <c r="E2802">
        <v>18146</v>
      </c>
      <c r="F2802" t="s">
        <v>4100</v>
      </c>
      <c r="G2802">
        <v>3471</v>
      </c>
      <c r="H2802">
        <v>1</v>
      </c>
      <c r="I2802" t="s">
        <v>3878</v>
      </c>
      <c r="J2802" t="s">
        <v>3497</v>
      </c>
      <c r="K2802" t="s">
        <v>3696</v>
      </c>
      <c r="L2802">
        <v>114.32</v>
      </c>
      <c r="M2802" s="453">
        <v>45782</v>
      </c>
      <c r="N2802">
        <v>114.32</v>
      </c>
      <c r="O2802">
        <v>0</v>
      </c>
      <c r="P2802">
        <v>114.32</v>
      </c>
    </row>
    <row r="2803" spans="1:16" x14ac:dyDescent="0.3">
      <c r="A2803">
        <v>36605</v>
      </c>
      <c r="B2803">
        <v>116</v>
      </c>
      <c r="C2803" t="s">
        <v>568</v>
      </c>
      <c r="D2803" s="453">
        <v>45809</v>
      </c>
      <c r="E2803">
        <v>20456</v>
      </c>
      <c r="F2803" t="s">
        <v>4000</v>
      </c>
      <c r="G2803">
        <v>2166</v>
      </c>
      <c r="H2803">
        <v>2.9</v>
      </c>
      <c r="I2803" t="s">
        <v>3892</v>
      </c>
      <c r="J2803" t="s">
        <v>3469</v>
      </c>
      <c r="K2803" t="s">
        <v>3696</v>
      </c>
      <c r="L2803">
        <v>39</v>
      </c>
      <c r="M2803" s="453">
        <v>45804</v>
      </c>
      <c r="N2803">
        <v>39</v>
      </c>
      <c r="O2803">
        <v>39</v>
      </c>
      <c r="P2803">
        <v>113.1</v>
      </c>
    </row>
    <row r="2804" spans="1:16" x14ac:dyDescent="0.3">
      <c r="A2804">
        <v>36545</v>
      </c>
      <c r="B2804">
        <v>116</v>
      </c>
      <c r="C2804" t="s">
        <v>568</v>
      </c>
      <c r="D2804" s="453">
        <v>45809</v>
      </c>
      <c r="E2804">
        <v>20729</v>
      </c>
      <c r="F2804" t="s">
        <v>3965</v>
      </c>
      <c r="G2804">
        <v>2093</v>
      </c>
      <c r="H2804">
        <v>2</v>
      </c>
      <c r="I2804" t="s">
        <v>3966</v>
      </c>
      <c r="J2804" t="s">
        <v>3469</v>
      </c>
      <c r="K2804" t="s">
        <v>3696</v>
      </c>
      <c r="L2804">
        <v>55.41</v>
      </c>
      <c r="M2804" s="453">
        <v>45803</v>
      </c>
      <c r="N2804">
        <v>55.75</v>
      </c>
      <c r="O2804">
        <v>55.98</v>
      </c>
      <c r="P2804">
        <v>110.82</v>
      </c>
    </row>
    <row r="2805" spans="1:16" x14ac:dyDescent="0.3">
      <c r="A2805">
        <v>36697</v>
      </c>
      <c r="B2805">
        <v>116</v>
      </c>
      <c r="C2805" t="s">
        <v>568</v>
      </c>
      <c r="D2805" s="453">
        <v>45809</v>
      </c>
      <c r="E2805">
        <v>18589</v>
      </c>
      <c r="F2805" t="s">
        <v>4234</v>
      </c>
      <c r="G2805">
        <v>3103</v>
      </c>
      <c r="H2805">
        <v>1</v>
      </c>
      <c r="I2805" t="s">
        <v>3888</v>
      </c>
      <c r="J2805" t="s">
        <v>3497</v>
      </c>
      <c r="K2805" t="s">
        <v>3696</v>
      </c>
      <c r="L2805">
        <v>110.64</v>
      </c>
      <c r="M2805" s="453">
        <v>45789</v>
      </c>
      <c r="N2805">
        <v>110.64</v>
      </c>
      <c r="O2805">
        <v>110.64</v>
      </c>
      <c r="P2805">
        <v>110.64</v>
      </c>
    </row>
    <row r="2806" spans="1:16" x14ac:dyDescent="0.3">
      <c r="A2806">
        <v>36671</v>
      </c>
      <c r="B2806">
        <v>116</v>
      </c>
      <c r="C2806" t="s">
        <v>568</v>
      </c>
      <c r="D2806" s="453">
        <v>45809</v>
      </c>
      <c r="E2806">
        <v>19139</v>
      </c>
      <c r="F2806" t="s">
        <v>3887</v>
      </c>
      <c r="G2806">
        <v>2836</v>
      </c>
      <c r="H2806">
        <v>12</v>
      </c>
      <c r="I2806" t="s">
        <v>3888</v>
      </c>
      <c r="J2806" t="s">
        <v>3469</v>
      </c>
      <c r="K2806" t="s">
        <v>3696</v>
      </c>
      <c r="L2806">
        <v>9.1</v>
      </c>
      <c r="M2806" s="453">
        <v>45805</v>
      </c>
      <c r="N2806">
        <v>9.1</v>
      </c>
      <c r="O2806">
        <v>9.1</v>
      </c>
      <c r="P2806">
        <v>109.2</v>
      </c>
    </row>
    <row r="2807" spans="1:16" x14ac:dyDescent="0.3">
      <c r="A2807">
        <v>36744</v>
      </c>
      <c r="B2807">
        <v>116</v>
      </c>
      <c r="C2807" t="s">
        <v>568</v>
      </c>
      <c r="D2807" s="453">
        <v>45809</v>
      </c>
      <c r="E2807">
        <v>22044</v>
      </c>
      <c r="F2807" t="s">
        <v>3928</v>
      </c>
      <c r="G2807">
        <v>3656</v>
      </c>
      <c r="H2807">
        <v>49</v>
      </c>
      <c r="I2807" t="s">
        <v>3872</v>
      </c>
      <c r="J2807" t="s">
        <v>3497</v>
      </c>
      <c r="K2807" t="s">
        <v>3696</v>
      </c>
      <c r="L2807">
        <v>0</v>
      </c>
      <c r="M2807" s="453">
        <v>45677</v>
      </c>
      <c r="N2807">
        <v>2.19</v>
      </c>
      <c r="O2807">
        <v>2.04</v>
      </c>
      <c r="P2807">
        <v>107.31</v>
      </c>
    </row>
    <row r="2808" spans="1:16" x14ac:dyDescent="0.3">
      <c r="A2808">
        <v>36719</v>
      </c>
      <c r="B2808">
        <v>116</v>
      </c>
      <c r="C2808" t="s">
        <v>568</v>
      </c>
      <c r="D2808" s="453">
        <v>45809</v>
      </c>
      <c r="E2808">
        <v>18312</v>
      </c>
      <c r="F2808" t="s">
        <v>4089</v>
      </c>
      <c r="G2808">
        <v>3321</v>
      </c>
      <c r="H2808">
        <v>1</v>
      </c>
      <c r="I2808" t="s">
        <v>3878</v>
      </c>
      <c r="J2808" t="s">
        <v>3497</v>
      </c>
      <c r="K2808" t="s">
        <v>3696</v>
      </c>
      <c r="L2808">
        <v>105.9</v>
      </c>
      <c r="M2808" s="453">
        <v>45793</v>
      </c>
      <c r="N2808">
        <v>105.9</v>
      </c>
      <c r="O2808">
        <v>105.9</v>
      </c>
      <c r="P2808">
        <v>105.9</v>
      </c>
    </row>
    <row r="2809" spans="1:16" x14ac:dyDescent="0.3">
      <c r="A2809">
        <v>36714</v>
      </c>
      <c r="B2809">
        <v>116</v>
      </c>
      <c r="C2809" t="s">
        <v>568</v>
      </c>
      <c r="D2809" s="453">
        <v>45809</v>
      </c>
      <c r="E2809">
        <v>18327</v>
      </c>
      <c r="F2809" t="s">
        <v>4087</v>
      </c>
      <c r="G2809">
        <v>3306</v>
      </c>
      <c r="H2809">
        <v>1</v>
      </c>
      <c r="I2809" t="s">
        <v>3878</v>
      </c>
      <c r="J2809" t="s">
        <v>3497</v>
      </c>
      <c r="K2809" t="s">
        <v>3696</v>
      </c>
      <c r="L2809">
        <v>105</v>
      </c>
      <c r="M2809" s="453">
        <v>45790</v>
      </c>
      <c r="N2809">
        <v>105</v>
      </c>
      <c r="O2809">
        <v>107</v>
      </c>
      <c r="P2809">
        <v>105</v>
      </c>
    </row>
    <row r="2810" spans="1:16" x14ac:dyDescent="0.3">
      <c r="A2810">
        <v>36592</v>
      </c>
      <c r="B2810">
        <v>116</v>
      </c>
      <c r="C2810" t="s">
        <v>568</v>
      </c>
      <c r="D2810" s="453">
        <v>45809</v>
      </c>
      <c r="E2810">
        <v>20624</v>
      </c>
      <c r="F2810" t="s">
        <v>3982</v>
      </c>
      <c r="G2810">
        <v>2116</v>
      </c>
      <c r="H2810">
        <v>1.5</v>
      </c>
      <c r="I2810" t="s">
        <v>3966</v>
      </c>
      <c r="J2810" t="s">
        <v>3469</v>
      </c>
      <c r="K2810" t="s">
        <v>3696</v>
      </c>
      <c r="L2810">
        <v>69.92</v>
      </c>
      <c r="M2810" s="453">
        <v>45804</v>
      </c>
      <c r="N2810">
        <v>69.900000000000006</v>
      </c>
      <c r="O2810">
        <v>69.900000000000006</v>
      </c>
      <c r="P2810">
        <v>104.88</v>
      </c>
    </row>
    <row r="2811" spans="1:16" x14ac:dyDescent="0.3">
      <c r="A2811">
        <v>36726</v>
      </c>
      <c r="B2811">
        <v>116</v>
      </c>
      <c r="C2811" t="s">
        <v>568</v>
      </c>
      <c r="D2811" s="453">
        <v>45809</v>
      </c>
      <c r="E2811">
        <v>18220</v>
      </c>
      <c r="F2811" t="s">
        <v>4479</v>
      </c>
      <c r="G2811">
        <v>3408</v>
      </c>
      <c r="H2811">
        <v>1</v>
      </c>
      <c r="I2811" t="s">
        <v>3878</v>
      </c>
      <c r="J2811" t="s">
        <v>3497</v>
      </c>
      <c r="K2811" t="s">
        <v>3696</v>
      </c>
      <c r="L2811">
        <v>0</v>
      </c>
      <c r="M2811" s="453">
        <v>-693593</v>
      </c>
      <c r="N2811">
        <v>0</v>
      </c>
      <c r="O2811">
        <v>94</v>
      </c>
      <c r="P2811">
        <v>100.88</v>
      </c>
    </row>
    <row r="2812" spans="1:16" x14ac:dyDescent="0.3">
      <c r="A2812">
        <v>36749</v>
      </c>
      <c r="B2812">
        <v>116</v>
      </c>
      <c r="C2812" t="s">
        <v>568</v>
      </c>
      <c r="D2812" s="453">
        <v>45809</v>
      </c>
      <c r="E2812">
        <v>24467</v>
      </c>
      <c r="F2812" t="s">
        <v>3944</v>
      </c>
      <c r="G2812">
        <v>3673</v>
      </c>
      <c r="H2812">
        <v>49</v>
      </c>
      <c r="I2812" t="s">
        <v>3872</v>
      </c>
      <c r="J2812" t="s">
        <v>3497</v>
      </c>
      <c r="K2812" t="s">
        <v>3696</v>
      </c>
      <c r="L2812">
        <v>0</v>
      </c>
      <c r="M2812" s="453">
        <v>45510</v>
      </c>
      <c r="N2812">
        <v>1.99</v>
      </c>
      <c r="O2812">
        <v>2.19</v>
      </c>
      <c r="P2812">
        <v>97.51</v>
      </c>
    </row>
    <row r="2813" spans="1:16" x14ac:dyDescent="0.3">
      <c r="A2813">
        <v>36634</v>
      </c>
      <c r="B2813">
        <v>116</v>
      </c>
      <c r="C2813" t="s">
        <v>568</v>
      </c>
      <c r="D2813" s="453">
        <v>45809</v>
      </c>
      <c r="E2813">
        <v>19756</v>
      </c>
      <c r="F2813" t="s">
        <v>4220</v>
      </c>
      <c r="G2813">
        <v>2497</v>
      </c>
      <c r="H2813">
        <v>23</v>
      </c>
      <c r="I2813" t="s">
        <v>3892</v>
      </c>
      <c r="J2813" t="s">
        <v>3469</v>
      </c>
      <c r="K2813" t="s">
        <v>3696</v>
      </c>
      <c r="L2813">
        <v>3.99</v>
      </c>
      <c r="M2813" s="453">
        <v>45806</v>
      </c>
      <c r="N2813">
        <v>3.5</v>
      </c>
      <c r="O2813">
        <v>4</v>
      </c>
      <c r="P2813">
        <v>91.77</v>
      </c>
    </row>
    <row r="2814" spans="1:16" x14ac:dyDescent="0.3">
      <c r="A2814">
        <v>36543</v>
      </c>
      <c r="B2814">
        <v>116</v>
      </c>
      <c r="C2814" t="s">
        <v>568</v>
      </c>
      <c r="D2814" s="453">
        <v>45809</v>
      </c>
      <c r="E2814">
        <v>20755</v>
      </c>
      <c r="F2814" t="s">
        <v>4052</v>
      </c>
      <c r="G2814">
        <v>2087</v>
      </c>
      <c r="H2814">
        <v>1.5</v>
      </c>
      <c r="I2814" t="s">
        <v>3966</v>
      </c>
      <c r="J2814" t="s">
        <v>3469</v>
      </c>
      <c r="K2814" t="s">
        <v>3696</v>
      </c>
      <c r="L2814">
        <v>0</v>
      </c>
      <c r="M2814" s="453">
        <v>45497</v>
      </c>
      <c r="N2814">
        <v>60</v>
      </c>
      <c r="O2814">
        <v>104.99</v>
      </c>
      <c r="P2814">
        <v>90</v>
      </c>
    </row>
    <row r="2815" spans="1:16" x14ac:dyDescent="0.3">
      <c r="A2815">
        <v>36724</v>
      </c>
      <c r="B2815">
        <v>116</v>
      </c>
      <c r="C2815" t="s">
        <v>568</v>
      </c>
      <c r="D2815" s="453">
        <v>45809</v>
      </c>
      <c r="E2815">
        <v>18233</v>
      </c>
      <c r="F2815" t="s">
        <v>4090</v>
      </c>
      <c r="G2815">
        <v>3395</v>
      </c>
      <c r="H2815">
        <v>1</v>
      </c>
      <c r="I2815" t="s">
        <v>3878</v>
      </c>
      <c r="J2815" t="s">
        <v>3497</v>
      </c>
      <c r="K2815" t="s">
        <v>3696</v>
      </c>
      <c r="L2815">
        <v>0</v>
      </c>
      <c r="M2815" s="453">
        <v>45664</v>
      </c>
      <c r="N2815">
        <v>88.9</v>
      </c>
      <c r="O2815">
        <v>100.88</v>
      </c>
      <c r="P2815">
        <v>88.9</v>
      </c>
    </row>
    <row r="2816" spans="1:16" x14ac:dyDescent="0.3">
      <c r="A2816">
        <v>36737</v>
      </c>
      <c r="B2816">
        <v>116</v>
      </c>
      <c r="C2816" t="s">
        <v>568</v>
      </c>
      <c r="D2816" s="453">
        <v>45809</v>
      </c>
      <c r="E2816">
        <v>24029</v>
      </c>
      <c r="F2816" t="s">
        <v>3875</v>
      </c>
      <c r="G2816">
        <v>3591</v>
      </c>
      <c r="H2816">
        <v>44</v>
      </c>
      <c r="I2816" t="s">
        <v>3872</v>
      </c>
      <c r="J2816" t="s">
        <v>3497</v>
      </c>
      <c r="K2816" t="s">
        <v>3696</v>
      </c>
      <c r="L2816">
        <v>0</v>
      </c>
      <c r="M2816" s="453">
        <v>45537</v>
      </c>
      <c r="N2816">
        <v>1.99</v>
      </c>
      <c r="O2816">
        <v>2.19</v>
      </c>
      <c r="P2816">
        <v>87.56</v>
      </c>
    </row>
    <row r="2817" spans="1:16" x14ac:dyDescent="0.3">
      <c r="A2817">
        <v>36703</v>
      </c>
      <c r="B2817">
        <v>116</v>
      </c>
      <c r="C2817" t="s">
        <v>568</v>
      </c>
      <c r="D2817" s="453">
        <v>45809</v>
      </c>
      <c r="E2817">
        <v>18534</v>
      </c>
      <c r="F2817" t="s">
        <v>4084</v>
      </c>
      <c r="G2817">
        <v>3143</v>
      </c>
      <c r="H2817">
        <v>1</v>
      </c>
      <c r="I2817" t="s">
        <v>3878</v>
      </c>
      <c r="J2817" t="s">
        <v>3497</v>
      </c>
      <c r="K2817" t="s">
        <v>3696</v>
      </c>
      <c r="L2817">
        <v>0</v>
      </c>
      <c r="M2817" s="453">
        <v>-693593</v>
      </c>
      <c r="N2817">
        <v>0</v>
      </c>
      <c r="O2817">
        <v>76.44</v>
      </c>
      <c r="P2817">
        <v>86.89</v>
      </c>
    </row>
    <row r="2818" spans="1:16" x14ac:dyDescent="0.3">
      <c r="A2818">
        <v>36740</v>
      </c>
      <c r="B2818">
        <v>116</v>
      </c>
      <c r="C2818" t="s">
        <v>568</v>
      </c>
      <c r="D2818" s="453">
        <v>45809</v>
      </c>
      <c r="E2818">
        <v>17914</v>
      </c>
      <c r="F2818" t="s">
        <v>3997</v>
      </c>
      <c r="G2818">
        <v>3649</v>
      </c>
      <c r="H2818">
        <v>3</v>
      </c>
      <c r="I2818" t="s">
        <v>3888</v>
      </c>
      <c r="J2818" t="s">
        <v>3497</v>
      </c>
      <c r="K2818" t="s">
        <v>3696</v>
      </c>
      <c r="L2818">
        <v>27.96</v>
      </c>
      <c r="M2818" s="453">
        <v>45782</v>
      </c>
      <c r="N2818">
        <v>27.96</v>
      </c>
      <c r="O2818">
        <v>27.96</v>
      </c>
      <c r="P2818">
        <v>83.88</v>
      </c>
    </row>
    <row r="2819" spans="1:16" x14ac:dyDescent="0.3">
      <c r="A2819">
        <v>36556</v>
      </c>
      <c r="B2819">
        <v>116</v>
      </c>
      <c r="C2819" t="s">
        <v>568</v>
      </c>
      <c r="D2819" s="453">
        <v>45809</v>
      </c>
      <c r="E2819">
        <v>20549</v>
      </c>
      <c r="F2819" t="s">
        <v>4007</v>
      </c>
      <c r="G2819">
        <v>2141</v>
      </c>
      <c r="H2819">
        <v>3.5</v>
      </c>
      <c r="I2819" t="s">
        <v>3892</v>
      </c>
      <c r="J2819" t="s">
        <v>3469</v>
      </c>
      <c r="K2819" t="s">
        <v>3696</v>
      </c>
      <c r="L2819">
        <v>23.94</v>
      </c>
      <c r="M2819" s="453">
        <v>45804</v>
      </c>
      <c r="N2819">
        <v>22.5</v>
      </c>
      <c r="O2819">
        <v>19.989999999999998</v>
      </c>
      <c r="P2819">
        <v>83.79</v>
      </c>
    </row>
    <row r="2820" spans="1:16" x14ac:dyDescent="0.3">
      <c r="A2820">
        <v>36717</v>
      </c>
      <c r="B2820">
        <v>116</v>
      </c>
      <c r="C2820" t="s">
        <v>568</v>
      </c>
      <c r="D2820" s="453">
        <v>45809</v>
      </c>
      <c r="E2820">
        <v>18315</v>
      </c>
      <c r="F2820" t="s">
        <v>4088</v>
      </c>
      <c r="G2820">
        <v>3318</v>
      </c>
      <c r="H2820">
        <v>1</v>
      </c>
      <c r="I2820" t="s">
        <v>3878</v>
      </c>
      <c r="J2820" t="s">
        <v>3497</v>
      </c>
      <c r="K2820" t="s">
        <v>3696</v>
      </c>
      <c r="L2820">
        <v>82.95</v>
      </c>
      <c r="M2820" s="453">
        <v>45793</v>
      </c>
      <c r="N2820">
        <v>37.9</v>
      </c>
      <c r="O2820">
        <v>137.9</v>
      </c>
      <c r="P2820">
        <v>82.95</v>
      </c>
    </row>
    <row r="2821" spans="1:16" x14ac:dyDescent="0.3">
      <c r="A2821">
        <v>36563</v>
      </c>
      <c r="B2821">
        <v>116</v>
      </c>
      <c r="C2821" t="s">
        <v>568</v>
      </c>
      <c r="D2821" s="453">
        <v>45809</v>
      </c>
      <c r="E2821">
        <v>20250</v>
      </c>
      <c r="F2821" t="s">
        <v>4008</v>
      </c>
      <c r="G2821">
        <v>2241</v>
      </c>
      <c r="H2821">
        <v>2</v>
      </c>
      <c r="I2821" t="s">
        <v>3888</v>
      </c>
      <c r="J2821" t="s">
        <v>3469</v>
      </c>
      <c r="K2821" t="s">
        <v>3696</v>
      </c>
      <c r="L2821">
        <v>41</v>
      </c>
      <c r="M2821" s="453">
        <v>45782</v>
      </c>
      <c r="N2821">
        <v>41</v>
      </c>
      <c r="O2821">
        <v>40.200000000000003</v>
      </c>
      <c r="P2821">
        <v>82</v>
      </c>
    </row>
    <row r="2822" spans="1:16" x14ac:dyDescent="0.3">
      <c r="A2822">
        <v>36732</v>
      </c>
      <c r="B2822">
        <v>116</v>
      </c>
      <c r="C2822" t="s">
        <v>568</v>
      </c>
      <c r="D2822" s="453">
        <v>45809</v>
      </c>
      <c r="E2822">
        <v>18111</v>
      </c>
      <c r="F2822" t="s">
        <v>4047</v>
      </c>
      <c r="G2822">
        <v>3500</v>
      </c>
      <c r="H2822">
        <v>1</v>
      </c>
      <c r="I2822" t="s">
        <v>3878</v>
      </c>
      <c r="J2822" t="s">
        <v>3497</v>
      </c>
      <c r="K2822" t="s">
        <v>3696</v>
      </c>
      <c r="L2822">
        <v>0</v>
      </c>
      <c r="M2822" s="453">
        <v>45776</v>
      </c>
      <c r="N2822">
        <v>79.900000000000006</v>
      </c>
      <c r="O2822">
        <v>93.41</v>
      </c>
      <c r="P2822">
        <v>79.900000000000006</v>
      </c>
    </row>
    <row r="2823" spans="1:16" x14ac:dyDescent="0.3">
      <c r="A2823">
        <v>36653</v>
      </c>
      <c r="B2823">
        <v>116</v>
      </c>
      <c r="C2823" t="s">
        <v>568</v>
      </c>
      <c r="D2823" s="453">
        <v>45809</v>
      </c>
      <c r="E2823">
        <v>19565</v>
      </c>
      <c r="F2823" t="s">
        <v>3987</v>
      </c>
      <c r="G2823">
        <v>2652</v>
      </c>
      <c r="H2823">
        <v>2</v>
      </c>
      <c r="I2823" t="s">
        <v>3892</v>
      </c>
      <c r="J2823" t="s">
        <v>3469</v>
      </c>
      <c r="K2823" t="s">
        <v>3696</v>
      </c>
      <c r="L2823">
        <v>0</v>
      </c>
      <c r="M2823" s="453">
        <v>45754</v>
      </c>
      <c r="N2823">
        <v>39</v>
      </c>
      <c r="O2823">
        <v>38</v>
      </c>
      <c r="P2823">
        <v>78</v>
      </c>
    </row>
    <row r="2824" spans="1:16" x14ac:dyDescent="0.3">
      <c r="A2824">
        <v>36559</v>
      </c>
      <c r="B2824">
        <v>116</v>
      </c>
      <c r="C2824" t="s">
        <v>568</v>
      </c>
      <c r="D2824" s="453">
        <v>45809</v>
      </c>
      <c r="E2824">
        <v>25167</v>
      </c>
      <c r="F2824" t="s">
        <v>3951</v>
      </c>
      <c r="G2824">
        <v>5930</v>
      </c>
      <c r="H2824">
        <v>6</v>
      </c>
      <c r="I2824" t="s">
        <v>3892</v>
      </c>
      <c r="J2824" t="s">
        <v>3469</v>
      </c>
      <c r="K2824" t="s">
        <v>3696</v>
      </c>
      <c r="L2824">
        <v>0</v>
      </c>
      <c r="M2824" s="453">
        <v>45790</v>
      </c>
      <c r="N2824">
        <v>0</v>
      </c>
      <c r="O2824">
        <v>7.9</v>
      </c>
      <c r="P2824">
        <v>77.040000000000006</v>
      </c>
    </row>
    <row r="2825" spans="1:16" x14ac:dyDescent="0.3">
      <c r="A2825">
        <v>36648</v>
      </c>
      <c r="B2825">
        <v>116</v>
      </c>
      <c r="C2825" t="s">
        <v>568</v>
      </c>
      <c r="D2825" s="453">
        <v>45809</v>
      </c>
      <c r="E2825">
        <v>19579</v>
      </c>
      <c r="F2825" t="s">
        <v>4020</v>
      </c>
      <c r="G2825">
        <v>2640</v>
      </c>
      <c r="H2825">
        <v>1.5</v>
      </c>
      <c r="I2825" t="s">
        <v>3892</v>
      </c>
      <c r="J2825" t="s">
        <v>3469</v>
      </c>
      <c r="K2825" t="s">
        <v>3696</v>
      </c>
      <c r="L2825">
        <v>0</v>
      </c>
      <c r="M2825" s="453">
        <v>45754</v>
      </c>
      <c r="N2825">
        <v>50</v>
      </c>
      <c r="O2825">
        <v>50</v>
      </c>
      <c r="P2825">
        <v>75</v>
      </c>
    </row>
    <row r="2826" spans="1:16" x14ac:dyDescent="0.3">
      <c r="A2826">
        <v>36708</v>
      </c>
      <c r="B2826">
        <v>116</v>
      </c>
      <c r="C2826" t="s">
        <v>568</v>
      </c>
      <c r="D2826" s="453">
        <v>45809</v>
      </c>
      <c r="E2826">
        <v>18447</v>
      </c>
      <c r="F2826" t="s">
        <v>4027</v>
      </c>
      <c r="G2826">
        <v>3204</v>
      </c>
      <c r="H2826">
        <v>6</v>
      </c>
      <c r="I2826" t="s">
        <v>3878</v>
      </c>
      <c r="J2826" t="s">
        <v>3497</v>
      </c>
      <c r="K2826" t="s">
        <v>3696</v>
      </c>
      <c r="L2826">
        <v>0</v>
      </c>
      <c r="M2826" s="453">
        <v>45770</v>
      </c>
      <c r="N2826">
        <v>12.34</v>
      </c>
      <c r="O2826">
        <v>12.34</v>
      </c>
      <c r="P2826">
        <v>74.040000000000006</v>
      </c>
    </row>
    <row r="2827" spans="1:16" x14ac:dyDescent="0.3">
      <c r="A2827">
        <v>36597</v>
      </c>
      <c r="B2827">
        <v>116</v>
      </c>
      <c r="C2827" t="s">
        <v>568</v>
      </c>
      <c r="D2827" s="453">
        <v>45809</v>
      </c>
      <c r="E2827">
        <v>19922</v>
      </c>
      <c r="F2827" t="s">
        <v>4480</v>
      </c>
      <c r="G2827">
        <v>2375</v>
      </c>
      <c r="H2827">
        <v>1</v>
      </c>
      <c r="I2827" t="s">
        <v>3888</v>
      </c>
      <c r="J2827" t="s">
        <v>3469</v>
      </c>
      <c r="K2827" t="s">
        <v>3696</v>
      </c>
      <c r="L2827">
        <v>0</v>
      </c>
      <c r="M2827" s="453">
        <v>-693593</v>
      </c>
      <c r="N2827">
        <v>0</v>
      </c>
      <c r="O2827">
        <v>73.430000000000007</v>
      </c>
      <c r="P2827">
        <v>73.430000000000007</v>
      </c>
    </row>
    <row r="2828" spans="1:16" x14ac:dyDescent="0.3">
      <c r="A2828">
        <v>36746</v>
      </c>
      <c r="B2828">
        <v>116</v>
      </c>
      <c r="C2828" t="s">
        <v>568</v>
      </c>
      <c r="D2828" s="453">
        <v>45809</v>
      </c>
      <c r="E2828">
        <v>17896</v>
      </c>
      <c r="F2828" t="s">
        <v>3972</v>
      </c>
      <c r="G2828">
        <v>3664</v>
      </c>
      <c r="H2828">
        <v>2</v>
      </c>
      <c r="I2828" t="s">
        <v>3888</v>
      </c>
      <c r="J2828" t="s">
        <v>3497</v>
      </c>
      <c r="K2828" t="s">
        <v>3696</v>
      </c>
      <c r="L2828">
        <v>35.76</v>
      </c>
      <c r="M2828" s="453">
        <v>45806</v>
      </c>
      <c r="N2828">
        <v>35.76</v>
      </c>
      <c r="O2828">
        <v>35.76</v>
      </c>
      <c r="P2828">
        <v>71.52</v>
      </c>
    </row>
    <row r="2829" spans="1:16" x14ac:dyDescent="0.3">
      <c r="A2829">
        <v>36550</v>
      </c>
      <c r="B2829">
        <v>116</v>
      </c>
      <c r="C2829" t="s">
        <v>568</v>
      </c>
      <c r="D2829" s="453">
        <v>45809</v>
      </c>
      <c r="E2829">
        <v>26193</v>
      </c>
      <c r="F2829" t="s">
        <v>3950</v>
      </c>
      <c r="G2829">
        <v>6616</v>
      </c>
      <c r="H2829">
        <v>6</v>
      </c>
      <c r="I2829" t="s">
        <v>3872</v>
      </c>
      <c r="J2829" t="s">
        <v>3469</v>
      </c>
      <c r="K2829" t="s">
        <v>3696</v>
      </c>
      <c r="L2829">
        <v>0</v>
      </c>
      <c r="M2829" s="453">
        <v>-693593</v>
      </c>
      <c r="N2829">
        <v>0</v>
      </c>
      <c r="O2829">
        <v>12.3</v>
      </c>
      <c r="P2829">
        <v>71.099999999999994</v>
      </c>
    </row>
    <row r="2830" spans="1:16" x14ac:dyDescent="0.3">
      <c r="A2830">
        <v>36598</v>
      </c>
      <c r="B2830">
        <v>116</v>
      </c>
      <c r="C2830" t="s">
        <v>568</v>
      </c>
      <c r="D2830" s="453">
        <v>45809</v>
      </c>
      <c r="E2830">
        <v>20487</v>
      </c>
      <c r="F2830" t="s">
        <v>4310</v>
      </c>
      <c r="G2830">
        <v>2157</v>
      </c>
      <c r="H2830">
        <v>2.5</v>
      </c>
      <c r="I2830" t="s">
        <v>3892</v>
      </c>
      <c r="J2830" t="s">
        <v>3469</v>
      </c>
      <c r="K2830" t="s">
        <v>3696</v>
      </c>
      <c r="L2830">
        <v>28.44</v>
      </c>
      <c r="M2830" s="453">
        <v>45805</v>
      </c>
      <c r="N2830">
        <v>26.9</v>
      </c>
      <c r="O2830">
        <v>26.9</v>
      </c>
      <c r="P2830">
        <v>71.099999999999994</v>
      </c>
    </row>
    <row r="2831" spans="1:16" x14ac:dyDescent="0.3">
      <c r="A2831">
        <v>36548</v>
      </c>
      <c r="B2831">
        <v>116</v>
      </c>
      <c r="C2831" t="s">
        <v>568</v>
      </c>
      <c r="D2831" s="453">
        <v>45809</v>
      </c>
      <c r="E2831">
        <v>20809</v>
      </c>
      <c r="F2831" t="s">
        <v>4005</v>
      </c>
      <c r="G2831">
        <v>2074</v>
      </c>
      <c r="H2831">
        <v>2</v>
      </c>
      <c r="I2831" t="s">
        <v>3888</v>
      </c>
      <c r="J2831" t="s">
        <v>3469</v>
      </c>
      <c r="K2831" t="s">
        <v>3696</v>
      </c>
      <c r="L2831">
        <v>35.520000000000003</v>
      </c>
      <c r="M2831" s="453">
        <v>45803</v>
      </c>
      <c r="N2831">
        <v>36</v>
      </c>
      <c r="O2831">
        <v>33.770000000000003</v>
      </c>
      <c r="P2831">
        <v>71.040000000000006</v>
      </c>
    </row>
    <row r="2832" spans="1:16" x14ac:dyDescent="0.3">
      <c r="A2832">
        <v>36566</v>
      </c>
      <c r="B2832">
        <v>116</v>
      </c>
      <c r="C2832" t="s">
        <v>568</v>
      </c>
      <c r="D2832" s="453">
        <v>45809</v>
      </c>
      <c r="E2832">
        <v>20227</v>
      </c>
      <c r="F2832" t="s">
        <v>3968</v>
      </c>
      <c r="G2832">
        <v>2248</v>
      </c>
      <c r="H2832">
        <v>6</v>
      </c>
      <c r="I2832" t="s">
        <v>3888</v>
      </c>
      <c r="J2832" t="s">
        <v>3469</v>
      </c>
      <c r="K2832" t="s">
        <v>3696</v>
      </c>
      <c r="L2832">
        <v>11.63</v>
      </c>
      <c r="M2832" s="453">
        <v>45790</v>
      </c>
      <c r="N2832">
        <v>11.2</v>
      </c>
      <c r="O2832">
        <v>11.2</v>
      </c>
      <c r="P2832">
        <v>69.78</v>
      </c>
    </row>
    <row r="2833" spans="1:16" x14ac:dyDescent="0.3">
      <c r="A2833">
        <v>36715</v>
      </c>
      <c r="B2833">
        <v>116</v>
      </c>
      <c r="C2833" t="s">
        <v>568</v>
      </c>
      <c r="D2833" s="453">
        <v>45809</v>
      </c>
      <c r="E2833">
        <v>18325</v>
      </c>
      <c r="F2833" t="s">
        <v>4459</v>
      </c>
      <c r="G2833">
        <v>3308</v>
      </c>
      <c r="H2833">
        <v>2</v>
      </c>
      <c r="I2833" t="s">
        <v>3878</v>
      </c>
      <c r="J2833" t="s">
        <v>3497</v>
      </c>
      <c r="K2833" t="s">
        <v>3696</v>
      </c>
      <c r="L2833">
        <v>0</v>
      </c>
      <c r="M2833" s="453">
        <v>-693593</v>
      </c>
      <c r="N2833">
        <v>0</v>
      </c>
      <c r="O2833">
        <v>34.479999999999997</v>
      </c>
      <c r="P2833">
        <v>68.959999999999994</v>
      </c>
    </row>
    <row r="2834" spans="1:16" x14ac:dyDescent="0.3">
      <c r="A2834">
        <v>36742</v>
      </c>
      <c r="B2834">
        <v>116</v>
      </c>
      <c r="C2834" t="s">
        <v>568</v>
      </c>
      <c r="D2834" s="453">
        <v>45809</v>
      </c>
      <c r="E2834">
        <v>24227</v>
      </c>
      <c r="F2834" t="s">
        <v>3970</v>
      </c>
      <c r="G2834">
        <v>3648</v>
      </c>
      <c r="H2834">
        <v>10</v>
      </c>
      <c r="I2834" t="s">
        <v>3872</v>
      </c>
      <c r="J2834" t="s">
        <v>3497</v>
      </c>
      <c r="K2834" t="s">
        <v>3696</v>
      </c>
      <c r="L2834">
        <v>0</v>
      </c>
      <c r="M2834" s="453">
        <v>-693593</v>
      </c>
      <c r="N2834">
        <v>0</v>
      </c>
      <c r="O2834">
        <v>24.52</v>
      </c>
      <c r="P2834">
        <v>68.2</v>
      </c>
    </row>
    <row r="2835" spans="1:16" x14ac:dyDescent="0.3">
      <c r="A2835">
        <v>36558</v>
      </c>
      <c r="B2835">
        <v>116</v>
      </c>
      <c r="C2835" t="s">
        <v>568</v>
      </c>
      <c r="D2835" s="453">
        <v>45809</v>
      </c>
      <c r="E2835">
        <v>20680</v>
      </c>
      <c r="F2835" t="s">
        <v>4460</v>
      </c>
      <c r="G2835">
        <v>2106</v>
      </c>
      <c r="H2835">
        <v>9</v>
      </c>
      <c r="I2835" t="s">
        <v>3872</v>
      </c>
      <c r="J2835" t="s">
        <v>3469</v>
      </c>
      <c r="K2835" t="s">
        <v>3696</v>
      </c>
      <c r="L2835">
        <v>7.5</v>
      </c>
      <c r="M2835" s="453">
        <v>45805</v>
      </c>
      <c r="N2835">
        <v>3.8</v>
      </c>
      <c r="O2835">
        <v>3.77</v>
      </c>
      <c r="P2835">
        <v>67.5</v>
      </c>
    </row>
    <row r="2836" spans="1:16" x14ac:dyDescent="0.3">
      <c r="A2836">
        <v>36733</v>
      </c>
      <c r="B2836">
        <v>116</v>
      </c>
      <c r="C2836" t="s">
        <v>568</v>
      </c>
      <c r="D2836" s="453">
        <v>45809</v>
      </c>
      <c r="E2836">
        <v>18030</v>
      </c>
      <c r="F2836" t="s">
        <v>4033</v>
      </c>
      <c r="G2836">
        <v>3568</v>
      </c>
      <c r="H2836">
        <v>2.5</v>
      </c>
      <c r="I2836" t="s">
        <v>3878</v>
      </c>
      <c r="J2836" t="s">
        <v>3497</v>
      </c>
      <c r="K2836" t="s">
        <v>3696</v>
      </c>
      <c r="L2836">
        <v>26.91</v>
      </c>
      <c r="M2836" s="453">
        <v>45807</v>
      </c>
      <c r="N2836">
        <v>27.9</v>
      </c>
      <c r="O2836">
        <v>27.9</v>
      </c>
      <c r="P2836">
        <v>67.28</v>
      </c>
    </row>
    <row r="2837" spans="1:16" x14ac:dyDescent="0.3">
      <c r="A2837">
        <v>36560</v>
      </c>
      <c r="B2837">
        <v>116</v>
      </c>
      <c r="C2837" t="s">
        <v>568</v>
      </c>
      <c r="D2837" s="453">
        <v>45809</v>
      </c>
      <c r="E2837">
        <v>25720</v>
      </c>
      <c r="F2837" t="s">
        <v>3926</v>
      </c>
      <c r="G2837">
        <v>2197</v>
      </c>
      <c r="H2837">
        <v>3.9</v>
      </c>
      <c r="I2837" t="s">
        <v>3892</v>
      </c>
      <c r="J2837" t="s">
        <v>3469</v>
      </c>
      <c r="K2837" t="s">
        <v>3696</v>
      </c>
      <c r="L2837">
        <v>0</v>
      </c>
      <c r="M2837" s="453">
        <v>-693593</v>
      </c>
      <c r="N2837">
        <v>0</v>
      </c>
      <c r="O2837">
        <v>0</v>
      </c>
      <c r="P2837">
        <v>65.91</v>
      </c>
    </row>
    <row r="2838" spans="1:16" x14ac:dyDescent="0.3">
      <c r="A2838">
        <v>36589</v>
      </c>
      <c r="B2838">
        <v>116</v>
      </c>
      <c r="C2838" t="s">
        <v>568</v>
      </c>
      <c r="D2838" s="453">
        <v>45809</v>
      </c>
      <c r="E2838">
        <v>20984</v>
      </c>
      <c r="F2838" t="s">
        <v>4235</v>
      </c>
      <c r="G2838">
        <v>2011</v>
      </c>
      <c r="H2838">
        <v>8</v>
      </c>
      <c r="I2838" t="s">
        <v>3931</v>
      </c>
      <c r="J2838" t="s">
        <v>3469</v>
      </c>
      <c r="K2838" t="s">
        <v>3696</v>
      </c>
      <c r="L2838">
        <v>8.23</v>
      </c>
      <c r="M2838" s="453">
        <v>45790</v>
      </c>
      <c r="N2838">
        <v>8.23</v>
      </c>
      <c r="O2838">
        <v>7.98</v>
      </c>
      <c r="P2838">
        <v>65.84</v>
      </c>
    </row>
    <row r="2839" spans="1:16" x14ac:dyDescent="0.3">
      <c r="A2839">
        <v>36571</v>
      </c>
      <c r="B2839">
        <v>116</v>
      </c>
      <c r="C2839" t="s">
        <v>568</v>
      </c>
      <c r="D2839" s="453">
        <v>45809</v>
      </c>
      <c r="E2839">
        <v>20661</v>
      </c>
      <c r="F2839" t="s">
        <v>3919</v>
      </c>
      <c r="G2839">
        <v>2110</v>
      </c>
      <c r="H2839">
        <v>7</v>
      </c>
      <c r="I2839" t="s">
        <v>3872</v>
      </c>
      <c r="J2839" t="s">
        <v>3469</v>
      </c>
      <c r="K2839" t="s">
        <v>3696</v>
      </c>
      <c r="L2839">
        <v>9</v>
      </c>
      <c r="M2839" s="453">
        <v>45803</v>
      </c>
      <c r="N2839">
        <v>9.0299999999999994</v>
      </c>
      <c r="O2839">
        <v>9.01</v>
      </c>
      <c r="P2839">
        <v>63</v>
      </c>
    </row>
    <row r="2840" spans="1:16" x14ac:dyDescent="0.3">
      <c r="A2840">
        <v>36576</v>
      </c>
      <c r="B2840">
        <v>116</v>
      </c>
      <c r="C2840" t="s">
        <v>568</v>
      </c>
      <c r="D2840" s="453">
        <v>45809</v>
      </c>
      <c r="E2840">
        <v>20501</v>
      </c>
      <c r="F2840" t="s">
        <v>4219</v>
      </c>
      <c r="G2840">
        <v>2154</v>
      </c>
      <c r="H2840">
        <v>3</v>
      </c>
      <c r="I2840" t="s">
        <v>3892</v>
      </c>
      <c r="J2840" t="s">
        <v>3469</v>
      </c>
      <c r="K2840" t="s">
        <v>3696</v>
      </c>
      <c r="L2840">
        <v>20.8</v>
      </c>
      <c r="M2840" s="453">
        <v>45797</v>
      </c>
      <c r="N2840">
        <v>20.8</v>
      </c>
      <c r="O2840">
        <v>20.8</v>
      </c>
      <c r="P2840">
        <v>62.4</v>
      </c>
    </row>
    <row r="2841" spans="1:16" x14ac:dyDescent="0.3">
      <c r="A2841">
        <v>36586</v>
      </c>
      <c r="B2841">
        <v>116</v>
      </c>
      <c r="C2841" t="s">
        <v>568</v>
      </c>
      <c r="D2841" s="453">
        <v>45809</v>
      </c>
      <c r="E2841">
        <v>19973</v>
      </c>
      <c r="F2841" t="s">
        <v>3981</v>
      </c>
      <c r="G2841">
        <v>2354</v>
      </c>
      <c r="H2841">
        <v>4</v>
      </c>
      <c r="I2841" t="s">
        <v>3872</v>
      </c>
      <c r="J2841" t="s">
        <v>3469</v>
      </c>
      <c r="K2841" t="s">
        <v>3696</v>
      </c>
      <c r="L2841">
        <v>15.43</v>
      </c>
      <c r="M2841" s="453">
        <v>45804</v>
      </c>
      <c r="N2841">
        <v>15.5</v>
      </c>
      <c r="O2841">
        <v>15.5</v>
      </c>
      <c r="P2841">
        <v>61.72</v>
      </c>
    </row>
    <row r="2842" spans="1:16" x14ac:dyDescent="0.3">
      <c r="A2842">
        <v>36569</v>
      </c>
      <c r="B2842">
        <v>116</v>
      </c>
      <c r="C2842" t="s">
        <v>568</v>
      </c>
      <c r="D2842" s="453">
        <v>45809</v>
      </c>
      <c r="E2842">
        <v>20213</v>
      </c>
      <c r="F2842" t="s">
        <v>4059</v>
      </c>
      <c r="G2842">
        <v>2251</v>
      </c>
      <c r="H2842">
        <v>2</v>
      </c>
      <c r="I2842" t="s">
        <v>3888</v>
      </c>
      <c r="J2842" t="s">
        <v>3469</v>
      </c>
      <c r="K2842" t="s">
        <v>3696</v>
      </c>
      <c r="L2842">
        <v>0</v>
      </c>
      <c r="M2842" s="453">
        <v>45776</v>
      </c>
      <c r="N2842">
        <v>30.54</v>
      </c>
      <c r="O2842">
        <v>31.49</v>
      </c>
      <c r="P2842">
        <v>61.08</v>
      </c>
    </row>
    <row r="2843" spans="1:16" x14ac:dyDescent="0.3">
      <c r="A2843">
        <v>36570</v>
      </c>
      <c r="B2843">
        <v>116</v>
      </c>
      <c r="C2843" t="s">
        <v>568</v>
      </c>
      <c r="D2843" s="453">
        <v>45809</v>
      </c>
      <c r="E2843">
        <v>20053</v>
      </c>
      <c r="F2843" t="s">
        <v>4457</v>
      </c>
      <c r="G2843">
        <v>2326</v>
      </c>
      <c r="H2843">
        <v>1.5</v>
      </c>
      <c r="I2843" t="s">
        <v>3888</v>
      </c>
      <c r="J2843" t="s">
        <v>3469</v>
      </c>
      <c r="K2843" t="s">
        <v>3696</v>
      </c>
      <c r="L2843">
        <v>40.700000000000003</v>
      </c>
      <c r="M2843" s="453">
        <v>45797</v>
      </c>
      <c r="N2843">
        <v>40.5</v>
      </c>
      <c r="O2843">
        <v>40.9</v>
      </c>
      <c r="P2843">
        <v>61.05</v>
      </c>
    </row>
    <row r="2844" spans="1:16" x14ac:dyDescent="0.3">
      <c r="A2844">
        <v>36539</v>
      </c>
      <c r="B2844">
        <v>116</v>
      </c>
      <c r="C2844" t="s">
        <v>568</v>
      </c>
      <c r="D2844" s="453">
        <v>45809</v>
      </c>
      <c r="E2844">
        <v>20757</v>
      </c>
      <c r="F2844" t="s">
        <v>4050</v>
      </c>
      <c r="G2844">
        <v>2086</v>
      </c>
      <c r="H2844">
        <v>0.8</v>
      </c>
      <c r="I2844" t="s">
        <v>3966</v>
      </c>
      <c r="J2844" t="s">
        <v>3469</v>
      </c>
      <c r="K2844" t="s">
        <v>3696</v>
      </c>
      <c r="L2844">
        <v>0</v>
      </c>
      <c r="M2844" s="453">
        <v>45681</v>
      </c>
      <c r="N2844">
        <v>75.2</v>
      </c>
      <c r="O2844">
        <v>79.98</v>
      </c>
      <c r="P2844">
        <v>60.16</v>
      </c>
    </row>
    <row r="2845" spans="1:16" x14ac:dyDescent="0.3">
      <c r="A2845">
        <v>36643</v>
      </c>
      <c r="B2845">
        <v>116</v>
      </c>
      <c r="C2845" t="s">
        <v>568</v>
      </c>
      <c r="D2845" s="453">
        <v>45809</v>
      </c>
      <c r="E2845">
        <v>19740</v>
      </c>
      <c r="F2845" t="s">
        <v>3933</v>
      </c>
      <c r="G2845">
        <v>2513</v>
      </c>
      <c r="H2845">
        <v>5.5</v>
      </c>
      <c r="I2845" t="s">
        <v>3892</v>
      </c>
      <c r="J2845" t="s">
        <v>3469</v>
      </c>
      <c r="K2845" t="s">
        <v>3696</v>
      </c>
      <c r="L2845">
        <v>10.89</v>
      </c>
      <c r="M2845" s="453">
        <v>45806</v>
      </c>
      <c r="N2845">
        <v>8.5</v>
      </c>
      <c r="O2845">
        <v>8.5</v>
      </c>
      <c r="P2845">
        <v>59.9</v>
      </c>
    </row>
    <row r="2846" spans="1:16" x14ac:dyDescent="0.3">
      <c r="A2846">
        <v>36701</v>
      </c>
      <c r="B2846">
        <v>116</v>
      </c>
      <c r="C2846" t="s">
        <v>568</v>
      </c>
      <c r="D2846" s="453">
        <v>45809</v>
      </c>
      <c r="E2846">
        <v>18545</v>
      </c>
      <c r="F2846" t="s">
        <v>4099</v>
      </c>
      <c r="G2846">
        <v>3134</v>
      </c>
      <c r="H2846">
        <v>1.3</v>
      </c>
      <c r="I2846" t="s">
        <v>3878</v>
      </c>
      <c r="J2846" t="s">
        <v>3497</v>
      </c>
      <c r="K2846" t="s">
        <v>3696</v>
      </c>
      <c r="L2846">
        <v>45.54</v>
      </c>
      <c r="M2846" s="453">
        <v>45790</v>
      </c>
      <c r="N2846">
        <v>45.54</v>
      </c>
      <c r="O2846">
        <v>45.54</v>
      </c>
      <c r="P2846">
        <v>59.2</v>
      </c>
    </row>
    <row r="2847" spans="1:16" x14ac:dyDescent="0.3">
      <c r="A2847">
        <v>36608</v>
      </c>
      <c r="B2847">
        <v>116</v>
      </c>
      <c r="C2847" t="s">
        <v>568</v>
      </c>
      <c r="D2847" s="453">
        <v>45809</v>
      </c>
      <c r="E2847">
        <v>20965</v>
      </c>
      <c r="F2847" t="s">
        <v>3969</v>
      </c>
      <c r="G2847">
        <v>2013</v>
      </c>
      <c r="H2847">
        <v>4</v>
      </c>
      <c r="I2847" t="s">
        <v>3872</v>
      </c>
      <c r="J2847" t="s">
        <v>3469</v>
      </c>
      <c r="K2847" t="s">
        <v>3696</v>
      </c>
      <c r="L2847">
        <v>14.5</v>
      </c>
      <c r="M2847" s="453">
        <v>45783</v>
      </c>
      <c r="N2847">
        <v>14.5</v>
      </c>
      <c r="O2847">
        <v>14.5</v>
      </c>
      <c r="P2847">
        <v>58</v>
      </c>
    </row>
    <row r="2848" spans="1:16" x14ac:dyDescent="0.3">
      <c r="A2848">
        <v>36712</v>
      </c>
      <c r="B2848">
        <v>116</v>
      </c>
      <c r="C2848" t="s">
        <v>568</v>
      </c>
      <c r="D2848" s="453">
        <v>45809</v>
      </c>
      <c r="E2848">
        <v>18341</v>
      </c>
      <c r="F2848" t="s">
        <v>4086</v>
      </c>
      <c r="G2848">
        <v>3293</v>
      </c>
      <c r="H2848">
        <v>1.5</v>
      </c>
      <c r="I2848" t="s">
        <v>3878</v>
      </c>
      <c r="J2848" t="s">
        <v>3497</v>
      </c>
      <c r="K2848" t="s">
        <v>3696</v>
      </c>
      <c r="L2848">
        <v>0</v>
      </c>
      <c r="M2848" s="453">
        <v>-693593</v>
      </c>
      <c r="N2848">
        <v>0</v>
      </c>
      <c r="O2848">
        <v>50</v>
      </c>
      <c r="P2848">
        <v>57</v>
      </c>
    </row>
    <row r="2849" spans="1:16" x14ac:dyDescent="0.3">
      <c r="A2849">
        <v>36575</v>
      </c>
      <c r="B2849">
        <v>116</v>
      </c>
      <c r="C2849" t="s">
        <v>568</v>
      </c>
      <c r="D2849" s="453">
        <v>45809</v>
      </c>
      <c r="E2849">
        <v>20508</v>
      </c>
      <c r="F2849" t="s">
        <v>4449</v>
      </c>
      <c r="G2849">
        <v>2153</v>
      </c>
      <c r="H2849">
        <v>2</v>
      </c>
      <c r="I2849" t="s">
        <v>3892</v>
      </c>
      <c r="J2849" t="s">
        <v>3469</v>
      </c>
      <c r="K2849" t="s">
        <v>3696</v>
      </c>
      <c r="L2849">
        <v>0</v>
      </c>
      <c r="M2849" s="453">
        <v>45678</v>
      </c>
      <c r="N2849">
        <v>28</v>
      </c>
      <c r="O2849">
        <v>39.9</v>
      </c>
      <c r="P2849">
        <v>56</v>
      </c>
    </row>
    <row r="2850" spans="1:16" x14ac:dyDescent="0.3">
      <c r="A2850">
        <v>36693</v>
      </c>
      <c r="B2850">
        <v>116</v>
      </c>
      <c r="C2850" t="s">
        <v>568</v>
      </c>
      <c r="D2850" s="453">
        <v>45809</v>
      </c>
      <c r="E2850">
        <v>24599</v>
      </c>
      <c r="F2850" t="s">
        <v>3897</v>
      </c>
      <c r="G2850">
        <v>5676</v>
      </c>
      <c r="H2850">
        <v>0.5</v>
      </c>
      <c r="I2850" t="s">
        <v>3888</v>
      </c>
      <c r="J2850" t="s">
        <v>3497</v>
      </c>
      <c r="K2850" t="s">
        <v>3696</v>
      </c>
      <c r="L2850">
        <v>0</v>
      </c>
      <c r="M2850" s="453">
        <v>45747</v>
      </c>
      <c r="N2850">
        <v>111.8</v>
      </c>
      <c r="O2850">
        <v>103.3</v>
      </c>
      <c r="P2850">
        <v>55.9</v>
      </c>
    </row>
    <row r="2851" spans="1:16" x14ac:dyDescent="0.3">
      <c r="A2851">
        <v>36716</v>
      </c>
      <c r="B2851">
        <v>116</v>
      </c>
      <c r="C2851" t="s">
        <v>568</v>
      </c>
      <c r="D2851" s="453">
        <v>45809</v>
      </c>
      <c r="E2851">
        <v>18317</v>
      </c>
      <c r="F2851" t="s">
        <v>4045</v>
      </c>
      <c r="G2851">
        <v>3316</v>
      </c>
      <c r="H2851">
        <v>1.5</v>
      </c>
      <c r="I2851" t="s">
        <v>3878</v>
      </c>
      <c r="J2851" t="s">
        <v>3497</v>
      </c>
      <c r="K2851" t="s">
        <v>3696</v>
      </c>
      <c r="L2851">
        <v>36.9</v>
      </c>
      <c r="M2851" s="453">
        <v>45793</v>
      </c>
      <c r="N2851">
        <v>36.9</v>
      </c>
      <c r="O2851">
        <v>36.9</v>
      </c>
      <c r="P2851">
        <v>55.35</v>
      </c>
    </row>
    <row r="2852" spans="1:16" x14ac:dyDescent="0.3">
      <c r="A2852">
        <v>36700</v>
      </c>
      <c r="B2852">
        <v>116</v>
      </c>
      <c r="C2852" t="s">
        <v>568</v>
      </c>
      <c r="D2852" s="453">
        <v>45809</v>
      </c>
      <c r="E2852">
        <v>18528</v>
      </c>
      <c r="F2852" t="s">
        <v>4108</v>
      </c>
      <c r="G2852">
        <v>3147</v>
      </c>
      <c r="H2852">
        <v>1</v>
      </c>
      <c r="I2852" t="s">
        <v>3878</v>
      </c>
      <c r="J2852" t="s">
        <v>3497</v>
      </c>
      <c r="K2852" t="s">
        <v>3696</v>
      </c>
      <c r="L2852">
        <v>54.55</v>
      </c>
      <c r="M2852" s="453">
        <v>45793</v>
      </c>
      <c r="N2852">
        <v>54.55</v>
      </c>
      <c r="O2852">
        <v>54.55</v>
      </c>
      <c r="P2852">
        <v>54.55</v>
      </c>
    </row>
    <row r="2853" spans="1:16" x14ac:dyDescent="0.3">
      <c r="A2853">
        <v>36663</v>
      </c>
      <c r="B2853">
        <v>116</v>
      </c>
      <c r="C2853" t="s">
        <v>568</v>
      </c>
      <c r="D2853" s="453">
        <v>45809</v>
      </c>
      <c r="E2853">
        <v>19428</v>
      </c>
      <c r="F2853" t="s">
        <v>4169</v>
      </c>
      <c r="G2853">
        <v>2758</v>
      </c>
      <c r="H2853">
        <v>9</v>
      </c>
      <c r="I2853" t="s">
        <v>3872</v>
      </c>
      <c r="J2853" t="s">
        <v>3469</v>
      </c>
      <c r="K2853" t="s">
        <v>3696</v>
      </c>
      <c r="L2853">
        <v>5.89</v>
      </c>
      <c r="M2853" s="453">
        <v>45803</v>
      </c>
      <c r="N2853">
        <v>5.89</v>
      </c>
      <c r="O2853">
        <v>5.89</v>
      </c>
      <c r="P2853">
        <v>53.01</v>
      </c>
    </row>
    <row r="2854" spans="1:16" x14ac:dyDescent="0.3">
      <c r="A2854">
        <v>36573</v>
      </c>
      <c r="B2854">
        <v>116</v>
      </c>
      <c r="C2854" t="s">
        <v>568</v>
      </c>
      <c r="D2854" s="453">
        <v>45809</v>
      </c>
      <c r="E2854">
        <v>24328</v>
      </c>
      <c r="F2854" t="s">
        <v>4456</v>
      </c>
      <c r="G2854">
        <v>2146</v>
      </c>
      <c r="H2854">
        <v>2.5</v>
      </c>
      <c r="I2854" t="s">
        <v>3892</v>
      </c>
      <c r="J2854" t="s">
        <v>3469</v>
      </c>
      <c r="K2854" t="s">
        <v>3696</v>
      </c>
      <c r="L2854">
        <v>0</v>
      </c>
      <c r="M2854" s="453">
        <v>-693593</v>
      </c>
      <c r="N2854">
        <v>0</v>
      </c>
      <c r="O2854">
        <v>20.9</v>
      </c>
      <c r="P2854">
        <v>52.25</v>
      </c>
    </row>
    <row r="2855" spans="1:16" x14ac:dyDescent="0.3">
      <c r="A2855">
        <v>36647</v>
      </c>
      <c r="B2855">
        <v>116</v>
      </c>
      <c r="C2855" t="s">
        <v>568</v>
      </c>
      <c r="D2855" s="453">
        <v>45809</v>
      </c>
      <c r="E2855">
        <v>19578</v>
      </c>
      <c r="F2855" t="s">
        <v>3985</v>
      </c>
      <c r="G2855">
        <v>2640</v>
      </c>
      <c r="H2855">
        <v>1</v>
      </c>
      <c r="I2855" t="s">
        <v>3892</v>
      </c>
      <c r="J2855" t="s">
        <v>3469</v>
      </c>
      <c r="K2855" t="s">
        <v>3696</v>
      </c>
      <c r="L2855">
        <v>0</v>
      </c>
      <c r="M2855" s="453">
        <v>45754</v>
      </c>
      <c r="N2855">
        <v>50</v>
      </c>
      <c r="O2855">
        <v>45</v>
      </c>
      <c r="P2855">
        <v>50</v>
      </c>
    </row>
    <row r="2856" spans="1:16" x14ac:dyDescent="0.3">
      <c r="A2856">
        <v>36677</v>
      </c>
      <c r="B2856">
        <v>116</v>
      </c>
      <c r="C2856" t="s">
        <v>568</v>
      </c>
      <c r="D2856" s="453">
        <v>45809</v>
      </c>
      <c r="E2856">
        <v>19034</v>
      </c>
      <c r="F2856" t="s">
        <v>3989</v>
      </c>
      <c r="G2856">
        <v>2890</v>
      </c>
      <c r="H2856">
        <v>4.2</v>
      </c>
      <c r="I2856" t="s">
        <v>3892</v>
      </c>
      <c r="J2856" t="s">
        <v>3469</v>
      </c>
      <c r="K2856" t="s">
        <v>3696</v>
      </c>
      <c r="L2856">
        <v>11.5</v>
      </c>
      <c r="M2856" s="453">
        <v>45797</v>
      </c>
      <c r="N2856">
        <v>11.5</v>
      </c>
      <c r="O2856">
        <v>11.1</v>
      </c>
      <c r="P2856">
        <v>48.3</v>
      </c>
    </row>
    <row r="2857" spans="1:16" x14ac:dyDescent="0.3">
      <c r="A2857">
        <v>36692</v>
      </c>
      <c r="B2857">
        <v>116</v>
      </c>
      <c r="C2857" t="s">
        <v>568</v>
      </c>
      <c r="D2857" s="453">
        <v>45809</v>
      </c>
      <c r="E2857">
        <v>17093</v>
      </c>
      <c r="F2857" t="s">
        <v>3993</v>
      </c>
      <c r="G2857">
        <v>4165</v>
      </c>
      <c r="H2857">
        <v>6</v>
      </c>
      <c r="I2857" t="s">
        <v>3888</v>
      </c>
      <c r="J2857" t="s">
        <v>3497</v>
      </c>
      <c r="K2857" t="s">
        <v>3696</v>
      </c>
      <c r="L2857">
        <v>8</v>
      </c>
      <c r="M2857" s="453">
        <v>45803</v>
      </c>
      <c r="N2857">
        <v>8</v>
      </c>
      <c r="O2857">
        <v>8</v>
      </c>
      <c r="P2857">
        <v>48</v>
      </c>
    </row>
    <row r="2858" spans="1:16" x14ac:dyDescent="0.3">
      <c r="A2858">
        <v>36615</v>
      </c>
      <c r="B2858">
        <v>116</v>
      </c>
      <c r="C2858" t="s">
        <v>568</v>
      </c>
      <c r="D2858" s="453">
        <v>45809</v>
      </c>
      <c r="E2858">
        <v>19649</v>
      </c>
      <c r="F2858" t="s">
        <v>4015</v>
      </c>
      <c r="G2858">
        <v>2589</v>
      </c>
      <c r="H2858">
        <v>2</v>
      </c>
      <c r="I2858" t="s">
        <v>3892</v>
      </c>
      <c r="J2858" t="s">
        <v>3469</v>
      </c>
      <c r="K2858" t="s">
        <v>3696</v>
      </c>
      <c r="L2858">
        <v>23.72</v>
      </c>
      <c r="M2858" s="453">
        <v>45806</v>
      </c>
      <c r="N2858">
        <v>24</v>
      </c>
      <c r="O2858">
        <v>25.5</v>
      </c>
      <c r="P2858">
        <v>47.44</v>
      </c>
    </row>
    <row r="2859" spans="1:16" x14ac:dyDescent="0.3">
      <c r="A2859">
        <v>36535</v>
      </c>
      <c r="B2859">
        <v>116</v>
      </c>
      <c r="C2859" t="s">
        <v>568</v>
      </c>
      <c r="D2859" s="453">
        <v>45809</v>
      </c>
      <c r="E2859">
        <v>21062</v>
      </c>
      <c r="F2859" t="s">
        <v>4481</v>
      </c>
      <c r="G2859">
        <v>1997</v>
      </c>
      <c r="H2859">
        <v>3</v>
      </c>
      <c r="I2859" t="s">
        <v>3878</v>
      </c>
      <c r="J2859" t="s">
        <v>3469</v>
      </c>
      <c r="K2859" t="s">
        <v>3696</v>
      </c>
      <c r="L2859">
        <v>0</v>
      </c>
      <c r="M2859" s="453">
        <v>-693593</v>
      </c>
      <c r="N2859">
        <v>0</v>
      </c>
      <c r="O2859">
        <v>14.85</v>
      </c>
      <c r="P2859">
        <v>47.01</v>
      </c>
    </row>
    <row r="2860" spans="1:16" x14ac:dyDescent="0.3">
      <c r="A2860">
        <v>36722</v>
      </c>
      <c r="B2860">
        <v>116</v>
      </c>
      <c r="C2860" t="s">
        <v>568</v>
      </c>
      <c r="D2860" s="453">
        <v>45809</v>
      </c>
      <c r="E2860">
        <v>22338</v>
      </c>
      <c r="F2860" t="s">
        <v>3947</v>
      </c>
      <c r="G2860">
        <v>3376</v>
      </c>
      <c r="H2860">
        <v>1.5</v>
      </c>
      <c r="I2860" t="s">
        <v>3872</v>
      </c>
      <c r="J2860" t="s">
        <v>3497</v>
      </c>
      <c r="K2860" t="s">
        <v>3696</v>
      </c>
      <c r="L2860">
        <v>0</v>
      </c>
      <c r="M2860" s="453">
        <v>45659</v>
      </c>
      <c r="N2860">
        <v>29.97</v>
      </c>
      <c r="O2860">
        <v>28.97</v>
      </c>
      <c r="P2860">
        <v>44.96</v>
      </c>
    </row>
    <row r="2861" spans="1:16" x14ac:dyDescent="0.3">
      <c r="A2861">
        <v>36741</v>
      </c>
      <c r="B2861">
        <v>116</v>
      </c>
      <c r="C2861" t="s">
        <v>568</v>
      </c>
      <c r="D2861" s="453">
        <v>45809</v>
      </c>
      <c r="E2861">
        <v>24226</v>
      </c>
      <c r="F2861" t="s">
        <v>3998</v>
      </c>
      <c r="G2861">
        <v>3647</v>
      </c>
      <c r="H2861">
        <v>7</v>
      </c>
      <c r="I2861" t="s">
        <v>3872</v>
      </c>
      <c r="J2861" t="s">
        <v>3497</v>
      </c>
      <c r="K2861" t="s">
        <v>3696</v>
      </c>
      <c r="L2861">
        <v>0</v>
      </c>
      <c r="M2861" s="453">
        <v>45355</v>
      </c>
      <c r="N2861">
        <v>6.42</v>
      </c>
      <c r="O2861">
        <v>6.82</v>
      </c>
      <c r="P2861">
        <v>44.92</v>
      </c>
    </row>
    <row r="2862" spans="1:16" x14ac:dyDescent="0.3">
      <c r="A2862">
        <v>36661</v>
      </c>
      <c r="B2862">
        <v>116</v>
      </c>
      <c r="C2862" t="s">
        <v>568</v>
      </c>
      <c r="D2862" s="453">
        <v>45809</v>
      </c>
      <c r="E2862">
        <v>19540</v>
      </c>
      <c r="F2862" t="s">
        <v>4454</v>
      </c>
      <c r="G2862">
        <v>2676</v>
      </c>
      <c r="H2862">
        <v>6</v>
      </c>
      <c r="I2862" t="s">
        <v>3892</v>
      </c>
      <c r="J2862" t="s">
        <v>3469</v>
      </c>
      <c r="K2862" t="s">
        <v>3696</v>
      </c>
      <c r="L2862">
        <v>7.48</v>
      </c>
      <c r="M2862" s="453">
        <v>45803</v>
      </c>
      <c r="N2862">
        <v>6.9</v>
      </c>
      <c r="O2862">
        <v>10.79</v>
      </c>
      <c r="P2862">
        <v>44.88</v>
      </c>
    </row>
    <row r="2863" spans="1:16" x14ac:dyDescent="0.3">
      <c r="A2863">
        <v>36537</v>
      </c>
      <c r="B2863">
        <v>116</v>
      </c>
      <c r="C2863" t="s">
        <v>568</v>
      </c>
      <c r="D2863" s="453">
        <v>45809</v>
      </c>
      <c r="E2863">
        <v>21085</v>
      </c>
      <c r="F2863" t="s">
        <v>4114</v>
      </c>
      <c r="G2863">
        <v>1989</v>
      </c>
      <c r="H2863">
        <v>1</v>
      </c>
      <c r="I2863" t="s">
        <v>3881</v>
      </c>
      <c r="J2863" t="s">
        <v>3469</v>
      </c>
      <c r="K2863" t="s">
        <v>3696</v>
      </c>
      <c r="L2863">
        <v>0</v>
      </c>
      <c r="M2863" s="453">
        <v>45524</v>
      </c>
      <c r="N2863">
        <v>44.8</v>
      </c>
      <c r="O2863">
        <v>18.690000000000001</v>
      </c>
      <c r="P2863">
        <v>44.8</v>
      </c>
    </row>
    <row r="2864" spans="1:16" x14ac:dyDescent="0.3">
      <c r="A2864">
        <v>36680</v>
      </c>
      <c r="B2864">
        <v>116</v>
      </c>
      <c r="C2864" t="s">
        <v>568</v>
      </c>
      <c r="D2864" s="453">
        <v>45809</v>
      </c>
      <c r="E2864">
        <v>18685</v>
      </c>
      <c r="F2864" t="s">
        <v>3945</v>
      </c>
      <c r="G2864">
        <v>3040</v>
      </c>
      <c r="H2864">
        <v>1.2</v>
      </c>
      <c r="I2864" t="s">
        <v>3892</v>
      </c>
      <c r="J2864" t="s">
        <v>3469</v>
      </c>
      <c r="K2864" t="s">
        <v>3696</v>
      </c>
      <c r="L2864">
        <v>37</v>
      </c>
      <c r="M2864" s="453">
        <v>45804</v>
      </c>
      <c r="N2864">
        <v>37</v>
      </c>
      <c r="O2864">
        <v>38</v>
      </c>
      <c r="P2864">
        <v>44.4</v>
      </c>
    </row>
    <row r="2865" spans="1:16" x14ac:dyDescent="0.3">
      <c r="A2865">
        <v>36652</v>
      </c>
      <c r="B2865">
        <v>116</v>
      </c>
      <c r="C2865" t="s">
        <v>568</v>
      </c>
      <c r="D2865" s="453">
        <v>45809</v>
      </c>
      <c r="E2865">
        <v>19566</v>
      </c>
      <c r="F2865" t="s">
        <v>3986</v>
      </c>
      <c r="G2865">
        <v>2651</v>
      </c>
      <c r="H2865">
        <v>2</v>
      </c>
      <c r="I2865" t="s">
        <v>3892</v>
      </c>
      <c r="J2865" t="s">
        <v>3469</v>
      </c>
      <c r="K2865" t="s">
        <v>3696</v>
      </c>
      <c r="L2865">
        <v>0</v>
      </c>
      <c r="M2865" s="453">
        <v>45757</v>
      </c>
      <c r="N2865">
        <v>22.1</v>
      </c>
      <c r="O2865">
        <v>22.1</v>
      </c>
      <c r="P2865">
        <v>44.2</v>
      </c>
    </row>
    <row r="2866" spans="1:16" x14ac:dyDescent="0.3">
      <c r="A2866">
        <v>36683</v>
      </c>
      <c r="B2866">
        <v>116</v>
      </c>
      <c r="C2866" t="s">
        <v>568</v>
      </c>
      <c r="D2866" s="453">
        <v>45809</v>
      </c>
      <c r="E2866">
        <v>24393</v>
      </c>
      <c r="F2866" t="s">
        <v>4039</v>
      </c>
      <c r="G2866">
        <v>3045</v>
      </c>
      <c r="H2866">
        <v>2</v>
      </c>
      <c r="I2866" t="s">
        <v>3892</v>
      </c>
      <c r="J2866" t="s">
        <v>3469</v>
      </c>
      <c r="K2866" t="s">
        <v>3696</v>
      </c>
      <c r="L2866">
        <v>22</v>
      </c>
      <c r="M2866" s="453">
        <v>45790</v>
      </c>
      <c r="N2866">
        <v>22</v>
      </c>
      <c r="O2866">
        <v>12.99</v>
      </c>
      <c r="P2866">
        <v>44</v>
      </c>
    </row>
    <row r="2867" spans="1:16" x14ac:dyDescent="0.3">
      <c r="A2867">
        <v>36690</v>
      </c>
      <c r="B2867">
        <v>116</v>
      </c>
      <c r="C2867" t="s">
        <v>568</v>
      </c>
      <c r="D2867" s="453">
        <v>45809</v>
      </c>
      <c r="E2867">
        <v>18666</v>
      </c>
      <c r="F2867" t="s">
        <v>4003</v>
      </c>
      <c r="G2867">
        <v>3053</v>
      </c>
      <c r="H2867">
        <v>2</v>
      </c>
      <c r="I2867" t="s">
        <v>3892</v>
      </c>
      <c r="J2867" t="s">
        <v>3469</v>
      </c>
      <c r="K2867" t="s">
        <v>3696</v>
      </c>
      <c r="L2867">
        <v>22</v>
      </c>
      <c r="M2867" s="453">
        <v>45790</v>
      </c>
      <c r="N2867">
        <v>22</v>
      </c>
      <c r="O2867">
        <v>21</v>
      </c>
      <c r="P2867">
        <v>44</v>
      </c>
    </row>
    <row r="2868" spans="1:16" x14ac:dyDescent="0.3">
      <c r="A2868">
        <v>36609</v>
      </c>
      <c r="B2868">
        <v>116</v>
      </c>
      <c r="C2868" t="s">
        <v>568</v>
      </c>
      <c r="D2868" s="453">
        <v>45809</v>
      </c>
      <c r="E2868">
        <v>20954</v>
      </c>
      <c r="F2868" t="s">
        <v>4452</v>
      </c>
      <c r="G2868">
        <v>2021</v>
      </c>
      <c r="H2868">
        <v>1</v>
      </c>
      <c r="I2868" t="s">
        <v>3878</v>
      </c>
      <c r="J2868" t="s">
        <v>3469</v>
      </c>
      <c r="K2868" t="s">
        <v>3696</v>
      </c>
      <c r="L2868">
        <v>0</v>
      </c>
      <c r="M2868" s="453">
        <v>-693593</v>
      </c>
      <c r="N2868">
        <v>0</v>
      </c>
      <c r="O2868">
        <v>43.99</v>
      </c>
      <c r="P2868">
        <v>43.99</v>
      </c>
    </row>
    <row r="2869" spans="1:16" x14ac:dyDescent="0.3">
      <c r="A2869">
        <v>36750</v>
      </c>
      <c r="B2869">
        <v>116</v>
      </c>
      <c r="C2869" t="s">
        <v>568</v>
      </c>
      <c r="D2869" s="453">
        <v>45809</v>
      </c>
      <c r="E2869">
        <v>24468</v>
      </c>
      <c r="F2869" t="s">
        <v>4482</v>
      </c>
      <c r="G2869">
        <v>3675</v>
      </c>
      <c r="H2869">
        <v>20</v>
      </c>
      <c r="I2869" t="s">
        <v>3872</v>
      </c>
      <c r="J2869" t="s">
        <v>3497</v>
      </c>
      <c r="K2869" t="s">
        <v>3696</v>
      </c>
      <c r="L2869">
        <v>0</v>
      </c>
      <c r="M2869" s="453">
        <v>45544</v>
      </c>
      <c r="N2869">
        <v>2.19</v>
      </c>
      <c r="O2869">
        <v>2.19</v>
      </c>
      <c r="P2869">
        <v>43.8</v>
      </c>
    </row>
    <row r="2870" spans="1:16" x14ac:dyDescent="0.3">
      <c r="A2870">
        <v>36564</v>
      </c>
      <c r="B2870">
        <v>116</v>
      </c>
      <c r="C2870" t="s">
        <v>568</v>
      </c>
      <c r="D2870" s="453">
        <v>45809</v>
      </c>
      <c r="E2870">
        <v>20242</v>
      </c>
      <c r="F2870" t="s">
        <v>4120</v>
      </c>
      <c r="G2870">
        <v>2242</v>
      </c>
      <c r="H2870">
        <v>3</v>
      </c>
      <c r="I2870" t="s">
        <v>3888</v>
      </c>
      <c r="J2870" t="s">
        <v>3469</v>
      </c>
      <c r="K2870" t="s">
        <v>3696</v>
      </c>
      <c r="L2870">
        <v>14.39</v>
      </c>
      <c r="M2870" s="453">
        <v>45782</v>
      </c>
      <c r="N2870">
        <v>14.39</v>
      </c>
      <c r="O2870">
        <v>14.2</v>
      </c>
      <c r="P2870">
        <v>43.17</v>
      </c>
    </row>
    <row r="2871" spans="1:16" x14ac:dyDescent="0.3">
      <c r="A2871">
        <v>36554</v>
      </c>
      <c r="B2871">
        <v>116</v>
      </c>
      <c r="C2871" t="s">
        <v>568</v>
      </c>
      <c r="D2871" s="453">
        <v>45809</v>
      </c>
      <c r="E2871">
        <v>24185</v>
      </c>
      <c r="F2871" t="s">
        <v>4040</v>
      </c>
      <c r="G2871">
        <v>2331</v>
      </c>
      <c r="H2871">
        <v>2</v>
      </c>
      <c r="I2871" t="s">
        <v>3892</v>
      </c>
      <c r="J2871" t="s">
        <v>3469</v>
      </c>
      <c r="K2871" t="s">
        <v>3696</v>
      </c>
      <c r="L2871">
        <v>21.35</v>
      </c>
      <c r="M2871" s="453">
        <v>45790</v>
      </c>
      <c r="N2871">
        <v>21.43</v>
      </c>
      <c r="O2871">
        <v>21.43</v>
      </c>
      <c r="P2871">
        <v>42.7</v>
      </c>
    </row>
    <row r="2872" spans="1:16" x14ac:dyDescent="0.3">
      <c r="A2872">
        <v>36727</v>
      </c>
      <c r="B2872">
        <v>116</v>
      </c>
      <c r="C2872" t="s">
        <v>568</v>
      </c>
      <c r="D2872" s="453">
        <v>45809</v>
      </c>
      <c r="E2872">
        <v>18200</v>
      </c>
      <c r="F2872" t="s">
        <v>4032</v>
      </c>
      <c r="G2872">
        <v>3426</v>
      </c>
      <c r="H2872">
        <v>1</v>
      </c>
      <c r="I2872" t="s">
        <v>3878</v>
      </c>
      <c r="J2872" t="s">
        <v>3497</v>
      </c>
      <c r="K2872" t="s">
        <v>3696</v>
      </c>
      <c r="L2872">
        <v>0</v>
      </c>
      <c r="M2872" s="453">
        <v>45699</v>
      </c>
      <c r="N2872">
        <v>41.18</v>
      </c>
      <c r="O2872">
        <v>41.5</v>
      </c>
      <c r="P2872">
        <v>41.18</v>
      </c>
    </row>
    <row r="2873" spans="1:16" x14ac:dyDescent="0.3">
      <c r="A2873">
        <v>36547</v>
      </c>
      <c r="B2873">
        <v>116</v>
      </c>
      <c r="C2873" t="s">
        <v>568</v>
      </c>
      <c r="D2873" s="453">
        <v>45809</v>
      </c>
      <c r="E2873">
        <v>20287</v>
      </c>
      <c r="F2873" t="s">
        <v>4053</v>
      </c>
      <c r="G2873">
        <v>2229</v>
      </c>
      <c r="H2873">
        <v>1.5</v>
      </c>
      <c r="I2873" t="s">
        <v>3888</v>
      </c>
      <c r="J2873" t="s">
        <v>3469</v>
      </c>
      <c r="K2873" t="s">
        <v>3696</v>
      </c>
      <c r="L2873">
        <v>26.7</v>
      </c>
      <c r="M2873" s="453">
        <v>45803</v>
      </c>
      <c r="N2873">
        <v>26.84</v>
      </c>
      <c r="O2873">
        <v>26.84</v>
      </c>
      <c r="P2873">
        <v>40.049999999999997</v>
      </c>
    </row>
    <row r="2874" spans="1:16" x14ac:dyDescent="0.3">
      <c r="A2874">
        <v>36565</v>
      </c>
      <c r="B2874">
        <v>116</v>
      </c>
      <c r="C2874" t="s">
        <v>568</v>
      </c>
      <c r="D2874" s="453">
        <v>45809</v>
      </c>
      <c r="E2874">
        <v>20231</v>
      </c>
      <c r="F2874" t="s">
        <v>4123</v>
      </c>
      <c r="G2874">
        <v>2247</v>
      </c>
      <c r="H2874">
        <v>2</v>
      </c>
      <c r="I2874" t="s">
        <v>3888</v>
      </c>
      <c r="J2874" t="s">
        <v>3469</v>
      </c>
      <c r="K2874" t="s">
        <v>3696</v>
      </c>
      <c r="L2874">
        <v>19.7</v>
      </c>
      <c r="M2874" s="453">
        <v>45797</v>
      </c>
      <c r="N2874">
        <v>19.7</v>
      </c>
      <c r="O2874">
        <v>19.399999999999999</v>
      </c>
      <c r="P2874">
        <v>39.4</v>
      </c>
    </row>
    <row r="2875" spans="1:16" x14ac:dyDescent="0.3">
      <c r="A2875">
        <v>36551</v>
      </c>
      <c r="B2875">
        <v>116</v>
      </c>
      <c r="C2875" t="s">
        <v>568</v>
      </c>
      <c r="D2875" s="453">
        <v>45809</v>
      </c>
      <c r="E2875">
        <v>20717</v>
      </c>
      <c r="F2875" t="s">
        <v>4055</v>
      </c>
      <c r="G2875">
        <v>2097</v>
      </c>
      <c r="H2875">
        <v>1</v>
      </c>
      <c r="I2875" t="s">
        <v>3872</v>
      </c>
      <c r="J2875" t="s">
        <v>3469</v>
      </c>
      <c r="K2875" t="s">
        <v>3696</v>
      </c>
      <c r="L2875">
        <v>0</v>
      </c>
      <c r="M2875" s="453">
        <v>45756</v>
      </c>
      <c r="N2875">
        <v>39.119999999999997</v>
      </c>
      <c r="O2875">
        <v>39.119999999999997</v>
      </c>
      <c r="P2875">
        <v>39.119999999999997</v>
      </c>
    </row>
    <row r="2876" spans="1:16" x14ac:dyDescent="0.3">
      <c r="A2876">
        <v>36665</v>
      </c>
      <c r="B2876">
        <v>116</v>
      </c>
      <c r="C2876" t="s">
        <v>568</v>
      </c>
      <c r="D2876" s="453">
        <v>45809</v>
      </c>
      <c r="E2876">
        <v>19415</v>
      </c>
      <c r="F2876" t="s">
        <v>3941</v>
      </c>
      <c r="G2876">
        <v>2759</v>
      </c>
      <c r="H2876">
        <v>5</v>
      </c>
      <c r="I2876" t="s">
        <v>3872</v>
      </c>
      <c r="J2876" t="s">
        <v>3469</v>
      </c>
      <c r="K2876" t="s">
        <v>3696</v>
      </c>
      <c r="L2876">
        <v>7.8</v>
      </c>
      <c r="M2876" s="453">
        <v>45797</v>
      </c>
      <c r="N2876">
        <v>7.8</v>
      </c>
      <c r="O2876">
        <v>7.8</v>
      </c>
      <c r="P2876">
        <v>39</v>
      </c>
    </row>
    <row r="2877" spans="1:16" x14ac:dyDescent="0.3">
      <c r="A2877">
        <v>36743</v>
      </c>
      <c r="B2877">
        <v>116</v>
      </c>
      <c r="C2877" t="s">
        <v>568</v>
      </c>
      <c r="D2877" s="453">
        <v>45809</v>
      </c>
      <c r="E2877">
        <v>17942</v>
      </c>
      <c r="F2877" t="s">
        <v>4035</v>
      </c>
      <c r="G2877">
        <v>3630</v>
      </c>
      <c r="H2877">
        <v>3</v>
      </c>
      <c r="I2877" t="s">
        <v>3872</v>
      </c>
      <c r="J2877" t="s">
        <v>3497</v>
      </c>
      <c r="K2877" t="s">
        <v>3696</v>
      </c>
      <c r="L2877">
        <v>13</v>
      </c>
      <c r="M2877" s="453">
        <v>45803</v>
      </c>
      <c r="N2877">
        <v>13</v>
      </c>
      <c r="O2877">
        <v>13</v>
      </c>
      <c r="P2877">
        <v>39</v>
      </c>
    </row>
    <row r="2878" spans="1:16" x14ac:dyDescent="0.3">
      <c r="A2878">
        <v>36694</v>
      </c>
      <c r="B2878">
        <v>116</v>
      </c>
      <c r="C2878" t="s">
        <v>568</v>
      </c>
      <c r="D2878" s="453">
        <v>45809</v>
      </c>
      <c r="E2878">
        <v>24140</v>
      </c>
      <c r="F2878" t="s">
        <v>3889</v>
      </c>
      <c r="G2878">
        <v>3100</v>
      </c>
      <c r="H2878">
        <v>0.5</v>
      </c>
      <c r="I2878" t="s">
        <v>3872</v>
      </c>
      <c r="J2878" t="s">
        <v>3497</v>
      </c>
      <c r="K2878" t="s">
        <v>3696</v>
      </c>
      <c r="L2878">
        <v>0</v>
      </c>
      <c r="M2878" s="453">
        <v>45699</v>
      </c>
      <c r="N2878">
        <v>77.959999999999994</v>
      </c>
      <c r="O2878">
        <v>0</v>
      </c>
      <c r="P2878">
        <v>38.979999999999997</v>
      </c>
    </row>
    <row r="2879" spans="1:16" x14ac:dyDescent="0.3">
      <c r="A2879">
        <v>36639</v>
      </c>
      <c r="B2879">
        <v>116</v>
      </c>
      <c r="C2879" t="s">
        <v>568</v>
      </c>
      <c r="D2879" s="453">
        <v>45809</v>
      </c>
      <c r="E2879">
        <v>19743</v>
      </c>
      <c r="F2879" t="s">
        <v>4152</v>
      </c>
      <c r="G2879">
        <v>2510</v>
      </c>
      <c r="H2879">
        <v>3</v>
      </c>
      <c r="I2879" t="s">
        <v>3892</v>
      </c>
      <c r="J2879" t="s">
        <v>3469</v>
      </c>
      <c r="K2879" t="s">
        <v>3696</v>
      </c>
      <c r="L2879">
        <v>12.9</v>
      </c>
      <c r="M2879" s="453">
        <v>45806</v>
      </c>
      <c r="N2879">
        <v>12.9</v>
      </c>
      <c r="O2879">
        <v>14</v>
      </c>
      <c r="P2879">
        <v>38.700000000000003</v>
      </c>
    </row>
    <row r="2880" spans="1:16" x14ac:dyDescent="0.3">
      <c r="A2880">
        <v>36580</v>
      </c>
      <c r="B2880">
        <v>116</v>
      </c>
      <c r="C2880" t="s">
        <v>568</v>
      </c>
      <c r="D2880" s="453">
        <v>45809</v>
      </c>
      <c r="E2880">
        <v>20117</v>
      </c>
      <c r="F2880" t="s">
        <v>4010</v>
      </c>
      <c r="G2880">
        <v>2291</v>
      </c>
      <c r="H2880">
        <v>1</v>
      </c>
      <c r="I2880" t="s">
        <v>3872</v>
      </c>
      <c r="J2880" t="s">
        <v>3469</v>
      </c>
      <c r="K2880" t="s">
        <v>3696</v>
      </c>
      <c r="L2880">
        <v>38.6</v>
      </c>
      <c r="M2880" s="453">
        <v>45804</v>
      </c>
      <c r="N2880">
        <v>38.950000000000003</v>
      </c>
      <c r="O2880">
        <v>38.950000000000003</v>
      </c>
      <c r="P2880">
        <v>38.6</v>
      </c>
    </row>
    <row r="2881" spans="1:16" x14ac:dyDescent="0.3">
      <c r="A2881">
        <v>36553</v>
      </c>
      <c r="B2881">
        <v>116</v>
      </c>
      <c r="C2881" t="s">
        <v>568</v>
      </c>
      <c r="D2881" s="453">
        <v>45809</v>
      </c>
      <c r="E2881">
        <v>20702</v>
      </c>
      <c r="F2881" t="s">
        <v>4006</v>
      </c>
      <c r="G2881">
        <v>2101</v>
      </c>
      <c r="H2881">
        <v>1</v>
      </c>
      <c r="I2881" t="s">
        <v>3966</v>
      </c>
      <c r="J2881" t="s">
        <v>3469</v>
      </c>
      <c r="K2881" t="s">
        <v>3696</v>
      </c>
      <c r="L2881">
        <v>38.479999999999997</v>
      </c>
      <c r="M2881" s="453">
        <v>45804</v>
      </c>
      <c r="N2881">
        <v>39.9</v>
      </c>
      <c r="O2881">
        <v>38.950000000000003</v>
      </c>
      <c r="P2881">
        <v>38.479999999999997</v>
      </c>
    </row>
    <row r="2882" spans="1:16" x14ac:dyDescent="0.3">
      <c r="A2882">
        <v>36599</v>
      </c>
      <c r="B2882">
        <v>116</v>
      </c>
      <c r="C2882" t="s">
        <v>568</v>
      </c>
      <c r="D2882" s="453">
        <v>45809</v>
      </c>
      <c r="E2882">
        <v>25768</v>
      </c>
      <c r="F2882" t="s">
        <v>4012</v>
      </c>
      <c r="G2882">
        <v>6317</v>
      </c>
      <c r="H2882">
        <v>3</v>
      </c>
      <c r="I2882" t="s">
        <v>3892</v>
      </c>
      <c r="J2882" t="s">
        <v>3469</v>
      </c>
      <c r="K2882" t="s">
        <v>3696</v>
      </c>
      <c r="L2882">
        <v>12.8</v>
      </c>
      <c r="M2882" s="453">
        <v>45797</v>
      </c>
      <c r="N2882">
        <v>12.8</v>
      </c>
      <c r="O2882">
        <v>6.9</v>
      </c>
      <c r="P2882">
        <v>38.4</v>
      </c>
    </row>
    <row r="2883" spans="1:16" x14ac:dyDescent="0.3">
      <c r="A2883">
        <v>36561</v>
      </c>
      <c r="B2883">
        <v>116</v>
      </c>
      <c r="C2883" t="s">
        <v>568</v>
      </c>
      <c r="D2883" s="453">
        <v>45809</v>
      </c>
      <c r="E2883">
        <v>20359</v>
      </c>
      <c r="F2883" t="s">
        <v>3917</v>
      </c>
      <c r="G2883">
        <v>2199</v>
      </c>
      <c r="H2883">
        <v>8</v>
      </c>
      <c r="I2883" t="s">
        <v>3872</v>
      </c>
      <c r="J2883" t="s">
        <v>3469</v>
      </c>
      <c r="K2883" t="s">
        <v>3696</v>
      </c>
      <c r="L2883">
        <v>4.7699999999999996</v>
      </c>
      <c r="M2883" s="453">
        <v>45797</v>
      </c>
      <c r="N2883">
        <v>4.78</v>
      </c>
      <c r="O2883">
        <v>4.76</v>
      </c>
      <c r="P2883">
        <v>38.159999999999997</v>
      </c>
    </row>
    <row r="2884" spans="1:16" x14ac:dyDescent="0.3">
      <c r="A2884">
        <v>36651</v>
      </c>
      <c r="B2884">
        <v>116</v>
      </c>
      <c r="C2884" t="s">
        <v>568</v>
      </c>
      <c r="D2884" s="453">
        <v>45809</v>
      </c>
      <c r="E2884">
        <v>19572</v>
      </c>
      <c r="F2884" t="s">
        <v>4023</v>
      </c>
      <c r="G2884">
        <v>2646</v>
      </c>
      <c r="H2884">
        <v>2</v>
      </c>
      <c r="I2884" t="s">
        <v>3892</v>
      </c>
      <c r="J2884" t="s">
        <v>3469</v>
      </c>
      <c r="K2884" t="s">
        <v>3696</v>
      </c>
      <c r="L2884">
        <v>18.87</v>
      </c>
      <c r="M2884" s="453">
        <v>45806</v>
      </c>
      <c r="N2884">
        <v>17</v>
      </c>
      <c r="O2884">
        <v>18.739999999999998</v>
      </c>
      <c r="P2884">
        <v>37.74</v>
      </c>
    </row>
    <row r="2885" spans="1:16" x14ac:dyDescent="0.3">
      <c r="A2885">
        <v>36577</v>
      </c>
      <c r="B2885">
        <v>116</v>
      </c>
      <c r="C2885" t="s">
        <v>568</v>
      </c>
      <c r="D2885" s="453">
        <v>45809</v>
      </c>
      <c r="E2885">
        <v>20133</v>
      </c>
      <c r="F2885" t="s">
        <v>4461</v>
      </c>
      <c r="G2885">
        <v>2286</v>
      </c>
      <c r="H2885">
        <v>4</v>
      </c>
      <c r="I2885" t="s">
        <v>3888</v>
      </c>
      <c r="J2885" t="s">
        <v>3469</v>
      </c>
      <c r="K2885" t="s">
        <v>3696</v>
      </c>
      <c r="L2885">
        <v>0</v>
      </c>
      <c r="M2885" s="453">
        <v>45763</v>
      </c>
      <c r="N2885">
        <v>9.3699999999999992</v>
      </c>
      <c r="O2885">
        <v>9.56</v>
      </c>
      <c r="P2885">
        <v>37.479999999999997</v>
      </c>
    </row>
    <row r="2886" spans="1:16" x14ac:dyDescent="0.3">
      <c r="A2886">
        <v>36610</v>
      </c>
      <c r="B2886">
        <v>116</v>
      </c>
      <c r="C2886" t="s">
        <v>568</v>
      </c>
      <c r="D2886" s="453">
        <v>45809</v>
      </c>
      <c r="E2886">
        <v>19787</v>
      </c>
      <c r="F2886" t="s">
        <v>3940</v>
      </c>
      <c r="G2886">
        <v>2471</v>
      </c>
      <c r="H2886">
        <v>8.5</v>
      </c>
      <c r="I2886" t="s">
        <v>3892</v>
      </c>
      <c r="J2886" t="s">
        <v>3469</v>
      </c>
      <c r="K2886" t="s">
        <v>3696</v>
      </c>
      <c r="L2886">
        <v>4.3899999999999997</v>
      </c>
      <c r="M2886" s="453">
        <v>45806</v>
      </c>
      <c r="N2886">
        <v>4.2</v>
      </c>
      <c r="O2886">
        <v>4.26</v>
      </c>
      <c r="P2886">
        <v>37.32</v>
      </c>
    </row>
    <row r="2887" spans="1:16" x14ac:dyDescent="0.3">
      <c r="A2887">
        <v>36600</v>
      </c>
      <c r="B2887">
        <v>116</v>
      </c>
      <c r="C2887" t="s">
        <v>568</v>
      </c>
      <c r="D2887" s="453">
        <v>45809</v>
      </c>
      <c r="E2887">
        <v>19917</v>
      </c>
      <c r="F2887" t="s">
        <v>3920</v>
      </c>
      <c r="G2887">
        <v>2379</v>
      </c>
      <c r="H2887">
        <v>12</v>
      </c>
      <c r="I2887" t="s">
        <v>3888</v>
      </c>
      <c r="J2887" t="s">
        <v>3469</v>
      </c>
      <c r="K2887" t="s">
        <v>3696</v>
      </c>
      <c r="L2887">
        <v>0</v>
      </c>
      <c r="M2887" s="453">
        <v>45581</v>
      </c>
      <c r="N2887">
        <v>3.09</v>
      </c>
      <c r="O2887">
        <v>3.04</v>
      </c>
      <c r="P2887">
        <v>37.08</v>
      </c>
    </row>
    <row r="2888" spans="1:16" x14ac:dyDescent="0.3">
      <c r="A2888">
        <v>36632</v>
      </c>
      <c r="B2888">
        <v>116</v>
      </c>
      <c r="C2888" t="s">
        <v>568</v>
      </c>
      <c r="D2888" s="453">
        <v>45809</v>
      </c>
      <c r="E2888">
        <v>19765</v>
      </c>
      <c r="F2888" t="s">
        <v>4071</v>
      </c>
      <c r="G2888">
        <v>2488</v>
      </c>
      <c r="H2888">
        <v>1.2</v>
      </c>
      <c r="I2888" t="s">
        <v>3892</v>
      </c>
      <c r="J2888" t="s">
        <v>3469</v>
      </c>
      <c r="K2888" t="s">
        <v>3696</v>
      </c>
      <c r="L2888">
        <v>30</v>
      </c>
      <c r="M2888" s="453">
        <v>45789</v>
      </c>
      <c r="N2888">
        <v>30</v>
      </c>
      <c r="O2888">
        <v>34</v>
      </c>
      <c r="P2888">
        <v>36</v>
      </c>
    </row>
    <row r="2889" spans="1:16" x14ac:dyDescent="0.3">
      <c r="A2889">
        <v>36721</v>
      </c>
      <c r="B2889">
        <v>116</v>
      </c>
      <c r="C2889" t="s">
        <v>568</v>
      </c>
      <c r="D2889" s="453">
        <v>45809</v>
      </c>
      <c r="E2889">
        <v>18272</v>
      </c>
      <c r="F2889" t="s">
        <v>4046</v>
      </c>
      <c r="G2889">
        <v>3358</v>
      </c>
      <c r="H2889">
        <v>1</v>
      </c>
      <c r="I2889" t="s">
        <v>3878</v>
      </c>
      <c r="J2889" t="s">
        <v>3497</v>
      </c>
      <c r="K2889" t="s">
        <v>3696</v>
      </c>
      <c r="L2889">
        <v>0</v>
      </c>
      <c r="M2889" s="453">
        <v>45761</v>
      </c>
      <c r="N2889">
        <v>34.85</v>
      </c>
      <c r="O2889">
        <v>35.799999999999997</v>
      </c>
      <c r="P2889">
        <v>34.85</v>
      </c>
    </row>
    <row r="2890" spans="1:16" x14ac:dyDescent="0.3">
      <c r="A2890">
        <v>36646</v>
      </c>
      <c r="B2890">
        <v>116</v>
      </c>
      <c r="C2890" t="s">
        <v>568</v>
      </c>
      <c r="D2890" s="453">
        <v>45809</v>
      </c>
      <c r="E2890">
        <v>19583</v>
      </c>
      <c r="F2890" t="s">
        <v>4076</v>
      </c>
      <c r="G2890">
        <v>2639</v>
      </c>
      <c r="H2890">
        <v>1.3</v>
      </c>
      <c r="I2890" t="s">
        <v>3892</v>
      </c>
      <c r="J2890" t="s">
        <v>3469</v>
      </c>
      <c r="K2890" t="s">
        <v>3696</v>
      </c>
      <c r="L2890">
        <v>26.5</v>
      </c>
      <c r="M2890" s="453">
        <v>45806</v>
      </c>
      <c r="N2890">
        <v>23</v>
      </c>
      <c r="O2890">
        <v>39</v>
      </c>
      <c r="P2890">
        <v>34.450000000000003</v>
      </c>
    </row>
    <row r="2891" spans="1:16" x14ac:dyDescent="0.3">
      <c r="A2891">
        <v>36581</v>
      </c>
      <c r="B2891">
        <v>116</v>
      </c>
      <c r="C2891" t="s">
        <v>568</v>
      </c>
      <c r="D2891" s="453">
        <v>45809</v>
      </c>
      <c r="E2891">
        <v>20832</v>
      </c>
      <c r="F2891" t="s">
        <v>4060</v>
      </c>
      <c r="G2891">
        <v>2065</v>
      </c>
      <c r="H2891">
        <v>1</v>
      </c>
      <c r="I2891" t="s">
        <v>3886</v>
      </c>
      <c r="J2891" t="s">
        <v>3469</v>
      </c>
      <c r="K2891" t="s">
        <v>3696</v>
      </c>
      <c r="L2891">
        <v>34</v>
      </c>
      <c r="M2891" s="453">
        <v>45790</v>
      </c>
      <c r="N2891">
        <v>34</v>
      </c>
      <c r="O2891">
        <v>34</v>
      </c>
      <c r="P2891">
        <v>34</v>
      </c>
    </row>
    <row r="2892" spans="1:16" x14ac:dyDescent="0.3">
      <c r="A2892">
        <v>36710</v>
      </c>
      <c r="B2892">
        <v>116</v>
      </c>
      <c r="C2892" t="s">
        <v>568</v>
      </c>
      <c r="D2892" s="453">
        <v>45809</v>
      </c>
      <c r="E2892">
        <v>18395</v>
      </c>
      <c r="F2892" t="s">
        <v>4085</v>
      </c>
      <c r="G2892">
        <v>3245</v>
      </c>
      <c r="H2892">
        <v>1</v>
      </c>
      <c r="I2892" t="s">
        <v>3878</v>
      </c>
      <c r="J2892" t="s">
        <v>3497</v>
      </c>
      <c r="K2892" t="s">
        <v>3696</v>
      </c>
      <c r="L2892">
        <v>33.03</v>
      </c>
      <c r="M2892" s="453">
        <v>45782</v>
      </c>
      <c r="N2892">
        <v>33.03</v>
      </c>
      <c r="O2892">
        <v>29.88</v>
      </c>
      <c r="P2892">
        <v>33.03</v>
      </c>
    </row>
    <row r="2893" spans="1:16" x14ac:dyDescent="0.3">
      <c r="A2893">
        <v>36583</v>
      </c>
      <c r="B2893">
        <v>116</v>
      </c>
      <c r="C2893" t="s">
        <v>568</v>
      </c>
      <c r="D2893" s="453">
        <v>45809</v>
      </c>
      <c r="E2893">
        <v>19979</v>
      </c>
      <c r="F2893" t="s">
        <v>4295</v>
      </c>
      <c r="G2893">
        <v>2353</v>
      </c>
      <c r="H2893">
        <v>2</v>
      </c>
      <c r="I2893" t="s">
        <v>3931</v>
      </c>
      <c r="J2893" t="s">
        <v>3469</v>
      </c>
      <c r="K2893" t="s">
        <v>3696</v>
      </c>
      <c r="L2893">
        <v>16</v>
      </c>
      <c r="M2893" s="453">
        <v>45790</v>
      </c>
      <c r="N2893">
        <v>16</v>
      </c>
      <c r="O2893">
        <v>16.149999999999999</v>
      </c>
      <c r="P2893">
        <v>32</v>
      </c>
    </row>
    <row r="2894" spans="1:16" x14ac:dyDescent="0.3">
      <c r="A2894">
        <v>36538</v>
      </c>
      <c r="B2894">
        <v>116</v>
      </c>
      <c r="C2894" t="s">
        <v>568</v>
      </c>
      <c r="D2894" s="453">
        <v>45809</v>
      </c>
      <c r="E2894">
        <v>21078</v>
      </c>
      <c r="F2894" t="s">
        <v>4049</v>
      </c>
      <c r="G2894">
        <v>1991</v>
      </c>
      <c r="H2894">
        <v>1</v>
      </c>
      <c r="I2894" t="s">
        <v>3881</v>
      </c>
      <c r="J2894" t="s">
        <v>3469</v>
      </c>
      <c r="K2894" t="s">
        <v>3696</v>
      </c>
      <c r="L2894">
        <v>0</v>
      </c>
      <c r="M2894" s="453">
        <v>-693593</v>
      </c>
      <c r="N2894">
        <v>0</v>
      </c>
      <c r="O2894">
        <v>43.6</v>
      </c>
      <c r="P2894">
        <v>29.9</v>
      </c>
    </row>
    <row r="2895" spans="1:16" x14ac:dyDescent="0.3">
      <c r="A2895">
        <v>36636</v>
      </c>
      <c r="B2895">
        <v>116</v>
      </c>
      <c r="C2895" t="s">
        <v>568</v>
      </c>
      <c r="D2895" s="453">
        <v>45809</v>
      </c>
      <c r="E2895">
        <v>19751</v>
      </c>
      <c r="F2895" t="s">
        <v>4019</v>
      </c>
      <c r="G2895">
        <v>2502</v>
      </c>
      <c r="H2895">
        <v>3.2</v>
      </c>
      <c r="I2895" t="s">
        <v>3892</v>
      </c>
      <c r="J2895" t="s">
        <v>3469</v>
      </c>
      <c r="K2895" t="s">
        <v>3696</v>
      </c>
      <c r="L2895">
        <v>9.34</v>
      </c>
      <c r="M2895" s="453">
        <v>45806</v>
      </c>
      <c r="N2895">
        <v>8.5</v>
      </c>
      <c r="O2895">
        <v>6.42</v>
      </c>
      <c r="P2895">
        <v>29.89</v>
      </c>
    </row>
    <row r="2896" spans="1:16" x14ac:dyDescent="0.3">
      <c r="A2896">
        <v>36676</v>
      </c>
      <c r="B2896">
        <v>116</v>
      </c>
      <c r="C2896" t="s">
        <v>568</v>
      </c>
      <c r="D2896" s="453">
        <v>45809</v>
      </c>
      <c r="E2896">
        <v>24194</v>
      </c>
      <c r="F2896" t="s">
        <v>4181</v>
      </c>
      <c r="G2896">
        <v>3038</v>
      </c>
      <c r="H2896">
        <v>0.7</v>
      </c>
      <c r="I2896" t="s">
        <v>3892</v>
      </c>
      <c r="J2896" t="s">
        <v>3469</v>
      </c>
      <c r="K2896" t="s">
        <v>3696</v>
      </c>
      <c r="L2896">
        <v>42</v>
      </c>
      <c r="M2896" s="453">
        <v>45804</v>
      </c>
      <c r="N2896">
        <v>42</v>
      </c>
      <c r="O2896">
        <v>42</v>
      </c>
      <c r="P2896">
        <v>29.4</v>
      </c>
    </row>
    <row r="2897" spans="1:16" x14ac:dyDescent="0.3">
      <c r="A2897">
        <v>36602</v>
      </c>
      <c r="B2897">
        <v>116</v>
      </c>
      <c r="C2897" t="s">
        <v>568</v>
      </c>
      <c r="D2897" s="453">
        <v>45809</v>
      </c>
      <c r="E2897">
        <v>20466</v>
      </c>
      <c r="F2897" t="s">
        <v>4098</v>
      </c>
      <c r="G2897">
        <v>2160</v>
      </c>
      <c r="H2897">
        <v>0.5</v>
      </c>
      <c r="I2897" t="s">
        <v>3892</v>
      </c>
      <c r="J2897" t="s">
        <v>3469</v>
      </c>
      <c r="K2897" t="s">
        <v>3696</v>
      </c>
      <c r="L2897">
        <v>0</v>
      </c>
      <c r="M2897" s="453">
        <v>45776</v>
      </c>
      <c r="N2897">
        <v>58</v>
      </c>
      <c r="O2897">
        <v>58</v>
      </c>
      <c r="P2897">
        <v>29</v>
      </c>
    </row>
    <row r="2898" spans="1:16" x14ac:dyDescent="0.3">
      <c r="A2898">
        <v>36582</v>
      </c>
      <c r="B2898">
        <v>116</v>
      </c>
      <c r="C2898" t="s">
        <v>568</v>
      </c>
      <c r="D2898" s="453">
        <v>45809</v>
      </c>
      <c r="E2898">
        <v>20871</v>
      </c>
      <c r="F2898" t="s">
        <v>4475</v>
      </c>
      <c r="G2898">
        <v>2043</v>
      </c>
      <c r="H2898">
        <v>1</v>
      </c>
      <c r="I2898" t="s">
        <v>3886</v>
      </c>
      <c r="J2898" t="s">
        <v>3469</v>
      </c>
      <c r="K2898" t="s">
        <v>3696</v>
      </c>
      <c r="L2898">
        <v>28.9</v>
      </c>
      <c r="M2898" s="453">
        <v>45790</v>
      </c>
      <c r="N2898">
        <v>28.9</v>
      </c>
      <c r="O2898">
        <v>15.8</v>
      </c>
      <c r="P2898">
        <v>28.9</v>
      </c>
    </row>
    <row r="2899" spans="1:16" x14ac:dyDescent="0.3">
      <c r="A2899">
        <v>36536</v>
      </c>
      <c r="B2899">
        <v>116</v>
      </c>
      <c r="C2899" t="s">
        <v>568</v>
      </c>
      <c r="D2899" s="453">
        <v>45809</v>
      </c>
      <c r="E2899">
        <v>21093</v>
      </c>
      <c r="F2899" t="s">
        <v>3903</v>
      </c>
      <c r="G2899">
        <v>1988</v>
      </c>
      <c r="H2899">
        <v>6</v>
      </c>
      <c r="I2899" t="s">
        <v>3892</v>
      </c>
      <c r="J2899" t="s">
        <v>3469</v>
      </c>
      <c r="K2899" t="s">
        <v>3696</v>
      </c>
      <c r="L2899">
        <v>4.76</v>
      </c>
      <c r="M2899" s="453">
        <v>45797</v>
      </c>
      <c r="N2899">
        <v>4.5</v>
      </c>
      <c r="O2899">
        <v>4.95</v>
      </c>
      <c r="P2899">
        <v>28.56</v>
      </c>
    </row>
    <row r="2900" spans="1:16" x14ac:dyDescent="0.3">
      <c r="A2900">
        <v>36638</v>
      </c>
      <c r="B2900">
        <v>116</v>
      </c>
      <c r="C2900" t="s">
        <v>568</v>
      </c>
      <c r="D2900" s="453">
        <v>45809</v>
      </c>
      <c r="E2900">
        <v>19478</v>
      </c>
      <c r="F2900" t="s">
        <v>4072</v>
      </c>
      <c r="G2900">
        <v>2728</v>
      </c>
      <c r="H2900">
        <v>0.5</v>
      </c>
      <c r="I2900" t="s">
        <v>3892</v>
      </c>
      <c r="J2900" t="s">
        <v>3469</v>
      </c>
      <c r="K2900" t="s">
        <v>3696</v>
      </c>
      <c r="L2900">
        <v>0</v>
      </c>
      <c r="M2900" s="453">
        <v>45761</v>
      </c>
      <c r="N2900">
        <v>55</v>
      </c>
      <c r="O2900">
        <v>45</v>
      </c>
      <c r="P2900">
        <v>27.5</v>
      </c>
    </row>
    <row r="2901" spans="1:16" x14ac:dyDescent="0.3">
      <c r="A2901">
        <v>36607</v>
      </c>
      <c r="B2901">
        <v>116</v>
      </c>
      <c r="C2901" t="s">
        <v>568</v>
      </c>
      <c r="D2901" s="453">
        <v>45809</v>
      </c>
      <c r="E2901">
        <v>20610</v>
      </c>
      <c r="F2901" t="s">
        <v>4064</v>
      </c>
      <c r="G2901">
        <v>2120</v>
      </c>
      <c r="H2901">
        <v>1</v>
      </c>
      <c r="I2901" t="s">
        <v>3884</v>
      </c>
      <c r="J2901" t="s">
        <v>3469</v>
      </c>
      <c r="K2901" t="s">
        <v>3696</v>
      </c>
      <c r="L2901">
        <v>0</v>
      </c>
      <c r="M2901" s="453">
        <v>45770</v>
      </c>
      <c r="N2901">
        <v>26.9</v>
      </c>
      <c r="O2901">
        <v>26.45</v>
      </c>
      <c r="P2901">
        <v>26.9</v>
      </c>
    </row>
    <row r="2902" spans="1:16" x14ac:dyDescent="0.3">
      <c r="A2902">
        <v>36734</v>
      </c>
      <c r="B2902">
        <v>116</v>
      </c>
      <c r="C2902" t="s">
        <v>568</v>
      </c>
      <c r="D2902" s="453">
        <v>45809</v>
      </c>
      <c r="E2902">
        <v>24002</v>
      </c>
      <c r="F2902" t="s">
        <v>3924</v>
      </c>
      <c r="G2902">
        <v>3614</v>
      </c>
      <c r="H2902">
        <v>5</v>
      </c>
      <c r="I2902" t="s">
        <v>3872</v>
      </c>
      <c r="J2902" t="s">
        <v>3497</v>
      </c>
      <c r="K2902" t="s">
        <v>3696</v>
      </c>
      <c r="L2902">
        <v>0</v>
      </c>
      <c r="M2902" s="453">
        <v>45776</v>
      </c>
      <c r="N2902">
        <v>5.34</v>
      </c>
      <c r="O2902">
        <v>6.8</v>
      </c>
      <c r="P2902">
        <v>26.7</v>
      </c>
    </row>
    <row r="2903" spans="1:16" x14ac:dyDescent="0.3">
      <c r="A2903">
        <v>36649</v>
      </c>
      <c r="B2903">
        <v>116</v>
      </c>
      <c r="C2903" t="s">
        <v>568</v>
      </c>
      <c r="D2903" s="453">
        <v>45809</v>
      </c>
      <c r="E2903">
        <v>19576</v>
      </c>
      <c r="F2903" t="s">
        <v>4021</v>
      </c>
      <c r="G2903">
        <v>2642</v>
      </c>
      <c r="H2903">
        <v>1.5</v>
      </c>
      <c r="I2903" t="s">
        <v>3892</v>
      </c>
      <c r="J2903" t="s">
        <v>3469</v>
      </c>
      <c r="K2903" t="s">
        <v>3696</v>
      </c>
      <c r="L2903">
        <v>0</v>
      </c>
      <c r="M2903" s="453">
        <v>45754</v>
      </c>
      <c r="N2903">
        <v>17</v>
      </c>
      <c r="O2903">
        <v>12</v>
      </c>
      <c r="P2903">
        <v>25.5</v>
      </c>
    </row>
    <row r="2904" spans="1:16" x14ac:dyDescent="0.3">
      <c r="A2904">
        <v>36557</v>
      </c>
      <c r="B2904">
        <v>116</v>
      </c>
      <c r="C2904" t="s">
        <v>568</v>
      </c>
      <c r="D2904" s="453">
        <v>45809</v>
      </c>
      <c r="E2904">
        <v>20682</v>
      </c>
      <c r="F2904" t="s">
        <v>3929</v>
      </c>
      <c r="G2904">
        <v>2106</v>
      </c>
      <c r="H2904">
        <v>3</v>
      </c>
      <c r="I2904" t="s">
        <v>3872</v>
      </c>
      <c r="J2904" t="s">
        <v>3469</v>
      </c>
      <c r="K2904" t="s">
        <v>3696</v>
      </c>
      <c r="L2904">
        <v>0</v>
      </c>
      <c r="M2904" s="453">
        <v>45677</v>
      </c>
      <c r="N2904">
        <v>8.4499999999999993</v>
      </c>
      <c r="O2904">
        <v>8.4499999999999993</v>
      </c>
      <c r="P2904">
        <v>25.35</v>
      </c>
    </row>
    <row r="2905" spans="1:16" x14ac:dyDescent="0.3">
      <c r="A2905">
        <v>36645</v>
      </c>
      <c r="B2905">
        <v>116</v>
      </c>
      <c r="C2905" t="s">
        <v>568</v>
      </c>
      <c r="D2905" s="453">
        <v>45809</v>
      </c>
      <c r="E2905">
        <v>23095</v>
      </c>
      <c r="F2905" t="s">
        <v>3882</v>
      </c>
      <c r="G2905">
        <v>2754</v>
      </c>
      <c r="H2905">
        <v>20</v>
      </c>
      <c r="I2905" t="s">
        <v>3872</v>
      </c>
      <c r="J2905" t="s">
        <v>3469</v>
      </c>
      <c r="K2905" t="s">
        <v>3696</v>
      </c>
      <c r="L2905">
        <v>1.22</v>
      </c>
      <c r="M2905" s="453">
        <v>45806</v>
      </c>
      <c r="N2905">
        <v>1.23</v>
      </c>
      <c r="O2905">
        <v>1.23</v>
      </c>
      <c r="P2905">
        <v>24.4</v>
      </c>
    </row>
    <row r="2906" spans="1:16" x14ac:dyDescent="0.3">
      <c r="A2906">
        <v>36624</v>
      </c>
      <c r="B2906">
        <v>116</v>
      </c>
      <c r="C2906" t="s">
        <v>568</v>
      </c>
      <c r="D2906" s="453">
        <v>45809</v>
      </c>
      <c r="E2906">
        <v>19623</v>
      </c>
      <c r="F2906" t="s">
        <v>3984</v>
      </c>
      <c r="G2906">
        <v>2611</v>
      </c>
      <c r="H2906">
        <v>4.3</v>
      </c>
      <c r="I2906" t="s">
        <v>3892</v>
      </c>
      <c r="J2906" t="s">
        <v>3469</v>
      </c>
      <c r="K2906" t="s">
        <v>3696</v>
      </c>
      <c r="L2906">
        <v>5.65</v>
      </c>
      <c r="M2906" s="453">
        <v>45806</v>
      </c>
      <c r="N2906">
        <v>6</v>
      </c>
      <c r="O2906">
        <v>6</v>
      </c>
      <c r="P2906">
        <v>24.3</v>
      </c>
    </row>
    <row r="2907" spans="1:16" x14ac:dyDescent="0.3">
      <c r="A2907">
        <v>36687</v>
      </c>
      <c r="B2907">
        <v>116</v>
      </c>
      <c r="C2907" t="s">
        <v>568</v>
      </c>
      <c r="D2907" s="453">
        <v>45809</v>
      </c>
      <c r="E2907">
        <v>24403</v>
      </c>
      <c r="F2907" t="s">
        <v>3992</v>
      </c>
      <c r="G2907">
        <v>3049</v>
      </c>
      <c r="H2907">
        <v>2</v>
      </c>
      <c r="I2907" t="s">
        <v>3892</v>
      </c>
      <c r="J2907" t="s">
        <v>3469</v>
      </c>
      <c r="K2907" t="s">
        <v>3696</v>
      </c>
      <c r="L2907">
        <v>12</v>
      </c>
      <c r="M2907" s="453">
        <v>45790</v>
      </c>
      <c r="N2907">
        <v>12</v>
      </c>
      <c r="O2907">
        <v>12.5</v>
      </c>
      <c r="P2907">
        <v>24</v>
      </c>
    </row>
    <row r="2908" spans="1:16" x14ac:dyDescent="0.3">
      <c r="A2908">
        <v>36618</v>
      </c>
      <c r="B2908">
        <v>116</v>
      </c>
      <c r="C2908" t="s">
        <v>568</v>
      </c>
      <c r="D2908" s="453">
        <v>45809</v>
      </c>
      <c r="E2908">
        <v>24083</v>
      </c>
      <c r="F2908" t="s">
        <v>3898</v>
      </c>
      <c r="G2908">
        <v>2592</v>
      </c>
      <c r="H2908">
        <v>6</v>
      </c>
      <c r="I2908" t="s">
        <v>3892</v>
      </c>
      <c r="J2908" t="s">
        <v>3469</v>
      </c>
      <c r="K2908" t="s">
        <v>3696</v>
      </c>
      <c r="L2908">
        <v>3.94</v>
      </c>
      <c r="M2908" s="453">
        <v>45806</v>
      </c>
      <c r="N2908">
        <v>3.8</v>
      </c>
      <c r="O2908">
        <v>5.1100000000000003</v>
      </c>
      <c r="P2908">
        <v>23.64</v>
      </c>
    </row>
    <row r="2909" spans="1:16" x14ac:dyDescent="0.3">
      <c r="A2909">
        <v>36738</v>
      </c>
      <c r="B2909">
        <v>116</v>
      </c>
      <c r="C2909" t="s">
        <v>568</v>
      </c>
      <c r="D2909" s="453">
        <v>45809</v>
      </c>
      <c r="E2909">
        <v>18004</v>
      </c>
      <c r="F2909" t="s">
        <v>4140</v>
      </c>
      <c r="G2909">
        <v>3592</v>
      </c>
      <c r="H2909">
        <v>2</v>
      </c>
      <c r="I2909" t="s">
        <v>3888</v>
      </c>
      <c r="J2909" t="s">
        <v>3497</v>
      </c>
      <c r="K2909" t="s">
        <v>3696</v>
      </c>
      <c r="L2909">
        <v>11.58</v>
      </c>
      <c r="M2909" s="453">
        <v>45797</v>
      </c>
      <c r="N2909">
        <v>3.63</v>
      </c>
      <c r="O2909">
        <v>27.48</v>
      </c>
      <c r="P2909">
        <v>23.16</v>
      </c>
    </row>
    <row r="2910" spans="1:16" x14ac:dyDescent="0.3">
      <c r="A2910">
        <v>36660</v>
      </c>
      <c r="B2910">
        <v>116</v>
      </c>
      <c r="C2910" t="s">
        <v>568</v>
      </c>
      <c r="D2910" s="453">
        <v>45809</v>
      </c>
      <c r="E2910">
        <v>19544</v>
      </c>
      <c r="F2910" t="s">
        <v>4473</v>
      </c>
      <c r="G2910">
        <v>2672</v>
      </c>
      <c r="H2910">
        <v>3</v>
      </c>
      <c r="I2910" t="s">
        <v>3892</v>
      </c>
      <c r="J2910" t="s">
        <v>3469</v>
      </c>
      <c r="K2910" t="s">
        <v>3696</v>
      </c>
      <c r="L2910">
        <v>7.35</v>
      </c>
      <c r="M2910" s="453">
        <v>45806</v>
      </c>
      <c r="N2910">
        <v>7.2</v>
      </c>
      <c r="O2910">
        <v>7.2</v>
      </c>
      <c r="P2910">
        <v>22.05</v>
      </c>
    </row>
    <row r="2911" spans="1:16" x14ac:dyDescent="0.3">
      <c r="A2911">
        <v>36533</v>
      </c>
      <c r="B2911">
        <v>116</v>
      </c>
      <c r="C2911" t="s">
        <v>568</v>
      </c>
      <c r="D2911" s="453">
        <v>45809</v>
      </c>
      <c r="E2911">
        <v>24456</v>
      </c>
      <c r="F2911" t="s">
        <v>4048</v>
      </c>
      <c r="G2911">
        <v>1965</v>
      </c>
      <c r="H2911">
        <v>1</v>
      </c>
      <c r="I2911" t="s">
        <v>3892</v>
      </c>
      <c r="J2911" t="s">
        <v>3469</v>
      </c>
      <c r="K2911" t="s">
        <v>3696</v>
      </c>
      <c r="L2911">
        <v>22.02</v>
      </c>
      <c r="M2911" s="453">
        <v>45799</v>
      </c>
      <c r="N2911">
        <v>22.1</v>
      </c>
      <c r="O2911">
        <v>13.5</v>
      </c>
      <c r="P2911">
        <v>22.02</v>
      </c>
    </row>
    <row r="2912" spans="1:16" x14ac:dyDescent="0.3">
      <c r="A2912">
        <v>36591</v>
      </c>
      <c r="B2912">
        <v>116</v>
      </c>
      <c r="C2912" t="s">
        <v>568</v>
      </c>
      <c r="D2912" s="453">
        <v>45809</v>
      </c>
      <c r="E2912">
        <v>24392</v>
      </c>
      <c r="F2912" t="s">
        <v>4041</v>
      </c>
      <c r="G2912">
        <v>2366</v>
      </c>
      <c r="H2912">
        <v>1</v>
      </c>
      <c r="I2912" t="s">
        <v>3892</v>
      </c>
      <c r="J2912" t="s">
        <v>3469</v>
      </c>
      <c r="K2912" t="s">
        <v>3696</v>
      </c>
      <c r="L2912">
        <v>0</v>
      </c>
      <c r="M2912" s="453">
        <v>45524</v>
      </c>
      <c r="N2912">
        <v>21.9</v>
      </c>
      <c r="O2912">
        <v>22.9</v>
      </c>
      <c r="P2912">
        <v>21.9</v>
      </c>
    </row>
    <row r="2913" spans="1:16" x14ac:dyDescent="0.3">
      <c r="A2913">
        <v>36644</v>
      </c>
      <c r="B2913">
        <v>116</v>
      </c>
      <c r="C2913" t="s">
        <v>568</v>
      </c>
      <c r="D2913" s="453">
        <v>45809</v>
      </c>
      <c r="E2913">
        <v>24394</v>
      </c>
      <c r="F2913" t="s">
        <v>3876</v>
      </c>
      <c r="G2913">
        <v>2753</v>
      </c>
      <c r="H2913">
        <v>30</v>
      </c>
      <c r="I2913" t="s">
        <v>3872</v>
      </c>
      <c r="J2913" t="s">
        <v>3469</v>
      </c>
      <c r="K2913" t="s">
        <v>3696</v>
      </c>
      <c r="L2913">
        <v>0.73</v>
      </c>
      <c r="M2913" s="453">
        <v>45806</v>
      </c>
      <c r="N2913">
        <v>0.6</v>
      </c>
      <c r="O2913">
        <v>0.75</v>
      </c>
      <c r="P2913">
        <v>21.9</v>
      </c>
    </row>
    <row r="2914" spans="1:16" x14ac:dyDescent="0.3">
      <c r="A2914">
        <v>36622</v>
      </c>
      <c r="B2914">
        <v>116</v>
      </c>
      <c r="C2914" t="s">
        <v>568</v>
      </c>
      <c r="D2914" s="453">
        <v>45809</v>
      </c>
      <c r="E2914">
        <v>19779</v>
      </c>
      <c r="F2914" t="s">
        <v>4069</v>
      </c>
      <c r="G2914">
        <v>2479</v>
      </c>
      <c r="H2914">
        <v>0.5</v>
      </c>
      <c r="I2914" t="s">
        <v>3892</v>
      </c>
      <c r="J2914" t="s">
        <v>3469</v>
      </c>
      <c r="K2914" t="s">
        <v>3696</v>
      </c>
      <c r="L2914">
        <v>41.5</v>
      </c>
      <c r="M2914" s="453">
        <v>45799</v>
      </c>
      <c r="N2914">
        <v>43</v>
      </c>
      <c r="O2914">
        <v>60</v>
      </c>
      <c r="P2914">
        <v>20.75</v>
      </c>
    </row>
    <row r="2915" spans="1:16" x14ac:dyDescent="0.3">
      <c r="A2915">
        <v>36670</v>
      </c>
      <c r="B2915">
        <v>116</v>
      </c>
      <c r="C2915" t="s">
        <v>568</v>
      </c>
      <c r="D2915" s="453">
        <v>45809</v>
      </c>
      <c r="E2915">
        <v>19264</v>
      </c>
      <c r="F2915" t="s">
        <v>4082</v>
      </c>
      <c r="G2915">
        <v>2781</v>
      </c>
      <c r="H2915">
        <v>0.3</v>
      </c>
      <c r="I2915" t="s">
        <v>3888</v>
      </c>
      <c r="J2915" t="s">
        <v>3469</v>
      </c>
      <c r="K2915" t="s">
        <v>3696</v>
      </c>
      <c r="L2915">
        <v>68.900000000000006</v>
      </c>
      <c r="M2915" s="453">
        <v>45797</v>
      </c>
      <c r="N2915">
        <v>68.900000000000006</v>
      </c>
      <c r="O2915">
        <v>69.5</v>
      </c>
      <c r="P2915">
        <v>20.67</v>
      </c>
    </row>
    <row r="2916" spans="1:16" x14ac:dyDescent="0.3">
      <c r="A2916">
        <v>36751</v>
      </c>
      <c r="B2916">
        <v>116</v>
      </c>
      <c r="C2916" t="s">
        <v>568</v>
      </c>
      <c r="D2916" s="453">
        <v>45809</v>
      </c>
      <c r="E2916">
        <v>17878</v>
      </c>
      <c r="F2916" t="s">
        <v>4096</v>
      </c>
      <c r="G2916">
        <v>3677</v>
      </c>
      <c r="H2916">
        <v>1</v>
      </c>
      <c r="I2916" t="s">
        <v>3872</v>
      </c>
      <c r="J2916" t="s">
        <v>3497</v>
      </c>
      <c r="K2916" t="s">
        <v>3696</v>
      </c>
      <c r="L2916">
        <v>18.899999999999999</v>
      </c>
      <c r="M2916" s="453">
        <v>45790</v>
      </c>
      <c r="N2916">
        <v>18.899999999999999</v>
      </c>
      <c r="O2916">
        <v>25.22</v>
      </c>
      <c r="P2916">
        <v>18.899999999999999</v>
      </c>
    </row>
    <row r="2917" spans="1:16" x14ac:dyDescent="0.3">
      <c r="A2917">
        <v>36623</v>
      </c>
      <c r="B2917">
        <v>116</v>
      </c>
      <c r="C2917" t="s">
        <v>568</v>
      </c>
      <c r="D2917" s="453">
        <v>45809</v>
      </c>
      <c r="E2917">
        <v>24509</v>
      </c>
      <c r="F2917" t="s">
        <v>3906</v>
      </c>
      <c r="G2917">
        <v>2607</v>
      </c>
      <c r="H2917">
        <v>5.5</v>
      </c>
      <c r="I2917" t="s">
        <v>3892</v>
      </c>
      <c r="J2917" t="s">
        <v>3469</v>
      </c>
      <c r="K2917" t="s">
        <v>3696</v>
      </c>
      <c r="L2917">
        <v>3.25</v>
      </c>
      <c r="M2917" s="453">
        <v>45806</v>
      </c>
      <c r="N2917">
        <v>3.2</v>
      </c>
      <c r="O2917">
        <v>3.2</v>
      </c>
      <c r="P2917">
        <v>17.88</v>
      </c>
    </row>
    <row r="2918" spans="1:16" x14ac:dyDescent="0.3">
      <c r="A2918">
        <v>36650</v>
      </c>
      <c r="B2918">
        <v>116</v>
      </c>
      <c r="C2918" t="s">
        <v>568</v>
      </c>
      <c r="D2918" s="453">
        <v>45809</v>
      </c>
      <c r="E2918">
        <v>19574</v>
      </c>
      <c r="F2918" t="s">
        <v>4077</v>
      </c>
      <c r="G2918">
        <v>2644</v>
      </c>
      <c r="H2918">
        <v>0.5</v>
      </c>
      <c r="I2918" t="s">
        <v>3892</v>
      </c>
      <c r="J2918" t="s">
        <v>3469</v>
      </c>
      <c r="K2918" t="s">
        <v>3696</v>
      </c>
      <c r="L2918">
        <v>0</v>
      </c>
      <c r="M2918" s="453">
        <v>45754</v>
      </c>
      <c r="N2918">
        <v>35</v>
      </c>
      <c r="O2918">
        <v>45</v>
      </c>
      <c r="P2918">
        <v>17.5</v>
      </c>
    </row>
    <row r="2919" spans="1:16" x14ac:dyDescent="0.3">
      <c r="A2919">
        <v>36606</v>
      </c>
      <c r="B2919">
        <v>116</v>
      </c>
      <c r="C2919" t="s">
        <v>568</v>
      </c>
      <c r="D2919" s="453">
        <v>45809</v>
      </c>
      <c r="E2919">
        <v>25769</v>
      </c>
      <c r="F2919" t="s">
        <v>4013</v>
      </c>
      <c r="G2919">
        <v>6318</v>
      </c>
      <c r="H2919">
        <v>1.5</v>
      </c>
      <c r="I2919" t="s">
        <v>3892</v>
      </c>
      <c r="J2919" t="s">
        <v>3469</v>
      </c>
      <c r="K2919" t="s">
        <v>3696</v>
      </c>
      <c r="L2919">
        <v>11.2</v>
      </c>
      <c r="M2919" s="453">
        <v>45790</v>
      </c>
      <c r="N2919">
        <v>11.2</v>
      </c>
      <c r="O2919">
        <v>11.2</v>
      </c>
      <c r="P2919">
        <v>16.8</v>
      </c>
    </row>
    <row r="2920" spans="1:16" x14ac:dyDescent="0.3">
      <c r="A2920">
        <v>36614</v>
      </c>
      <c r="B2920">
        <v>116</v>
      </c>
      <c r="C2920" t="s">
        <v>568</v>
      </c>
      <c r="D2920" s="453">
        <v>45809</v>
      </c>
      <c r="E2920">
        <v>19652</v>
      </c>
      <c r="F2920" t="s">
        <v>4014</v>
      </c>
      <c r="G2920">
        <v>2587</v>
      </c>
      <c r="H2920">
        <v>0.5</v>
      </c>
      <c r="I2920" t="s">
        <v>3892</v>
      </c>
      <c r="J2920" t="s">
        <v>3469</v>
      </c>
      <c r="K2920" t="s">
        <v>3696</v>
      </c>
      <c r="L2920">
        <v>32</v>
      </c>
      <c r="M2920" s="453">
        <v>45799</v>
      </c>
      <c r="N2920">
        <v>32</v>
      </c>
      <c r="O2920">
        <v>30.63</v>
      </c>
      <c r="P2920">
        <v>16</v>
      </c>
    </row>
    <row r="2921" spans="1:16" x14ac:dyDescent="0.3">
      <c r="A2921">
        <v>36549</v>
      </c>
      <c r="B2921">
        <v>116</v>
      </c>
      <c r="C2921" t="s">
        <v>568</v>
      </c>
      <c r="D2921" s="453">
        <v>45809</v>
      </c>
      <c r="E2921">
        <v>20077</v>
      </c>
      <c r="F2921" t="s">
        <v>4054</v>
      </c>
      <c r="G2921">
        <v>2317</v>
      </c>
      <c r="H2921">
        <v>1</v>
      </c>
      <c r="I2921" t="s">
        <v>3888</v>
      </c>
      <c r="J2921" t="s">
        <v>3469</v>
      </c>
      <c r="K2921" t="s">
        <v>3696</v>
      </c>
      <c r="L2921">
        <v>15.96</v>
      </c>
      <c r="M2921" s="453">
        <v>45790</v>
      </c>
      <c r="N2921">
        <v>15.96</v>
      </c>
      <c r="O2921">
        <v>15.96</v>
      </c>
      <c r="P2921">
        <v>15.96</v>
      </c>
    </row>
    <row r="2922" spans="1:16" x14ac:dyDescent="0.3">
      <c r="A2922">
        <v>36629</v>
      </c>
      <c r="B2922">
        <v>116</v>
      </c>
      <c r="C2922" t="s">
        <v>568</v>
      </c>
      <c r="D2922" s="453">
        <v>45809</v>
      </c>
      <c r="E2922">
        <v>19613</v>
      </c>
      <c r="F2922" t="s">
        <v>4017</v>
      </c>
      <c r="G2922">
        <v>2620</v>
      </c>
      <c r="H2922">
        <v>2.5</v>
      </c>
      <c r="I2922" t="s">
        <v>3892</v>
      </c>
      <c r="J2922" t="s">
        <v>3469</v>
      </c>
      <c r="K2922" t="s">
        <v>3696</v>
      </c>
      <c r="L2922">
        <v>5.99</v>
      </c>
      <c r="M2922" s="453">
        <v>45806</v>
      </c>
      <c r="N2922">
        <v>5.5</v>
      </c>
      <c r="O2922">
        <v>5</v>
      </c>
      <c r="P2922">
        <v>14.98</v>
      </c>
    </row>
    <row r="2923" spans="1:16" x14ac:dyDescent="0.3">
      <c r="A2923">
        <v>36562</v>
      </c>
      <c r="B2923">
        <v>116</v>
      </c>
      <c r="C2923" t="s">
        <v>568</v>
      </c>
      <c r="D2923" s="453">
        <v>45809</v>
      </c>
      <c r="E2923">
        <v>20358</v>
      </c>
      <c r="F2923" t="s">
        <v>3952</v>
      </c>
      <c r="G2923">
        <v>2200</v>
      </c>
      <c r="H2923">
        <v>1</v>
      </c>
      <c r="I2923" t="s">
        <v>3888</v>
      </c>
      <c r="J2923" t="s">
        <v>3469</v>
      </c>
      <c r="K2923" t="s">
        <v>3696</v>
      </c>
      <c r="L2923">
        <v>14.3</v>
      </c>
      <c r="M2923" s="453">
        <v>45797</v>
      </c>
      <c r="N2923">
        <v>14.3</v>
      </c>
      <c r="O2923">
        <v>14.3</v>
      </c>
      <c r="P2923">
        <v>14.3</v>
      </c>
    </row>
    <row r="2924" spans="1:16" x14ac:dyDescent="0.3">
      <c r="A2924">
        <v>36593</v>
      </c>
      <c r="B2924">
        <v>116</v>
      </c>
      <c r="C2924" t="s">
        <v>568</v>
      </c>
      <c r="D2924" s="453">
        <v>45809</v>
      </c>
      <c r="E2924">
        <v>19936</v>
      </c>
      <c r="F2924" t="s">
        <v>4462</v>
      </c>
      <c r="G2924">
        <v>2367</v>
      </c>
      <c r="H2924">
        <v>1</v>
      </c>
      <c r="I2924" t="s">
        <v>3892</v>
      </c>
      <c r="J2924" t="s">
        <v>3469</v>
      </c>
      <c r="K2924" t="s">
        <v>3696</v>
      </c>
      <c r="L2924">
        <v>13.28</v>
      </c>
      <c r="M2924" s="453">
        <v>45782</v>
      </c>
      <c r="N2924">
        <v>13.28</v>
      </c>
      <c r="O2924">
        <v>12.92</v>
      </c>
      <c r="P2924">
        <v>13.28</v>
      </c>
    </row>
    <row r="2925" spans="1:16" x14ac:dyDescent="0.3">
      <c r="A2925">
        <v>36617</v>
      </c>
      <c r="B2925">
        <v>116</v>
      </c>
      <c r="C2925" t="s">
        <v>568</v>
      </c>
      <c r="D2925" s="453">
        <v>45809</v>
      </c>
      <c r="E2925">
        <v>19783</v>
      </c>
      <c r="F2925" t="s">
        <v>4016</v>
      </c>
      <c r="G2925">
        <v>2475</v>
      </c>
      <c r="H2925">
        <v>3</v>
      </c>
      <c r="I2925" t="s">
        <v>3892</v>
      </c>
      <c r="J2925" t="s">
        <v>3469</v>
      </c>
      <c r="K2925" t="s">
        <v>3696</v>
      </c>
      <c r="L2925">
        <v>4.34</v>
      </c>
      <c r="M2925" s="453">
        <v>45806</v>
      </c>
      <c r="N2925">
        <v>3.9</v>
      </c>
      <c r="O2925">
        <v>4.5</v>
      </c>
      <c r="P2925">
        <v>13.02</v>
      </c>
    </row>
    <row r="2926" spans="1:16" x14ac:dyDescent="0.3">
      <c r="A2926">
        <v>36616</v>
      </c>
      <c r="B2926">
        <v>116</v>
      </c>
      <c r="C2926" t="s">
        <v>568</v>
      </c>
      <c r="D2926" s="453">
        <v>45809</v>
      </c>
      <c r="E2926">
        <v>19647</v>
      </c>
      <c r="F2926" t="s">
        <v>4066</v>
      </c>
      <c r="G2926">
        <v>2591</v>
      </c>
      <c r="H2926">
        <v>1</v>
      </c>
      <c r="I2926" t="s">
        <v>3892</v>
      </c>
      <c r="J2926" t="s">
        <v>3469</v>
      </c>
      <c r="K2926" t="s">
        <v>3696</v>
      </c>
      <c r="L2926">
        <v>13</v>
      </c>
      <c r="M2926" s="453">
        <v>45803</v>
      </c>
      <c r="N2926">
        <v>13</v>
      </c>
      <c r="O2926">
        <v>10</v>
      </c>
      <c r="P2926">
        <v>13</v>
      </c>
    </row>
    <row r="2927" spans="1:16" x14ac:dyDescent="0.3">
      <c r="A2927">
        <v>36637</v>
      </c>
      <c r="B2927">
        <v>116</v>
      </c>
      <c r="C2927" t="s">
        <v>568</v>
      </c>
      <c r="D2927" s="453">
        <v>45809</v>
      </c>
      <c r="E2927">
        <v>24326</v>
      </c>
      <c r="F2927" t="s">
        <v>3932</v>
      </c>
      <c r="G2927">
        <v>2499</v>
      </c>
      <c r="H2927">
        <v>6</v>
      </c>
      <c r="I2927" t="s">
        <v>3892</v>
      </c>
      <c r="J2927" t="s">
        <v>3469</v>
      </c>
      <c r="K2927" t="s">
        <v>3696</v>
      </c>
      <c r="L2927">
        <v>2.06</v>
      </c>
      <c r="M2927" s="453">
        <v>45806</v>
      </c>
      <c r="N2927">
        <v>2</v>
      </c>
      <c r="O2927">
        <v>2.0099999999999998</v>
      </c>
      <c r="P2927">
        <v>12.36</v>
      </c>
    </row>
    <row r="2928" spans="1:16" x14ac:dyDescent="0.3">
      <c r="A2928">
        <v>36662</v>
      </c>
      <c r="B2928">
        <v>116</v>
      </c>
      <c r="C2928" t="s">
        <v>568</v>
      </c>
      <c r="D2928" s="453">
        <v>45809</v>
      </c>
      <c r="E2928">
        <v>19710</v>
      </c>
      <c r="F2928" t="s">
        <v>4106</v>
      </c>
      <c r="G2928">
        <v>2540</v>
      </c>
      <c r="H2928">
        <v>0.5</v>
      </c>
      <c r="I2928" t="s">
        <v>3888</v>
      </c>
      <c r="J2928" t="s">
        <v>3469</v>
      </c>
      <c r="K2928" t="s">
        <v>3696</v>
      </c>
      <c r="L2928">
        <v>23.9</v>
      </c>
      <c r="M2928" s="453">
        <v>45783</v>
      </c>
      <c r="N2928">
        <v>23.9</v>
      </c>
      <c r="O2928">
        <v>23.9</v>
      </c>
      <c r="P2928">
        <v>11.95</v>
      </c>
    </row>
    <row r="2929" spans="1:16" x14ac:dyDescent="0.3">
      <c r="A2929">
        <v>36658</v>
      </c>
      <c r="B2929">
        <v>116</v>
      </c>
      <c r="C2929" t="s">
        <v>568</v>
      </c>
      <c r="D2929" s="453">
        <v>45809</v>
      </c>
      <c r="E2929">
        <v>19672</v>
      </c>
      <c r="F2929" t="s">
        <v>4024</v>
      </c>
      <c r="G2929">
        <v>2567</v>
      </c>
      <c r="H2929">
        <v>1</v>
      </c>
      <c r="I2929" t="s">
        <v>3892</v>
      </c>
      <c r="J2929" t="s">
        <v>3469</v>
      </c>
      <c r="K2929" t="s">
        <v>3696</v>
      </c>
      <c r="L2929">
        <v>11.31</v>
      </c>
      <c r="M2929" s="453">
        <v>45803</v>
      </c>
      <c r="N2929">
        <v>0</v>
      </c>
      <c r="O2929">
        <v>0</v>
      </c>
      <c r="P2929">
        <v>11.31</v>
      </c>
    </row>
    <row r="2930" spans="1:16" x14ac:dyDescent="0.3">
      <c r="A2930">
        <v>36595</v>
      </c>
      <c r="B2930">
        <v>116</v>
      </c>
      <c r="C2930" t="s">
        <v>568</v>
      </c>
      <c r="D2930" s="453">
        <v>45809</v>
      </c>
      <c r="E2930">
        <v>24401</v>
      </c>
      <c r="F2930" t="s">
        <v>4063</v>
      </c>
      <c r="G2930">
        <v>2369</v>
      </c>
      <c r="H2930">
        <v>0.8</v>
      </c>
      <c r="I2930" t="s">
        <v>3872</v>
      </c>
      <c r="J2930" t="s">
        <v>3469</v>
      </c>
      <c r="K2930" t="s">
        <v>3696</v>
      </c>
      <c r="L2930">
        <v>13.5</v>
      </c>
      <c r="M2930" s="453">
        <v>45797</v>
      </c>
      <c r="N2930">
        <v>13.5</v>
      </c>
      <c r="O2930">
        <v>13.5</v>
      </c>
      <c r="P2930">
        <v>10.8</v>
      </c>
    </row>
    <row r="2931" spans="1:16" x14ac:dyDescent="0.3">
      <c r="A2931">
        <v>36630</v>
      </c>
      <c r="B2931">
        <v>116</v>
      </c>
      <c r="C2931" t="s">
        <v>568</v>
      </c>
      <c r="D2931" s="453">
        <v>45809</v>
      </c>
      <c r="E2931">
        <v>24230</v>
      </c>
      <c r="F2931" t="s">
        <v>4018</v>
      </c>
      <c r="G2931">
        <v>2622</v>
      </c>
      <c r="H2931">
        <v>0.5</v>
      </c>
      <c r="I2931" t="s">
        <v>3892</v>
      </c>
      <c r="J2931" t="s">
        <v>3469</v>
      </c>
      <c r="K2931" t="s">
        <v>3696</v>
      </c>
      <c r="L2931">
        <v>21.5</v>
      </c>
      <c r="M2931" s="453">
        <v>45803</v>
      </c>
      <c r="N2931">
        <v>21.5</v>
      </c>
      <c r="O2931">
        <v>23</v>
      </c>
      <c r="P2931">
        <v>10.75</v>
      </c>
    </row>
    <row r="2932" spans="1:16" x14ac:dyDescent="0.3">
      <c r="A2932">
        <v>36626</v>
      </c>
      <c r="B2932">
        <v>116</v>
      </c>
      <c r="C2932" t="s">
        <v>568</v>
      </c>
      <c r="D2932" s="453">
        <v>45809</v>
      </c>
      <c r="E2932">
        <v>19488</v>
      </c>
      <c r="F2932" t="s">
        <v>4070</v>
      </c>
      <c r="G2932">
        <v>2720</v>
      </c>
      <c r="H2932">
        <v>1</v>
      </c>
      <c r="I2932" t="s">
        <v>3892</v>
      </c>
      <c r="J2932" t="s">
        <v>3469</v>
      </c>
      <c r="K2932" t="s">
        <v>3696</v>
      </c>
      <c r="L2932">
        <v>10.33</v>
      </c>
      <c r="M2932" s="453">
        <v>45799</v>
      </c>
      <c r="N2932">
        <v>10</v>
      </c>
      <c r="O2932">
        <v>9</v>
      </c>
      <c r="P2932">
        <v>10.33</v>
      </c>
    </row>
    <row r="2933" spans="1:16" x14ac:dyDescent="0.3">
      <c r="A2933">
        <v>36621</v>
      </c>
      <c r="B2933">
        <v>116</v>
      </c>
      <c r="C2933" t="s">
        <v>568</v>
      </c>
      <c r="D2933" s="453">
        <v>45809</v>
      </c>
      <c r="E2933">
        <v>19494</v>
      </c>
      <c r="F2933" t="s">
        <v>4126</v>
      </c>
      <c r="G2933">
        <v>2716</v>
      </c>
      <c r="H2933">
        <v>1</v>
      </c>
      <c r="I2933" t="s">
        <v>3892</v>
      </c>
      <c r="J2933" t="s">
        <v>3469</v>
      </c>
      <c r="K2933" t="s">
        <v>3696</v>
      </c>
      <c r="L2933">
        <v>9.92</v>
      </c>
      <c r="M2933" s="453">
        <v>45799</v>
      </c>
      <c r="N2933">
        <v>9.5</v>
      </c>
      <c r="O2933">
        <v>9.5</v>
      </c>
      <c r="P2933">
        <v>9.92</v>
      </c>
    </row>
    <row r="2934" spans="1:16" x14ac:dyDescent="0.3">
      <c r="A2934">
        <v>36631</v>
      </c>
      <c r="B2934">
        <v>116</v>
      </c>
      <c r="C2934" t="s">
        <v>568</v>
      </c>
      <c r="D2934" s="453">
        <v>45809</v>
      </c>
      <c r="E2934">
        <v>24598</v>
      </c>
      <c r="F2934" t="s">
        <v>4166</v>
      </c>
      <c r="G2934">
        <v>2725</v>
      </c>
      <c r="H2934">
        <v>1</v>
      </c>
      <c r="I2934" t="s">
        <v>3892</v>
      </c>
      <c r="J2934" t="s">
        <v>3469</v>
      </c>
      <c r="K2934" t="s">
        <v>3696</v>
      </c>
      <c r="L2934">
        <v>9.2200000000000006</v>
      </c>
      <c r="M2934" s="453">
        <v>45806</v>
      </c>
      <c r="N2934">
        <v>9</v>
      </c>
      <c r="O2934">
        <v>7</v>
      </c>
      <c r="P2934">
        <v>9.2200000000000006</v>
      </c>
    </row>
    <row r="2935" spans="1:16" x14ac:dyDescent="0.3">
      <c r="A2935">
        <v>36642</v>
      </c>
      <c r="B2935">
        <v>116</v>
      </c>
      <c r="C2935" t="s">
        <v>568</v>
      </c>
      <c r="D2935" s="453">
        <v>45809</v>
      </c>
      <c r="E2935">
        <v>19475</v>
      </c>
      <c r="F2935" t="s">
        <v>4111</v>
      </c>
      <c r="G2935">
        <v>2730</v>
      </c>
      <c r="H2935">
        <v>0.2</v>
      </c>
      <c r="I2935" t="s">
        <v>3892</v>
      </c>
      <c r="J2935" t="s">
        <v>3469</v>
      </c>
      <c r="K2935" t="s">
        <v>3696</v>
      </c>
      <c r="L2935">
        <v>44.47</v>
      </c>
      <c r="M2935" s="453">
        <v>45806</v>
      </c>
      <c r="N2935">
        <v>38</v>
      </c>
      <c r="O2935">
        <v>38</v>
      </c>
      <c r="P2935">
        <v>8.89</v>
      </c>
    </row>
    <row r="2936" spans="1:16" x14ac:dyDescent="0.3">
      <c r="A2936">
        <v>36657</v>
      </c>
      <c r="B2936">
        <v>116</v>
      </c>
      <c r="C2936" t="s">
        <v>568</v>
      </c>
      <c r="D2936" s="453">
        <v>45809</v>
      </c>
      <c r="E2936">
        <v>19465</v>
      </c>
      <c r="F2936" t="s">
        <v>4080</v>
      </c>
      <c r="G2936">
        <v>2737</v>
      </c>
      <c r="H2936">
        <v>1</v>
      </c>
      <c r="I2936" t="s">
        <v>3892</v>
      </c>
      <c r="J2936" t="s">
        <v>3469</v>
      </c>
      <c r="K2936" t="s">
        <v>3696</v>
      </c>
      <c r="L2936">
        <v>8.83</v>
      </c>
      <c r="M2936" s="453">
        <v>45806</v>
      </c>
      <c r="N2936">
        <v>8.5</v>
      </c>
      <c r="O2936">
        <v>8.6199999999999992</v>
      </c>
      <c r="P2936">
        <v>8.83</v>
      </c>
    </row>
    <row r="2937" spans="1:16" x14ac:dyDescent="0.3">
      <c r="A2937">
        <v>36659</v>
      </c>
      <c r="B2937">
        <v>116</v>
      </c>
      <c r="C2937" t="s">
        <v>568</v>
      </c>
      <c r="D2937" s="453">
        <v>45809</v>
      </c>
      <c r="E2937">
        <v>19546</v>
      </c>
      <c r="F2937" t="s">
        <v>4483</v>
      </c>
      <c r="G2937">
        <v>2670</v>
      </c>
      <c r="H2937">
        <v>0.5</v>
      </c>
      <c r="I2937" t="s">
        <v>3892</v>
      </c>
      <c r="J2937" t="s">
        <v>3469</v>
      </c>
      <c r="K2937" t="s">
        <v>3696</v>
      </c>
      <c r="L2937">
        <v>16.98</v>
      </c>
      <c r="M2937" s="453">
        <v>45799</v>
      </c>
      <c r="N2937">
        <v>14.9</v>
      </c>
      <c r="O2937">
        <v>17</v>
      </c>
      <c r="P2937">
        <v>8.49</v>
      </c>
    </row>
    <row r="2938" spans="1:16" x14ac:dyDescent="0.3">
      <c r="A2938">
        <v>36532</v>
      </c>
      <c r="B2938">
        <v>116</v>
      </c>
      <c r="C2938" t="s">
        <v>568</v>
      </c>
      <c r="D2938" s="453">
        <v>45809</v>
      </c>
      <c r="E2938">
        <v>26257</v>
      </c>
      <c r="F2938" t="s">
        <v>4468</v>
      </c>
      <c r="G2938">
        <v>1963</v>
      </c>
      <c r="H2938">
        <v>0.5</v>
      </c>
      <c r="I2938" t="s">
        <v>3872</v>
      </c>
      <c r="J2938" t="s">
        <v>3469</v>
      </c>
      <c r="K2938" t="s">
        <v>3696</v>
      </c>
      <c r="L2938">
        <v>0</v>
      </c>
      <c r="M2938" s="453">
        <v>45763</v>
      </c>
      <c r="N2938">
        <v>16.8</v>
      </c>
      <c r="O2938">
        <v>16.8</v>
      </c>
      <c r="P2938">
        <v>8.4</v>
      </c>
    </row>
    <row r="2939" spans="1:16" x14ac:dyDescent="0.3">
      <c r="A2939">
        <v>36640</v>
      </c>
      <c r="B2939">
        <v>116</v>
      </c>
      <c r="C2939" t="s">
        <v>568</v>
      </c>
      <c r="D2939" s="453">
        <v>45809</v>
      </c>
      <c r="E2939">
        <v>19689</v>
      </c>
      <c r="F2939" t="s">
        <v>4073</v>
      </c>
      <c r="G2939">
        <v>2551</v>
      </c>
      <c r="H2939">
        <v>0.9</v>
      </c>
      <c r="I2939" t="s">
        <v>3892</v>
      </c>
      <c r="J2939" t="s">
        <v>3469</v>
      </c>
      <c r="K2939" t="s">
        <v>3696</v>
      </c>
      <c r="L2939">
        <v>6.4</v>
      </c>
      <c r="M2939" s="453">
        <v>45782</v>
      </c>
      <c r="N2939">
        <v>6.4</v>
      </c>
      <c r="O2939">
        <v>4.38</v>
      </c>
      <c r="P2939">
        <v>5.76</v>
      </c>
    </row>
    <row r="2940" spans="1:16" x14ac:dyDescent="0.3">
      <c r="A2940">
        <v>36612</v>
      </c>
      <c r="B2940">
        <v>116</v>
      </c>
      <c r="C2940" t="s">
        <v>568</v>
      </c>
      <c r="D2940" s="453">
        <v>45809</v>
      </c>
      <c r="E2940">
        <v>19505</v>
      </c>
      <c r="F2940" t="s">
        <v>4101</v>
      </c>
      <c r="G2940">
        <v>2706</v>
      </c>
      <c r="H2940">
        <v>0.6</v>
      </c>
      <c r="I2940" t="s">
        <v>3892</v>
      </c>
      <c r="J2940" t="s">
        <v>3469</v>
      </c>
      <c r="K2940" t="s">
        <v>3696</v>
      </c>
      <c r="L2940">
        <v>8.75</v>
      </c>
      <c r="M2940" s="453">
        <v>45806</v>
      </c>
      <c r="N2940">
        <v>8.5</v>
      </c>
      <c r="O2940">
        <v>8.5</v>
      </c>
      <c r="P2940">
        <v>5.25</v>
      </c>
    </row>
    <row r="2941" spans="1:16" x14ac:dyDescent="0.3">
      <c r="A2941">
        <v>36654</v>
      </c>
      <c r="B2941">
        <v>116</v>
      </c>
      <c r="C2941" t="s">
        <v>568</v>
      </c>
      <c r="D2941" s="453">
        <v>45809</v>
      </c>
      <c r="E2941">
        <v>19555</v>
      </c>
      <c r="F2941" t="s">
        <v>4109</v>
      </c>
      <c r="G2941">
        <v>2662</v>
      </c>
      <c r="H2941">
        <v>0.3</v>
      </c>
      <c r="I2941" t="s">
        <v>3892</v>
      </c>
      <c r="J2941" t="s">
        <v>3469</v>
      </c>
      <c r="K2941" t="s">
        <v>3696</v>
      </c>
      <c r="L2941">
        <v>16.53</v>
      </c>
      <c r="M2941" s="453">
        <v>45806</v>
      </c>
      <c r="N2941">
        <v>15</v>
      </c>
      <c r="O2941">
        <v>15</v>
      </c>
      <c r="P2941">
        <v>4.96</v>
      </c>
    </row>
    <row r="2942" spans="1:16" x14ac:dyDescent="0.3">
      <c r="A2942">
        <v>36620</v>
      </c>
      <c r="B2942">
        <v>116</v>
      </c>
      <c r="C2942" t="s">
        <v>568</v>
      </c>
      <c r="D2942" s="453">
        <v>45809</v>
      </c>
      <c r="E2942">
        <v>19634</v>
      </c>
      <c r="F2942" t="s">
        <v>4068</v>
      </c>
      <c r="G2942">
        <v>2602</v>
      </c>
      <c r="H2942">
        <v>1.2</v>
      </c>
      <c r="I2942" t="s">
        <v>3892</v>
      </c>
      <c r="J2942" t="s">
        <v>3469</v>
      </c>
      <c r="K2942" t="s">
        <v>3696</v>
      </c>
      <c r="L2942">
        <v>3.97</v>
      </c>
      <c r="M2942" s="453">
        <v>45806</v>
      </c>
      <c r="N2942">
        <v>3.5</v>
      </c>
      <c r="O2942">
        <v>3.62</v>
      </c>
      <c r="P2942">
        <v>4.76</v>
      </c>
    </row>
    <row r="2943" spans="1:16" x14ac:dyDescent="0.3">
      <c r="A2943">
        <v>36627</v>
      </c>
      <c r="B2943">
        <v>116</v>
      </c>
      <c r="C2943" t="s">
        <v>568</v>
      </c>
      <c r="D2943" s="453">
        <v>45809</v>
      </c>
      <c r="E2943">
        <v>19621</v>
      </c>
      <c r="F2943" t="s">
        <v>4125</v>
      </c>
      <c r="G2943">
        <v>2613</v>
      </c>
      <c r="H2943">
        <v>2</v>
      </c>
      <c r="I2943" t="s">
        <v>3892</v>
      </c>
      <c r="J2943" t="s">
        <v>3469</v>
      </c>
      <c r="K2943" t="s">
        <v>3696</v>
      </c>
      <c r="L2943">
        <v>2.38</v>
      </c>
      <c r="M2943" s="453">
        <v>45806</v>
      </c>
      <c r="N2943">
        <v>2.4</v>
      </c>
      <c r="O2943">
        <v>2.2999999999999998</v>
      </c>
      <c r="P2943">
        <v>4.76</v>
      </c>
    </row>
    <row r="2944" spans="1:16" x14ac:dyDescent="0.3">
      <c r="A2944">
        <v>36656</v>
      </c>
      <c r="B2944">
        <v>116</v>
      </c>
      <c r="C2944" t="s">
        <v>568</v>
      </c>
      <c r="D2944" s="453">
        <v>45809</v>
      </c>
      <c r="E2944">
        <v>19468</v>
      </c>
      <c r="F2944" t="s">
        <v>4079</v>
      </c>
      <c r="G2944">
        <v>2736</v>
      </c>
      <c r="H2944">
        <v>0.5</v>
      </c>
      <c r="I2944" t="s">
        <v>3892</v>
      </c>
      <c r="J2944" t="s">
        <v>3469</v>
      </c>
      <c r="K2944" t="s">
        <v>3696</v>
      </c>
      <c r="L2944">
        <v>9.35</v>
      </c>
      <c r="M2944" s="453">
        <v>45806</v>
      </c>
      <c r="N2944">
        <v>9</v>
      </c>
      <c r="O2944">
        <v>9</v>
      </c>
      <c r="P2944">
        <v>4.68</v>
      </c>
    </row>
    <row r="2945" spans="1:16" x14ac:dyDescent="0.3">
      <c r="A2945">
        <v>36619</v>
      </c>
      <c r="B2945">
        <v>116</v>
      </c>
      <c r="C2945" t="s">
        <v>568</v>
      </c>
      <c r="D2945" s="453">
        <v>45809</v>
      </c>
      <c r="E2945">
        <v>19642</v>
      </c>
      <c r="F2945" t="s">
        <v>4067</v>
      </c>
      <c r="G2945">
        <v>2596</v>
      </c>
      <c r="H2945">
        <v>1</v>
      </c>
      <c r="I2945" t="s">
        <v>3892</v>
      </c>
      <c r="J2945" t="s">
        <v>3469</v>
      </c>
      <c r="K2945" t="s">
        <v>3696</v>
      </c>
      <c r="L2945">
        <v>4.43</v>
      </c>
      <c r="M2945" s="453">
        <v>45806</v>
      </c>
      <c r="N2945">
        <v>4.2</v>
      </c>
      <c r="O2945">
        <v>4.2</v>
      </c>
      <c r="P2945">
        <v>4.43</v>
      </c>
    </row>
    <row r="2946" spans="1:16" x14ac:dyDescent="0.3">
      <c r="A2946">
        <v>36641</v>
      </c>
      <c r="B2946">
        <v>116</v>
      </c>
      <c r="C2946" t="s">
        <v>568</v>
      </c>
      <c r="D2946" s="453">
        <v>45809</v>
      </c>
      <c r="E2946">
        <v>23347</v>
      </c>
      <c r="F2946" t="s">
        <v>4074</v>
      </c>
      <c r="G2946">
        <v>2511</v>
      </c>
      <c r="H2946">
        <v>0.6</v>
      </c>
      <c r="I2946" t="s">
        <v>3892</v>
      </c>
      <c r="J2946" t="s">
        <v>3469</v>
      </c>
      <c r="K2946" t="s">
        <v>3696</v>
      </c>
      <c r="L2946">
        <v>0</v>
      </c>
      <c r="M2946" s="453">
        <v>45677</v>
      </c>
      <c r="N2946">
        <v>6.8</v>
      </c>
      <c r="O2946">
        <v>6.8</v>
      </c>
      <c r="P2946">
        <v>4.08</v>
      </c>
    </row>
    <row r="2947" spans="1:16" x14ac:dyDescent="0.3">
      <c r="A2947">
        <v>36625</v>
      </c>
      <c r="B2947">
        <v>116</v>
      </c>
      <c r="C2947" t="s">
        <v>568</v>
      </c>
      <c r="D2947" s="453">
        <v>45809</v>
      </c>
      <c r="E2947">
        <v>19486</v>
      </c>
      <c r="F2947" t="s">
        <v>4472</v>
      </c>
      <c r="G2947">
        <v>7790</v>
      </c>
      <c r="H2947">
        <v>0.1</v>
      </c>
      <c r="I2947" t="s">
        <v>3966</v>
      </c>
      <c r="J2947" t="s">
        <v>3469</v>
      </c>
      <c r="K2947" t="s">
        <v>3696</v>
      </c>
      <c r="L2947">
        <v>39.71</v>
      </c>
      <c r="M2947" s="453">
        <v>45797</v>
      </c>
      <c r="N2947">
        <v>39.6</v>
      </c>
      <c r="O2947">
        <v>39.6</v>
      </c>
      <c r="P2947">
        <v>3.97</v>
      </c>
    </row>
    <row r="2948" spans="1:16" x14ac:dyDescent="0.3">
      <c r="A2948">
        <v>36611</v>
      </c>
      <c r="B2948">
        <v>116</v>
      </c>
      <c r="C2948" t="s">
        <v>568</v>
      </c>
      <c r="D2948" s="453">
        <v>45809</v>
      </c>
      <c r="E2948">
        <v>19506</v>
      </c>
      <c r="F2948" t="s">
        <v>4112</v>
      </c>
      <c r="G2948">
        <v>2705</v>
      </c>
      <c r="H2948">
        <v>0.1</v>
      </c>
      <c r="I2948" t="s">
        <v>3892</v>
      </c>
      <c r="J2948" t="s">
        <v>3469</v>
      </c>
      <c r="K2948" t="s">
        <v>3696</v>
      </c>
      <c r="L2948">
        <v>37.799999999999997</v>
      </c>
      <c r="M2948" s="453">
        <v>45806</v>
      </c>
      <c r="N2948">
        <v>40</v>
      </c>
      <c r="O2948">
        <v>39</v>
      </c>
      <c r="P2948">
        <v>3.78</v>
      </c>
    </row>
    <row r="2949" spans="1:16" x14ac:dyDescent="0.3">
      <c r="A2949">
        <v>36633</v>
      </c>
      <c r="B2949">
        <v>116</v>
      </c>
      <c r="C2949" t="s">
        <v>568</v>
      </c>
      <c r="D2949" s="453">
        <v>45809</v>
      </c>
      <c r="E2949">
        <v>19607</v>
      </c>
      <c r="F2949" t="s">
        <v>4105</v>
      </c>
      <c r="G2949">
        <v>2623</v>
      </c>
      <c r="H2949">
        <v>0.4</v>
      </c>
      <c r="I2949" t="s">
        <v>3892</v>
      </c>
      <c r="J2949" t="s">
        <v>3469</v>
      </c>
      <c r="K2949" t="s">
        <v>3696</v>
      </c>
      <c r="L2949">
        <v>9</v>
      </c>
      <c r="M2949" s="453">
        <v>45803</v>
      </c>
      <c r="N2949">
        <v>9</v>
      </c>
      <c r="O2949">
        <v>10.5</v>
      </c>
      <c r="P2949">
        <v>3.6</v>
      </c>
    </row>
    <row r="2950" spans="1:16" x14ac:dyDescent="0.3">
      <c r="A2950">
        <v>36594</v>
      </c>
      <c r="B2950">
        <v>116</v>
      </c>
      <c r="C2950" t="s">
        <v>568</v>
      </c>
      <c r="D2950" s="453">
        <v>45809</v>
      </c>
      <c r="E2950">
        <v>19935</v>
      </c>
      <c r="F2950" t="s">
        <v>4469</v>
      </c>
      <c r="G2950">
        <v>2368</v>
      </c>
      <c r="H2950">
        <v>0.5</v>
      </c>
      <c r="I2950" t="s">
        <v>3888</v>
      </c>
      <c r="J2950" t="s">
        <v>3469</v>
      </c>
      <c r="K2950" t="s">
        <v>3696</v>
      </c>
      <c r="L2950">
        <v>0</v>
      </c>
      <c r="M2950" s="453">
        <v>45629</v>
      </c>
      <c r="N2950">
        <v>6.5</v>
      </c>
      <c r="O2950">
        <v>6.5</v>
      </c>
      <c r="P2950">
        <v>3.25</v>
      </c>
    </row>
    <row r="2951" spans="1:16" x14ac:dyDescent="0.3">
      <c r="A2951">
        <v>36613</v>
      </c>
      <c r="B2951">
        <v>116</v>
      </c>
      <c r="C2951" t="s">
        <v>568</v>
      </c>
      <c r="D2951" s="453">
        <v>45809</v>
      </c>
      <c r="E2951">
        <v>19498</v>
      </c>
      <c r="F2951" t="s">
        <v>4065</v>
      </c>
      <c r="G2951">
        <v>2712</v>
      </c>
      <c r="H2951">
        <v>0.3</v>
      </c>
      <c r="I2951" t="s">
        <v>3892</v>
      </c>
      <c r="J2951" t="s">
        <v>3469</v>
      </c>
      <c r="K2951" t="s">
        <v>3696</v>
      </c>
      <c r="L2951">
        <v>10.26</v>
      </c>
      <c r="M2951" s="453">
        <v>45806</v>
      </c>
      <c r="N2951">
        <v>9</v>
      </c>
      <c r="O2951">
        <v>9.7100000000000009</v>
      </c>
      <c r="P2951">
        <v>3.08</v>
      </c>
    </row>
    <row r="2952" spans="1:16" x14ac:dyDescent="0.3">
      <c r="A2952">
        <v>36635</v>
      </c>
      <c r="B2952">
        <v>116</v>
      </c>
      <c r="C2952" t="s">
        <v>568</v>
      </c>
      <c r="D2952" s="453">
        <v>45809</v>
      </c>
      <c r="E2952">
        <v>19752</v>
      </c>
      <c r="F2952" t="s">
        <v>4042</v>
      </c>
      <c r="G2952">
        <v>2501</v>
      </c>
      <c r="H2952">
        <v>0.6</v>
      </c>
      <c r="I2952" t="s">
        <v>3892</v>
      </c>
      <c r="J2952" t="s">
        <v>3469</v>
      </c>
      <c r="K2952" t="s">
        <v>3696</v>
      </c>
      <c r="L2952">
        <v>4.08</v>
      </c>
      <c r="M2952" s="453">
        <v>45806</v>
      </c>
      <c r="N2952">
        <v>2.5</v>
      </c>
      <c r="O2952">
        <v>4.5</v>
      </c>
      <c r="P2952">
        <v>2.4500000000000002</v>
      </c>
    </row>
    <row r="2953" spans="1:16" x14ac:dyDescent="0.3">
      <c r="A2953">
        <v>36655</v>
      </c>
      <c r="B2953">
        <v>116</v>
      </c>
      <c r="C2953" t="s">
        <v>568</v>
      </c>
      <c r="D2953" s="453">
        <v>45809</v>
      </c>
      <c r="E2953">
        <v>19553</v>
      </c>
      <c r="F2953" t="s">
        <v>4078</v>
      </c>
      <c r="G2953">
        <v>2663</v>
      </c>
      <c r="H2953">
        <v>1</v>
      </c>
      <c r="I2953" t="s">
        <v>3892</v>
      </c>
      <c r="J2953" t="s">
        <v>3469</v>
      </c>
      <c r="K2953" t="s">
        <v>3696</v>
      </c>
      <c r="L2953">
        <v>2.37</v>
      </c>
      <c r="M2953" s="453">
        <v>45806</v>
      </c>
      <c r="N2953">
        <v>2.1</v>
      </c>
      <c r="O2953">
        <v>2.5</v>
      </c>
      <c r="P2953">
        <v>2.37</v>
      </c>
    </row>
    <row r="2954" spans="1:16" x14ac:dyDescent="0.3">
      <c r="A2954">
        <v>36628</v>
      </c>
      <c r="B2954">
        <v>116</v>
      </c>
      <c r="C2954" t="s">
        <v>568</v>
      </c>
      <c r="D2954" s="453">
        <v>45809</v>
      </c>
      <c r="E2954">
        <v>19617</v>
      </c>
      <c r="F2954" t="s">
        <v>4110</v>
      </c>
      <c r="G2954">
        <v>2617</v>
      </c>
      <c r="H2954">
        <v>0.1</v>
      </c>
      <c r="I2954" t="s">
        <v>3892</v>
      </c>
      <c r="J2954" t="s">
        <v>3469</v>
      </c>
      <c r="K2954" t="s">
        <v>3696</v>
      </c>
      <c r="L2954">
        <v>11.3</v>
      </c>
      <c r="M2954" s="453">
        <v>45805</v>
      </c>
      <c r="N2954">
        <v>11</v>
      </c>
      <c r="O2954">
        <v>10</v>
      </c>
      <c r="P2954">
        <v>1.1299999999999999</v>
      </c>
    </row>
    <row r="2955" spans="1:16" x14ac:dyDescent="0.3">
      <c r="A2955">
        <v>36585</v>
      </c>
      <c r="B2955">
        <v>116</v>
      </c>
      <c r="C2955" t="s">
        <v>568</v>
      </c>
      <c r="D2955" s="453">
        <v>45809</v>
      </c>
      <c r="E2955">
        <v>19986</v>
      </c>
      <c r="F2955" t="s">
        <v>4484</v>
      </c>
      <c r="G2955">
        <v>2351</v>
      </c>
      <c r="H2955">
        <v>2</v>
      </c>
      <c r="I2955" t="s">
        <v>3931</v>
      </c>
      <c r="J2955" t="s">
        <v>3469</v>
      </c>
      <c r="K2955" t="s">
        <v>3696</v>
      </c>
      <c r="L2955">
        <v>0</v>
      </c>
      <c r="M2955" s="453">
        <v>45664</v>
      </c>
      <c r="N2955">
        <v>0</v>
      </c>
      <c r="O2955">
        <v>130</v>
      </c>
      <c r="P2955">
        <v>0</v>
      </c>
    </row>
    <row r="2956" spans="1:16" x14ac:dyDescent="0.3">
      <c r="A2956">
        <v>32975</v>
      </c>
      <c r="B2956">
        <v>116</v>
      </c>
      <c r="C2956" t="s">
        <v>568</v>
      </c>
      <c r="D2956" s="453">
        <v>45778</v>
      </c>
      <c r="E2956">
        <v>18636</v>
      </c>
      <c r="F2956" t="s">
        <v>3921</v>
      </c>
      <c r="G2956">
        <v>3075</v>
      </c>
      <c r="H2956">
        <v>16.3</v>
      </c>
      <c r="I2956" t="s">
        <v>3922</v>
      </c>
      <c r="J2956" t="s">
        <v>3497</v>
      </c>
      <c r="K2956" t="s">
        <v>3750</v>
      </c>
      <c r="L2956">
        <v>427.64</v>
      </c>
      <c r="M2956" s="453">
        <v>45775</v>
      </c>
      <c r="N2956">
        <v>276.43</v>
      </c>
      <c r="O2956">
        <v>453.36</v>
      </c>
      <c r="P2956">
        <v>6970.53</v>
      </c>
    </row>
    <row r="2957" spans="1:16" x14ac:dyDescent="0.3">
      <c r="A2957">
        <v>32947</v>
      </c>
      <c r="B2957">
        <v>116</v>
      </c>
      <c r="C2957" t="s">
        <v>568</v>
      </c>
      <c r="D2957" s="453">
        <v>45778</v>
      </c>
      <c r="E2957">
        <v>18791</v>
      </c>
      <c r="F2957" t="s">
        <v>4476</v>
      </c>
      <c r="G2957">
        <v>2982</v>
      </c>
      <c r="H2957">
        <v>1.24</v>
      </c>
      <c r="I2957" t="s">
        <v>3881</v>
      </c>
      <c r="J2957" t="s">
        <v>3469</v>
      </c>
      <c r="K2957" t="s">
        <v>3750</v>
      </c>
      <c r="L2957">
        <v>3000</v>
      </c>
      <c r="M2957" s="453">
        <v>45776</v>
      </c>
      <c r="N2957">
        <v>3000</v>
      </c>
      <c r="O2957">
        <v>3000</v>
      </c>
      <c r="P2957">
        <v>3720</v>
      </c>
    </row>
    <row r="2958" spans="1:16" x14ac:dyDescent="0.3">
      <c r="A2958">
        <v>32998</v>
      </c>
      <c r="B2958">
        <v>116</v>
      </c>
      <c r="C2958" t="s">
        <v>568</v>
      </c>
      <c r="D2958" s="453">
        <v>45778</v>
      </c>
      <c r="E2958">
        <v>18247</v>
      </c>
      <c r="F2958" t="s">
        <v>3877</v>
      </c>
      <c r="G2958">
        <v>3383</v>
      </c>
      <c r="H2958">
        <v>39.700000000000003</v>
      </c>
      <c r="I2958" t="s">
        <v>3878</v>
      </c>
      <c r="J2958" t="s">
        <v>3497</v>
      </c>
      <c r="K2958" t="s">
        <v>3750</v>
      </c>
      <c r="L2958">
        <v>0</v>
      </c>
      <c r="M2958" s="453">
        <v>-693593</v>
      </c>
      <c r="N2958">
        <v>0</v>
      </c>
      <c r="O2958">
        <v>0</v>
      </c>
      <c r="P2958">
        <v>2636.08</v>
      </c>
    </row>
    <row r="2959" spans="1:16" x14ac:dyDescent="0.3">
      <c r="A2959">
        <v>32971</v>
      </c>
      <c r="B2959">
        <v>116</v>
      </c>
      <c r="C2959" t="s">
        <v>568</v>
      </c>
      <c r="D2959" s="453">
        <v>45778</v>
      </c>
      <c r="E2959">
        <v>25543</v>
      </c>
      <c r="F2959" t="s">
        <v>4477</v>
      </c>
      <c r="G2959">
        <v>6161</v>
      </c>
      <c r="H2959">
        <v>12</v>
      </c>
      <c r="I2959" t="s">
        <v>3892</v>
      </c>
      <c r="J2959" t="s">
        <v>3469</v>
      </c>
      <c r="K2959" t="s">
        <v>3750</v>
      </c>
      <c r="L2959">
        <v>0</v>
      </c>
      <c r="M2959" s="453">
        <v>-693593</v>
      </c>
      <c r="N2959">
        <v>0</v>
      </c>
      <c r="O2959">
        <v>0</v>
      </c>
      <c r="P2959">
        <v>2268</v>
      </c>
    </row>
    <row r="2960" spans="1:16" x14ac:dyDescent="0.3">
      <c r="A2960">
        <v>32957</v>
      </c>
      <c r="B2960">
        <v>116</v>
      </c>
      <c r="C2960" t="s">
        <v>568</v>
      </c>
      <c r="D2960" s="453">
        <v>45778</v>
      </c>
      <c r="E2960">
        <v>18883</v>
      </c>
      <c r="F2960" t="s">
        <v>4478</v>
      </c>
      <c r="G2960">
        <v>2938</v>
      </c>
      <c r="H2960">
        <v>14.9</v>
      </c>
      <c r="I2960" t="s">
        <v>3892</v>
      </c>
      <c r="J2960" t="s">
        <v>3469</v>
      </c>
      <c r="K2960" t="s">
        <v>3750</v>
      </c>
      <c r="L2960">
        <v>0</v>
      </c>
      <c r="M2960" s="453">
        <v>45677</v>
      </c>
      <c r="N2960">
        <v>79.5</v>
      </c>
      <c r="O2960">
        <v>79.900000000000006</v>
      </c>
      <c r="P2960">
        <v>1184.55</v>
      </c>
    </row>
    <row r="2961" spans="1:16" x14ac:dyDescent="0.3">
      <c r="A2961">
        <v>32843</v>
      </c>
      <c r="B2961">
        <v>116</v>
      </c>
      <c r="C2961" t="s">
        <v>568</v>
      </c>
      <c r="D2961" s="453">
        <v>45778</v>
      </c>
      <c r="E2961">
        <v>20539</v>
      </c>
      <c r="F2961" t="s">
        <v>3908</v>
      </c>
      <c r="G2961">
        <v>2145</v>
      </c>
      <c r="H2961">
        <v>26</v>
      </c>
      <c r="I2961" t="s">
        <v>3892</v>
      </c>
      <c r="J2961" t="s">
        <v>3469</v>
      </c>
      <c r="K2961" t="s">
        <v>3750</v>
      </c>
      <c r="L2961">
        <v>40.4</v>
      </c>
      <c r="M2961" s="453">
        <v>45770</v>
      </c>
      <c r="N2961">
        <v>40.4</v>
      </c>
      <c r="O2961">
        <v>40.4</v>
      </c>
      <c r="P2961">
        <v>1050.4000000000001</v>
      </c>
    </row>
    <row r="2962" spans="1:16" x14ac:dyDescent="0.3">
      <c r="A2962">
        <v>32943</v>
      </c>
      <c r="B2962">
        <v>116</v>
      </c>
      <c r="C2962" t="s">
        <v>568</v>
      </c>
      <c r="D2962" s="453">
        <v>45778</v>
      </c>
      <c r="E2962">
        <v>19297</v>
      </c>
      <c r="F2962" t="s">
        <v>3949</v>
      </c>
      <c r="G2962">
        <v>2775</v>
      </c>
      <c r="H2962">
        <v>11.5</v>
      </c>
      <c r="I2962" t="s">
        <v>3892</v>
      </c>
      <c r="J2962" t="s">
        <v>3469</v>
      </c>
      <c r="K2962" t="s">
        <v>3750</v>
      </c>
      <c r="L2962">
        <v>72.28</v>
      </c>
      <c r="M2962" s="453">
        <v>45776</v>
      </c>
      <c r="N2962">
        <v>72.349999999999994</v>
      </c>
      <c r="O2962">
        <v>39.49</v>
      </c>
      <c r="P2962">
        <v>831.22</v>
      </c>
    </row>
    <row r="2963" spans="1:16" x14ac:dyDescent="0.3">
      <c r="A2963">
        <v>32939</v>
      </c>
      <c r="B2963">
        <v>116</v>
      </c>
      <c r="C2963" t="s">
        <v>568</v>
      </c>
      <c r="D2963" s="453">
        <v>45778</v>
      </c>
      <c r="E2963">
        <v>19224</v>
      </c>
      <c r="F2963" t="s">
        <v>4485</v>
      </c>
      <c r="G2963">
        <v>5850</v>
      </c>
      <c r="H2963">
        <v>3.5</v>
      </c>
      <c r="I2963" t="s">
        <v>3872</v>
      </c>
      <c r="J2963" t="s">
        <v>3469</v>
      </c>
      <c r="K2963" t="s">
        <v>3750</v>
      </c>
      <c r="L2963">
        <v>0</v>
      </c>
      <c r="M2963" s="453">
        <v>45586</v>
      </c>
      <c r="N2963">
        <v>228.9</v>
      </c>
      <c r="O2963">
        <v>229.9</v>
      </c>
      <c r="P2963">
        <v>801.15</v>
      </c>
    </row>
    <row r="2964" spans="1:16" x14ac:dyDescent="0.3">
      <c r="A2964">
        <v>32956</v>
      </c>
      <c r="B2964">
        <v>116</v>
      </c>
      <c r="C2964" t="s">
        <v>568</v>
      </c>
      <c r="D2964" s="453">
        <v>45778</v>
      </c>
      <c r="E2964">
        <v>22763</v>
      </c>
      <c r="F2964" t="s">
        <v>4486</v>
      </c>
      <c r="G2964">
        <v>3002</v>
      </c>
      <c r="H2964">
        <v>6.4</v>
      </c>
      <c r="I2964" t="s">
        <v>3892</v>
      </c>
      <c r="J2964" t="s">
        <v>3469</v>
      </c>
      <c r="K2964" t="s">
        <v>3750</v>
      </c>
      <c r="L2964">
        <v>112</v>
      </c>
      <c r="M2964" s="453">
        <v>45762</v>
      </c>
      <c r="N2964">
        <v>112</v>
      </c>
      <c r="O2964">
        <v>112</v>
      </c>
      <c r="P2964">
        <v>716.8</v>
      </c>
    </row>
    <row r="2965" spans="1:16" x14ac:dyDescent="0.3">
      <c r="A2965">
        <v>32966</v>
      </c>
      <c r="B2965">
        <v>116</v>
      </c>
      <c r="C2965" t="s">
        <v>568</v>
      </c>
      <c r="D2965" s="453">
        <v>45778</v>
      </c>
      <c r="E2965">
        <v>18832</v>
      </c>
      <c r="F2965" t="s">
        <v>3900</v>
      </c>
      <c r="G2965">
        <v>2950</v>
      </c>
      <c r="H2965">
        <v>17.399999999999999</v>
      </c>
      <c r="I2965" t="s">
        <v>3892</v>
      </c>
      <c r="J2965" t="s">
        <v>3469</v>
      </c>
      <c r="K2965" t="s">
        <v>3750</v>
      </c>
      <c r="L2965">
        <v>36.9</v>
      </c>
      <c r="M2965" s="453">
        <v>45776</v>
      </c>
      <c r="N2965">
        <v>36.9</v>
      </c>
      <c r="O2965">
        <v>47</v>
      </c>
      <c r="P2965">
        <v>642.05999999999995</v>
      </c>
    </row>
    <row r="2966" spans="1:16" x14ac:dyDescent="0.3">
      <c r="A2966">
        <v>32942</v>
      </c>
      <c r="B2966">
        <v>116</v>
      </c>
      <c r="C2966" t="s">
        <v>568</v>
      </c>
      <c r="D2966" s="453">
        <v>45778</v>
      </c>
      <c r="E2966">
        <v>19324</v>
      </c>
      <c r="F2966" t="s">
        <v>3937</v>
      </c>
      <c r="G2966">
        <v>2773</v>
      </c>
      <c r="H2966">
        <v>14.7</v>
      </c>
      <c r="I2966" t="s">
        <v>3892</v>
      </c>
      <c r="J2966" t="s">
        <v>3469</v>
      </c>
      <c r="K2966" t="s">
        <v>3750</v>
      </c>
      <c r="L2966">
        <v>43.08</v>
      </c>
      <c r="M2966" s="453">
        <v>45776</v>
      </c>
      <c r="N2966">
        <v>43.2</v>
      </c>
      <c r="O2966">
        <v>42.88</v>
      </c>
      <c r="P2966">
        <v>633.28</v>
      </c>
    </row>
    <row r="2967" spans="1:16" x14ac:dyDescent="0.3">
      <c r="A2967">
        <v>32985</v>
      </c>
      <c r="B2967">
        <v>116</v>
      </c>
      <c r="C2967" t="s">
        <v>568</v>
      </c>
      <c r="D2967" s="453">
        <v>45778</v>
      </c>
      <c r="E2967">
        <v>18475</v>
      </c>
      <c r="F2967" t="s">
        <v>3918</v>
      </c>
      <c r="G2967">
        <v>3181</v>
      </c>
      <c r="H2967">
        <v>19</v>
      </c>
      <c r="I2967" t="s">
        <v>3878</v>
      </c>
      <c r="J2967" t="s">
        <v>3497</v>
      </c>
      <c r="K2967" t="s">
        <v>3750</v>
      </c>
      <c r="L2967">
        <v>32.9</v>
      </c>
      <c r="M2967" s="453">
        <v>45771</v>
      </c>
      <c r="N2967">
        <v>32.9</v>
      </c>
      <c r="O2967">
        <v>32.9</v>
      </c>
      <c r="P2967">
        <v>625.1</v>
      </c>
    </row>
    <row r="2968" spans="1:16" x14ac:dyDescent="0.3">
      <c r="A2968">
        <v>32983</v>
      </c>
      <c r="B2968">
        <v>116</v>
      </c>
      <c r="C2968" t="s">
        <v>568</v>
      </c>
      <c r="D2968" s="453">
        <v>45778</v>
      </c>
      <c r="E2968">
        <v>18493</v>
      </c>
      <c r="F2968" t="s">
        <v>3958</v>
      </c>
      <c r="G2968">
        <v>3164</v>
      </c>
      <c r="H2968">
        <v>8.5</v>
      </c>
      <c r="I2968" t="s">
        <v>3878</v>
      </c>
      <c r="J2968" t="s">
        <v>3497</v>
      </c>
      <c r="K2968" t="s">
        <v>3750</v>
      </c>
      <c r="L2968">
        <v>69.900000000000006</v>
      </c>
      <c r="M2968" s="453">
        <v>45748</v>
      </c>
      <c r="N2968">
        <v>69.900000000000006</v>
      </c>
      <c r="O2968">
        <v>69.900000000000006</v>
      </c>
      <c r="P2968">
        <v>594.15</v>
      </c>
    </row>
    <row r="2969" spans="1:16" x14ac:dyDescent="0.3">
      <c r="A2969">
        <v>32812</v>
      </c>
      <c r="B2969">
        <v>116</v>
      </c>
      <c r="C2969" t="s">
        <v>568</v>
      </c>
      <c r="D2969" s="453">
        <v>45778</v>
      </c>
      <c r="E2969">
        <v>23982</v>
      </c>
      <c r="F2969" t="s">
        <v>3977</v>
      </c>
      <c r="G2969">
        <v>1999</v>
      </c>
      <c r="H2969">
        <v>2.5</v>
      </c>
      <c r="I2969" t="s">
        <v>3978</v>
      </c>
      <c r="J2969" t="s">
        <v>3469</v>
      </c>
      <c r="K2969" t="s">
        <v>3750</v>
      </c>
      <c r="L2969">
        <v>217.8</v>
      </c>
      <c r="M2969" s="453">
        <v>45761</v>
      </c>
      <c r="N2969">
        <v>200</v>
      </c>
      <c r="O2969">
        <v>283.45999999999998</v>
      </c>
      <c r="P2969">
        <v>544.5</v>
      </c>
    </row>
    <row r="2970" spans="1:16" x14ac:dyDescent="0.3">
      <c r="A2970">
        <v>33013</v>
      </c>
      <c r="B2970">
        <v>116</v>
      </c>
      <c r="C2970" t="s">
        <v>568</v>
      </c>
      <c r="D2970" s="453">
        <v>45778</v>
      </c>
      <c r="E2970">
        <v>21984</v>
      </c>
      <c r="F2970" t="s">
        <v>4487</v>
      </c>
      <c r="G2970">
        <v>3709</v>
      </c>
      <c r="H2970">
        <v>4.5</v>
      </c>
      <c r="I2970" t="s">
        <v>3881</v>
      </c>
      <c r="J2970" t="s">
        <v>3497</v>
      </c>
      <c r="K2970" t="s">
        <v>3750</v>
      </c>
      <c r="L2970">
        <v>0</v>
      </c>
      <c r="M2970" s="453">
        <v>-693593</v>
      </c>
      <c r="N2970">
        <v>0</v>
      </c>
      <c r="O2970">
        <v>120</v>
      </c>
      <c r="P2970">
        <v>540</v>
      </c>
    </row>
    <row r="2971" spans="1:16" x14ac:dyDescent="0.3">
      <c r="A2971">
        <v>32822</v>
      </c>
      <c r="B2971">
        <v>116</v>
      </c>
      <c r="C2971" t="s">
        <v>568</v>
      </c>
      <c r="D2971" s="453">
        <v>45778</v>
      </c>
      <c r="E2971">
        <v>20703</v>
      </c>
      <c r="F2971" t="s">
        <v>3893</v>
      </c>
      <c r="G2971">
        <v>2100</v>
      </c>
      <c r="H2971">
        <v>39</v>
      </c>
      <c r="I2971" t="s">
        <v>3886</v>
      </c>
      <c r="J2971" t="s">
        <v>3469</v>
      </c>
      <c r="K2971" t="s">
        <v>3750</v>
      </c>
      <c r="L2971">
        <v>0</v>
      </c>
      <c r="M2971" s="453">
        <v>45714</v>
      </c>
      <c r="N2971">
        <v>12.8</v>
      </c>
      <c r="O2971">
        <v>13.86</v>
      </c>
      <c r="P2971">
        <v>499.2</v>
      </c>
    </row>
    <row r="2972" spans="1:16" x14ac:dyDescent="0.3">
      <c r="A2972">
        <v>32964</v>
      </c>
      <c r="B2972">
        <v>116</v>
      </c>
      <c r="C2972" t="s">
        <v>568</v>
      </c>
      <c r="D2972" s="453">
        <v>45778</v>
      </c>
      <c r="E2972">
        <v>24517</v>
      </c>
      <c r="F2972" t="s">
        <v>3991</v>
      </c>
      <c r="G2972">
        <v>3047</v>
      </c>
      <c r="H2972">
        <v>16.8</v>
      </c>
      <c r="I2972" t="s">
        <v>3892</v>
      </c>
      <c r="J2972" t="s">
        <v>3469</v>
      </c>
      <c r="K2972" t="s">
        <v>3750</v>
      </c>
      <c r="L2972">
        <v>28.27</v>
      </c>
      <c r="M2972" s="453">
        <v>45770</v>
      </c>
      <c r="N2972">
        <v>26.5</v>
      </c>
      <c r="O2972">
        <v>0.4</v>
      </c>
      <c r="P2972">
        <v>474.94</v>
      </c>
    </row>
    <row r="2973" spans="1:16" x14ac:dyDescent="0.3">
      <c r="A2973">
        <v>32959</v>
      </c>
      <c r="B2973">
        <v>116</v>
      </c>
      <c r="C2973" t="s">
        <v>568</v>
      </c>
      <c r="D2973" s="453">
        <v>45778</v>
      </c>
      <c r="E2973">
        <v>18684</v>
      </c>
      <c r="F2973" t="s">
        <v>3925</v>
      </c>
      <c r="G2973">
        <v>3041</v>
      </c>
      <c r="H2973">
        <v>14.6</v>
      </c>
      <c r="I2973" t="s">
        <v>3892</v>
      </c>
      <c r="J2973" t="s">
        <v>3469</v>
      </c>
      <c r="K2973" t="s">
        <v>3750</v>
      </c>
      <c r="L2973">
        <v>32.5</v>
      </c>
      <c r="M2973" s="453">
        <v>45776</v>
      </c>
      <c r="N2973">
        <v>34</v>
      </c>
      <c r="O2973">
        <v>34</v>
      </c>
      <c r="P2973">
        <v>474.5</v>
      </c>
    </row>
    <row r="2974" spans="1:16" x14ac:dyDescent="0.3">
      <c r="A2974">
        <v>32965</v>
      </c>
      <c r="B2974">
        <v>116</v>
      </c>
      <c r="C2974" t="s">
        <v>568</v>
      </c>
      <c r="D2974" s="453">
        <v>45778</v>
      </c>
      <c r="E2974">
        <v>24402</v>
      </c>
      <c r="F2974" t="s">
        <v>3896</v>
      </c>
      <c r="G2974">
        <v>2949</v>
      </c>
      <c r="H2974">
        <v>12.8</v>
      </c>
      <c r="I2974" t="s">
        <v>3892</v>
      </c>
      <c r="J2974" t="s">
        <v>3469</v>
      </c>
      <c r="K2974" t="s">
        <v>3750</v>
      </c>
      <c r="L2974">
        <v>36.58</v>
      </c>
      <c r="M2974" s="453">
        <v>45776</v>
      </c>
      <c r="N2974">
        <v>36.9</v>
      </c>
      <c r="O2974">
        <v>36.9</v>
      </c>
      <c r="P2974">
        <v>468.22</v>
      </c>
    </row>
    <row r="2975" spans="1:16" x14ac:dyDescent="0.3">
      <c r="A2975">
        <v>32960</v>
      </c>
      <c r="B2975">
        <v>116</v>
      </c>
      <c r="C2975" t="s">
        <v>568</v>
      </c>
      <c r="D2975" s="453">
        <v>45778</v>
      </c>
      <c r="E2975">
        <v>24320</v>
      </c>
      <c r="F2975" t="s">
        <v>4160</v>
      </c>
      <c r="G2975">
        <v>2942</v>
      </c>
      <c r="H2975">
        <v>9.6999999999999993</v>
      </c>
      <c r="I2975" t="s">
        <v>3892</v>
      </c>
      <c r="J2975" t="s">
        <v>3469</v>
      </c>
      <c r="K2975" t="s">
        <v>3750</v>
      </c>
      <c r="L2975">
        <v>48.16</v>
      </c>
      <c r="M2975" s="453">
        <v>45770</v>
      </c>
      <c r="N2975">
        <v>45.9</v>
      </c>
      <c r="O2975">
        <v>45.9</v>
      </c>
      <c r="P2975">
        <v>467.15</v>
      </c>
    </row>
    <row r="2976" spans="1:16" x14ac:dyDescent="0.3">
      <c r="A2976">
        <v>32825</v>
      </c>
      <c r="B2976">
        <v>116</v>
      </c>
      <c r="C2976" t="s">
        <v>568</v>
      </c>
      <c r="D2976" s="453">
        <v>45778</v>
      </c>
      <c r="E2976">
        <v>20555</v>
      </c>
      <c r="F2976" t="s">
        <v>3959</v>
      </c>
      <c r="G2976">
        <v>2139</v>
      </c>
      <c r="H2976">
        <v>5.5</v>
      </c>
      <c r="I2976" t="s">
        <v>3892</v>
      </c>
      <c r="J2976" t="s">
        <v>3469</v>
      </c>
      <c r="K2976" t="s">
        <v>3750</v>
      </c>
      <c r="L2976">
        <v>79</v>
      </c>
      <c r="M2976" s="453">
        <v>45776</v>
      </c>
      <c r="N2976">
        <v>79</v>
      </c>
      <c r="O2976">
        <v>79</v>
      </c>
      <c r="P2976">
        <v>434.5</v>
      </c>
    </row>
    <row r="2977" spans="1:16" x14ac:dyDescent="0.3">
      <c r="A2977">
        <v>32872</v>
      </c>
      <c r="B2977">
        <v>116</v>
      </c>
      <c r="C2977" t="s">
        <v>568</v>
      </c>
      <c r="D2977" s="453">
        <v>45778</v>
      </c>
      <c r="E2977">
        <v>20458</v>
      </c>
      <c r="F2977" t="s">
        <v>4121</v>
      </c>
      <c r="G2977">
        <v>2164</v>
      </c>
      <c r="H2977">
        <v>12</v>
      </c>
      <c r="I2977" t="s">
        <v>3892</v>
      </c>
      <c r="J2977" t="s">
        <v>3469</v>
      </c>
      <c r="K2977" t="s">
        <v>3750</v>
      </c>
      <c r="L2977">
        <v>36.200000000000003</v>
      </c>
      <c r="M2977" s="453">
        <v>45775</v>
      </c>
      <c r="N2977">
        <v>36</v>
      </c>
      <c r="O2977">
        <v>36</v>
      </c>
      <c r="P2977">
        <v>434.4</v>
      </c>
    </row>
    <row r="2978" spans="1:16" x14ac:dyDescent="0.3">
      <c r="A2978">
        <v>32954</v>
      </c>
      <c r="B2978">
        <v>116</v>
      </c>
      <c r="C2978" t="s">
        <v>568</v>
      </c>
      <c r="D2978" s="453">
        <v>45778</v>
      </c>
      <c r="E2978">
        <v>22844</v>
      </c>
      <c r="F2978" t="s">
        <v>4488</v>
      </c>
      <c r="G2978">
        <v>2935</v>
      </c>
      <c r="H2978">
        <v>12</v>
      </c>
      <c r="I2978" t="s">
        <v>3892</v>
      </c>
      <c r="J2978" t="s">
        <v>3469</v>
      </c>
      <c r="K2978" t="s">
        <v>3750</v>
      </c>
      <c r="L2978">
        <v>36.11</v>
      </c>
      <c r="M2978" s="453">
        <v>45776</v>
      </c>
      <c r="N2978">
        <v>36.5</v>
      </c>
      <c r="O2978">
        <v>36.5</v>
      </c>
      <c r="P2978">
        <v>433.32</v>
      </c>
    </row>
    <row r="2979" spans="1:16" x14ac:dyDescent="0.3">
      <c r="A2979">
        <v>32839</v>
      </c>
      <c r="B2979">
        <v>116</v>
      </c>
      <c r="C2979" t="s">
        <v>568</v>
      </c>
      <c r="D2979" s="453">
        <v>45778</v>
      </c>
      <c r="E2979">
        <v>21024</v>
      </c>
      <c r="F2979" t="s">
        <v>4180</v>
      </c>
      <c r="G2979">
        <v>2003</v>
      </c>
      <c r="H2979">
        <v>2.5</v>
      </c>
      <c r="I2979" t="s">
        <v>3966</v>
      </c>
      <c r="J2979" t="s">
        <v>3469</v>
      </c>
      <c r="K2979" t="s">
        <v>3750</v>
      </c>
      <c r="L2979">
        <v>167.56</v>
      </c>
      <c r="M2979" s="453">
        <v>45776</v>
      </c>
      <c r="N2979">
        <v>167.95</v>
      </c>
      <c r="O2979">
        <v>167.97</v>
      </c>
      <c r="P2979">
        <v>418.9</v>
      </c>
    </row>
    <row r="2980" spans="1:16" x14ac:dyDescent="0.3">
      <c r="A2980">
        <v>32950</v>
      </c>
      <c r="B2980">
        <v>116</v>
      </c>
      <c r="C2980" t="s">
        <v>568</v>
      </c>
      <c r="D2980" s="453">
        <v>45778</v>
      </c>
      <c r="E2980">
        <v>18948</v>
      </c>
      <c r="F2980" t="s">
        <v>3961</v>
      </c>
      <c r="G2980">
        <v>2927</v>
      </c>
      <c r="H2980">
        <v>6.3</v>
      </c>
      <c r="I2980" t="s">
        <v>3892</v>
      </c>
      <c r="J2980" t="s">
        <v>3469</v>
      </c>
      <c r="K2980" t="s">
        <v>3750</v>
      </c>
      <c r="L2980">
        <v>65.91</v>
      </c>
      <c r="M2980" s="453">
        <v>45770</v>
      </c>
      <c r="N2980">
        <v>65.91</v>
      </c>
      <c r="O2980">
        <v>65.91</v>
      </c>
      <c r="P2980">
        <v>415.23</v>
      </c>
    </row>
    <row r="2981" spans="1:16" x14ac:dyDescent="0.3">
      <c r="A2981">
        <v>32969</v>
      </c>
      <c r="B2981">
        <v>116</v>
      </c>
      <c r="C2981" t="s">
        <v>568</v>
      </c>
      <c r="D2981" s="453">
        <v>45778</v>
      </c>
      <c r="E2981">
        <v>25541</v>
      </c>
      <c r="F2981" t="s">
        <v>4330</v>
      </c>
      <c r="G2981">
        <v>6160</v>
      </c>
      <c r="H2981">
        <v>12.3</v>
      </c>
      <c r="I2981" t="s">
        <v>3892</v>
      </c>
      <c r="J2981" t="s">
        <v>3469</v>
      </c>
      <c r="K2981" t="s">
        <v>3750</v>
      </c>
      <c r="L2981">
        <v>32.799999999999997</v>
      </c>
      <c r="M2981" s="453">
        <v>45776</v>
      </c>
      <c r="N2981">
        <v>32.799999999999997</v>
      </c>
      <c r="O2981">
        <v>32.799999999999997</v>
      </c>
      <c r="P2981">
        <v>403.44</v>
      </c>
    </row>
    <row r="2982" spans="1:16" x14ac:dyDescent="0.3">
      <c r="A2982">
        <v>32955</v>
      </c>
      <c r="B2982">
        <v>116</v>
      </c>
      <c r="C2982" t="s">
        <v>568</v>
      </c>
      <c r="D2982" s="453">
        <v>45778</v>
      </c>
      <c r="E2982">
        <v>18774</v>
      </c>
      <c r="F2982" t="s">
        <v>4489</v>
      </c>
      <c r="G2982">
        <v>2993</v>
      </c>
      <c r="H2982">
        <v>5.5</v>
      </c>
      <c r="I2982" t="s">
        <v>3892</v>
      </c>
      <c r="J2982" t="s">
        <v>3469</v>
      </c>
      <c r="K2982" t="s">
        <v>3750</v>
      </c>
      <c r="L2982">
        <v>0</v>
      </c>
      <c r="M2982" s="453">
        <v>45670</v>
      </c>
      <c r="N2982">
        <v>67.900000000000006</v>
      </c>
      <c r="O2982">
        <v>67.900000000000006</v>
      </c>
      <c r="P2982">
        <v>373.45</v>
      </c>
    </row>
    <row r="2983" spans="1:16" x14ac:dyDescent="0.3">
      <c r="A2983">
        <v>32995</v>
      </c>
      <c r="B2983">
        <v>116</v>
      </c>
      <c r="C2983" t="s">
        <v>568</v>
      </c>
      <c r="D2983" s="453">
        <v>45778</v>
      </c>
      <c r="E2983">
        <v>18295</v>
      </c>
      <c r="F2983" t="s">
        <v>4030</v>
      </c>
      <c r="G2983">
        <v>3334</v>
      </c>
      <c r="H2983">
        <v>3.2</v>
      </c>
      <c r="I2983" t="s">
        <v>3878</v>
      </c>
      <c r="J2983" t="s">
        <v>3497</v>
      </c>
      <c r="K2983" t="s">
        <v>3750</v>
      </c>
      <c r="L2983">
        <v>115.4</v>
      </c>
      <c r="M2983" s="453">
        <v>45770</v>
      </c>
      <c r="N2983">
        <v>121.9</v>
      </c>
      <c r="O2983">
        <v>121.9</v>
      </c>
      <c r="P2983">
        <v>369.28</v>
      </c>
    </row>
    <row r="2984" spans="1:16" x14ac:dyDescent="0.3">
      <c r="A2984">
        <v>33025</v>
      </c>
      <c r="B2984">
        <v>116</v>
      </c>
      <c r="C2984" t="s">
        <v>568</v>
      </c>
      <c r="D2984" s="453">
        <v>45778</v>
      </c>
      <c r="E2984">
        <v>26195</v>
      </c>
      <c r="F2984" t="s">
        <v>4037</v>
      </c>
      <c r="G2984">
        <v>6618</v>
      </c>
      <c r="H2984">
        <v>12</v>
      </c>
      <c r="I2984" t="s">
        <v>3878</v>
      </c>
      <c r="J2984" t="s">
        <v>3497</v>
      </c>
      <c r="K2984" t="s">
        <v>3750</v>
      </c>
      <c r="L2984">
        <v>0</v>
      </c>
      <c r="M2984" s="453">
        <v>-693593</v>
      </c>
      <c r="N2984">
        <v>0</v>
      </c>
      <c r="O2984">
        <v>0</v>
      </c>
      <c r="P2984">
        <v>332.88</v>
      </c>
    </row>
    <row r="2985" spans="1:16" x14ac:dyDescent="0.3">
      <c r="A2985">
        <v>32811</v>
      </c>
      <c r="B2985">
        <v>116</v>
      </c>
      <c r="C2985" t="s">
        <v>568</v>
      </c>
      <c r="D2985" s="453">
        <v>45778</v>
      </c>
      <c r="E2985">
        <v>21030</v>
      </c>
      <c r="F2985" t="s">
        <v>3890</v>
      </c>
      <c r="G2985">
        <v>2001</v>
      </c>
      <c r="H2985">
        <v>11</v>
      </c>
      <c r="I2985" t="s">
        <v>3872</v>
      </c>
      <c r="J2985" t="s">
        <v>3469</v>
      </c>
      <c r="K2985" t="s">
        <v>3750</v>
      </c>
      <c r="L2985">
        <v>0</v>
      </c>
      <c r="M2985" s="453">
        <v>45659</v>
      </c>
      <c r="N2985">
        <v>29.4</v>
      </c>
      <c r="O2985">
        <v>28.4</v>
      </c>
      <c r="P2985">
        <v>323.39999999999998</v>
      </c>
    </row>
    <row r="2986" spans="1:16" x14ac:dyDescent="0.3">
      <c r="A2986">
        <v>32982</v>
      </c>
      <c r="B2986">
        <v>116</v>
      </c>
      <c r="C2986" t="s">
        <v>568</v>
      </c>
      <c r="D2986" s="453">
        <v>45778</v>
      </c>
      <c r="E2986">
        <v>22515</v>
      </c>
      <c r="F2986" t="s">
        <v>3883</v>
      </c>
      <c r="G2986">
        <v>3202</v>
      </c>
      <c r="H2986">
        <v>8.4</v>
      </c>
      <c r="I2986" t="s">
        <v>3884</v>
      </c>
      <c r="J2986" t="s">
        <v>3497</v>
      </c>
      <c r="K2986" t="s">
        <v>3750</v>
      </c>
      <c r="L2986">
        <v>0</v>
      </c>
      <c r="M2986" s="453">
        <v>45671</v>
      </c>
      <c r="N2986">
        <v>38</v>
      </c>
      <c r="O2986">
        <v>38</v>
      </c>
      <c r="P2986">
        <v>319.2</v>
      </c>
    </row>
    <row r="2987" spans="1:16" x14ac:dyDescent="0.3">
      <c r="A2987">
        <v>33021</v>
      </c>
      <c r="B2987">
        <v>116</v>
      </c>
      <c r="C2987" t="s">
        <v>568</v>
      </c>
      <c r="D2987" s="453">
        <v>45778</v>
      </c>
      <c r="E2987">
        <v>24414</v>
      </c>
      <c r="F2987" t="s">
        <v>3943</v>
      </c>
      <c r="G2987">
        <v>3670</v>
      </c>
      <c r="H2987">
        <v>145</v>
      </c>
      <c r="I2987" t="s">
        <v>3872</v>
      </c>
      <c r="J2987" t="s">
        <v>3497</v>
      </c>
      <c r="K2987" t="s">
        <v>3750</v>
      </c>
      <c r="L2987">
        <v>0</v>
      </c>
      <c r="M2987" s="453">
        <v>45544</v>
      </c>
      <c r="N2987">
        <v>2.19</v>
      </c>
      <c r="O2987">
        <v>2.19</v>
      </c>
      <c r="P2987">
        <v>317.55</v>
      </c>
    </row>
    <row r="2988" spans="1:16" x14ac:dyDescent="0.3">
      <c r="A2988">
        <v>32916</v>
      </c>
      <c r="B2988">
        <v>116</v>
      </c>
      <c r="C2988" t="s">
        <v>568</v>
      </c>
      <c r="D2988" s="453">
        <v>45778</v>
      </c>
      <c r="E2988">
        <v>24394</v>
      </c>
      <c r="F2988" t="s">
        <v>3876</v>
      </c>
      <c r="G2988">
        <v>2753</v>
      </c>
      <c r="H2988">
        <v>82</v>
      </c>
      <c r="I2988" t="s">
        <v>3872</v>
      </c>
      <c r="J2988" t="s">
        <v>3469</v>
      </c>
      <c r="K2988" t="s">
        <v>3750</v>
      </c>
      <c r="L2988">
        <v>3.86</v>
      </c>
      <c r="M2988" s="453">
        <v>45775</v>
      </c>
      <c r="N2988">
        <v>0.8</v>
      </c>
      <c r="O2988">
        <v>0.85</v>
      </c>
      <c r="P2988">
        <v>316.52</v>
      </c>
    </row>
    <row r="2989" spans="1:16" x14ac:dyDescent="0.3">
      <c r="A2989">
        <v>32941</v>
      </c>
      <c r="B2989">
        <v>116</v>
      </c>
      <c r="C2989" t="s">
        <v>568</v>
      </c>
      <c r="D2989" s="453">
        <v>45778</v>
      </c>
      <c r="E2989">
        <v>19346</v>
      </c>
      <c r="F2989" t="s">
        <v>3948</v>
      </c>
      <c r="G2989">
        <v>2770</v>
      </c>
      <c r="H2989">
        <v>5.5</v>
      </c>
      <c r="I2989" t="s">
        <v>3892</v>
      </c>
      <c r="J2989" t="s">
        <v>3469</v>
      </c>
      <c r="K2989" t="s">
        <v>3750</v>
      </c>
      <c r="L2989">
        <v>57.21</v>
      </c>
      <c r="M2989" s="453">
        <v>45762</v>
      </c>
      <c r="N2989">
        <v>57.21</v>
      </c>
      <c r="O2989">
        <v>54.5</v>
      </c>
      <c r="P2989">
        <v>314.66000000000003</v>
      </c>
    </row>
    <row r="2990" spans="1:16" x14ac:dyDescent="0.3">
      <c r="A2990">
        <v>32865</v>
      </c>
      <c r="B2990">
        <v>116</v>
      </c>
      <c r="C2990" t="s">
        <v>568</v>
      </c>
      <c r="D2990" s="453">
        <v>45778</v>
      </c>
      <c r="E2990">
        <v>20621</v>
      </c>
      <c r="F2990" t="s">
        <v>3885</v>
      </c>
      <c r="G2990">
        <v>2117</v>
      </c>
      <c r="H2990">
        <v>12</v>
      </c>
      <c r="I2990" t="s">
        <v>3886</v>
      </c>
      <c r="J2990" t="s">
        <v>3469</v>
      </c>
      <c r="K2990" t="s">
        <v>3750</v>
      </c>
      <c r="L2990">
        <v>25.8</v>
      </c>
      <c r="M2990" s="453">
        <v>45776</v>
      </c>
      <c r="N2990">
        <v>25.8</v>
      </c>
      <c r="O2990">
        <v>25.8</v>
      </c>
      <c r="P2990">
        <v>309.60000000000002</v>
      </c>
    </row>
    <row r="2991" spans="1:16" x14ac:dyDescent="0.3">
      <c r="A2991">
        <v>32845</v>
      </c>
      <c r="B2991">
        <v>116</v>
      </c>
      <c r="C2991" t="s">
        <v>568</v>
      </c>
      <c r="D2991" s="453">
        <v>45778</v>
      </c>
      <c r="E2991">
        <v>20519</v>
      </c>
      <c r="F2991" t="s">
        <v>3902</v>
      </c>
      <c r="G2991">
        <v>2150</v>
      </c>
      <c r="H2991">
        <v>8.5</v>
      </c>
      <c r="I2991" t="s">
        <v>3892</v>
      </c>
      <c r="J2991" t="s">
        <v>3469</v>
      </c>
      <c r="K2991" t="s">
        <v>3750</v>
      </c>
      <c r="L2991">
        <v>0</v>
      </c>
      <c r="M2991" s="453">
        <v>45743</v>
      </c>
      <c r="N2991">
        <v>36.4</v>
      </c>
      <c r="O2991">
        <v>36.4</v>
      </c>
      <c r="P2991">
        <v>309.39999999999998</v>
      </c>
    </row>
    <row r="2992" spans="1:16" x14ac:dyDescent="0.3">
      <c r="A2992">
        <v>32949</v>
      </c>
      <c r="B2992">
        <v>116</v>
      </c>
      <c r="C2992" t="s">
        <v>568</v>
      </c>
      <c r="D2992" s="453">
        <v>45778</v>
      </c>
      <c r="E2992">
        <v>24117</v>
      </c>
      <c r="F2992" t="s">
        <v>4463</v>
      </c>
      <c r="G2992">
        <v>2925</v>
      </c>
      <c r="H2992">
        <v>6.8</v>
      </c>
      <c r="I2992" t="s">
        <v>3892</v>
      </c>
      <c r="J2992" t="s">
        <v>3469</v>
      </c>
      <c r="K2992" t="s">
        <v>3750</v>
      </c>
      <c r="L2992">
        <v>44</v>
      </c>
      <c r="M2992" s="453">
        <v>45763</v>
      </c>
      <c r="N2992">
        <v>44</v>
      </c>
      <c r="O2992">
        <v>8.58</v>
      </c>
      <c r="P2992">
        <v>299.2</v>
      </c>
    </row>
    <row r="2993" spans="1:16" x14ac:dyDescent="0.3">
      <c r="A2993">
        <v>33018</v>
      </c>
      <c r="B2993">
        <v>116</v>
      </c>
      <c r="C2993" t="s">
        <v>568</v>
      </c>
      <c r="D2993" s="453">
        <v>45778</v>
      </c>
      <c r="E2993">
        <v>22042</v>
      </c>
      <c r="F2993" t="s">
        <v>3901</v>
      </c>
      <c r="G2993">
        <v>3658</v>
      </c>
      <c r="H2993">
        <v>136</v>
      </c>
      <c r="I2993" t="s">
        <v>3872</v>
      </c>
      <c r="J2993" t="s">
        <v>3497</v>
      </c>
      <c r="K2993" t="s">
        <v>3750</v>
      </c>
      <c r="L2993">
        <v>0</v>
      </c>
      <c r="M2993" s="453">
        <v>45677</v>
      </c>
      <c r="N2993">
        <v>2.19</v>
      </c>
      <c r="O2993">
        <v>1.99</v>
      </c>
      <c r="P2993">
        <v>297.83999999999997</v>
      </c>
    </row>
    <row r="2994" spans="1:16" x14ac:dyDescent="0.3">
      <c r="A2994">
        <v>32826</v>
      </c>
      <c r="B2994">
        <v>116</v>
      </c>
      <c r="C2994" t="s">
        <v>568</v>
      </c>
      <c r="D2994" s="453">
        <v>45778</v>
      </c>
      <c r="E2994">
        <v>20549</v>
      </c>
      <c r="F2994" t="s">
        <v>4007</v>
      </c>
      <c r="G2994">
        <v>2141</v>
      </c>
      <c r="H2994">
        <v>12.3</v>
      </c>
      <c r="I2994" t="s">
        <v>3892</v>
      </c>
      <c r="J2994" t="s">
        <v>3469</v>
      </c>
      <c r="K2994" t="s">
        <v>3750</v>
      </c>
      <c r="L2994">
        <v>23.87</v>
      </c>
      <c r="M2994" s="453">
        <v>45770</v>
      </c>
      <c r="N2994">
        <v>24</v>
      </c>
      <c r="O2994">
        <v>20.85</v>
      </c>
      <c r="P2994">
        <v>293.60000000000002</v>
      </c>
    </row>
    <row r="2995" spans="1:16" x14ac:dyDescent="0.3">
      <c r="A2995">
        <v>33004</v>
      </c>
      <c r="B2995">
        <v>116</v>
      </c>
      <c r="C2995" t="s">
        <v>568</v>
      </c>
      <c r="D2995" s="453">
        <v>45778</v>
      </c>
      <c r="E2995">
        <v>22270</v>
      </c>
      <c r="F2995" t="s">
        <v>3923</v>
      </c>
      <c r="G2995">
        <v>3450</v>
      </c>
      <c r="H2995">
        <v>9.6999999999999993</v>
      </c>
      <c r="I2995" t="s">
        <v>3884</v>
      </c>
      <c r="J2995" t="s">
        <v>3497</v>
      </c>
      <c r="K2995" t="s">
        <v>3750</v>
      </c>
      <c r="L2995">
        <v>0</v>
      </c>
      <c r="M2995" s="453">
        <v>45670</v>
      </c>
      <c r="N2995">
        <v>29.9</v>
      </c>
      <c r="O2995">
        <v>29.9</v>
      </c>
      <c r="P2995">
        <v>290.02999999999997</v>
      </c>
    </row>
    <row r="2996" spans="1:16" x14ac:dyDescent="0.3">
      <c r="A2996">
        <v>32984</v>
      </c>
      <c r="B2996">
        <v>116</v>
      </c>
      <c r="C2996" t="s">
        <v>568</v>
      </c>
      <c r="D2996" s="453">
        <v>45778</v>
      </c>
      <c r="E2996">
        <v>18491</v>
      </c>
      <c r="F2996" t="s">
        <v>3934</v>
      </c>
      <c r="G2996">
        <v>3166</v>
      </c>
      <c r="H2996">
        <v>8</v>
      </c>
      <c r="I2996" t="s">
        <v>3878</v>
      </c>
      <c r="J2996" t="s">
        <v>3497</v>
      </c>
      <c r="K2996" t="s">
        <v>3750</v>
      </c>
      <c r="L2996">
        <v>0</v>
      </c>
      <c r="M2996" s="453">
        <v>45677</v>
      </c>
      <c r="N2996">
        <v>35.9</v>
      </c>
      <c r="O2996">
        <v>35.9</v>
      </c>
      <c r="P2996">
        <v>287.2</v>
      </c>
    </row>
    <row r="2997" spans="1:16" x14ac:dyDescent="0.3">
      <c r="A2997">
        <v>33020</v>
      </c>
      <c r="B2997">
        <v>116</v>
      </c>
      <c r="C2997" t="s">
        <v>568</v>
      </c>
      <c r="D2997" s="453">
        <v>45778</v>
      </c>
      <c r="E2997">
        <v>24409</v>
      </c>
      <c r="F2997" t="s">
        <v>4036</v>
      </c>
      <c r="G2997">
        <v>3665</v>
      </c>
      <c r="H2997">
        <v>123</v>
      </c>
      <c r="I2997" t="s">
        <v>3872</v>
      </c>
      <c r="J2997" t="s">
        <v>3497</v>
      </c>
      <c r="K2997" t="s">
        <v>3750</v>
      </c>
      <c r="L2997">
        <v>0</v>
      </c>
      <c r="M2997" s="453">
        <v>45551</v>
      </c>
      <c r="N2997">
        <v>2.19</v>
      </c>
      <c r="O2997">
        <v>2.19</v>
      </c>
      <c r="P2997">
        <v>269.37</v>
      </c>
    </row>
    <row r="2998" spans="1:16" x14ac:dyDescent="0.3">
      <c r="A2998">
        <v>32810</v>
      </c>
      <c r="B2998">
        <v>116</v>
      </c>
      <c r="C2998" t="s">
        <v>568</v>
      </c>
      <c r="D2998" s="453">
        <v>45778</v>
      </c>
      <c r="E2998">
        <v>20304</v>
      </c>
      <c r="F2998" t="s">
        <v>3938</v>
      </c>
      <c r="G2998">
        <v>2223</v>
      </c>
      <c r="H2998">
        <v>7</v>
      </c>
      <c r="I2998" t="s">
        <v>3888</v>
      </c>
      <c r="J2998" t="s">
        <v>3469</v>
      </c>
      <c r="K2998" t="s">
        <v>3750</v>
      </c>
      <c r="L2998">
        <v>36.92</v>
      </c>
      <c r="M2998" s="453">
        <v>45776</v>
      </c>
      <c r="N2998">
        <v>29</v>
      </c>
      <c r="O2998">
        <v>29</v>
      </c>
      <c r="P2998">
        <v>258.44</v>
      </c>
    </row>
    <row r="2999" spans="1:16" x14ac:dyDescent="0.3">
      <c r="A2999">
        <v>32980</v>
      </c>
      <c r="B2999">
        <v>116</v>
      </c>
      <c r="C2999" t="s">
        <v>568</v>
      </c>
      <c r="D2999" s="453">
        <v>45778</v>
      </c>
      <c r="E2999">
        <v>18538</v>
      </c>
      <c r="F2999" t="s">
        <v>4026</v>
      </c>
      <c r="G2999">
        <v>3139</v>
      </c>
      <c r="H2999">
        <v>2.4</v>
      </c>
      <c r="I2999" t="s">
        <v>3878</v>
      </c>
      <c r="J2999" t="s">
        <v>3497</v>
      </c>
      <c r="K2999" t="s">
        <v>3750</v>
      </c>
      <c r="L2999">
        <v>105.68</v>
      </c>
      <c r="M2999" s="453">
        <v>45777</v>
      </c>
      <c r="N2999">
        <v>104.3</v>
      </c>
      <c r="O2999">
        <v>104.3</v>
      </c>
      <c r="P2999">
        <v>253.63</v>
      </c>
    </row>
    <row r="3000" spans="1:16" x14ac:dyDescent="0.3">
      <c r="A3000">
        <v>33017</v>
      </c>
      <c r="B3000">
        <v>116</v>
      </c>
      <c r="C3000" t="s">
        <v>568</v>
      </c>
      <c r="D3000" s="453">
        <v>45778</v>
      </c>
      <c r="E3000">
        <v>22044</v>
      </c>
      <c r="F3000" t="s">
        <v>3928</v>
      </c>
      <c r="G3000">
        <v>3656</v>
      </c>
      <c r="H3000">
        <v>107</v>
      </c>
      <c r="I3000" t="s">
        <v>3872</v>
      </c>
      <c r="J3000" t="s">
        <v>3497</v>
      </c>
      <c r="K3000" t="s">
        <v>3750</v>
      </c>
      <c r="L3000">
        <v>0</v>
      </c>
      <c r="M3000" s="453">
        <v>45677</v>
      </c>
      <c r="N3000">
        <v>2.19</v>
      </c>
      <c r="O3000">
        <v>2.04</v>
      </c>
      <c r="P3000">
        <v>234.33</v>
      </c>
    </row>
    <row r="3001" spans="1:16" x14ac:dyDescent="0.3">
      <c r="A3001">
        <v>32958</v>
      </c>
      <c r="B3001">
        <v>116</v>
      </c>
      <c r="C3001" t="s">
        <v>568</v>
      </c>
      <c r="D3001" s="453">
        <v>45778</v>
      </c>
      <c r="E3001">
        <v>18685</v>
      </c>
      <c r="F3001" t="s">
        <v>3945</v>
      </c>
      <c r="G3001">
        <v>3040</v>
      </c>
      <c r="H3001">
        <v>6.3</v>
      </c>
      <c r="I3001" t="s">
        <v>3892</v>
      </c>
      <c r="J3001" t="s">
        <v>3469</v>
      </c>
      <c r="K3001" t="s">
        <v>3750</v>
      </c>
      <c r="L3001">
        <v>36</v>
      </c>
      <c r="M3001" s="453">
        <v>45776</v>
      </c>
      <c r="N3001">
        <v>37</v>
      </c>
      <c r="O3001">
        <v>37</v>
      </c>
      <c r="P3001">
        <v>226.8</v>
      </c>
    </row>
    <row r="3002" spans="1:16" x14ac:dyDescent="0.3">
      <c r="A3002">
        <v>32948</v>
      </c>
      <c r="B3002">
        <v>116</v>
      </c>
      <c r="C3002" t="s">
        <v>568</v>
      </c>
      <c r="D3002" s="453">
        <v>45778</v>
      </c>
      <c r="E3002">
        <v>18702</v>
      </c>
      <c r="F3002" t="s">
        <v>4043</v>
      </c>
      <c r="G3002">
        <v>3033</v>
      </c>
      <c r="H3002">
        <v>5.9</v>
      </c>
      <c r="I3002" t="s">
        <v>3892</v>
      </c>
      <c r="J3002" t="s">
        <v>3469</v>
      </c>
      <c r="K3002" t="s">
        <v>3750</v>
      </c>
      <c r="L3002">
        <v>37.18</v>
      </c>
      <c r="M3002" s="453">
        <v>45776</v>
      </c>
      <c r="N3002">
        <v>42.5</v>
      </c>
      <c r="O3002">
        <v>42.5</v>
      </c>
      <c r="P3002">
        <v>219.36</v>
      </c>
    </row>
    <row r="3003" spans="1:16" x14ac:dyDescent="0.3">
      <c r="A3003">
        <v>32917</v>
      </c>
      <c r="B3003">
        <v>116</v>
      </c>
      <c r="C3003" t="s">
        <v>568</v>
      </c>
      <c r="D3003" s="453">
        <v>45778</v>
      </c>
      <c r="E3003">
        <v>23095</v>
      </c>
      <c r="F3003" t="s">
        <v>3882</v>
      </c>
      <c r="G3003">
        <v>2754</v>
      </c>
      <c r="H3003">
        <v>48</v>
      </c>
      <c r="I3003" t="s">
        <v>3872</v>
      </c>
      <c r="J3003" t="s">
        <v>3469</v>
      </c>
      <c r="K3003" t="s">
        <v>3750</v>
      </c>
      <c r="L3003">
        <v>4.32</v>
      </c>
      <c r="M3003" s="453">
        <v>45775</v>
      </c>
      <c r="N3003">
        <v>1.4</v>
      </c>
      <c r="O3003">
        <v>0.01</v>
      </c>
      <c r="P3003">
        <v>207.36</v>
      </c>
    </row>
    <row r="3004" spans="1:16" x14ac:dyDescent="0.3">
      <c r="A3004">
        <v>32855</v>
      </c>
      <c r="B3004">
        <v>116</v>
      </c>
      <c r="C3004" t="s">
        <v>568</v>
      </c>
      <c r="D3004" s="453">
        <v>45778</v>
      </c>
      <c r="E3004">
        <v>19984</v>
      </c>
      <c r="F3004" t="s">
        <v>3904</v>
      </c>
      <c r="G3004">
        <v>2351</v>
      </c>
      <c r="H3004">
        <v>11</v>
      </c>
      <c r="I3004" t="s">
        <v>3872</v>
      </c>
      <c r="J3004" t="s">
        <v>3469</v>
      </c>
      <c r="K3004" t="s">
        <v>3750</v>
      </c>
      <c r="L3004">
        <v>18.45</v>
      </c>
      <c r="M3004" s="453">
        <v>45770</v>
      </c>
      <c r="N3004">
        <v>18.899999999999999</v>
      </c>
      <c r="O3004">
        <v>18.899999999999999</v>
      </c>
      <c r="P3004">
        <v>202.95</v>
      </c>
    </row>
    <row r="3005" spans="1:16" x14ac:dyDescent="0.3">
      <c r="A3005">
        <v>32962</v>
      </c>
      <c r="B3005">
        <v>116</v>
      </c>
      <c r="C3005" t="s">
        <v>568</v>
      </c>
      <c r="D3005" s="453">
        <v>45778</v>
      </c>
      <c r="E3005">
        <v>24388</v>
      </c>
      <c r="F3005" t="s">
        <v>3915</v>
      </c>
      <c r="G3005">
        <v>2945</v>
      </c>
      <c r="H3005">
        <v>7</v>
      </c>
      <c r="I3005" t="s">
        <v>3892</v>
      </c>
      <c r="J3005" t="s">
        <v>3469</v>
      </c>
      <c r="K3005" t="s">
        <v>3750</v>
      </c>
      <c r="L3005">
        <v>28.92</v>
      </c>
      <c r="M3005" s="453">
        <v>45770</v>
      </c>
      <c r="N3005">
        <v>26.8</v>
      </c>
      <c r="O3005">
        <v>26.8</v>
      </c>
      <c r="P3005">
        <v>202.44</v>
      </c>
    </row>
    <row r="3006" spans="1:16" x14ac:dyDescent="0.3">
      <c r="A3006">
        <v>32946</v>
      </c>
      <c r="B3006">
        <v>116</v>
      </c>
      <c r="C3006" t="s">
        <v>568</v>
      </c>
      <c r="D3006" s="453">
        <v>45778</v>
      </c>
      <c r="E3006">
        <v>19139</v>
      </c>
      <c r="F3006" t="s">
        <v>3887</v>
      </c>
      <c r="G3006">
        <v>2836</v>
      </c>
      <c r="H3006">
        <v>22</v>
      </c>
      <c r="I3006" t="s">
        <v>3888</v>
      </c>
      <c r="J3006" t="s">
        <v>3469</v>
      </c>
      <c r="K3006" t="s">
        <v>3750</v>
      </c>
      <c r="L3006">
        <v>9.1</v>
      </c>
      <c r="M3006" s="453">
        <v>45776</v>
      </c>
      <c r="N3006">
        <v>9.1</v>
      </c>
      <c r="O3006">
        <v>9.1</v>
      </c>
      <c r="P3006">
        <v>200.2</v>
      </c>
    </row>
    <row r="3007" spans="1:16" x14ac:dyDescent="0.3">
      <c r="A3007">
        <v>32991</v>
      </c>
      <c r="B3007">
        <v>116</v>
      </c>
      <c r="C3007" t="s">
        <v>568</v>
      </c>
      <c r="D3007" s="453">
        <v>45778</v>
      </c>
      <c r="E3007">
        <v>18359</v>
      </c>
      <c r="F3007" t="s">
        <v>4029</v>
      </c>
      <c r="G3007">
        <v>3278</v>
      </c>
      <c r="H3007">
        <v>2.2000000000000002</v>
      </c>
      <c r="I3007" t="s">
        <v>3878</v>
      </c>
      <c r="J3007" t="s">
        <v>3497</v>
      </c>
      <c r="K3007" t="s">
        <v>3750</v>
      </c>
      <c r="L3007">
        <v>91</v>
      </c>
      <c r="M3007" s="453">
        <v>45748</v>
      </c>
      <c r="N3007">
        <v>91</v>
      </c>
      <c r="O3007">
        <v>1.43</v>
      </c>
      <c r="P3007">
        <v>200.2</v>
      </c>
    </row>
    <row r="3008" spans="1:16" x14ac:dyDescent="0.3">
      <c r="A3008">
        <v>32829</v>
      </c>
      <c r="B3008">
        <v>116</v>
      </c>
      <c r="C3008" t="s">
        <v>568</v>
      </c>
      <c r="D3008" s="453">
        <v>45778</v>
      </c>
      <c r="E3008">
        <v>25167</v>
      </c>
      <c r="F3008" t="s">
        <v>3951</v>
      </c>
      <c r="G3008">
        <v>5930</v>
      </c>
      <c r="H3008">
        <v>15</v>
      </c>
      <c r="I3008" t="s">
        <v>3892</v>
      </c>
      <c r="J3008" t="s">
        <v>3469</v>
      </c>
      <c r="K3008" t="s">
        <v>3750</v>
      </c>
      <c r="L3008">
        <v>12.84</v>
      </c>
      <c r="M3008" s="453">
        <v>45770</v>
      </c>
      <c r="N3008">
        <v>16.13</v>
      </c>
      <c r="O3008">
        <v>7.9</v>
      </c>
      <c r="P3008">
        <v>192.6</v>
      </c>
    </row>
    <row r="3009" spans="1:16" x14ac:dyDescent="0.3">
      <c r="A3009">
        <v>33026</v>
      </c>
      <c r="B3009">
        <v>116</v>
      </c>
      <c r="C3009" t="s">
        <v>568</v>
      </c>
      <c r="D3009" s="453">
        <v>45778</v>
      </c>
      <c r="E3009">
        <v>17609</v>
      </c>
      <c r="F3009" t="s">
        <v>4038</v>
      </c>
      <c r="G3009">
        <v>3917</v>
      </c>
      <c r="H3009">
        <v>10</v>
      </c>
      <c r="I3009" t="s">
        <v>3878</v>
      </c>
      <c r="J3009" t="s">
        <v>3497</v>
      </c>
      <c r="K3009" t="s">
        <v>3750</v>
      </c>
      <c r="L3009">
        <v>0</v>
      </c>
      <c r="M3009" s="453">
        <v>45573</v>
      </c>
      <c r="N3009">
        <v>18.899999999999999</v>
      </c>
      <c r="O3009">
        <v>18.899999999999999</v>
      </c>
      <c r="P3009">
        <v>189</v>
      </c>
    </row>
    <row r="3010" spans="1:16" x14ac:dyDescent="0.3">
      <c r="A3010">
        <v>32989</v>
      </c>
      <c r="B3010">
        <v>116</v>
      </c>
      <c r="C3010" t="s">
        <v>568</v>
      </c>
      <c r="D3010" s="453">
        <v>45778</v>
      </c>
      <c r="E3010">
        <v>18394</v>
      </c>
      <c r="F3010" t="s">
        <v>4044</v>
      </c>
      <c r="G3010">
        <v>3246</v>
      </c>
      <c r="H3010">
        <v>1</v>
      </c>
      <c r="I3010" t="s">
        <v>3878</v>
      </c>
      <c r="J3010" t="s">
        <v>3497</v>
      </c>
      <c r="K3010" t="s">
        <v>3750</v>
      </c>
      <c r="L3010">
        <v>0</v>
      </c>
      <c r="M3010" s="453">
        <v>45516</v>
      </c>
      <c r="N3010">
        <v>0</v>
      </c>
      <c r="O3010">
        <v>132.75</v>
      </c>
      <c r="P3010">
        <v>179.9</v>
      </c>
    </row>
    <row r="3011" spans="1:16" x14ac:dyDescent="0.3">
      <c r="A3011">
        <v>32999</v>
      </c>
      <c r="B3011">
        <v>116</v>
      </c>
      <c r="C3011" t="s">
        <v>568</v>
      </c>
      <c r="D3011" s="453">
        <v>45778</v>
      </c>
      <c r="E3011">
        <v>18233</v>
      </c>
      <c r="F3011" t="s">
        <v>4090</v>
      </c>
      <c r="G3011">
        <v>3395</v>
      </c>
      <c r="H3011">
        <v>2</v>
      </c>
      <c r="I3011" t="s">
        <v>3878</v>
      </c>
      <c r="J3011" t="s">
        <v>3497</v>
      </c>
      <c r="K3011" t="s">
        <v>3750</v>
      </c>
      <c r="L3011">
        <v>0</v>
      </c>
      <c r="M3011" s="453">
        <v>45664</v>
      </c>
      <c r="N3011">
        <v>88.9</v>
      </c>
      <c r="O3011">
        <v>100.88</v>
      </c>
      <c r="P3011">
        <v>177.8</v>
      </c>
    </row>
    <row r="3012" spans="1:16" x14ac:dyDescent="0.3">
      <c r="A3012">
        <v>32858</v>
      </c>
      <c r="B3012">
        <v>116</v>
      </c>
      <c r="C3012" t="s">
        <v>568</v>
      </c>
      <c r="D3012" s="453">
        <v>45778</v>
      </c>
      <c r="E3012">
        <v>19961</v>
      </c>
      <c r="F3012" t="s">
        <v>4465</v>
      </c>
      <c r="G3012">
        <v>2357</v>
      </c>
      <c r="H3012">
        <v>13</v>
      </c>
      <c r="I3012" t="s">
        <v>3886</v>
      </c>
      <c r="J3012" t="s">
        <v>3469</v>
      </c>
      <c r="K3012" t="s">
        <v>3750</v>
      </c>
      <c r="L3012">
        <v>13.5</v>
      </c>
      <c r="M3012" s="453">
        <v>45762</v>
      </c>
      <c r="N3012">
        <v>13.5</v>
      </c>
      <c r="O3012">
        <v>13.9</v>
      </c>
      <c r="P3012">
        <v>175.5</v>
      </c>
    </row>
    <row r="3013" spans="1:16" x14ac:dyDescent="0.3">
      <c r="A3013">
        <v>32997</v>
      </c>
      <c r="B3013">
        <v>116</v>
      </c>
      <c r="C3013" t="s">
        <v>568</v>
      </c>
      <c r="D3013" s="453">
        <v>45778</v>
      </c>
      <c r="E3013">
        <v>22338</v>
      </c>
      <c r="F3013" t="s">
        <v>3947</v>
      </c>
      <c r="G3013">
        <v>3376</v>
      </c>
      <c r="H3013">
        <v>5.8</v>
      </c>
      <c r="I3013" t="s">
        <v>3872</v>
      </c>
      <c r="J3013" t="s">
        <v>3497</v>
      </c>
      <c r="K3013" t="s">
        <v>3750</v>
      </c>
      <c r="L3013">
        <v>0</v>
      </c>
      <c r="M3013" s="453">
        <v>45659</v>
      </c>
      <c r="N3013">
        <v>29.97</v>
      </c>
      <c r="O3013">
        <v>28.97</v>
      </c>
      <c r="P3013">
        <v>173.83</v>
      </c>
    </row>
    <row r="3014" spans="1:16" x14ac:dyDescent="0.3">
      <c r="A3014">
        <v>32976</v>
      </c>
      <c r="B3014">
        <v>116</v>
      </c>
      <c r="C3014" t="s">
        <v>568</v>
      </c>
      <c r="D3014" s="453">
        <v>45778</v>
      </c>
      <c r="E3014">
        <v>18550</v>
      </c>
      <c r="F3014" t="s">
        <v>4083</v>
      </c>
      <c r="G3014">
        <v>3130</v>
      </c>
      <c r="H3014">
        <v>1</v>
      </c>
      <c r="I3014" t="s">
        <v>3878</v>
      </c>
      <c r="J3014" t="s">
        <v>3497</v>
      </c>
      <c r="K3014" t="s">
        <v>3750</v>
      </c>
      <c r="L3014">
        <v>0</v>
      </c>
      <c r="M3014" s="453">
        <v>-693593</v>
      </c>
      <c r="N3014">
        <v>0</v>
      </c>
      <c r="O3014">
        <v>12.62</v>
      </c>
      <c r="P3014">
        <v>165.45</v>
      </c>
    </row>
    <row r="3015" spans="1:16" x14ac:dyDescent="0.3">
      <c r="A3015">
        <v>32814</v>
      </c>
      <c r="B3015">
        <v>116</v>
      </c>
      <c r="C3015" t="s">
        <v>568</v>
      </c>
      <c r="D3015" s="453">
        <v>45778</v>
      </c>
      <c r="E3015">
        <v>20752</v>
      </c>
      <c r="F3015" t="s">
        <v>3964</v>
      </c>
      <c r="G3015">
        <v>2088</v>
      </c>
      <c r="H3015">
        <v>1.5</v>
      </c>
      <c r="I3015" t="s">
        <v>3886</v>
      </c>
      <c r="J3015" t="s">
        <v>3469</v>
      </c>
      <c r="K3015" t="s">
        <v>3750</v>
      </c>
      <c r="L3015">
        <v>108.91</v>
      </c>
      <c r="M3015" s="453">
        <v>45776</v>
      </c>
      <c r="N3015">
        <v>106.98</v>
      </c>
      <c r="O3015">
        <v>106.98</v>
      </c>
      <c r="P3015">
        <v>163.36000000000001</v>
      </c>
    </row>
    <row r="3016" spans="1:16" x14ac:dyDescent="0.3">
      <c r="A3016">
        <v>32816</v>
      </c>
      <c r="B3016">
        <v>116</v>
      </c>
      <c r="C3016" t="s">
        <v>568</v>
      </c>
      <c r="D3016" s="453">
        <v>45778</v>
      </c>
      <c r="E3016">
        <v>20278</v>
      </c>
      <c r="F3016" t="s">
        <v>3939</v>
      </c>
      <c r="G3016">
        <v>2230</v>
      </c>
      <c r="H3016">
        <v>9</v>
      </c>
      <c r="I3016" t="s">
        <v>3872</v>
      </c>
      <c r="J3016" t="s">
        <v>3469</v>
      </c>
      <c r="K3016" t="s">
        <v>3750</v>
      </c>
      <c r="L3016">
        <v>18.010000000000002</v>
      </c>
      <c r="M3016" s="453">
        <v>45776</v>
      </c>
      <c r="N3016">
        <v>21.2</v>
      </c>
      <c r="O3016">
        <v>21.2</v>
      </c>
      <c r="P3016">
        <v>162.09</v>
      </c>
    </row>
    <row r="3017" spans="1:16" x14ac:dyDescent="0.3">
      <c r="A3017">
        <v>33028</v>
      </c>
      <c r="B3017">
        <v>116</v>
      </c>
      <c r="C3017" t="s">
        <v>568</v>
      </c>
      <c r="D3017" s="453">
        <v>45778</v>
      </c>
      <c r="E3017">
        <v>18179</v>
      </c>
      <c r="F3017" t="s">
        <v>3995</v>
      </c>
      <c r="G3017">
        <v>3443</v>
      </c>
      <c r="H3017">
        <v>2</v>
      </c>
      <c r="I3017" t="s">
        <v>3878</v>
      </c>
      <c r="J3017" t="s">
        <v>3497</v>
      </c>
      <c r="K3017" t="s">
        <v>3750</v>
      </c>
      <c r="L3017">
        <v>79.900000000000006</v>
      </c>
      <c r="M3017" s="453">
        <v>45770</v>
      </c>
      <c r="N3017">
        <v>79.900000000000006</v>
      </c>
      <c r="O3017">
        <v>4.0599999999999996</v>
      </c>
      <c r="P3017">
        <v>159.80000000000001</v>
      </c>
    </row>
    <row r="3018" spans="1:16" x14ac:dyDescent="0.3">
      <c r="A3018">
        <v>32968</v>
      </c>
      <c r="B3018">
        <v>116</v>
      </c>
      <c r="C3018" t="s">
        <v>568</v>
      </c>
      <c r="D3018" s="453">
        <v>45778</v>
      </c>
      <c r="E3018">
        <v>22889</v>
      </c>
      <c r="F3018" t="s">
        <v>4466</v>
      </c>
      <c r="G3018">
        <v>2900</v>
      </c>
      <c r="H3018">
        <v>9.3000000000000007</v>
      </c>
      <c r="I3018" t="s">
        <v>3892</v>
      </c>
      <c r="J3018" t="s">
        <v>3469</v>
      </c>
      <c r="K3018" t="s">
        <v>3750</v>
      </c>
      <c r="L3018">
        <v>0</v>
      </c>
      <c r="M3018" s="453">
        <v>45674</v>
      </c>
      <c r="N3018">
        <v>17.100000000000001</v>
      </c>
      <c r="O3018">
        <v>17.100000000000001</v>
      </c>
      <c r="P3018">
        <v>159.03</v>
      </c>
    </row>
    <row r="3019" spans="1:16" x14ac:dyDescent="0.3">
      <c r="A3019">
        <v>33027</v>
      </c>
      <c r="B3019">
        <v>116</v>
      </c>
      <c r="C3019" t="s">
        <v>568</v>
      </c>
      <c r="D3019" s="453">
        <v>45778</v>
      </c>
      <c r="E3019">
        <v>18129</v>
      </c>
      <c r="F3019" t="s">
        <v>4092</v>
      </c>
      <c r="G3019">
        <v>3486</v>
      </c>
      <c r="H3019">
        <v>1</v>
      </c>
      <c r="I3019" t="s">
        <v>3878</v>
      </c>
      <c r="J3019" t="s">
        <v>3497</v>
      </c>
      <c r="K3019" t="s">
        <v>3750</v>
      </c>
      <c r="L3019">
        <v>156.31</v>
      </c>
      <c r="M3019" s="453">
        <v>45770</v>
      </c>
      <c r="N3019">
        <v>156.31</v>
      </c>
      <c r="O3019">
        <v>128.72999999999999</v>
      </c>
      <c r="P3019">
        <v>156.31</v>
      </c>
    </row>
    <row r="3020" spans="1:16" x14ac:dyDescent="0.3">
      <c r="A3020">
        <v>32851</v>
      </c>
      <c r="B3020">
        <v>116</v>
      </c>
      <c r="C3020" t="s">
        <v>568</v>
      </c>
      <c r="D3020" s="453">
        <v>45778</v>
      </c>
      <c r="E3020">
        <v>20117</v>
      </c>
      <c r="F3020" t="s">
        <v>4010</v>
      </c>
      <c r="G3020">
        <v>2291</v>
      </c>
      <c r="H3020">
        <v>3</v>
      </c>
      <c r="I3020" t="s">
        <v>3872</v>
      </c>
      <c r="J3020" t="s">
        <v>3469</v>
      </c>
      <c r="K3020" t="s">
        <v>3750</v>
      </c>
      <c r="L3020">
        <v>49.99</v>
      </c>
      <c r="M3020" s="453">
        <v>45762</v>
      </c>
      <c r="N3020">
        <v>49.99</v>
      </c>
      <c r="O3020">
        <v>50.9</v>
      </c>
      <c r="P3020">
        <v>149.97</v>
      </c>
    </row>
    <row r="3021" spans="1:16" x14ac:dyDescent="0.3">
      <c r="A3021">
        <v>32860</v>
      </c>
      <c r="B3021">
        <v>116</v>
      </c>
      <c r="C3021" t="s">
        <v>568</v>
      </c>
      <c r="D3021" s="453">
        <v>45778</v>
      </c>
      <c r="E3021">
        <v>20984</v>
      </c>
      <c r="F3021" t="s">
        <v>4235</v>
      </c>
      <c r="G3021">
        <v>2011</v>
      </c>
      <c r="H3021">
        <v>18</v>
      </c>
      <c r="I3021" t="s">
        <v>3931</v>
      </c>
      <c r="J3021" t="s">
        <v>3469</v>
      </c>
      <c r="K3021" t="s">
        <v>3750</v>
      </c>
      <c r="L3021">
        <v>8.2899999999999991</v>
      </c>
      <c r="M3021" s="453">
        <v>45776</v>
      </c>
      <c r="N3021">
        <v>8.2899999999999991</v>
      </c>
      <c r="O3021">
        <v>8.02</v>
      </c>
      <c r="P3021">
        <v>149.22</v>
      </c>
    </row>
    <row r="3022" spans="1:16" x14ac:dyDescent="0.3">
      <c r="A3022">
        <v>32951</v>
      </c>
      <c r="B3022">
        <v>116</v>
      </c>
      <c r="C3022" t="s">
        <v>568</v>
      </c>
      <c r="D3022" s="453">
        <v>45778</v>
      </c>
      <c r="E3022">
        <v>18933</v>
      </c>
      <c r="F3022" t="s">
        <v>3957</v>
      </c>
      <c r="G3022">
        <v>2930</v>
      </c>
      <c r="H3022">
        <v>6</v>
      </c>
      <c r="I3022" t="s">
        <v>3892</v>
      </c>
      <c r="J3022" t="s">
        <v>3469</v>
      </c>
      <c r="K3022" t="s">
        <v>3750</v>
      </c>
      <c r="L3022">
        <v>24.5</v>
      </c>
      <c r="M3022" s="453">
        <v>45755</v>
      </c>
      <c r="N3022">
        <v>24.5</v>
      </c>
      <c r="O3022">
        <v>24.5</v>
      </c>
      <c r="P3022">
        <v>147</v>
      </c>
    </row>
    <row r="3023" spans="1:16" x14ac:dyDescent="0.3">
      <c r="A3023">
        <v>32944</v>
      </c>
      <c r="B3023">
        <v>116</v>
      </c>
      <c r="C3023" t="s">
        <v>568</v>
      </c>
      <c r="D3023" s="453">
        <v>45778</v>
      </c>
      <c r="E3023">
        <v>19287</v>
      </c>
      <c r="F3023" t="s">
        <v>3974</v>
      </c>
      <c r="G3023">
        <v>2778</v>
      </c>
      <c r="H3023">
        <v>3.3</v>
      </c>
      <c r="I3023" t="s">
        <v>3892</v>
      </c>
      <c r="J3023" t="s">
        <v>3469</v>
      </c>
      <c r="K3023" t="s">
        <v>3750</v>
      </c>
      <c r="L3023">
        <v>43.8</v>
      </c>
      <c r="M3023" s="453">
        <v>45770</v>
      </c>
      <c r="N3023">
        <v>43.78</v>
      </c>
      <c r="O3023">
        <v>42.84</v>
      </c>
      <c r="P3023">
        <v>144.54</v>
      </c>
    </row>
    <row r="3024" spans="1:16" x14ac:dyDescent="0.3">
      <c r="A3024">
        <v>32849</v>
      </c>
      <c r="B3024">
        <v>116</v>
      </c>
      <c r="C3024" t="s">
        <v>568</v>
      </c>
      <c r="D3024" s="453">
        <v>45778</v>
      </c>
      <c r="E3024">
        <v>20007</v>
      </c>
      <c r="F3024" t="s">
        <v>4009</v>
      </c>
      <c r="G3024">
        <v>2343</v>
      </c>
      <c r="H3024">
        <v>3</v>
      </c>
      <c r="I3024" t="s">
        <v>3966</v>
      </c>
      <c r="J3024" t="s">
        <v>3469</v>
      </c>
      <c r="K3024" t="s">
        <v>3750</v>
      </c>
      <c r="L3024">
        <v>47.97</v>
      </c>
      <c r="M3024" s="453">
        <v>45770</v>
      </c>
      <c r="N3024">
        <v>47.92</v>
      </c>
      <c r="O3024">
        <v>44.96</v>
      </c>
      <c r="P3024">
        <v>143.91</v>
      </c>
    </row>
    <row r="3025" spans="1:16" x14ac:dyDescent="0.3">
      <c r="A3025">
        <v>32935</v>
      </c>
      <c r="B3025">
        <v>116</v>
      </c>
      <c r="C3025" t="s">
        <v>568</v>
      </c>
      <c r="D3025" s="453">
        <v>45778</v>
      </c>
      <c r="E3025">
        <v>19540</v>
      </c>
      <c r="F3025" t="s">
        <v>4454</v>
      </c>
      <c r="G3025">
        <v>2676</v>
      </c>
      <c r="H3025">
        <v>18</v>
      </c>
      <c r="I3025" t="s">
        <v>3892</v>
      </c>
      <c r="J3025" t="s">
        <v>3469</v>
      </c>
      <c r="K3025" t="s">
        <v>3750</v>
      </c>
      <c r="L3025">
        <v>7.83</v>
      </c>
      <c r="M3025" s="453">
        <v>45772</v>
      </c>
      <c r="N3025">
        <v>6.5</v>
      </c>
      <c r="O3025">
        <v>6.5</v>
      </c>
      <c r="P3025">
        <v>140.94</v>
      </c>
    </row>
    <row r="3026" spans="1:16" x14ac:dyDescent="0.3">
      <c r="A3026">
        <v>32987</v>
      </c>
      <c r="B3026">
        <v>116</v>
      </c>
      <c r="C3026" t="s">
        <v>568</v>
      </c>
      <c r="D3026" s="453">
        <v>45778</v>
      </c>
      <c r="E3026">
        <v>18467</v>
      </c>
      <c r="F3026" t="s">
        <v>4028</v>
      </c>
      <c r="G3026">
        <v>3189</v>
      </c>
      <c r="H3026">
        <v>2</v>
      </c>
      <c r="I3026" t="s">
        <v>3878</v>
      </c>
      <c r="J3026" t="s">
        <v>3497</v>
      </c>
      <c r="K3026" t="s">
        <v>3750</v>
      </c>
      <c r="L3026">
        <v>70</v>
      </c>
      <c r="M3026" s="453">
        <v>45770</v>
      </c>
      <c r="N3026">
        <v>70</v>
      </c>
      <c r="O3026">
        <v>70</v>
      </c>
      <c r="P3026">
        <v>140</v>
      </c>
    </row>
    <row r="3027" spans="1:16" x14ac:dyDescent="0.3">
      <c r="A3027">
        <v>32952</v>
      </c>
      <c r="B3027">
        <v>116</v>
      </c>
      <c r="C3027" t="s">
        <v>568</v>
      </c>
      <c r="D3027" s="453">
        <v>45778</v>
      </c>
      <c r="E3027">
        <v>24194</v>
      </c>
      <c r="F3027" t="s">
        <v>4181</v>
      </c>
      <c r="G3027">
        <v>3038</v>
      </c>
      <c r="H3027">
        <v>3.2</v>
      </c>
      <c r="I3027" t="s">
        <v>3892</v>
      </c>
      <c r="J3027" t="s">
        <v>3469</v>
      </c>
      <c r="K3027" t="s">
        <v>3750</v>
      </c>
      <c r="L3027">
        <v>43.21</v>
      </c>
      <c r="M3027" s="453">
        <v>45776</v>
      </c>
      <c r="N3027">
        <v>42</v>
      </c>
      <c r="O3027">
        <v>42</v>
      </c>
      <c r="P3027">
        <v>138.27000000000001</v>
      </c>
    </row>
    <row r="3028" spans="1:16" x14ac:dyDescent="0.3">
      <c r="A3028">
        <v>32889</v>
      </c>
      <c r="B3028">
        <v>116</v>
      </c>
      <c r="C3028" t="s">
        <v>568</v>
      </c>
      <c r="D3028" s="453">
        <v>45778</v>
      </c>
      <c r="E3028">
        <v>24083</v>
      </c>
      <c r="F3028" t="s">
        <v>3898</v>
      </c>
      <c r="G3028">
        <v>2592</v>
      </c>
      <c r="H3028">
        <v>21</v>
      </c>
      <c r="I3028" t="s">
        <v>3892</v>
      </c>
      <c r="J3028" t="s">
        <v>3469</v>
      </c>
      <c r="K3028" t="s">
        <v>3750</v>
      </c>
      <c r="L3028">
        <v>6.37</v>
      </c>
      <c r="M3028" s="453">
        <v>45771</v>
      </c>
      <c r="N3028">
        <v>4.2</v>
      </c>
      <c r="O3028">
        <v>0.95</v>
      </c>
      <c r="P3028">
        <v>133.77000000000001</v>
      </c>
    </row>
    <row r="3029" spans="1:16" x14ac:dyDescent="0.3">
      <c r="A3029">
        <v>33000</v>
      </c>
      <c r="B3029">
        <v>116</v>
      </c>
      <c r="C3029" t="s">
        <v>568</v>
      </c>
      <c r="D3029" s="453">
        <v>45778</v>
      </c>
      <c r="E3029">
        <v>18232</v>
      </c>
      <c r="F3029" t="s">
        <v>4091</v>
      </c>
      <c r="G3029">
        <v>3396</v>
      </c>
      <c r="H3029">
        <v>1.5</v>
      </c>
      <c r="I3029" t="s">
        <v>3878</v>
      </c>
      <c r="J3029" t="s">
        <v>3497</v>
      </c>
      <c r="K3029" t="s">
        <v>3750</v>
      </c>
      <c r="L3029">
        <v>0</v>
      </c>
      <c r="M3029" s="453">
        <v>45434</v>
      </c>
      <c r="N3029">
        <v>88.9</v>
      </c>
      <c r="O3029">
        <v>50.44</v>
      </c>
      <c r="P3029">
        <v>133.35</v>
      </c>
    </row>
    <row r="3030" spans="1:16" x14ac:dyDescent="0.3">
      <c r="A3030">
        <v>32994</v>
      </c>
      <c r="B3030">
        <v>116</v>
      </c>
      <c r="C3030" t="s">
        <v>568</v>
      </c>
      <c r="D3030" s="453">
        <v>45778</v>
      </c>
      <c r="E3030">
        <v>18315</v>
      </c>
      <c r="F3030" t="s">
        <v>4088</v>
      </c>
      <c r="G3030">
        <v>3318</v>
      </c>
      <c r="H3030">
        <v>1</v>
      </c>
      <c r="I3030" t="s">
        <v>3878</v>
      </c>
      <c r="J3030" t="s">
        <v>3497</v>
      </c>
      <c r="K3030" t="s">
        <v>3750</v>
      </c>
      <c r="L3030">
        <v>125.9</v>
      </c>
      <c r="M3030" s="453">
        <v>45761</v>
      </c>
      <c r="N3030">
        <v>125.9</v>
      </c>
      <c r="O3030">
        <v>39.54</v>
      </c>
      <c r="P3030">
        <v>125.9</v>
      </c>
    </row>
    <row r="3031" spans="1:16" x14ac:dyDescent="0.3">
      <c r="A3031">
        <v>33003</v>
      </c>
      <c r="B3031">
        <v>116</v>
      </c>
      <c r="C3031" t="s">
        <v>568</v>
      </c>
      <c r="D3031" s="453">
        <v>45778</v>
      </c>
      <c r="E3031">
        <v>18194</v>
      </c>
      <c r="F3031" t="s">
        <v>4490</v>
      </c>
      <c r="G3031">
        <v>3430</v>
      </c>
      <c r="H3031">
        <v>2</v>
      </c>
      <c r="I3031" t="s">
        <v>3878</v>
      </c>
      <c r="J3031" t="s">
        <v>3497</v>
      </c>
      <c r="K3031" t="s">
        <v>3750</v>
      </c>
      <c r="L3031">
        <v>62.9</v>
      </c>
      <c r="M3031" s="453">
        <v>45761</v>
      </c>
      <c r="N3031">
        <v>62.9</v>
      </c>
      <c r="O3031">
        <v>31.25</v>
      </c>
      <c r="P3031">
        <v>125.8</v>
      </c>
    </row>
    <row r="3032" spans="1:16" x14ac:dyDescent="0.3">
      <c r="A3032">
        <v>32859</v>
      </c>
      <c r="B3032">
        <v>116</v>
      </c>
      <c r="C3032" t="s">
        <v>568</v>
      </c>
      <c r="D3032" s="453">
        <v>45778</v>
      </c>
      <c r="E3032">
        <v>19967</v>
      </c>
      <c r="F3032" t="s">
        <v>3930</v>
      </c>
      <c r="G3032">
        <v>2356</v>
      </c>
      <c r="H3032">
        <v>2</v>
      </c>
      <c r="I3032" t="s">
        <v>3931</v>
      </c>
      <c r="J3032" t="s">
        <v>3469</v>
      </c>
      <c r="K3032" t="s">
        <v>3750</v>
      </c>
      <c r="L3032">
        <v>62.03</v>
      </c>
      <c r="M3032" s="453">
        <v>45770</v>
      </c>
      <c r="N3032">
        <v>62.3</v>
      </c>
      <c r="O3032">
        <v>62.91</v>
      </c>
      <c r="P3032">
        <v>124.06</v>
      </c>
    </row>
    <row r="3033" spans="1:16" x14ac:dyDescent="0.3">
      <c r="A3033">
        <v>32801</v>
      </c>
      <c r="B3033">
        <v>116</v>
      </c>
      <c r="C3033" t="s">
        <v>568</v>
      </c>
      <c r="D3033" s="453">
        <v>45778</v>
      </c>
      <c r="E3033">
        <v>25767</v>
      </c>
      <c r="F3033" t="s">
        <v>3976</v>
      </c>
      <c r="G3033">
        <v>6316</v>
      </c>
      <c r="H3033">
        <v>2</v>
      </c>
      <c r="I3033" t="s">
        <v>3892</v>
      </c>
      <c r="J3033" t="s">
        <v>3469</v>
      </c>
      <c r="K3033" t="s">
        <v>3750</v>
      </c>
      <c r="L3033">
        <v>0</v>
      </c>
      <c r="M3033" s="453">
        <v>45635</v>
      </c>
      <c r="N3033">
        <v>60</v>
      </c>
      <c r="O3033">
        <v>60</v>
      </c>
      <c r="P3033">
        <v>120</v>
      </c>
    </row>
    <row r="3034" spans="1:16" x14ac:dyDescent="0.3">
      <c r="A3034">
        <v>32850</v>
      </c>
      <c r="B3034">
        <v>116</v>
      </c>
      <c r="C3034" t="s">
        <v>568</v>
      </c>
      <c r="D3034" s="453">
        <v>45778</v>
      </c>
      <c r="E3034">
        <v>20131</v>
      </c>
      <c r="F3034" t="s">
        <v>4447</v>
      </c>
      <c r="G3034">
        <v>2287</v>
      </c>
      <c r="H3034">
        <v>10</v>
      </c>
      <c r="I3034" t="s">
        <v>3892</v>
      </c>
      <c r="J3034" t="s">
        <v>3469</v>
      </c>
      <c r="K3034" t="s">
        <v>3750</v>
      </c>
      <c r="L3034">
        <v>0</v>
      </c>
      <c r="M3034" s="453">
        <v>45672</v>
      </c>
      <c r="N3034">
        <v>12</v>
      </c>
      <c r="O3034">
        <v>12</v>
      </c>
      <c r="P3034">
        <v>120</v>
      </c>
    </row>
    <row r="3035" spans="1:16" x14ac:dyDescent="0.3">
      <c r="A3035">
        <v>32809</v>
      </c>
      <c r="B3035">
        <v>116</v>
      </c>
      <c r="C3035" t="s">
        <v>568</v>
      </c>
      <c r="D3035" s="453">
        <v>45778</v>
      </c>
      <c r="E3035">
        <v>20757</v>
      </c>
      <c r="F3035" t="s">
        <v>4050</v>
      </c>
      <c r="G3035">
        <v>2086</v>
      </c>
      <c r="H3035">
        <v>1.5</v>
      </c>
      <c r="I3035" t="s">
        <v>3966</v>
      </c>
      <c r="J3035" t="s">
        <v>3469</v>
      </c>
      <c r="K3035" t="s">
        <v>3750</v>
      </c>
      <c r="L3035">
        <v>0</v>
      </c>
      <c r="M3035" s="453">
        <v>45681</v>
      </c>
      <c r="N3035">
        <v>75.2</v>
      </c>
      <c r="O3035">
        <v>79</v>
      </c>
      <c r="P3035">
        <v>112.8</v>
      </c>
    </row>
    <row r="3036" spans="1:16" x14ac:dyDescent="0.3">
      <c r="A3036">
        <v>33005</v>
      </c>
      <c r="B3036">
        <v>116</v>
      </c>
      <c r="C3036" t="s">
        <v>568</v>
      </c>
      <c r="D3036" s="453">
        <v>45778</v>
      </c>
      <c r="E3036">
        <v>18146</v>
      </c>
      <c r="F3036" t="s">
        <v>4100</v>
      </c>
      <c r="G3036">
        <v>3471</v>
      </c>
      <c r="H3036">
        <v>1</v>
      </c>
      <c r="I3036" t="s">
        <v>3878</v>
      </c>
      <c r="J3036" t="s">
        <v>3497</v>
      </c>
      <c r="K3036" t="s">
        <v>3750</v>
      </c>
      <c r="L3036">
        <v>0</v>
      </c>
      <c r="M3036" s="453">
        <v>45608</v>
      </c>
      <c r="N3036">
        <v>111.09</v>
      </c>
      <c r="O3036">
        <v>109.5</v>
      </c>
      <c r="P3036">
        <v>111.09</v>
      </c>
    </row>
    <row r="3037" spans="1:16" x14ac:dyDescent="0.3">
      <c r="A3037">
        <v>32906</v>
      </c>
      <c r="B3037">
        <v>116</v>
      </c>
      <c r="C3037" t="s">
        <v>568</v>
      </c>
      <c r="D3037" s="453">
        <v>45778</v>
      </c>
      <c r="E3037">
        <v>19756</v>
      </c>
      <c r="F3037" t="s">
        <v>4220</v>
      </c>
      <c r="G3037">
        <v>2497</v>
      </c>
      <c r="H3037">
        <v>22</v>
      </c>
      <c r="I3037" t="s">
        <v>3892</v>
      </c>
      <c r="J3037" t="s">
        <v>3469</v>
      </c>
      <c r="K3037" t="s">
        <v>3750</v>
      </c>
      <c r="L3037">
        <v>5</v>
      </c>
      <c r="M3037" s="453">
        <v>45775</v>
      </c>
      <c r="N3037">
        <v>4.3</v>
      </c>
      <c r="O3037">
        <v>4.84</v>
      </c>
      <c r="P3037">
        <v>110</v>
      </c>
    </row>
    <row r="3038" spans="1:16" x14ac:dyDescent="0.3">
      <c r="A3038">
        <v>32815</v>
      </c>
      <c r="B3038">
        <v>116</v>
      </c>
      <c r="C3038" t="s">
        <v>568</v>
      </c>
      <c r="D3038" s="453">
        <v>45778</v>
      </c>
      <c r="E3038">
        <v>20729</v>
      </c>
      <c r="F3038" t="s">
        <v>3965</v>
      </c>
      <c r="G3038">
        <v>2093</v>
      </c>
      <c r="H3038">
        <v>2</v>
      </c>
      <c r="I3038" t="s">
        <v>3966</v>
      </c>
      <c r="J3038" t="s">
        <v>3469</v>
      </c>
      <c r="K3038" t="s">
        <v>3750</v>
      </c>
      <c r="L3038">
        <v>54.88</v>
      </c>
      <c r="M3038" s="453">
        <v>45776</v>
      </c>
      <c r="N3038">
        <v>54.97</v>
      </c>
      <c r="O3038">
        <v>54.98</v>
      </c>
      <c r="P3038">
        <v>109.76</v>
      </c>
    </row>
    <row r="3039" spans="1:16" x14ac:dyDescent="0.3">
      <c r="A3039">
        <v>32804</v>
      </c>
      <c r="B3039">
        <v>116</v>
      </c>
      <c r="C3039" t="s">
        <v>568</v>
      </c>
      <c r="D3039" s="453">
        <v>45778</v>
      </c>
      <c r="E3039">
        <v>21166</v>
      </c>
      <c r="F3039" t="s">
        <v>4001</v>
      </c>
      <c r="G3039">
        <v>1940</v>
      </c>
      <c r="H3039">
        <v>3</v>
      </c>
      <c r="I3039" t="s">
        <v>3872</v>
      </c>
      <c r="J3039" t="s">
        <v>3469</v>
      </c>
      <c r="K3039" t="s">
        <v>3750</v>
      </c>
      <c r="L3039">
        <v>0</v>
      </c>
      <c r="M3039" s="453">
        <v>45615</v>
      </c>
      <c r="N3039">
        <v>36</v>
      </c>
      <c r="O3039">
        <v>36</v>
      </c>
      <c r="P3039">
        <v>108</v>
      </c>
    </row>
    <row r="3040" spans="1:16" x14ac:dyDescent="0.3">
      <c r="A3040">
        <v>32863</v>
      </c>
      <c r="B3040">
        <v>116</v>
      </c>
      <c r="C3040" t="s">
        <v>568</v>
      </c>
      <c r="D3040" s="453">
        <v>45778</v>
      </c>
      <c r="E3040">
        <v>20624</v>
      </c>
      <c r="F3040" t="s">
        <v>3982</v>
      </c>
      <c r="G3040">
        <v>2116</v>
      </c>
      <c r="H3040">
        <v>1.5</v>
      </c>
      <c r="I3040" t="s">
        <v>3966</v>
      </c>
      <c r="J3040" t="s">
        <v>3469</v>
      </c>
      <c r="K3040" t="s">
        <v>3750</v>
      </c>
      <c r="L3040">
        <v>70.290000000000006</v>
      </c>
      <c r="M3040" s="453">
        <v>45770</v>
      </c>
      <c r="N3040">
        <v>70</v>
      </c>
      <c r="O3040">
        <v>70</v>
      </c>
      <c r="P3040">
        <v>105.44</v>
      </c>
    </row>
    <row r="3041" spans="1:16" x14ac:dyDescent="0.3">
      <c r="A3041">
        <v>32818</v>
      </c>
      <c r="B3041">
        <v>116</v>
      </c>
      <c r="C3041" t="s">
        <v>568</v>
      </c>
      <c r="D3041" s="453">
        <v>45778</v>
      </c>
      <c r="E3041">
        <v>20809</v>
      </c>
      <c r="F3041" t="s">
        <v>4005</v>
      </c>
      <c r="G3041">
        <v>2074</v>
      </c>
      <c r="H3041">
        <v>3</v>
      </c>
      <c r="I3041" t="s">
        <v>3888</v>
      </c>
      <c r="J3041" t="s">
        <v>3469</v>
      </c>
      <c r="K3041" t="s">
        <v>3750</v>
      </c>
      <c r="L3041">
        <v>34.75</v>
      </c>
      <c r="M3041" s="453">
        <v>45776</v>
      </c>
      <c r="N3041">
        <v>35.83</v>
      </c>
      <c r="O3041">
        <v>33.81</v>
      </c>
      <c r="P3041">
        <v>104.25</v>
      </c>
    </row>
    <row r="3042" spans="1:16" x14ac:dyDescent="0.3">
      <c r="A3042">
        <v>32920</v>
      </c>
      <c r="B3042">
        <v>116</v>
      </c>
      <c r="C3042" t="s">
        <v>568</v>
      </c>
      <c r="D3042" s="453">
        <v>45778</v>
      </c>
      <c r="E3042">
        <v>19578</v>
      </c>
      <c r="F3042" t="s">
        <v>3985</v>
      </c>
      <c r="G3042">
        <v>2640</v>
      </c>
      <c r="H3042">
        <v>2</v>
      </c>
      <c r="I3042" t="s">
        <v>3892</v>
      </c>
      <c r="J3042" t="s">
        <v>3469</v>
      </c>
      <c r="K3042" t="s">
        <v>3750</v>
      </c>
      <c r="L3042">
        <v>50</v>
      </c>
      <c r="M3042" s="453">
        <v>45754</v>
      </c>
      <c r="N3042">
        <v>50</v>
      </c>
      <c r="O3042">
        <v>50</v>
      </c>
      <c r="P3042">
        <v>100</v>
      </c>
    </row>
    <row r="3043" spans="1:16" x14ac:dyDescent="0.3">
      <c r="A3043">
        <v>32921</v>
      </c>
      <c r="B3043">
        <v>116</v>
      </c>
      <c r="C3043" t="s">
        <v>568</v>
      </c>
      <c r="D3043" s="453">
        <v>45778</v>
      </c>
      <c r="E3043">
        <v>19579</v>
      </c>
      <c r="F3043" t="s">
        <v>4020</v>
      </c>
      <c r="G3043">
        <v>2640</v>
      </c>
      <c r="H3043">
        <v>2</v>
      </c>
      <c r="I3043" t="s">
        <v>3892</v>
      </c>
      <c r="J3043" t="s">
        <v>3469</v>
      </c>
      <c r="K3043" t="s">
        <v>3750</v>
      </c>
      <c r="L3043">
        <v>50</v>
      </c>
      <c r="M3043" s="453">
        <v>45754</v>
      </c>
      <c r="N3043">
        <v>50</v>
      </c>
      <c r="O3043">
        <v>50</v>
      </c>
      <c r="P3043">
        <v>100</v>
      </c>
    </row>
    <row r="3044" spans="1:16" x14ac:dyDescent="0.3">
      <c r="A3044">
        <v>32873</v>
      </c>
      <c r="B3044">
        <v>116</v>
      </c>
      <c r="C3044" t="s">
        <v>568</v>
      </c>
      <c r="D3044" s="453">
        <v>45778</v>
      </c>
      <c r="E3044">
        <v>20457</v>
      </c>
      <c r="F3044" t="s">
        <v>3999</v>
      </c>
      <c r="G3044">
        <v>2165</v>
      </c>
      <c r="H3044">
        <v>3</v>
      </c>
      <c r="I3044" t="s">
        <v>3892</v>
      </c>
      <c r="J3044" t="s">
        <v>3469</v>
      </c>
      <c r="K3044" t="s">
        <v>3750</v>
      </c>
      <c r="L3044">
        <v>32.950000000000003</v>
      </c>
      <c r="M3044" s="453">
        <v>45770</v>
      </c>
      <c r="N3044">
        <v>29.9</v>
      </c>
      <c r="O3044">
        <v>29.9</v>
      </c>
      <c r="P3044">
        <v>98.85</v>
      </c>
    </row>
    <row r="3045" spans="1:16" x14ac:dyDescent="0.3">
      <c r="A3045">
        <v>32867</v>
      </c>
      <c r="B3045">
        <v>116</v>
      </c>
      <c r="C3045" t="s">
        <v>568</v>
      </c>
      <c r="D3045" s="453">
        <v>45778</v>
      </c>
      <c r="E3045">
        <v>20487</v>
      </c>
      <c r="F3045" t="s">
        <v>4310</v>
      </c>
      <c r="G3045">
        <v>2157</v>
      </c>
      <c r="H3045">
        <v>3.5</v>
      </c>
      <c r="I3045" t="s">
        <v>3892</v>
      </c>
      <c r="J3045" t="s">
        <v>3469</v>
      </c>
      <c r="K3045" t="s">
        <v>3750</v>
      </c>
      <c r="L3045">
        <v>28.07</v>
      </c>
      <c r="M3045" s="453">
        <v>45776</v>
      </c>
      <c r="N3045">
        <v>26.8</v>
      </c>
      <c r="O3045">
        <v>26.8</v>
      </c>
      <c r="P3045">
        <v>98.24</v>
      </c>
    </row>
    <row r="3046" spans="1:16" x14ac:dyDescent="0.3">
      <c r="A3046">
        <v>33008</v>
      </c>
      <c r="B3046">
        <v>116</v>
      </c>
      <c r="C3046" t="s">
        <v>568</v>
      </c>
      <c r="D3046" s="453">
        <v>45778</v>
      </c>
      <c r="E3046">
        <v>24002</v>
      </c>
      <c r="F3046" t="s">
        <v>3924</v>
      </c>
      <c r="G3046">
        <v>3614</v>
      </c>
      <c r="H3046">
        <v>18</v>
      </c>
      <c r="I3046" t="s">
        <v>3872</v>
      </c>
      <c r="J3046" t="s">
        <v>3497</v>
      </c>
      <c r="K3046" t="s">
        <v>3750</v>
      </c>
      <c r="L3046">
        <v>0</v>
      </c>
      <c r="M3046" s="453">
        <v>45741</v>
      </c>
      <c r="N3046">
        <v>5.34</v>
      </c>
      <c r="O3046">
        <v>5.34</v>
      </c>
      <c r="P3046">
        <v>96.12</v>
      </c>
    </row>
    <row r="3047" spans="1:16" x14ac:dyDescent="0.3">
      <c r="A3047">
        <v>33006</v>
      </c>
      <c r="B3047">
        <v>116</v>
      </c>
      <c r="C3047" t="s">
        <v>568</v>
      </c>
      <c r="D3047" s="453">
        <v>45778</v>
      </c>
      <c r="E3047">
        <v>18111</v>
      </c>
      <c r="F3047" t="s">
        <v>4047</v>
      </c>
      <c r="G3047">
        <v>3500</v>
      </c>
      <c r="H3047">
        <v>1</v>
      </c>
      <c r="I3047" t="s">
        <v>3878</v>
      </c>
      <c r="J3047" t="s">
        <v>3497</v>
      </c>
      <c r="K3047" t="s">
        <v>3750</v>
      </c>
      <c r="L3047">
        <v>0</v>
      </c>
      <c r="M3047" s="453">
        <v>45559</v>
      </c>
      <c r="N3047">
        <v>92.47</v>
      </c>
      <c r="O3047">
        <v>93.41</v>
      </c>
      <c r="P3047">
        <v>92.47</v>
      </c>
    </row>
    <row r="3048" spans="1:16" x14ac:dyDescent="0.3">
      <c r="A3048">
        <v>32974</v>
      </c>
      <c r="B3048">
        <v>116</v>
      </c>
      <c r="C3048" t="s">
        <v>568</v>
      </c>
      <c r="D3048" s="453">
        <v>45778</v>
      </c>
      <c r="E3048">
        <v>24140</v>
      </c>
      <c r="F3048" t="s">
        <v>3889</v>
      </c>
      <c r="G3048">
        <v>3100</v>
      </c>
      <c r="H3048">
        <v>18</v>
      </c>
      <c r="I3048" t="s">
        <v>3872</v>
      </c>
      <c r="J3048" t="s">
        <v>3497</v>
      </c>
      <c r="K3048" t="s">
        <v>3750</v>
      </c>
      <c r="L3048">
        <v>0</v>
      </c>
      <c r="M3048" s="453">
        <v>45699</v>
      </c>
      <c r="N3048">
        <v>77.959999999999994</v>
      </c>
      <c r="O3048">
        <v>77.959999999999994</v>
      </c>
      <c r="P3048">
        <v>89.82</v>
      </c>
    </row>
    <row r="3049" spans="1:16" x14ac:dyDescent="0.3">
      <c r="A3049">
        <v>32961</v>
      </c>
      <c r="B3049">
        <v>116</v>
      </c>
      <c r="C3049" t="s">
        <v>568</v>
      </c>
      <c r="D3049" s="453">
        <v>45778</v>
      </c>
      <c r="E3049">
        <v>24343</v>
      </c>
      <c r="F3049" t="s">
        <v>3990</v>
      </c>
      <c r="G3049">
        <v>3044</v>
      </c>
      <c r="H3049">
        <v>3</v>
      </c>
      <c r="I3049" t="s">
        <v>3892</v>
      </c>
      <c r="J3049" t="s">
        <v>3469</v>
      </c>
      <c r="K3049" t="s">
        <v>3750</v>
      </c>
      <c r="L3049">
        <v>29.8</v>
      </c>
      <c r="M3049" s="453">
        <v>45776</v>
      </c>
      <c r="N3049">
        <v>29.8</v>
      </c>
      <c r="O3049">
        <v>29.8</v>
      </c>
      <c r="P3049">
        <v>89.4</v>
      </c>
    </row>
    <row r="3050" spans="1:16" x14ac:dyDescent="0.3">
      <c r="A3050">
        <v>33012</v>
      </c>
      <c r="B3050">
        <v>116</v>
      </c>
      <c r="C3050" t="s">
        <v>568</v>
      </c>
      <c r="D3050" s="453">
        <v>45778</v>
      </c>
      <c r="E3050">
        <v>18005</v>
      </c>
      <c r="F3050" t="s">
        <v>4491</v>
      </c>
      <c r="G3050">
        <v>3592</v>
      </c>
      <c r="H3050">
        <v>2</v>
      </c>
      <c r="I3050" t="s">
        <v>3872</v>
      </c>
      <c r="J3050" t="s">
        <v>3497</v>
      </c>
      <c r="K3050" t="s">
        <v>3750</v>
      </c>
      <c r="L3050">
        <v>0</v>
      </c>
      <c r="M3050" s="453">
        <v>-693593</v>
      </c>
      <c r="N3050">
        <v>0</v>
      </c>
      <c r="O3050">
        <v>0</v>
      </c>
      <c r="P3050">
        <v>88.3</v>
      </c>
    </row>
    <row r="3051" spans="1:16" x14ac:dyDescent="0.3">
      <c r="A3051">
        <v>32981</v>
      </c>
      <c r="B3051">
        <v>116</v>
      </c>
      <c r="C3051" t="s">
        <v>568</v>
      </c>
      <c r="D3051" s="453">
        <v>45778</v>
      </c>
      <c r="E3051">
        <v>18534</v>
      </c>
      <c r="F3051" t="s">
        <v>4084</v>
      </c>
      <c r="G3051">
        <v>3143</v>
      </c>
      <c r="H3051">
        <v>1</v>
      </c>
      <c r="I3051" t="s">
        <v>3878</v>
      </c>
      <c r="J3051" t="s">
        <v>3497</v>
      </c>
      <c r="K3051" t="s">
        <v>3750</v>
      </c>
      <c r="L3051">
        <v>0</v>
      </c>
      <c r="M3051" s="453">
        <v>-693593</v>
      </c>
      <c r="N3051">
        <v>0</v>
      </c>
      <c r="O3051">
        <v>16.04</v>
      </c>
      <c r="P3051">
        <v>86.89</v>
      </c>
    </row>
    <row r="3052" spans="1:16" x14ac:dyDescent="0.3">
      <c r="A3052">
        <v>32834</v>
      </c>
      <c r="B3052">
        <v>116</v>
      </c>
      <c r="C3052" t="s">
        <v>568</v>
      </c>
      <c r="D3052" s="453">
        <v>45778</v>
      </c>
      <c r="E3052">
        <v>20242</v>
      </c>
      <c r="F3052" t="s">
        <v>4120</v>
      </c>
      <c r="G3052">
        <v>2242</v>
      </c>
      <c r="H3052">
        <v>6</v>
      </c>
      <c r="I3052" t="s">
        <v>3888</v>
      </c>
      <c r="J3052" t="s">
        <v>3469</v>
      </c>
      <c r="K3052" t="s">
        <v>3750</v>
      </c>
      <c r="L3052">
        <v>13.87</v>
      </c>
      <c r="M3052" s="453">
        <v>45763</v>
      </c>
      <c r="N3052">
        <v>14</v>
      </c>
      <c r="O3052">
        <v>14.06</v>
      </c>
      <c r="P3052">
        <v>83.22</v>
      </c>
    </row>
    <row r="3053" spans="1:16" x14ac:dyDescent="0.3">
      <c r="A3053">
        <v>32847</v>
      </c>
      <c r="B3053">
        <v>116</v>
      </c>
      <c r="C3053" t="s">
        <v>568</v>
      </c>
      <c r="D3053" s="453">
        <v>45778</v>
      </c>
      <c r="E3053">
        <v>20501</v>
      </c>
      <c r="F3053" t="s">
        <v>4219</v>
      </c>
      <c r="G3053">
        <v>2154</v>
      </c>
      <c r="H3053">
        <v>4</v>
      </c>
      <c r="I3053" t="s">
        <v>3892</v>
      </c>
      <c r="J3053" t="s">
        <v>3469</v>
      </c>
      <c r="K3053" t="s">
        <v>3750</v>
      </c>
      <c r="L3053">
        <v>20.8</v>
      </c>
      <c r="M3053" s="453">
        <v>45755</v>
      </c>
      <c r="N3053">
        <v>20.8</v>
      </c>
      <c r="O3053">
        <v>19.989999999999998</v>
      </c>
      <c r="P3053">
        <v>83.2</v>
      </c>
    </row>
    <row r="3054" spans="1:16" x14ac:dyDescent="0.3">
      <c r="A3054">
        <v>32820</v>
      </c>
      <c r="B3054">
        <v>116</v>
      </c>
      <c r="C3054" t="s">
        <v>568</v>
      </c>
      <c r="D3054" s="453">
        <v>45778</v>
      </c>
      <c r="E3054">
        <v>26193</v>
      </c>
      <c r="F3054" t="s">
        <v>3950</v>
      </c>
      <c r="G3054">
        <v>6616</v>
      </c>
      <c r="H3054">
        <v>7</v>
      </c>
      <c r="I3054" t="s">
        <v>3872</v>
      </c>
      <c r="J3054" t="s">
        <v>3469</v>
      </c>
      <c r="K3054" t="s">
        <v>3750</v>
      </c>
      <c r="L3054">
        <v>0</v>
      </c>
      <c r="M3054" s="453">
        <v>-693593</v>
      </c>
      <c r="N3054">
        <v>0</v>
      </c>
      <c r="O3054">
        <v>12.26</v>
      </c>
      <c r="P3054">
        <v>82.95</v>
      </c>
    </row>
    <row r="3055" spans="1:16" x14ac:dyDescent="0.3">
      <c r="A3055">
        <v>32874</v>
      </c>
      <c r="B3055">
        <v>116</v>
      </c>
      <c r="C3055" t="s">
        <v>568</v>
      </c>
      <c r="D3055" s="453">
        <v>45778</v>
      </c>
      <c r="E3055">
        <v>20456</v>
      </c>
      <c r="F3055" t="s">
        <v>4000</v>
      </c>
      <c r="G3055">
        <v>2166</v>
      </c>
      <c r="H3055">
        <v>2.1</v>
      </c>
      <c r="I3055" t="s">
        <v>3892</v>
      </c>
      <c r="J3055" t="s">
        <v>3469</v>
      </c>
      <c r="K3055" t="s">
        <v>3750</v>
      </c>
      <c r="L3055">
        <v>39</v>
      </c>
      <c r="M3055" s="453">
        <v>45770</v>
      </c>
      <c r="N3055">
        <v>39</v>
      </c>
      <c r="O3055">
        <v>39</v>
      </c>
      <c r="P3055">
        <v>81.900000000000006</v>
      </c>
    </row>
    <row r="3056" spans="1:16" x14ac:dyDescent="0.3">
      <c r="A3056">
        <v>33015</v>
      </c>
      <c r="B3056">
        <v>116</v>
      </c>
      <c r="C3056" t="s">
        <v>568</v>
      </c>
      <c r="D3056" s="453">
        <v>45778</v>
      </c>
      <c r="E3056">
        <v>24227</v>
      </c>
      <c r="F3056" t="s">
        <v>3970</v>
      </c>
      <c r="G3056">
        <v>3648</v>
      </c>
      <c r="H3056">
        <v>12</v>
      </c>
      <c r="I3056" t="s">
        <v>3872</v>
      </c>
      <c r="J3056" t="s">
        <v>3497</v>
      </c>
      <c r="K3056" t="s">
        <v>3750</v>
      </c>
      <c r="L3056">
        <v>0</v>
      </c>
      <c r="M3056" s="453">
        <v>-693593</v>
      </c>
      <c r="N3056">
        <v>0</v>
      </c>
      <c r="O3056">
        <v>0</v>
      </c>
      <c r="P3056">
        <v>81.84</v>
      </c>
    </row>
    <row r="3057" spans="1:16" x14ac:dyDescent="0.3">
      <c r="A3057">
        <v>32871</v>
      </c>
      <c r="B3057">
        <v>116</v>
      </c>
      <c r="C3057" t="s">
        <v>568</v>
      </c>
      <c r="D3057" s="453">
        <v>45778</v>
      </c>
      <c r="E3057">
        <v>20466</v>
      </c>
      <c r="F3057" t="s">
        <v>4098</v>
      </c>
      <c r="G3057">
        <v>2160</v>
      </c>
      <c r="H3057">
        <v>1.4</v>
      </c>
      <c r="I3057" t="s">
        <v>3892</v>
      </c>
      <c r="J3057" t="s">
        <v>3469</v>
      </c>
      <c r="K3057" t="s">
        <v>3750</v>
      </c>
      <c r="L3057">
        <v>58</v>
      </c>
      <c r="M3057" s="453">
        <v>45776</v>
      </c>
      <c r="N3057">
        <v>58</v>
      </c>
      <c r="O3057">
        <v>58</v>
      </c>
      <c r="P3057">
        <v>81.2</v>
      </c>
    </row>
    <row r="3058" spans="1:16" x14ac:dyDescent="0.3">
      <c r="A3058">
        <v>32841</v>
      </c>
      <c r="B3058">
        <v>116</v>
      </c>
      <c r="C3058" t="s">
        <v>568</v>
      </c>
      <c r="D3058" s="453">
        <v>45778</v>
      </c>
      <c r="E3058">
        <v>20053</v>
      </c>
      <c r="F3058" t="s">
        <v>4457</v>
      </c>
      <c r="G3058">
        <v>2326</v>
      </c>
      <c r="H3058">
        <v>2</v>
      </c>
      <c r="I3058" t="s">
        <v>3888</v>
      </c>
      <c r="J3058" t="s">
        <v>3469</v>
      </c>
      <c r="K3058" t="s">
        <v>3750</v>
      </c>
      <c r="L3058">
        <v>39.9</v>
      </c>
      <c r="M3058" s="453">
        <v>45776</v>
      </c>
      <c r="N3058">
        <v>39.9</v>
      </c>
      <c r="O3058">
        <v>39.9</v>
      </c>
      <c r="P3058">
        <v>79.8</v>
      </c>
    </row>
    <row r="3059" spans="1:16" x14ac:dyDescent="0.3">
      <c r="A3059">
        <v>33022</v>
      </c>
      <c r="B3059">
        <v>116</v>
      </c>
      <c r="C3059" t="s">
        <v>568</v>
      </c>
      <c r="D3059" s="453">
        <v>45778</v>
      </c>
      <c r="E3059">
        <v>24467</v>
      </c>
      <c r="F3059" t="s">
        <v>3944</v>
      </c>
      <c r="G3059">
        <v>3673</v>
      </c>
      <c r="H3059">
        <v>40</v>
      </c>
      <c r="I3059" t="s">
        <v>3872</v>
      </c>
      <c r="J3059" t="s">
        <v>3497</v>
      </c>
      <c r="K3059" t="s">
        <v>3750</v>
      </c>
      <c r="L3059">
        <v>0</v>
      </c>
      <c r="M3059" s="453">
        <v>45510</v>
      </c>
      <c r="N3059">
        <v>1.99</v>
      </c>
      <c r="O3059">
        <v>2.19</v>
      </c>
      <c r="P3059">
        <v>79.599999999999994</v>
      </c>
    </row>
    <row r="3060" spans="1:16" x14ac:dyDescent="0.3">
      <c r="A3060">
        <v>32837</v>
      </c>
      <c r="B3060">
        <v>116</v>
      </c>
      <c r="C3060" t="s">
        <v>568</v>
      </c>
      <c r="D3060" s="453">
        <v>45778</v>
      </c>
      <c r="E3060">
        <v>20234</v>
      </c>
      <c r="F3060" t="s">
        <v>3979</v>
      </c>
      <c r="G3060">
        <v>2245</v>
      </c>
      <c r="H3060">
        <v>4</v>
      </c>
      <c r="I3060" t="s">
        <v>3892</v>
      </c>
      <c r="J3060" t="s">
        <v>3469</v>
      </c>
      <c r="K3060" t="s">
        <v>3750</v>
      </c>
      <c r="L3060">
        <v>19.8</v>
      </c>
      <c r="M3060" s="453">
        <v>45762</v>
      </c>
      <c r="N3060">
        <v>19.8</v>
      </c>
      <c r="O3060">
        <v>20.9</v>
      </c>
      <c r="P3060">
        <v>79.2</v>
      </c>
    </row>
    <row r="3061" spans="1:16" x14ac:dyDescent="0.3">
      <c r="A3061">
        <v>32926</v>
      </c>
      <c r="B3061">
        <v>116</v>
      </c>
      <c r="C3061" t="s">
        <v>568</v>
      </c>
      <c r="D3061" s="453">
        <v>45778</v>
      </c>
      <c r="E3061">
        <v>19565</v>
      </c>
      <c r="F3061" t="s">
        <v>3987</v>
      </c>
      <c r="G3061">
        <v>2652</v>
      </c>
      <c r="H3061">
        <v>2</v>
      </c>
      <c r="I3061" t="s">
        <v>3892</v>
      </c>
      <c r="J3061" t="s">
        <v>3469</v>
      </c>
      <c r="K3061" t="s">
        <v>3750</v>
      </c>
      <c r="L3061">
        <v>39</v>
      </c>
      <c r="M3061" s="453">
        <v>45754</v>
      </c>
      <c r="N3061">
        <v>39</v>
      </c>
      <c r="O3061">
        <v>35</v>
      </c>
      <c r="P3061">
        <v>78</v>
      </c>
    </row>
    <row r="3062" spans="1:16" x14ac:dyDescent="0.3">
      <c r="A3062">
        <v>32915</v>
      </c>
      <c r="B3062">
        <v>116</v>
      </c>
      <c r="C3062" t="s">
        <v>568</v>
      </c>
      <c r="D3062" s="453">
        <v>45778</v>
      </c>
      <c r="E3062">
        <v>19740</v>
      </c>
      <c r="F3062" t="s">
        <v>3933</v>
      </c>
      <c r="G3062">
        <v>2513</v>
      </c>
      <c r="H3062">
        <v>6.4</v>
      </c>
      <c r="I3062" t="s">
        <v>3892</v>
      </c>
      <c r="J3062" t="s">
        <v>3469</v>
      </c>
      <c r="K3062" t="s">
        <v>3750</v>
      </c>
      <c r="L3062">
        <v>12.03</v>
      </c>
      <c r="M3062" s="453">
        <v>45775</v>
      </c>
      <c r="N3062">
        <v>11.5</v>
      </c>
      <c r="O3062">
        <v>4.3</v>
      </c>
      <c r="P3062">
        <v>76.989999999999995</v>
      </c>
    </row>
    <row r="3063" spans="1:16" x14ac:dyDescent="0.3">
      <c r="A3063">
        <v>32827</v>
      </c>
      <c r="B3063">
        <v>116</v>
      </c>
      <c r="C3063" t="s">
        <v>568</v>
      </c>
      <c r="D3063" s="453">
        <v>45778</v>
      </c>
      <c r="E3063">
        <v>20689</v>
      </c>
      <c r="F3063" t="s">
        <v>4492</v>
      </c>
      <c r="G3063">
        <v>2105</v>
      </c>
      <c r="H3063">
        <v>2</v>
      </c>
      <c r="I3063" t="s">
        <v>3872</v>
      </c>
      <c r="J3063" t="s">
        <v>3469</v>
      </c>
      <c r="K3063" t="s">
        <v>3750</v>
      </c>
      <c r="L3063">
        <v>37.9</v>
      </c>
      <c r="M3063" s="453">
        <v>45762</v>
      </c>
      <c r="N3063">
        <v>37.9</v>
      </c>
      <c r="O3063">
        <v>37.9</v>
      </c>
      <c r="P3063">
        <v>75.8</v>
      </c>
    </row>
    <row r="3064" spans="1:16" x14ac:dyDescent="0.3">
      <c r="A3064">
        <v>32986</v>
      </c>
      <c r="B3064">
        <v>116</v>
      </c>
      <c r="C3064" t="s">
        <v>568</v>
      </c>
      <c r="D3064" s="453">
        <v>45778</v>
      </c>
      <c r="E3064">
        <v>18447</v>
      </c>
      <c r="F3064" t="s">
        <v>4027</v>
      </c>
      <c r="G3064">
        <v>3204</v>
      </c>
      <c r="H3064">
        <v>6</v>
      </c>
      <c r="I3064" t="s">
        <v>3878</v>
      </c>
      <c r="J3064" t="s">
        <v>3497</v>
      </c>
      <c r="K3064" t="s">
        <v>3750</v>
      </c>
      <c r="L3064">
        <v>12.34</v>
      </c>
      <c r="M3064" s="453">
        <v>45770</v>
      </c>
      <c r="N3064">
        <v>12.34</v>
      </c>
      <c r="O3064">
        <v>12.34</v>
      </c>
      <c r="P3064">
        <v>74.040000000000006</v>
      </c>
    </row>
    <row r="3065" spans="1:16" x14ac:dyDescent="0.3">
      <c r="A3065">
        <v>32866</v>
      </c>
      <c r="B3065">
        <v>116</v>
      </c>
      <c r="C3065" t="s">
        <v>568</v>
      </c>
      <c r="D3065" s="453">
        <v>45778</v>
      </c>
      <c r="E3065">
        <v>19922</v>
      </c>
      <c r="F3065" t="s">
        <v>4480</v>
      </c>
      <c r="G3065">
        <v>2375</v>
      </c>
      <c r="H3065">
        <v>1</v>
      </c>
      <c r="I3065" t="s">
        <v>3888</v>
      </c>
      <c r="J3065" t="s">
        <v>3469</v>
      </c>
      <c r="K3065" t="s">
        <v>3750</v>
      </c>
      <c r="L3065">
        <v>0</v>
      </c>
      <c r="M3065" s="453">
        <v>-693593</v>
      </c>
      <c r="N3065">
        <v>0</v>
      </c>
      <c r="O3065">
        <v>73.430000000000007</v>
      </c>
      <c r="P3065">
        <v>73.430000000000007</v>
      </c>
    </row>
    <row r="3066" spans="1:16" x14ac:dyDescent="0.3">
      <c r="A3066">
        <v>32938</v>
      </c>
      <c r="B3066">
        <v>116</v>
      </c>
      <c r="C3066" t="s">
        <v>568</v>
      </c>
      <c r="D3066" s="453">
        <v>45778</v>
      </c>
      <c r="E3066">
        <v>19428</v>
      </c>
      <c r="F3066" t="s">
        <v>4169</v>
      </c>
      <c r="G3066">
        <v>2758</v>
      </c>
      <c r="H3066">
        <v>12</v>
      </c>
      <c r="I3066" t="s">
        <v>3872</v>
      </c>
      <c r="J3066" t="s">
        <v>3469</v>
      </c>
      <c r="K3066" t="s">
        <v>3750</v>
      </c>
      <c r="L3066">
        <v>5.89</v>
      </c>
      <c r="M3066" s="453">
        <v>45776</v>
      </c>
      <c r="N3066">
        <v>5.89</v>
      </c>
      <c r="O3066">
        <v>5.89</v>
      </c>
      <c r="P3066">
        <v>70.680000000000007</v>
      </c>
    </row>
    <row r="3067" spans="1:16" x14ac:dyDescent="0.3">
      <c r="A3067">
        <v>32886</v>
      </c>
      <c r="B3067">
        <v>116</v>
      </c>
      <c r="C3067" t="s">
        <v>568</v>
      </c>
      <c r="D3067" s="453">
        <v>45778</v>
      </c>
      <c r="E3067">
        <v>19649</v>
      </c>
      <c r="F3067" t="s">
        <v>4015</v>
      </c>
      <c r="G3067">
        <v>2589</v>
      </c>
      <c r="H3067">
        <v>3</v>
      </c>
      <c r="I3067" t="s">
        <v>3892</v>
      </c>
      <c r="J3067" t="s">
        <v>3469</v>
      </c>
      <c r="K3067" t="s">
        <v>3750</v>
      </c>
      <c r="L3067">
        <v>23.43</v>
      </c>
      <c r="M3067" s="453">
        <v>45775</v>
      </c>
      <c r="N3067">
        <v>24</v>
      </c>
      <c r="O3067">
        <v>27.67</v>
      </c>
      <c r="P3067">
        <v>70.290000000000006</v>
      </c>
    </row>
    <row r="3068" spans="1:16" x14ac:dyDescent="0.3">
      <c r="A3068">
        <v>32992</v>
      </c>
      <c r="B3068">
        <v>116</v>
      </c>
      <c r="C3068" t="s">
        <v>568</v>
      </c>
      <c r="D3068" s="453">
        <v>45778</v>
      </c>
      <c r="E3068">
        <v>18325</v>
      </c>
      <c r="F3068" t="s">
        <v>4459</v>
      </c>
      <c r="G3068">
        <v>3308</v>
      </c>
      <c r="H3068">
        <v>2</v>
      </c>
      <c r="I3068" t="s">
        <v>3878</v>
      </c>
      <c r="J3068" t="s">
        <v>3497</v>
      </c>
      <c r="K3068" t="s">
        <v>3750</v>
      </c>
      <c r="L3068">
        <v>0</v>
      </c>
      <c r="M3068" s="453">
        <v>-693593</v>
      </c>
      <c r="N3068">
        <v>0</v>
      </c>
      <c r="O3068">
        <v>34.479999999999997</v>
      </c>
      <c r="P3068">
        <v>68.959999999999994</v>
      </c>
    </row>
    <row r="3069" spans="1:16" x14ac:dyDescent="0.3">
      <c r="A3069">
        <v>32945</v>
      </c>
      <c r="B3069">
        <v>116</v>
      </c>
      <c r="C3069" t="s">
        <v>568</v>
      </c>
      <c r="D3069" s="453">
        <v>45778</v>
      </c>
      <c r="E3069">
        <v>19264</v>
      </c>
      <c r="F3069" t="s">
        <v>4082</v>
      </c>
      <c r="G3069">
        <v>2781</v>
      </c>
      <c r="H3069">
        <v>1</v>
      </c>
      <c r="I3069" t="s">
        <v>3888</v>
      </c>
      <c r="J3069" t="s">
        <v>3469</v>
      </c>
      <c r="K3069" t="s">
        <v>3750</v>
      </c>
      <c r="L3069">
        <v>68.900000000000006</v>
      </c>
      <c r="M3069" s="453">
        <v>45762</v>
      </c>
      <c r="N3069">
        <v>68.900000000000006</v>
      </c>
      <c r="O3069">
        <v>55.99</v>
      </c>
      <c r="P3069">
        <v>68.900000000000006</v>
      </c>
    </row>
    <row r="3070" spans="1:16" x14ac:dyDescent="0.3">
      <c r="A3070">
        <v>32895</v>
      </c>
      <c r="B3070">
        <v>116</v>
      </c>
      <c r="C3070" t="s">
        <v>568</v>
      </c>
      <c r="D3070" s="453">
        <v>45778</v>
      </c>
      <c r="E3070">
        <v>24509</v>
      </c>
      <c r="F3070" t="s">
        <v>3906</v>
      </c>
      <c r="G3070">
        <v>2607</v>
      </c>
      <c r="H3070">
        <v>17</v>
      </c>
      <c r="I3070" t="s">
        <v>3892</v>
      </c>
      <c r="J3070" t="s">
        <v>3469</v>
      </c>
      <c r="K3070" t="s">
        <v>3750</v>
      </c>
      <c r="L3070">
        <v>4.03</v>
      </c>
      <c r="M3070" s="453">
        <v>45775</v>
      </c>
      <c r="N3070">
        <v>3</v>
      </c>
      <c r="O3070">
        <v>2.0299999999999998</v>
      </c>
      <c r="P3070">
        <v>68.510000000000005</v>
      </c>
    </row>
    <row r="3071" spans="1:16" x14ac:dyDescent="0.3">
      <c r="A3071">
        <v>32830</v>
      </c>
      <c r="B3071">
        <v>116</v>
      </c>
      <c r="C3071" t="s">
        <v>568</v>
      </c>
      <c r="D3071" s="453">
        <v>45778</v>
      </c>
      <c r="E3071">
        <v>25720</v>
      </c>
      <c r="F3071" t="s">
        <v>3926</v>
      </c>
      <c r="G3071">
        <v>2197</v>
      </c>
      <c r="H3071">
        <v>4</v>
      </c>
      <c r="I3071" t="s">
        <v>3892</v>
      </c>
      <c r="J3071" t="s">
        <v>3469</v>
      </c>
      <c r="K3071" t="s">
        <v>3750</v>
      </c>
      <c r="L3071">
        <v>0</v>
      </c>
      <c r="M3071" s="453">
        <v>-693593</v>
      </c>
      <c r="N3071">
        <v>0</v>
      </c>
      <c r="O3071">
        <v>0</v>
      </c>
      <c r="P3071">
        <v>67.599999999999994</v>
      </c>
    </row>
    <row r="3072" spans="1:16" x14ac:dyDescent="0.3">
      <c r="A3072">
        <v>32963</v>
      </c>
      <c r="B3072">
        <v>116</v>
      </c>
      <c r="C3072" t="s">
        <v>568</v>
      </c>
      <c r="D3072" s="453">
        <v>45778</v>
      </c>
      <c r="E3072">
        <v>24393</v>
      </c>
      <c r="F3072" t="s">
        <v>4039</v>
      </c>
      <c r="G3072">
        <v>3045</v>
      </c>
      <c r="H3072">
        <v>3</v>
      </c>
      <c r="I3072" t="s">
        <v>3892</v>
      </c>
      <c r="J3072" t="s">
        <v>3469</v>
      </c>
      <c r="K3072" t="s">
        <v>3750</v>
      </c>
      <c r="L3072">
        <v>22</v>
      </c>
      <c r="M3072" s="453">
        <v>45749</v>
      </c>
      <c r="N3072">
        <v>22</v>
      </c>
      <c r="O3072">
        <v>12.99</v>
      </c>
      <c r="P3072">
        <v>66</v>
      </c>
    </row>
    <row r="3073" spans="1:16" x14ac:dyDescent="0.3">
      <c r="A3073">
        <v>32970</v>
      </c>
      <c r="B3073">
        <v>116</v>
      </c>
      <c r="C3073" t="s">
        <v>568</v>
      </c>
      <c r="D3073" s="453">
        <v>45778</v>
      </c>
      <c r="E3073">
        <v>18666</v>
      </c>
      <c r="F3073" t="s">
        <v>4003</v>
      </c>
      <c r="G3073">
        <v>3053</v>
      </c>
      <c r="H3073">
        <v>3</v>
      </c>
      <c r="I3073" t="s">
        <v>3892</v>
      </c>
      <c r="J3073" t="s">
        <v>3469</v>
      </c>
      <c r="K3073" t="s">
        <v>3750</v>
      </c>
      <c r="L3073">
        <v>22</v>
      </c>
      <c r="M3073" s="453">
        <v>45763</v>
      </c>
      <c r="N3073">
        <v>22</v>
      </c>
      <c r="O3073">
        <v>21</v>
      </c>
      <c r="P3073">
        <v>66</v>
      </c>
    </row>
    <row r="3074" spans="1:16" x14ac:dyDescent="0.3">
      <c r="A3074">
        <v>32879</v>
      </c>
      <c r="B3074">
        <v>116</v>
      </c>
      <c r="C3074" t="s">
        <v>568</v>
      </c>
      <c r="D3074" s="453">
        <v>45778</v>
      </c>
      <c r="E3074">
        <v>19787</v>
      </c>
      <c r="F3074" t="s">
        <v>3940</v>
      </c>
      <c r="G3074">
        <v>2471</v>
      </c>
      <c r="H3074">
        <v>6.5</v>
      </c>
      <c r="I3074" t="s">
        <v>3892</v>
      </c>
      <c r="J3074" t="s">
        <v>3469</v>
      </c>
      <c r="K3074" t="s">
        <v>3750</v>
      </c>
      <c r="L3074">
        <v>10.09</v>
      </c>
      <c r="M3074" s="453">
        <v>45772</v>
      </c>
      <c r="N3074">
        <v>5</v>
      </c>
      <c r="O3074">
        <v>2.35</v>
      </c>
      <c r="P3074">
        <v>65.58</v>
      </c>
    </row>
    <row r="3075" spans="1:16" x14ac:dyDescent="0.3">
      <c r="A3075">
        <v>33014</v>
      </c>
      <c r="B3075">
        <v>116</v>
      </c>
      <c r="C3075" t="s">
        <v>568</v>
      </c>
      <c r="D3075" s="453">
        <v>45778</v>
      </c>
      <c r="E3075">
        <v>24226</v>
      </c>
      <c r="F3075" t="s">
        <v>3998</v>
      </c>
      <c r="G3075">
        <v>3647</v>
      </c>
      <c r="H3075">
        <v>10</v>
      </c>
      <c r="I3075" t="s">
        <v>3872</v>
      </c>
      <c r="J3075" t="s">
        <v>3497</v>
      </c>
      <c r="K3075" t="s">
        <v>3750</v>
      </c>
      <c r="L3075">
        <v>0</v>
      </c>
      <c r="M3075" s="453">
        <v>45355</v>
      </c>
      <c r="N3075">
        <v>6.42</v>
      </c>
      <c r="O3075">
        <v>6.82</v>
      </c>
      <c r="P3075">
        <v>64.17</v>
      </c>
    </row>
    <row r="3076" spans="1:16" x14ac:dyDescent="0.3">
      <c r="A3076">
        <v>32836</v>
      </c>
      <c r="B3076">
        <v>116</v>
      </c>
      <c r="C3076" t="s">
        <v>568</v>
      </c>
      <c r="D3076" s="453">
        <v>45778</v>
      </c>
      <c r="E3076">
        <v>20227</v>
      </c>
      <c r="F3076" t="s">
        <v>3968</v>
      </c>
      <c r="G3076">
        <v>2248</v>
      </c>
      <c r="H3076">
        <v>5</v>
      </c>
      <c r="I3076" t="s">
        <v>3888</v>
      </c>
      <c r="J3076" t="s">
        <v>3469</v>
      </c>
      <c r="K3076" t="s">
        <v>3750</v>
      </c>
      <c r="L3076">
        <v>12.69</v>
      </c>
      <c r="M3076" s="453">
        <v>45770</v>
      </c>
      <c r="N3076">
        <v>12.68</v>
      </c>
      <c r="O3076">
        <v>12.55</v>
      </c>
      <c r="P3076">
        <v>63.45</v>
      </c>
    </row>
    <row r="3077" spans="1:16" x14ac:dyDescent="0.3">
      <c r="A3077">
        <v>32925</v>
      </c>
      <c r="B3077">
        <v>116</v>
      </c>
      <c r="C3077" t="s">
        <v>568</v>
      </c>
      <c r="D3077" s="453">
        <v>45778</v>
      </c>
      <c r="E3077">
        <v>19566</v>
      </c>
      <c r="F3077" t="s">
        <v>3986</v>
      </c>
      <c r="G3077">
        <v>2651</v>
      </c>
      <c r="H3077">
        <v>2</v>
      </c>
      <c r="I3077" t="s">
        <v>3892</v>
      </c>
      <c r="J3077" t="s">
        <v>3469</v>
      </c>
      <c r="K3077" t="s">
        <v>3750</v>
      </c>
      <c r="L3077">
        <v>30.55</v>
      </c>
      <c r="M3077" s="453">
        <v>45757</v>
      </c>
      <c r="N3077">
        <v>22.1</v>
      </c>
      <c r="O3077">
        <v>22.1</v>
      </c>
      <c r="P3077">
        <v>61.1</v>
      </c>
    </row>
    <row r="3078" spans="1:16" x14ac:dyDescent="0.3">
      <c r="A3078">
        <v>32844</v>
      </c>
      <c r="B3078">
        <v>116</v>
      </c>
      <c r="C3078" t="s">
        <v>568</v>
      </c>
      <c r="D3078" s="453">
        <v>45778</v>
      </c>
      <c r="E3078">
        <v>24328</v>
      </c>
      <c r="F3078" t="s">
        <v>4456</v>
      </c>
      <c r="G3078">
        <v>2146</v>
      </c>
      <c r="H3078">
        <v>2.9</v>
      </c>
      <c r="I3078" t="s">
        <v>3892</v>
      </c>
      <c r="J3078" t="s">
        <v>3469</v>
      </c>
      <c r="K3078" t="s">
        <v>3750</v>
      </c>
      <c r="L3078">
        <v>0</v>
      </c>
      <c r="M3078" s="453">
        <v>-693593</v>
      </c>
      <c r="N3078">
        <v>0</v>
      </c>
      <c r="O3078">
        <v>20.9</v>
      </c>
      <c r="P3078">
        <v>60.61</v>
      </c>
    </row>
    <row r="3079" spans="1:16" x14ac:dyDescent="0.3">
      <c r="A3079">
        <v>32979</v>
      </c>
      <c r="B3079">
        <v>116</v>
      </c>
      <c r="C3079" t="s">
        <v>568</v>
      </c>
      <c r="D3079" s="453">
        <v>45778</v>
      </c>
      <c r="E3079">
        <v>18545</v>
      </c>
      <c r="F3079" t="s">
        <v>4099</v>
      </c>
      <c r="G3079">
        <v>3134</v>
      </c>
      <c r="H3079">
        <v>1.3</v>
      </c>
      <c r="I3079" t="s">
        <v>3878</v>
      </c>
      <c r="J3079" t="s">
        <v>3497</v>
      </c>
      <c r="K3079" t="s">
        <v>3750</v>
      </c>
      <c r="L3079">
        <v>0</v>
      </c>
      <c r="M3079" s="453">
        <v>45721</v>
      </c>
      <c r="N3079">
        <v>45.9</v>
      </c>
      <c r="O3079">
        <v>2.2799999999999998</v>
      </c>
      <c r="P3079">
        <v>59.67</v>
      </c>
    </row>
    <row r="3080" spans="1:16" x14ac:dyDescent="0.3">
      <c r="A3080">
        <v>32828</v>
      </c>
      <c r="B3080">
        <v>116</v>
      </c>
      <c r="C3080" t="s">
        <v>568</v>
      </c>
      <c r="D3080" s="453">
        <v>45778</v>
      </c>
      <c r="E3080">
        <v>20682</v>
      </c>
      <c r="F3080" t="s">
        <v>3929</v>
      </c>
      <c r="G3080">
        <v>2106</v>
      </c>
      <c r="H3080">
        <v>7</v>
      </c>
      <c r="I3080" t="s">
        <v>3872</v>
      </c>
      <c r="J3080" t="s">
        <v>3469</v>
      </c>
      <c r="K3080" t="s">
        <v>3750</v>
      </c>
      <c r="L3080">
        <v>0</v>
      </c>
      <c r="M3080" s="453">
        <v>45677</v>
      </c>
      <c r="N3080">
        <v>8.4499999999999993</v>
      </c>
      <c r="O3080">
        <v>8.4499999999999993</v>
      </c>
      <c r="P3080">
        <v>59.15</v>
      </c>
    </row>
    <row r="3081" spans="1:16" x14ac:dyDescent="0.3">
      <c r="A3081">
        <v>32821</v>
      </c>
      <c r="B3081">
        <v>116</v>
      </c>
      <c r="C3081" t="s">
        <v>568</v>
      </c>
      <c r="D3081" s="453">
        <v>45778</v>
      </c>
      <c r="E3081">
        <v>20717</v>
      </c>
      <c r="F3081" t="s">
        <v>4055</v>
      </c>
      <c r="G3081">
        <v>2097</v>
      </c>
      <c r="H3081">
        <v>1.5</v>
      </c>
      <c r="I3081" t="s">
        <v>3872</v>
      </c>
      <c r="J3081" t="s">
        <v>3469</v>
      </c>
      <c r="K3081" t="s">
        <v>3750</v>
      </c>
      <c r="L3081">
        <v>39.119999999999997</v>
      </c>
      <c r="M3081" s="453">
        <v>45756</v>
      </c>
      <c r="N3081">
        <v>39.119999999999997</v>
      </c>
      <c r="O3081">
        <v>39.119999999999997</v>
      </c>
      <c r="P3081">
        <v>58.68</v>
      </c>
    </row>
    <row r="3082" spans="1:16" x14ac:dyDescent="0.3">
      <c r="A3082">
        <v>32833</v>
      </c>
      <c r="B3082">
        <v>116</v>
      </c>
      <c r="C3082" t="s">
        <v>568</v>
      </c>
      <c r="D3082" s="453">
        <v>45778</v>
      </c>
      <c r="E3082">
        <v>20250</v>
      </c>
      <c r="F3082" t="s">
        <v>4008</v>
      </c>
      <c r="G3082">
        <v>2241</v>
      </c>
      <c r="H3082">
        <v>1.5</v>
      </c>
      <c r="I3082" t="s">
        <v>3888</v>
      </c>
      <c r="J3082" t="s">
        <v>3469</v>
      </c>
      <c r="K3082" t="s">
        <v>3750</v>
      </c>
      <c r="L3082">
        <v>38.83</v>
      </c>
      <c r="M3082" s="453">
        <v>45776</v>
      </c>
      <c r="N3082">
        <v>39.78</v>
      </c>
      <c r="O3082">
        <v>39.78</v>
      </c>
      <c r="P3082">
        <v>58.24</v>
      </c>
    </row>
    <row r="3083" spans="1:16" x14ac:dyDescent="0.3">
      <c r="A3083">
        <v>32832</v>
      </c>
      <c r="B3083">
        <v>116</v>
      </c>
      <c r="C3083" t="s">
        <v>568</v>
      </c>
      <c r="D3083" s="453">
        <v>45778</v>
      </c>
      <c r="E3083">
        <v>20358</v>
      </c>
      <c r="F3083" t="s">
        <v>3952</v>
      </c>
      <c r="G3083">
        <v>2200</v>
      </c>
      <c r="H3083">
        <v>4</v>
      </c>
      <c r="I3083" t="s">
        <v>3888</v>
      </c>
      <c r="J3083" t="s">
        <v>3469</v>
      </c>
      <c r="K3083" t="s">
        <v>3750</v>
      </c>
      <c r="L3083">
        <v>14.35</v>
      </c>
      <c r="M3083" s="453">
        <v>45770</v>
      </c>
      <c r="N3083">
        <v>14.3</v>
      </c>
      <c r="O3083">
        <v>14.3</v>
      </c>
      <c r="P3083">
        <v>57.4</v>
      </c>
    </row>
    <row r="3084" spans="1:16" x14ac:dyDescent="0.3">
      <c r="A3084">
        <v>32990</v>
      </c>
      <c r="B3084">
        <v>116</v>
      </c>
      <c r="C3084" t="s">
        <v>568</v>
      </c>
      <c r="D3084" s="453">
        <v>45778</v>
      </c>
      <c r="E3084">
        <v>18341</v>
      </c>
      <c r="F3084" t="s">
        <v>4086</v>
      </c>
      <c r="G3084">
        <v>3293</v>
      </c>
      <c r="H3084">
        <v>1.5</v>
      </c>
      <c r="I3084" t="s">
        <v>3878</v>
      </c>
      <c r="J3084" t="s">
        <v>3497</v>
      </c>
      <c r="K3084" t="s">
        <v>3750</v>
      </c>
      <c r="L3084">
        <v>0</v>
      </c>
      <c r="M3084" s="453">
        <v>-693593</v>
      </c>
      <c r="N3084">
        <v>0</v>
      </c>
      <c r="O3084">
        <v>50</v>
      </c>
      <c r="P3084">
        <v>57</v>
      </c>
    </row>
    <row r="3085" spans="1:16" x14ac:dyDescent="0.3">
      <c r="A3085">
        <v>32848</v>
      </c>
      <c r="B3085">
        <v>116</v>
      </c>
      <c r="C3085" t="s">
        <v>568</v>
      </c>
      <c r="D3085" s="453">
        <v>45778</v>
      </c>
      <c r="E3085">
        <v>20133</v>
      </c>
      <c r="F3085" t="s">
        <v>4461</v>
      </c>
      <c r="G3085">
        <v>2286</v>
      </c>
      <c r="H3085">
        <v>6</v>
      </c>
      <c r="I3085" t="s">
        <v>3888</v>
      </c>
      <c r="J3085" t="s">
        <v>3469</v>
      </c>
      <c r="K3085" t="s">
        <v>3750</v>
      </c>
      <c r="L3085">
        <v>9.3699999999999992</v>
      </c>
      <c r="M3085" s="453">
        <v>45763</v>
      </c>
      <c r="N3085">
        <v>9.3699999999999992</v>
      </c>
      <c r="O3085">
        <v>8.75</v>
      </c>
      <c r="P3085">
        <v>56.22</v>
      </c>
    </row>
    <row r="3086" spans="1:16" x14ac:dyDescent="0.3">
      <c r="A3086">
        <v>32846</v>
      </c>
      <c r="B3086">
        <v>116</v>
      </c>
      <c r="C3086" t="s">
        <v>568</v>
      </c>
      <c r="D3086" s="453">
        <v>45778</v>
      </c>
      <c r="E3086">
        <v>20508</v>
      </c>
      <c r="F3086" t="s">
        <v>4449</v>
      </c>
      <c r="G3086">
        <v>2153</v>
      </c>
      <c r="H3086">
        <v>2</v>
      </c>
      <c r="I3086" t="s">
        <v>3892</v>
      </c>
      <c r="J3086" t="s">
        <v>3469</v>
      </c>
      <c r="K3086" t="s">
        <v>3750</v>
      </c>
      <c r="L3086">
        <v>0</v>
      </c>
      <c r="M3086" s="453">
        <v>45678</v>
      </c>
      <c r="N3086">
        <v>28</v>
      </c>
      <c r="O3086">
        <v>28</v>
      </c>
      <c r="P3086">
        <v>56</v>
      </c>
    </row>
    <row r="3087" spans="1:16" x14ac:dyDescent="0.3">
      <c r="A3087">
        <v>32996</v>
      </c>
      <c r="B3087">
        <v>116</v>
      </c>
      <c r="C3087" t="s">
        <v>568</v>
      </c>
      <c r="D3087" s="453">
        <v>45778</v>
      </c>
      <c r="E3087">
        <v>18272</v>
      </c>
      <c r="F3087" t="s">
        <v>4046</v>
      </c>
      <c r="G3087">
        <v>3358</v>
      </c>
      <c r="H3087">
        <v>1.6</v>
      </c>
      <c r="I3087" t="s">
        <v>3878</v>
      </c>
      <c r="J3087" t="s">
        <v>3497</v>
      </c>
      <c r="K3087" t="s">
        <v>3750</v>
      </c>
      <c r="L3087">
        <v>34.85</v>
      </c>
      <c r="M3087" s="453">
        <v>45761</v>
      </c>
      <c r="N3087">
        <v>34.85</v>
      </c>
      <c r="O3087">
        <v>36.06</v>
      </c>
      <c r="P3087">
        <v>55.76</v>
      </c>
    </row>
    <row r="3088" spans="1:16" x14ac:dyDescent="0.3">
      <c r="A3088">
        <v>32910</v>
      </c>
      <c r="B3088">
        <v>116</v>
      </c>
      <c r="C3088" t="s">
        <v>568</v>
      </c>
      <c r="D3088" s="453">
        <v>45778</v>
      </c>
      <c r="E3088">
        <v>19478</v>
      </c>
      <c r="F3088" t="s">
        <v>4072</v>
      </c>
      <c r="G3088">
        <v>2728</v>
      </c>
      <c r="H3088">
        <v>1</v>
      </c>
      <c r="I3088" t="s">
        <v>3892</v>
      </c>
      <c r="J3088" t="s">
        <v>3469</v>
      </c>
      <c r="K3088" t="s">
        <v>3750</v>
      </c>
      <c r="L3088">
        <v>55</v>
      </c>
      <c r="M3088" s="453">
        <v>45761</v>
      </c>
      <c r="N3088">
        <v>55</v>
      </c>
      <c r="O3088">
        <v>55</v>
      </c>
      <c r="P3088">
        <v>55</v>
      </c>
    </row>
    <row r="3089" spans="1:16" x14ac:dyDescent="0.3">
      <c r="A3089">
        <v>32978</v>
      </c>
      <c r="B3089">
        <v>116</v>
      </c>
      <c r="C3089" t="s">
        <v>568</v>
      </c>
      <c r="D3089" s="453">
        <v>45778</v>
      </c>
      <c r="E3089">
        <v>18528</v>
      </c>
      <c r="F3089" t="s">
        <v>4108</v>
      </c>
      <c r="G3089">
        <v>3147</v>
      </c>
      <c r="H3089">
        <v>1</v>
      </c>
      <c r="I3089" t="s">
        <v>3878</v>
      </c>
      <c r="J3089" t="s">
        <v>3497</v>
      </c>
      <c r="K3089" t="s">
        <v>3750</v>
      </c>
      <c r="L3089">
        <v>0</v>
      </c>
      <c r="M3089" s="453">
        <v>45712</v>
      </c>
      <c r="N3089">
        <v>54.27</v>
      </c>
      <c r="O3089">
        <v>54.27</v>
      </c>
      <c r="P3089">
        <v>54.27</v>
      </c>
    </row>
    <row r="3090" spans="1:16" x14ac:dyDescent="0.3">
      <c r="A3090">
        <v>32940</v>
      </c>
      <c r="B3090">
        <v>116</v>
      </c>
      <c r="C3090" t="s">
        <v>568</v>
      </c>
      <c r="D3090" s="453">
        <v>45778</v>
      </c>
      <c r="E3090">
        <v>19415</v>
      </c>
      <c r="F3090" t="s">
        <v>3941</v>
      </c>
      <c r="G3090">
        <v>2759</v>
      </c>
      <c r="H3090">
        <v>7</v>
      </c>
      <c r="I3090" t="s">
        <v>3872</v>
      </c>
      <c r="J3090" t="s">
        <v>3469</v>
      </c>
      <c r="K3090" t="s">
        <v>3750</v>
      </c>
      <c r="L3090">
        <v>7.61</v>
      </c>
      <c r="M3090" s="453">
        <v>45762</v>
      </c>
      <c r="N3090">
        <v>7.8</v>
      </c>
      <c r="O3090">
        <v>7.8</v>
      </c>
      <c r="P3090">
        <v>53.27</v>
      </c>
    </row>
    <row r="3091" spans="1:16" x14ac:dyDescent="0.3">
      <c r="A3091">
        <v>32856</v>
      </c>
      <c r="B3091">
        <v>116</v>
      </c>
      <c r="C3091" t="s">
        <v>568</v>
      </c>
      <c r="D3091" s="453">
        <v>45778</v>
      </c>
      <c r="E3091">
        <v>19986</v>
      </c>
      <c r="F3091" t="s">
        <v>4484</v>
      </c>
      <c r="G3091">
        <v>2351</v>
      </c>
      <c r="H3091">
        <v>2</v>
      </c>
      <c r="I3091" t="s">
        <v>3931</v>
      </c>
      <c r="J3091" t="s">
        <v>3469</v>
      </c>
      <c r="K3091" t="s">
        <v>3750</v>
      </c>
      <c r="L3091">
        <v>0</v>
      </c>
      <c r="M3091" s="453">
        <v>45664</v>
      </c>
      <c r="N3091">
        <v>0</v>
      </c>
      <c r="O3091">
        <v>0</v>
      </c>
      <c r="P3091">
        <v>53</v>
      </c>
    </row>
    <row r="3092" spans="1:16" x14ac:dyDescent="0.3">
      <c r="A3092">
        <v>32876</v>
      </c>
      <c r="B3092">
        <v>116</v>
      </c>
      <c r="C3092" t="s">
        <v>568</v>
      </c>
      <c r="D3092" s="453">
        <v>45778</v>
      </c>
      <c r="E3092">
        <v>20610</v>
      </c>
      <c r="F3092" t="s">
        <v>4064</v>
      </c>
      <c r="G3092">
        <v>2120</v>
      </c>
      <c r="H3092">
        <v>2</v>
      </c>
      <c r="I3092" t="s">
        <v>3884</v>
      </c>
      <c r="J3092" t="s">
        <v>3469</v>
      </c>
      <c r="K3092" t="s">
        <v>3750</v>
      </c>
      <c r="L3092">
        <v>26.45</v>
      </c>
      <c r="M3092" s="453">
        <v>45770</v>
      </c>
      <c r="N3092">
        <v>26.9</v>
      </c>
      <c r="O3092">
        <v>26.75</v>
      </c>
      <c r="P3092">
        <v>52.9</v>
      </c>
    </row>
    <row r="3093" spans="1:16" x14ac:dyDescent="0.3">
      <c r="A3093">
        <v>32977</v>
      </c>
      <c r="B3093">
        <v>116</v>
      </c>
      <c r="C3093" t="s">
        <v>568</v>
      </c>
      <c r="D3093" s="453">
        <v>45778</v>
      </c>
      <c r="E3093">
        <v>18547</v>
      </c>
      <c r="F3093" t="s">
        <v>3962</v>
      </c>
      <c r="G3093">
        <v>3132</v>
      </c>
      <c r="H3093">
        <v>1.5</v>
      </c>
      <c r="I3093" t="s">
        <v>3878</v>
      </c>
      <c r="J3093" t="s">
        <v>3497</v>
      </c>
      <c r="K3093" t="s">
        <v>3750</v>
      </c>
      <c r="L3093">
        <v>34.729999999999997</v>
      </c>
      <c r="M3093" s="453">
        <v>45770</v>
      </c>
      <c r="N3093">
        <v>34.74</v>
      </c>
      <c r="O3093">
        <v>1.79</v>
      </c>
      <c r="P3093">
        <v>52.1</v>
      </c>
    </row>
    <row r="3094" spans="1:16" x14ac:dyDescent="0.3">
      <c r="A3094">
        <v>33001</v>
      </c>
      <c r="B3094">
        <v>116</v>
      </c>
      <c r="C3094" t="s">
        <v>568</v>
      </c>
      <c r="D3094" s="453">
        <v>45778</v>
      </c>
      <c r="E3094">
        <v>18220</v>
      </c>
      <c r="F3094" t="s">
        <v>4479</v>
      </c>
      <c r="G3094">
        <v>3408</v>
      </c>
      <c r="H3094">
        <v>0.5</v>
      </c>
      <c r="I3094" t="s">
        <v>3878</v>
      </c>
      <c r="J3094" t="s">
        <v>3497</v>
      </c>
      <c r="K3094" t="s">
        <v>3750</v>
      </c>
      <c r="L3094">
        <v>0</v>
      </c>
      <c r="M3094" s="453">
        <v>-693593</v>
      </c>
      <c r="N3094">
        <v>0</v>
      </c>
      <c r="O3094">
        <v>29</v>
      </c>
      <c r="P3094">
        <v>50.44</v>
      </c>
    </row>
    <row r="3095" spans="1:16" x14ac:dyDescent="0.3">
      <c r="A3095">
        <v>32817</v>
      </c>
      <c r="B3095">
        <v>116</v>
      </c>
      <c r="C3095" t="s">
        <v>568</v>
      </c>
      <c r="D3095" s="453">
        <v>45778</v>
      </c>
      <c r="E3095">
        <v>20287</v>
      </c>
      <c r="F3095" t="s">
        <v>4053</v>
      </c>
      <c r="G3095">
        <v>2229</v>
      </c>
      <c r="H3095">
        <v>2</v>
      </c>
      <c r="I3095" t="s">
        <v>3888</v>
      </c>
      <c r="J3095" t="s">
        <v>3469</v>
      </c>
      <c r="K3095" t="s">
        <v>3750</v>
      </c>
      <c r="L3095">
        <v>24.98</v>
      </c>
      <c r="M3095" s="453">
        <v>45763</v>
      </c>
      <c r="N3095">
        <v>24.98</v>
      </c>
      <c r="O3095">
        <v>24.98</v>
      </c>
      <c r="P3095">
        <v>49.96</v>
      </c>
    </row>
    <row r="3096" spans="1:16" x14ac:dyDescent="0.3">
      <c r="A3096">
        <v>32852</v>
      </c>
      <c r="B3096">
        <v>116</v>
      </c>
      <c r="C3096" t="s">
        <v>568</v>
      </c>
      <c r="D3096" s="453">
        <v>45778</v>
      </c>
      <c r="E3096">
        <v>20832</v>
      </c>
      <c r="F3096" t="s">
        <v>4060</v>
      </c>
      <c r="G3096">
        <v>2065</v>
      </c>
      <c r="H3096">
        <v>1.5</v>
      </c>
      <c r="I3096" t="s">
        <v>3886</v>
      </c>
      <c r="J3096" t="s">
        <v>3469</v>
      </c>
      <c r="K3096" t="s">
        <v>3750</v>
      </c>
      <c r="L3096">
        <v>33</v>
      </c>
      <c r="M3096" s="453">
        <v>45762</v>
      </c>
      <c r="N3096">
        <v>33</v>
      </c>
      <c r="O3096">
        <v>33</v>
      </c>
      <c r="P3096">
        <v>49.5</v>
      </c>
    </row>
    <row r="3097" spans="1:16" x14ac:dyDescent="0.3">
      <c r="A3097">
        <v>32919</v>
      </c>
      <c r="B3097">
        <v>116</v>
      </c>
      <c r="C3097" t="s">
        <v>568</v>
      </c>
      <c r="D3097" s="453">
        <v>45778</v>
      </c>
      <c r="E3097">
        <v>19583</v>
      </c>
      <c r="F3097" t="s">
        <v>4076</v>
      </c>
      <c r="G3097">
        <v>2639</v>
      </c>
      <c r="H3097">
        <v>1.5</v>
      </c>
      <c r="I3097" t="s">
        <v>3892</v>
      </c>
      <c r="J3097" t="s">
        <v>3469</v>
      </c>
      <c r="K3097" t="s">
        <v>3750</v>
      </c>
      <c r="L3097">
        <v>33</v>
      </c>
      <c r="M3097" s="453">
        <v>45769</v>
      </c>
      <c r="N3097">
        <v>33</v>
      </c>
      <c r="O3097">
        <v>29</v>
      </c>
      <c r="P3097">
        <v>49.5</v>
      </c>
    </row>
    <row r="3098" spans="1:16" x14ac:dyDescent="0.3">
      <c r="A3098">
        <v>32924</v>
      </c>
      <c r="B3098">
        <v>116</v>
      </c>
      <c r="C3098" t="s">
        <v>568</v>
      </c>
      <c r="D3098" s="453">
        <v>45778</v>
      </c>
      <c r="E3098">
        <v>19572</v>
      </c>
      <c r="F3098" t="s">
        <v>4023</v>
      </c>
      <c r="G3098">
        <v>2646</v>
      </c>
      <c r="H3098">
        <v>3</v>
      </c>
      <c r="I3098" t="s">
        <v>3892</v>
      </c>
      <c r="J3098" t="s">
        <v>3469</v>
      </c>
      <c r="K3098" t="s">
        <v>3750</v>
      </c>
      <c r="L3098">
        <v>16.43</v>
      </c>
      <c r="M3098" s="453">
        <v>45775</v>
      </c>
      <c r="N3098">
        <v>20</v>
      </c>
      <c r="O3098">
        <v>19.8</v>
      </c>
      <c r="P3098">
        <v>49.29</v>
      </c>
    </row>
    <row r="3099" spans="1:16" x14ac:dyDescent="0.3">
      <c r="A3099">
        <v>32972</v>
      </c>
      <c r="B3099">
        <v>116</v>
      </c>
      <c r="C3099" t="s">
        <v>568</v>
      </c>
      <c r="D3099" s="453">
        <v>45778</v>
      </c>
      <c r="E3099">
        <v>21555</v>
      </c>
      <c r="F3099" t="s">
        <v>4493</v>
      </c>
      <c r="G3099">
        <v>4165</v>
      </c>
      <c r="H3099">
        <v>6</v>
      </c>
      <c r="I3099" t="s">
        <v>3892</v>
      </c>
      <c r="J3099" t="s">
        <v>3497</v>
      </c>
      <c r="K3099" t="s">
        <v>3750</v>
      </c>
      <c r="L3099">
        <v>0</v>
      </c>
      <c r="M3099" s="453">
        <v>45663</v>
      </c>
      <c r="N3099">
        <v>8</v>
      </c>
      <c r="O3099">
        <v>8</v>
      </c>
      <c r="P3099">
        <v>48</v>
      </c>
    </row>
    <row r="3100" spans="1:16" x14ac:dyDescent="0.3">
      <c r="A3100">
        <v>33011</v>
      </c>
      <c r="B3100">
        <v>116</v>
      </c>
      <c r="C3100" t="s">
        <v>568</v>
      </c>
      <c r="D3100" s="453">
        <v>45778</v>
      </c>
      <c r="E3100">
        <v>24029</v>
      </c>
      <c r="F3100" t="s">
        <v>3875</v>
      </c>
      <c r="G3100">
        <v>3591</v>
      </c>
      <c r="H3100">
        <v>24</v>
      </c>
      <c r="I3100" t="s">
        <v>3872</v>
      </c>
      <c r="J3100" t="s">
        <v>3497</v>
      </c>
      <c r="K3100" t="s">
        <v>3750</v>
      </c>
      <c r="L3100">
        <v>0</v>
      </c>
      <c r="M3100" s="453">
        <v>45537</v>
      </c>
      <c r="N3100">
        <v>1.99</v>
      </c>
      <c r="O3100">
        <v>2.19</v>
      </c>
      <c r="P3100">
        <v>47.76</v>
      </c>
    </row>
    <row r="3101" spans="1:16" x14ac:dyDescent="0.3">
      <c r="A3101">
        <v>32861</v>
      </c>
      <c r="B3101">
        <v>116</v>
      </c>
      <c r="C3101" t="s">
        <v>568</v>
      </c>
      <c r="D3101" s="453">
        <v>45778</v>
      </c>
      <c r="E3101">
        <v>20988</v>
      </c>
      <c r="F3101" t="s">
        <v>4117</v>
      </c>
      <c r="G3101">
        <v>2011</v>
      </c>
      <c r="H3101">
        <v>6</v>
      </c>
      <c r="I3101" t="s">
        <v>3931</v>
      </c>
      <c r="J3101" t="s">
        <v>3469</v>
      </c>
      <c r="K3101" t="s">
        <v>3750</v>
      </c>
      <c r="L3101">
        <v>7.85</v>
      </c>
      <c r="M3101" s="453">
        <v>45770</v>
      </c>
      <c r="N3101">
        <v>8.23</v>
      </c>
      <c r="O3101">
        <v>7.89</v>
      </c>
      <c r="P3101">
        <v>47.1</v>
      </c>
    </row>
    <row r="3102" spans="1:16" x14ac:dyDescent="0.3">
      <c r="A3102">
        <v>32840</v>
      </c>
      <c r="B3102">
        <v>116</v>
      </c>
      <c r="C3102" t="s">
        <v>568</v>
      </c>
      <c r="D3102" s="453">
        <v>45778</v>
      </c>
      <c r="E3102">
        <v>20213</v>
      </c>
      <c r="F3102" t="s">
        <v>4059</v>
      </c>
      <c r="G3102">
        <v>2251</v>
      </c>
      <c r="H3102">
        <v>1.5</v>
      </c>
      <c r="I3102" t="s">
        <v>3888</v>
      </c>
      <c r="J3102" t="s">
        <v>3469</v>
      </c>
      <c r="K3102" t="s">
        <v>3750</v>
      </c>
      <c r="L3102">
        <v>31.25</v>
      </c>
      <c r="M3102" s="453">
        <v>45776</v>
      </c>
      <c r="N3102">
        <v>30.54</v>
      </c>
      <c r="O3102">
        <v>30.54</v>
      </c>
      <c r="P3102">
        <v>46.88</v>
      </c>
    </row>
    <row r="3103" spans="1:16" x14ac:dyDescent="0.3">
      <c r="A3103">
        <v>32973</v>
      </c>
      <c r="B3103">
        <v>116</v>
      </c>
      <c r="C3103" t="s">
        <v>568</v>
      </c>
      <c r="D3103" s="453">
        <v>45778</v>
      </c>
      <c r="E3103">
        <v>24599</v>
      </c>
      <c r="F3103" t="s">
        <v>3897</v>
      </c>
      <c r="G3103">
        <v>5676</v>
      </c>
      <c r="H3103">
        <v>0.38</v>
      </c>
      <c r="I3103" t="s">
        <v>3888</v>
      </c>
      <c r="J3103" t="s">
        <v>3497</v>
      </c>
      <c r="K3103" t="s">
        <v>3750</v>
      </c>
      <c r="L3103">
        <v>0</v>
      </c>
      <c r="M3103" s="453">
        <v>45747</v>
      </c>
      <c r="N3103">
        <v>111.8</v>
      </c>
      <c r="O3103">
        <v>122.98</v>
      </c>
      <c r="P3103">
        <v>46.12</v>
      </c>
    </row>
    <row r="3104" spans="1:16" x14ac:dyDescent="0.3">
      <c r="A3104">
        <v>32953</v>
      </c>
      <c r="B3104">
        <v>116</v>
      </c>
      <c r="C3104" t="s">
        <v>568</v>
      </c>
      <c r="D3104" s="453">
        <v>45778</v>
      </c>
      <c r="E3104">
        <v>19034</v>
      </c>
      <c r="F3104" t="s">
        <v>3989</v>
      </c>
      <c r="G3104">
        <v>2890</v>
      </c>
      <c r="H3104">
        <v>4</v>
      </c>
      <c r="I3104" t="s">
        <v>3892</v>
      </c>
      <c r="J3104" t="s">
        <v>3469</v>
      </c>
      <c r="K3104" t="s">
        <v>3750</v>
      </c>
      <c r="L3104">
        <v>11.5</v>
      </c>
      <c r="M3104" s="453">
        <v>45776</v>
      </c>
      <c r="N3104">
        <v>11.5</v>
      </c>
      <c r="O3104">
        <v>11.5</v>
      </c>
      <c r="P3104">
        <v>46</v>
      </c>
    </row>
    <row r="3105" spans="1:16" x14ac:dyDescent="0.3">
      <c r="A3105">
        <v>32807</v>
      </c>
      <c r="B3105">
        <v>116</v>
      </c>
      <c r="C3105" t="s">
        <v>568</v>
      </c>
      <c r="D3105" s="453">
        <v>45778</v>
      </c>
      <c r="E3105">
        <v>21085</v>
      </c>
      <c r="F3105" t="s">
        <v>4114</v>
      </c>
      <c r="G3105">
        <v>1989</v>
      </c>
      <c r="H3105">
        <v>1</v>
      </c>
      <c r="I3105" t="s">
        <v>3881</v>
      </c>
      <c r="J3105" t="s">
        <v>3469</v>
      </c>
      <c r="K3105" t="s">
        <v>3750</v>
      </c>
      <c r="L3105">
        <v>0</v>
      </c>
      <c r="M3105" s="453">
        <v>45524</v>
      </c>
      <c r="N3105">
        <v>44.8</v>
      </c>
      <c r="O3105">
        <v>18.690000000000001</v>
      </c>
      <c r="P3105">
        <v>44.8</v>
      </c>
    </row>
    <row r="3106" spans="1:16" x14ac:dyDescent="0.3">
      <c r="A3106">
        <v>32878</v>
      </c>
      <c r="B3106">
        <v>116</v>
      </c>
      <c r="C3106" t="s">
        <v>568</v>
      </c>
      <c r="D3106" s="453">
        <v>45778</v>
      </c>
      <c r="E3106">
        <v>20954</v>
      </c>
      <c r="F3106" t="s">
        <v>4452</v>
      </c>
      <c r="G3106">
        <v>2021</v>
      </c>
      <c r="H3106">
        <v>1</v>
      </c>
      <c r="I3106" t="s">
        <v>3878</v>
      </c>
      <c r="J3106" t="s">
        <v>3469</v>
      </c>
      <c r="K3106" t="s">
        <v>3750</v>
      </c>
      <c r="L3106">
        <v>0</v>
      </c>
      <c r="M3106" s="453">
        <v>-693593</v>
      </c>
      <c r="N3106">
        <v>0</v>
      </c>
      <c r="O3106">
        <v>43.99</v>
      </c>
      <c r="P3106">
        <v>43.99</v>
      </c>
    </row>
    <row r="3107" spans="1:16" x14ac:dyDescent="0.3">
      <c r="A3107">
        <v>32824</v>
      </c>
      <c r="B3107">
        <v>116</v>
      </c>
      <c r="C3107" t="s">
        <v>568</v>
      </c>
      <c r="D3107" s="453">
        <v>45778</v>
      </c>
      <c r="E3107">
        <v>24185</v>
      </c>
      <c r="F3107" t="s">
        <v>4040</v>
      </c>
      <c r="G3107">
        <v>2331</v>
      </c>
      <c r="H3107">
        <v>2</v>
      </c>
      <c r="I3107" t="s">
        <v>3892</v>
      </c>
      <c r="J3107" t="s">
        <v>3469</v>
      </c>
      <c r="K3107" t="s">
        <v>3750</v>
      </c>
      <c r="L3107">
        <v>21</v>
      </c>
      <c r="M3107" s="453">
        <v>45755</v>
      </c>
      <c r="N3107">
        <v>21</v>
      </c>
      <c r="O3107">
        <v>21</v>
      </c>
      <c r="P3107">
        <v>42</v>
      </c>
    </row>
    <row r="3108" spans="1:16" x14ac:dyDescent="0.3">
      <c r="A3108">
        <v>33002</v>
      </c>
      <c r="B3108">
        <v>116</v>
      </c>
      <c r="C3108" t="s">
        <v>568</v>
      </c>
      <c r="D3108" s="453">
        <v>45778</v>
      </c>
      <c r="E3108">
        <v>18200</v>
      </c>
      <c r="F3108" t="s">
        <v>4032</v>
      </c>
      <c r="G3108">
        <v>3426</v>
      </c>
      <c r="H3108">
        <v>1</v>
      </c>
      <c r="I3108" t="s">
        <v>3878</v>
      </c>
      <c r="J3108" t="s">
        <v>3497</v>
      </c>
      <c r="K3108" t="s">
        <v>3750</v>
      </c>
      <c r="L3108">
        <v>0</v>
      </c>
      <c r="M3108" s="453">
        <v>45699</v>
      </c>
      <c r="N3108">
        <v>41.18</v>
      </c>
      <c r="O3108">
        <v>41.5</v>
      </c>
      <c r="P3108">
        <v>41.18</v>
      </c>
    </row>
    <row r="3109" spans="1:16" x14ac:dyDescent="0.3">
      <c r="A3109">
        <v>32835</v>
      </c>
      <c r="B3109">
        <v>116</v>
      </c>
      <c r="C3109" t="s">
        <v>568</v>
      </c>
      <c r="D3109" s="453">
        <v>45778</v>
      </c>
      <c r="E3109">
        <v>20231</v>
      </c>
      <c r="F3109" t="s">
        <v>4123</v>
      </c>
      <c r="G3109">
        <v>2247</v>
      </c>
      <c r="H3109">
        <v>2</v>
      </c>
      <c r="I3109" t="s">
        <v>3888</v>
      </c>
      <c r="J3109" t="s">
        <v>3469</v>
      </c>
      <c r="K3109" t="s">
        <v>3750</v>
      </c>
      <c r="L3109">
        <v>0</v>
      </c>
      <c r="M3109" s="453">
        <v>45741</v>
      </c>
      <c r="N3109">
        <v>19.98</v>
      </c>
      <c r="O3109">
        <v>19.62</v>
      </c>
      <c r="P3109">
        <v>39.96</v>
      </c>
    </row>
    <row r="3110" spans="1:16" x14ac:dyDescent="0.3">
      <c r="A3110">
        <v>32897</v>
      </c>
      <c r="B3110">
        <v>116</v>
      </c>
      <c r="C3110" t="s">
        <v>568</v>
      </c>
      <c r="D3110" s="453">
        <v>45778</v>
      </c>
      <c r="E3110">
        <v>19486</v>
      </c>
      <c r="F3110" t="s">
        <v>4472</v>
      </c>
      <c r="G3110">
        <v>7790</v>
      </c>
      <c r="H3110">
        <v>1</v>
      </c>
      <c r="I3110" t="s">
        <v>3966</v>
      </c>
      <c r="J3110" t="s">
        <v>3469</v>
      </c>
      <c r="K3110" t="s">
        <v>3750</v>
      </c>
      <c r="L3110">
        <v>39.119999999999997</v>
      </c>
      <c r="M3110" s="453">
        <v>45776</v>
      </c>
      <c r="N3110">
        <v>39.119999999999997</v>
      </c>
      <c r="O3110">
        <v>39.119999999999997</v>
      </c>
      <c r="P3110">
        <v>39.119999999999997</v>
      </c>
    </row>
    <row r="3111" spans="1:16" x14ac:dyDescent="0.3">
      <c r="A3111">
        <v>33016</v>
      </c>
      <c r="B3111">
        <v>116</v>
      </c>
      <c r="C3111" t="s">
        <v>568</v>
      </c>
      <c r="D3111" s="453">
        <v>45778</v>
      </c>
      <c r="E3111">
        <v>17942</v>
      </c>
      <c r="F3111" t="s">
        <v>4035</v>
      </c>
      <c r="G3111">
        <v>3630</v>
      </c>
      <c r="H3111">
        <v>3</v>
      </c>
      <c r="I3111" t="s">
        <v>3872</v>
      </c>
      <c r="J3111" t="s">
        <v>3497</v>
      </c>
      <c r="K3111" t="s">
        <v>3750</v>
      </c>
      <c r="L3111">
        <v>13</v>
      </c>
      <c r="M3111" s="453">
        <v>45770</v>
      </c>
      <c r="N3111">
        <v>13</v>
      </c>
      <c r="O3111">
        <v>13</v>
      </c>
      <c r="P3111">
        <v>39</v>
      </c>
    </row>
    <row r="3112" spans="1:16" x14ac:dyDescent="0.3">
      <c r="A3112">
        <v>32885</v>
      </c>
      <c r="B3112">
        <v>116</v>
      </c>
      <c r="C3112" t="s">
        <v>568</v>
      </c>
      <c r="D3112" s="453">
        <v>45778</v>
      </c>
      <c r="E3112">
        <v>19652</v>
      </c>
      <c r="F3112" t="s">
        <v>4014</v>
      </c>
      <c r="G3112">
        <v>2587</v>
      </c>
      <c r="H3112">
        <v>2</v>
      </c>
      <c r="I3112" t="s">
        <v>3892</v>
      </c>
      <c r="J3112" t="s">
        <v>3469</v>
      </c>
      <c r="K3112" t="s">
        <v>3750</v>
      </c>
      <c r="L3112">
        <v>19.25</v>
      </c>
      <c r="M3112" s="453">
        <v>45771</v>
      </c>
      <c r="N3112">
        <v>32</v>
      </c>
      <c r="O3112">
        <v>34</v>
      </c>
      <c r="P3112">
        <v>38.5</v>
      </c>
    </row>
    <row r="3113" spans="1:16" x14ac:dyDescent="0.3">
      <c r="A3113">
        <v>32901</v>
      </c>
      <c r="B3113">
        <v>116</v>
      </c>
      <c r="C3113" t="s">
        <v>568</v>
      </c>
      <c r="D3113" s="453">
        <v>45778</v>
      </c>
      <c r="E3113">
        <v>24230</v>
      </c>
      <c r="F3113" t="s">
        <v>4018</v>
      </c>
      <c r="G3113">
        <v>2622</v>
      </c>
      <c r="H3113">
        <v>2.5</v>
      </c>
      <c r="I3113" t="s">
        <v>3892</v>
      </c>
      <c r="J3113" t="s">
        <v>3469</v>
      </c>
      <c r="K3113" t="s">
        <v>3750</v>
      </c>
      <c r="L3113">
        <v>15.22</v>
      </c>
      <c r="M3113" s="453">
        <v>45772</v>
      </c>
      <c r="N3113">
        <v>20</v>
      </c>
      <c r="O3113">
        <v>20</v>
      </c>
      <c r="P3113">
        <v>38.049999999999997</v>
      </c>
    </row>
    <row r="3114" spans="1:16" x14ac:dyDescent="0.3">
      <c r="A3114">
        <v>32993</v>
      </c>
      <c r="B3114">
        <v>116</v>
      </c>
      <c r="C3114" t="s">
        <v>568</v>
      </c>
      <c r="D3114" s="453">
        <v>45778</v>
      </c>
      <c r="E3114">
        <v>18317</v>
      </c>
      <c r="F3114" t="s">
        <v>4045</v>
      </c>
      <c r="G3114">
        <v>3316</v>
      </c>
      <c r="H3114">
        <v>1</v>
      </c>
      <c r="I3114" t="s">
        <v>3878</v>
      </c>
      <c r="J3114" t="s">
        <v>3497</v>
      </c>
      <c r="K3114" t="s">
        <v>3750</v>
      </c>
      <c r="L3114">
        <v>0</v>
      </c>
      <c r="M3114" s="453">
        <v>45699</v>
      </c>
      <c r="N3114">
        <v>37.57</v>
      </c>
      <c r="O3114">
        <v>35.909999999999997</v>
      </c>
      <c r="P3114">
        <v>37.57</v>
      </c>
    </row>
    <row r="3115" spans="1:16" x14ac:dyDescent="0.3">
      <c r="A3115">
        <v>32894</v>
      </c>
      <c r="B3115">
        <v>116</v>
      </c>
      <c r="C3115" t="s">
        <v>568</v>
      </c>
      <c r="D3115" s="453">
        <v>45778</v>
      </c>
      <c r="E3115">
        <v>19494</v>
      </c>
      <c r="F3115" t="s">
        <v>4126</v>
      </c>
      <c r="G3115">
        <v>2716</v>
      </c>
      <c r="H3115">
        <v>2.1</v>
      </c>
      <c r="I3115" t="s">
        <v>3892</v>
      </c>
      <c r="J3115" t="s">
        <v>3469</v>
      </c>
      <c r="K3115" t="s">
        <v>3750</v>
      </c>
      <c r="L3115">
        <v>17.43</v>
      </c>
      <c r="M3115" s="453">
        <v>45775</v>
      </c>
      <c r="N3115">
        <v>14</v>
      </c>
      <c r="O3115">
        <v>12.5</v>
      </c>
      <c r="P3115">
        <v>36.6</v>
      </c>
    </row>
    <row r="3116" spans="1:16" x14ac:dyDescent="0.3">
      <c r="A3116">
        <v>32842</v>
      </c>
      <c r="B3116">
        <v>116</v>
      </c>
      <c r="C3116" t="s">
        <v>568</v>
      </c>
      <c r="D3116" s="453">
        <v>45778</v>
      </c>
      <c r="E3116">
        <v>20661</v>
      </c>
      <c r="F3116" t="s">
        <v>3919</v>
      </c>
      <c r="G3116">
        <v>2110</v>
      </c>
      <c r="H3116">
        <v>4</v>
      </c>
      <c r="I3116" t="s">
        <v>3872</v>
      </c>
      <c r="J3116" t="s">
        <v>3469</v>
      </c>
      <c r="K3116" t="s">
        <v>3750</v>
      </c>
      <c r="L3116">
        <v>9.11</v>
      </c>
      <c r="M3116" s="453">
        <v>45770</v>
      </c>
      <c r="N3116">
        <v>9.17</v>
      </c>
      <c r="O3116">
        <v>8.99</v>
      </c>
      <c r="P3116">
        <v>36.44</v>
      </c>
    </row>
    <row r="3117" spans="1:16" x14ac:dyDescent="0.3">
      <c r="A3117">
        <v>32967</v>
      </c>
      <c r="B3117">
        <v>116</v>
      </c>
      <c r="C3117" t="s">
        <v>568</v>
      </c>
      <c r="D3117" s="453">
        <v>45778</v>
      </c>
      <c r="E3117">
        <v>24403</v>
      </c>
      <c r="F3117" t="s">
        <v>3992</v>
      </c>
      <c r="G3117">
        <v>3049</v>
      </c>
      <c r="H3117">
        <v>3</v>
      </c>
      <c r="I3117" t="s">
        <v>3892</v>
      </c>
      <c r="J3117" t="s">
        <v>3469</v>
      </c>
      <c r="K3117" t="s">
        <v>3750</v>
      </c>
      <c r="L3117">
        <v>12</v>
      </c>
      <c r="M3117" s="453">
        <v>45763</v>
      </c>
      <c r="N3117">
        <v>12</v>
      </c>
      <c r="O3117">
        <v>12</v>
      </c>
      <c r="P3117">
        <v>36</v>
      </c>
    </row>
    <row r="3118" spans="1:16" x14ac:dyDescent="0.3">
      <c r="A3118">
        <v>33019</v>
      </c>
      <c r="B3118">
        <v>116</v>
      </c>
      <c r="C3118" t="s">
        <v>568</v>
      </c>
      <c r="D3118" s="453">
        <v>45778</v>
      </c>
      <c r="E3118">
        <v>17896</v>
      </c>
      <c r="F3118" t="s">
        <v>3972</v>
      </c>
      <c r="G3118">
        <v>3664</v>
      </c>
      <c r="H3118">
        <v>1</v>
      </c>
      <c r="I3118" t="s">
        <v>3888</v>
      </c>
      <c r="J3118" t="s">
        <v>3497</v>
      </c>
      <c r="K3118" t="s">
        <v>3750</v>
      </c>
      <c r="L3118">
        <v>35.76</v>
      </c>
      <c r="M3118" s="453">
        <v>45770</v>
      </c>
      <c r="N3118">
        <v>35.76</v>
      </c>
      <c r="O3118">
        <v>35.76</v>
      </c>
      <c r="P3118">
        <v>35.76</v>
      </c>
    </row>
    <row r="3119" spans="1:16" x14ac:dyDescent="0.3">
      <c r="A3119">
        <v>32903</v>
      </c>
      <c r="B3119">
        <v>116</v>
      </c>
      <c r="C3119" t="s">
        <v>568</v>
      </c>
      <c r="D3119" s="453">
        <v>45778</v>
      </c>
      <c r="E3119">
        <v>19765</v>
      </c>
      <c r="F3119" t="s">
        <v>4071</v>
      </c>
      <c r="G3119">
        <v>2488</v>
      </c>
      <c r="H3119">
        <v>1</v>
      </c>
      <c r="I3119" t="s">
        <v>3892</v>
      </c>
      <c r="J3119" t="s">
        <v>3469</v>
      </c>
      <c r="K3119" t="s">
        <v>3750</v>
      </c>
      <c r="L3119">
        <v>0</v>
      </c>
      <c r="M3119" s="453">
        <v>45747</v>
      </c>
      <c r="N3119">
        <v>35.1</v>
      </c>
      <c r="O3119">
        <v>16.68</v>
      </c>
      <c r="P3119">
        <v>35.1</v>
      </c>
    </row>
    <row r="3120" spans="1:16" x14ac:dyDescent="0.3">
      <c r="A3120">
        <v>32923</v>
      </c>
      <c r="B3120">
        <v>116</v>
      </c>
      <c r="C3120" t="s">
        <v>568</v>
      </c>
      <c r="D3120" s="453">
        <v>45778</v>
      </c>
      <c r="E3120">
        <v>19574</v>
      </c>
      <c r="F3120" t="s">
        <v>4077</v>
      </c>
      <c r="G3120">
        <v>2644</v>
      </c>
      <c r="H3120">
        <v>1</v>
      </c>
      <c r="I3120" t="s">
        <v>3892</v>
      </c>
      <c r="J3120" t="s">
        <v>3469</v>
      </c>
      <c r="K3120" t="s">
        <v>3750</v>
      </c>
      <c r="L3120">
        <v>35</v>
      </c>
      <c r="M3120" s="453">
        <v>45754</v>
      </c>
      <c r="N3120">
        <v>35</v>
      </c>
      <c r="O3120">
        <v>40</v>
      </c>
      <c r="P3120">
        <v>35</v>
      </c>
    </row>
    <row r="3121" spans="1:16" x14ac:dyDescent="0.3">
      <c r="A3121">
        <v>32934</v>
      </c>
      <c r="B3121">
        <v>116</v>
      </c>
      <c r="C3121" t="s">
        <v>568</v>
      </c>
      <c r="D3121" s="453">
        <v>45778</v>
      </c>
      <c r="E3121">
        <v>19544</v>
      </c>
      <c r="F3121" t="s">
        <v>4473</v>
      </c>
      <c r="G3121">
        <v>2672</v>
      </c>
      <c r="H3121">
        <v>4</v>
      </c>
      <c r="I3121" t="s">
        <v>3892</v>
      </c>
      <c r="J3121" t="s">
        <v>3469</v>
      </c>
      <c r="K3121" t="s">
        <v>3750</v>
      </c>
      <c r="L3121">
        <v>8.6999999999999993</v>
      </c>
      <c r="M3121" s="453">
        <v>45775</v>
      </c>
      <c r="N3121">
        <v>6.5</v>
      </c>
      <c r="O3121">
        <v>6.5</v>
      </c>
      <c r="P3121">
        <v>34.799999999999997</v>
      </c>
    </row>
    <row r="3122" spans="1:16" x14ac:dyDescent="0.3">
      <c r="A3122">
        <v>32838</v>
      </c>
      <c r="B3122">
        <v>116</v>
      </c>
      <c r="C3122" t="s">
        <v>568</v>
      </c>
      <c r="D3122" s="453">
        <v>45778</v>
      </c>
      <c r="E3122">
        <v>20327</v>
      </c>
      <c r="F3122" t="s">
        <v>4179</v>
      </c>
      <c r="G3122">
        <v>2211</v>
      </c>
      <c r="H3122">
        <v>5</v>
      </c>
      <c r="I3122" t="s">
        <v>3888</v>
      </c>
      <c r="J3122" t="s">
        <v>3469</v>
      </c>
      <c r="K3122" t="s">
        <v>3750</v>
      </c>
      <c r="L3122">
        <v>0</v>
      </c>
      <c r="M3122" s="453">
        <v>-693593</v>
      </c>
      <c r="N3122">
        <v>0</v>
      </c>
      <c r="O3122">
        <v>6.55</v>
      </c>
      <c r="P3122">
        <v>34.5</v>
      </c>
    </row>
    <row r="3123" spans="1:16" x14ac:dyDescent="0.3">
      <c r="A3123">
        <v>32922</v>
      </c>
      <c r="B3123">
        <v>116</v>
      </c>
      <c r="C3123" t="s">
        <v>568</v>
      </c>
      <c r="D3123" s="453">
        <v>45778</v>
      </c>
      <c r="E3123">
        <v>19576</v>
      </c>
      <c r="F3123" t="s">
        <v>4021</v>
      </c>
      <c r="G3123">
        <v>2642</v>
      </c>
      <c r="H3123">
        <v>2</v>
      </c>
      <c r="I3123" t="s">
        <v>3892</v>
      </c>
      <c r="J3123" t="s">
        <v>3469</v>
      </c>
      <c r="K3123" t="s">
        <v>3750</v>
      </c>
      <c r="L3123">
        <v>17</v>
      </c>
      <c r="M3123" s="453">
        <v>45754</v>
      </c>
      <c r="N3123">
        <v>17</v>
      </c>
      <c r="O3123">
        <v>15.8</v>
      </c>
      <c r="P3123">
        <v>34</v>
      </c>
    </row>
    <row r="3124" spans="1:16" x14ac:dyDescent="0.3">
      <c r="A3124">
        <v>32806</v>
      </c>
      <c r="B3124">
        <v>116</v>
      </c>
      <c r="C3124" t="s">
        <v>568</v>
      </c>
      <c r="D3124" s="453">
        <v>45778</v>
      </c>
      <c r="E3124">
        <v>21093</v>
      </c>
      <c r="F3124" t="s">
        <v>3903</v>
      </c>
      <c r="G3124">
        <v>1988</v>
      </c>
      <c r="H3124">
        <v>7</v>
      </c>
      <c r="I3124" t="s">
        <v>3892</v>
      </c>
      <c r="J3124" t="s">
        <v>3469</v>
      </c>
      <c r="K3124" t="s">
        <v>3750</v>
      </c>
      <c r="L3124">
        <v>4.84</v>
      </c>
      <c r="M3124" s="453">
        <v>45763</v>
      </c>
      <c r="N3124">
        <v>4.8899999999999997</v>
      </c>
      <c r="O3124">
        <v>4.79</v>
      </c>
      <c r="P3124">
        <v>33.880000000000003</v>
      </c>
    </row>
    <row r="3125" spans="1:16" x14ac:dyDescent="0.3">
      <c r="A3125">
        <v>32805</v>
      </c>
      <c r="B3125">
        <v>116</v>
      </c>
      <c r="C3125" t="s">
        <v>568</v>
      </c>
      <c r="D3125" s="453">
        <v>45778</v>
      </c>
      <c r="E3125">
        <v>21062</v>
      </c>
      <c r="F3125" t="s">
        <v>4481</v>
      </c>
      <c r="G3125">
        <v>1997</v>
      </c>
      <c r="H3125">
        <v>2</v>
      </c>
      <c r="I3125" t="s">
        <v>3878</v>
      </c>
      <c r="J3125" t="s">
        <v>3469</v>
      </c>
      <c r="K3125" t="s">
        <v>3750</v>
      </c>
      <c r="L3125">
        <v>0</v>
      </c>
      <c r="M3125" s="453">
        <v>-693593</v>
      </c>
      <c r="N3125">
        <v>0</v>
      </c>
      <c r="O3125">
        <v>14.85</v>
      </c>
      <c r="P3125">
        <v>31.34</v>
      </c>
    </row>
    <row r="3126" spans="1:16" x14ac:dyDescent="0.3">
      <c r="A3126">
        <v>33023</v>
      </c>
      <c r="B3126">
        <v>116</v>
      </c>
      <c r="C3126" t="s">
        <v>568</v>
      </c>
      <c r="D3126" s="453">
        <v>45778</v>
      </c>
      <c r="E3126">
        <v>24468</v>
      </c>
      <c r="F3126" t="s">
        <v>4482</v>
      </c>
      <c r="G3126">
        <v>3675</v>
      </c>
      <c r="H3126">
        <v>14</v>
      </c>
      <c r="I3126" t="s">
        <v>3872</v>
      </c>
      <c r="J3126" t="s">
        <v>3497</v>
      </c>
      <c r="K3126" t="s">
        <v>3750</v>
      </c>
      <c r="L3126">
        <v>0</v>
      </c>
      <c r="M3126" s="453">
        <v>45544</v>
      </c>
      <c r="N3126">
        <v>2.19</v>
      </c>
      <c r="O3126">
        <v>2.19</v>
      </c>
      <c r="P3126">
        <v>30.66</v>
      </c>
    </row>
    <row r="3127" spans="1:16" x14ac:dyDescent="0.3">
      <c r="A3127">
        <v>32813</v>
      </c>
      <c r="B3127">
        <v>116</v>
      </c>
      <c r="C3127" t="s">
        <v>568</v>
      </c>
      <c r="D3127" s="453">
        <v>45778</v>
      </c>
      <c r="E3127">
        <v>20755</v>
      </c>
      <c r="F3127" t="s">
        <v>4052</v>
      </c>
      <c r="G3127">
        <v>2087</v>
      </c>
      <c r="H3127">
        <v>0.5</v>
      </c>
      <c r="I3127" t="s">
        <v>3966</v>
      </c>
      <c r="J3127" t="s">
        <v>3469</v>
      </c>
      <c r="K3127" t="s">
        <v>3750</v>
      </c>
      <c r="L3127">
        <v>0</v>
      </c>
      <c r="M3127" s="453">
        <v>45497</v>
      </c>
      <c r="N3127">
        <v>60</v>
      </c>
      <c r="O3127">
        <v>60</v>
      </c>
      <c r="P3127">
        <v>30</v>
      </c>
    </row>
    <row r="3128" spans="1:16" x14ac:dyDescent="0.3">
      <c r="A3128">
        <v>32808</v>
      </c>
      <c r="B3128">
        <v>116</v>
      </c>
      <c r="C3128" t="s">
        <v>568</v>
      </c>
      <c r="D3128" s="453">
        <v>45778</v>
      </c>
      <c r="E3128">
        <v>21078</v>
      </c>
      <c r="F3128" t="s">
        <v>4049</v>
      </c>
      <c r="G3128">
        <v>1991</v>
      </c>
      <c r="H3128">
        <v>1</v>
      </c>
      <c r="I3128" t="s">
        <v>3881</v>
      </c>
      <c r="J3128" t="s">
        <v>3469</v>
      </c>
      <c r="K3128" t="s">
        <v>3750</v>
      </c>
      <c r="L3128">
        <v>0</v>
      </c>
      <c r="M3128" s="453">
        <v>-693593</v>
      </c>
      <c r="N3128">
        <v>0</v>
      </c>
      <c r="O3128">
        <v>43.6</v>
      </c>
      <c r="P3128">
        <v>29.9</v>
      </c>
    </row>
    <row r="3129" spans="1:16" x14ac:dyDescent="0.3">
      <c r="A3129">
        <v>32932</v>
      </c>
      <c r="B3129">
        <v>116</v>
      </c>
      <c r="C3129" t="s">
        <v>568</v>
      </c>
      <c r="D3129" s="453">
        <v>45778</v>
      </c>
      <c r="E3129">
        <v>19672</v>
      </c>
      <c r="F3129" t="s">
        <v>4024</v>
      </c>
      <c r="G3129">
        <v>2567</v>
      </c>
      <c r="H3129">
        <v>2.5</v>
      </c>
      <c r="I3129" t="s">
        <v>3892</v>
      </c>
      <c r="J3129" t="s">
        <v>3469</v>
      </c>
      <c r="K3129" t="s">
        <v>3750</v>
      </c>
      <c r="L3129">
        <v>11.88</v>
      </c>
      <c r="M3129" s="453">
        <v>45775</v>
      </c>
      <c r="N3129">
        <v>14.5</v>
      </c>
      <c r="O3129">
        <v>14.5</v>
      </c>
      <c r="P3129">
        <v>29.7</v>
      </c>
    </row>
    <row r="3130" spans="1:16" x14ac:dyDescent="0.3">
      <c r="A3130">
        <v>33007</v>
      </c>
      <c r="B3130">
        <v>116</v>
      </c>
      <c r="C3130" t="s">
        <v>568</v>
      </c>
      <c r="D3130" s="453">
        <v>45778</v>
      </c>
      <c r="E3130">
        <v>18030</v>
      </c>
      <c r="F3130" t="s">
        <v>4033</v>
      </c>
      <c r="G3130">
        <v>3568</v>
      </c>
      <c r="H3130">
        <v>1</v>
      </c>
      <c r="I3130" t="s">
        <v>3878</v>
      </c>
      <c r="J3130" t="s">
        <v>3497</v>
      </c>
      <c r="K3130" t="s">
        <v>3750</v>
      </c>
      <c r="L3130">
        <v>25.9</v>
      </c>
      <c r="M3130" s="453">
        <v>45770</v>
      </c>
      <c r="N3130">
        <v>25.9</v>
      </c>
      <c r="O3130">
        <v>1.7</v>
      </c>
      <c r="P3130">
        <v>25.9</v>
      </c>
    </row>
    <row r="3131" spans="1:16" x14ac:dyDescent="0.3">
      <c r="A3131">
        <v>33024</v>
      </c>
      <c r="B3131">
        <v>116</v>
      </c>
      <c r="C3131" t="s">
        <v>568</v>
      </c>
      <c r="D3131" s="453">
        <v>45778</v>
      </c>
      <c r="E3131">
        <v>17878</v>
      </c>
      <c r="F3131" t="s">
        <v>4096</v>
      </c>
      <c r="G3131">
        <v>3677</v>
      </c>
      <c r="H3131">
        <v>1</v>
      </c>
      <c r="I3131" t="s">
        <v>3872</v>
      </c>
      <c r="J3131" t="s">
        <v>3497</v>
      </c>
      <c r="K3131" t="s">
        <v>3750</v>
      </c>
      <c r="L3131">
        <v>24.07</v>
      </c>
      <c r="M3131" s="453">
        <v>45763</v>
      </c>
      <c r="N3131">
        <v>24.07</v>
      </c>
      <c r="O3131">
        <v>25.59</v>
      </c>
      <c r="P3131">
        <v>24.07</v>
      </c>
    </row>
    <row r="3132" spans="1:16" x14ac:dyDescent="0.3">
      <c r="A3132">
        <v>32880</v>
      </c>
      <c r="B3132">
        <v>116</v>
      </c>
      <c r="C3132" t="s">
        <v>568</v>
      </c>
      <c r="D3132" s="453">
        <v>45778</v>
      </c>
      <c r="E3132">
        <v>19458</v>
      </c>
      <c r="F3132" t="s">
        <v>4212</v>
      </c>
      <c r="G3132">
        <v>2746</v>
      </c>
      <c r="H3132">
        <v>2</v>
      </c>
      <c r="I3132" t="s">
        <v>3892</v>
      </c>
      <c r="J3132" t="s">
        <v>3469</v>
      </c>
      <c r="K3132" t="s">
        <v>3750</v>
      </c>
      <c r="L3132">
        <v>11.99</v>
      </c>
      <c r="M3132" s="453">
        <v>45775</v>
      </c>
      <c r="N3132">
        <v>12</v>
      </c>
      <c r="O3132">
        <v>11.5</v>
      </c>
      <c r="P3132">
        <v>23.98</v>
      </c>
    </row>
    <row r="3133" spans="1:16" x14ac:dyDescent="0.3">
      <c r="A3133">
        <v>32896</v>
      </c>
      <c r="B3133">
        <v>116</v>
      </c>
      <c r="C3133" t="s">
        <v>568</v>
      </c>
      <c r="D3133" s="453">
        <v>45778</v>
      </c>
      <c r="E3133">
        <v>19623</v>
      </c>
      <c r="F3133" t="s">
        <v>3984</v>
      </c>
      <c r="G3133">
        <v>2611</v>
      </c>
      <c r="H3133">
        <v>3</v>
      </c>
      <c r="I3133" t="s">
        <v>3892</v>
      </c>
      <c r="J3133" t="s">
        <v>3469</v>
      </c>
      <c r="K3133" t="s">
        <v>3750</v>
      </c>
      <c r="L3133">
        <v>7.92</v>
      </c>
      <c r="M3133" s="453">
        <v>45775</v>
      </c>
      <c r="N3133">
        <v>5.5</v>
      </c>
      <c r="O3133">
        <v>5.23</v>
      </c>
      <c r="P3133">
        <v>23.76</v>
      </c>
    </row>
    <row r="3134" spans="1:16" x14ac:dyDescent="0.3">
      <c r="A3134">
        <v>32870</v>
      </c>
      <c r="B3134">
        <v>116</v>
      </c>
      <c r="C3134" t="s">
        <v>568</v>
      </c>
      <c r="D3134" s="453">
        <v>45778</v>
      </c>
      <c r="E3134">
        <v>19902</v>
      </c>
      <c r="F3134" t="s">
        <v>3909</v>
      </c>
      <c r="G3134">
        <v>2382</v>
      </c>
      <c r="H3134">
        <v>1</v>
      </c>
      <c r="I3134" t="s">
        <v>3881</v>
      </c>
      <c r="J3134" t="s">
        <v>3469</v>
      </c>
      <c r="K3134" t="s">
        <v>3750</v>
      </c>
      <c r="L3134">
        <v>0</v>
      </c>
      <c r="M3134" s="453">
        <v>45727</v>
      </c>
      <c r="N3134">
        <v>23.6</v>
      </c>
      <c r="O3134">
        <v>0</v>
      </c>
      <c r="P3134">
        <v>23.6</v>
      </c>
    </row>
    <row r="3135" spans="1:16" x14ac:dyDescent="0.3">
      <c r="A3135">
        <v>32933</v>
      </c>
      <c r="B3135">
        <v>116</v>
      </c>
      <c r="C3135" t="s">
        <v>568</v>
      </c>
      <c r="D3135" s="453">
        <v>45778</v>
      </c>
      <c r="E3135">
        <v>19546</v>
      </c>
      <c r="F3135" t="s">
        <v>4483</v>
      </c>
      <c r="G3135">
        <v>2670</v>
      </c>
      <c r="H3135">
        <v>1.3</v>
      </c>
      <c r="I3135" t="s">
        <v>3892</v>
      </c>
      <c r="J3135" t="s">
        <v>3469</v>
      </c>
      <c r="K3135" t="s">
        <v>3750</v>
      </c>
      <c r="L3135">
        <v>17.73</v>
      </c>
      <c r="M3135" s="453">
        <v>45772</v>
      </c>
      <c r="N3135">
        <v>18</v>
      </c>
      <c r="O3135">
        <v>30</v>
      </c>
      <c r="P3135">
        <v>23.05</v>
      </c>
    </row>
    <row r="3136" spans="1:16" x14ac:dyDescent="0.3">
      <c r="A3136">
        <v>32803</v>
      </c>
      <c r="B3136">
        <v>116</v>
      </c>
      <c r="C3136" t="s">
        <v>568</v>
      </c>
      <c r="D3136" s="453">
        <v>45778</v>
      </c>
      <c r="E3136">
        <v>24456</v>
      </c>
      <c r="F3136" t="s">
        <v>4048</v>
      </c>
      <c r="G3136">
        <v>1965</v>
      </c>
      <c r="H3136">
        <v>1</v>
      </c>
      <c r="I3136" t="s">
        <v>3892</v>
      </c>
      <c r="J3136" t="s">
        <v>3469</v>
      </c>
      <c r="K3136" t="s">
        <v>3750</v>
      </c>
      <c r="L3136">
        <v>22.37</v>
      </c>
      <c r="M3136" s="453">
        <v>45772</v>
      </c>
      <c r="N3136">
        <v>27</v>
      </c>
      <c r="O3136">
        <v>22.1</v>
      </c>
      <c r="P3136">
        <v>22.37</v>
      </c>
    </row>
    <row r="3137" spans="1:16" x14ac:dyDescent="0.3">
      <c r="A3137">
        <v>32887</v>
      </c>
      <c r="B3137">
        <v>116</v>
      </c>
      <c r="C3137" t="s">
        <v>568</v>
      </c>
      <c r="D3137" s="453">
        <v>45778</v>
      </c>
      <c r="E3137">
        <v>19647</v>
      </c>
      <c r="F3137" t="s">
        <v>4066</v>
      </c>
      <c r="G3137">
        <v>2591</v>
      </c>
      <c r="H3137">
        <v>2</v>
      </c>
      <c r="I3137" t="s">
        <v>3892</v>
      </c>
      <c r="J3137" t="s">
        <v>3469</v>
      </c>
      <c r="K3137" t="s">
        <v>3750</v>
      </c>
      <c r="L3137">
        <v>11.07</v>
      </c>
      <c r="M3137" s="453">
        <v>45771</v>
      </c>
      <c r="N3137">
        <v>12.5</v>
      </c>
      <c r="O3137">
        <v>1.71</v>
      </c>
      <c r="P3137">
        <v>22.14</v>
      </c>
    </row>
    <row r="3138" spans="1:16" x14ac:dyDescent="0.3">
      <c r="A3138">
        <v>32853</v>
      </c>
      <c r="B3138">
        <v>116</v>
      </c>
      <c r="C3138" t="s">
        <v>568</v>
      </c>
      <c r="D3138" s="453">
        <v>45778</v>
      </c>
      <c r="E3138">
        <v>20871</v>
      </c>
      <c r="F3138" t="s">
        <v>4475</v>
      </c>
      <c r="G3138">
        <v>2043</v>
      </c>
      <c r="H3138">
        <v>1</v>
      </c>
      <c r="I3138" t="s">
        <v>3886</v>
      </c>
      <c r="J3138" t="s">
        <v>3469</v>
      </c>
      <c r="K3138" t="s">
        <v>3750</v>
      </c>
      <c r="L3138">
        <v>0</v>
      </c>
      <c r="M3138" s="453">
        <v>-693593</v>
      </c>
      <c r="N3138">
        <v>0</v>
      </c>
      <c r="O3138">
        <v>0</v>
      </c>
      <c r="P3138">
        <v>22</v>
      </c>
    </row>
    <row r="3139" spans="1:16" x14ac:dyDescent="0.3">
      <c r="A3139">
        <v>32862</v>
      </c>
      <c r="B3139">
        <v>116</v>
      </c>
      <c r="C3139" t="s">
        <v>568</v>
      </c>
      <c r="D3139" s="453">
        <v>45778</v>
      </c>
      <c r="E3139">
        <v>24392</v>
      </c>
      <c r="F3139" t="s">
        <v>4041</v>
      </c>
      <c r="G3139">
        <v>2366</v>
      </c>
      <c r="H3139">
        <v>1</v>
      </c>
      <c r="I3139" t="s">
        <v>3892</v>
      </c>
      <c r="J3139" t="s">
        <v>3469</v>
      </c>
      <c r="K3139" t="s">
        <v>3750</v>
      </c>
      <c r="L3139">
        <v>0</v>
      </c>
      <c r="M3139" s="453">
        <v>45524</v>
      </c>
      <c r="N3139">
        <v>21.9</v>
      </c>
      <c r="O3139">
        <v>22.9</v>
      </c>
      <c r="P3139">
        <v>21.9</v>
      </c>
    </row>
    <row r="3140" spans="1:16" x14ac:dyDescent="0.3">
      <c r="A3140">
        <v>32868</v>
      </c>
      <c r="B3140">
        <v>116</v>
      </c>
      <c r="C3140" t="s">
        <v>568</v>
      </c>
      <c r="D3140" s="453">
        <v>45778</v>
      </c>
      <c r="E3140">
        <v>25768</v>
      </c>
      <c r="F3140" t="s">
        <v>4012</v>
      </c>
      <c r="G3140">
        <v>6317</v>
      </c>
      <c r="H3140">
        <v>2</v>
      </c>
      <c r="I3140" t="s">
        <v>3892</v>
      </c>
      <c r="J3140" t="s">
        <v>3469</v>
      </c>
      <c r="K3140" t="s">
        <v>3750</v>
      </c>
      <c r="L3140">
        <v>10.4</v>
      </c>
      <c r="M3140" s="453">
        <v>45755</v>
      </c>
      <c r="N3140">
        <v>12</v>
      </c>
      <c r="O3140">
        <v>6.8</v>
      </c>
      <c r="P3140">
        <v>20.8</v>
      </c>
    </row>
    <row r="3141" spans="1:16" x14ac:dyDescent="0.3">
      <c r="A3141">
        <v>32911</v>
      </c>
      <c r="B3141">
        <v>116</v>
      </c>
      <c r="C3141" t="s">
        <v>568</v>
      </c>
      <c r="D3141" s="453">
        <v>45778</v>
      </c>
      <c r="E3141">
        <v>19744</v>
      </c>
      <c r="F3141" t="s">
        <v>4173</v>
      </c>
      <c r="G3141">
        <v>2509</v>
      </c>
      <c r="H3141">
        <v>2</v>
      </c>
      <c r="I3141" t="s">
        <v>3892</v>
      </c>
      <c r="J3141" t="s">
        <v>3469</v>
      </c>
      <c r="K3141" t="s">
        <v>3750</v>
      </c>
      <c r="L3141">
        <v>10.4</v>
      </c>
      <c r="M3141" s="453">
        <v>45761</v>
      </c>
      <c r="N3141">
        <v>10.4</v>
      </c>
      <c r="O3141">
        <v>10.5</v>
      </c>
      <c r="P3141">
        <v>20.8</v>
      </c>
    </row>
    <row r="3142" spans="1:16" x14ac:dyDescent="0.3">
      <c r="A3142">
        <v>32918</v>
      </c>
      <c r="B3142">
        <v>116</v>
      </c>
      <c r="C3142" t="s">
        <v>568</v>
      </c>
      <c r="D3142" s="453">
        <v>45778</v>
      </c>
      <c r="E3142">
        <v>19589</v>
      </c>
      <c r="F3142" t="s">
        <v>4153</v>
      </c>
      <c r="G3142">
        <v>2637</v>
      </c>
      <c r="H3142">
        <v>2</v>
      </c>
      <c r="I3142" t="s">
        <v>3892</v>
      </c>
      <c r="J3142" t="s">
        <v>3469</v>
      </c>
      <c r="K3142" t="s">
        <v>3750</v>
      </c>
      <c r="L3142">
        <v>10.130000000000001</v>
      </c>
      <c r="M3142" s="453">
        <v>45772</v>
      </c>
      <c r="N3142">
        <v>4</v>
      </c>
      <c r="O3142">
        <v>4</v>
      </c>
      <c r="P3142">
        <v>20.260000000000002</v>
      </c>
    </row>
    <row r="3143" spans="1:16" x14ac:dyDescent="0.3">
      <c r="A3143">
        <v>32875</v>
      </c>
      <c r="B3143">
        <v>116</v>
      </c>
      <c r="C3143" t="s">
        <v>568</v>
      </c>
      <c r="D3143" s="453">
        <v>45778</v>
      </c>
      <c r="E3143">
        <v>25769</v>
      </c>
      <c r="F3143" t="s">
        <v>4013</v>
      </c>
      <c r="G3143">
        <v>6318</v>
      </c>
      <c r="H3143">
        <v>2</v>
      </c>
      <c r="I3143" t="s">
        <v>3892</v>
      </c>
      <c r="J3143" t="s">
        <v>3469</v>
      </c>
      <c r="K3143" t="s">
        <v>3750</v>
      </c>
      <c r="L3143">
        <v>10</v>
      </c>
      <c r="M3143" s="453">
        <v>45755</v>
      </c>
      <c r="N3143">
        <v>10</v>
      </c>
      <c r="O3143">
        <v>10</v>
      </c>
      <c r="P3143">
        <v>20</v>
      </c>
    </row>
    <row r="3144" spans="1:16" x14ac:dyDescent="0.3">
      <c r="A3144">
        <v>33010</v>
      </c>
      <c r="B3144">
        <v>116</v>
      </c>
      <c r="C3144" t="s">
        <v>568</v>
      </c>
      <c r="D3144" s="453">
        <v>45778</v>
      </c>
      <c r="E3144">
        <v>24019</v>
      </c>
      <c r="F3144" t="s">
        <v>4471</v>
      </c>
      <c r="G3144">
        <v>3617</v>
      </c>
      <c r="H3144">
        <v>12</v>
      </c>
      <c r="I3144" t="s">
        <v>3872</v>
      </c>
      <c r="J3144" t="s">
        <v>3497</v>
      </c>
      <c r="K3144" t="s">
        <v>3750</v>
      </c>
      <c r="L3144">
        <v>0</v>
      </c>
      <c r="M3144" s="453">
        <v>45545</v>
      </c>
      <c r="N3144">
        <v>1.62</v>
      </c>
      <c r="O3144">
        <v>1.63</v>
      </c>
      <c r="P3144">
        <v>19.5</v>
      </c>
    </row>
    <row r="3145" spans="1:16" x14ac:dyDescent="0.3">
      <c r="A3145">
        <v>32823</v>
      </c>
      <c r="B3145">
        <v>116</v>
      </c>
      <c r="C3145" t="s">
        <v>568</v>
      </c>
      <c r="D3145" s="453">
        <v>45778</v>
      </c>
      <c r="E3145">
        <v>20702</v>
      </c>
      <c r="F3145" t="s">
        <v>4006</v>
      </c>
      <c r="G3145">
        <v>2101</v>
      </c>
      <c r="H3145">
        <v>0.5</v>
      </c>
      <c r="I3145" t="s">
        <v>3966</v>
      </c>
      <c r="J3145" t="s">
        <v>3469</v>
      </c>
      <c r="K3145" t="s">
        <v>3750</v>
      </c>
      <c r="L3145">
        <v>38.9</v>
      </c>
      <c r="M3145" s="453">
        <v>45762</v>
      </c>
      <c r="N3145">
        <v>38.9</v>
      </c>
      <c r="O3145">
        <v>38.9</v>
      </c>
      <c r="P3145">
        <v>19.45</v>
      </c>
    </row>
    <row r="3146" spans="1:16" x14ac:dyDescent="0.3">
      <c r="A3146">
        <v>32888</v>
      </c>
      <c r="B3146">
        <v>116</v>
      </c>
      <c r="C3146" t="s">
        <v>568</v>
      </c>
      <c r="D3146" s="453">
        <v>45778</v>
      </c>
      <c r="E3146">
        <v>19783</v>
      </c>
      <c r="F3146" t="s">
        <v>4016</v>
      </c>
      <c r="G3146">
        <v>2475</v>
      </c>
      <c r="H3146">
        <v>4</v>
      </c>
      <c r="I3146" t="s">
        <v>3892</v>
      </c>
      <c r="J3146" t="s">
        <v>3469</v>
      </c>
      <c r="K3146" t="s">
        <v>3750</v>
      </c>
      <c r="L3146">
        <v>4.71</v>
      </c>
      <c r="M3146" s="453">
        <v>45775</v>
      </c>
      <c r="N3146">
        <v>4.5</v>
      </c>
      <c r="O3146">
        <v>4.3600000000000003</v>
      </c>
      <c r="P3146">
        <v>18.84</v>
      </c>
    </row>
    <row r="3147" spans="1:16" x14ac:dyDescent="0.3">
      <c r="A3147">
        <v>32869</v>
      </c>
      <c r="B3147">
        <v>116</v>
      </c>
      <c r="C3147" t="s">
        <v>568</v>
      </c>
      <c r="D3147" s="453">
        <v>45778</v>
      </c>
      <c r="E3147">
        <v>19917</v>
      </c>
      <c r="F3147" t="s">
        <v>3920</v>
      </c>
      <c r="G3147">
        <v>2379</v>
      </c>
      <c r="H3147">
        <v>6</v>
      </c>
      <c r="I3147" t="s">
        <v>3888</v>
      </c>
      <c r="J3147" t="s">
        <v>3469</v>
      </c>
      <c r="K3147" t="s">
        <v>3750</v>
      </c>
      <c r="L3147">
        <v>0</v>
      </c>
      <c r="M3147" s="453">
        <v>45581</v>
      </c>
      <c r="N3147">
        <v>3.09</v>
      </c>
      <c r="O3147">
        <v>3.04</v>
      </c>
      <c r="P3147">
        <v>18.54</v>
      </c>
    </row>
    <row r="3148" spans="1:16" x14ac:dyDescent="0.3">
      <c r="A3148">
        <v>32891</v>
      </c>
      <c r="B3148">
        <v>116</v>
      </c>
      <c r="C3148" t="s">
        <v>568</v>
      </c>
      <c r="D3148" s="453">
        <v>45778</v>
      </c>
      <c r="E3148">
        <v>19639</v>
      </c>
      <c r="F3148" t="s">
        <v>4494</v>
      </c>
      <c r="G3148">
        <v>2597</v>
      </c>
      <c r="H3148">
        <v>5</v>
      </c>
      <c r="I3148" t="s">
        <v>3892</v>
      </c>
      <c r="J3148" t="s">
        <v>3469</v>
      </c>
      <c r="K3148" t="s">
        <v>3750</v>
      </c>
      <c r="L3148">
        <v>3.57</v>
      </c>
      <c r="M3148" s="453">
        <v>45771</v>
      </c>
      <c r="N3148">
        <v>3.8</v>
      </c>
      <c r="O3148">
        <v>3.5</v>
      </c>
      <c r="P3148">
        <v>17.850000000000001</v>
      </c>
    </row>
    <row r="3149" spans="1:16" x14ac:dyDescent="0.3">
      <c r="A3149">
        <v>32909</v>
      </c>
      <c r="B3149">
        <v>116</v>
      </c>
      <c r="C3149" t="s">
        <v>568</v>
      </c>
      <c r="D3149" s="453">
        <v>45778</v>
      </c>
      <c r="E3149">
        <v>24326</v>
      </c>
      <c r="F3149" t="s">
        <v>3932</v>
      </c>
      <c r="G3149">
        <v>2499</v>
      </c>
      <c r="H3149">
        <v>8</v>
      </c>
      <c r="I3149" t="s">
        <v>3892</v>
      </c>
      <c r="J3149" t="s">
        <v>3469</v>
      </c>
      <c r="K3149" t="s">
        <v>3750</v>
      </c>
      <c r="L3149">
        <v>2.2000000000000002</v>
      </c>
      <c r="M3149" s="453">
        <v>45775</v>
      </c>
      <c r="N3149">
        <v>2.25</v>
      </c>
      <c r="O3149">
        <v>2.5</v>
      </c>
      <c r="P3149">
        <v>17.600000000000001</v>
      </c>
    </row>
    <row r="3150" spans="1:16" x14ac:dyDescent="0.3">
      <c r="A3150">
        <v>32912</v>
      </c>
      <c r="B3150">
        <v>116</v>
      </c>
      <c r="C3150" t="s">
        <v>568</v>
      </c>
      <c r="D3150" s="453">
        <v>45778</v>
      </c>
      <c r="E3150">
        <v>19689</v>
      </c>
      <c r="F3150" t="s">
        <v>4073</v>
      </c>
      <c r="G3150">
        <v>2551</v>
      </c>
      <c r="H3150">
        <v>2</v>
      </c>
      <c r="I3150" t="s">
        <v>3892</v>
      </c>
      <c r="J3150" t="s">
        <v>3469</v>
      </c>
      <c r="K3150" t="s">
        <v>3750</v>
      </c>
      <c r="L3150">
        <v>8.75</v>
      </c>
      <c r="M3150" s="453">
        <v>45769</v>
      </c>
      <c r="N3150">
        <v>9</v>
      </c>
      <c r="O3150">
        <v>9</v>
      </c>
      <c r="P3150">
        <v>17.5</v>
      </c>
    </row>
    <row r="3151" spans="1:16" x14ac:dyDescent="0.3">
      <c r="A3151">
        <v>32802</v>
      </c>
      <c r="B3151">
        <v>116</v>
      </c>
      <c r="C3151" t="s">
        <v>568</v>
      </c>
      <c r="D3151" s="453">
        <v>45778</v>
      </c>
      <c r="E3151">
        <v>26257</v>
      </c>
      <c r="F3151" t="s">
        <v>4468</v>
      </c>
      <c r="G3151">
        <v>1963</v>
      </c>
      <c r="H3151">
        <v>1</v>
      </c>
      <c r="I3151" t="s">
        <v>3872</v>
      </c>
      <c r="J3151" t="s">
        <v>3469</v>
      </c>
      <c r="K3151" t="s">
        <v>3750</v>
      </c>
      <c r="L3151">
        <v>16.8</v>
      </c>
      <c r="M3151" s="453">
        <v>45763</v>
      </c>
      <c r="N3151">
        <v>16.8</v>
      </c>
      <c r="O3151">
        <v>16.8</v>
      </c>
      <c r="P3151">
        <v>16.8</v>
      </c>
    </row>
    <row r="3152" spans="1:16" x14ac:dyDescent="0.3">
      <c r="A3152">
        <v>32988</v>
      </c>
      <c r="B3152">
        <v>116</v>
      </c>
      <c r="C3152" t="s">
        <v>568</v>
      </c>
      <c r="D3152" s="453">
        <v>45778</v>
      </c>
      <c r="E3152">
        <v>18395</v>
      </c>
      <c r="F3152" t="s">
        <v>4085</v>
      </c>
      <c r="G3152">
        <v>3245</v>
      </c>
      <c r="H3152">
        <v>0.5</v>
      </c>
      <c r="I3152" t="s">
        <v>3878</v>
      </c>
      <c r="J3152" t="s">
        <v>3497</v>
      </c>
      <c r="K3152" t="s">
        <v>3750</v>
      </c>
      <c r="L3152">
        <v>0</v>
      </c>
      <c r="M3152" s="453">
        <v>45569</v>
      </c>
      <c r="N3152">
        <v>32.43</v>
      </c>
      <c r="O3152">
        <v>31.9</v>
      </c>
      <c r="P3152">
        <v>16.22</v>
      </c>
    </row>
    <row r="3153" spans="1:16" x14ac:dyDescent="0.3">
      <c r="A3153">
        <v>33009</v>
      </c>
      <c r="B3153">
        <v>116</v>
      </c>
      <c r="C3153" t="s">
        <v>568</v>
      </c>
      <c r="D3153" s="453">
        <v>45778</v>
      </c>
      <c r="E3153">
        <v>22108</v>
      </c>
      <c r="F3153" t="s">
        <v>3871</v>
      </c>
      <c r="G3153">
        <v>3609</v>
      </c>
      <c r="H3153">
        <v>11</v>
      </c>
      <c r="I3153" t="s">
        <v>3872</v>
      </c>
      <c r="J3153" t="s">
        <v>3497</v>
      </c>
      <c r="K3153" t="s">
        <v>3750</v>
      </c>
      <c r="L3153">
        <v>0</v>
      </c>
      <c r="M3153" s="453">
        <v>45670</v>
      </c>
      <c r="N3153">
        <v>1.42</v>
      </c>
      <c r="O3153">
        <v>1.85</v>
      </c>
      <c r="P3153">
        <v>15.68</v>
      </c>
    </row>
    <row r="3154" spans="1:16" x14ac:dyDescent="0.3">
      <c r="A3154">
        <v>32857</v>
      </c>
      <c r="B3154">
        <v>116</v>
      </c>
      <c r="C3154" t="s">
        <v>568</v>
      </c>
      <c r="D3154" s="453">
        <v>45778</v>
      </c>
      <c r="E3154">
        <v>19973</v>
      </c>
      <c r="F3154" t="s">
        <v>3981</v>
      </c>
      <c r="G3154">
        <v>2354</v>
      </c>
      <c r="H3154">
        <v>1</v>
      </c>
      <c r="I3154" t="s">
        <v>3872</v>
      </c>
      <c r="J3154" t="s">
        <v>3469</v>
      </c>
      <c r="K3154" t="s">
        <v>3750</v>
      </c>
      <c r="L3154">
        <v>0</v>
      </c>
      <c r="M3154" s="453">
        <v>45741</v>
      </c>
      <c r="N3154">
        <v>15.6</v>
      </c>
      <c r="O3154">
        <v>15.2</v>
      </c>
      <c r="P3154">
        <v>15.6</v>
      </c>
    </row>
    <row r="3155" spans="1:16" x14ac:dyDescent="0.3">
      <c r="A3155">
        <v>32877</v>
      </c>
      <c r="B3155">
        <v>116</v>
      </c>
      <c r="C3155" t="s">
        <v>568</v>
      </c>
      <c r="D3155" s="453">
        <v>45778</v>
      </c>
      <c r="E3155">
        <v>20965</v>
      </c>
      <c r="F3155" t="s">
        <v>3969</v>
      </c>
      <c r="G3155">
        <v>2013</v>
      </c>
      <c r="H3155">
        <v>1</v>
      </c>
      <c r="I3155" t="s">
        <v>3872</v>
      </c>
      <c r="J3155" t="s">
        <v>3469</v>
      </c>
      <c r="K3155" t="s">
        <v>3750</v>
      </c>
      <c r="L3155">
        <v>0</v>
      </c>
      <c r="M3155" s="453">
        <v>45706</v>
      </c>
      <c r="N3155">
        <v>14.9</v>
      </c>
      <c r="O3155">
        <v>14.9</v>
      </c>
      <c r="P3155">
        <v>14.9</v>
      </c>
    </row>
    <row r="3156" spans="1:16" x14ac:dyDescent="0.3">
      <c r="A3156">
        <v>32819</v>
      </c>
      <c r="B3156">
        <v>116</v>
      </c>
      <c r="C3156" t="s">
        <v>568</v>
      </c>
      <c r="D3156" s="453">
        <v>45778</v>
      </c>
      <c r="E3156">
        <v>20077</v>
      </c>
      <c r="F3156" t="s">
        <v>4054</v>
      </c>
      <c r="G3156">
        <v>2317</v>
      </c>
      <c r="H3156">
        <v>1</v>
      </c>
      <c r="I3156" t="s">
        <v>3888</v>
      </c>
      <c r="J3156" t="s">
        <v>3469</v>
      </c>
      <c r="K3156" t="s">
        <v>3750</v>
      </c>
      <c r="L3156">
        <v>14.33</v>
      </c>
      <c r="M3156" s="453">
        <v>45755</v>
      </c>
      <c r="N3156">
        <v>15.96</v>
      </c>
      <c r="O3156">
        <v>15.96</v>
      </c>
      <c r="P3156">
        <v>14.33</v>
      </c>
    </row>
    <row r="3157" spans="1:16" x14ac:dyDescent="0.3">
      <c r="A3157">
        <v>32831</v>
      </c>
      <c r="B3157">
        <v>116</v>
      </c>
      <c r="C3157" t="s">
        <v>568</v>
      </c>
      <c r="D3157" s="453">
        <v>45778</v>
      </c>
      <c r="E3157">
        <v>20359</v>
      </c>
      <c r="F3157" t="s">
        <v>3917</v>
      </c>
      <c r="G3157">
        <v>2199</v>
      </c>
      <c r="H3157">
        <v>3</v>
      </c>
      <c r="I3157" t="s">
        <v>3872</v>
      </c>
      <c r="J3157" t="s">
        <v>3469</v>
      </c>
      <c r="K3157" t="s">
        <v>3750</v>
      </c>
      <c r="L3157">
        <v>4.75</v>
      </c>
      <c r="M3157" s="453">
        <v>45756</v>
      </c>
      <c r="N3157">
        <v>4.75</v>
      </c>
      <c r="O3157">
        <v>4.76</v>
      </c>
      <c r="P3157">
        <v>14.25</v>
      </c>
    </row>
    <row r="3158" spans="1:16" x14ac:dyDescent="0.3">
      <c r="A3158">
        <v>32931</v>
      </c>
      <c r="B3158">
        <v>116</v>
      </c>
      <c r="C3158" t="s">
        <v>568</v>
      </c>
      <c r="D3158" s="453">
        <v>45778</v>
      </c>
      <c r="E3158">
        <v>19465</v>
      </c>
      <c r="F3158" t="s">
        <v>4080</v>
      </c>
      <c r="G3158">
        <v>2737</v>
      </c>
      <c r="H3158">
        <v>1.2</v>
      </c>
      <c r="I3158" t="s">
        <v>3892</v>
      </c>
      <c r="J3158" t="s">
        <v>3469</v>
      </c>
      <c r="K3158" t="s">
        <v>3750</v>
      </c>
      <c r="L3158">
        <v>11.8</v>
      </c>
      <c r="M3158" s="453">
        <v>45771</v>
      </c>
      <c r="N3158">
        <v>12</v>
      </c>
      <c r="O3158">
        <v>2.38</v>
      </c>
      <c r="P3158">
        <v>14.16</v>
      </c>
    </row>
    <row r="3159" spans="1:16" x14ac:dyDescent="0.3">
      <c r="A3159">
        <v>32900</v>
      </c>
      <c r="B3159">
        <v>116</v>
      </c>
      <c r="C3159" t="s">
        <v>568</v>
      </c>
      <c r="D3159" s="453">
        <v>45778</v>
      </c>
      <c r="E3159">
        <v>19613</v>
      </c>
      <c r="F3159" t="s">
        <v>4017</v>
      </c>
      <c r="G3159">
        <v>2620</v>
      </c>
      <c r="H3159">
        <v>2</v>
      </c>
      <c r="I3159" t="s">
        <v>3892</v>
      </c>
      <c r="J3159" t="s">
        <v>3469</v>
      </c>
      <c r="K3159" t="s">
        <v>3750</v>
      </c>
      <c r="L3159">
        <v>7</v>
      </c>
      <c r="M3159" s="453">
        <v>45775</v>
      </c>
      <c r="N3159">
        <v>6</v>
      </c>
      <c r="O3159">
        <v>6</v>
      </c>
      <c r="P3159">
        <v>14</v>
      </c>
    </row>
    <row r="3160" spans="1:16" x14ac:dyDescent="0.3">
      <c r="A3160">
        <v>32854</v>
      </c>
      <c r="B3160">
        <v>116</v>
      </c>
      <c r="C3160" t="s">
        <v>568</v>
      </c>
      <c r="D3160" s="453">
        <v>45778</v>
      </c>
      <c r="E3160">
        <v>17024</v>
      </c>
      <c r="F3160" t="s">
        <v>4495</v>
      </c>
      <c r="G3160">
        <v>2113</v>
      </c>
      <c r="H3160">
        <v>2</v>
      </c>
      <c r="I3160" t="s">
        <v>3892</v>
      </c>
      <c r="J3160" t="s">
        <v>3469</v>
      </c>
      <c r="K3160" t="s">
        <v>3750</v>
      </c>
      <c r="L3160">
        <v>6.63</v>
      </c>
      <c r="M3160" s="453">
        <v>45775</v>
      </c>
      <c r="N3160">
        <v>7</v>
      </c>
      <c r="O3160">
        <v>7</v>
      </c>
      <c r="P3160">
        <v>13.26</v>
      </c>
    </row>
    <row r="3161" spans="1:16" x14ac:dyDescent="0.3">
      <c r="A3161">
        <v>32928</v>
      </c>
      <c r="B3161">
        <v>116</v>
      </c>
      <c r="C3161" t="s">
        <v>568</v>
      </c>
      <c r="D3161" s="453">
        <v>45778</v>
      </c>
      <c r="E3161">
        <v>19555</v>
      </c>
      <c r="F3161" t="s">
        <v>4109</v>
      </c>
      <c r="G3161">
        <v>2662</v>
      </c>
      <c r="H3161">
        <v>0.5</v>
      </c>
      <c r="I3161" t="s">
        <v>3892</v>
      </c>
      <c r="J3161" t="s">
        <v>3469</v>
      </c>
      <c r="K3161" t="s">
        <v>3750</v>
      </c>
      <c r="L3161">
        <v>25.33</v>
      </c>
      <c r="M3161" s="453">
        <v>45775</v>
      </c>
      <c r="N3161">
        <v>30</v>
      </c>
      <c r="O3161">
        <v>30</v>
      </c>
      <c r="P3161">
        <v>12.66</v>
      </c>
    </row>
    <row r="3162" spans="1:16" x14ac:dyDescent="0.3">
      <c r="A3162">
        <v>32893</v>
      </c>
      <c r="B3162">
        <v>116</v>
      </c>
      <c r="C3162" t="s">
        <v>568</v>
      </c>
      <c r="D3162" s="453">
        <v>45778</v>
      </c>
      <c r="E3162">
        <v>19634</v>
      </c>
      <c r="F3162" t="s">
        <v>4068</v>
      </c>
      <c r="G3162">
        <v>2602</v>
      </c>
      <c r="H3162">
        <v>2.5</v>
      </c>
      <c r="I3162" t="s">
        <v>3892</v>
      </c>
      <c r="J3162" t="s">
        <v>3469</v>
      </c>
      <c r="K3162" t="s">
        <v>3750</v>
      </c>
      <c r="L3162">
        <v>5.05</v>
      </c>
      <c r="M3162" s="453">
        <v>45769</v>
      </c>
      <c r="N3162">
        <v>6.5</v>
      </c>
      <c r="O3162">
        <v>4.5</v>
      </c>
      <c r="P3162">
        <v>12.62</v>
      </c>
    </row>
    <row r="3163" spans="1:16" x14ac:dyDescent="0.3">
      <c r="A3163">
        <v>32936</v>
      </c>
      <c r="B3163">
        <v>116</v>
      </c>
      <c r="C3163" t="s">
        <v>568</v>
      </c>
      <c r="D3163" s="453">
        <v>45778</v>
      </c>
      <c r="E3163">
        <v>19463</v>
      </c>
      <c r="F3163" t="s">
        <v>4496</v>
      </c>
      <c r="G3163">
        <v>2739</v>
      </c>
      <c r="H3163">
        <v>0.2</v>
      </c>
      <c r="I3163" t="s">
        <v>3892</v>
      </c>
      <c r="J3163" t="s">
        <v>3469</v>
      </c>
      <c r="K3163" t="s">
        <v>3750</v>
      </c>
      <c r="L3163">
        <v>60</v>
      </c>
      <c r="M3163" s="453">
        <v>45761</v>
      </c>
      <c r="N3163">
        <v>60</v>
      </c>
      <c r="O3163">
        <v>50</v>
      </c>
      <c r="P3163">
        <v>12</v>
      </c>
    </row>
    <row r="3164" spans="1:16" x14ac:dyDescent="0.3">
      <c r="A3164">
        <v>32914</v>
      </c>
      <c r="B3164">
        <v>116</v>
      </c>
      <c r="C3164" t="s">
        <v>568</v>
      </c>
      <c r="D3164" s="453">
        <v>45778</v>
      </c>
      <c r="E3164">
        <v>19475</v>
      </c>
      <c r="F3164" t="s">
        <v>4111</v>
      </c>
      <c r="G3164">
        <v>2730</v>
      </c>
      <c r="H3164">
        <v>0.3</v>
      </c>
      <c r="I3164" t="s">
        <v>3892</v>
      </c>
      <c r="J3164" t="s">
        <v>3469</v>
      </c>
      <c r="K3164" t="s">
        <v>3750</v>
      </c>
      <c r="L3164">
        <v>39.880000000000003</v>
      </c>
      <c r="M3164" s="453">
        <v>45775</v>
      </c>
      <c r="N3164">
        <v>45</v>
      </c>
      <c r="O3164">
        <v>55</v>
      </c>
      <c r="P3164">
        <v>11.96</v>
      </c>
    </row>
    <row r="3165" spans="1:16" x14ac:dyDescent="0.3">
      <c r="A3165">
        <v>32908</v>
      </c>
      <c r="B3165">
        <v>116</v>
      </c>
      <c r="C3165" t="s">
        <v>568</v>
      </c>
      <c r="D3165" s="453">
        <v>45778</v>
      </c>
      <c r="E3165">
        <v>19751</v>
      </c>
      <c r="F3165" t="s">
        <v>4019</v>
      </c>
      <c r="G3165">
        <v>2502</v>
      </c>
      <c r="H3165">
        <v>2.2000000000000002</v>
      </c>
      <c r="I3165" t="s">
        <v>3892</v>
      </c>
      <c r="J3165" t="s">
        <v>3469</v>
      </c>
      <c r="K3165" t="s">
        <v>3750</v>
      </c>
      <c r="L3165">
        <v>5.19</v>
      </c>
      <c r="M3165" s="453">
        <v>45771</v>
      </c>
      <c r="N3165">
        <v>9.5</v>
      </c>
      <c r="O3165">
        <v>2.13</v>
      </c>
      <c r="P3165">
        <v>11.42</v>
      </c>
    </row>
    <row r="3166" spans="1:16" x14ac:dyDescent="0.3">
      <c r="A3166">
        <v>32881</v>
      </c>
      <c r="B3166">
        <v>116</v>
      </c>
      <c r="C3166" t="s">
        <v>568</v>
      </c>
      <c r="D3166" s="453">
        <v>45778</v>
      </c>
      <c r="E3166">
        <v>19506</v>
      </c>
      <c r="F3166" t="s">
        <v>4112</v>
      </c>
      <c r="G3166">
        <v>2705</v>
      </c>
      <c r="H3166">
        <v>0.3</v>
      </c>
      <c r="I3166" t="s">
        <v>3892</v>
      </c>
      <c r="J3166" t="s">
        <v>3469</v>
      </c>
      <c r="K3166" t="s">
        <v>3750</v>
      </c>
      <c r="L3166">
        <v>36.1</v>
      </c>
      <c r="M3166" s="453">
        <v>45772</v>
      </c>
      <c r="N3166">
        <v>45</v>
      </c>
      <c r="O3166">
        <v>364</v>
      </c>
      <c r="P3166">
        <v>10.83</v>
      </c>
    </row>
    <row r="3167" spans="1:16" x14ac:dyDescent="0.3">
      <c r="A3167">
        <v>32902</v>
      </c>
      <c r="B3167">
        <v>116</v>
      </c>
      <c r="C3167" t="s">
        <v>568</v>
      </c>
      <c r="D3167" s="453">
        <v>45778</v>
      </c>
      <c r="E3167">
        <v>24598</v>
      </c>
      <c r="F3167" t="s">
        <v>4166</v>
      </c>
      <c r="G3167">
        <v>2725</v>
      </c>
      <c r="H3167">
        <v>1</v>
      </c>
      <c r="I3167" t="s">
        <v>3892</v>
      </c>
      <c r="J3167" t="s">
        <v>3469</v>
      </c>
      <c r="K3167" t="s">
        <v>3750</v>
      </c>
      <c r="L3167">
        <v>10.62</v>
      </c>
      <c r="M3167" s="453">
        <v>45775</v>
      </c>
      <c r="N3167">
        <v>12</v>
      </c>
      <c r="O3167">
        <v>12</v>
      </c>
      <c r="P3167">
        <v>10.62</v>
      </c>
    </row>
    <row r="3168" spans="1:16" x14ac:dyDescent="0.3">
      <c r="A3168">
        <v>32907</v>
      </c>
      <c r="B3168">
        <v>116</v>
      </c>
      <c r="C3168" t="s">
        <v>568</v>
      </c>
      <c r="D3168" s="453">
        <v>45778</v>
      </c>
      <c r="E3168">
        <v>19752</v>
      </c>
      <c r="F3168" t="s">
        <v>4042</v>
      </c>
      <c r="G3168">
        <v>2501</v>
      </c>
      <c r="H3168">
        <v>1.2</v>
      </c>
      <c r="I3168" t="s">
        <v>3892</v>
      </c>
      <c r="J3168" t="s">
        <v>3469</v>
      </c>
      <c r="K3168" t="s">
        <v>3750</v>
      </c>
      <c r="L3168">
        <v>8.6300000000000008</v>
      </c>
      <c r="M3168" s="453">
        <v>45771</v>
      </c>
      <c r="N3168">
        <v>12</v>
      </c>
      <c r="O3168">
        <v>5.17</v>
      </c>
      <c r="P3168">
        <v>10.36</v>
      </c>
    </row>
    <row r="3169" spans="1:16" x14ac:dyDescent="0.3">
      <c r="A3169">
        <v>32892</v>
      </c>
      <c r="B3169">
        <v>116</v>
      </c>
      <c r="C3169" t="s">
        <v>568</v>
      </c>
      <c r="D3169" s="453">
        <v>45778</v>
      </c>
      <c r="E3169">
        <v>19638</v>
      </c>
      <c r="F3169" t="s">
        <v>4497</v>
      </c>
      <c r="G3169">
        <v>2598</v>
      </c>
      <c r="H3169">
        <v>3</v>
      </c>
      <c r="I3169" t="s">
        <v>3892</v>
      </c>
      <c r="J3169" t="s">
        <v>3469</v>
      </c>
      <c r="K3169" t="s">
        <v>3750</v>
      </c>
      <c r="L3169">
        <v>3.35</v>
      </c>
      <c r="M3169" s="453">
        <v>45771</v>
      </c>
      <c r="N3169">
        <v>2.2999999999999998</v>
      </c>
      <c r="O3169">
        <v>2.75</v>
      </c>
      <c r="P3169">
        <v>10.050000000000001</v>
      </c>
    </row>
    <row r="3170" spans="1:16" x14ac:dyDescent="0.3">
      <c r="A3170">
        <v>32937</v>
      </c>
      <c r="B3170">
        <v>116</v>
      </c>
      <c r="C3170" t="s">
        <v>568</v>
      </c>
      <c r="D3170" s="453">
        <v>45778</v>
      </c>
      <c r="E3170">
        <v>19710</v>
      </c>
      <c r="F3170" t="s">
        <v>4106</v>
      </c>
      <c r="G3170">
        <v>2540</v>
      </c>
      <c r="H3170">
        <v>0.4</v>
      </c>
      <c r="I3170" t="s">
        <v>3888</v>
      </c>
      <c r="J3170" t="s">
        <v>3469</v>
      </c>
      <c r="K3170" t="s">
        <v>3750</v>
      </c>
      <c r="L3170">
        <v>0</v>
      </c>
      <c r="M3170" s="453">
        <v>45699</v>
      </c>
      <c r="N3170">
        <v>24.5</v>
      </c>
      <c r="O3170">
        <v>23.9</v>
      </c>
      <c r="P3170">
        <v>9.8000000000000007</v>
      </c>
    </row>
    <row r="3171" spans="1:16" x14ac:dyDescent="0.3">
      <c r="A3171">
        <v>32930</v>
      </c>
      <c r="B3171">
        <v>116</v>
      </c>
      <c r="C3171" t="s">
        <v>568</v>
      </c>
      <c r="D3171" s="453">
        <v>45778</v>
      </c>
      <c r="E3171">
        <v>19468</v>
      </c>
      <c r="F3171" t="s">
        <v>4079</v>
      </c>
      <c r="G3171">
        <v>2736</v>
      </c>
      <c r="H3171">
        <v>0.7</v>
      </c>
      <c r="I3171" t="s">
        <v>3892</v>
      </c>
      <c r="J3171" t="s">
        <v>3469</v>
      </c>
      <c r="K3171" t="s">
        <v>3750</v>
      </c>
      <c r="L3171">
        <v>13.86</v>
      </c>
      <c r="M3171" s="453">
        <v>45775</v>
      </c>
      <c r="N3171">
        <v>9</v>
      </c>
      <c r="O3171">
        <v>8.5</v>
      </c>
      <c r="P3171">
        <v>9.6999999999999993</v>
      </c>
    </row>
    <row r="3172" spans="1:16" x14ac:dyDescent="0.3">
      <c r="A3172">
        <v>32882</v>
      </c>
      <c r="B3172">
        <v>116</v>
      </c>
      <c r="C3172" t="s">
        <v>568</v>
      </c>
      <c r="D3172" s="453">
        <v>45778</v>
      </c>
      <c r="E3172">
        <v>19505</v>
      </c>
      <c r="F3172" t="s">
        <v>4101</v>
      </c>
      <c r="G3172">
        <v>2706</v>
      </c>
      <c r="H3172">
        <v>0.9</v>
      </c>
      <c r="I3172" t="s">
        <v>3892</v>
      </c>
      <c r="J3172" t="s">
        <v>3469</v>
      </c>
      <c r="K3172" t="s">
        <v>3750</v>
      </c>
      <c r="L3172">
        <v>10.029999999999999</v>
      </c>
      <c r="M3172" s="453">
        <v>45775</v>
      </c>
      <c r="N3172">
        <v>8</v>
      </c>
      <c r="O3172">
        <v>7.74</v>
      </c>
      <c r="P3172">
        <v>9.0299999999999994</v>
      </c>
    </row>
    <row r="3173" spans="1:16" x14ac:dyDescent="0.3">
      <c r="A3173">
        <v>32899</v>
      </c>
      <c r="B3173">
        <v>116</v>
      </c>
      <c r="C3173" t="s">
        <v>568</v>
      </c>
      <c r="D3173" s="453">
        <v>45778</v>
      </c>
      <c r="E3173">
        <v>19621</v>
      </c>
      <c r="F3173" t="s">
        <v>4125</v>
      </c>
      <c r="G3173">
        <v>2613</v>
      </c>
      <c r="H3173">
        <v>2</v>
      </c>
      <c r="I3173" t="s">
        <v>3892</v>
      </c>
      <c r="J3173" t="s">
        <v>3469</v>
      </c>
      <c r="K3173" t="s">
        <v>3750</v>
      </c>
      <c r="L3173">
        <v>4.2</v>
      </c>
      <c r="M3173" s="453">
        <v>45772</v>
      </c>
      <c r="N3173">
        <v>1.9</v>
      </c>
      <c r="O3173">
        <v>0.97</v>
      </c>
      <c r="P3173">
        <v>8.4</v>
      </c>
    </row>
    <row r="3174" spans="1:16" x14ac:dyDescent="0.3">
      <c r="A3174">
        <v>32927</v>
      </c>
      <c r="B3174">
        <v>116</v>
      </c>
      <c r="C3174" t="s">
        <v>568</v>
      </c>
      <c r="D3174" s="453">
        <v>45778</v>
      </c>
      <c r="E3174">
        <v>19558</v>
      </c>
      <c r="F3174" t="s">
        <v>4183</v>
      </c>
      <c r="G3174">
        <v>2659</v>
      </c>
      <c r="H3174">
        <v>0.5</v>
      </c>
      <c r="I3174" t="s">
        <v>3892</v>
      </c>
      <c r="J3174" t="s">
        <v>3469</v>
      </c>
      <c r="K3174" t="s">
        <v>3750</v>
      </c>
      <c r="L3174">
        <v>16.29</v>
      </c>
      <c r="M3174" s="453">
        <v>45771</v>
      </c>
      <c r="N3174">
        <v>14</v>
      </c>
      <c r="O3174">
        <v>7.5</v>
      </c>
      <c r="P3174">
        <v>8.14</v>
      </c>
    </row>
    <row r="3175" spans="1:16" x14ac:dyDescent="0.3">
      <c r="A3175">
        <v>32929</v>
      </c>
      <c r="B3175">
        <v>116</v>
      </c>
      <c r="C3175" t="s">
        <v>568</v>
      </c>
      <c r="D3175" s="453">
        <v>45778</v>
      </c>
      <c r="E3175">
        <v>19553</v>
      </c>
      <c r="F3175" t="s">
        <v>4078</v>
      </c>
      <c r="G3175">
        <v>2663</v>
      </c>
      <c r="H3175">
        <v>1.5</v>
      </c>
      <c r="I3175" t="s">
        <v>3892</v>
      </c>
      <c r="J3175" t="s">
        <v>3469</v>
      </c>
      <c r="K3175" t="s">
        <v>3750</v>
      </c>
      <c r="L3175">
        <v>4.75</v>
      </c>
      <c r="M3175" s="453">
        <v>45769</v>
      </c>
      <c r="N3175">
        <v>3.5</v>
      </c>
      <c r="O3175">
        <v>3.2</v>
      </c>
      <c r="P3175">
        <v>7.12</v>
      </c>
    </row>
    <row r="3176" spans="1:16" x14ac:dyDescent="0.3">
      <c r="A3176">
        <v>32913</v>
      </c>
      <c r="B3176">
        <v>116</v>
      </c>
      <c r="C3176" t="s">
        <v>568</v>
      </c>
      <c r="D3176" s="453">
        <v>45778</v>
      </c>
      <c r="E3176">
        <v>23347</v>
      </c>
      <c r="F3176" t="s">
        <v>4074</v>
      </c>
      <c r="G3176">
        <v>2511</v>
      </c>
      <c r="H3176">
        <v>1</v>
      </c>
      <c r="I3176" t="s">
        <v>3892</v>
      </c>
      <c r="J3176" t="s">
        <v>3469</v>
      </c>
      <c r="K3176" t="s">
        <v>3750</v>
      </c>
      <c r="L3176">
        <v>0</v>
      </c>
      <c r="M3176" s="453">
        <v>45677</v>
      </c>
      <c r="N3176">
        <v>6.8</v>
      </c>
      <c r="O3176">
        <v>6.8</v>
      </c>
      <c r="P3176">
        <v>6.8</v>
      </c>
    </row>
    <row r="3177" spans="1:16" x14ac:dyDescent="0.3">
      <c r="A3177">
        <v>32864</v>
      </c>
      <c r="B3177">
        <v>116</v>
      </c>
      <c r="C3177" t="s">
        <v>568</v>
      </c>
      <c r="D3177" s="453">
        <v>45778</v>
      </c>
      <c r="E3177">
        <v>19935</v>
      </c>
      <c r="F3177" t="s">
        <v>4469</v>
      </c>
      <c r="G3177">
        <v>2368</v>
      </c>
      <c r="H3177">
        <v>1</v>
      </c>
      <c r="I3177" t="s">
        <v>3888</v>
      </c>
      <c r="J3177" t="s">
        <v>3469</v>
      </c>
      <c r="K3177" t="s">
        <v>3750</v>
      </c>
      <c r="L3177">
        <v>0</v>
      </c>
      <c r="M3177" s="453">
        <v>45629</v>
      </c>
      <c r="N3177">
        <v>6.5</v>
      </c>
      <c r="O3177">
        <v>6.5</v>
      </c>
      <c r="P3177">
        <v>6.5</v>
      </c>
    </row>
    <row r="3178" spans="1:16" x14ac:dyDescent="0.3">
      <c r="A3178">
        <v>32884</v>
      </c>
      <c r="B3178">
        <v>116</v>
      </c>
      <c r="C3178" t="s">
        <v>568</v>
      </c>
      <c r="D3178" s="453">
        <v>45778</v>
      </c>
      <c r="E3178">
        <v>19498</v>
      </c>
      <c r="F3178" t="s">
        <v>4065</v>
      </c>
      <c r="G3178">
        <v>2712</v>
      </c>
      <c r="H3178">
        <v>0.5</v>
      </c>
      <c r="I3178" t="s">
        <v>3892</v>
      </c>
      <c r="J3178" t="s">
        <v>3469</v>
      </c>
      <c r="K3178" t="s">
        <v>3750</v>
      </c>
      <c r="L3178">
        <v>13</v>
      </c>
      <c r="M3178" s="453">
        <v>45761</v>
      </c>
      <c r="N3178">
        <v>13</v>
      </c>
      <c r="O3178">
        <v>13</v>
      </c>
      <c r="P3178">
        <v>6.5</v>
      </c>
    </row>
    <row r="3179" spans="1:16" x14ac:dyDescent="0.3">
      <c r="A3179">
        <v>32904</v>
      </c>
      <c r="B3179">
        <v>116</v>
      </c>
      <c r="C3179" t="s">
        <v>568</v>
      </c>
      <c r="D3179" s="453">
        <v>45778</v>
      </c>
      <c r="E3179">
        <v>19607</v>
      </c>
      <c r="F3179" t="s">
        <v>4105</v>
      </c>
      <c r="G3179">
        <v>2623</v>
      </c>
      <c r="H3179">
        <v>0.4</v>
      </c>
      <c r="I3179" t="s">
        <v>3892</v>
      </c>
      <c r="J3179" t="s">
        <v>3469</v>
      </c>
      <c r="K3179" t="s">
        <v>3750</v>
      </c>
      <c r="L3179">
        <v>14</v>
      </c>
      <c r="M3179" s="453">
        <v>45775</v>
      </c>
      <c r="N3179">
        <v>14</v>
      </c>
      <c r="O3179">
        <v>13</v>
      </c>
      <c r="P3179">
        <v>5.6</v>
      </c>
    </row>
    <row r="3180" spans="1:16" x14ac:dyDescent="0.3">
      <c r="A3180">
        <v>32890</v>
      </c>
      <c r="B3180">
        <v>116</v>
      </c>
      <c r="C3180" t="s">
        <v>568</v>
      </c>
      <c r="D3180" s="453">
        <v>45778</v>
      </c>
      <c r="E3180">
        <v>19642</v>
      </c>
      <c r="F3180" t="s">
        <v>4067</v>
      </c>
      <c r="G3180">
        <v>2596</v>
      </c>
      <c r="H3180">
        <v>1</v>
      </c>
      <c r="I3180" t="s">
        <v>3892</v>
      </c>
      <c r="J3180" t="s">
        <v>3469</v>
      </c>
      <c r="K3180" t="s">
        <v>3750</v>
      </c>
      <c r="L3180">
        <v>5.43</v>
      </c>
      <c r="M3180" s="453">
        <v>45772</v>
      </c>
      <c r="N3180">
        <v>4.8</v>
      </c>
      <c r="O3180">
        <v>5.2</v>
      </c>
      <c r="P3180">
        <v>5.43</v>
      </c>
    </row>
    <row r="3181" spans="1:16" x14ac:dyDescent="0.3">
      <c r="A3181">
        <v>32905</v>
      </c>
      <c r="B3181">
        <v>116</v>
      </c>
      <c r="C3181" t="s">
        <v>568</v>
      </c>
      <c r="D3181" s="453">
        <v>45778</v>
      </c>
      <c r="E3181">
        <v>19480</v>
      </c>
      <c r="F3181" t="s">
        <v>4113</v>
      </c>
      <c r="G3181">
        <v>2726</v>
      </c>
      <c r="H3181">
        <v>0.2</v>
      </c>
      <c r="I3181" t="s">
        <v>3892</v>
      </c>
      <c r="J3181" t="s">
        <v>3469</v>
      </c>
      <c r="K3181" t="s">
        <v>3750</v>
      </c>
      <c r="L3181">
        <v>26.27</v>
      </c>
      <c r="M3181" s="453">
        <v>45772</v>
      </c>
      <c r="N3181">
        <v>13</v>
      </c>
      <c r="O3181">
        <v>13</v>
      </c>
      <c r="P3181">
        <v>5.25</v>
      </c>
    </row>
    <row r="3182" spans="1:16" x14ac:dyDescent="0.3">
      <c r="A3182">
        <v>32883</v>
      </c>
      <c r="B3182">
        <v>116</v>
      </c>
      <c r="C3182" t="s">
        <v>568</v>
      </c>
      <c r="D3182" s="453">
        <v>45778</v>
      </c>
      <c r="E3182">
        <v>19503</v>
      </c>
      <c r="F3182" t="s">
        <v>4498</v>
      </c>
      <c r="G3182">
        <v>2707</v>
      </c>
      <c r="H3182">
        <v>0.6</v>
      </c>
      <c r="I3182" t="s">
        <v>3892</v>
      </c>
      <c r="J3182" t="s">
        <v>3469</v>
      </c>
      <c r="K3182" t="s">
        <v>3750</v>
      </c>
      <c r="L3182">
        <v>7.72</v>
      </c>
      <c r="M3182" s="453">
        <v>45775</v>
      </c>
      <c r="N3182">
        <v>7</v>
      </c>
      <c r="O3182">
        <v>8</v>
      </c>
      <c r="P3182">
        <v>4.63</v>
      </c>
    </row>
    <row r="3183" spans="1:16" x14ac:dyDescent="0.3">
      <c r="A3183">
        <v>32898</v>
      </c>
      <c r="B3183">
        <v>116</v>
      </c>
      <c r="C3183" t="s">
        <v>568</v>
      </c>
      <c r="D3183" s="453">
        <v>45778</v>
      </c>
      <c r="E3183">
        <v>19488</v>
      </c>
      <c r="F3183" t="s">
        <v>4070</v>
      </c>
      <c r="G3183">
        <v>2720</v>
      </c>
      <c r="H3183">
        <v>0.2</v>
      </c>
      <c r="I3183" t="s">
        <v>3892</v>
      </c>
      <c r="J3183" t="s">
        <v>3469</v>
      </c>
      <c r="K3183" t="s">
        <v>3750</v>
      </c>
      <c r="L3183">
        <v>10.31</v>
      </c>
      <c r="M3183" s="453">
        <v>45775</v>
      </c>
      <c r="N3183">
        <v>9</v>
      </c>
      <c r="O3183">
        <v>10.23</v>
      </c>
      <c r="P3183">
        <v>2.06</v>
      </c>
    </row>
    <row r="3184" spans="1:16" x14ac:dyDescent="0.3">
      <c r="A3184">
        <v>27983</v>
      </c>
      <c r="B3184">
        <v>116</v>
      </c>
      <c r="C3184" t="s">
        <v>568</v>
      </c>
      <c r="D3184" s="453">
        <v>45748</v>
      </c>
      <c r="E3184">
        <v>18640</v>
      </c>
      <c r="F3184" t="s">
        <v>3994</v>
      </c>
      <c r="G3184">
        <v>3074</v>
      </c>
      <c r="H3184">
        <v>13</v>
      </c>
      <c r="I3184" t="s">
        <v>3922</v>
      </c>
      <c r="J3184" t="s">
        <v>3497</v>
      </c>
      <c r="K3184" t="s">
        <v>3701</v>
      </c>
      <c r="L3184">
        <v>272.89</v>
      </c>
      <c r="M3184" s="453">
        <v>45743</v>
      </c>
      <c r="N3184">
        <v>276.43</v>
      </c>
      <c r="O3184">
        <v>276.43</v>
      </c>
      <c r="P3184">
        <v>3547.57</v>
      </c>
    </row>
    <row r="3185" spans="1:16" x14ac:dyDescent="0.3">
      <c r="A3185">
        <v>27958</v>
      </c>
      <c r="B3185">
        <v>116</v>
      </c>
      <c r="C3185" t="s">
        <v>568</v>
      </c>
      <c r="D3185" s="453">
        <v>45748</v>
      </c>
      <c r="E3185">
        <v>18791</v>
      </c>
      <c r="F3185" t="s">
        <v>4476</v>
      </c>
      <c r="G3185">
        <v>2982</v>
      </c>
      <c r="H3185">
        <v>1.1000000000000001</v>
      </c>
      <c r="I3185" t="s">
        <v>3881</v>
      </c>
      <c r="J3185" t="s">
        <v>3469</v>
      </c>
      <c r="K3185" t="s">
        <v>3701</v>
      </c>
      <c r="L3185">
        <v>3000</v>
      </c>
      <c r="M3185" s="453">
        <v>45727</v>
      </c>
      <c r="N3185">
        <v>3000</v>
      </c>
      <c r="O3185">
        <v>3000</v>
      </c>
      <c r="P3185">
        <v>3300</v>
      </c>
    </row>
    <row r="3186" spans="1:16" x14ac:dyDescent="0.3">
      <c r="A3186">
        <v>28008</v>
      </c>
      <c r="B3186">
        <v>116</v>
      </c>
      <c r="C3186" t="s">
        <v>568</v>
      </c>
      <c r="D3186" s="453">
        <v>45748</v>
      </c>
      <c r="E3186">
        <v>18247</v>
      </c>
      <c r="F3186" t="s">
        <v>3877</v>
      </c>
      <c r="G3186">
        <v>3383</v>
      </c>
      <c r="H3186">
        <v>41.5</v>
      </c>
      <c r="I3186" t="s">
        <v>3878</v>
      </c>
      <c r="J3186" t="s">
        <v>3497</v>
      </c>
      <c r="K3186" t="s">
        <v>3701</v>
      </c>
      <c r="L3186">
        <v>0</v>
      </c>
      <c r="M3186" s="453">
        <v>-693593</v>
      </c>
      <c r="N3186">
        <v>0</v>
      </c>
      <c r="O3186">
        <v>0</v>
      </c>
      <c r="P3186">
        <v>2755.6</v>
      </c>
    </row>
    <row r="3187" spans="1:16" x14ac:dyDescent="0.3">
      <c r="A3187">
        <v>27978</v>
      </c>
      <c r="B3187">
        <v>116</v>
      </c>
      <c r="C3187" t="s">
        <v>568</v>
      </c>
      <c r="D3187" s="453">
        <v>45748</v>
      </c>
      <c r="E3187">
        <v>25543</v>
      </c>
      <c r="F3187" t="s">
        <v>4477</v>
      </c>
      <c r="G3187">
        <v>6161</v>
      </c>
      <c r="H3187">
        <v>12</v>
      </c>
      <c r="I3187" t="s">
        <v>3892</v>
      </c>
      <c r="J3187" t="s">
        <v>3469</v>
      </c>
      <c r="K3187" t="s">
        <v>3701</v>
      </c>
      <c r="L3187">
        <v>0</v>
      </c>
      <c r="M3187" s="453">
        <v>-693593</v>
      </c>
      <c r="N3187">
        <v>0</v>
      </c>
      <c r="O3187">
        <v>0</v>
      </c>
      <c r="P3187">
        <v>2268</v>
      </c>
    </row>
    <row r="3188" spans="1:16" x14ac:dyDescent="0.3">
      <c r="A3188">
        <v>27878</v>
      </c>
      <c r="B3188">
        <v>116</v>
      </c>
      <c r="C3188" t="s">
        <v>568</v>
      </c>
      <c r="D3188" s="453">
        <v>45748</v>
      </c>
      <c r="E3188">
        <v>20621</v>
      </c>
      <c r="F3188" t="s">
        <v>3885</v>
      </c>
      <c r="G3188">
        <v>2117</v>
      </c>
      <c r="H3188">
        <v>33</v>
      </c>
      <c r="I3188" t="s">
        <v>3886</v>
      </c>
      <c r="J3188" t="s">
        <v>3469</v>
      </c>
      <c r="K3188" t="s">
        <v>3701</v>
      </c>
      <c r="L3188">
        <v>0</v>
      </c>
      <c r="M3188" s="453">
        <v>45707</v>
      </c>
      <c r="N3188">
        <v>35</v>
      </c>
      <c r="O3188">
        <v>22.24</v>
      </c>
      <c r="P3188">
        <v>1155</v>
      </c>
    </row>
    <row r="3189" spans="1:16" x14ac:dyDescent="0.3">
      <c r="A3189">
        <v>27961</v>
      </c>
      <c r="B3189">
        <v>116</v>
      </c>
      <c r="C3189" t="s">
        <v>568</v>
      </c>
      <c r="D3189" s="453">
        <v>45748</v>
      </c>
      <c r="E3189">
        <v>18948</v>
      </c>
      <c r="F3189" t="s">
        <v>3961</v>
      </c>
      <c r="G3189">
        <v>2927</v>
      </c>
      <c r="H3189">
        <v>17.3</v>
      </c>
      <c r="I3189" t="s">
        <v>3892</v>
      </c>
      <c r="J3189" t="s">
        <v>3469</v>
      </c>
      <c r="K3189" t="s">
        <v>3701</v>
      </c>
      <c r="L3189">
        <v>65.91</v>
      </c>
      <c r="M3189" s="453">
        <v>45735</v>
      </c>
      <c r="N3189">
        <v>65.91</v>
      </c>
      <c r="O3189">
        <v>65.91</v>
      </c>
      <c r="P3189">
        <v>1140.24</v>
      </c>
    </row>
    <row r="3190" spans="1:16" x14ac:dyDescent="0.3">
      <c r="A3190">
        <v>27991</v>
      </c>
      <c r="B3190">
        <v>116</v>
      </c>
      <c r="C3190" t="s">
        <v>568</v>
      </c>
      <c r="D3190" s="453">
        <v>45748</v>
      </c>
      <c r="E3190">
        <v>22515</v>
      </c>
      <c r="F3190" t="s">
        <v>3883</v>
      </c>
      <c r="G3190">
        <v>3202</v>
      </c>
      <c r="H3190">
        <v>27.6</v>
      </c>
      <c r="I3190" t="s">
        <v>3884</v>
      </c>
      <c r="J3190" t="s">
        <v>3497</v>
      </c>
      <c r="K3190" t="s">
        <v>3701</v>
      </c>
      <c r="L3190">
        <v>0</v>
      </c>
      <c r="M3190" s="453">
        <v>45671</v>
      </c>
      <c r="N3190">
        <v>38</v>
      </c>
      <c r="O3190">
        <v>38</v>
      </c>
      <c r="P3190">
        <v>1048.8</v>
      </c>
    </row>
    <row r="3191" spans="1:16" x14ac:dyDescent="0.3">
      <c r="A3191">
        <v>27857</v>
      </c>
      <c r="B3191">
        <v>116</v>
      </c>
      <c r="C3191" t="s">
        <v>568</v>
      </c>
      <c r="D3191" s="453">
        <v>45748</v>
      </c>
      <c r="E3191">
        <v>20539</v>
      </c>
      <c r="F3191" t="s">
        <v>3908</v>
      </c>
      <c r="G3191">
        <v>2145</v>
      </c>
      <c r="H3191">
        <v>25.8</v>
      </c>
      <c r="I3191" t="s">
        <v>3892</v>
      </c>
      <c r="J3191" t="s">
        <v>3469</v>
      </c>
      <c r="K3191" t="s">
        <v>3701</v>
      </c>
      <c r="L3191">
        <v>40.4</v>
      </c>
      <c r="M3191" s="453">
        <v>45741</v>
      </c>
      <c r="N3191">
        <v>40.4</v>
      </c>
      <c r="O3191">
        <v>40.4</v>
      </c>
      <c r="P3191">
        <v>1042.32</v>
      </c>
    </row>
    <row r="3192" spans="1:16" x14ac:dyDescent="0.3">
      <c r="A3192">
        <v>27965</v>
      </c>
      <c r="B3192">
        <v>116</v>
      </c>
      <c r="C3192" t="s">
        <v>568</v>
      </c>
      <c r="D3192" s="453">
        <v>45748</v>
      </c>
      <c r="E3192">
        <v>22763</v>
      </c>
      <c r="F3192" t="s">
        <v>4486</v>
      </c>
      <c r="G3192">
        <v>3002</v>
      </c>
      <c r="H3192">
        <v>9.1</v>
      </c>
      <c r="I3192" t="s">
        <v>3892</v>
      </c>
      <c r="J3192" t="s">
        <v>3469</v>
      </c>
      <c r="K3192" t="s">
        <v>3701</v>
      </c>
      <c r="L3192">
        <v>0</v>
      </c>
      <c r="M3192" s="453">
        <v>45713</v>
      </c>
      <c r="N3192">
        <v>112</v>
      </c>
      <c r="O3192">
        <v>108</v>
      </c>
      <c r="P3192">
        <v>1019.2</v>
      </c>
    </row>
    <row r="3193" spans="1:16" x14ac:dyDescent="0.3">
      <c r="A3193">
        <v>27984</v>
      </c>
      <c r="B3193">
        <v>116</v>
      </c>
      <c r="C3193" t="s">
        <v>568</v>
      </c>
      <c r="D3193" s="453">
        <v>45748</v>
      </c>
      <c r="E3193">
        <v>18636</v>
      </c>
      <c r="F3193" t="s">
        <v>3921</v>
      </c>
      <c r="G3193">
        <v>3075</v>
      </c>
      <c r="H3193">
        <v>2</v>
      </c>
      <c r="I3193" t="s">
        <v>3922</v>
      </c>
      <c r="J3193" t="s">
        <v>3497</v>
      </c>
      <c r="K3193" t="s">
        <v>3701</v>
      </c>
      <c r="L3193">
        <v>442.89</v>
      </c>
      <c r="M3193" s="453">
        <v>45743</v>
      </c>
      <c r="N3193">
        <v>446.16</v>
      </c>
      <c r="O3193">
        <v>446.16</v>
      </c>
      <c r="P3193">
        <v>885.78</v>
      </c>
    </row>
    <row r="3194" spans="1:16" x14ac:dyDescent="0.3">
      <c r="A3194">
        <v>27859</v>
      </c>
      <c r="B3194">
        <v>116</v>
      </c>
      <c r="C3194" t="s">
        <v>568</v>
      </c>
      <c r="D3194" s="453">
        <v>45748</v>
      </c>
      <c r="E3194">
        <v>20519</v>
      </c>
      <c r="F3194" t="s">
        <v>3902</v>
      </c>
      <c r="G3194">
        <v>2150</v>
      </c>
      <c r="H3194">
        <v>22.5</v>
      </c>
      <c r="I3194" t="s">
        <v>3892</v>
      </c>
      <c r="J3194" t="s">
        <v>3469</v>
      </c>
      <c r="K3194" t="s">
        <v>3701</v>
      </c>
      <c r="L3194">
        <v>36.4</v>
      </c>
      <c r="M3194" s="453">
        <v>45743</v>
      </c>
      <c r="N3194">
        <v>36.4</v>
      </c>
      <c r="O3194">
        <v>36.4</v>
      </c>
      <c r="P3194">
        <v>819</v>
      </c>
    </row>
    <row r="3195" spans="1:16" x14ac:dyDescent="0.3">
      <c r="A3195">
        <v>27966</v>
      </c>
      <c r="B3195">
        <v>116</v>
      </c>
      <c r="C3195" t="s">
        <v>568</v>
      </c>
      <c r="D3195" s="453">
        <v>45748</v>
      </c>
      <c r="E3195">
        <v>18883</v>
      </c>
      <c r="F3195" t="s">
        <v>4478</v>
      </c>
      <c r="G3195">
        <v>2938</v>
      </c>
      <c r="H3195">
        <v>9.6999999999999993</v>
      </c>
      <c r="I3195" t="s">
        <v>3892</v>
      </c>
      <c r="J3195" t="s">
        <v>3469</v>
      </c>
      <c r="K3195" t="s">
        <v>3701</v>
      </c>
      <c r="L3195">
        <v>0</v>
      </c>
      <c r="M3195" s="453">
        <v>45677</v>
      </c>
      <c r="N3195">
        <v>79.5</v>
      </c>
      <c r="O3195">
        <v>79.900000000000006</v>
      </c>
      <c r="P3195">
        <v>771.15</v>
      </c>
    </row>
    <row r="3196" spans="1:16" x14ac:dyDescent="0.3">
      <c r="A3196">
        <v>27837</v>
      </c>
      <c r="B3196">
        <v>116</v>
      </c>
      <c r="C3196" t="s">
        <v>568</v>
      </c>
      <c r="D3196" s="453">
        <v>45748</v>
      </c>
      <c r="E3196">
        <v>20703</v>
      </c>
      <c r="F3196" t="s">
        <v>3893</v>
      </c>
      <c r="G3196">
        <v>2100</v>
      </c>
      <c r="H3196">
        <v>55</v>
      </c>
      <c r="I3196" t="s">
        <v>3886</v>
      </c>
      <c r="J3196" t="s">
        <v>3469</v>
      </c>
      <c r="K3196" t="s">
        <v>3701</v>
      </c>
      <c r="L3196">
        <v>0</v>
      </c>
      <c r="M3196" s="453">
        <v>45714</v>
      </c>
      <c r="N3196">
        <v>12.8</v>
      </c>
      <c r="O3196">
        <v>13.86</v>
      </c>
      <c r="P3196">
        <v>704</v>
      </c>
    </row>
    <row r="3197" spans="1:16" x14ac:dyDescent="0.3">
      <c r="A3197">
        <v>28023</v>
      </c>
      <c r="B3197">
        <v>116</v>
      </c>
      <c r="C3197" t="s">
        <v>568</v>
      </c>
      <c r="D3197" s="453">
        <v>45748</v>
      </c>
      <c r="E3197">
        <v>21984</v>
      </c>
      <c r="F3197" t="s">
        <v>4487</v>
      </c>
      <c r="G3197">
        <v>3709</v>
      </c>
      <c r="H3197">
        <v>5.0999999999999996</v>
      </c>
      <c r="I3197" t="s">
        <v>3881</v>
      </c>
      <c r="J3197" t="s">
        <v>3497</v>
      </c>
      <c r="K3197" t="s">
        <v>3701</v>
      </c>
      <c r="L3197">
        <v>0</v>
      </c>
      <c r="M3197" s="453">
        <v>-693593</v>
      </c>
      <c r="N3197">
        <v>0</v>
      </c>
      <c r="O3197">
        <v>120</v>
      </c>
      <c r="P3197">
        <v>612</v>
      </c>
    </row>
    <row r="3198" spans="1:16" x14ac:dyDescent="0.3">
      <c r="A3198">
        <v>27964</v>
      </c>
      <c r="B3198">
        <v>116</v>
      </c>
      <c r="C3198" t="s">
        <v>568</v>
      </c>
      <c r="D3198" s="453">
        <v>45748</v>
      </c>
      <c r="E3198">
        <v>18774</v>
      </c>
      <c r="F3198" t="s">
        <v>4489</v>
      </c>
      <c r="G3198">
        <v>2993</v>
      </c>
      <c r="H3198">
        <v>8.5</v>
      </c>
      <c r="I3198" t="s">
        <v>3892</v>
      </c>
      <c r="J3198" t="s">
        <v>3469</v>
      </c>
      <c r="K3198" t="s">
        <v>3701</v>
      </c>
      <c r="L3198">
        <v>0</v>
      </c>
      <c r="M3198" s="453">
        <v>45670</v>
      </c>
      <c r="N3198">
        <v>67.900000000000006</v>
      </c>
      <c r="O3198">
        <v>67.900000000000006</v>
      </c>
      <c r="P3198">
        <v>577.15</v>
      </c>
    </row>
    <row r="3199" spans="1:16" x14ac:dyDescent="0.3">
      <c r="A3199">
        <v>27954</v>
      </c>
      <c r="B3199">
        <v>116</v>
      </c>
      <c r="C3199" t="s">
        <v>568</v>
      </c>
      <c r="D3199" s="453">
        <v>45748</v>
      </c>
      <c r="E3199">
        <v>19297</v>
      </c>
      <c r="F3199" t="s">
        <v>3949</v>
      </c>
      <c r="G3199">
        <v>2775</v>
      </c>
      <c r="H3199">
        <v>7.5</v>
      </c>
      <c r="I3199" t="s">
        <v>3892</v>
      </c>
      <c r="J3199" t="s">
        <v>3469</v>
      </c>
      <c r="K3199" t="s">
        <v>3701</v>
      </c>
      <c r="L3199">
        <v>72.25</v>
      </c>
      <c r="M3199" s="453">
        <v>45740</v>
      </c>
      <c r="N3199">
        <v>72.25</v>
      </c>
      <c r="O3199">
        <v>70.39</v>
      </c>
      <c r="P3199">
        <v>541.88</v>
      </c>
    </row>
    <row r="3200" spans="1:16" x14ac:dyDescent="0.3">
      <c r="A3200">
        <v>27969</v>
      </c>
      <c r="B3200">
        <v>116</v>
      </c>
      <c r="C3200" t="s">
        <v>568</v>
      </c>
      <c r="D3200" s="453">
        <v>45748</v>
      </c>
      <c r="E3200">
        <v>24320</v>
      </c>
      <c r="F3200" t="s">
        <v>4160</v>
      </c>
      <c r="G3200">
        <v>2942</v>
      </c>
      <c r="H3200">
        <v>13.8</v>
      </c>
      <c r="I3200" t="s">
        <v>3892</v>
      </c>
      <c r="J3200" t="s">
        <v>3469</v>
      </c>
      <c r="K3200" t="s">
        <v>3701</v>
      </c>
      <c r="L3200">
        <v>39.020000000000003</v>
      </c>
      <c r="M3200" s="453">
        <v>45741</v>
      </c>
      <c r="N3200">
        <v>33.5</v>
      </c>
      <c r="O3200">
        <v>47.9</v>
      </c>
      <c r="P3200">
        <v>538.48</v>
      </c>
    </row>
    <row r="3201" spans="1:16" x14ac:dyDescent="0.3">
      <c r="A3201">
        <v>27827</v>
      </c>
      <c r="B3201">
        <v>116</v>
      </c>
      <c r="C3201" t="s">
        <v>568</v>
      </c>
      <c r="D3201" s="453">
        <v>45748</v>
      </c>
      <c r="E3201">
        <v>23982</v>
      </c>
      <c r="F3201" t="s">
        <v>3977</v>
      </c>
      <c r="G3201">
        <v>1999</v>
      </c>
      <c r="H3201">
        <v>1.5</v>
      </c>
      <c r="I3201" t="s">
        <v>3978</v>
      </c>
      <c r="J3201" t="s">
        <v>3469</v>
      </c>
      <c r="K3201" t="s">
        <v>3701</v>
      </c>
      <c r="L3201">
        <v>288.98</v>
      </c>
      <c r="M3201" s="453">
        <v>45740</v>
      </c>
      <c r="N3201">
        <v>288.98</v>
      </c>
      <c r="O3201">
        <v>281.8</v>
      </c>
      <c r="P3201">
        <v>433.47</v>
      </c>
    </row>
    <row r="3202" spans="1:16" x14ac:dyDescent="0.3">
      <c r="A3202">
        <v>27826</v>
      </c>
      <c r="B3202">
        <v>116</v>
      </c>
      <c r="C3202" t="s">
        <v>568</v>
      </c>
      <c r="D3202" s="453">
        <v>45748</v>
      </c>
      <c r="E3202">
        <v>21030</v>
      </c>
      <c r="F3202" t="s">
        <v>3890</v>
      </c>
      <c r="G3202">
        <v>2001</v>
      </c>
      <c r="H3202">
        <v>13</v>
      </c>
      <c r="I3202" t="s">
        <v>3872</v>
      </c>
      <c r="J3202" t="s">
        <v>3469</v>
      </c>
      <c r="K3202" t="s">
        <v>3701</v>
      </c>
      <c r="L3202">
        <v>0</v>
      </c>
      <c r="M3202" s="453">
        <v>45659</v>
      </c>
      <c r="N3202">
        <v>29.4</v>
      </c>
      <c r="O3202">
        <v>27.86</v>
      </c>
      <c r="P3202">
        <v>382.2</v>
      </c>
    </row>
    <row r="3203" spans="1:16" x14ac:dyDescent="0.3">
      <c r="A3203">
        <v>27973</v>
      </c>
      <c r="B3203">
        <v>116</v>
      </c>
      <c r="C3203" t="s">
        <v>568</v>
      </c>
      <c r="D3203" s="453">
        <v>45748</v>
      </c>
      <c r="E3203">
        <v>18832</v>
      </c>
      <c r="F3203" t="s">
        <v>3900</v>
      </c>
      <c r="G3203">
        <v>2950</v>
      </c>
      <c r="H3203">
        <v>10</v>
      </c>
      <c r="I3203" t="s">
        <v>3892</v>
      </c>
      <c r="J3203" t="s">
        <v>3469</v>
      </c>
      <c r="K3203" t="s">
        <v>3701</v>
      </c>
      <c r="L3203">
        <v>36.799999999999997</v>
      </c>
      <c r="M3203" s="453">
        <v>45741</v>
      </c>
      <c r="N3203">
        <v>36.9</v>
      </c>
      <c r="O3203">
        <v>38.450000000000003</v>
      </c>
      <c r="P3203">
        <v>368</v>
      </c>
    </row>
    <row r="3204" spans="1:16" x14ac:dyDescent="0.3">
      <c r="A3204">
        <v>28031</v>
      </c>
      <c r="B3204">
        <v>116</v>
      </c>
      <c r="C3204" t="s">
        <v>568</v>
      </c>
      <c r="D3204" s="453">
        <v>45748</v>
      </c>
      <c r="E3204">
        <v>24414</v>
      </c>
      <c r="F3204" t="s">
        <v>3943</v>
      </c>
      <c r="G3204">
        <v>3670</v>
      </c>
      <c r="H3204">
        <v>164</v>
      </c>
      <c r="I3204" t="s">
        <v>3872</v>
      </c>
      <c r="J3204" t="s">
        <v>3497</v>
      </c>
      <c r="K3204" t="s">
        <v>3701</v>
      </c>
      <c r="L3204">
        <v>0</v>
      </c>
      <c r="M3204" s="453">
        <v>45544</v>
      </c>
      <c r="N3204">
        <v>2.19</v>
      </c>
      <c r="O3204">
        <v>2.19</v>
      </c>
      <c r="P3204">
        <v>359.16</v>
      </c>
    </row>
    <row r="3205" spans="1:16" x14ac:dyDescent="0.3">
      <c r="A3205">
        <v>28020</v>
      </c>
      <c r="B3205">
        <v>116</v>
      </c>
      <c r="C3205" t="s">
        <v>568</v>
      </c>
      <c r="D3205" s="453">
        <v>45748</v>
      </c>
      <c r="E3205">
        <v>24019</v>
      </c>
      <c r="F3205" t="s">
        <v>4471</v>
      </c>
      <c r="G3205">
        <v>3617</v>
      </c>
      <c r="H3205">
        <v>205</v>
      </c>
      <c r="I3205" t="s">
        <v>3872</v>
      </c>
      <c r="J3205" t="s">
        <v>3497</v>
      </c>
      <c r="K3205" t="s">
        <v>3701</v>
      </c>
      <c r="L3205">
        <v>0</v>
      </c>
      <c r="M3205" s="453">
        <v>45545</v>
      </c>
      <c r="N3205">
        <v>1.62</v>
      </c>
      <c r="O3205">
        <v>1.63</v>
      </c>
      <c r="P3205">
        <v>333.12</v>
      </c>
    </row>
    <row r="3206" spans="1:16" x14ac:dyDescent="0.3">
      <c r="A3206">
        <v>27976</v>
      </c>
      <c r="B3206">
        <v>116</v>
      </c>
      <c r="C3206" t="s">
        <v>568</v>
      </c>
      <c r="D3206" s="453">
        <v>45748</v>
      </c>
      <c r="E3206">
        <v>25541</v>
      </c>
      <c r="F3206" t="s">
        <v>4330</v>
      </c>
      <c r="G3206">
        <v>6160</v>
      </c>
      <c r="H3206">
        <v>10</v>
      </c>
      <c r="I3206" t="s">
        <v>3892</v>
      </c>
      <c r="J3206" t="s">
        <v>3469</v>
      </c>
      <c r="K3206" t="s">
        <v>3701</v>
      </c>
      <c r="L3206">
        <v>32.880000000000003</v>
      </c>
      <c r="M3206" s="453">
        <v>45741</v>
      </c>
      <c r="N3206">
        <v>36.9</v>
      </c>
      <c r="O3206">
        <v>26.3</v>
      </c>
      <c r="P3206">
        <v>328.8</v>
      </c>
    </row>
    <row r="3207" spans="1:16" x14ac:dyDescent="0.3">
      <c r="A3207">
        <v>28028</v>
      </c>
      <c r="B3207">
        <v>116</v>
      </c>
      <c r="C3207" t="s">
        <v>568</v>
      </c>
      <c r="D3207" s="453">
        <v>45748</v>
      </c>
      <c r="E3207">
        <v>22042</v>
      </c>
      <c r="F3207" t="s">
        <v>3901</v>
      </c>
      <c r="G3207">
        <v>3658</v>
      </c>
      <c r="H3207">
        <v>140</v>
      </c>
      <c r="I3207" t="s">
        <v>3872</v>
      </c>
      <c r="J3207" t="s">
        <v>3497</v>
      </c>
      <c r="K3207" t="s">
        <v>3701</v>
      </c>
      <c r="L3207">
        <v>0</v>
      </c>
      <c r="M3207" s="453">
        <v>45677</v>
      </c>
      <c r="N3207">
        <v>2.19</v>
      </c>
      <c r="O3207">
        <v>1.99</v>
      </c>
      <c r="P3207">
        <v>306.60000000000002</v>
      </c>
    </row>
    <row r="3208" spans="1:16" x14ac:dyDescent="0.3">
      <c r="A3208">
        <v>28034</v>
      </c>
      <c r="B3208">
        <v>116</v>
      </c>
      <c r="C3208" t="s">
        <v>568</v>
      </c>
      <c r="D3208" s="453">
        <v>45748</v>
      </c>
      <c r="E3208">
        <v>26195</v>
      </c>
      <c r="F3208" t="s">
        <v>4037</v>
      </c>
      <c r="G3208">
        <v>6618</v>
      </c>
      <c r="H3208">
        <v>10</v>
      </c>
      <c r="I3208" t="s">
        <v>3878</v>
      </c>
      <c r="J3208" t="s">
        <v>3497</v>
      </c>
      <c r="K3208" t="s">
        <v>3701</v>
      </c>
      <c r="L3208">
        <v>0</v>
      </c>
      <c r="M3208" s="453">
        <v>-693593</v>
      </c>
      <c r="N3208">
        <v>0</v>
      </c>
      <c r="O3208">
        <v>0</v>
      </c>
      <c r="P3208">
        <v>277.39999999999998</v>
      </c>
    </row>
    <row r="3209" spans="1:16" x14ac:dyDescent="0.3">
      <c r="A3209">
        <v>27994</v>
      </c>
      <c r="B3209">
        <v>116</v>
      </c>
      <c r="C3209" t="s">
        <v>568</v>
      </c>
      <c r="D3209" s="453">
        <v>45748</v>
      </c>
      <c r="E3209">
        <v>18475</v>
      </c>
      <c r="F3209" t="s">
        <v>3918</v>
      </c>
      <c r="G3209">
        <v>3181</v>
      </c>
      <c r="H3209">
        <v>8.4</v>
      </c>
      <c r="I3209" t="s">
        <v>3878</v>
      </c>
      <c r="J3209" t="s">
        <v>3497</v>
      </c>
      <c r="K3209" t="s">
        <v>3701</v>
      </c>
      <c r="L3209">
        <v>0</v>
      </c>
      <c r="M3209" s="453">
        <v>45677</v>
      </c>
      <c r="N3209">
        <v>32.9</v>
      </c>
      <c r="O3209">
        <v>32.9</v>
      </c>
      <c r="P3209">
        <v>276.36</v>
      </c>
    </row>
    <row r="3210" spans="1:16" x14ac:dyDescent="0.3">
      <c r="A3210">
        <v>28005</v>
      </c>
      <c r="B3210">
        <v>116</v>
      </c>
      <c r="C3210" t="s">
        <v>568</v>
      </c>
      <c r="D3210" s="453">
        <v>45748</v>
      </c>
      <c r="E3210">
        <v>18295</v>
      </c>
      <c r="F3210" t="s">
        <v>4030</v>
      </c>
      <c r="G3210">
        <v>3334</v>
      </c>
      <c r="H3210">
        <v>2.2999999999999998</v>
      </c>
      <c r="I3210" t="s">
        <v>3878</v>
      </c>
      <c r="J3210" t="s">
        <v>3497</v>
      </c>
      <c r="K3210" t="s">
        <v>3701</v>
      </c>
      <c r="L3210">
        <v>116.27</v>
      </c>
      <c r="M3210" s="453">
        <v>45740</v>
      </c>
      <c r="N3210">
        <v>109</v>
      </c>
      <c r="O3210">
        <v>109</v>
      </c>
      <c r="P3210">
        <v>267.42</v>
      </c>
    </row>
    <row r="3211" spans="1:16" x14ac:dyDescent="0.3">
      <c r="A3211">
        <v>27864</v>
      </c>
      <c r="B3211">
        <v>116</v>
      </c>
      <c r="C3211" t="s">
        <v>568</v>
      </c>
      <c r="D3211" s="453">
        <v>45748</v>
      </c>
      <c r="E3211">
        <v>20131</v>
      </c>
      <c r="F3211" t="s">
        <v>4447</v>
      </c>
      <c r="G3211">
        <v>2287</v>
      </c>
      <c r="H3211">
        <v>21</v>
      </c>
      <c r="I3211" t="s">
        <v>3892</v>
      </c>
      <c r="J3211" t="s">
        <v>3469</v>
      </c>
      <c r="K3211" t="s">
        <v>3701</v>
      </c>
      <c r="L3211">
        <v>0</v>
      </c>
      <c r="M3211" s="453">
        <v>45672</v>
      </c>
      <c r="N3211">
        <v>12</v>
      </c>
      <c r="O3211">
        <v>12</v>
      </c>
      <c r="P3211">
        <v>252</v>
      </c>
    </row>
    <row r="3212" spans="1:16" x14ac:dyDescent="0.3">
      <c r="A3212">
        <v>27993</v>
      </c>
      <c r="B3212">
        <v>116</v>
      </c>
      <c r="C3212" t="s">
        <v>568</v>
      </c>
      <c r="D3212" s="453">
        <v>45748</v>
      </c>
      <c r="E3212">
        <v>18491</v>
      </c>
      <c r="F3212" t="s">
        <v>3934</v>
      </c>
      <c r="G3212">
        <v>3166</v>
      </c>
      <c r="H3212">
        <v>7</v>
      </c>
      <c r="I3212" t="s">
        <v>3878</v>
      </c>
      <c r="J3212" t="s">
        <v>3497</v>
      </c>
      <c r="K3212" t="s">
        <v>3701</v>
      </c>
      <c r="L3212">
        <v>0</v>
      </c>
      <c r="M3212" s="453">
        <v>45677</v>
      </c>
      <c r="N3212">
        <v>35.9</v>
      </c>
      <c r="O3212">
        <v>35.9</v>
      </c>
      <c r="P3212">
        <v>251.3</v>
      </c>
    </row>
    <row r="3213" spans="1:16" x14ac:dyDescent="0.3">
      <c r="A3213">
        <v>27970</v>
      </c>
      <c r="B3213">
        <v>116</v>
      </c>
      <c r="C3213" t="s">
        <v>568</v>
      </c>
      <c r="D3213" s="453">
        <v>45748</v>
      </c>
      <c r="E3213">
        <v>24388</v>
      </c>
      <c r="F3213" t="s">
        <v>3915</v>
      </c>
      <c r="G3213">
        <v>2945</v>
      </c>
      <c r="H3213">
        <v>7</v>
      </c>
      <c r="I3213" t="s">
        <v>3892</v>
      </c>
      <c r="J3213" t="s">
        <v>3469</v>
      </c>
      <c r="K3213" t="s">
        <v>3701</v>
      </c>
      <c r="L3213">
        <v>34.5</v>
      </c>
      <c r="M3213" s="453">
        <v>45734</v>
      </c>
      <c r="N3213">
        <v>34.5</v>
      </c>
      <c r="O3213">
        <v>25.89</v>
      </c>
      <c r="P3213">
        <v>241.5</v>
      </c>
    </row>
    <row r="3214" spans="1:16" x14ac:dyDescent="0.3">
      <c r="A3214">
        <v>28030</v>
      </c>
      <c r="B3214">
        <v>116</v>
      </c>
      <c r="C3214" t="s">
        <v>568</v>
      </c>
      <c r="D3214" s="453">
        <v>45748</v>
      </c>
      <c r="E3214">
        <v>24409</v>
      </c>
      <c r="F3214" t="s">
        <v>4036</v>
      </c>
      <c r="G3214">
        <v>3665</v>
      </c>
      <c r="H3214">
        <v>110</v>
      </c>
      <c r="I3214" t="s">
        <v>3872</v>
      </c>
      <c r="J3214" t="s">
        <v>3497</v>
      </c>
      <c r="K3214" t="s">
        <v>3701</v>
      </c>
      <c r="L3214">
        <v>0</v>
      </c>
      <c r="M3214" s="453">
        <v>45551</v>
      </c>
      <c r="N3214">
        <v>2.19</v>
      </c>
      <c r="O3214">
        <v>2.19</v>
      </c>
      <c r="P3214">
        <v>240.9</v>
      </c>
    </row>
    <row r="3215" spans="1:16" x14ac:dyDescent="0.3">
      <c r="A3215">
        <v>27841</v>
      </c>
      <c r="B3215">
        <v>116</v>
      </c>
      <c r="C3215" t="s">
        <v>568</v>
      </c>
      <c r="D3215" s="453">
        <v>45748</v>
      </c>
      <c r="E3215">
        <v>20549</v>
      </c>
      <c r="F3215" t="s">
        <v>4007</v>
      </c>
      <c r="G3215">
        <v>2141</v>
      </c>
      <c r="H3215">
        <v>10</v>
      </c>
      <c r="I3215" t="s">
        <v>3892</v>
      </c>
      <c r="J3215" t="s">
        <v>3469</v>
      </c>
      <c r="K3215" t="s">
        <v>3701</v>
      </c>
      <c r="L3215">
        <v>24</v>
      </c>
      <c r="M3215" s="453">
        <v>45741</v>
      </c>
      <c r="N3215">
        <v>23.5</v>
      </c>
      <c r="O3215">
        <v>19.899999999999999</v>
      </c>
      <c r="P3215">
        <v>240</v>
      </c>
    </row>
    <row r="3216" spans="1:16" x14ac:dyDescent="0.3">
      <c r="A3216">
        <v>28013</v>
      </c>
      <c r="B3216">
        <v>116</v>
      </c>
      <c r="C3216" t="s">
        <v>568</v>
      </c>
      <c r="D3216" s="453">
        <v>45748</v>
      </c>
      <c r="E3216">
        <v>18194</v>
      </c>
      <c r="F3216" t="s">
        <v>4490</v>
      </c>
      <c r="G3216">
        <v>3430</v>
      </c>
      <c r="H3216">
        <v>3.6</v>
      </c>
      <c r="I3216" t="s">
        <v>3878</v>
      </c>
      <c r="J3216" t="s">
        <v>3497</v>
      </c>
      <c r="K3216" t="s">
        <v>3701</v>
      </c>
      <c r="L3216">
        <v>66.400000000000006</v>
      </c>
      <c r="M3216" s="453">
        <v>45740</v>
      </c>
      <c r="N3216">
        <v>63.9</v>
      </c>
      <c r="O3216">
        <v>63.99</v>
      </c>
      <c r="P3216">
        <v>239.04</v>
      </c>
    </row>
    <row r="3217" spans="1:16" x14ac:dyDescent="0.3">
      <c r="A3217">
        <v>27955</v>
      </c>
      <c r="B3217">
        <v>116</v>
      </c>
      <c r="C3217" t="s">
        <v>568</v>
      </c>
      <c r="D3217" s="453">
        <v>45748</v>
      </c>
      <c r="E3217">
        <v>19287</v>
      </c>
      <c r="F3217" t="s">
        <v>3974</v>
      </c>
      <c r="G3217">
        <v>2778</v>
      </c>
      <c r="H3217">
        <v>5.3</v>
      </c>
      <c r="I3217" t="s">
        <v>3892</v>
      </c>
      <c r="J3217" t="s">
        <v>3469</v>
      </c>
      <c r="K3217" t="s">
        <v>3701</v>
      </c>
      <c r="L3217">
        <v>44.96</v>
      </c>
      <c r="M3217" s="453">
        <v>45741</v>
      </c>
      <c r="N3217">
        <v>44.96</v>
      </c>
      <c r="O3217">
        <v>44.96</v>
      </c>
      <c r="P3217">
        <v>238.29</v>
      </c>
    </row>
    <row r="3218" spans="1:16" x14ac:dyDescent="0.3">
      <c r="A3218">
        <v>27853</v>
      </c>
      <c r="B3218">
        <v>116</v>
      </c>
      <c r="C3218" t="s">
        <v>568</v>
      </c>
      <c r="D3218" s="453">
        <v>45748</v>
      </c>
      <c r="E3218">
        <v>21024</v>
      </c>
      <c r="F3218" t="s">
        <v>4180</v>
      </c>
      <c r="G3218">
        <v>2003</v>
      </c>
      <c r="H3218">
        <v>1.5</v>
      </c>
      <c r="I3218" t="s">
        <v>3966</v>
      </c>
      <c r="J3218" t="s">
        <v>3469</v>
      </c>
      <c r="K3218" t="s">
        <v>3701</v>
      </c>
      <c r="L3218">
        <v>157.9</v>
      </c>
      <c r="M3218" s="453">
        <v>45741</v>
      </c>
      <c r="N3218">
        <v>161.9</v>
      </c>
      <c r="O3218">
        <v>161.9</v>
      </c>
      <c r="P3218">
        <v>236.85</v>
      </c>
    </row>
    <row r="3219" spans="1:16" x14ac:dyDescent="0.3">
      <c r="A3219">
        <v>27989</v>
      </c>
      <c r="B3219">
        <v>116</v>
      </c>
      <c r="C3219" t="s">
        <v>568</v>
      </c>
      <c r="D3219" s="453">
        <v>45748</v>
      </c>
      <c r="E3219">
        <v>18538</v>
      </c>
      <c r="F3219" t="s">
        <v>4026</v>
      </c>
      <c r="G3219">
        <v>3139</v>
      </c>
      <c r="H3219">
        <v>2.2000000000000002</v>
      </c>
      <c r="I3219" t="s">
        <v>3878</v>
      </c>
      <c r="J3219" t="s">
        <v>3497</v>
      </c>
      <c r="K3219" t="s">
        <v>3701</v>
      </c>
      <c r="L3219">
        <v>104.34</v>
      </c>
      <c r="M3219" s="453">
        <v>45741</v>
      </c>
      <c r="N3219">
        <v>106</v>
      </c>
      <c r="O3219">
        <v>106</v>
      </c>
      <c r="P3219">
        <v>229.55</v>
      </c>
    </row>
    <row r="3220" spans="1:16" x14ac:dyDescent="0.3">
      <c r="A3220">
        <v>28035</v>
      </c>
      <c r="B3220">
        <v>116</v>
      </c>
      <c r="C3220" t="s">
        <v>568</v>
      </c>
      <c r="D3220" s="453">
        <v>45748</v>
      </c>
      <c r="E3220">
        <v>17609</v>
      </c>
      <c r="F3220" t="s">
        <v>4038</v>
      </c>
      <c r="G3220">
        <v>3917</v>
      </c>
      <c r="H3220">
        <v>12</v>
      </c>
      <c r="I3220" t="s">
        <v>3878</v>
      </c>
      <c r="J3220" t="s">
        <v>3497</v>
      </c>
      <c r="K3220" t="s">
        <v>3701</v>
      </c>
      <c r="L3220">
        <v>0</v>
      </c>
      <c r="M3220" s="453">
        <v>45573</v>
      </c>
      <c r="N3220">
        <v>18.899999999999999</v>
      </c>
      <c r="O3220">
        <v>18.899999999999999</v>
      </c>
      <c r="P3220">
        <v>226.8</v>
      </c>
    </row>
    <row r="3221" spans="1:16" x14ac:dyDescent="0.3">
      <c r="A3221">
        <v>28027</v>
      </c>
      <c r="B3221">
        <v>116</v>
      </c>
      <c r="C3221" t="s">
        <v>568</v>
      </c>
      <c r="D3221" s="453">
        <v>45748</v>
      </c>
      <c r="E3221">
        <v>22044</v>
      </c>
      <c r="F3221" t="s">
        <v>3928</v>
      </c>
      <c r="G3221">
        <v>3656</v>
      </c>
      <c r="H3221">
        <v>101</v>
      </c>
      <c r="I3221" t="s">
        <v>3872</v>
      </c>
      <c r="J3221" t="s">
        <v>3497</v>
      </c>
      <c r="K3221" t="s">
        <v>3701</v>
      </c>
      <c r="L3221">
        <v>0</v>
      </c>
      <c r="M3221" s="453">
        <v>45677</v>
      </c>
      <c r="N3221">
        <v>2.19</v>
      </c>
      <c r="O3221">
        <v>2.04</v>
      </c>
      <c r="P3221">
        <v>221.19</v>
      </c>
    </row>
    <row r="3222" spans="1:16" x14ac:dyDescent="0.3">
      <c r="A3222">
        <v>27953</v>
      </c>
      <c r="B3222">
        <v>116</v>
      </c>
      <c r="C3222" t="s">
        <v>568</v>
      </c>
      <c r="D3222" s="453">
        <v>45748</v>
      </c>
      <c r="E3222">
        <v>19324</v>
      </c>
      <c r="F3222" t="s">
        <v>3937</v>
      </c>
      <c r="G3222">
        <v>2773</v>
      </c>
      <c r="H3222">
        <v>4.8</v>
      </c>
      <c r="I3222" t="s">
        <v>3892</v>
      </c>
      <c r="J3222" t="s">
        <v>3469</v>
      </c>
      <c r="K3222" t="s">
        <v>3701</v>
      </c>
      <c r="L3222">
        <v>43.45</v>
      </c>
      <c r="M3222" s="453">
        <v>45741</v>
      </c>
      <c r="N3222">
        <v>43.6</v>
      </c>
      <c r="O3222">
        <v>39.700000000000003</v>
      </c>
      <c r="P3222">
        <v>208.56</v>
      </c>
    </row>
    <row r="3223" spans="1:16" x14ac:dyDescent="0.3">
      <c r="A3223">
        <v>27918</v>
      </c>
      <c r="B3223">
        <v>116</v>
      </c>
      <c r="C3223" t="s">
        <v>568</v>
      </c>
      <c r="D3223" s="453">
        <v>45748</v>
      </c>
      <c r="E3223">
        <v>19756</v>
      </c>
      <c r="F3223" t="s">
        <v>4220</v>
      </c>
      <c r="G3223">
        <v>2497</v>
      </c>
      <c r="H3223">
        <v>45</v>
      </c>
      <c r="I3223" t="s">
        <v>3892</v>
      </c>
      <c r="J3223" t="s">
        <v>3469</v>
      </c>
      <c r="K3223" t="s">
        <v>3701</v>
      </c>
      <c r="L3223">
        <v>4.4800000000000004</v>
      </c>
      <c r="M3223" s="453">
        <v>45743</v>
      </c>
      <c r="N3223">
        <v>4.3</v>
      </c>
      <c r="O3223">
        <v>4.9400000000000004</v>
      </c>
      <c r="P3223">
        <v>201.6</v>
      </c>
    </row>
    <row r="3224" spans="1:16" x14ac:dyDescent="0.3">
      <c r="A3224">
        <v>27963</v>
      </c>
      <c r="B3224">
        <v>116</v>
      </c>
      <c r="C3224" t="s">
        <v>568</v>
      </c>
      <c r="D3224" s="453">
        <v>45748</v>
      </c>
      <c r="E3224">
        <v>18922</v>
      </c>
      <c r="F3224" t="s">
        <v>4499</v>
      </c>
      <c r="G3224">
        <v>2935</v>
      </c>
      <c r="H3224">
        <v>5.5</v>
      </c>
      <c r="I3224" t="s">
        <v>3892</v>
      </c>
      <c r="J3224" t="s">
        <v>3469</v>
      </c>
      <c r="K3224" t="s">
        <v>3701</v>
      </c>
      <c r="L3224">
        <v>0</v>
      </c>
      <c r="M3224" s="453">
        <v>45677</v>
      </c>
      <c r="N3224">
        <v>35.4</v>
      </c>
      <c r="O3224">
        <v>35.4</v>
      </c>
      <c r="P3224">
        <v>194.7</v>
      </c>
    </row>
    <row r="3225" spans="1:16" x14ac:dyDescent="0.3">
      <c r="A3225">
        <v>27998</v>
      </c>
      <c r="B3225">
        <v>116</v>
      </c>
      <c r="C3225" t="s">
        <v>568</v>
      </c>
      <c r="D3225" s="453">
        <v>45748</v>
      </c>
      <c r="E3225">
        <v>18394</v>
      </c>
      <c r="F3225" t="s">
        <v>4044</v>
      </c>
      <c r="G3225">
        <v>3246</v>
      </c>
      <c r="H3225">
        <v>1</v>
      </c>
      <c r="I3225" t="s">
        <v>3878</v>
      </c>
      <c r="J3225" t="s">
        <v>3497</v>
      </c>
      <c r="K3225" t="s">
        <v>3701</v>
      </c>
      <c r="L3225">
        <v>0</v>
      </c>
      <c r="M3225" s="453">
        <v>45516</v>
      </c>
      <c r="N3225">
        <v>0</v>
      </c>
      <c r="O3225">
        <v>132.75</v>
      </c>
      <c r="P3225">
        <v>179.9</v>
      </c>
    </row>
    <row r="3226" spans="1:16" x14ac:dyDescent="0.3">
      <c r="A3226">
        <v>27952</v>
      </c>
      <c r="B3226">
        <v>116</v>
      </c>
      <c r="C3226" t="s">
        <v>568</v>
      </c>
      <c r="D3226" s="453">
        <v>45748</v>
      </c>
      <c r="E3226">
        <v>19346</v>
      </c>
      <c r="F3226" t="s">
        <v>3948</v>
      </c>
      <c r="G3226">
        <v>2770</v>
      </c>
      <c r="H3226">
        <v>3.1</v>
      </c>
      <c r="I3226" t="s">
        <v>3892</v>
      </c>
      <c r="J3226" t="s">
        <v>3469</v>
      </c>
      <c r="K3226" t="s">
        <v>3701</v>
      </c>
      <c r="L3226">
        <v>56.89</v>
      </c>
      <c r="M3226" s="453">
        <v>45734</v>
      </c>
      <c r="N3226">
        <v>56.89</v>
      </c>
      <c r="O3226">
        <v>54.5</v>
      </c>
      <c r="P3226">
        <v>176.36</v>
      </c>
    </row>
    <row r="3227" spans="1:16" x14ac:dyDescent="0.3">
      <c r="A3227">
        <v>27872</v>
      </c>
      <c r="B3227">
        <v>116</v>
      </c>
      <c r="C3227" t="s">
        <v>568</v>
      </c>
      <c r="D3227" s="453">
        <v>45748</v>
      </c>
      <c r="E3227">
        <v>19961</v>
      </c>
      <c r="F3227" t="s">
        <v>4465</v>
      </c>
      <c r="G3227">
        <v>2357</v>
      </c>
      <c r="H3227">
        <v>13</v>
      </c>
      <c r="I3227" t="s">
        <v>3886</v>
      </c>
      <c r="J3227" t="s">
        <v>3469</v>
      </c>
      <c r="K3227" t="s">
        <v>3701</v>
      </c>
      <c r="L3227">
        <v>0</v>
      </c>
      <c r="M3227" s="453">
        <v>45670</v>
      </c>
      <c r="N3227">
        <v>13.39</v>
      </c>
      <c r="O3227">
        <v>19.149999999999999</v>
      </c>
      <c r="P3227">
        <v>174.07</v>
      </c>
    </row>
    <row r="3228" spans="1:16" x14ac:dyDescent="0.3">
      <c r="A3228">
        <v>27992</v>
      </c>
      <c r="B3228">
        <v>116</v>
      </c>
      <c r="C3228" t="s">
        <v>568</v>
      </c>
      <c r="D3228" s="453">
        <v>45748</v>
      </c>
      <c r="E3228">
        <v>18493</v>
      </c>
      <c r="F3228" t="s">
        <v>3958</v>
      </c>
      <c r="G3228">
        <v>3164</v>
      </c>
      <c r="H3228">
        <v>2.5</v>
      </c>
      <c r="I3228" t="s">
        <v>3878</v>
      </c>
      <c r="J3228" t="s">
        <v>3497</v>
      </c>
      <c r="K3228" t="s">
        <v>3701</v>
      </c>
      <c r="L3228">
        <v>0</v>
      </c>
      <c r="M3228" s="453">
        <v>45658</v>
      </c>
      <c r="N3228">
        <v>69</v>
      </c>
      <c r="O3228">
        <v>43.9</v>
      </c>
      <c r="P3228">
        <v>172.5</v>
      </c>
    </row>
    <row r="3229" spans="1:16" x14ac:dyDescent="0.3">
      <c r="A3229">
        <v>27985</v>
      </c>
      <c r="B3229">
        <v>116</v>
      </c>
      <c r="C3229" t="s">
        <v>568</v>
      </c>
      <c r="D3229" s="453">
        <v>45748</v>
      </c>
      <c r="E3229">
        <v>18550</v>
      </c>
      <c r="F3229" t="s">
        <v>4083</v>
      </c>
      <c r="G3229">
        <v>3130</v>
      </c>
      <c r="H3229">
        <v>1</v>
      </c>
      <c r="I3229" t="s">
        <v>3878</v>
      </c>
      <c r="J3229" t="s">
        <v>3497</v>
      </c>
      <c r="K3229" t="s">
        <v>3701</v>
      </c>
      <c r="L3229">
        <v>0</v>
      </c>
      <c r="M3229" s="453">
        <v>-693593</v>
      </c>
      <c r="N3229">
        <v>0</v>
      </c>
      <c r="O3229">
        <v>175.89</v>
      </c>
      <c r="P3229">
        <v>165.45</v>
      </c>
    </row>
    <row r="3230" spans="1:16" x14ac:dyDescent="0.3">
      <c r="A3230">
        <v>28014</v>
      </c>
      <c r="B3230">
        <v>116</v>
      </c>
      <c r="C3230" t="s">
        <v>568</v>
      </c>
      <c r="D3230" s="453">
        <v>45748</v>
      </c>
      <c r="E3230">
        <v>22270</v>
      </c>
      <c r="F3230" t="s">
        <v>3923</v>
      </c>
      <c r="G3230">
        <v>3450</v>
      </c>
      <c r="H3230">
        <v>5</v>
      </c>
      <c r="I3230" t="s">
        <v>3884</v>
      </c>
      <c r="J3230" t="s">
        <v>3497</v>
      </c>
      <c r="K3230" t="s">
        <v>3701</v>
      </c>
      <c r="L3230">
        <v>0</v>
      </c>
      <c r="M3230" s="453">
        <v>45670</v>
      </c>
      <c r="N3230">
        <v>29.9</v>
      </c>
      <c r="O3230">
        <v>29.9</v>
      </c>
      <c r="P3230">
        <v>149.5</v>
      </c>
    </row>
    <row r="3231" spans="1:16" x14ac:dyDescent="0.3">
      <c r="A3231">
        <v>28000</v>
      </c>
      <c r="B3231">
        <v>116</v>
      </c>
      <c r="C3231" t="s">
        <v>568</v>
      </c>
      <c r="D3231" s="453">
        <v>45748</v>
      </c>
      <c r="E3231">
        <v>18359</v>
      </c>
      <c r="F3231" t="s">
        <v>4029</v>
      </c>
      <c r="G3231">
        <v>3278</v>
      </c>
      <c r="H3231">
        <v>1.6</v>
      </c>
      <c r="I3231" t="s">
        <v>3878</v>
      </c>
      <c r="J3231" t="s">
        <v>3497</v>
      </c>
      <c r="K3231" t="s">
        <v>3701</v>
      </c>
      <c r="L3231">
        <v>90.88</v>
      </c>
      <c r="M3231" s="453">
        <v>45734</v>
      </c>
      <c r="N3231">
        <v>91.53</v>
      </c>
      <c r="O3231">
        <v>99.9</v>
      </c>
      <c r="P3231">
        <v>145.41</v>
      </c>
    </row>
    <row r="3232" spans="1:16" x14ac:dyDescent="0.3">
      <c r="A3232">
        <v>28009</v>
      </c>
      <c r="B3232">
        <v>116</v>
      </c>
      <c r="C3232" t="s">
        <v>568</v>
      </c>
      <c r="D3232" s="453">
        <v>45748</v>
      </c>
      <c r="E3232">
        <v>18233</v>
      </c>
      <c r="F3232" t="s">
        <v>4090</v>
      </c>
      <c r="G3232">
        <v>3395</v>
      </c>
      <c r="H3232">
        <v>1.6</v>
      </c>
      <c r="I3232" t="s">
        <v>3878</v>
      </c>
      <c r="J3232" t="s">
        <v>3497</v>
      </c>
      <c r="K3232" t="s">
        <v>3701</v>
      </c>
      <c r="L3232">
        <v>0</v>
      </c>
      <c r="M3232" s="453">
        <v>45664</v>
      </c>
      <c r="N3232">
        <v>88.9</v>
      </c>
      <c r="O3232">
        <v>96.9</v>
      </c>
      <c r="P3232">
        <v>142.24</v>
      </c>
    </row>
    <row r="3233" spans="1:16" x14ac:dyDescent="0.3">
      <c r="A3233">
        <v>28022</v>
      </c>
      <c r="B3233">
        <v>116</v>
      </c>
      <c r="C3233" t="s">
        <v>568</v>
      </c>
      <c r="D3233" s="453">
        <v>45748</v>
      </c>
      <c r="E3233">
        <v>18005</v>
      </c>
      <c r="F3233" t="s">
        <v>4491</v>
      </c>
      <c r="G3233">
        <v>3592</v>
      </c>
      <c r="H3233">
        <v>3</v>
      </c>
      <c r="I3233" t="s">
        <v>3872</v>
      </c>
      <c r="J3233" t="s">
        <v>3497</v>
      </c>
      <c r="K3233" t="s">
        <v>3701</v>
      </c>
      <c r="L3233">
        <v>0</v>
      </c>
      <c r="M3233" s="453">
        <v>-693593</v>
      </c>
      <c r="N3233">
        <v>0</v>
      </c>
      <c r="O3233">
        <v>0</v>
      </c>
      <c r="P3233">
        <v>132.44999999999999</v>
      </c>
    </row>
    <row r="3234" spans="1:16" x14ac:dyDescent="0.3">
      <c r="A3234">
        <v>28003</v>
      </c>
      <c r="B3234">
        <v>116</v>
      </c>
      <c r="C3234" t="s">
        <v>568</v>
      </c>
      <c r="D3234" s="453">
        <v>45748</v>
      </c>
      <c r="E3234">
        <v>18315</v>
      </c>
      <c r="F3234" t="s">
        <v>4088</v>
      </c>
      <c r="G3234">
        <v>3318</v>
      </c>
      <c r="H3234">
        <v>1</v>
      </c>
      <c r="I3234" t="s">
        <v>3878</v>
      </c>
      <c r="J3234" t="s">
        <v>3497</v>
      </c>
      <c r="K3234" t="s">
        <v>3701</v>
      </c>
      <c r="L3234">
        <v>131.91</v>
      </c>
      <c r="M3234" s="453">
        <v>45740</v>
      </c>
      <c r="N3234">
        <v>133</v>
      </c>
      <c r="O3234">
        <v>19.899999999999999</v>
      </c>
      <c r="P3234">
        <v>131.91</v>
      </c>
    </row>
    <row r="3235" spans="1:16" x14ac:dyDescent="0.3">
      <c r="A3235">
        <v>28033</v>
      </c>
      <c r="B3235">
        <v>116</v>
      </c>
      <c r="C3235" t="s">
        <v>568</v>
      </c>
      <c r="D3235" s="453">
        <v>45748</v>
      </c>
      <c r="E3235">
        <v>24468</v>
      </c>
      <c r="F3235" t="s">
        <v>4482</v>
      </c>
      <c r="G3235">
        <v>3675</v>
      </c>
      <c r="H3235">
        <v>60</v>
      </c>
      <c r="I3235" t="s">
        <v>3872</v>
      </c>
      <c r="J3235" t="s">
        <v>3497</v>
      </c>
      <c r="K3235" t="s">
        <v>3701</v>
      </c>
      <c r="L3235">
        <v>0</v>
      </c>
      <c r="M3235" s="453">
        <v>45544</v>
      </c>
      <c r="N3235">
        <v>2.19</v>
      </c>
      <c r="O3235">
        <v>2.19</v>
      </c>
      <c r="P3235">
        <v>131.4</v>
      </c>
    </row>
    <row r="3236" spans="1:16" x14ac:dyDescent="0.3">
      <c r="A3236">
        <v>28021</v>
      </c>
      <c r="B3236">
        <v>116</v>
      </c>
      <c r="C3236" t="s">
        <v>568</v>
      </c>
      <c r="D3236" s="453">
        <v>45748</v>
      </c>
      <c r="E3236">
        <v>24029</v>
      </c>
      <c r="F3236" t="s">
        <v>3875</v>
      </c>
      <c r="G3236">
        <v>3591</v>
      </c>
      <c r="H3236">
        <v>66</v>
      </c>
      <c r="I3236" t="s">
        <v>3872</v>
      </c>
      <c r="J3236" t="s">
        <v>3497</v>
      </c>
      <c r="K3236" t="s">
        <v>3701</v>
      </c>
      <c r="L3236">
        <v>0</v>
      </c>
      <c r="M3236" s="453">
        <v>45537</v>
      </c>
      <c r="N3236">
        <v>1.99</v>
      </c>
      <c r="O3236">
        <v>2.19</v>
      </c>
      <c r="P3236">
        <v>131.34</v>
      </c>
    </row>
    <row r="3237" spans="1:16" x14ac:dyDescent="0.3">
      <c r="A3237">
        <v>27957</v>
      </c>
      <c r="B3237">
        <v>116</v>
      </c>
      <c r="C3237" t="s">
        <v>568</v>
      </c>
      <c r="D3237" s="453">
        <v>45748</v>
      </c>
      <c r="E3237">
        <v>19139</v>
      </c>
      <c r="F3237" t="s">
        <v>3887</v>
      </c>
      <c r="G3237">
        <v>2836</v>
      </c>
      <c r="H3237">
        <v>14</v>
      </c>
      <c r="I3237" t="s">
        <v>3888</v>
      </c>
      <c r="J3237" t="s">
        <v>3469</v>
      </c>
      <c r="K3237" t="s">
        <v>3701</v>
      </c>
      <c r="L3237">
        <v>9.1</v>
      </c>
      <c r="M3237" s="453">
        <v>45744</v>
      </c>
      <c r="N3237">
        <v>9.1</v>
      </c>
      <c r="O3237">
        <v>9.1</v>
      </c>
      <c r="P3237">
        <v>127.4</v>
      </c>
    </row>
    <row r="3238" spans="1:16" x14ac:dyDescent="0.3">
      <c r="A3238">
        <v>28019</v>
      </c>
      <c r="B3238">
        <v>116</v>
      </c>
      <c r="C3238" t="s">
        <v>568</v>
      </c>
      <c r="D3238" s="453">
        <v>45748</v>
      </c>
      <c r="E3238">
        <v>22108</v>
      </c>
      <c r="F3238" t="s">
        <v>3871</v>
      </c>
      <c r="G3238">
        <v>3609</v>
      </c>
      <c r="H3238">
        <v>89</v>
      </c>
      <c r="I3238" t="s">
        <v>3872</v>
      </c>
      <c r="J3238" t="s">
        <v>3497</v>
      </c>
      <c r="K3238" t="s">
        <v>3701</v>
      </c>
      <c r="L3238">
        <v>0</v>
      </c>
      <c r="M3238" s="453">
        <v>45670</v>
      </c>
      <c r="N3238">
        <v>1.42</v>
      </c>
      <c r="O3238">
        <v>1.85</v>
      </c>
      <c r="P3238">
        <v>126.82</v>
      </c>
    </row>
    <row r="3239" spans="1:16" x14ac:dyDescent="0.3">
      <c r="A3239">
        <v>27831</v>
      </c>
      <c r="B3239">
        <v>116</v>
      </c>
      <c r="C3239" t="s">
        <v>568</v>
      </c>
      <c r="D3239" s="453">
        <v>45748</v>
      </c>
      <c r="E3239">
        <v>20278</v>
      </c>
      <c r="F3239" t="s">
        <v>3939</v>
      </c>
      <c r="G3239">
        <v>2230</v>
      </c>
      <c r="H3239">
        <v>7</v>
      </c>
      <c r="I3239" t="s">
        <v>3872</v>
      </c>
      <c r="J3239" t="s">
        <v>3469</v>
      </c>
      <c r="K3239" t="s">
        <v>3701</v>
      </c>
      <c r="L3239">
        <v>17.5</v>
      </c>
      <c r="M3239" s="453">
        <v>45734</v>
      </c>
      <c r="N3239">
        <v>17.5</v>
      </c>
      <c r="O3239">
        <v>17.5</v>
      </c>
      <c r="P3239">
        <v>122.5</v>
      </c>
    </row>
    <row r="3240" spans="1:16" x14ac:dyDescent="0.3">
      <c r="A3240">
        <v>28032</v>
      </c>
      <c r="B3240">
        <v>116</v>
      </c>
      <c r="C3240" t="s">
        <v>568</v>
      </c>
      <c r="D3240" s="453">
        <v>45748</v>
      </c>
      <c r="E3240">
        <v>24467</v>
      </c>
      <c r="F3240" t="s">
        <v>3944</v>
      </c>
      <c r="G3240">
        <v>3673</v>
      </c>
      <c r="H3240">
        <v>61</v>
      </c>
      <c r="I3240" t="s">
        <v>3872</v>
      </c>
      <c r="J3240" t="s">
        <v>3497</v>
      </c>
      <c r="K3240" t="s">
        <v>3701</v>
      </c>
      <c r="L3240">
        <v>0</v>
      </c>
      <c r="M3240" s="453">
        <v>45510</v>
      </c>
      <c r="N3240">
        <v>1.99</v>
      </c>
      <c r="O3240">
        <v>2.19</v>
      </c>
      <c r="P3240">
        <v>121.39</v>
      </c>
    </row>
    <row r="3241" spans="1:16" x14ac:dyDescent="0.3">
      <c r="A3241">
        <v>28016</v>
      </c>
      <c r="B3241">
        <v>116</v>
      </c>
      <c r="C3241" t="s">
        <v>568</v>
      </c>
      <c r="D3241" s="453">
        <v>45748</v>
      </c>
      <c r="E3241">
        <v>18111</v>
      </c>
      <c r="F3241" t="s">
        <v>4047</v>
      </c>
      <c r="G3241">
        <v>3500</v>
      </c>
      <c r="H3241">
        <v>1.3</v>
      </c>
      <c r="I3241" t="s">
        <v>3878</v>
      </c>
      <c r="J3241" t="s">
        <v>3497</v>
      </c>
      <c r="K3241" t="s">
        <v>3701</v>
      </c>
      <c r="L3241">
        <v>0</v>
      </c>
      <c r="M3241" s="453">
        <v>45559</v>
      </c>
      <c r="N3241">
        <v>92.47</v>
      </c>
      <c r="O3241">
        <v>92.47</v>
      </c>
      <c r="P3241">
        <v>120.21</v>
      </c>
    </row>
    <row r="3242" spans="1:16" x14ac:dyDescent="0.3">
      <c r="A3242">
        <v>27817</v>
      </c>
      <c r="B3242">
        <v>116</v>
      </c>
      <c r="C3242" t="s">
        <v>568</v>
      </c>
      <c r="D3242" s="453">
        <v>45748</v>
      </c>
      <c r="E3242">
        <v>25767</v>
      </c>
      <c r="F3242" t="s">
        <v>3976</v>
      </c>
      <c r="G3242">
        <v>6316</v>
      </c>
      <c r="H3242">
        <v>2</v>
      </c>
      <c r="I3242" t="s">
        <v>3892</v>
      </c>
      <c r="J3242" t="s">
        <v>3469</v>
      </c>
      <c r="K3242" t="s">
        <v>3701</v>
      </c>
      <c r="L3242">
        <v>0</v>
      </c>
      <c r="M3242" s="453">
        <v>45635</v>
      </c>
      <c r="N3242">
        <v>60</v>
      </c>
      <c r="O3242">
        <v>60</v>
      </c>
      <c r="P3242">
        <v>120</v>
      </c>
    </row>
    <row r="3243" spans="1:16" x14ac:dyDescent="0.3">
      <c r="A3243">
        <v>27933</v>
      </c>
      <c r="B3243">
        <v>116</v>
      </c>
      <c r="C3243" t="s">
        <v>568</v>
      </c>
      <c r="D3243" s="453">
        <v>45748</v>
      </c>
      <c r="E3243">
        <v>19579</v>
      </c>
      <c r="F3243" t="s">
        <v>4020</v>
      </c>
      <c r="G3243">
        <v>2640</v>
      </c>
      <c r="H3243">
        <v>2</v>
      </c>
      <c r="I3243" t="s">
        <v>3892</v>
      </c>
      <c r="J3243" t="s">
        <v>3469</v>
      </c>
      <c r="K3243" t="s">
        <v>3701</v>
      </c>
      <c r="L3243">
        <v>0</v>
      </c>
      <c r="M3243" s="453">
        <v>45635</v>
      </c>
      <c r="N3243">
        <v>60</v>
      </c>
      <c r="O3243">
        <v>69</v>
      </c>
      <c r="P3243">
        <v>120</v>
      </c>
    </row>
    <row r="3244" spans="1:16" x14ac:dyDescent="0.3">
      <c r="A3244">
        <v>27863</v>
      </c>
      <c r="B3244">
        <v>116</v>
      </c>
      <c r="C3244" t="s">
        <v>568</v>
      </c>
      <c r="D3244" s="453">
        <v>45748</v>
      </c>
      <c r="E3244">
        <v>20007</v>
      </c>
      <c r="F3244" t="s">
        <v>4009</v>
      </c>
      <c r="G3244">
        <v>2343</v>
      </c>
      <c r="H3244">
        <v>2.5</v>
      </c>
      <c r="I3244" t="s">
        <v>3966</v>
      </c>
      <c r="J3244" t="s">
        <v>3469</v>
      </c>
      <c r="K3244" t="s">
        <v>3701</v>
      </c>
      <c r="L3244">
        <v>47.49</v>
      </c>
      <c r="M3244" s="453">
        <v>45740</v>
      </c>
      <c r="N3244">
        <v>47.99</v>
      </c>
      <c r="O3244">
        <v>47.99</v>
      </c>
      <c r="P3244">
        <v>118.72</v>
      </c>
    </row>
    <row r="3245" spans="1:16" x14ac:dyDescent="0.3">
      <c r="A3245">
        <v>27946</v>
      </c>
      <c r="B3245">
        <v>116</v>
      </c>
      <c r="C3245" t="s">
        <v>568</v>
      </c>
      <c r="D3245" s="453">
        <v>45748</v>
      </c>
      <c r="E3245">
        <v>19540</v>
      </c>
      <c r="F3245" t="s">
        <v>4454</v>
      </c>
      <c r="G3245">
        <v>2676</v>
      </c>
      <c r="H3245">
        <v>14</v>
      </c>
      <c r="I3245" t="s">
        <v>3892</v>
      </c>
      <c r="J3245" t="s">
        <v>3469</v>
      </c>
      <c r="K3245" t="s">
        <v>3701</v>
      </c>
      <c r="L3245">
        <v>8.4700000000000006</v>
      </c>
      <c r="M3245" s="453">
        <v>45743</v>
      </c>
      <c r="N3245">
        <v>10.9</v>
      </c>
      <c r="O3245">
        <v>10.9</v>
      </c>
      <c r="P3245">
        <v>118.58</v>
      </c>
    </row>
    <row r="3246" spans="1:16" x14ac:dyDescent="0.3">
      <c r="A3246">
        <v>28024</v>
      </c>
      <c r="B3246">
        <v>116</v>
      </c>
      <c r="C3246" t="s">
        <v>568</v>
      </c>
      <c r="D3246" s="453">
        <v>45748</v>
      </c>
      <c r="E3246">
        <v>24226</v>
      </c>
      <c r="F3246" t="s">
        <v>3998</v>
      </c>
      <c r="G3246">
        <v>3647</v>
      </c>
      <c r="H3246">
        <v>18</v>
      </c>
      <c r="I3246" t="s">
        <v>3872</v>
      </c>
      <c r="J3246" t="s">
        <v>3497</v>
      </c>
      <c r="K3246" t="s">
        <v>3701</v>
      </c>
      <c r="L3246">
        <v>0</v>
      </c>
      <c r="M3246" s="453">
        <v>45355</v>
      </c>
      <c r="N3246">
        <v>6.42</v>
      </c>
      <c r="O3246">
        <v>6.09</v>
      </c>
      <c r="P3246">
        <v>115.5</v>
      </c>
    </row>
    <row r="3247" spans="1:16" x14ac:dyDescent="0.3">
      <c r="A3247">
        <v>27950</v>
      </c>
      <c r="B3247">
        <v>116</v>
      </c>
      <c r="C3247" t="s">
        <v>568</v>
      </c>
      <c r="D3247" s="453">
        <v>45748</v>
      </c>
      <c r="E3247">
        <v>19224</v>
      </c>
      <c r="F3247" t="s">
        <v>4485</v>
      </c>
      <c r="G3247">
        <v>5850</v>
      </c>
      <c r="H3247">
        <v>0.5</v>
      </c>
      <c r="I3247" t="s">
        <v>3872</v>
      </c>
      <c r="J3247" t="s">
        <v>3469</v>
      </c>
      <c r="K3247" t="s">
        <v>3701</v>
      </c>
      <c r="L3247">
        <v>0</v>
      </c>
      <c r="M3247" s="453">
        <v>45586</v>
      </c>
      <c r="N3247">
        <v>228.9</v>
      </c>
      <c r="O3247">
        <v>229.9</v>
      </c>
      <c r="P3247">
        <v>114.45</v>
      </c>
    </row>
    <row r="3248" spans="1:16" x14ac:dyDescent="0.3">
      <c r="A3248">
        <v>27981</v>
      </c>
      <c r="B3248">
        <v>116</v>
      </c>
      <c r="C3248" t="s">
        <v>568</v>
      </c>
      <c r="D3248" s="453">
        <v>45748</v>
      </c>
      <c r="E3248">
        <v>24599</v>
      </c>
      <c r="F3248" t="s">
        <v>3897</v>
      </c>
      <c r="G3248">
        <v>5676</v>
      </c>
      <c r="H3248">
        <v>1</v>
      </c>
      <c r="I3248" t="s">
        <v>3888</v>
      </c>
      <c r="J3248" t="s">
        <v>3497</v>
      </c>
      <c r="K3248" t="s">
        <v>3701</v>
      </c>
      <c r="L3248">
        <v>112.54</v>
      </c>
      <c r="M3248" s="453">
        <v>45747</v>
      </c>
      <c r="N3248">
        <v>111.8</v>
      </c>
      <c r="O3248">
        <v>111.8</v>
      </c>
      <c r="P3248">
        <v>112.54</v>
      </c>
    </row>
    <row r="3249" spans="1:16" x14ac:dyDescent="0.3">
      <c r="A3249">
        <v>28015</v>
      </c>
      <c r="B3249">
        <v>116</v>
      </c>
      <c r="C3249" t="s">
        <v>568</v>
      </c>
      <c r="D3249" s="453">
        <v>45748</v>
      </c>
      <c r="E3249">
        <v>18146</v>
      </c>
      <c r="F3249" t="s">
        <v>4100</v>
      </c>
      <c r="G3249">
        <v>3471</v>
      </c>
      <c r="H3249">
        <v>1</v>
      </c>
      <c r="I3249" t="s">
        <v>3878</v>
      </c>
      <c r="J3249" t="s">
        <v>3497</v>
      </c>
      <c r="K3249" t="s">
        <v>3701</v>
      </c>
      <c r="L3249">
        <v>0</v>
      </c>
      <c r="M3249" s="453">
        <v>45608</v>
      </c>
      <c r="N3249">
        <v>111.09</v>
      </c>
      <c r="O3249">
        <v>110</v>
      </c>
      <c r="P3249">
        <v>111.09</v>
      </c>
    </row>
    <row r="3250" spans="1:16" x14ac:dyDescent="0.3">
      <c r="A3250">
        <v>27830</v>
      </c>
      <c r="B3250">
        <v>116</v>
      </c>
      <c r="C3250" t="s">
        <v>568</v>
      </c>
      <c r="D3250" s="453">
        <v>45748</v>
      </c>
      <c r="E3250">
        <v>20729</v>
      </c>
      <c r="F3250" t="s">
        <v>3965</v>
      </c>
      <c r="G3250">
        <v>2093</v>
      </c>
      <c r="H3250">
        <v>2</v>
      </c>
      <c r="I3250" t="s">
        <v>3966</v>
      </c>
      <c r="J3250" t="s">
        <v>3469</v>
      </c>
      <c r="K3250" t="s">
        <v>3701</v>
      </c>
      <c r="L3250">
        <v>54.44</v>
      </c>
      <c r="M3250" s="453">
        <v>45740</v>
      </c>
      <c r="N3250">
        <v>55.78</v>
      </c>
      <c r="O3250">
        <v>54.78</v>
      </c>
      <c r="P3250">
        <v>108.88</v>
      </c>
    </row>
    <row r="3251" spans="1:16" x14ac:dyDescent="0.3">
      <c r="A3251">
        <v>28010</v>
      </c>
      <c r="B3251">
        <v>116</v>
      </c>
      <c r="C3251" t="s">
        <v>568</v>
      </c>
      <c r="D3251" s="453">
        <v>45748</v>
      </c>
      <c r="E3251">
        <v>18232</v>
      </c>
      <c r="F3251" t="s">
        <v>4091</v>
      </c>
      <c r="G3251">
        <v>3396</v>
      </c>
      <c r="H3251">
        <v>1.2</v>
      </c>
      <c r="I3251" t="s">
        <v>3878</v>
      </c>
      <c r="J3251" t="s">
        <v>3497</v>
      </c>
      <c r="K3251" t="s">
        <v>3701</v>
      </c>
      <c r="L3251">
        <v>0</v>
      </c>
      <c r="M3251" s="453">
        <v>45434</v>
      </c>
      <c r="N3251">
        <v>88.9</v>
      </c>
      <c r="O3251">
        <v>100.88</v>
      </c>
      <c r="P3251">
        <v>106.68</v>
      </c>
    </row>
    <row r="3252" spans="1:16" x14ac:dyDescent="0.3">
      <c r="A3252">
        <v>27876</v>
      </c>
      <c r="B3252">
        <v>116</v>
      </c>
      <c r="C3252" t="s">
        <v>568</v>
      </c>
      <c r="D3252" s="453">
        <v>45748</v>
      </c>
      <c r="E3252">
        <v>20624</v>
      </c>
      <c r="F3252" t="s">
        <v>3982</v>
      </c>
      <c r="G3252">
        <v>2116</v>
      </c>
      <c r="H3252">
        <v>1.5</v>
      </c>
      <c r="I3252" t="s">
        <v>3966</v>
      </c>
      <c r="J3252" t="s">
        <v>3469</v>
      </c>
      <c r="K3252" t="s">
        <v>3701</v>
      </c>
      <c r="L3252">
        <v>69.930000000000007</v>
      </c>
      <c r="M3252" s="453">
        <v>45740</v>
      </c>
      <c r="N3252">
        <v>70</v>
      </c>
      <c r="O3252">
        <v>70</v>
      </c>
      <c r="P3252">
        <v>104.9</v>
      </c>
    </row>
    <row r="3253" spans="1:16" x14ac:dyDescent="0.3">
      <c r="A3253">
        <v>27829</v>
      </c>
      <c r="B3253">
        <v>116</v>
      </c>
      <c r="C3253" t="s">
        <v>568</v>
      </c>
      <c r="D3253" s="453">
        <v>45748</v>
      </c>
      <c r="E3253">
        <v>20752</v>
      </c>
      <c r="F3253" t="s">
        <v>3964</v>
      </c>
      <c r="G3253">
        <v>2088</v>
      </c>
      <c r="H3253">
        <v>1</v>
      </c>
      <c r="I3253" t="s">
        <v>3886</v>
      </c>
      <c r="J3253" t="s">
        <v>3469</v>
      </c>
      <c r="K3253" t="s">
        <v>3701</v>
      </c>
      <c r="L3253">
        <v>101.9</v>
      </c>
      <c r="M3253" s="453">
        <v>45740</v>
      </c>
      <c r="N3253">
        <v>103.8</v>
      </c>
      <c r="O3253">
        <v>103.8</v>
      </c>
      <c r="P3253">
        <v>101.9</v>
      </c>
    </row>
    <row r="3254" spans="1:16" x14ac:dyDescent="0.3">
      <c r="A3254">
        <v>27936</v>
      </c>
      <c r="B3254">
        <v>116</v>
      </c>
      <c r="C3254" t="s">
        <v>568</v>
      </c>
      <c r="D3254" s="453">
        <v>45748</v>
      </c>
      <c r="E3254">
        <v>19566</v>
      </c>
      <c r="F3254" t="s">
        <v>3986</v>
      </c>
      <c r="G3254">
        <v>2651</v>
      </c>
      <c r="H3254">
        <v>2.5</v>
      </c>
      <c r="I3254" t="s">
        <v>3892</v>
      </c>
      <c r="J3254" t="s">
        <v>3469</v>
      </c>
      <c r="K3254" t="s">
        <v>3701</v>
      </c>
      <c r="L3254">
        <v>0</v>
      </c>
      <c r="M3254" s="453">
        <v>45635</v>
      </c>
      <c r="N3254">
        <v>40.5</v>
      </c>
      <c r="O3254">
        <v>40.5</v>
      </c>
      <c r="P3254">
        <v>101.25</v>
      </c>
    </row>
    <row r="3255" spans="1:16" x14ac:dyDescent="0.3">
      <c r="A3255">
        <v>28011</v>
      </c>
      <c r="B3255">
        <v>116</v>
      </c>
      <c r="C3255" t="s">
        <v>568</v>
      </c>
      <c r="D3255" s="453">
        <v>45748</v>
      </c>
      <c r="E3255">
        <v>18220</v>
      </c>
      <c r="F3255" t="s">
        <v>4479</v>
      </c>
      <c r="G3255">
        <v>3408</v>
      </c>
      <c r="H3255">
        <v>1</v>
      </c>
      <c r="I3255" t="s">
        <v>3878</v>
      </c>
      <c r="J3255" t="s">
        <v>3497</v>
      </c>
      <c r="K3255" t="s">
        <v>3701</v>
      </c>
      <c r="L3255">
        <v>0</v>
      </c>
      <c r="M3255" s="453">
        <v>-693593</v>
      </c>
      <c r="N3255">
        <v>0</v>
      </c>
      <c r="O3255">
        <v>102.76</v>
      </c>
      <c r="P3255">
        <v>100.89</v>
      </c>
    </row>
    <row r="3256" spans="1:16" x14ac:dyDescent="0.3">
      <c r="A3256">
        <v>27929</v>
      </c>
      <c r="B3256">
        <v>116</v>
      </c>
      <c r="C3256" t="s">
        <v>568</v>
      </c>
      <c r="D3256" s="453">
        <v>45748</v>
      </c>
      <c r="E3256">
        <v>23095</v>
      </c>
      <c r="F3256" t="s">
        <v>3882</v>
      </c>
      <c r="G3256">
        <v>2754</v>
      </c>
      <c r="H3256">
        <v>65</v>
      </c>
      <c r="I3256" t="s">
        <v>3872</v>
      </c>
      <c r="J3256" t="s">
        <v>3469</v>
      </c>
      <c r="K3256" t="s">
        <v>3701</v>
      </c>
      <c r="L3256">
        <v>1.51</v>
      </c>
      <c r="M3256" s="453">
        <v>45743</v>
      </c>
      <c r="N3256">
        <v>1.5</v>
      </c>
      <c r="O3256">
        <v>1.45</v>
      </c>
      <c r="P3256">
        <v>98.15</v>
      </c>
    </row>
    <row r="3257" spans="1:16" x14ac:dyDescent="0.3">
      <c r="A3257">
        <v>27884</v>
      </c>
      <c r="B3257">
        <v>116</v>
      </c>
      <c r="C3257" t="s">
        <v>568</v>
      </c>
      <c r="D3257" s="453">
        <v>45748</v>
      </c>
      <c r="E3257">
        <v>20466</v>
      </c>
      <c r="F3257" t="s">
        <v>4098</v>
      </c>
      <c r="G3257">
        <v>2160</v>
      </c>
      <c r="H3257">
        <v>1.6</v>
      </c>
      <c r="I3257" t="s">
        <v>3892</v>
      </c>
      <c r="J3257" t="s">
        <v>3469</v>
      </c>
      <c r="K3257" t="s">
        <v>3701</v>
      </c>
      <c r="L3257">
        <v>58</v>
      </c>
      <c r="M3257" s="453">
        <v>45734</v>
      </c>
      <c r="N3257">
        <v>58</v>
      </c>
      <c r="O3257">
        <v>58</v>
      </c>
      <c r="P3257">
        <v>92.8</v>
      </c>
    </row>
    <row r="3258" spans="1:16" x14ac:dyDescent="0.3">
      <c r="A3258">
        <v>27996</v>
      </c>
      <c r="B3258">
        <v>116</v>
      </c>
      <c r="C3258" t="s">
        <v>568</v>
      </c>
      <c r="D3258" s="453">
        <v>45748</v>
      </c>
      <c r="E3258">
        <v>18467</v>
      </c>
      <c r="F3258" t="s">
        <v>4028</v>
      </c>
      <c r="G3258">
        <v>3189</v>
      </c>
      <c r="H3258">
        <v>1.2</v>
      </c>
      <c r="I3258" t="s">
        <v>3878</v>
      </c>
      <c r="J3258" t="s">
        <v>3497</v>
      </c>
      <c r="K3258" t="s">
        <v>3701</v>
      </c>
      <c r="L3258">
        <v>76.099999999999994</v>
      </c>
      <c r="M3258" s="453">
        <v>45726</v>
      </c>
      <c r="N3258">
        <v>76.099999999999994</v>
      </c>
      <c r="O3258">
        <v>76.099999999999994</v>
      </c>
      <c r="P3258">
        <v>91.32</v>
      </c>
    </row>
    <row r="3259" spans="1:16" x14ac:dyDescent="0.3">
      <c r="A3259">
        <v>27828</v>
      </c>
      <c r="B3259">
        <v>116</v>
      </c>
      <c r="C3259" t="s">
        <v>568</v>
      </c>
      <c r="D3259" s="453">
        <v>45748</v>
      </c>
      <c r="E3259">
        <v>20755</v>
      </c>
      <c r="F3259" t="s">
        <v>4052</v>
      </c>
      <c r="G3259">
        <v>2087</v>
      </c>
      <c r="H3259">
        <v>1.5</v>
      </c>
      <c r="I3259" t="s">
        <v>3966</v>
      </c>
      <c r="J3259" t="s">
        <v>3469</v>
      </c>
      <c r="K3259" t="s">
        <v>3701</v>
      </c>
      <c r="L3259">
        <v>0</v>
      </c>
      <c r="M3259" s="453">
        <v>45497</v>
      </c>
      <c r="N3259">
        <v>60</v>
      </c>
      <c r="O3259">
        <v>60</v>
      </c>
      <c r="P3259">
        <v>90</v>
      </c>
    </row>
    <row r="3260" spans="1:16" x14ac:dyDescent="0.3">
      <c r="A3260">
        <v>27890</v>
      </c>
      <c r="B3260">
        <v>116</v>
      </c>
      <c r="C3260" t="s">
        <v>568</v>
      </c>
      <c r="D3260" s="453">
        <v>45748</v>
      </c>
      <c r="E3260">
        <v>20954</v>
      </c>
      <c r="F3260" t="s">
        <v>4452</v>
      </c>
      <c r="G3260">
        <v>2021</v>
      </c>
      <c r="H3260">
        <v>2</v>
      </c>
      <c r="I3260" t="s">
        <v>3878</v>
      </c>
      <c r="J3260" t="s">
        <v>3469</v>
      </c>
      <c r="K3260" t="s">
        <v>3701</v>
      </c>
      <c r="L3260">
        <v>0</v>
      </c>
      <c r="M3260" s="453">
        <v>-693593</v>
      </c>
      <c r="N3260">
        <v>0</v>
      </c>
      <c r="O3260">
        <v>43.99</v>
      </c>
      <c r="P3260">
        <v>87.98</v>
      </c>
    </row>
    <row r="3261" spans="1:16" x14ac:dyDescent="0.3">
      <c r="A3261">
        <v>27990</v>
      </c>
      <c r="B3261">
        <v>116</v>
      </c>
      <c r="C3261" t="s">
        <v>568</v>
      </c>
      <c r="D3261" s="453">
        <v>45748</v>
      </c>
      <c r="E3261">
        <v>18534</v>
      </c>
      <c r="F3261" t="s">
        <v>4084</v>
      </c>
      <c r="G3261">
        <v>3143</v>
      </c>
      <c r="H3261">
        <v>1</v>
      </c>
      <c r="I3261" t="s">
        <v>3878</v>
      </c>
      <c r="J3261" t="s">
        <v>3497</v>
      </c>
      <c r="K3261" t="s">
        <v>3701</v>
      </c>
      <c r="L3261">
        <v>0</v>
      </c>
      <c r="M3261" s="453">
        <v>-693593</v>
      </c>
      <c r="N3261">
        <v>0</v>
      </c>
      <c r="O3261">
        <v>10.11</v>
      </c>
      <c r="P3261">
        <v>86.89</v>
      </c>
    </row>
    <row r="3262" spans="1:16" x14ac:dyDescent="0.3">
      <c r="A3262">
        <v>27971</v>
      </c>
      <c r="B3262">
        <v>116</v>
      </c>
      <c r="C3262" t="s">
        <v>568</v>
      </c>
      <c r="D3262" s="453">
        <v>45748</v>
      </c>
      <c r="E3262">
        <v>24517</v>
      </c>
      <c r="F3262" t="s">
        <v>3991</v>
      </c>
      <c r="G3262">
        <v>3047</v>
      </c>
      <c r="H3262">
        <v>3</v>
      </c>
      <c r="I3262" t="s">
        <v>3892</v>
      </c>
      <c r="J3262" t="s">
        <v>3469</v>
      </c>
      <c r="K3262" t="s">
        <v>3701</v>
      </c>
      <c r="L3262">
        <v>28.27</v>
      </c>
      <c r="M3262" s="453">
        <v>45741</v>
      </c>
      <c r="N3262">
        <v>28.5</v>
      </c>
      <c r="O3262">
        <v>27.99</v>
      </c>
      <c r="P3262">
        <v>84.81</v>
      </c>
    </row>
    <row r="3263" spans="1:16" x14ac:dyDescent="0.3">
      <c r="A3263">
        <v>27842</v>
      </c>
      <c r="B3263">
        <v>116</v>
      </c>
      <c r="C3263" t="s">
        <v>568</v>
      </c>
      <c r="D3263" s="453">
        <v>45748</v>
      </c>
      <c r="E3263">
        <v>20682</v>
      </c>
      <c r="F3263" t="s">
        <v>3929</v>
      </c>
      <c r="G3263">
        <v>2106</v>
      </c>
      <c r="H3263">
        <v>10</v>
      </c>
      <c r="I3263" t="s">
        <v>3872</v>
      </c>
      <c r="J3263" t="s">
        <v>3469</v>
      </c>
      <c r="K3263" t="s">
        <v>3701</v>
      </c>
      <c r="L3263">
        <v>0</v>
      </c>
      <c r="M3263" s="453">
        <v>45677</v>
      </c>
      <c r="N3263">
        <v>8.4499999999999993</v>
      </c>
      <c r="O3263">
        <v>8.4499999999999993</v>
      </c>
      <c r="P3263">
        <v>84.5</v>
      </c>
    </row>
    <row r="3264" spans="1:16" x14ac:dyDescent="0.3">
      <c r="A3264">
        <v>27858</v>
      </c>
      <c r="B3264">
        <v>116</v>
      </c>
      <c r="C3264" t="s">
        <v>568</v>
      </c>
      <c r="D3264" s="453">
        <v>45748</v>
      </c>
      <c r="E3264">
        <v>24328</v>
      </c>
      <c r="F3264" t="s">
        <v>4456</v>
      </c>
      <c r="G3264">
        <v>2146</v>
      </c>
      <c r="H3264">
        <v>4</v>
      </c>
      <c r="I3264" t="s">
        <v>3892</v>
      </c>
      <c r="J3264" t="s">
        <v>3469</v>
      </c>
      <c r="K3264" t="s">
        <v>3701</v>
      </c>
      <c r="L3264">
        <v>0</v>
      </c>
      <c r="M3264" s="453">
        <v>-693593</v>
      </c>
      <c r="N3264">
        <v>0</v>
      </c>
      <c r="O3264">
        <v>20.9</v>
      </c>
      <c r="P3264">
        <v>83.6</v>
      </c>
    </row>
    <row r="3265" spans="1:16" x14ac:dyDescent="0.3">
      <c r="A3265">
        <v>27849</v>
      </c>
      <c r="B3265">
        <v>116</v>
      </c>
      <c r="C3265" t="s">
        <v>568</v>
      </c>
      <c r="D3265" s="453">
        <v>45748</v>
      </c>
      <c r="E3265">
        <v>20242</v>
      </c>
      <c r="F3265" t="s">
        <v>4120</v>
      </c>
      <c r="G3265">
        <v>2242</v>
      </c>
      <c r="H3265">
        <v>6</v>
      </c>
      <c r="I3265" t="s">
        <v>3888</v>
      </c>
      <c r="J3265" t="s">
        <v>3469</v>
      </c>
      <c r="K3265" t="s">
        <v>3701</v>
      </c>
      <c r="L3265">
        <v>0</v>
      </c>
      <c r="M3265" s="453">
        <v>45699</v>
      </c>
      <c r="N3265">
        <v>13.7</v>
      </c>
      <c r="O3265">
        <v>13.24</v>
      </c>
      <c r="P3265">
        <v>82.2</v>
      </c>
    </row>
    <row r="3266" spans="1:16" x14ac:dyDescent="0.3">
      <c r="A3266">
        <v>27897</v>
      </c>
      <c r="B3266">
        <v>116</v>
      </c>
      <c r="C3266" t="s">
        <v>568</v>
      </c>
      <c r="D3266" s="453">
        <v>45748</v>
      </c>
      <c r="E3266">
        <v>19649</v>
      </c>
      <c r="F3266" t="s">
        <v>4015</v>
      </c>
      <c r="G3266">
        <v>2589</v>
      </c>
      <c r="H3266">
        <v>3</v>
      </c>
      <c r="I3266" t="s">
        <v>3892</v>
      </c>
      <c r="J3266" t="s">
        <v>3469</v>
      </c>
      <c r="K3266" t="s">
        <v>3701</v>
      </c>
      <c r="L3266">
        <v>26.74</v>
      </c>
      <c r="M3266" s="453">
        <v>45743</v>
      </c>
      <c r="N3266">
        <v>26.9</v>
      </c>
      <c r="O3266">
        <v>26.6</v>
      </c>
      <c r="P3266">
        <v>80.22</v>
      </c>
    </row>
    <row r="3267" spans="1:16" x14ac:dyDescent="0.3">
      <c r="A3267">
        <v>27968</v>
      </c>
      <c r="B3267">
        <v>116</v>
      </c>
      <c r="C3267" t="s">
        <v>568</v>
      </c>
      <c r="D3267" s="453">
        <v>45748</v>
      </c>
      <c r="E3267">
        <v>18684</v>
      </c>
      <c r="F3267" t="s">
        <v>3925</v>
      </c>
      <c r="G3267">
        <v>3041</v>
      </c>
      <c r="H3267">
        <v>2.5</v>
      </c>
      <c r="I3267" t="s">
        <v>3892</v>
      </c>
      <c r="J3267" t="s">
        <v>3469</v>
      </c>
      <c r="K3267" t="s">
        <v>3701</v>
      </c>
      <c r="L3267">
        <v>32</v>
      </c>
      <c r="M3267" s="453">
        <v>45734</v>
      </c>
      <c r="N3267">
        <v>32</v>
      </c>
      <c r="O3267">
        <v>32</v>
      </c>
      <c r="P3267">
        <v>80</v>
      </c>
    </row>
    <row r="3268" spans="1:16" x14ac:dyDescent="0.3">
      <c r="A3268">
        <v>27850</v>
      </c>
      <c r="B3268">
        <v>116</v>
      </c>
      <c r="C3268" t="s">
        <v>568</v>
      </c>
      <c r="D3268" s="453">
        <v>45748</v>
      </c>
      <c r="E3268">
        <v>20231</v>
      </c>
      <c r="F3268" t="s">
        <v>4123</v>
      </c>
      <c r="G3268">
        <v>2247</v>
      </c>
      <c r="H3268">
        <v>4</v>
      </c>
      <c r="I3268" t="s">
        <v>3888</v>
      </c>
      <c r="J3268" t="s">
        <v>3469</v>
      </c>
      <c r="K3268" t="s">
        <v>3701</v>
      </c>
      <c r="L3268">
        <v>19.98</v>
      </c>
      <c r="M3268" s="453">
        <v>45741</v>
      </c>
      <c r="N3268">
        <v>19.98</v>
      </c>
      <c r="O3268">
        <v>19.7</v>
      </c>
      <c r="P3268">
        <v>79.92</v>
      </c>
    </row>
    <row r="3269" spans="1:16" x14ac:dyDescent="0.3">
      <c r="A3269">
        <v>27982</v>
      </c>
      <c r="B3269">
        <v>116</v>
      </c>
      <c r="C3269" t="s">
        <v>568</v>
      </c>
      <c r="D3269" s="453">
        <v>45748</v>
      </c>
      <c r="E3269">
        <v>24140</v>
      </c>
      <c r="F3269" t="s">
        <v>3889</v>
      </c>
      <c r="G3269">
        <v>3100</v>
      </c>
      <c r="H3269">
        <v>16</v>
      </c>
      <c r="I3269" t="s">
        <v>3872</v>
      </c>
      <c r="J3269" t="s">
        <v>3497</v>
      </c>
      <c r="K3269" t="s">
        <v>3701</v>
      </c>
      <c r="L3269">
        <v>0</v>
      </c>
      <c r="M3269" s="453">
        <v>45699</v>
      </c>
      <c r="N3269">
        <v>77.959999999999994</v>
      </c>
      <c r="O3269">
        <v>77.959999999999994</v>
      </c>
      <c r="P3269">
        <v>79.84</v>
      </c>
    </row>
    <row r="3270" spans="1:16" x14ac:dyDescent="0.3">
      <c r="A3270">
        <v>27995</v>
      </c>
      <c r="B3270">
        <v>116</v>
      </c>
      <c r="C3270" t="s">
        <v>568</v>
      </c>
      <c r="D3270" s="453">
        <v>45748</v>
      </c>
      <c r="E3270">
        <v>18447</v>
      </c>
      <c r="F3270" t="s">
        <v>4027</v>
      </c>
      <c r="G3270">
        <v>3204</v>
      </c>
      <c r="H3270">
        <v>6</v>
      </c>
      <c r="I3270" t="s">
        <v>3878</v>
      </c>
      <c r="J3270" t="s">
        <v>3497</v>
      </c>
      <c r="K3270" t="s">
        <v>3701</v>
      </c>
      <c r="L3270">
        <v>0</v>
      </c>
      <c r="M3270" s="453">
        <v>45664</v>
      </c>
      <c r="N3270">
        <v>13.3</v>
      </c>
      <c r="O3270">
        <v>13.3</v>
      </c>
      <c r="P3270">
        <v>79.8</v>
      </c>
    </row>
    <row r="3271" spans="1:16" x14ac:dyDescent="0.3">
      <c r="A3271">
        <v>27825</v>
      </c>
      <c r="B3271">
        <v>116</v>
      </c>
      <c r="C3271" t="s">
        <v>568</v>
      </c>
      <c r="D3271" s="453">
        <v>45748</v>
      </c>
      <c r="E3271">
        <v>20304</v>
      </c>
      <c r="F3271" t="s">
        <v>3938</v>
      </c>
      <c r="G3271">
        <v>2223</v>
      </c>
      <c r="H3271">
        <v>2</v>
      </c>
      <c r="I3271" t="s">
        <v>3888</v>
      </c>
      <c r="J3271" t="s">
        <v>3469</v>
      </c>
      <c r="K3271" t="s">
        <v>3701</v>
      </c>
      <c r="L3271">
        <v>38.9</v>
      </c>
      <c r="M3271" s="453">
        <v>45740</v>
      </c>
      <c r="N3271">
        <v>38.9</v>
      </c>
      <c r="O3271">
        <v>38.9</v>
      </c>
      <c r="P3271">
        <v>77.8</v>
      </c>
    </row>
    <row r="3272" spans="1:16" x14ac:dyDescent="0.3">
      <c r="A3272">
        <v>28029</v>
      </c>
      <c r="B3272">
        <v>116</v>
      </c>
      <c r="C3272" t="s">
        <v>568</v>
      </c>
      <c r="D3272" s="453">
        <v>45748</v>
      </c>
      <c r="E3272">
        <v>17896</v>
      </c>
      <c r="F3272" t="s">
        <v>3972</v>
      </c>
      <c r="G3272">
        <v>3664</v>
      </c>
      <c r="H3272">
        <v>2.16</v>
      </c>
      <c r="I3272" t="s">
        <v>3888</v>
      </c>
      <c r="J3272" t="s">
        <v>3497</v>
      </c>
      <c r="K3272" t="s">
        <v>3701</v>
      </c>
      <c r="L3272">
        <v>35.76</v>
      </c>
      <c r="M3272" s="453">
        <v>45740</v>
      </c>
      <c r="N3272">
        <v>35.76</v>
      </c>
      <c r="O3272">
        <v>35.76</v>
      </c>
      <c r="P3272">
        <v>77.239999999999995</v>
      </c>
    </row>
    <row r="3273" spans="1:16" x14ac:dyDescent="0.3">
      <c r="A3273">
        <v>27928</v>
      </c>
      <c r="B3273">
        <v>116</v>
      </c>
      <c r="C3273" t="s">
        <v>568</v>
      </c>
      <c r="D3273" s="453">
        <v>45748</v>
      </c>
      <c r="E3273">
        <v>24394</v>
      </c>
      <c r="F3273" t="s">
        <v>3876</v>
      </c>
      <c r="G3273">
        <v>2753</v>
      </c>
      <c r="H3273">
        <v>82</v>
      </c>
      <c r="I3273" t="s">
        <v>3872</v>
      </c>
      <c r="J3273" t="s">
        <v>3469</v>
      </c>
      <c r="K3273" t="s">
        <v>3701</v>
      </c>
      <c r="L3273">
        <v>0.94</v>
      </c>
      <c r="M3273" s="453">
        <v>45743</v>
      </c>
      <c r="N3273">
        <v>0.9</v>
      </c>
      <c r="O3273">
        <v>0.91</v>
      </c>
      <c r="P3273">
        <v>77.08</v>
      </c>
    </row>
    <row r="3274" spans="1:16" x14ac:dyDescent="0.3">
      <c r="A3274">
        <v>27851</v>
      </c>
      <c r="B3274">
        <v>116</v>
      </c>
      <c r="C3274" t="s">
        <v>568</v>
      </c>
      <c r="D3274" s="453">
        <v>45748</v>
      </c>
      <c r="E3274">
        <v>20227</v>
      </c>
      <c r="F3274" t="s">
        <v>3968</v>
      </c>
      <c r="G3274">
        <v>2248</v>
      </c>
      <c r="H3274">
        <v>6</v>
      </c>
      <c r="I3274" t="s">
        <v>3888</v>
      </c>
      <c r="J3274" t="s">
        <v>3469</v>
      </c>
      <c r="K3274" t="s">
        <v>3701</v>
      </c>
      <c r="L3274">
        <v>12.68</v>
      </c>
      <c r="M3274" s="453">
        <v>45740</v>
      </c>
      <c r="N3274">
        <v>12.69</v>
      </c>
      <c r="O3274">
        <v>12.33</v>
      </c>
      <c r="P3274">
        <v>76.08</v>
      </c>
    </row>
    <row r="3275" spans="1:16" x14ac:dyDescent="0.3">
      <c r="A3275">
        <v>27824</v>
      </c>
      <c r="B3275">
        <v>116</v>
      </c>
      <c r="C3275" t="s">
        <v>568</v>
      </c>
      <c r="D3275" s="453">
        <v>45748</v>
      </c>
      <c r="E3275">
        <v>20757</v>
      </c>
      <c r="F3275" t="s">
        <v>4050</v>
      </c>
      <c r="G3275">
        <v>2086</v>
      </c>
      <c r="H3275">
        <v>1</v>
      </c>
      <c r="I3275" t="s">
        <v>3966</v>
      </c>
      <c r="J3275" t="s">
        <v>3469</v>
      </c>
      <c r="K3275" t="s">
        <v>3701</v>
      </c>
      <c r="L3275">
        <v>0</v>
      </c>
      <c r="M3275" s="453">
        <v>45681</v>
      </c>
      <c r="N3275">
        <v>75.2</v>
      </c>
      <c r="O3275">
        <v>78.760000000000005</v>
      </c>
      <c r="P3275">
        <v>75.2</v>
      </c>
    </row>
    <row r="3276" spans="1:16" x14ac:dyDescent="0.3">
      <c r="A3276">
        <v>27879</v>
      </c>
      <c r="B3276">
        <v>116</v>
      </c>
      <c r="C3276" t="s">
        <v>568</v>
      </c>
      <c r="D3276" s="453">
        <v>45748</v>
      </c>
      <c r="E3276">
        <v>19922</v>
      </c>
      <c r="F3276" t="s">
        <v>4480</v>
      </c>
      <c r="G3276">
        <v>2375</v>
      </c>
      <c r="H3276">
        <v>1</v>
      </c>
      <c r="I3276" t="s">
        <v>3888</v>
      </c>
      <c r="J3276" t="s">
        <v>3469</v>
      </c>
      <c r="K3276" t="s">
        <v>3701</v>
      </c>
      <c r="L3276">
        <v>0</v>
      </c>
      <c r="M3276" s="453">
        <v>-693593</v>
      </c>
      <c r="N3276">
        <v>0</v>
      </c>
      <c r="O3276">
        <v>73.430000000000007</v>
      </c>
      <c r="P3276">
        <v>73.430000000000007</v>
      </c>
    </row>
    <row r="3277" spans="1:16" x14ac:dyDescent="0.3">
      <c r="A3277">
        <v>27819</v>
      </c>
      <c r="B3277">
        <v>116</v>
      </c>
      <c r="C3277" t="s">
        <v>568</v>
      </c>
      <c r="D3277" s="453">
        <v>45748</v>
      </c>
      <c r="E3277">
        <v>21166</v>
      </c>
      <c r="F3277" t="s">
        <v>4001</v>
      </c>
      <c r="G3277">
        <v>1940</v>
      </c>
      <c r="H3277">
        <v>2</v>
      </c>
      <c r="I3277" t="s">
        <v>3872</v>
      </c>
      <c r="J3277" t="s">
        <v>3469</v>
      </c>
      <c r="K3277" t="s">
        <v>3701</v>
      </c>
      <c r="L3277">
        <v>0</v>
      </c>
      <c r="M3277" s="453">
        <v>45615</v>
      </c>
      <c r="N3277">
        <v>36</v>
      </c>
      <c r="O3277">
        <v>36</v>
      </c>
      <c r="P3277">
        <v>72</v>
      </c>
    </row>
    <row r="3278" spans="1:16" x14ac:dyDescent="0.3">
      <c r="A3278">
        <v>27932</v>
      </c>
      <c r="B3278">
        <v>116</v>
      </c>
      <c r="C3278" t="s">
        <v>568</v>
      </c>
      <c r="D3278" s="453">
        <v>45748</v>
      </c>
      <c r="E3278">
        <v>19578</v>
      </c>
      <c r="F3278" t="s">
        <v>3985</v>
      </c>
      <c r="G3278">
        <v>2640</v>
      </c>
      <c r="H3278">
        <v>2</v>
      </c>
      <c r="I3278" t="s">
        <v>3892</v>
      </c>
      <c r="J3278" t="s">
        <v>3469</v>
      </c>
      <c r="K3278" t="s">
        <v>3701</v>
      </c>
      <c r="L3278">
        <v>0</v>
      </c>
      <c r="M3278" s="453">
        <v>45512</v>
      </c>
      <c r="N3278">
        <v>36</v>
      </c>
      <c r="O3278">
        <v>69</v>
      </c>
      <c r="P3278">
        <v>72</v>
      </c>
    </row>
    <row r="3279" spans="1:16" x14ac:dyDescent="0.3">
      <c r="A3279">
        <v>28007</v>
      </c>
      <c r="B3279">
        <v>116</v>
      </c>
      <c r="C3279" t="s">
        <v>568</v>
      </c>
      <c r="D3279" s="453">
        <v>45748</v>
      </c>
      <c r="E3279">
        <v>22338</v>
      </c>
      <c r="F3279" t="s">
        <v>3947</v>
      </c>
      <c r="G3279">
        <v>3376</v>
      </c>
      <c r="H3279">
        <v>2.4</v>
      </c>
      <c r="I3279" t="s">
        <v>3872</v>
      </c>
      <c r="J3279" t="s">
        <v>3497</v>
      </c>
      <c r="K3279" t="s">
        <v>3701</v>
      </c>
      <c r="L3279">
        <v>0</v>
      </c>
      <c r="M3279" s="453">
        <v>45659</v>
      </c>
      <c r="N3279">
        <v>29.97</v>
      </c>
      <c r="O3279">
        <v>28.97</v>
      </c>
      <c r="P3279">
        <v>71.930000000000007</v>
      </c>
    </row>
    <row r="3280" spans="1:16" x14ac:dyDescent="0.3">
      <c r="A3280">
        <v>27835</v>
      </c>
      <c r="B3280">
        <v>116</v>
      </c>
      <c r="C3280" t="s">
        <v>568</v>
      </c>
      <c r="D3280" s="453">
        <v>45748</v>
      </c>
      <c r="E3280">
        <v>26193</v>
      </c>
      <c r="F3280" t="s">
        <v>3950</v>
      </c>
      <c r="G3280">
        <v>6616</v>
      </c>
      <c r="H3280">
        <v>6</v>
      </c>
      <c r="I3280" t="s">
        <v>3872</v>
      </c>
      <c r="J3280" t="s">
        <v>3469</v>
      </c>
      <c r="K3280" t="s">
        <v>3701</v>
      </c>
      <c r="L3280">
        <v>0</v>
      </c>
      <c r="M3280" s="453">
        <v>-693593</v>
      </c>
      <c r="N3280">
        <v>0</v>
      </c>
      <c r="O3280">
        <v>12.48</v>
      </c>
      <c r="P3280">
        <v>71.099999999999994</v>
      </c>
    </row>
    <row r="3281" spans="1:16" x14ac:dyDescent="0.3">
      <c r="A3281">
        <v>27956</v>
      </c>
      <c r="B3281">
        <v>116</v>
      </c>
      <c r="C3281" t="s">
        <v>568</v>
      </c>
      <c r="D3281" s="453">
        <v>45748</v>
      </c>
      <c r="E3281">
        <v>19264</v>
      </c>
      <c r="F3281" t="s">
        <v>4082</v>
      </c>
      <c r="G3281">
        <v>2781</v>
      </c>
      <c r="H3281">
        <v>1</v>
      </c>
      <c r="I3281" t="s">
        <v>3888</v>
      </c>
      <c r="J3281" t="s">
        <v>3469</v>
      </c>
      <c r="K3281" t="s">
        <v>3701</v>
      </c>
      <c r="L3281">
        <v>70.2</v>
      </c>
      <c r="M3281" s="453">
        <v>45741</v>
      </c>
      <c r="N3281">
        <v>70.900000000000006</v>
      </c>
      <c r="O3281">
        <v>56.42</v>
      </c>
      <c r="P3281">
        <v>70.2</v>
      </c>
    </row>
    <row r="3282" spans="1:16" x14ac:dyDescent="0.3">
      <c r="A3282">
        <v>28006</v>
      </c>
      <c r="B3282">
        <v>116</v>
      </c>
      <c r="C3282" t="s">
        <v>568</v>
      </c>
      <c r="D3282" s="453">
        <v>45748</v>
      </c>
      <c r="E3282">
        <v>18272</v>
      </c>
      <c r="F3282" t="s">
        <v>4046</v>
      </c>
      <c r="G3282">
        <v>3358</v>
      </c>
      <c r="H3282">
        <v>1.9</v>
      </c>
      <c r="I3282" t="s">
        <v>3878</v>
      </c>
      <c r="J3282" t="s">
        <v>3497</v>
      </c>
      <c r="K3282" t="s">
        <v>3701</v>
      </c>
      <c r="L3282">
        <v>0</v>
      </c>
      <c r="M3282" s="453">
        <v>45659</v>
      </c>
      <c r="N3282">
        <v>36.6</v>
      </c>
      <c r="O3282">
        <v>37.299999999999997</v>
      </c>
      <c r="P3282">
        <v>69.540000000000006</v>
      </c>
    </row>
    <row r="3283" spans="1:16" x14ac:dyDescent="0.3">
      <c r="A3283">
        <v>27972</v>
      </c>
      <c r="B3283">
        <v>116</v>
      </c>
      <c r="C3283" t="s">
        <v>568</v>
      </c>
      <c r="D3283" s="453">
        <v>45748</v>
      </c>
      <c r="E3283">
        <v>22820</v>
      </c>
      <c r="F3283" t="s">
        <v>3896</v>
      </c>
      <c r="G3283">
        <v>2949</v>
      </c>
      <c r="H3283">
        <v>2</v>
      </c>
      <c r="I3283" t="s">
        <v>3892</v>
      </c>
      <c r="J3283" t="s">
        <v>3469</v>
      </c>
      <c r="K3283" t="s">
        <v>3701</v>
      </c>
      <c r="L3283">
        <v>0</v>
      </c>
      <c r="M3283" s="453">
        <v>45670</v>
      </c>
      <c r="N3283">
        <v>34.5</v>
      </c>
      <c r="O3283">
        <v>49.9</v>
      </c>
      <c r="P3283">
        <v>69</v>
      </c>
    </row>
    <row r="3284" spans="1:16" x14ac:dyDescent="0.3">
      <c r="A3284">
        <v>28001</v>
      </c>
      <c r="B3284">
        <v>116</v>
      </c>
      <c r="C3284" t="s">
        <v>568</v>
      </c>
      <c r="D3284" s="453">
        <v>45748</v>
      </c>
      <c r="E3284">
        <v>18325</v>
      </c>
      <c r="F3284" t="s">
        <v>4459</v>
      </c>
      <c r="G3284">
        <v>3308</v>
      </c>
      <c r="H3284">
        <v>2</v>
      </c>
      <c r="I3284" t="s">
        <v>3878</v>
      </c>
      <c r="J3284" t="s">
        <v>3497</v>
      </c>
      <c r="K3284" t="s">
        <v>3701</v>
      </c>
      <c r="L3284">
        <v>0</v>
      </c>
      <c r="M3284" s="453">
        <v>-693593</v>
      </c>
      <c r="N3284">
        <v>0</v>
      </c>
      <c r="O3284">
        <v>34.479999999999997</v>
      </c>
      <c r="P3284">
        <v>68.959999999999994</v>
      </c>
    </row>
    <row r="3285" spans="1:16" x14ac:dyDescent="0.3">
      <c r="A3285">
        <v>27988</v>
      </c>
      <c r="B3285">
        <v>116</v>
      </c>
      <c r="C3285" t="s">
        <v>568</v>
      </c>
      <c r="D3285" s="453">
        <v>45748</v>
      </c>
      <c r="E3285">
        <v>18545</v>
      </c>
      <c r="F3285" t="s">
        <v>4099</v>
      </c>
      <c r="G3285">
        <v>3134</v>
      </c>
      <c r="H3285">
        <v>1.5</v>
      </c>
      <c r="I3285" t="s">
        <v>3878</v>
      </c>
      <c r="J3285" t="s">
        <v>3497</v>
      </c>
      <c r="K3285" t="s">
        <v>3701</v>
      </c>
      <c r="L3285">
        <v>45.9</v>
      </c>
      <c r="M3285" s="453">
        <v>45721</v>
      </c>
      <c r="N3285">
        <v>45.9</v>
      </c>
      <c r="O3285">
        <v>45.54</v>
      </c>
      <c r="P3285">
        <v>68.849999999999994</v>
      </c>
    </row>
    <row r="3286" spans="1:16" x14ac:dyDescent="0.3">
      <c r="A3286">
        <v>27999</v>
      </c>
      <c r="B3286">
        <v>116</v>
      </c>
      <c r="C3286" t="s">
        <v>568</v>
      </c>
      <c r="D3286" s="453">
        <v>45748</v>
      </c>
      <c r="E3286">
        <v>18341</v>
      </c>
      <c r="F3286" t="s">
        <v>4086</v>
      </c>
      <c r="G3286">
        <v>3293</v>
      </c>
      <c r="H3286">
        <v>1.8</v>
      </c>
      <c r="I3286" t="s">
        <v>3878</v>
      </c>
      <c r="J3286" t="s">
        <v>3497</v>
      </c>
      <c r="K3286" t="s">
        <v>3701</v>
      </c>
      <c r="L3286">
        <v>0</v>
      </c>
      <c r="M3286" s="453">
        <v>-693593</v>
      </c>
      <c r="N3286">
        <v>0</v>
      </c>
      <c r="O3286">
        <v>50</v>
      </c>
      <c r="P3286">
        <v>68.400000000000006</v>
      </c>
    </row>
    <row r="3287" spans="1:16" x14ac:dyDescent="0.3">
      <c r="A3287">
        <v>27960</v>
      </c>
      <c r="B3287">
        <v>116</v>
      </c>
      <c r="C3287" t="s">
        <v>568</v>
      </c>
      <c r="D3287" s="453">
        <v>45748</v>
      </c>
      <c r="E3287">
        <v>24117</v>
      </c>
      <c r="F3287" t="s">
        <v>4463</v>
      </c>
      <c r="G3287">
        <v>2925</v>
      </c>
      <c r="H3287">
        <v>1.5</v>
      </c>
      <c r="I3287" t="s">
        <v>3892</v>
      </c>
      <c r="J3287" t="s">
        <v>3469</v>
      </c>
      <c r="K3287" t="s">
        <v>3701</v>
      </c>
      <c r="L3287">
        <v>44</v>
      </c>
      <c r="M3287" s="453">
        <v>45734</v>
      </c>
      <c r="N3287">
        <v>44</v>
      </c>
      <c r="O3287">
        <v>44</v>
      </c>
      <c r="P3287">
        <v>66</v>
      </c>
    </row>
    <row r="3288" spans="1:16" x14ac:dyDescent="0.3">
      <c r="A3288">
        <v>27865</v>
      </c>
      <c r="B3288">
        <v>116</v>
      </c>
      <c r="C3288" t="s">
        <v>568</v>
      </c>
      <c r="D3288" s="453">
        <v>45748</v>
      </c>
      <c r="E3288">
        <v>20117</v>
      </c>
      <c r="F3288" t="s">
        <v>4010</v>
      </c>
      <c r="G3288">
        <v>2291</v>
      </c>
      <c r="H3288">
        <v>2</v>
      </c>
      <c r="I3288" t="s">
        <v>3872</v>
      </c>
      <c r="J3288" t="s">
        <v>3469</v>
      </c>
      <c r="K3288" t="s">
        <v>3701</v>
      </c>
      <c r="L3288">
        <v>32.950000000000003</v>
      </c>
      <c r="M3288" s="453">
        <v>45726</v>
      </c>
      <c r="N3288">
        <v>32.950000000000003</v>
      </c>
      <c r="O3288">
        <v>37.9</v>
      </c>
      <c r="P3288">
        <v>65.900000000000006</v>
      </c>
    </row>
    <row r="3289" spans="1:16" x14ac:dyDescent="0.3">
      <c r="A3289">
        <v>27861</v>
      </c>
      <c r="B3289">
        <v>116</v>
      </c>
      <c r="C3289" t="s">
        <v>568</v>
      </c>
      <c r="D3289" s="453">
        <v>45748</v>
      </c>
      <c r="E3289">
        <v>20501</v>
      </c>
      <c r="F3289" t="s">
        <v>4219</v>
      </c>
      <c r="G3289">
        <v>2154</v>
      </c>
      <c r="H3289">
        <v>3</v>
      </c>
      <c r="I3289" t="s">
        <v>3892</v>
      </c>
      <c r="J3289" t="s">
        <v>3469</v>
      </c>
      <c r="K3289" t="s">
        <v>3701</v>
      </c>
      <c r="L3289">
        <v>21.65</v>
      </c>
      <c r="M3289" s="453">
        <v>45741</v>
      </c>
      <c r="N3289">
        <v>22.5</v>
      </c>
      <c r="O3289">
        <v>20.61</v>
      </c>
      <c r="P3289">
        <v>64.95</v>
      </c>
    </row>
    <row r="3290" spans="1:16" x14ac:dyDescent="0.3">
      <c r="A3290">
        <v>27854</v>
      </c>
      <c r="B3290">
        <v>116</v>
      </c>
      <c r="C3290" t="s">
        <v>568</v>
      </c>
      <c r="D3290" s="453">
        <v>45748</v>
      </c>
      <c r="E3290">
        <v>20213</v>
      </c>
      <c r="F3290" t="s">
        <v>4059</v>
      </c>
      <c r="G3290">
        <v>2251</v>
      </c>
      <c r="H3290">
        <v>2</v>
      </c>
      <c r="I3290" t="s">
        <v>3888</v>
      </c>
      <c r="J3290" t="s">
        <v>3469</v>
      </c>
      <c r="K3290" t="s">
        <v>3701</v>
      </c>
      <c r="L3290">
        <v>0</v>
      </c>
      <c r="M3290" s="453">
        <v>45699</v>
      </c>
      <c r="N3290">
        <v>31.8</v>
      </c>
      <c r="O3290">
        <v>30.9</v>
      </c>
      <c r="P3290">
        <v>63.6</v>
      </c>
    </row>
    <row r="3291" spans="1:16" x14ac:dyDescent="0.3">
      <c r="A3291">
        <v>27833</v>
      </c>
      <c r="B3291">
        <v>116</v>
      </c>
      <c r="C3291" t="s">
        <v>568</v>
      </c>
      <c r="D3291" s="453">
        <v>45748</v>
      </c>
      <c r="E3291">
        <v>20809</v>
      </c>
      <c r="F3291" t="s">
        <v>4005</v>
      </c>
      <c r="G3291">
        <v>2074</v>
      </c>
      <c r="H3291">
        <v>2</v>
      </c>
      <c r="I3291" t="s">
        <v>3888</v>
      </c>
      <c r="J3291" t="s">
        <v>3469</v>
      </c>
      <c r="K3291" t="s">
        <v>3701</v>
      </c>
      <c r="L3291">
        <v>31.35</v>
      </c>
      <c r="M3291" s="453">
        <v>45741</v>
      </c>
      <c r="N3291">
        <v>32.85</v>
      </c>
      <c r="O3291">
        <v>33.590000000000003</v>
      </c>
      <c r="P3291">
        <v>62.7</v>
      </c>
    </row>
    <row r="3292" spans="1:16" x14ac:dyDescent="0.3">
      <c r="A3292">
        <v>27845</v>
      </c>
      <c r="B3292">
        <v>116</v>
      </c>
      <c r="C3292" t="s">
        <v>568</v>
      </c>
      <c r="D3292" s="453">
        <v>45748</v>
      </c>
      <c r="E3292">
        <v>25720</v>
      </c>
      <c r="F3292" t="s">
        <v>3926</v>
      </c>
      <c r="G3292">
        <v>2197</v>
      </c>
      <c r="H3292">
        <v>3.6</v>
      </c>
      <c r="I3292" t="s">
        <v>3892</v>
      </c>
      <c r="J3292" t="s">
        <v>3469</v>
      </c>
      <c r="K3292" t="s">
        <v>3701</v>
      </c>
      <c r="L3292">
        <v>0</v>
      </c>
      <c r="M3292" s="453">
        <v>-693593</v>
      </c>
      <c r="N3292">
        <v>0</v>
      </c>
      <c r="O3292">
        <v>0</v>
      </c>
      <c r="P3292">
        <v>60.84</v>
      </c>
    </row>
    <row r="3293" spans="1:16" x14ac:dyDescent="0.3">
      <c r="A3293">
        <v>27927</v>
      </c>
      <c r="B3293">
        <v>116</v>
      </c>
      <c r="C3293" t="s">
        <v>568</v>
      </c>
      <c r="D3293" s="453">
        <v>45748</v>
      </c>
      <c r="E3293">
        <v>19740</v>
      </c>
      <c r="F3293" t="s">
        <v>3933</v>
      </c>
      <c r="G3293">
        <v>2513</v>
      </c>
      <c r="H3293">
        <v>7.3</v>
      </c>
      <c r="I3293" t="s">
        <v>3892</v>
      </c>
      <c r="J3293" t="s">
        <v>3469</v>
      </c>
      <c r="K3293" t="s">
        <v>3701</v>
      </c>
      <c r="L3293">
        <v>8.3000000000000007</v>
      </c>
      <c r="M3293" s="453">
        <v>45743</v>
      </c>
      <c r="N3293">
        <v>8.5</v>
      </c>
      <c r="O3293">
        <v>7.85</v>
      </c>
      <c r="P3293">
        <v>60.59</v>
      </c>
    </row>
    <row r="3294" spans="1:16" x14ac:dyDescent="0.3">
      <c r="A3294">
        <v>27959</v>
      </c>
      <c r="B3294">
        <v>116</v>
      </c>
      <c r="C3294" t="s">
        <v>568</v>
      </c>
      <c r="D3294" s="453">
        <v>45748</v>
      </c>
      <c r="E3294">
        <v>18702</v>
      </c>
      <c r="F3294" t="s">
        <v>4043</v>
      </c>
      <c r="G3294">
        <v>3033</v>
      </c>
      <c r="H3294">
        <v>1.8</v>
      </c>
      <c r="I3294" t="s">
        <v>3892</v>
      </c>
      <c r="J3294" t="s">
        <v>3469</v>
      </c>
      <c r="K3294" t="s">
        <v>3701</v>
      </c>
      <c r="L3294">
        <v>32.11</v>
      </c>
      <c r="M3294" s="453">
        <v>45741</v>
      </c>
      <c r="N3294">
        <v>32.1</v>
      </c>
      <c r="O3294">
        <v>32.1</v>
      </c>
      <c r="P3294">
        <v>57.8</v>
      </c>
    </row>
    <row r="3295" spans="1:16" x14ac:dyDescent="0.3">
      <c r="A3295">
        <v>27821</v>
      </c>
      <c r="B3295">
        <v>116</v>
      </c>
      <c r="C3295" t="s">
        <v>568</v>
      </c>
      <c r="D3295" s="453">
        <v>45748</v>
      </c>
      <c r="E3295">
        <v>21093</v>
      </c>
      <c r="F3295" t="s">
        <v>3903</v>
      </c>
      <c r="G3295">
        <v>1988</v>
      </c>
      <c r="H3295">
        <v>12</v>
      </c>
      <c r="I3295" t="s">
        <v>3892</v>
      </c>
      <c r="J3295" t="s">
        <v>3469</v>
      </c>
      <c r="K3295" t="s">
        <v>3701</v>
      </c>
      <c r="L3295">
        <v>4.79</v>
      </c>
      <c r="M3295" s="453">
        <v>45740</v>
      </c>
      <c r="N3295">
        <v>4.79</v>
      </c>
      <c r="O3295">
        <v>4.79</v>
      </c>
      <c r="P3295">
        <v>57.48</v>
      </c>
    </row>
    <row r="3296" spans="1:16" x14ac:dyDescent="0.3">
      <c r="A3296">
        <v>27886</v>
      </c>
      <c r="B3296">
        <v>116</v>
      </c>
      <c r="C3296" t="s">
        <v>568</v>
      </c>
      <c r="D3296" s="453">
        <v>45748</v>
      </c>
      <c r="E3296">
        <v>20457</v>
      </c>
      <c r="F3296" t="s">
        <v>3999</v>
      </c>
      <c r="G3296">
        <v>2165</v>
      </c>
      <c r="H3296">
        <v>1.9</v>
      </c>
      <c r="I3296" t="s">
        <v>3892</v>
      </c>
      <c r="J3296" t="s">
        <v>3469</v>
      </c>
      <c r="K3296" t="s">
        <v>3701</v>
      </c>
      <c r="L3296">
        <v>29.9</v>
      </c>
      <c r="M3296" s="453">
        <v>45734</v>
      </c>
      <c r="N3296">
        <v>29.9</v>
      </c>
      <c r="O3296">
        <v>29</v>
      </c>
      <c r="P3296">
        <v>56.81</v>
      </c>
    </row>
    <row r="3297" spans="1:16" x14ac:dyDescent="0.3">
      <c r="A3297">
        <v>28002</v>
      </c>
      <c r="B3297">
        <v>116</v>
      </c>
      <c r="C3297" t="s">
        <v>568</v>
      </c>
      <c r="D3297" s="453">
        <v>45748</v>
      </c>
      <c r="E3297">
        <v>18317</v>
      </c>
      <c r="F3297" t="s">
        <v>4045</v>
      </c>
      <c r="G3297">
        <v>3316</v>
      </c>
      <c r="H3297">
        <v>1.5</v>
      </c>
      <c r="I3297" t="s">
        <v>3878</v>
      </c>
      <c r="J3297" t="s">
        <v>3497</v>
      </c>
      <c r="K3297" t="s">
        <v>3701</v>
      </c>
      <c r="L3297">
        <v>0</v>
      </c>
      <c r="M3297" s="453">
        <v>45699</v>
      </c>
      <c r="N3297">
        <v>37.57</v>
      </c>
      <c r="O3297">
        <v>35.909999999999997</v>
      </c>
      <c r="P3297">
        <v>56.36</v>
      </c>
    </row>
    <row r="3298" spans="1:16" x14ac:dyDescent="0.3">
      <c r="A3298">
        <v>27916</v>
      </c>
      <c r="B3298">
        <v>116</v>
      </c>
      <c r="C3298" t="s">
        <v>568</v>
      </c>
      <c r="D3298" s="453">
        <v>45748</v>
      </c>
      <c r="E3298">
        <v>19765</v>
      </c>
      <c r="F3298" t="s">
        <v>4071</v>
      </c>
      <c r="G3298">
        <v>2488</v>
      </c>
      <c r="H3298">
        <v>1.5</v>
      </c>
      <c r="I3298" t="s">
        <v>3892</v>
      </c>
      <c r="J3298" t="s">
        <v>3469</v>
      </c>
      <c r="K3298" t="s">
        <v>3701</v>
      </c>
      <c r="L3298">
        <v>0</v>
      </c>
      <c r="M3298" s="453">
        <v>45680</v>
      </c>
      <c r="N3298">
        <v>37.26</v>
      </c>
      <c r="O3298">
        <v>35.299999999999997</v>
      </c>
      <c r="P3298">
        <v>55.89</v>
      </c>
    </row>
    <row r="3299" spans="1:16" x14ac:dyDescent="0.3">
      <c r="A3299">
        <v>27880</v>
      </c>
      <c r="B3299">
        <v>116</v>
      </c>
      <c r="C3299" t="s">
        <v>568</v>
      </c>
      <c r="D3299" s="453">
        <v>45748</v>
      </c>
      <c r="E3299">
        <v>20487</v>
      </c>
      <c r="F3299" t="s">
        <v>4310</v>
      </c>
      <c r="G3299">
        <v>2157</v>
      </c>
      <c r="H3299">
        <v>2</v>
      </c>
      <c r="I3299" t="s">
        <v>3892</v>
      </c>
      <c r="J3299" t="s">
        <v>3469</v>
      </c>
      <c r="K3299" t="s">
        <v>3701</v>
      </c>
      <c r="L3299">
        <v>27.75</v>
      </c>
      <c r="M3299" s="453">
        <v>45741</v>
      </c>
      <c r="N3299">
        <v>27.75</v>
      </c>
      <c r="O3299">
        <v>27.75</v>
      </c>
      <c r="P3299">
        <v>55.5</v>
      </c>
    </row>
    <row r="3300" spans="1:16" x14ac:dyDescent="0.3">
      <c r="A3300">
        <v>27840</v>
      </c>
      <c r="B3300">
        <v>116</v>
      </c>
      <c r="C3300" t="s">
        <v>568</v>
      </c>
      <c r="D3300" s="453">
        <v>45748</v>
      </c>
      <c r="E3300">
        <v>20555</v>
      </c>
      <c r="F3300" t="s">
        <v>3959</v>
      </c>
      <c r="G3300">
        <v>2139</v>
      </c>
      <c r="H3300">
        <v>0.7</v>
      </c>
      <c r="I3300" t="s">
        <v>3892</v>
      </c>
      <c r="J3300" t="s">
        <v>3469</v>
      </c>
      <c r="K3300" t="s">
        <v>3701</v>
      </c>
      <c r="L3300">
        <v>79</v>
      </c>
      <c r="M3300" s="453">
        <v>45734</v>
      </c>
      <c r="N3300">
        <v>79</v>
      </c>
      <c r="O3300">
        <v>79</v>
      </c>
      <c r="P3300">
        <v>55.3</v>
      </c>
    </row>
    <row r="3301" spans="1:16" x14ac:dyDescent="0.3">
      <c r="A3301">
        <v>27838</v>
      </c>
      <c r="B3301">
        <v>116</v>
      </c>
      <c r="C3301" t="s">
        <v>568</v>
      </c>
      <c r="D3301" s="453">
        <v>45748</v>
      </c>
      <c r="E3301">
        <v>20702</v>
      </c>
      <c r="F3301" t="s">
        <v>4006</v>
      </c>
      <c r="G3301">
        <v>2101</v>
      </c>
      <c r="H3301">
        <v>1</v>
      </c>
      <c r="I3301" t="s">
        <v>3966</v>
      </c>
      <c r="J3301" t="s">
        <v>3469</v>
      </c>
      <c r="K3301" t="s">
        <v>3701</v>
      </c>
      <c r="L3301">
        <v>54.72</v>
      </c>
      <c r="M3301" s="453">
        <v>45734</v>
      </c>
      <c r="N3301">
        <v>54.7</v>
      </c>
      <c r="O3301">
        <v>38</v>
      </c>
      <c r="P3301">
        <v>54.72</v>
      </c>
    </row>
    <row r="3302" spans="1:16" x14ac:dyDescent="0.3">
      <c r="A3302">
        <v>28025</v>
      </c>
      <c r="B3302">
        <v>116</v>
      </c>
      <c r="C3302" t="s">
        <v>568</v>
      </c>
      <c r="D3302" s="453">
        <v>45748</v>
      </c>
      <c r="E3302">
        <v>24227</v>
      </c>
      <c r="F3302" t="s">
        <v>3970</v>
      </c>
      <c r="G3302">
        <v>3648</v>
      </c>
      <c r="H3302">
        <v>8</v>
      </c>
      <c r="I3302" t="s">
        <v>3872</v>
      </c>
      <c r="J3302" t="s">
        <v>3497</v>
      </c>
      <c r="K3302" t="s">
        <v>3701</v>
      </c>
      <c r="L3302">
        <v>0</v>
      </c>
      <c r="M3302" s="453">
        <v>-693593</v>
      </c>
      <c r="N3302">
        <v>0</v>
      </c>
      <c r="O3302">
        <v>6.82</v>
      </c>
      <c r="P3302">
        <v>54.56</v>
      </c>
    </row>
    <row r="3303" spans="1:16" x14ac:dyDescent="0.3">
      <c r="A3303">
        <v>27987</v>
      </c>
      <c r="B3303">
        <v>116</v>
      </c>
      <c r="C3303" t="s">
        <v>568</v>
      </c>
      <c r="D3303" s="453">
        <v>45748</v>
      </c>
      <c r="E3303">
        <v>18528</v>
      </c>
      <c r="F3303" t="s">
        <v>4108</v>
      </c>
      <c r="G3303">
        <v>3147</v>
      </c>
      <c r="H3303">
        <v>1</v>
      </c>
      <c r="I3303" t="s">
        <v>3878</v>
      </c>
      <c r="J3303" t="s">
        <v>3497</v>
      </c>
      <c r="K3303" t="s">
        <v>3701</v>
      </c>
      <c r="L3303">
        <v>0</v>
      </c>
      <c r="M3303" s="453">
        <v>45712</v>
      </c>
      <c r="N3303">
        <v>54.27</v>
      </c>
      <c r="O3303">
        <v>54.27</v>
      </c>
      <c r="P3303">
        <v>54.27</v>
      </c>
    </row>
    <row r="3304" spans="1:16" x14ac:dyDescent="0.3">
      <c r="A3304">
        <v>27986</v>
      </c>
      <c r="B3304">
        <v>116</v>
      </c>
      <c r="C3304" t="s">
        <v>568</v>
      </c>
      <c r="D3304" s="453">
        <v>45748</v>
      </c>
      <c r="E3304">
        <v>18547</v>
      </c>
      <c r="F3304" t="s">
        <v>3962</v>
      </c>
      <c r="G3304">
        <v>3132</v>
      </c>
      <c r="H3304">
        <v>1.5</v>
      </c>
      <c r="I3304" t="s">
        <v>3878</v>
      </c>
      <c r="J3304" t="s">
        <v>3497</v>
      </c>
      <c r="K3304" t="s">
        <v>3701</v>
      </c>
      <c r="L3304">
        <v>35.5</v>
      </c>
      <c r="M3304" s="453">
        <v>45721</v>
      </c>
      <c r="N3304">
        <v>35.5</v>
      </c>
      <c r="O3304">
        <v>34.75</v>
      </c>
      <c r="P3304">
        <v>53.25</v>
      </c>
    </row>
    <row r="3305" spans="1:16" x14ac:dyDescent="0.3">
      <c r="A3305">
        <v>28017</v>
      </c>
      <c r="B3305">
        <v>116</v>
      </c>
      <c r="C3305" t="s">
        <v>568</v>
      </c>
      <c r="D3305" s="453">
        <v>45748</v>
      </c>
      <c r="E3305">
        <v>18030</v>
      </c>
      <c r="F3305" t="s">
        <v>4033</v>
      </c>
      <c r="G3305">
        <v>3568</v>
      </c>
      <c r="H3305">
        <v>2</v>
      </c>
      <c r="I3305" t="s">
        <v>3878</v>
      </c>
      <c r="J3305" t="s">
        <v>3497</v>
      </c>
      <c r="K3305" t="s">
        <v>3701</v>
      </c>
      <c r="L3305">
        <v>25.9</v>
      </c>
      <c r="M3305" s="453">
        <v>45734</v>
      </c>
      <c r="N3305">
        <v>25.9</v>
      </c>
      <c r="O3305">
        <v>25.9</v>
      </c>
      <c r="P3305">
        <v>51.8</v>
      </c>
    </row>
    <row r="3306" spans="1:16" x14ac:dyDescent="0.3">
      <c r="A3306">
        <v>27885</v>
      </c>
      <c r="B3306">
        <v>116</v>
      </c>
      <c r="C3306" t="s">
        <v>568</v>
      </c>
      <c r="D3306" s="453">
        <v>45748</v>
      </c>
      <c r="E3306">
        <v>20458</v>
      </c>
      <c r="F3306" t="s">
        <v>4121</v>
      </c>
      <c r="G3306">
        <v>2164</v>
      </c>
      <c r="H3306">
        <v>1.4</v>
      </c>
      <c r="I3306" t="s">
        <v>3892</v>
      </c>
      <c r="J3306" t="s">
        <v>3469</v>
      </c>
      <c r="K3306" t="s">
        <v>3701</v>
      </c>
      <c r="L3306">
        <v>36.4</v>
      </c>
      <c r="M3306" s="453">
        <v>45726</v>
      </c>
      <c r="N3306">
        <v>36.4</v>
      </c>
      <c r="O3306">
        <v>36.4</v>
      </c>
      <c r="P3306">
        <v>50.96</v>
      </c>
    </row>
    <row r="3307" spans="1:16" x14ac:dyDescent="0.3">
      <c r="A3307">
        <v>27860</v>
      </c>
      <c r="B3307">
        <v>116</v>
      </c>
      <c r="C3307" t="s">
        <v>568</v>
      </c>
      <c r="D3307" s="453">
        <v>45748</v>
      </c>
      <c r="E3307">
        <v>20508</v>
      </c>
      <c r="F3307" t="s">
        <v>4449</v>
      </c>
      <c r="G3307">
        <v>2153</v>
      </c>
      <c r="H3307">
        <v>1.8</v>
      </c>
      <c r="I3307" t="s">
        <v>3892</v>
      </c>
      <c r="J3307" t="s">
        <v>3469</v>
      </c>
      <c r="K3307" t="s">
        <v>3701</v>
      </c>
      <c r="L3307">
        <v>0</v>
      </c>
      <c r="M3307" s="453">
        <v>45678</v>
      </c>
      <c r="N3307">
        <v>28</v>
      </c>
      <c r="O3307">
        <v>28</v>
      </c>
      <c r="P3307">
        <v>50.4</v>
      </c>
    </row>
    <row r="3308" spans="1:16" x14ac:dyDescent="0.3">
      <c r="A3308">
        <v>27866</v>
      </c>
      <c r="B3308">
        <v>116</v>
      </c>
      <c r="C3308" t="s">
        <v>568</v>
      </c>
      <c r="D3308" s="453">
        <v>45748</v>
      </c>
      <c r="E3308">
        <v>20832</v>
      </c>
      <c r="F3308" t="s">
        <v>4060</v>
      </c>
      <c r="G3308">
        <v>2065</v>
      </c>
      <c r="H3308">
        <v>1.5</v>
      </c>
      <c r="I3308" t="s">
        <v>3886</v>
      </c>
      <c r="J3308" t="s">
        <v>3469</v>
      </c>
      <c r="K3308" t="s">
        <v>3701</v>
      </c>
      <c r="L3308">
        <v>33</v>
      </c>
      <c r="M3308" s="453">
        <v>45740</v>
      </c>
      <c r="N3308">
        <v>33</v>
      </c>
      <c r="O3308">
        <v>33.9</v>
      </c>
      <c r="P3308">
        <v>49.5</v>
      </c>
    </row>
    <row r="3309" spans="1:16" x14ac:dyDescent="0.3">
      <c r="A3309">
        <v>27997</v>
      </c>
      <c r="B3309">
        <v>116</v>
      </c>
      <c r="C3309" t="s">
        <v>568</v>
      </c>
      <c r="D3309" s="453">
        <v>45748</v>
      </c>
      <c r="E3309">
        <v>18395</v>
      </c>
      <c r="F3309" t="s">
        <v>4085</v>
      </c>
      <c r="G3309">
        <v>3245</v>
      </c>
      <c r="H3309">
        <v>1.5</v>
      </c>
      <c r="I3309" t="s">
        <v>3878</v>
      </c>
      <c r="J3309" t="s">
        <v>3497</v>
      </c>
      <c r="K3309" t="s">
        <v>3701</v>
      </c>
      <c r="L3309">
        <v>0</v>
      </c>
      <c r="M3309" s="453">
        <v>45569</v>
      </c>
      <c r="N3309">
        <v>32.43</v>
      </c>
      <c r="O3309">
        <v>33.9</v>
      </c>
      <c r="P3309">
        <v>48.64</v>
      </c>
    </row>
    <row r="3310" spans="1:16" x14ac:dyDescent="0.3">
      <c r="A3310">
        <v>27980</v>
      </c>
      <c r="B3310">
        <v>116</v>
      </c>
      <c r="C3310" t="s">
        <v>568</v>
      </c>
      <c r="D3310" s="453">
        <v>45748</v>
      </c>
      <c r="E3310">
        <v>21555</v>
      </c>
      <c r="F3310" t="s">
        <v>4493</v>
      </c>
      <c r="G3310">
        <v>4165</v>
      </c>
      <c r="H3310">
        <v>6</v>
      </c>
      <c r="I3310" t="s">
        <v>3892</v>
      </c>
      <c r="J3310" t="s">
        <v>3497</v>
      </c>
      <c r="K3310" t="s">
        <v>3701</v>
      </c>
      <c r="L3310">
        <v>0</v>
      </c>
      <c r="M3310" s="453">
        <v>45663</v>
      </c>
      <c r="N3310">
        <v>8</v>
      </c>
      <c r="O3310">
        <v>8</v>
      </c>
      <c r="P3310">
        <v>48</v>
      </c>
    </row>
    <row r="3311" spans="1:16" x14ac:dyDescent="0.3">
      <c r="A3311">
        <v>27871</v>
      </c>
      <c r="B3311">
        <v>116</v>
      </c>
      <c r="C3311" t="s">
        <v>568</v>
      </c>
      <c r="D3311" s="453">
        <v>45748</v>
      </c>
      <c r="E3311">
        <v>19973</v>
      </c>
      <c r="F3311" t="s">
        <v>3981</v>
      </c>
      <c r="G3311">
        <v>2354</v>
      </c>
      <c r="H3311">
        <v>3</v>
      </c>
      <c r="I3311" t="s">
        <v>3872</v>
      </c>
      <c r="J3311" t="s">
        <v>3469</v>
      </c>
      <c r="K3311" t="s">
        <v>3701</v>
      </c>
      <c r="L3311">
        <v>15.6</v>
      </c>
      <c r="M3311" s="453">
        <v>45741</v>
      </c>
      <c r="N3311">
        <v>15.6</v>
      </c>
      <c r="O3311">
        <v>15.6</v>
      </c>
      <c r="P3311">
        <v>46.8</v>
      </c>
    </row>
    <row r="3312" spans="1:16" x14ac:dyDescent="0.3">
      <c r="A3312">
        <v>27949</v>
      </c>
      <c r="B3312">
        <v>116</v>
      </c>
      <c r="C3312" t="s">
        <v>568</v>
      </c>
      <c r="D3312" s="453">
        <v>45748</v>
      </c>
      <c r="E3312">
        <v>19428</v>
      </c>
      <c r="F3312" t="s">
        <v>4169</v>
      </c>
      <c r="G3312">
        <v>2758</v>
      </c>
      <c r="H3312">
        <v>8</v>
      </c>
      <c r="I3312" t="s">
        <v>3872</v>
      </c>
      <c r="J3312" t="s">
        <v>3469</v>
      </c>
      <c r="K3312" t="s">
        <v>3701</v>
      </c>
      <c r="L3312">
        <v>5.82</v>
      </c>
      <c r="M3312" s="453">
        <v>45740</v>
      </c>
      <c r="N3312">
        <v>5.89</v>
      </c>
      <c r="O3312">
        <v>5.89</v>
      </c>
      <c r="P3312">
        <v>46.56</v>
      </c>
    </row>
    <row r="3313" spans="1:16" x14ac:dyDescent="0.3">
      <c r="A3313">
        <v>27900</v>
      </c>
      <c r="B3313">
        <v>116</v>
      </c>
      <c r="C3313" t="s">
        <v>568</v>
      </c>
      <c r="D3313" s="453">
        <v>45748</v>
      </c>
      <c r="E3313">
        <v>24083</v>
      </c>
      <c r="F3313" t="s">
        <v>3898</v>
      </c>
      <c r="G3313">
        <v>2592</v>
      </c>
      <c r="H3313">
        <v>10</v>
      </c>
      <c r="I3313" t="s">
        <v>3892</v>
      </c>
      <c r="J3313" t="s">
        <v>3469</v>
      </c>
      <c r="K3313" t="s">
        <v>3701</v>
      </c>
      <c r="L3313">
        <v>4.51</v>
      </c>
      <c r="M3313" s="453">
        <v>45743</v>
      </c>
      <c r="N3313">
        <v>4.16</v>
      </c>
      <c r="O3313">
        <v>4.32</v>
      </c>
      <c r="P3313">
        <v>45.1</v>
      </c>
    </row>
    <row r="3314" spans="1:16" x14ac:dyDescent="0.3">
      <c r="A3314">
        <v>27891</v>
      </c>
      <c r="B3314">
        <v>116</v>
      </c>
      <c r="C3314" t="s">
        <v>568</v>
      </c>
      <c r="D3314" s="453">
        <v>45748</v>
      </c>
      <c r="E3314">
        <v>19787</v>
      </c>
      <c r="F3314" t="s">
        <v>3940</v>
      </c>
      <c r="G3314">
        <v>2471</v>
      </c>
      <c r="H3314">
        <v>7.3</v>
      </c>
      <c r="I3314" t="s">
        <v>3892</v>
      </c>
      <c r="J3314" t="s">
        <v>3469</v>
      </c>
      <c r="K3314" t="s">
        <v>3701</v>
      </c>
      <c r="L3314">
        <v>6.17</v>
      </c>
      <c r="M3314" s="453">
        <v>45743</v>
      </c>
      <c r="N3314">
        <v>5.75</v>
      </c>
      <c r="O3314">
        <v>5.65</v>
      </c>
      <c r="P3314">
        <v>45.04</v>
      </c>
    </row>
    <row r="3315" spans="1:16" x14ac:dyDescent="0.3">
      <c r="A3315">
        <v>27822</v>
      </c>
      <c r="B3315">
        <v>116</v>
      </c>
      <c r="C3315" t="s">
        <v>568</v>
      </c>
      <c r="D3315" s="453">
        <v>45748</v>
      </c>
      <c r="E3315">
        <v>21085</v>
      </c>
      <c r="F3315" t="s">
        <v>4114</v>
      </c>
      <c r="G3315">
        <v>1989</v>
      </c>
      <c r="H3315">
        <v>1</v>
      </c>
      <c r="I3315" t="s">
        <v>3881</v>
      </c>
      <c r="J3315" t="s">
        <v>3469</v>
      </c>
      <c r="K3315" t="s">
        <v>3701</v>
      </c>
      <c r="L3315">
        <v>0</v>
      </c>
      <c r="M3315" s="453">
        <v>45524</v>
      </c>
      <c r="N3315">
        <v>44.8</v>
      </c>
      <c r="O3315">
        <v>18.690000000000001</v>
      </c>
      <c r="P3315">
        <v>44.8</v>
      </c>
    </row>
    <row r="3316" spans="1:16" x14ac:dyDescent="0.3">
      <c r="A3316">
        <v>27870</v>
      </c>
      <c r="B3316">
        <v>116</v>
      </c>
      <c r="C3316" t="s">
        <v>568</v>
      </c>
      <c r="D3316" s="453">
        <v>45748</v>
      </c>
      <c r="E3316">
        <v>19986</v>
      </c>
      <c r="F3316" t="s">
        <v>4484</v>
      </c>
      <c r="G3316">
        <v>2351</v>
      </c>
      <c r="H3316">
        <v>3</v>
      </c>
      <c r="I3316" t="s">
        <v>3931</v>
      </c>
      <c r="J3316" t="s">
        <v>3469</v>
      </c>
      <c r="K3316" t="s">
        <v>3701</v>
      </c>
      <c r="L3316">
        <v>0</v>
      </c>
      <c r="M3316" s="453">
        <v>45664</v>
      </c>
      <c r="N3316">
        <v>0</v>
      </c>
      <c r="O3316">
        <v>0</v>
      </c>
      <c r="P3316">
        <v>44.7</v>
      </c>
    </row>
    <row r="3317" spans="1:16" x14ac:dyDescent="0.3">
      <c r="A3317">
        <v>27889</v>
      </c>
      <c r="B3317">
        <v>116</v>
      </c>
      <c r="C3317" t="s">
        <v>568</v>
      </c>
      <c r="D3317" s="453">
        <v>45748</v>
      </c>
      <c r="E3317">
        <v>20965</v>
      </c>
      <c r="F3317" t="s">
        <v>3969</v>
      </c>
      <c r="G3317">
        <v>2013</v>
      </c>
      <c r="H3317">
        <v>3</v>
      </c>
      <c r="I3317" t="s">
        <v>3872</v>
      </c>
      <c r="J3317" t="s">
        <v>3469</v>
      </c>
      <c r="K3317" t="s">
        <v>3701</v>
      </c>
      <c r="L3317">
        <v>0</v>
      </c>
      <c r="M3317" s="453">
        <v>45706</v>
      </c>
      <c r="N3317">
        <v>14.9</v>
      </c>
      <c r="O3317">
        <v>14.9</v>
      </c>
      <c r="P3317">
        <v>44.7</v>
      </c>
    </row>
    <row r="3318" spans="1:16" x14ac:dyDescent="0.3">
      <c r="A3318">
        <v>27977</v>
      </c>
      <c r="B3318">
        <v>116</v>
      </c>
      <c r="C3318" t="s">
        <v>568</v>
      </c>
      <c r="D3318" s="453">
        <v>45748</v>
      </c>
      <c r="E3318">
        <v>18666</v>
      </c>
      <c r="F3318" t="s">
        <v>4003</v>
      </c>
      <c r="G3318">
        <v>3053</v>
      </c>
      <c r="H3318">
        <v>2</v>
      </c>
      <c r="I3318" t="s">
        <v>3892</v>
      </c>
      <c r="J3318" t="s">
        <v>3469</v>
      </c>
      <c r="K3318" t="s">
        <v>3701</v>
      </c>
      <c r="L3318">
        <v>22</v>
      </c>
      <c r="M3318" s="453">
        <v>45741</v>
      </c>
      <c r="N3318">
        <v>22</v>
      </c>
      <c r="O3318">
        <v>22</v>
      </c>
      <c r="P3318">
        <v>44</v>
      </c>
    </row>
    <row r="3319" spans="1:16" x14ac:dyDescent="0.3">
      <c r="A3319">
        <v>27967</v>
      </c>
      <c r="B3319">
        <v>116</v>
      </c>
      <c r="C3319" t="s">
        <v>568</v>
      </c>
      <c r="D3319" s="453">
        <v>45748</v>
      </c>
      <c r="E3319">
        <v>18685</v>
      </c>
      <c r="F3319" t="s">
        <v>3945</v>
      </c>
      <c r="G3319">
        <v>3040</v>
      </c>
      <c r="H3319">
        <v>1.2</v>
      </c>
      <c r="I3319" t="s">
        <v>3892</v>
      </c>
      <c r="J3319" t="s">
        <v>3469</v>
      </c>
      <c r="K3319" t="s">
        <v>3701</v>
      </c>
      <c r="L3319">
        <v>35</v>
      </c>
      <c r="M3319" s="453">
        <v>45741</v>
      </c>
      <c r="N3319">
        <v>35</v>
      </c>
      <c r="O3319">
        <v>36</v>
      </c>
      <c r="P3319">
        <v>42</v>
      </c>
    </row>
    <row r="3320" spans="1:16" x14ac:dyDescent="0.3">
      <c r="A3320">
        <v>27905</v>
      </c>
      <c r="B3320">
        <v>116</v>
      </c>
      <c r="C3320" t="s">
        <v>568</v>
      </c>
      <c r="D3320" s="453">
        <v>45748</v>
      </c>
      <c r="E3320">
        <v>19494</v>
      </c>
      <c r="F3320" t="s">
        <v>4126</v>
      </c>
      <c r="G3320">
        <v>2716</v>
      </c>
      <c r="H3320">
        <v>2</v>
      </c>
      <c r="I3320" t="s">
        <v>3892</v>
      </c>
      <c r="J3320" t="s">
        <v>3469</v>
      </c>
      <c r="K3320" t="s">
        <v>3701</v>
      </c>
      <c r="L3320">
        <v>20.74</v>
      </c>
      <c r="M3320" s="453">
        <v>45743</v>
      </c>
      <c r="N3320">
        <v>20</v>
      </c>
      <c r="O3320">
        <v>20</v>
      </c>
      <c r="P3320">
        <v>41.48</v>
      </c>
    </row>
    <row r="3321" spans="1:16" x14ac:dyDescent="0.3">
      <c r="A3321">
        <v>27855</v>
      </c>
      <c r="B3321">
        <v>116</v>
      </c>
      <c r="C3321" t="s">
        <v>568</v>
      </c>
      <c r="D3321" s="453">
        <v>45748</v>
      </c>
      <c r="E3321">
        <v>20053</v>
      </c>
      <c r="F3321" t="s">
        <v>4457</v>
      </c>
      <c r="G3321">
        <v>2326</v>
      </c>
      <c r="H3321">
        <v>1</v>
      </c>
      <c r="I3321" t="s">
        <v>3888</v>
      </c>
      <c r="J3321" t="s">
        <v>3469</v>
      </c>
      <c r="K3321" t="s">
        <v>3701</v>
      </c>
      <c r="L3321">
        <v>0</v>
      </c>
      <c r="M3321" s="453">
        <v>45695</v>
      </c>
      <c r="N3321">
        <v>41.2</v>
      </c>
      <c r="O3321">
        <v>39.99</v>
      </c>
      <c r="P3321">
        <v>41.2</v>
      </c>
    </row>
    <row r="3322" spans="1:16" x14ac:dyDescent="0.3">
      <c r="A3322">
        <v>28012</v>
      </c>
      <c r="B3322">
        <v>116</v>
      </c>
      <c r="C3322" t="s">
        <v>568</v>
      </c>
      <c r="D3322" s="453">
        <v>45748</v>
      </c>
      <c r="E3322">
        <v>18200</v>
      </c>
      <c r="F3322" t="s">
        <v>4032</v>
      </c>
      <c r="G3322">
        <v>3426</v>
      </c>
      <c r="H3322">
        <v>1</v>
      </c>
      <c r="I3322" t="s">
        <v>3878</v>
      </c>
      <c r="J3322" t="s">
        <v>3497</v>
      </c>
      <c r="K3322" t="s">
        <v>3701</v>
      </c>
      <c r="L3322">
        <v>0</v>
      </c>
      <c r="M3322" s="453">
        <v>45699</v>
      </c>
      <c r="N3322">
        <v>41.18</v>
      </c>
      <c r="O3322">
        <v>41.5</v>
      </c>
      <c r="P3322">
        <v>41.18</v>
      </c>
    </row>
    <row r="3323" spans="1:16" x14ac:dyDescent="0.3">
      <c r="A3323">
        <v>27937</v>
      </c>
      <c r="B3323">
        <v>116</v>
      </c>
      <c r="C3323" t="s">
        <v>568</v>
      </c>
      <c r="D3323" s="453">
        <v>45748</v>
      </c>
      <c r="E3323">
        <v>19565</v>
      </c>
      <c r="F3323" t="s">
        <v>3987</v>
      </c>
      <c r="G3323">
        <v>2652</v>
      </c>
      <c r="H3323">
        <v>1</v>
      </c>
      <c r="I3323" t="s">
        <v>3892</v>
      </c>
      <c r="J3323" t="s">
        <v>3469</v>
      </c>
      <c r="K3323" t="s">
        <v>3701</v>
      </c>
      <c r="L3323">
        <v>0</v>
      </c>
      <c r="M3323" s="453">
        <v>45635</v>
      </c>
      <c r="N3323">
        <v>40.5</v>
      </c>
      <c r="O3323">
        <v>4.2</v>
      </c>
      <c r="P3323">
        <v>40.5</v>
      </c>
    </row>
    <row r="3324" spans="1:16" x14ac:dyDescent="0.3">
      <c r="A3324">
        <v>27945</v>
      </c>
      <c r="B3324">
        <v>116</v>
      </c>
      <c r="C3324" t="s">
        <v>568</v>
      </c>
      <c r="D3324" s="453">
        <v>45748</v>
      </c>
      <c r="E3324">
        <v>19544</v>
      </c>
      <c r="F3324" t="s">
        <v>4473</v>
      </c>
      <c r="G3324">
        <v>2672</v>
      </c>
      <c r="H3324">
        <v>4.5</v>
      </c>
      <c r="I3324" t="s">
        <v>3892</v>
      </c>
      <c r="J3324" t="s">
        <v>3469</v>
      </c>
      <c r="K3324" t="s">
        <v>3701</v>
      </c>
      <c r="L3324">
        <v>8.98</v>
      </c>
      <c r="M3324" s="453">
        <v>45743</v>
      </c>
      <c r="N3324">
        <v>10.9</v>
      </c>
      <c r="O3324">
        <v>10.9</v>
      </c>
      <c r="P3324">
        <v>40.409999999999997</v>
      </c>
    </row>
    <row r="3325" spans="1:16" x14ac:dyDescent="0.3">
      <c r="A3325">
        <v>27847</v>
      </c>
      <c r="B3325">
        <v>116</v>
      </c>
      <c r="C3325" t="s">
        <v>568</v>
      </c>
      <c r="D3325" s="453">
        <v>45748</v>
      </c>
      <c r="E3325">
        <v>20358</v>
      </c>
      <c r="F3325" t="s">
        <v>3952</v>
      </c>
      <c r="G3325">
        <v>2200</v>
      </c>
      <c r="H3325">
        <v>2.7</v>
      </c>
      <c r="I3325" t="s">
        <v>3888</v>
      </c>
      <c r="J3325" t="s">
        <v>3469</v>
      </c>
      <c r="K3325" t="s">
        <v>3701</v>
      </c>
      <c r="L3325">
        <v>0</v>
      </c>
      <c r="M3325" s="453">
        <v>45695</v>
      </c>
      <c r="N3325">
        <v>14.49</v>
      </c>
      <c r="O3325">
        <v>14.4</v>
      </c>
      <c r="P3325">
        <v>39.119999999999997</v>
      </c>
    </row>
    <row r="3326" spans="1:16" x14ac:dyDescent="0.3">
      <c r="A3326">
        <v>27931</v>
      </c>
      <c r="B3326">
        <v>116</v>
      </c>
      <c r="C3326" t="s">
        <v>568</v>
      </c>
      <c r="D3326" s="453">
        <v>45748</v>
      </c>
      <c r="E3326">
        <v>19583</v>
      </c>
      <c r="F3326" t="s">
        <v>4076</v>
      </c>
      <c r="G3326">
        <v>2639</v>
      </c>
      <c r="H3326">
        <v>1</v>
      </c>
      <c r="I3326" t="s">
        <v>3892</v>
      </c>
      <c r="J3326" t="s">
        <v>3469</v>
      </c>
      <c r="K3326" t="s">
        <v>3701</v>
      </c>
      <c r="L3326">
        <v>0</v>
      </c>
      <c r="M3326" s="453">
        <v>45712</v>
      </c>
      <c r="N3326">
        <v>39</v>
      </c>
      <c r="O3326">
        <v>33</v>
      </c>
      <c r="P3326">
        <v>39</v>
      </c>
    </row>
    <row r="3327" spans="1:16" x14ac:dyDescent="0.3">
      <c r="A3327">
        <v>27836</v>
      </c>
      <c r="B3327">
        <v>116</v>
      </c>
      <c r="C3327" t="s">
        <v>568</v>
      </c>
      <c r="D3327" s="453">
        <v>45748</v>
      </c>
      <c r="E3327">
        <v>20717</v>
      </c>
      <c r="F3327" t="s">
        <v>4055</v>
      </c>
      <c r="G3327">
        <v>2097</v>
      </c>
      <c r="H3327">
        <v>1</v>
      </c>
      <c r="I3327" t="s">
        <v>3872</v>
      </c>
      <c r="J3327" t="s">
        <v>3469</v>
      </c>
      <c r="K3327" t="s">
        <v>3701</v>
      </c>
      <c r="L3327">
        <v>38.89</v>
      </c>
      <c r="M3327" s="453">
        <v>45734</v>
      </c>
      <c r="N3327">
        <v>38.89</v>
      </c>
      <c r="O3327">
        <v>38.89</v>
      </c>
      <c r="P3327">
        <v>38.89</v>
      </c>
    </row>
    <row r="3328" spans="1:16" x14ac:dyDescent="0.3">
      <c r="A3328">
        <v>27923</v>
      </c>
      <c r="B3328">
        <v>116</v>
      </c>
      <c r="C3328" t="s">
        <v>568</v>
      </c>
      <c r="D3328" s="453">
        <v>45748</v>
      </c>
      <c r="E3328">
        <v>19743</v>
      </c>
      <c r="F3328" t="s">
        <v>4152</v>
      </c>
      <c r="G3328">
        <v>2510</v>
      </c>
      <c r="H3328">
        <v>3</v>
      </c>
      <c r="I3328" t="s">
        <v>3892</v>
      </c>
      <c r="J3328" t="s">
        <v>3469</v>
      </c>
      <c r="K3328" t="s">
        <v>3701</v>
      </c>
      <c r="L3328">
        <v>12.95</v>
      </c>
      <c r="M3328" s="453">
        <v>45733</v>
      </c>
      <c r="N3328">
        <v>13</v>
      </c>
      <c r="O3328">
        <v>13.5</v>
      </c>
      <c r="P3328">
        <v>38.85</v>
      </c>
    </row>
    <row r="3329" spans="1:16" x14ac:dyDescent="0.3">
      <c r="A3329">
        <v>27909</v>
      </c>
      <c r="B3329">
        <v>116</v>
      </c>
      <c r="C3329" t="s">
        <v>568</v>
      </c>
      <c r="D3329" s="453">
        <v>45748</v>
      </c>
      <c r="E3329">
        <v>19486</v>
      </c>
      <c r="F3329" t="s">
        <v>4472</v>
      </c>
      <c r="G3329">
        <v>7790</v>
      </c>
      <c r="H3329">
        <v>1</v>
      </c>
      <c r="I3329" t="s">
        <v>3966</v>
      </c>
      <c r="J3329" t="s">
        <v>3469</v>
      </c>
      <c r="K3329" t="s">
        <v>3701</v>
      </c>
      <c r="L3329">
        <v>0</v>
      </c>
      <c r="M3329" s="453">
        <v>45636</v>
      </c>
      <c r="N3329">
        <v>37.92</v>
      </c>
      <c r="O3329">
        <v>37.92</v>
      </c>
      <c r="P3329">
        <v>37.92</v>
      </c>
    </row>
    <row r="3330" spans="1:16" x14ac:dyDescent="0.3">
      <c r="A3330">
        <v>27935</v>
      </c>
      <c r="B3330">
        <v>116</v>
      </c>
      <c r="C3330" t="s">
        <v>568</v>
      </c>
      <c r="D3330" s="453">
        <v>45748</v>
      </c>
      <c r="E3330">
        <v>19572</v>
      </c>
      <c r="F3330" t="s">
        <v>4023</v>
      </c>
      <c r="G3330">
        <v>2646</v>
      </c>
      <c r="H3330">
        <v>2.5</v>
      </c>
      <c r="I3330" t="s">
        <v>3892</v>
      </c>
      <c r="J3330" t="s">
        <v>3469</v>
      </c>
      <c r="K3330" t="s">
        <v>3701</v>
      </c>
      <c r="L3330">
        <v>15</v>
      </c>
      <c r="M3330" s="453">
        <v>45743</v>
      </c>
      <c r="N3330">
        <v>12</v>
      </c>
      <c r="O3330">
        <v>12</v>
      </c>
      <c r="P3330">
        <v>37.5</v>
      </c>
    </row>
    <row r="3331" spans="1:16" x14ac:dyDescent="0.3">
      <c r="A3331">
        <v>28018</v>
      </c>
      <c r="B3331">
        <v>116</v>
      </c>
      <c r="C3331" t="s">
        <v>568</v>
      </c>
      <c r="D3331" s="453">
        <v>45748</v>
      </c>
      <c r="E3331">
        <v>24002</v>
      </c>
      <c r="F3331" t="s">
        <v>3924</v>
      </c>
      <c r="G3331">
        <v>3614</v>
      </c>
      <c r="H3331">
        <v>7</v>
      </c>
      <c r="I3331" t="s">
        <v>3872</v>
      </c>
      <c r="J3331" t="s">
        <v>3497</v>
      </c>
      <c r="K3331" t="s">
        <v>3701</v>
      </c>
      <c r="L3331">
        <v>5.34</v>
      </c>
      <c r="M3331" s="453">
        <v>45741</v>
      </c>
      <c r="N3331">
        <v>5.34</v>
      </c>
      <c r="O3331">
        <v>5.34</v>
      </c>
      <c r="P3331">
        <v>37.380000000000003</v>
      </c>
    </row>
    <row r="3332" spans="1:16" x14ac:dyDescent="0.3">
      <c r="A3332">
        <v>28004</v>
      </c>
      <c r="B3332">
        <v>116</v>
      </c>
      <c r="C3332" t="s">
        <v>568</v>
      </c>
      <c r="D3332" s="453">
        <v>45748</v>
      </c>
      <c r="E3332">
        <v>18312</v>
      </c>
      <c r="F3332" t="s">
        <v>4089</v>
      </c>
      <c r="G3332">
        <v>3321</v>
      </c>
      <c r="H3332">
        <v>0.3</v>
      </c>
      <c r="I3332" t="s">
        <v>3878</v>
      </c>
      <c r="J3332" t="s">
        <v>3497</v>
      </c>
      <c r="K3332" t="s">
        <v>3701</v>
      </c>
      <c r="L3332">
        <v>0</v>
      </c>
      <c r="M3332" s="453">
        <v>45573</v>
      </c>
      <c r="N3332">
        <v>116.89</v>
      </c>
      <c r="O3332">
        <v>135.9</v>
      </c>
      <c r="P3332">
        <v>35.07</v>
      </c>
    </row>
    <row r="3333" spans="1:16" x14ac:dyDescent="0.3">
      <c r="A3333">
        <v>27843</v>
      </c>
      <c r="B3333">
        <v>116</v>
      </c>
      <c r="C3333" t="s">
        <v>568</v>
      </c>
      <c r="D3333" s="453">
        <v>45748</v>
      </c>
      <c r="E3333">
        <v>25167</v>
      </c>
      <c r="F3333" t="s">
        <v>3951</v>
      </c>
      <c r="G3333">
        <v>5930</v>
      </c>
      <c r="H3333">
        <v>2</v>
      </c>
      <c r="I3333" t="s">
        <v>3892</v>
      </c>
      <c r="J3333" t="s">
        <v>3469</v>
      </c>
      <c r="K3333" t="s">
        <v>3701</v>
      </c>
      <c r="L3333">
        <v>0</v>
      </c>
      <c r="M3333" s="453">
        <v>45712</v>
      </c>
      <c r="N3333">
        <v>17.5</v>
      </c>
      <c r="O3333">
        <v>7.9</v>
      </c>
      <c r="P3333">
        <v>35</v>
      </c>
    </row>
    <row r="3334" spans="1:16" x14ac:dyDescent="0.3">
      <c r="A3334">
        <v>27896</v>
      </c>
      <c r="B3334">
        <v>116</v>
      </c>
      <c r="C3334" t="s">
        <v>568</v>
      </c>
      <c r="D3334" s="453">
        <v>45748</v>
      </c>
      <c r="E3334">
        <v>19652</v>
      </c>
      <c r="F3334" t="s">
        <v>4014</v>
      </c>
      <c r="G3334">
        <v>2587</v>
      </c>
      <c r="H3334">
        <v>1</v>
      </c>
      <c r="I3334" t="s">
        <v>3892</v>
      </c>
      <c r="J3334" t="s">
        <v>3469</v>
      </c>
      <c r="K3334" t="s">
        <v>3701</v>
      </c>
      <c r="L3334">
        <v>34</v>
      </c>
      <c r="M3334" s="453">
        <v>45743</v>
      </c>
      <c r="N3334">
        <v>35</v>
      </c>
      <c r="O3334">
        <v>34</v>
      </c>
      <c r="P3334">
        <v>34</v>
      </c>
    </row>
    <row r="3335" spans="1:16" x14ac:dyDescent="0.3">
      <c r="A3335">
        <v>27874</v>
      </c>
      <c r="B3335">
        <v>116</v>
      </c>
      <c r="C3335" t="s">
        <v>568</v>
      </c>
      <c r="D3335" s="453">
        <v>45748</v>
      </c>
      <c r="E3335">
        <v>20984</v>
      </c>
      <c r="F3335" t="s">
        <v>4235</v>
      </c>
      <c r="G3335">
        <v>2011</v>
      </c>
      <c r="H3335">
        <v>4</v>
      </c>
      <c r="I3335" t="s">
        <v>3931</v>
      </c>
      <c r="J3335" t="s">
        <v>3469</v>
      </c>
      <c r="K3335" t="s">
        <v>3701</v>
      </c>
      <c r="L3335">
        <v>8.4600000000000009</v>
      </c>
      <c r="M3335" s="453">
        <v>45740</v>
      </c>
      <c r="N3335">
        <v>8.39</v>
      </c>
      <c r="O3335">
        <v>8.0500000000000007</v>
      </c>
      <c r="P3335">
        <v>33.840000000000003</v>
      </c>
    </row>
    <row r="3336" spans="1:16" x14ac:dyDescent="0.3">
      <c r="A3336">
        <v>27888</v>
      </c>
      <c r="B3336">
        <v>116</v>
      </c>
      <c r="C3336" t="s">
        <v>568</v>
      </c>
      <c r="D3336" s="453">
        <v>45748</v>
      </c>
      <c r="E3336">
        <v>25769</v>
      </c>
      <c r="F3336" t="s">
        <v>4013</v>
      </c>
      <c r="G3336">
        <v>6318</v>
      </c>
      <c r="H3336">
        <v>0.8</v>
      </c>
      <c r="I3336" t="s">
        <v>3892</v>
      </c>
      <c r="J3336" t="s">
        <v>3469</v>
      </c>
      <c r="K3336" t="s">
        <v>3701</v>
      </c>
      <c r="L3336">
        <v>0</v>
      </c>
      <c r="M3336" s="453">
        <v>-693593</v>
      </c>
      <c r="N3336">
        <v>0</v>
      </c>
      <c r="O3336">
        <v>39</v>
      </c>
      <c r="P3336">
        <v>32.4</v>
      </c>
    </row>
    <row r="3337" spans="1:16" x14ac:dyDescent="0.3">
      <c r="A3337">
        <v>27820</v>
      </c>
      <c r="B3337">
        <v>116</v>
      </c>
      <c r="C3337" t="s">
        <v>568</v>
      </c>
      <c r="D3337" s="453">
        <v>45748</v>
      </c>
      <c r="E3337">
        <v>21062</v>
      </c>
      <c r="F3337" t="s">
        <v>4481</v>
      </c>
      <c r="G3337">
        <v>1997</v>
      </c>
      <c r="H3337">
        <v>2</v>
      </c>
      <c r="I3337" t="s">
        <v>3878</v>
      </c>
      <c r="J3337" t="s">
        <v>3469</v>
      </c>
      <c r="K3337" t="s">
        <v>3701</v>
      </c>
      <c r="L3337">
        <v>0</v>
      </c>
      <c r="M3337" s="453">
        <v>-693593</v>
      </c>
      <c r="N3337">
        <v>0</v>
      </c>
      <c r="O3337">
        <v>14.85</v>
      </c>
      <c r="P3337">
        <v>31.34</v>
      </c>
    </row>
    <row r="3338" spans="1:16" x14ac:dyDescent="0.3">
      <c r="A3338">
        <v>27907</v>
      </c>
      <c r="B3338">
        <v>116</v>
      </c>
      <c r="C3338" t="s">
        <v>568</v>
      </c>
      <c r="D3338" s="453">
        <v>45748</v>
      </c>
      <c r="E3338">
        <v>24509</v>
      </c>
      <c r="F3338" t="s">
        <v>3906</v>
      </c>
      <c r="G3338">
        <v>2607</v>
      </c>
      <c r="H3338">
        <v>9.6999999999999993</v>
      </c>
      <c r="I3338" t="s">
        <v>3892</v>
      </c>
      <c r="J3338" t="s">
        <v>3469</v>
      </c>
      <c r="K3338" t="s">
        <v>3701</v>
      </c>
      <c r="L3338">
        <v>3.2</v>
      </c>
      <c r="M3338" s="453">
        <v>45743</v>
      </c>
      <c r="N3338">
        <v>3.06</v>
      </c>
      <c r="O3338">
        <v>3.03</v>
      </c>
      <c r="P3338">
        <v>31.04</v>
      </c>
    </row>
    <row r="3339" spans="1:16" x14ac:dyDescent="0.3">
      <c r="A3339">
        <v>27823</v>
      </c>
      <c r="B3339">
        <v>116</v>
      </c>
      <c r="C3339" t="s">
        <v>568</v>
      </c>
      <c r="D3339" s="453">
        <v>45748</v>
      </c>
      <c r="E3339">
        <v>21078</v>
      </c>
      <c r="F3339" t="s">
        <v>4049</v>
      </c>
      <c r="G3339">
        <v>1991</v>
      </c>
      <c r="H3339">
        <v>1</v>
      </c>
      <c r="I3339" t="s">
        <v>3881</v>
      </c>
      <c r="J3339" t="s">
        <v>3469</v>
      </c>
      <c r="K3339" t="s">
        <v>3701</v>
      </c>
      <c r="L3339">
        <v>0</v>
      </c>
      <c r="M3339" s="453">
        <v>-693593</v>
      </c>
      <c r="N3339">
        <v>0</v>
      </c>
      <c r="O3339">
        <v>43.6</v>
      </c>
      <c r="P3339">
        <v>29.9</v>
      </c>
    </row>
    <row r="3340" spans="1:16" x14ac:dyDescent="0.3">
      <c r="A3340">
        <v>27951</v>
      </c>
      <c r="B3340">
        <v>116</v>
      </c>
      <c r="C3340" t="s">
        <v>568</v>
      </c>
      <c r="D3340" s="453">
        <v>45748</v>
      </c>
      <c r="E3340">
        <v>19415</v>
      </c>
      <c r="F3340" t="s">
        <v>3941</v>
      </c>
      <c r="G3340">
        <v>2759</v>
      </c>
      <c r="H3340">
        <v>4</v>
      </c>
      <c r="I3340" t="s">
        <v>3872</v>
      </c>
      <c r="J3340" t="s">
        <v>3469</v>
      </c>
      <c r="K3340" t="s">
        <v>3701</v>
      </c>
      <c r="L3340">
        <v>7.3</v>
      </c>
      <c r="M3340" s="453">
        <v>45734</v>
      </c>
      <c r="N3340">
        <v>7.3</v>
      </c>
      <c r="O3340">
        <v>7.3</v>
      </c>
      <c r="P3340">
        <v>29.2</v>
      </c>
    </row>
    <row r="3341" spans="1:16" x14ac:dyDescent="0.3">
      <c r="A3341">
        <v>27913</v>
      </c>
      <c r="B3341">
        <v>116</v>
      </c>
      <c r="C3341" t="s">
        <v>568</v>
      </c>
      <c r="D3341" s="453">
        <v>45748</v>
      </c>
      <c r="E3341">
        <v>19613</v>
      </c>
      <c r="F3341" t="s">
        <v>4017</v>
      </c>
      <c r="G3341">
        <v>2620</v>
      </c>
      <c r="H3341">
        <v>3</v>
      </c>
      <c r="I3341" t="s">
        <v>3892</v>
      </c>
      <c r="J3341" t="s">
        <v>3469</v>
      </c>
      <c r="K3341" t="s">
        <v>3701</v>
      </c>
      <c r="L3341">
        <v>9.57</v>
      </c>
      <c r="M3341" s="453">
        <v>45743</v>
      </c>
      <c r="N3341">
        <v>7.5</v>
      </c>
      <c r="O3341">
        <v>7.5</v>
      </c>
      <c r="P3341">
        <v>28.71</v>
      </c>
    </row>
    <row r="3342" spans="1:16" x14ac:dyDescent="0.3">
      <c r="A3342">
        <v>27921</v>
      </c>
      <c r="B3342">
        <v>116</v>
      </c>
      <c r="C3342" t="s">
        <v>568</v>
      </c>
      <c r="D3342" s="453">
        <v>45748</v>
      </c>
      <c r="E3342">
        <v>24326</v>
      </c>
      <c r="F3342" t="s">
        <v>3932</v>
      </c>
      <c r="G3342">
        <v>2499</v>
      </c>
      <c r="H3342">
        <v>12</v>
      </c>
      <c r="I3342" t="s">
        <v>3892</v>
      </c>
      <c r="J3342" t="s">
        <v>3469</v>
      </c>
      <c r="K3342" t="s">
        <v>3701</v>
      </c>
      <c r="L3342">
        <v>2.39</v>
      </c>
      <c r="M3342" s="453">
        <v>45743</v>
      </c>
      <c r="N3342">
        <v>2.2999999999999998</v>
      </c>
      <c r="O3342">
        <v>2.4500000000000002</v>
      </c>
      <c r="P3342">
        <v>28.68</v>
      </c>
    </row>
    <row r="3343" spans="1:16" x14ac:dyDescent="0.3">
      <c r="A3343">
        <v>27846</v>
      </c>
      <c r="B3343">
        <v>116</v>
      </c>
      <c r="C3343" t="s">
        <v>568</v>
      </c>
      <c r="D3343" s="453">
        <v>45748</v>
      </c>
      <c r="E3343">
        <v>20359</v>
      </c>
      <c r="F3343" t="s">
        <v>3917</v>
      </c>
      <c r="G3343">
        <v>2199</v>
      </c>
      <c r="H3343">
        <v>6</v>
      </c>
      <c r="I3343" t="s">
        <v>3872</v>
      </c>
      <c r="J3343" t="s">
        <v>3469</v>
      </c>
      <c r="K3343" t="s">
        <v>3701</v>
      </c>
      <c r="L3343">
        <v>4.75</v>
      </c>
      <c r="M3343" s="453">
        <v>45727</v>
      </c>
      <c r="N3343">
        <v>4.75</v>
      </c>
      <c r="O3343">
        <v>4.95</v>
      </c>
      <c r="P3343">
        <v>28.5</v>
      </c>
    </row>
    <row r="3344" spans="1:16" x14ac:dyDescent="0.3">
      <c r="A3344">
        <v>27818</v>
      </c>
      <c r="B3344">
        <v>116</v>
      </c>
      <c r="C3344" t="s">
        <v>568</v>
      </c>
      <c r="D3344" s="453">
        <v>45748</v>
      </c>
      <c r="E3344">
        <v>24456</v>
      </c>
      <c r="F3344" t="s">
        <v>4048</v>
      </c>
      <c r="G3344">
        <v>1965</v>
      </c>
      <c r="H3344">
        <v>1.2</v>
      </c>
      <c r="I3344" t="s">
        <v>3892</v>
      </c>
      <c r="J3344" t="s">
        <v>3469</v>
      </c>
      <c r="K3344" t="s">
        <v>3701</v>
      </c>
      <c r="L3344">
        <v>22.33</v>
      </c>
      <c r="M3344" s="453">
        <v>45743</v>
      </c>
      <c r="N3344">
        <v>22.1</v>
      </c>
      <c r="O3344">
        <v>25.37</v>
      </c>
      <c r="P3344">
        <v>26.8</v>
      </c>
    </row>
    <row r="3345" spans="1:16" x14ac:dyDescent="0.3">
      <c r="A3345">
        <v>27832</v>
      </c>
      <c r="B3345">
        <v>116</v>
      </c>
      <c r="C3345" t="s">
        <v>568</v>
      </c>
      <c r="D3345" s="453">
        <v>45748</v>
      </c>
      <c r="E3345">
        <v>20287</v>
      </c>
      <c r="F3345" t="s">
        <v>4053</v>
      </c>
      <c r="G3345">
        <v>2229</v>
      </c>
      <c r="H3345">
        <v>1</v>
      </c>
      <c r="I3345" t="s">
        <v>3888</v>
      </c>
      <c r="J3345" t="s">
        <v>3469</v>
      </c>
      <c r="K3345" t="s">
        <v>3701</v>
      </c>
      <c r="L3345">
        <v>26.78</v>
      </c>
      <c r="M3345" s="453">
        <v>45734</v>
      </c>
      <c r="N3345">
        <v>26.78</v>
      </c>
      <c r="O3345">
        <v>26.6</v>
      </c>
      <c r="P3345">
        <v>26.78</v>
      </c>
    </row>
    <row r="3346" spans="1:16" x14ac:dyDescent="0.3">
      <c r="A3346">
        <v>27906</v>
      </c>
      <c r="B3346">
        <v>116</v>
      </c>
      <c r="C3346" t="s">
        <v>568</v>
      </c>
      <c r="D3346" s="453">
        <v>45748</v>
      </c>
      <c r="E3346">
        <v>19779</v>
      </c>
      <c r="F3346" t="s">
        <v>4069</v>
      </c>
      <c r="G3346">
        <v>2479</v>
      </c>
      <c r="H3346">
        <v>1</v>
      </c>
      <c r="I3346" t="s">
        <v>3892</v>
      </c>
      <c r="J3346" t="s">
        <v>3469</v>
      </c>
      <c r="K3346" t="s">
        <v>3701</v>
      </c>
      <c r="L3346">
        <v>26.4</v>
      </c>
      <c r="M3346" s="453">
        <v>45736</v>
      </c>
      <c r="N3346">
        <v>26.4</v>
      </c>
      <c r="O3346">
        <v>67.599999999999994</v>
      </c>
      <c r="P3346">
        <v>26.4</v>
      </c>
    </row>
    <row r="3347" spans="1:16" x14ac:dyDescent="0.3">
      <c r="A3347">
        <v>27882</v>
      </c>
      <c r="B3347">
        <v>116</v>
      </c>
      <c r="C3347" t="s">
        <v>568</v>
      </c>
      <c r="D3347" s="453">
        <v>45748</v>
      </c>
      <c r="E3347">
        <v>19917</v>
      </c>
      <c r="F3347" t="s">
        <v>3920</v>
      </c>
      <c r="G3347">
        <v>2379</v>
      </c>
      <c r="H3347">
        <v>8.5</v>
      </c>
      <c r="I3347" t="s">
        <v>3888</v>
      </c>
      <c r="J3347" t="s">
        <v>3469</v>
      </c>
      <c r="K3347" t="s">
        <v>3701</v>
      </c>
      <c r="L3347">
        <v>0</v>
      </c>
      <c r="M3347" s="453">
        <v>45581</v>
      </c>
      <c r="N3347">
        <v>3.09</v>
      </c>
      <c r="O3347">
        <v>3.04</v>
      </c>
      <c r="P3347">
        <v>26.26</v>
      </c>
    </row>
    <row r="3348" spans="1:16" x14ac:dyDescent="0.3">
      <c r="A3348">
        <v>28026</v>
      </c>
      <c r="B3348">
        <v>116</v>
      </c>
      <c r="C3348" t="s">
        <v>568</v>
      </c>
      <c r="D3348" s="453">
        <v>45748</v>
      </c>
      <c r="E3348">
        <v>17942</v>
      </c>
      <c r="F3348" t="s">
        <v>4035</v>
      </c>
      <c r="G3348">
        <v>3630</v>
      </c>
      <c r="H3348">
        <v>2</v>
      </c>
      <c r="I3348" t="s">
        <v>3872</v>
      </c>
      <c r="J3348" t="s">
        <v>3497</v>
      </c>
      <c r="K3348" t="s">
        <v>3701</v>
      </c>
      <c r="L3348">
        <v>0</v>
      </c>
      <c r="M3348" s="453">
        <v>45567</v>
      </c>
      <c r="N3348">
        <v>13</v>
      </c>
      <c r="O3348">
        <v>13</v>
      </c>
      <c r="P3348">
        <v>26</v>
      </c>
    </row>
    <row r="3349" spans="1:16" x14ac:dyDescent="0.3">
      <c r="A3349">
        <v>27844</v>
      </c>
      <c r="B3349">
        <v>116</v>
      </c>
      <c r="C3349" t="s">
        <v>568</v>
      </c>
      <c r="D3349" s="453">
        <v>45748</v>
      </c>
      <c r="E3349">
        <v>24233</v>
      </c>
      <c r="F3349" t="s">
        <v>4500</v>
      </c>
      <c r="G3349">
        <v>2192</v>
      </c>
      <c r="H3349">
        <v>2</v>
      </c>
      <c r="I3349" t="s">
        <v>3888</v>
      </c>
      <c r="J3349" t="s">
        <v>3469</v>
      </c>
      <c r="K3349" t="s">
        <v>3701</v>
      </c>
      <c r="L3349">
        <v>12.4</v>
      </c>
      <c r="M3349" s="453">
        <v>45726</v>
      </c>
      <c r="N3349">
        <v>12.4</v>
      </c>
      <c r="O3349">
        <v>12.4</v>
      </c>
      <c r="P3349">
        <v>24.8</v>
      </c>
    </row>
    <row r="3350" spans="1:16" x14ac:dyDescent="0.3">
      <c r="A3350">
        <v>27947</v>
      </c>
      <c r="B3350">
        <v>116</v>
      </c>
      <c r="C3350" t="s">
        <v>568</v>
      </c>
      <c r="D3350" s="453">
        <v>45748</v>
      </c>
      <c r="E3350">
        <v>19710</v>
      </c>
      <c r="F3350" t="s">
        <v>4106</v>
      </c>
      <c r="G3350">
        <v>2540</v>
      </c>
      <c r="H3350">
        <v>1</v>
      </c>
      <c r="I3350" t="s">
        <v>3888</v>
      </c>
      <c r="J3350" t="s">
        <v>3469</v>
      </c>
      <c r="K3350" t="s">
        <v>3701</v>
      </c>
      <c r="L3350">
        <v>0</v>
      </c>
      <c r="M3350" s="453">
        <v>45699</v>
      </c>
      <c r="N3350">
        <v>24.5</v>
      </c>
      <c r="O3350">
        <v>24.5</v>
      </c>
      <c r="P3350">
        <v>24.5</v>
      </c>
    </row>
    <row r="3351" spans="1:16" x14ac:dyDescent="0.3">
      <c r="A3351">
        <v>27943</v>
      </c>
      <c r="B3351">
        <v>116</v>
      </c>
      <c r="C3351" t="s">
        <v>568</v>
      </c>
      <c r="D3351" s="453">
        <v>45748</v>
      </c>
      <c r="E3351">
        <v>19672</v>
      </c>
      <c r="F3351" t="s">
        <v>4024</v>
      </c>
      <c r="G3351">
        <v>2567</v>
      </c>
      <c r="H3351">
        <v>2</v>
      </c>
      <c r="I3351" t="s">
        <v>3892</v>
      </c>
      <c r="J3351" t="s">
        <v>3469</v>
      </c>
      <c r="K3351" t="s">
        <v>3701</v>
      </c>
      <c r="L3351">
        <v>12.11</v>
      </c>
      <c r="M3351" s="453">
        <v>45743</v>
      </c>
      <c r="N3351">
        <v>12.5</v>
      </c>
      <c r="O3351">
        <v>12.5</v>
      </c>
      <c r="P3351">
        <v>24.22</v>
      </c>
    </row>
    <row r="3352" spans="1:16" x14ac:dyDescent="0.3">
      <c r="A3352">
        <v>27962</v>
      </c>
      <c r="B3352">
        <v>116</v>
      </c>
      <c r="C3352" t="s">
        <v>568</v>
      </c>
      <c r="D3352" s="453">
        <v>45748</v>
      </c>
      <c r="E3352">
        <v>19034</v>
      </c>
      <c r="F3352" t="s">
        <v>3989</v>
      </c>
      <c r="G3352">
        <v>2890</v>
      </c>
      <c r="H3352">
        <v>2.1</v>
      </c>
      <c r="I3352" t="s">
        <v>3892</v>
      </c>
      <c r="J3352" t="s">
        <v>3469</v>
      </c>
      <c r="K3352" t="s">
        <v>3701</v>
      </c>
      <c r="L3352">
        <v>11.5</v>
      </c>
      <c r="M3352" s="453">
        <v>45727</v>
      </c>
      <c r="N3352">
        <v>11.5</v>
      </c>
      <c r="O3352">
        <v>9.69</v>
      </c>
      <c r="P3352">
        <v>24.15</v>
      </c>
    </row>
    <row r="3353" spans="1:16" x14ac:dyDescent="0.3">
      <c r="A3353">
        <v>27899</v>
      </c>
      <c r="B3353">
        <v>116</v>
      </c>
      <c r="C3353" t="s">
        <v>568</v>
      </c>
      <c r="D3353" s="453">
        <v>45748</v>
      </c>
      <c r="E3353">
        <v>19783</v>
      </c>
      <c r="F3353" t="s">
        <v>4016</v>
      </c>
      <c r="G3353">
        <v>2475</v>
      </c>
      <c r="H3353">
        <v>5</v>
      </c>
      <c r="I3353" t="s">
        <v>3892</v>
      </c>
      <c r="J3353" t="s">
        <v>3469</v>
      </c>
      <c r="K3353" t="s">
        <v>3701</v>
      </c>
      <c r="L3353">
        <v>4.82</v>
      </c>
      <c r="M3353" s="453">
        <v>45743</v>
      </c>
      <c r="N3353">
        <v>4.5</v>
      </c>
      <c r="O3353">
        <v>3.9</v>
      </c>
      <c r="P3353">
        <v>24.1</v>
      </c>
    </row>
    <row r="3354" spans="1:16" x14ac:dyDescent="0.3">
      <c r="A3354">
        <v>27834</v>
      </c>
      <c r="B3354">
        <v>116</v>
      </c>
      <c r="C3354" t="s">
        <v>568</v>
      </c>
      <c r="D3354" s="453">
        <v>45748</v>
      </c>
      <c r="E3354">
        <v>20077</v>
      </c>
      <c r="F3354" t="s">
        <v>4054</v>
      </c>
      <c r="G3354">
        <v>2317</v>
      </c>
      <c r="H3354">
        <v>1.5</v>
      </c>
      <c r="I3354" t="s">
        <v>3888</v>
      </c>
      <c r="J3354" t="s">
        <v>3469</v>
      </c>
      <c r="K3354" t="s">
        <v>3701</v>
      </c>
      <c r="L3354">
        <v>15.77</v>
      </c>
      <c r="M3354" s="453">
        <v>45741</v>
      </c>
      <c r="N3354">
        <v>15.96</v>
      </c>
      <c r="O3354">
        <v>15.96</v>
      </c>
      <c r="P3354">
        <v>23.66</v>
      </c>
    </row>
    <row r="3355" spans="1:16" x14ac:dyDescent="0.3">
      <c r="A3355">
        <v>27883</v>
      </c>
      <c r="B3355">
        <v>116</v>
      </c>
      <c r="C3355" t="s">
        <v>568</v>
      </c>
      <c r="D3355" s="453">
        <v>45748</v>
      </c>
      <c r="E3355">
        <v>19902</v>
      </c>
      <c r="F3355" t="s">
        <v>3909</v>
      </c>
      <c r="G3355">
        <v>2382</v>
      </c>
      <c r="H3355">
        <v>1</v>
      </c>
      <c r="I3355" t="s">
        <v>3881</v>
      </c>
      <c r="J3355" t="s">
        <v>3469</v>
      </c>
      <c r="K3355" t="s">
        <v>3701</v>
      </c>
      <c r="L3355">
        <v>23.6</v>
      </c>
      <c r="M3355" s="453">
        <v>45727</v>
      </c>
      <c r="N3355">
        <v>23.6</v>
      </c>
      <c r="O3355">
        <v>23.6</v>
      </c>
      <c r="P3355">
        <v>23.6</v>
      </c>
    </row>
    <row r="3356" spans="1:16" x14ac:dyDescent="0.3">
      <c r="A3356">
        <v>27922</v>
      </c>
      <c r="B3356">
        <v>116</v>
      </c>
      <c r="C3356" t="s">
        <v>568</v>
      </c>
      <c r="D3356" s="453">
        <v>45748</v>
      </c>
      <c r="E3356">
        <v>19478</v>
      </c>
      <c r="F3356" t="s">
        <v>4072</v>
      </c>
      <c r="G3356">
        <v>2728</v>
      </c>
      <c r="H3356">
        <v>0.9</v>
      </c>
      <c r="I3356" t="s">
        <v>3892</v>
      </c>
      <c r="J3356" t="s">
        <v>3469</v>
      </c>
      <c r="K3356" t="s">
        <v>3701</v>
      </c>
      <c r="L3356">
        <v>0</v>
      </c>
      <c r="M3356" s="453">
        <v>45478</v>
      </c>
      <c r="N3356">
        <v>26</v>
      </c>
      <c r="O3356">
        <v>45</v>
      </c>
      <c r="P3356">
        <v>23.4</v>
      </c>
    </row>
    <row r="3357" spans="1:16" x14ac:dyDescent="0.3">
      <c r="A3357">
        <v>27867</v>
      </c>
      <c r="B3357">
        <v>116</v>
      </c>
      <c r="C3357" t="s">
        <v>568</v>
      </c>
      <c r="D3357" s="453">
        <v>45748</v>
      </c>
      <c r="E3357">
        <v>20871</v>
      </c>
      <c r="F3357" t="s">
        <v>4475</v>
      </c>
      <c r="G3357">
        <v>2043</v>
      </c>
      <c r="H3357">
        <v>1</v>
      </c>
      <c r="I3357" t="s">
        <v>3886</v>
      </c>
      <c r="J3357" t="s">
        <v>3469</v>
      </c>
      <c r="K3357" t="s">
        <v>3701</v>
      </c>
      <c r="L3357">
        <v>0</v>
      </c>
      <c r="M3357" s="453">
        <v>-693593</v>
      </c>
      <c r="N3357">
        <v>0</v>
      </c>
      <c r="O3357">
        <v>29.46</v>
      </c>
      <c r="P3357">
        <v>22</v>
      </c>
    </row>
    <row r="3358" spans="1:16" x14ac:dyDescent="0.3">
      <c r="A3358">
        <v>27875</v>
      </c>
      <c r="B3358">
        <v>116</v>
      </c>
      <c r="C3358" t="s">
        <v>568</v>
      </c>
      <c r="D3358" s="453">
        <v>45748</v>
      </c>
      <c r="E3358">
        <v>24392</v>
      </c>
      <c r="F3358" t="s">
        <v>4041</v>
      </c>
      <c r="G3358">
        <v>2366</v>
      </c>
      <c r="H3358">
        <v>1</v>
      </c>
      <c r="I3358" t="s">
        <v>3892</v>
      </c>
      <c r="J3358" t="s">
        <v>3469</v>
      </c>
      <c r="K3358" t="s">
        <v>3701</v>
      </c>
      <c r="L3358">
        <v>0</v>
      </c>
      <c r="M3358" s="453">
        <v>45524</v>
      </c>
      <c r="N3358">
        <v>21.9</v>
      </c>
      <c r="O3358">
        <v>22.9</v>
      </c>
      <c r="P3358">
        <v>21.9</v>
      </c>
    </row>
    <row r="3359" spans="1:16" x14ac:dyDescent="0.3">
      <c r="A3359">
        <v>27974</v>
      </c>
      <c r="B3359">
        <v>116</v>
      </c>
      <c r="C3359" t="s">
        <v>568</v>
      </c>
      <c r="D3359" s="453">
        <v>45748</v>
      </c>
      <c r="E3359">
        <v>24403</v>
      </c>
      <c r="F3359" t="s">
        <v>3992</v>
      </c>
      <c r="G3359">
        <v>3049</v>
      </c>
      <c r="H3359">
        <v>1.8</v>
      </c>
      <c r="I3359" t="s">
        <v>3892</v>
      </c>
      <c r="J3359" t="s">
        <v>3469</v>
      </c>
      <c r="K3359" t="s">
        <v>3701</v>
      </c>
      <c r="L3359">
        <v>12</v>
      </c>
      <c r="M3359" s="453">
        <v>45741</v>
      </c>
      <c r="N3359">
        <v>12</v>
      </c>
      <c r="O3359">
        <v>12</v>
      </c>
      <c r="P3359">
        <v>21.6</v>
      </c>
    </row>
    <row r="3360" spans="1:16" x14ac:dyDescent="0.3">
      <c r="A3360">
        <v>27975</v>
      </c>
      <c r="B3360">
        <v>116</v>
      </c>
      <c r="C3360" t="s">
        <v>568</v>
      </c>
      <c r="D3360" s="453">
        <v>45748</v>
      </c>
      <c r="E3360">
        <v>22889</v>
      </c>
      <c r="F3360" t="s">
        <v>4466</v>
      </c>
      <c r="G3360">
        <v>2900</v>
      </c>
      <c r="H3360">
        <v>1.2</v>
      </c>
      <c r="I3360" t="s">
        <v>3892</v>
      </c>
      <c r="J3360" t="s">
        <v>3469</v>
      </c>
      <c r="K3360" t="s">
        <v>3701</v>
      </c>
      <c r="L3360">
        <v>0</v>
      </c>
      <c r="M3360" s="453">
        <v>45674</v>
      </c>
      <c r="N3360">
        <v>17.100000000000001</v>
      </c>
      <c r="O3360">
        <v>17.100000000000001</v>
      </c>
      <c r="P3360">
        <v>20.52</v>
      </c>
    </row>
    <row r="3361" spans="1:16" x14ac:dyDescent="0.3">
      <c r="A3361">
        <v>27979</v>
      </c>
      <c r="B3361">
        <v>116</v>
      </c>
      <c r="C3361" t="s">
        <v>568</v>
      </c>
      <c r="D3361" s="453">
        <v>45748</v>
      </c>
      <c r="E3361">
        <v>18986</v>
      </c>
      <c r="F3361" t="s">
        <v>4501</v>
      </c>
      <c r="G3361">
        <v>2901</v>
      </c>
      <c r="H3361">
        <v>2.1</v>
      </c>
      <c r="I3361" t="s">
        <v>3892</v>
      </c>
      <c r="J3361" t="s">
        <v>3469</v>
      </c>
      <c r="K3361" t="s">
        <v>3701</v>
      </c>
      <c r="L3361">
        <v>0</v>
      </c>
      <c r="M3361" s="453">
        <v>45674</v>
      </c>
      <c r="N3361">
        <v>9.58</v>
      </c>
      <c r="O3361">
        <v>12.89</v>
      </c>
      <c r="P3361">
        <v>20.12</v>
      </c>
    </row>
    <row r="3362" spans="1:16" x14ac:dyDescent="0.3">
      <c r="A3362">
        <v>27869</v>
      </c>
      <c r="B3362">
        <v>116</v>
      </c>
      <c r="C3362" t="s">
        <v>568</v>
      </c>
      <c r="D3362" s="453">
        <v>45748</v>
      </c>
      <c r="E3362">
        <v>19984</v>
      </c>
      <c r="F3362" t="s">
        <v>3904</v>
      </c>
      <c r="G3362">
        <v>2351</v>
      </c>
      <c r="H3362">
        <v>1</v>
      </c>
      <c r="I3362" t="s">
        <v>3872</v>
      </c>
      <c r="J3362" t="s">
        <v>3469</v>
      </c>
      <c r="K3362" t="s">
        <v>3701</v>
      </c>
      <c r="L3362">
        <v>0</v>
      </c>
      <c r="M3362" s="453">
        <v>45699</v>
      </c>
      <c r="N3362">
        <v>19.8</v>
      </c>
      <c r="O3362">
        <v>8.06</v>
      </c>
      <c r="P3362">
        <v>19.8</v>
      </c>
    </row>
    <row r="3363" spans="1:16" x14ac:dyDescent="0.3">
      <c r="A3363">
        <v>27920</v>
      </c>
      <c r="B3363">
        <v>116</v>
      </c>
      <c r="C3363" t="s">
        <v>568</v>
      </c>
      <c r="D3363" s="453">
        <v>45748</v>
      </c>
      <c r="E3363">
        <v>19751</v>
      </c>
      <c r="F3363" t="s">
        <v>4019</v>
      </c>
      <c r="G3363">
        <v>2502</v>
      </c>
      <c r="H3363">
        <v>2.2000000000000002</v>
      </c>
      <c r="I3363" t="s">
        <v>3892</v>
      </c>
      <c r="J3363" t="s">
        <v>3469</v>
      </c>
      <c r="K3363" t="s">
        <v>3701</v>
      </c>
      <c r="L3363">
        <v>8.83</v>
      </c>
      <c r="M3363" s="453">
        <v>45743</v>
      </c>
      <c r="N3363">
        <v>10</v>
      </c>
      <c r="O3363">
        <v>6.93</v>
      </c>
      <c r="P3363">
        <v>19.43</v>
      </c>
    </row>
    <row r="3364" spans="1:16" x14ac:dyDescent="0.3">
      <c r="A3364">
        <v>27941</v>
      </c>
      <c r="B3364">
        <v>116</v>
      </c>
      <c r="C3364" t="s">
        <v>568</v>
      </c>
      <c r="D3364" s="453">
        <v>45748</v>
      </c>
      <c r="E3364">
        <v>19468</v>
      </c>
      <c r="F3364" t="s">
        <v>4079</v>
      </c>
      <c r="G3364">
        <v>2736</v>
      </c>
      <c r="H3364">
        <v>1</v>
      </c>
      <c r="I3364" t="s">
        <v>3892</v>
      </c>
      <c r="J3364" t="s">
        <v>3469</v>
      </c>
      <c r="K3364" t="s">
        <v>3701</v>
      </c>
      <c r="L3364">
        <v>19.010000000000002</v>
      </c>
      <c r="M3364" s="453">
        <v>45743</v>
      </c>
      <c r="N3364">
        <v>20</v>
      </c>
      <c r="O3364">
        <v>17.739999999999998</v>
      </c>
      <c r="P3364">
        <v>19.010000000000002</v>
      </c>
    </row>
    <row r="3365" spans="1:16" x14ac:dyDescent="0.3">
      <c r="A3365">
        <v>27848</v>
      </c>
      <c r="B3365">
        <v>116</v>
      </c>
      <c r="C3365" t="s">
        <v>568</v>
      </c>
      <c r="D3365" s="453">
        <v>45748</v>
      </c>
      <c r="E3365">
        <v>20250</v>
      </c>
      <c r="F3365" t="s">
        <v>4008</v>
      </c>
      <c r="G3365">
        <v>2241</v>
      </c>
      <c r="H3365">
        <v>0.5</v>
      </c>
      <c r="I3365" t="s">
        <v>3888</v>
      </c>
      <c r="J3365" t="s">
        <v>3469</v>
      </c>
      <c r="K3365" t="s">
        <v>3701</v>
      </c>
      <c r="L3365">
        <v>0</v>
      </c>
      <c r="M3365" s="453">
        <v>45716</v>
      </c>
      <c r="N3365">
        <v>37.200000000000003</v>
      </c>
      <c r="O3365">
        <v>37.200000000000003</v>
      </c>
      <c r="P3365">
        <v>18.600000000000001</v>
      </c>
    </row>
    <row r="3366" spans="1:16" x14ac:dyDescent="0.3">
      <c r="A3366">
        <v>27856</v>
      </c>
      <c r="B3366">
        <v>116</v>
      </c>
      <c r="C3366" t="s">
        <v>568</v>
      </c>
      <c r="D3366" s="453">
        <v>45748</v>
      </c>
      <c r="E3366">
        <v>20661</v>
      </c>
      <c r="F3366" t="s">
        <v>3919</v>
      </c>
      <c r="G3366">
        <v>2110</v>
      </c>
      <c r="H3366">
        <v>2</v>
      </c>
      <c r="I3366" t="s">
        <v>3872</v>
      </c>
      <c r="J3366" t="s">
        <v>3469</v>
      </c>
      <c r="K3366" t="s">
        <v>3701</v>
      </c>
      <c r="L3366">
        <v>9.08</v>
      </c>
      <c r="M3366" s="453">
        <v>45740</v>
      </c>
      <c r="N3366">
        <v>9.19</v>
      </c>
      <c r="O3366">
        <v>8.99</v>
      </c>
      <c r="P3366">
        <v>18.16</v>
      </c>
    </row>
    <row r="3367" spans="1:16" x14ac:dyDescent="0.3">
      <c r="A3367">
        <v>27902</v>
      </c>
      <c r="B3367">
        <v>116</v>
      </c>
      <c r="C3367" t="s">
        <v>568</v>
      </c>
      <c r="D3367" s="453">
        <v>45748</v>
      </c>
      <c r="E3367">
        <v>19639</v>
      </c>
      <c r="F3367" t="s">
        <v>4494</v>
      </c>
      <c r="G3367">
        <v>2597</v>
      </c>
      <c r="H3367">
        <v>5</v>
      </c>
      <c r="I3367" t="s">
        <v>3892</v>
      </c>
      <c r="J3367" t="s">
        <v>3469</v>
      </c>
      <c r="K3367" t="s">
        <v>3701</v>
      </c>
      <c r="L3367">
        <v>3.37</v>
      </c>
      <c r="M3367" s="453">
        <v>45740</v>
      </c>
      <c r="N3367">
        <v>3.3</v>
      </c>
      <c r="O3367">
        <v>3.3</v>
      </c>
      <c r="P3367">
        <v>16.850000000000001</v>
      </c>
    </row>
    <row r="3368" spans="1:16" x14ac:dyDescent="0.3">
      <c r="A3368">
        <v>27915</v>
      </c>
      <c r="B3368">
        <v>116</v>
      </c>
      <c r="C3368" t="s">
        <v>568</v>
      </c>
      <c r="D3368" s="453">
        <v>45748</v>
      </c>
      <c r="E3368">
        <v>24598</v>
      </c>
      <c r="F3368" t="s">
        <v>4166</v>
      </c>
      <c r="G3368">
        <v>2725</v>
      </c>
      <c r="H3368">
        <v>1</v>
      </c>
      <c r="I3368" t="s">
        <v>3892</v>
      </c>
      <c r="J3368" t="s">
        <v>3469</v>
      </c>
      <c r="K3368" t="s">
        <v>3701</v>
      </c>
      <c r="L3368">
        <v>16.489999999999998</v>
      </c>
      <c r="M3368" s="453">
        <v>45743</v>
      </c>
      <c r="N3368">
        <v>16</v>
      </c>
      <c r="O3368">
        <v>15</v>
      </c>
      <c r="P3368">
        <v>16.489999999999998</v>
      </c>
    </row>
    <row r="3369" spans="1:16" x14ac:dyDescent="0.3">
      <c r="A3369">
        <v>27862</v>
      </c>
      <c r="B3369">
        <v>116</v>
      </c>
      <c r="C3369" t="s">
        <v>568</v>
      </c>
      <c r="D3369" s="453">
        <v>45748</v>
      </c>
      <c r="E3369">
        <v>20133</v>
      </c>
      <c r="F3369" t="s">
        <v>4461</v>
      </c>
      <c r="G3369">
        <v>2286</v>
      </c>
      <c r="H3369">
        <v>2</v>
      </c>
      <c r="I3369" t="s">
        <v>3888</v>
      </c>
      <c r="J3369" t="s">
        <v>3469</v>
      </c>
      <c r="K3369" t="s">
        <v>3701</v>
      </c>
      <c r="L3369">
        <v>8.1999999999999993</v>
      </c>
      <c r="M3369" s="453">
        <v>45734</v>
      </c>
      <c r="N3369">
        <v>8.1999999999999993</v>
      </c>
      <c r="O3369">
        <v>8.1999999999999993</v>
      </c>
      <c r="P3369">
        <v>16.399999999999999</v>
      </c>
    </row>
    <row r="3370" spans="1:16" x14ac:dyDescent="0.3">
      <c r="A3370">
        <v>27892</v>
      </c>
      <c r="B3370">
        <v>116</v>
      </c>
      <c r="C3370" t="s">
        <v>568</v>
      </c>
      <c r="D3370" s="453">
        <v>45748</v>
      </c>
      <c r="E3370">
        <v>19458</v>
      </c>
      <c r="F3370" t="s">
        <v>4212</v>
      </c>
      <c r="G3370">
        <v>2746</v>
      </c>
      <c r="H3370">
        <v>1</v>
      </c>
      <c r="I3370" t="s">
        <v>3892</v>
      </c>
      <c r="J3370" t="s">
        <v>3469</v>
      </c>
      <c r="K3370" t="s">
        <v>3701</v>
      </c>
      <c r="L3370">
        <v>15.5</v>
      </c>
      <c r="M3370" s="453">
        <v>45740</v>
      </c>
      <c r="N3370">
        <v>13.5</v>
      </c>
      <c r="O3370">
        <v>11</v>
      </c>
      <c r="P3370">
        <v>15.5</v>
      </c>
    </row>
    <row r="3371" spans="1:16" x14ac:dyDescent="0.3">
      <c r="A3371">
        <v>27938</v>
      </c>
      <c r="B3371">
        <v>116</v>
      </c>
      <c r="C3371" t="s">
        <v>568</v>
      </c>
      <c r="D3371" s="453">
        <v>45748</v>
      </c>
      <c r="E3371">
        <v>19558</v>
      </c>
      <c r="F3371" t="s">
        <v>4183</v>
      </c>
      <c r="G3371">
        <v>2659</v>
      </c>
      <c r="H3371">
        <v>1</v>
      </c>
      <c r="I3371" t="s">
        <v>3892</v>
      </c>
      <c r="J3371" t="s">
        <v>3469</v>
      </c>
      <c r="K3371" t="s">
        <v>3701</v>
      </c>
      <c r="L3371">
        <v>14.33</v>
      </c>
      <c r="M3371" s="453">
        <v>45740</v>
      </c>
      <c r="N3371">
        <v>12</v>
      </c>
      <c r="O3371">
        <v>22.1</v>
      </c>
      <c r="P3371">
        <v>14.33</v>
      </c>
    </row>
    <row r="3372" spans="1:16" x14ac:dyDescent="0.3">
      <c r="A3372">
        <v>27926</v>
      </c>
      <c r="B3372">
        <v>116</v>
      </c>
      <c r="C3372" t="s">
        <v>568</v>
      </c>
      <c r="D3372" s="453">
        <v>45748</v>
      </c>
      <c r="E3372">
        <v>19475</v>
      </c>
      <c r="F3372" t="s">
        <v>4111</v>
      </c>
      <c r="G3372">
        <v>2730</v>
      </c>
      <c r="H3372">
        <v>0.3</v>
      </c>
      <c r="I3372" t="s">
        <v>3892</v>
      </c>
      <c r="J3372" t="s">
        <v>3469</v>
      </c>
      <c r="K3372" t="s">
        <v>3701</v>
      </c>
      <c r="L3372">
        <v>47.4</v>
      </c>
      <c r="M3372" s="453">
        <v>45743</v>
      </c>
      <c r="N3372">
        <v>50</v>
      </c>
      <c r="O3372">
        <v>45</v>
      </c>
      <c r="P3372">
        <v>14.22</v>
      </c>
    </row>
    <row r="3373" spans="1:16" x14ac:dyDescent="0.3">
      <c r="A3373">
        <v>27868</v>
      </c>
      <c r="B3373">
        <v>116</v>
      </c>
      <c r="C3373" t="s">
        <v>568</v>
      </c>
      <c r="D3373" s="453">
        <v>45748</v>
      </c>
      <c r="E3373">
        <v>17024</v>
      </c>
      <c r="F3373" t="s">
        <v>4495</v>
      </c>
      <c r="G3373">
        <v>2113</v>
      </c>
      <c r="H3373">
        <v>2</v>
      </c>
      <c r="I3373" t="s">
        <v>3892</v>
      </c>
      <c r="J3373" t="s">
        <v>3469</v>
      </c>
      <c r="K3373" t="s">
        <v>3701</v>
      </c>
      <c r="L3373">
        <v>7</v>
      </c>
      <c r="M3373" s="453">
        <v>45740</v>
      </c>
      <c r="N3373">
        <v>7</v>
      </c>
      <c r="O3373">
        <v>7</v>
      </c>
      <c r="P3373">
        <v>14</v>
      </c>
    </row>
    <row r="3374" spans="1:16" x14ac:dyDescent="0.3">
      <c r="A3374">
        <v>27939</v>
      </c>
      <c r="B3374">
        <v>116</v>
      </c>
      <c r="C3374" t="s">
        <v>568</v>
      </c>
      <c r="D3374" s="453">
        <v>45748</v>
      </c>
      <c r="E3374">
        <v>19555</v>
      </c>
      <c r="F3374" t="s">
        <v>4109</v>
      </c>
      <c r="G3374">
        <v>2662</v>
      </c>
      <c r="H3374">
        <v>0.5</v>
      </c>
      <c r="I3374" t="s">
        <v>3892</v>
      </c>
      <c r="J3374" t="s">
        <v>3469</v>
      </c>
      <c r="K3374" t="s">
        <v>3701</v>
      </c>
      <c r="L3374">
        <v>27.98</v>
      </c>
      <c r="M3374" s="453">
        <v>45743</v>
      </c>
      <c r="N3374">
        <v>27.63</v>
      </c>
      <c r="O3374">
        <v>27.63</v>
      </c>
      <c r="P3374">
        <v>13.99</v>
      </c>
    </row>
    <row r="3375" spans="1:16" x14ac:dyDescent="0.3">
      <c r="A3375">
        <v>27852</v>
      </c>
      <c r="B3375">
        <v>116</v>
      </c>
      <c r="C3375" t="s">
        <v>568</v>
      </c>
      <c r="D3375" s="453">
        <v>45748</v>
      </c>
      <c r="E3375">
        <v>20327</v>
      </c>
      <c r="F3375" t="s">
        <v>4179</v>
      </c>
      <c r="G3375">
        <v>2211</v>
      </c>
      <c r="H3375">
        <v>2</v>
      </c>
      <c r="I3375" t="s">
        <v>3888</v>
      </c>
      <c r="J3375" t="s">
        <v>3469</v>
      </c>
      <c r="K3375" t="s">
        <v>3701</v>
      </c>
      <c r="L3375">
        <v>0</v>
      </c>
      <c r="M3375" s="453">
        <v>-693593</v>
      </c>
      <c r="N3375">
        <v>0</v>
      </c>
      <c r="O3375">
        <v>6.55</v>
      </c>
      <c r="P3375">
        <v>13.8</v>
      </c>
    </row>
    <row r="3376" spans="1:16" x14ac:dyDescent="0.3">
      <c r="A3376">
        <v>27914</v>
      </c>
      <c r="B3376">
        <v>116</v>
      </c>
      <c r="C3376" t="s">
        <v>568</v>
      </c>
      <c r="D3376" s="453">
        <v>45748</v>
      </c>
      <c r="E3376">
        <v>24230</v>
      </c>
      <c r="F3376" t="s">
        <v>4018</v>
      </c>
      <c r="G3376">
        <v>2622</v>
      </c>
      <c r="H3376">
        <v>0.6</v>
      </c>
      <c r="I3376" t="s">
        <v>3892</v>
      </c>
      <c r="J3376" t="s">
        <v>3469</v>
      </c>
      <c r="K3376" t="s">
        <v>3701</v>
      </c>
      <c r="L3376">
        <v>22.33</v>
      </c>
      <c r="M3376" s="453">
        <v>45743</v>
      </c>
      <c r="N3376">
        <v>22.1</v>
      </c>
      <c r="O3376">
        <v>22.1</v>
      </c>
      <c r="P3376">
        <v>13.4</v>
      </c>
    </row>
    <row r="3377" spans="1:16" x14ac:dyDescent="0.3">
      <c r="A3377">
        <v>27942</v>
      </c>
      <c r="B3377">
        <v>116</v>
      </c>
      <c r="C3377" t="s">
        <v>568</v>
      </c>
      <c r="D3377" s="453">
        <v>45748</v>
      </c>
      <c r="E3377">
        <v>19465</v>
      </c>
      <c r="F3377" t="s">
        <v>4080</v>
      </c>
      <c r="G3377">
        <v>2737</v>
      </c>
      <c r="H3377">
        <v>1.2</v>
      </c>
      <c r="I3377" t="s">
        <v>3892</v>
      </c>
      <c r="J3377" t="s">
        <v>3469</v>
      </c>
      <c r="K3377" t="s">
        <v>3701</v>
      </c>
      <c r="L3377">
        <v>11.1</v>
      </c>
      <c r="M3377" s="453">
        <v>45743</v>
      </c>
      <c r="N3377">
        <v>11</v>
      </c>
      <c r="O3377">
        <v>12.5</v>
      </c>
      <c r="P3377">
        <v>13.32</v>
      </c>
    </row>
    <row r="3378" spans="1:16" x14ac:dyDescent="0.3">
      <c r="A3378">
        <v>27903</v>
      </c>
      <c r="B3378">
        <v>116</v>
      </c>
      <c r="C3378" t="s">
        <v>568</v>
      </c>
      <c r="D3378" s="453">
        <v>45748</v>
      </c>
      <c r="E3378">
        <v>19638</v>
      </c>
      <c r="F3378" t="s">
        <v>4497</v>
      </c>
      <c r="G3378">
        <v>2598</v>
      </c>
      <c r="H3378">
        <v>3.5</v>
      </c>
      <c r="I3378" t="s">
        <v>3892</v>
      </c>
      <c r="J3378" t="s">
        <v>3469</v>
      </c>
      <c r="K3378" t="s">
        <v>3701</v>
      </c>
      <c r="L3378">
        <v>0</v>
      </c>
      <c r="M3378" s="453">
        <v>45688</v>
      </c>
      <c r="N3378">
        <v>3.5</v>
      </c>
      <c r="O3378">
        <v>2.2999999999999998</v>
      </c>
      <c r="P3378">
        <v>12.25</v>
      </c>
    </row>
    <row r="3379" spans="1:16" x14ac:dyDescent="0.3">
      <c r="A3379">
        <v>27934</v>
      </c>
      <c r="B3379">
        <v>116</v>
      </c>
      <c r="C3379" t="s">
        <v>568</v>
      </c>
      <c r="D3379" s="453">
        <v>45748</v>
      </c>
      <c r="E3379">
        <v>19574</v>
      </c>
      <c r="F3379" t="s">
        <v>4077</v>
      </c>
      <c r="G3379">
        <v>2644</v>
      </c>
      <c r="H3379">
        <v>1</v>
      </c>
      <c r="I3379" t="s">
        <v>3892</v>
      </c>
      <c r="J3379" t="s">
        <v>3469</v>
      </c>
      <c r="K3379" t="s">
        <v>3701</v>
      </c>
      <c r="L3379">
        <v>0</v>
      </c>
      <c r="M3379" s="453">
        <v>45635</v>
      </c>
      <c r="N3379">
        <v>0</v>
      </c>
      <c r="O3379">
        <v>11.9</v>
      </c>
      <c r="P3379">
        <v>11.9</v>
      </c>
    </row>
    <row r="3380" spans="1:16" x14ac:dyDescent="0.3">
      <c r="A3380">
        <v>27887</v>
      </c>
      <c r="B3380">
        <v>116</v>
      </c>
      <c r="C3380" t="s">
        <v>568</v>
      </c>
      <c r="D3380" s="453">
        <v>45748</v>
      </c>
      <c r="E3380">
        <v>20456</v>
      </c>
      <c r="F3380" t="s">
        <v>4000</v>
      </c>
      <c r="G3380">
        <v>2166</v>
      </c>
      <c r="H3380">
        <v>0.3</v>
      </c>
      <c r="I3380" t="s">
        <v>3892</v>
      </c>
      <c r="J3380" t="s">
        <v>3469</v>
      </c>
      <c r="K3380" t="s">
        <v>3701</v>
      </c>
      <c r="L3380">
        <v>39</v>
      </c>
      <c r="M3380" s="453">
        <v>45734</v>
      </c>
      <c r="N3380">
        <v>39</v>
      </c>
      <c r="O3380">
        <v>39</v>
      </c>
      <c r="P3380">
        <v>11.7</v>
      </c>
    </row>
    <row r="3381" spans="1:16" x14ac:dyDescent="0.3">
      <c r="A3381">
        <v>27893</v>
      </c>
      <c r="B3381">
        <v>116</v>
      </c>
      <c r="C3381" t="s">
        <v>568</v>
      </c>
      <c r="D3381" s="453">
        <v>45748</v>
      </c>
      <c r="E3381">
        <v>19506</v>
      </c>
      <c r="F3381" t="s">
        <v>4112</v>
      </c>
      <c r="G3381">
        <v>2705</v>
      </c>
      <c r="H3381">
        <v>0.3</v>
      </c>
      <c r="I3381" t="s">
        <v>3892</v>
      </c>
      <c r="J3381" t="s">
        <v>3469</v>
      </c>
      <c r="K3381" t="s">
        <v>3701</v>
      </c>
      <c r="L3381">
        <v>37.85</v>
      </c>
      <c r="M3381" s="453">
        <v>45743</v>
      </c>
      <c r="N3381">
        <v>29</v>
      </c>
      <c r="O3381">
        <v>36.82</v>
      </c>
      <c r="P3381">
        <v>11.36</v>
      </c>
    </row>
    <row r="3382" spans="1:16" x14ac:dyDescent="0.3">
      <c r="A3382">
        <v>27898</v>
      </c>
      <c r="B3382">
        <v>116</v>
      </c>
      <c r="C3382" t="s">
        <v>568</v>
      </c>
      <c r="D3382" s="453">
        <v>45748</v>
      </c>
      <c r="E3382">
        <v>19647</v>
      </c>
      <c r="F3382" t="s">
        <v>4066</v>
      </c>
      <c r="G3382">
        <v>2591</v>
      </c>
      <c r="H3382">
        <v>1</v>
      </c>
      <c r="I3382" t="s">
        <v>3892</v>
      </c>
      <c r="J3382" t="s">
        <v>3469</v>
      </c>
      <c r="K3382" t="s">
        <v>3701</v>
      </c>
      <c r="L3382">
        <v>11</v>
      </c>
      <c r="M3382" s="453">
        <v>45736</v>
      </c>
      <c r="N3382">
        <v>11</v>
      </c>
      <c r="O3382">
        <v>13</v>
      </c>
      <c r="P3382">
        <v>11</v>
      </c>
    </row>
    <row r="3383" spans="1:16" x14ac:dyDescent="0.3">
      <c r="A3383">
        <v>27944</v>
      </c>
      <c r="B3383">
        <v>116</v>
      </c>
      <c r="C3383" t="s">
        <v>568</v>
      </c>
      <c r="D3383" s="453">
        <v>45748</v>
      </c>
      <c r="E3383">
        <v>19546</v>
      </c>
      <c r="F3383" t="s">
        <v>4483</v>
      </c>
      <c r="G3383">
        <v>2670</v>
      </c>
      <c r="H3383">
        <v>0.6</v>
      </c>
      <c r="I3383" t="s">
        <v>3892</v>
      </c>
      <c r="J3383" t="s">
        <v>3469</v>
      </c>
      <c r="K3383" t="s">
        <v>3701</v>
      </c>
      <c r="L3383">
        <v>18.239999999999998</v>
      </c>
      <c r="M3383" s="453">
        <v>45740</v>
      </c>
      <c r="N3383">
        <v>18.48</v>
      </c>
      <c r="O3383">
        <v>16.309999999999999</v>
      </c>
      <c r="P3383">
        <v>10.94</v>
      </c>
    </row>
    <row r="3384" spans="1:16" x14ac:dyDescent="0.3">
      <c r="A3384">
        <v>27881</v>
      </c>
      <c r="B3384">
        <v>116</v>
      </c>
      <c r="C3384" t="s">
        <v>568</v>
      </c>
      <c r="D3384" s="453">
        <v>45748</v>
      </c>
      <c r="E3384">
        <v>25768</v>
      </c>
      <c r="F3384" t="s">
        <v>4012</v>
      </c>
      <c r="G3384">
        <v>6317</v>
      </c>
      <c r="H3384">
        <v>1.5</v>
      </c>
      <c r="I3384" t="s">
        <v>3892</v>
      </c>
      <c r="J3384" t="s">
        <v>3469</v>
      </c>
      <c r="K3384" t="s">
        <v>3701</v>
      </c>
      <c r="L3384">
        <v>0</v>
      </c>
      <c r="M3384" s="453">
        <v>-693593</v>
      </c>
      <c r="N3384">
        <v>0</v>
      </c>
      <c r="O3384">
        <v>7.52</v>
      </c>
      <c r="P3384">
        <v>10.35</v>
      </c>
    </row>
    <row r="3385" spans="1:16" x14ac:dyDescent="0.3">
      <c r="A3385">
        <v>27894</v>
      </c>
      <c r="B3385">
        <v>116</v>
      </c>
      <c r="C3385" t="s">
        <v>568</v>
      </c>
      <c r="D3385" s="453">
        <v>45748</v>
      </c>
      <c r="E3385">
        <v>19505</v>
      </c>
      <c r="F3385" t="s">
        <v>4101</v>
      </c>
      <c r="G3385">
        <v>2706</v>
      </c>
      <c r="H3385">
        <v>0.8</v>
      </c>
      <c r="I3385" t="s">
        <v>3892</v>
      </c>
      <c r="J3385" t="s">
        <v>3469</v>
      </c>
      <c r="K3385" t="s">
        <v>3701</v>
      </c>
      <c r="L3385">
        <v>12.86</v>
      </c>
      <c r="M3385" s="453">
        <v>45743</v>
      </c>
      <c r="N3385">
        <v>9</v>
      </c>
      <c r="O3385">
        <v>10</v>
      </c>
      <c r="P3385">
        <v>10.29</v>
      </c>
    </row>
    <row r="3386" spans="1:16" x14ac:dyDescent="0.3">
      <c r="A3386">
        <v>27908</v>
      </c>
      <c r="B3386">
        <v>116</v>
      </c>
      <c r="C3386" t="s">
        <v>568</v>
      </c>
      <c r="D3386" s="453">
        <v>45748</v>
      </c>
      <c r="E3386">
        <v>19623</v>
      </c>
      <c r="F3386" t="s">
        <v>3984</v>
      </c>
      <c r="G3386">
        <v>2611</v>
      </c>
      <c r="H3386">
        <v>1.9</v>
      </c>
      <c r="I3386" t="s">
        <v>3892</v>
      </c>
      <c r="J3386" t="s">
        <v>3469</v>
      </c>
      <c r="K3386" t="s">
        <v>3701</v>
      </c>
      <c r="L3386">
        <v>5.37</v>
      </c>
      <c r="M3386" s="453">
        <v>45743</v>
      </c>
      <c r="N3386">
        <v>5</v>
      </c>
      <c r="O3386">
        <v>5</v>
      </c>
      <c r="P3386">
        <v>10.199999999999999</v>
      </c>
    </row>
    <row r="3387" spans="1:16" x14ac:dyDescent="0.3">
      <c r="A3387">
        <v>27873</v>
      </c>
      <c r="B3387">
        <v>116</v>
      </c>
      <c r="C3387" t="s">
        <v>568</v>
      </c>
      <c r="D3387" s="453">
        <v>45748</v>
      </c>
      <c r="E3387">
        <v>19967</v>
      </c>
      <c r="F3387" t="s">
        <v>3930</v>
      </c>
      <c r="G3387">
        <v>2356</v>
      </c>
      <c r="H3387">
        <v>0.5</v>
      </c>
      <c r="I3387" t="s">
        <v>3931</v>
      </c>
      <c r="J3387" t="s">
        <v>3469</v>
      </c>
      <c r="K3387" t="s">
        <v>3701</v>
      </c>
      <c r="L3387">
        <v>19.59</v>
      </c>
      <c r="M3387" s="453">
        <v>45727</v>
      </c>
      <c r="N3387">
        <v>19.489999999999998</v>
      </c>
      <c r="O3387">
        <v>48.2</v>
      </c>
      <c r="P3387">
        <v>9.8000000000000007</v>
      </c>
    </row>
    <row r="3388" spans="1:16" x14ac:dyDescent="0.3">
      <c r="A3388">
        <v>27911</v>
      </c>
      <c r="B3388">
        <v>116</v>
      </c>
      <c r="C3388" t="s">
        <v>568</v>
      </c>
      <c r="D3388" s="453">
        <v>45748</v>
      </c>
      <c r="E3388">
        <v>19621</v>
      </c>
      <c r="F3388" t="s">
        <v>4125</v>
      </c>
      <c r="G3388">
        <v>2613</v>
      </c>
      <c r="H3388">
        <v>2.6</v>
      </c>
      <c r="I3388" t="s">
        <v>3892</v>
      </c>
      <c r="J3388" t="s">
        <v>3469</v>
      </c>
      <c r="K3388" t="s">
        <v>3701</v>
      </c>
      <c r="L3388">
        <v>3.58</v>
      </c>
      <c r="M3388" s="453">
        <v>45743</v>
      </c>
      <c r="N3388">
        <v>3.3</v>
      </c>
      <c r="O3388">
        <v>3.5</v>
      </c>
      <c r="P3388">
        <v>9.31</v>
      </c>
    </row>
    <row r="3389" spans="1:16" x14ac:dyDescent="0.3">
      <c r="A3389">
        <v>27839</v>
      </c>
      <c r="B3389">
        <v>116</v>
      </c>
      <c r="C3389" t="s">
        <v>568</v>
      </c>
      <c r="D3389" s="453">
        <v>45748</v>
      </c>
      <c r="E3389">
        <v>24185</v>
      </c>
      <c r="F3389" t="s">
        <v>4040</v>
      </c>
      <c r="G3389">
        <v>2331</v>
      </c>
      <c r="H3389">
        <v>1</v>
      </c>
      <c r="I3389" t="s">
        <v>3892</v>
      </c>
      <c r="J3389" t="s">
        <v>3469</v>
      </c>
      <c r="K3389" t="s">
        <v>3701</v>
      </c>
      <c r="L3389">
        <v>0</v>
      </c>
      <c r="M3389" s="453">
        <v>-693593</v>
      </c>
      <c r="N3389">
        <v>0</v>
      </c>
      <c r="O3389">
        <v>0</v>
      </c>
      <c r="P3389">
        <v>8.76</v>
      </c>
    </row>
    <row r="3390" spans="1:16" x14ac:dyDescent="0.3">
      <c r="A3390">
        <v>27919</v>
      </c>
      <c r="B3390">
        <v>116</v>
      </c>
      <c r="C3390" t="s">
        <v>568</v>
      </c>
      <c r="D3390" s="453">
        <v>45748</v>
      </c>
      <c r="E3390">
        <v>19752</v>
      </c>
      <c r="F3390" t="s">
        <v>4042</v>
      </c>
      <c r="G3390">
        <v>2501</v>
      </c>
      <c r="H3390">
        <v>1</v>
      </c>
      <c r="I3390" t="s">
        <v>3892</v>
      </c>
      <c r="J3390" t="s">
        <v>3469</v>
      </c>
      <c r="K3390" t="s">
        <v>3701</v>
      </c>
      <c r="L3390">
        <v>8.67</v>
      </c>
      <c r="M3390" s="453">
        <v>45743</v>
      </c>
      <c r="N3390">
        <v>7.5</v>
      </c>
      <c r="O3390">
        <v>15.86</v>
      </c>
      <c r="P3390">
        <v>8.67</v>
      </c>
    </row>
    <row r="3391" spans="1:16" x14ac:dyDescent="0.3">
      <c r="A3391">
        <v>27948</v>
      </c>
      <c r="B3391">
        <v>116</v>
      </c>
      <c r="C3391" t="s">
        <v>568</v>
      </c>
      <c r="D3391" s="453">
        <v>45748</v>
      </c>
      <c r="E3391">
        <v>24489</v>
      </c>
      <c r="F3391" t="s">
        <v>4502</v>
      </c>
      <c r="G3391">
        <v>2686</v>
      </c>
      <c r="H3391">
        <v>0.5</v>
      </c>
      <c r="I3391" t="s">
        <v>3892</v>
      </c>
      <c r="J3391" t="s">
        <v>3469</v>
      </c>
      <c r="K3391" t="s">
        <v>3701</v>
      </c>
      <c r="L3391">
        <v>17.329999999999998</v>
      </c>
      <c r="M3391" s="453">
        <v>45740</v>
      </c>
      <c r="N3391">
        <v>18</v>
      </c>
      <c r="O3391">
        <v>20</v>
      </c>
      <c r="P3391">
        <v>8.66</v>
      </c>
    </row>
    <row r="3392" spans="1:16" x14ac:dyDescent="0.3">
      <c r="A3392">
        <v>27917</v>
      </c>
      <c r="B3392">
        <v>116</v>
      </c>
      <c r="C3392" t="s">
        <v>568</v>
      </c>
      <c r="D3392" s="453">
        <v>45748</v>
      </c>
      <c r="E3392">
        <v>19607</v>
      </c>
      <c r="F3392" t="s">
        <v>4105</v>
      </c>
      <c r="G3392">
        <v>2623</v>
      </c>
      <c r="H3392">
        <v>0.5</v>
      </c>
      <c r="I3392" t="s">
        <v>3892</v>
      </c>
      <c r="J3392" t="s">
        <v>3469</v>
      </c>
      <c r="K3392" t="s">
        <v>3701</v>
      </c>
      <c r="L3392">
        <v>16.899999999999999</v>
      </c>
      <c r="M3392" s="453">
        <v>45743</v>
      </c>
      <c r="N3392">
        <v>16.899999999999999</v>
      </c>
      <c r="O3392">
        <v>8</v>
      </c>
      <c r="P3392">
        <v>8.4499999999999993</v>
      </c>
    </row>
    <row r="3393" spans="1:16" x14ac:dyDescent="0.3">
      <c r="A3393">
        <v>27912</v>
      </c>
      <c r="B3393">
        <v>116</v>
      </c>
      <c r="C3393" t="s">
        <v>568</v>
      </c>
      <c r="D3393" s="453">
        <v>45748</v>
      </c>
      <c r="E3393">
        <v>19617</v>
      </c>
      <c r="F3393" t="s">
        <v>4110</v>
      </c>
      <c r="G3393">
        <v>2617</v>
      </c>
      <c r="H3393">
        <v>0.2</v>
      </c>
      <c r="I3393" t="s">
        <v>3892</v>
      </c>
      <c r="J3393" t="s">
        <v>3469</v>
      </c>
      <c r="K3393" t="s">
        <v>3701</v>
      </c>
      <c r="L3393">
        <v>40</v>
      </c>
      <c r="M3393" s="453">
        <v>45740</v>
      </c>
      <c r="N3393">
        <v>45</v>
      </c>
      <c r="O3393">
        <v>43.33</v>
      </c>
      <c r="P3393">
        <v>8</v>
      </c>
    </row>
    <row r="3394" spans="1:16" x14ac:dyDescent="0.3">
      <c r="A3394">
        <v>27895</v>
      </c>
      <c r="B3394">
        <v>116</v>
      </c>
      <c r="C3394" t="s">
        <v>568</v>
      </c>
      <c r="D3394" s="453">
        <v>45748</v>
      </c>
      <c r="E3394">
        <v>19503</v>
      </c>
      <c r="F3394" t="s">
        <v>4498</v>
      </c>
      <c r="G3394">
        <v>2707</v>
      </c>
      <c r="H3394">
        <v>0.6</v>
      </c>
      <c r="I3394" t="s">
        <v>3892</v>
      </c>
      <c r="J3394" t="s">
        <v>3469</v>
      </c>
      <c r="K3394" t="s">
        <v>3701</v>
      </c>
      <c r="L3394">
        <v>12.2</v>
      </c>
      <c r="M3394" s="453">
        <v>45743</v>
      </c>
      <c r="N3394">
        <v>9</v>
      </c>
      <c r="O3394">
        <v>10</v>
      </c>
      <c r="P3394">
        <v>7.32</v>
      </c>
    </row>
    <row r="3395" spans="1:16" x14ac:dyDescent="0.3">
      <c r="A3395">
        <v>27925</v>
      </c>
      <c r="B3395">
        <v>116</v>
      </c>
      <c r="C3395" t="s">
        <v>568</v>
      </c>
      <c r="D3395" s="453">
        <v>45748</v>
      </c>
      <c r="E3395">
        <v>23347</v>
      </c>
      <c r="F3395" t="s">
        <v>4074</v>
      </c>
      <c r="G3395">
        <v>2511</v>
      </c>
      <c r="H3395">
        <v>1</v>
      </c>
      <c r="I3395" t="s">
        <v>3892</v>
      </c>
      <c r="J3395" t="s">
        <v>3469</v>
      </c>
      <c r="K3395" t="s">
        <v>3701</v>
      </c>
      <c r="L3395">
        <v>0</v>
      </c>
      <c r="M3395" s="453">
        <v>45677</v>
      </c>
      <c r="N3395">
        <v>6.8</v>
      </c>
      <c r="O3395">
        <v>6.8</v>
      </c>
      <c r="P3395">
        <v>6.8</v>
      </c>
    </row>
    <row r="3396" spans="1:16" x14ac:dyDescent="0.3">
      <c r="A3396">
        <v>27901</v>
      </c>
      <c r="B3396">
        <v>116</v>
      </c>
      <c r="C3396" t="s">
        <v>568</v>
      </c>
      <c r="D3396" s="453">
        <v>45748</v>
      </c>
      <c r="E3396">
        <v>19642</v>
      </c>
      <c r="F3396" t="s">
        <v>4067</v>
      </c>
      <c r="G3396">
        <v>2596</v>
      </c>
      <c r="H3396">
        <v>1</v>
      </c>
      <c r="I3396" t="s">
        <v>3892</v>
      </c>
      <c r="J3396" t="s">
        <v>3469</v>
      </c>
      <c r="K3396" t="s">
        <v>3701</v>
      </c>
      <c r="L3396">
        <v>5.98</v>
      </c>
      <c r="M3396" s="453">
        <v>45743</v>
      </c>
      <c r="N3396">
        <v>5.9</v>
      </c>
      <c r="O3396">
        <v>6.76</v>
      </c>
      <c r="P3396">
        <v>5.98</v>
      </c>
    </row>
    <row r="3397" spans="1:16" x14ac:dyDescent="0.3">
      <c r="A3397">
        <v>27930</v>
      </c>
      <c r="B3397">
        <v>116</v>
      </c>
      <c r="C3397" t="s">
        <v>568</v>
      </c>
      <c r="D3397" s="453">
        <v>45748</v>
      </c>
      <c r="E3397">
        <v>19589</v>
      </c>
      <c r="F3397" t="s">
        <v>4153</v>
      </c>
      <c r="G3397">
        <v>2637</v>
      </c>
      <c r="H3397">
        <v>1</v>
      </c>
      <c r="I3397" t="s">
        <v>3892</v>
      </c>
      <c r="J3397" t="s">
        <v>3469</v>
      </c>
      <c r="K3397" t="s">
        <v>3701</v>
      </c>
      <c r="L3397">
        <v>5.45</v>
      </c>
      <c r="M3397" s="453">
        <v>45743</v>
      </c>
      <c r="N3397">
        <v>5</v>
      </c>
      <c r="O3397">
        <v>5</v>
      </c>
      <c r="P3397">
        <v>5.45</v>
      </c>
    </row>
    <row r="3398" spans="1:16" x14ac:dyDescent="0.3">
      <c r="A3398">
        <v>27940</v>
      </c>
      <c r="B3398">
        <v>116</v>
      </c>
      <c r="C3398" t="s">
        <v>568</v>
      </c>
      <c r="D3398" s="453">
        <v>45748</v>
      </c>
      <c r="E3398">
        <v>19553</v>
      </c>
      <c r="F3398" t="s">
        <v>4078</v>
      </c>
      <c r="G3398">
        <v>2663</v>
      </c>
      <c r="H3398">
        <v>1.2</v>
      </c>
      <c r="I3398" t="s">
        <v>3892</v>
      </c>
      <c r="J3398" t="s">
        <v>3469</v>
      </c>
      <c r="K3398" t="s">
        <v>3701</v>
      </c>
      <c r="L3398">
        <v>4.4000000000000004</v>
      </c>
      <c r="M3398" s="453">
        <v>45736</v>
      </c>
      <c r="N3398">
        <v>4.4000000000000004</v>
      </c>
      <c r="O3398">
        <v>4.5</v>
      </c>
      <c r="P3398">
        <v>5.28</v>
      </c>
    </row>
    <row r="3399" spans="1:16" x14ac:dyDescent="0.3">
      <c r="A3399">
        <v>27924</v>
      </c>
      <c r="B3399">
        <v>116</v>
      </c>
      <c r="C3399" t="s">
        <v>568</v>
      </c>
      <c r="D3399" s="453">
        <v>45748</v>
      </c>
      <c r="E3399">
        <v>19689</v>
      </c>
      <c r="F3399" t="s">
        <v>4073</v>
      </c>
      <c r="G3399">
        <v>2551</v>
      </c>
      <c r="H3399">
        <v>0.6</v>
      </c>
      <c r="I3399" t="s">
        <v>3892</v>
      </c>
      <c r="J3399" t="s">
        <v>3469</v>
      </c>
      <c r="K3399" t="s">
        <v>3701</v>
      </c>
      <c r="L3399">
        <v>0</v>
      </c>
      <c r="M3399" s="453">
        <v>45715</v>
      </c>
      <c r="N3399">
        <v>8</v>
      </c>
      <c r="O3399">
        <v>2.5299999999999998</v>
      </c>
      <c r="P3399">
        <v>4.8</v>
      </c>
    </row>
    <row r="3400" spans="1:16" x14ac:dyDescent="0.3">
      <c r="A3400">
        <v>27877</v>
      </c>
      <c r="B3400">
        <v>116</v>
      </c>
      <c r="C3400" t="s">
        <v>568</v>
      </c>
      <c r="D3400" s="453">
        <v>45748</v>
      </c>
      <c r="E3400">
        <v>19935</v>
      </c>
      <c r="F3400" t="s">
        <v>4469</v>
      </c>
      <c r="G3400">
        <v>2368</v>
      </c>
      <c r="H3400">
        <v>0.5</v>
      </c>
      <c r="I3400" t="s">
        <v>3888</v>
      </c>
      <c r="J3400" t="s">
        <v>3469</v>
      </c>
      <c r="K3400" t="s">
        <v>3701</v>
      </c>
      <c r="L3400">
        <v>0</v>
      </c>
      <c r="M3400" s="453">
        <v>45629</v>
      </c>
      <c r="N3400">
        <v>6.5</v>
      </c>
      <c r="O3400">
        <v>6.5</v>
      </c>
      <c r="P3400">
        <v>3.25</v>
      </c>
    </row>
    <row r="3401" spans="1:16" x14ac:dyDescent="0.3">
      <c r="A3401">
        <v>27904</v>
      </c>
      <c r="B3401">
        <v>116</v>
      </c>
      <c r="C3401" t="s">
        <v>568</v>
      </c>
      <c r="D3401" s="453">
        <v>45748</v>
      </c>
      <c r="E3401">
        <v>19634</v>
      </c>
      <c r="F3401" t="s">
        <v>4068</v>
      </c>
      <c r="G3401">
        <v>2602</v>
      </c>
      <c r="H3401">
        <v>0.5</v>
      </c>
      <c r="I3401" t="s">
        <v>3892</v>
      </c>
      <c r="J3401" t="s">
        <v>3469</v>
      </c>
      <c r="K3401" t="s">
        <v>3701</v>
      </c>
      <c r="L3401">
        <v>5.7</v>
      </c>
      <c r="M3401" s="453">
        <v>45743</v>
      </c>
      <c r="N3401">
        <v>4.5</v>
      </c>
      <c r="O3401">
        <v>4.5</v>
      </c>
      <c r="P3401">
        <v>2.85</v>
      </c>
    </row>
    <row r="3402" spans="1:16" x14ac:dyDescent="0.3">
      <c r="A3402">
        <v>27910</v>
      </c>
      <c r="B3402">
        <v>116</v>
      </c>
      <c r="C3402" t="s">
        <v>568</v>
      </c>
      <c r="D3402" s="453">
        <v>45748</v>
      </c>
      <c r="E3402">
        <v>19488</v>
      </c>
      <c r="F3402" t="s">
        <v>4070</v>
      </c>
      <c r="G3402">
        <v>2720</v>
      </c>
      <c r="H3402">
        <v>0.2</v>
      </c>
      <c r="I3402" t="s">
        <v>3892</v>
      </c>
      <c r="J3402" t="s">
        <v>3469</v>
      </c>
      <c r="K3402" t="s">
        <v>3701</v>
      </c>
      <c r="L3402">
        <v>13</v>
      </c>
      <c r="M3402" s="453">
        <v>45736</v>
      </c>
      <c r="N3402">
        <v>12</v>
      </c>
      <c r="O3402">
        <v>14.85</v>
      </c>
      <c r="P3402">
        <v>2.6</v>
      </c>
    </row>
    <row r="3403" spans="1:16" x14ac:dyDescent="0.3">
      <c r="A3403">
        <v>25211</v>
      </c>
      <c r="B3403">
        <v>116</v>
      </c>
      <c r="C3403" t="s">
        <v>568</v>
      </c>
      <c r="D3403" s="453">
        <v>45717</v>
      </c>
      <c r="E3403">
        <v>18636</v>
      </c>
      <c r="F3403" t="s">
        <v>3921</v>
      </c>
      <c r="G3403">
        <v>3075</v>
      </c>
      <c r="H3403">
        <v>9</v>
      </c>
      <c r="I3403" t="s">
        <v>3922</v>
      </c>
      <c r="J3403" t="s">
        <v>3497</v>
      </c>
      <c r="K3403" t="s">
        <v>3755</v>
      </c>
      <c r="L3403">
        <v>429</v>
      </c>
      <c r="M3403" s="453">
        <v>45715</v>
      </c>
      <c r="N3403">
        <v>429</v>
      </c>
      <c r="O3403">
        <v>429</v>
      </c>
      <c r="P3403">
        <v>3861</v>
      </c>
    </row>
    <row r="3404" spans="1:16" x14ac:dyDescent="0.3">
      <c r="A3404">
        <v>25235</v>
      </c>
      <c r="B3404">
        <v>116</v>
      </c>
      <c r="C3404" t="s">
        <v>568</v>
      </c>
      <c r="D3404" s="453">
        <v>45717</v>
      </c>
      <c r="E3404">
        <v>18247</v>
      </c>
      <c r="F3404" t="s">
        <v>3877</v>
      </c>
      <c r="G3404">
        <v>3383</v>
      </c>
      <c r="H3404">
        <v>54.3</v>
      </c>
      <c r="I3404" t="s">
        <v>3878</v>
      </c>
      <c r="J3404" t="s">
        <v>3497</v>
      </c>
      <c r="K3404" t="s">
        <v>3755</v>
      </c>
      <c r="L3404">
        <v>0</v>
      </c>
      <c r="M3404" s="453">
        <v>-693593</v>
      </c>
      <c r="N3404">
        <v>0</v>
      </c>
      <c r="O3404">
        <v>0</v>
      </c>
      <c r="P3404">
        <v>3605.52</v>
      </c>
    </row>
    <row r="3405" spans="1:16" x14ac:dyDescent="0.3">
      <c r="A3405">
        <v>25180</v>
      </c>
      <c r="B3405">
        <v>116</v>
      </c>
      <c r="C3405" t="s">
        <v>568</v>
      </c>
      <c r="D3405" s="453">
        <v>45717</v>
      </c>
      <c r="E3405">
        <v>18791</v>
      </c>
      <c r="F3405" t="s">
        <v>4476</v>
      </c>
      <c r="G3405">
        <v>2982</v>
      </c>
      <c r="H3405">
        <v>1.18</v>
      </c>
      <c r="I3405" t="s">
        <v>3881</v>
      </c>
      <c r="J3405" t="s">
        <v>3469</v>
      </c>
      <c r="K3405" t="s">
        <v>3755</v>
      </c>
      <c r="L3405">
        <v>2875</v>
      </c>
      <c r="M3405" s="453">
        <v>45713</v>
      </c>
      <c r="N3405">
        <v>3000</v>
      </c>
      <c r="O3405">
        <v>3000</v>
      </c>
      <c r="P3405">
        <v>3540</v>
      </c>
    </row>
    <row r="3406" spans="1:16" x14ac:dyDescent="0.3">
      <c r="A3406">
        <v>25205</v>
      </c>
      <c r="B3406">
        <v>116</v>
      </c>
      <c r="C3406" t="s">
        <v>568</v>
      </c>
      <c r="D3406" s="453">
        <v>45717</v>
      </c>
      <c r="E3406">
        <v>25543</v>
      </c>
      <c r="F3406" t="s">
        <v>4477</v>
      </c>
      <c r="G3406">
        <v>6161</v>
      </c>
      <c r="H3406">
        <v>12</v>
      </c>
      <c r="I3406" t="s">
        <v>3892</v>
      </c>
      <c r="J3406" t="s">
        <v>3469</v>
      </c>
      <c r="K3406" t="s">
        <v>3755</v>
      </c>
      <c r="L3406">
        <v>0</v>
      </c>
      <c r="M3406" s="453">
        <v>-693593</v>
      </c>
      <c r="N3406">
        <v>0</v>
      </c>
      <c r="O3406">
        <v>0</v>
      </c>
      <c r="P3406">
        <v>2268</v>
      </c>
    </row>
    <row r="3407" spans="1:16" x14ac:dyDescent="0.3">
      <c r="A3407">
        <v>25218</v>
      </c>
      <c r="B3407">
        <v>116</v>
      </c>
      <c r="C3407" t="s">
        <v>568</v>
      </c>
      <c r="D3407" s="453">
        <v>45717</v>
      </c>
      <c r="E3407">
        <v>22515</v>
      </c>
      <c r="F3407" t="s">
        <v>3883</v>
      </c>
      <c r="G3407">
        <v>3202</v>
      </c>
      <c r="H3407">
        <v>42.5</v>
      </c>
      <c r="I3407" t="s">
        <v>3884</v>
      </c>
      <c r="J3407" t="s">
        <v>3497</v>
      </c>
      <c r="K3407" t="s">
        <v>3755</v>
      </c>
      <c r="L3407">
        <v>0</v>
      </c>
      <c r="M3407" s="453">
        <v>45671</v>
      </c>
      <c r="N3407">
        <v>38</v>
      </c>
      <c r="O3407">
        <v>38</v>
      </c>
      <c r="P3407">
        <v>1615</v>
      </c>
    </row>
    <row r="3408" spans="1:16" x14ac:dyDescent="0.3">
      <c r="A3408">
        <v>25190</v>
      </c>
      <c r="B3408">
        <v>116</v>
      </c>
      <c r="C3408" t="s">
        <v>568</v>
      </c>
      <c r="D3408" s="453">
        <v>45717</v>
      </c>
      <c r="E3408">
        <v>18883</v>
      </c>
      <c r="F3408" t="s">
        <v>4478</v>
      </c>
      <c r="G3408">
        <v>2938</v>
      </c>
      <c r="H3408">
        <v>18.899999999999999</v>
      </c>
      <c r="I3408" t="s">
        <v>3892</v>
      </c>
      <c r="J3408" t="s">
        <v>3469</v>
      </c>
      <c r="K3408" t="s">
        <v>3755</v>
      </c>
      <c r="L3408">
        <v>0</v>
      </c>
      <c r="M3408" s="453">
        <v>45677</v>
      </c>
      <c r="N3408">
        <v>79.5</v>
      </c>
      <c r="O3408">
        <v>79.900000000000006</v>
      </c>
      <c r="P3408">
        <v>1502.55</v>
      </c>
    </row>
    <row r="3409" spans="1:16" x14ac:dyDescent="0.3">
      <c r="A3409">
        <v>25082</v>
      </c>
      <c r="B3409">
        <v>116</v>
      </c>
      <c r="C3409" t="s">
        <v>568</v>
      </c>
      <c r="D3409" s="453">
        <v>45717</v>
      </c>
      <c r="E3409">
        <v>20539</v>
      </c>
      <c r="F3409" t="s">
        <v>3908</v>
      </c>
      <c r="G3409">
        <v>2145</v>
      </c>
      <c r="H3409">
        <v>32.299999999999997</v>
      </c>
      <c r="I3409" t="s">
        <v>3892</v>
      </c>
      <c r="J3409" t="s">
        <v>3469</v>
      </c>
      <c r="K3409" t="s">
        <v>3755</v>
      </c>
      <c r="L3409">
        <v>40.4</v>
      </c>
      <c r="M3409" s="453">
        <v>45699</v>
      </c>
      <c r="N3409">
        <v>40.4</v>
      </c>
      <c r="O3409">
        <v>40.4</v>
      </c>
      <c r="P3409">
        <v>1304.92</v>
      </c>
    </row>
    <row r="3410" spans="1:16" x14ac:dyDescent="0.3">
      <c r="A3410">
        <v>25189</v>
      </c>
      <c r="B3410">
        <v>116</v>
      </c>
      <c r="C3410" t="s">
        <v>568</v>
      </c>
      <c r="D3410" s="453">
        <v>45717</v>
      </c>
      <c r="E3410">
        <v>22763</v>
      </c>
      <c r="F3410" t="s">
        <v>4486</v>
      </c>
      <c r="G3410">
        <v>3002</v>
      </c>
      <c r="H3410">
        <v>9.4</v>
      </c>
      <c r="I3410" t="s">
        <v>3892</v>
      </c>
      <c r="J3410" t="s">
        <v>3469</v>
      </c>
      <c r="K3410" t="s">
        <v>3755</v>
      </c>
      <c r="L3410">
        <v>112</v>
      </c>
      <c r="M3410" s="453">
        <v>45713</v>
      </c>
      <c r="N3410">
        <v>112</v>
      </c>
      <c r="O3410">
        <v>110</v>
      </c>
      <c r="P3410">
        <v>1052.8</v>
      </c>
    </row>
    <row r="3411" spans="1:16" x14ac:dyDescent="0.3">
      <c r="A3411">
        <v>25051</v>
      </c>
      <c r="B3411">
        <v>116</v>
      </c>
      <c r="C3411" t="s">
        <v>568</v>
      </c>
      <c r="D3411" s="453">
        <v>45717</v>
      </c>
      <c r="E3411">
        <v>23982</v>
      </c>
      <c r="F3411" t="s">
        <v>3977</v>
      </c>
      <c r="G3411">
        <v>1999</v>
      </c>
      <c r="H3411">
        <v>3.5</v>
      </c>
      <c r="I3411" t="s">
        <v>3978</v>
      </c>
      <c r="J3411" t="s">
        <v>3469</v>
      </c>
      <c r="K3411" t="s">
        <v>3755</v>
      </c>
      <c r="L3411">
        <v>0</v>
      </c>
      <c r="M3411" s="453">
        <v>45673</v>
      </c>
      <c r="N3411">
        <v>263.51</v>
      </c>
      <c r="O3411">
        <v>288.86</v>
      </c>
      <c r="P3411">
        <v>922.28</v>
      </c>
    </row>
    <row r="3412" spans="1:16" x14ac:dyDescent="0.3">
      <c r="A3412">
        <v>25176</v>
      </c>
      <c r="B3412">
        <v>116</v>
      </c>
      <c r="C3412" t="s">
        <v>568</v>
      </c>
      <c r="D3412" s="453">
        <v>45717</v>
      </c>
      <c r="E3412">
        <v>19297</v>
      </c>
      <c r="F3412" t="s">
        <v>3949</v>
      </c>
      <c r="G3412">
        <v>2775</v>
      </c>
      <c r="H3412">
        <v>10.7</v>
      </c>
      <c r="I3412" t="s">
        <v>3892</v>
      </c>
      <c r="J3412" t="s">
        <v>3469</v>
      </c>
      <c r="K3412" t="s">
        <v>3755</v>
      </c>
      <c r="L3412">
        <v>72.25</v>
      </c>
      <c r="M3412" s="453">
        <v>45713</v>
      </c>
      <c r="N3412">
        <v>72.25</v>
      </c>
      <c r="O3412">
        <v>72.25</v>
      </c>
      <c r="P3412">
        <v>773.08</v>
      </c>
    </row>
    <row r="3413" spans="1:16" x14ac:dyDescent="0.3">
      <c r="A3413">
        <v>25199</v>
      </c>
      <c r="B3413">
        <v>116</v>
      </c>
      <c r="C3413" t="s">
        <v>568</v>
      </c>
      <c r="D3413" s="453">
        <v>45717</v>
      </c>
      <c r="E3413">
        <v>22820</v>
      </c>
      <c r="F3413" t="s">
        <v>3896</v>
      </c>
      <c r="G3413">
        <v>2949</v>
      </c>
      <c r="H3413">
        <v>21.6</v>
      </c>
      <c r="I3413" t="s">
        <v>3892</v>
      </c>
      <c r="J3413" t="s">
        <v>3469</v>
      </c>
      <c r="K3413" t="s">
        <v>3755</v>
      </c>
      <c r="L3413">
        <v>0</v>
      </c>
      <c r="M3413" s="453">
        <v>45670</v>
      </c>
      <c r="N3413">
        <v>34.5</v>
      </c>
      <c r="O3413">
        <v>49.9</v>
      </c>
      <c r="P3413">
        <v>745.2</v>
      </c>
    </row>
    <row r="3414" spans="1:16" x14ac:dyDescent="0.3">
      <c r="A3414">
        <v>25084</v>
      </c>
      <c r="B3414">
        <v>116</v>
      </c>
      <c r="C3414" t="s">
        <v>568</v>
      </c>
      <c r="D3414" s="453">
        <v>45717</v>
      </c>
      <c r="E3414">
        <v>20519</v>
      </c>
      <c r="F3414" t="s">
        <v>3902</v>
      </c>
      <c r="G3414">
        <v>2150</v>
      </c>
      <c r="H3414">
        <v>16.3</v>
      </c>
      <c r="I3414" t="s">
        <v>3892</v>
      </c>
      <c r="J3414" t="s">
        <v>3469</v>
      </c>
      <c r="K3414" t="s">
        <v>3755</v>
      </c>
      <c r="L3414">
        <v>45.5</v>
      </c>
      <c r="M3414" s="453">
        <v>45699</v>
      </c>
      <c r="N3414">
        <v>45.5</v>
      </c>
      <c r="O3414">
        <v>45.5</v>
      </c>
      <c r="P3414">
        <v>741.65</v>
      </c>
    </row>
    <row r="3415" spans="1:16" x14ac:dyDescent="0.3">
      <c r="A3415">
        <v>25172</v>
      </c>
      <c r="B3415">
        <v>116</v>
      </c>
      <c r="C3415" t="s">
        <v>568</v>
      </c>
      <c r="D3415" s="453">
        <v>45717</v>
      </c>
      <c r="E3415">
        <v>19224</v>
      </c>
      <c r="F3415" t="s">
        <v>4485</v>
      </c>
      <c r="G3415">
        <v>5850</v>
      </c>
      <c r="H3415">
        <v>3.2</v>
      </c>
      <c r="I3415" t="s">
        <v>3872</v>
      </c>
      <c r="J3415" t="s">
        <v>3469</v>
      </c>
      <c r="K3415" t="s">
        <v>3755</v>
      </c>
      <c r="L3415">
        <v>0</v>
      </c>
      <c r="M3415" s="453">
        <v>45586</v>
      </c>
      <c r="N3415">
        <v>228.9</v>
      </c>
      <c r="O3415">
        <v>229.9</v>
      </c>
      <c r="P3415">
        <v>732.48</v>
      </c>
    </row>
    <row r="3416" spans="1:16" x14ac:dyDescent="0.3">
      <c r="A3416">
        <v>25193</v>
      </c>
      <c r="B3416">
        <v>116</v>
      </c>
      <c r="C3416" t="s">
        <v>568</v>
      </c>
      <c r="D3416" s="453">
        <v>45717</v>
      </c>
      <c r="E3416">
        <v>24320</v>
      </c>
      <c r="F3416" t="s">
        <v>4160</v>
      </c>
      <c r="G3416">
        <v>2942</v>
      </c>
      <c r="H3416">
        <v>16.7</v>
      </c>
      <c r="I3416" t="s">
        <v>3892</v>
      </c>
      <c r="J3416" t="s">
        <v>3469</v>
      </c>
      <c r="K3416" t="s">
        <v>3755</v>
      </c>
      <c r="L3416">
        <v>34.5</v>
      </c>
      <c r="M3416" s="453">
        <v>45699</v>
      </c>
      <c r="N3416">
        <v>34.5</v>
      </c>
      <c r="O3416">
        <v>35.880000000000003</v>
      </c>
      <c r="P3416">
        <v>576.15</v>
      </c>
    </row>
    <row r="3417" spans="1:16" x14ac:dyDescent="0.3">
      <c r="A3417">
        <v>25188</v>
      </c>
      <c r="B3417">
        <v>116</v>
      </c>
      <c r="C3417" t="s">
        <v>568</v>
      </c>
      <c r="D3417" s="453">
        <v>45717</v>
      </c>
      <c r="E3417">
        <v>18774</v>
      </c>
      <c r="F3417" t="s">
        <v>4489</v>
      </c>
      <c r="G3417">
        <v>2993</v>
      </c>
      <c r="H3417">
        <v>7.9</v>
      </c>
      <c r="I3417" t="s">
        <v>3892</v>
      </c>
      <c r="J3417" t="s">
        <v>3469</v>
      </c>
      <c r="K3417" t="s">
        <v>3755</v>
      </c>
      <c r="L3417">
        <v>0</v>
      </c>
      <c r="M3417" s="453">
        <v>45670</v>
      </c>
      <c r="N3417">
        <v>67.900000000000006</v>
      </c>
      <c r="O3417">
        <v>67.900000000000006</v>
      </c>
      <c r="P3417">
        <v>536.41</v>
      </c>
    </row>
    <row r="3418" spans="1:16" x14ac:dyDescent="0.3">
      <c r="A3418">
        <v>25050</v>
      </c>
      <c r="B3418">
        <v>116</v>
      </c>
      <c r="C3418" t="s">
        <v>568</v>
      </c>
      <c r="D3418" s="453">
        <v>45717</v>
      </c>
      <c r="E3418">
        <v>21030</v>
      </c>
      <c r="F3418" t="s">
        <v>3890</v>
      </c>
      <c r="G3418">
        <v>2001</v>
      </c>
      <c r="H3418">
        <v>17</v>
      </c>
      <c r="I3418" t="s">
        <v>3872</v>
      </c>
      <c r="J3418" t="s">
        <v>3469</v>
      </c>
      <c r="K3418" t="s">
        <v>3755</v>
      </c>
      <c r="L3418">
        <v>0</v>
      </c>
      <c r="M3418" s="453">
        <v>45659</v>
      </c>
      <c r="N3418">
        <v>29.4</v>
      </c>
      <c r="O3418">
        <v>29.4</v>
      </c>
      <c r="P3418">
        <v>499.8</v>
      </c>
    </row>
    <row r="3419" spans="1:16" x14ac:dyDescent="0.3">
      <c r="A3419">
        <v>25175</v>
      </c>
      <c r="B3419">
        <v>116</v>
      </c>
      <c r="C3419" t="s">
        <v>568</v>
      </c>
      <c r="D3419" s="453">
        <v>45717</v>
      </c>
      <c r="E3419">
        <v>19324</v>
      </c>
      <c r="F3419" t="s">
        <v>3937</v>
      </c>
      <c r="G3419">
        <v>2773</v>
      </c>
      <c r="H3419">
        <v>12.2</v>
      </c>
      <c r="I3419" t="s">
        <v>3892</v>
      </c>
      <c r="J3419" t="s">
        <v>3469</v>
      </c>
      <c r="K3419" t="s">
        <v>3755</v>
      </c>
      <c r="L3419">
        <v>40.03</v>
      </c>
      <c r="M3419" s="453">
        <v>45713</v>
      </c>
      <c r="N3419">
        <v>39.49</v>
      </c>
      <c r="O3419">
        <v>39.49</v>
      </c>
      <c r="P3419">
        <v>488.37</v>
      </c>
    </row>
    <row r="3420" spans="1:16" x14ac:dyDescent="0.3">
      <c r="A3420">
        <v>25200</v>
      </c>
      <c r="B3420">
        <v>116</v>
      </c>
      <c r="C3420" t="s">
        <v>568</v>
      </c>
      <c r="D3420" s="453">
        <v>45717</v>
      </c>
      <c r="E3420">
        <v>18832</v>
      </c>
      <c r="F3420" t="s">
        <v>3900</v>
      </c>
      <c r="G3420">
        <v>2950</v>
      </c>
      <c r="H3420">
        <v>12.5</v>
      </c>
      <c r="I3420" t="s">
        <v>3892</v>
      </c>
      <c r="J3420" t="s">
        <v>3469</v>
      </c>
      <c r="K3420" t="s">
        <v>3755</v>
      </c>
      <c r="L3420">
        <v>36.06</v>
      </c>
      <c r="M3420" s="453">
        <v>45706</v>
      </c>
      <c r="N3420">
        <v>36.5</v>
      </c>
      <c r="O3420">
        <v>45.32</v>
      </c>
      <c r="P3420">
        <v>450.75</v>
      </c>
    </row>
    <row r="3421" spans="1:16" x14ac:dyDescent="0.3">
      <c r="A3421">
        <v>25112</v>
      </c>
      <c r="B3421">
        <v>116</v>
      </c>
      <c r="C3421" t="s">
        <v>568</v>
      </c>
      <c r="D3421" s="453">
        <v>45717</v>
      </c>
      <c r="E3421">
        <v>23718</v>
      </c>
      <c r="F3421" t="s">
        <v>4414</v>
      </c>
      <c r="G3421">
        <v>2165</v>
      </c>
      <c r="H3421">
        <v>11</v>
      </c>
      <c r="I3421" t="s">
        <v>3892</v>
      </c>
      <c r="J3421" t="s">
        <v>3469</v>
      </c>
      <c r="K3421" t="s">
        <v>3755</v>
      </c>
      <c r="L3421">
        <v>0</v>
      </c>
      <c r="M3421" s="453">
        <v>45672</v>
      </c>
      <c r="N3421">
        <v>38.549999999999997</v>
      </c>
      <c r="O3421">
        <v>29</v>
      </c>
      <c r="P3421">
        <v>424.05</v>
      </c>
    </row>
    <row r="3422" spans="1:16" x14ac:dyDescent="0.3">
      <c r="A3422">
        <v>25191</v>
      </c>
      <c r="B3422">
        <v>116</v>
      </c>
      <c r="C3422" t="s">
        <v>568</v>
      </c>
      <c r="D3422" s="453">
        <v>45717</v>
      </c>
      <c r="E3422">
        <v>18685</v>
      </c>
      <c r="F3422" t="s">
        <v>3945</v>
      </c>
      <c r="G3422">
        <v>3040</v>
      </c>
      <c r="H3422">
        <v>11.8</v>
      </c>
      <c r="I3422" t="s">
        <v>3892</v>
      </c>
      <c r="J3422" t="s">
        <v>3469</v>
      </c>
      <c r="K3422" t="s">
        <v>3755</v>
      </c>
      <c r="L3422">
        <v>35.24</v>
      </c>
      <c r="M3422" s="453">
        <v>45714</v>
      </c>
      <c r="N3422">
        <v>36</v>
      </c>
      <c r="O3422">
        <v>36</v>
      </c>
      <c r="P3422">
        <v>415.83</v>
      </c>
    </row>
    <row r="3423" spans="1:16" x14ac:dyDescent="0.3">
      <c r="A3423">
        <v>25078</v>
      </c>
      <c r="B3423">
        <v>116</v>
      </c>
      <c r="C3423" t="s">
        <v>568</v>
      </c>
      <c r="D3423" s="453">
        <v>45717</v>
      </c>
      <c r="E3423">
        <v>21024</v>
      </c>
      <c r="F3423" t="s">
        <v>4180</v>
      </c>
      <c r="G3423">
        <v>2003</v>
      </c>
      <c r="H3423">
        <v>2.5</v>
      </c>
      <c r="I3423" t="s">
        <v>3966</v>
      </c>
      <c r="J3423" t="s">
        <v>3469</v>
      </c>
      <c r="K3423" t="s">
        <v>3755</v>
      </c>
      <c r="L3423">
        <v>161.9</v>
      </c>
      <c r="M3423" s="453">
        <v>45706</v>
      </c>
      <c r="N3423">
        <v>161.9</v>
      </c>
      <c r="O3423">
        <v>156.9</v>
      </c>
      <c r="P3423">
        <v>404.75</v>
      </c>
    </row>
    <row r="3424" spans="1:16" x14ac:dyDescent="0.3">
      <c r="A3424">
        <v>25210</v>
      </c>
      <c r="B3424">
        <v>116</v>
      </c>
      <c r="C3424" t="s">
        <v>568</v>
      </c>
      <c r="D3424" s="453">
        <v>45717</v>
      </c>
      <c r="E3424">
        <v>18640</v>
      </c>
      <c r="F3424" t="s">
        <v>3994</v>
      </c>
      <c r="G3424">
        <v>3074</v>
      </c>
      <c r="H3424">
        <v>1.5</v>
      </c>
      <c r="I3424" t="s">
        <v>3922</v>
      </c>
      <c r="J3424" t="s">
        <v>3497</v>
      </c>
      <c r="K3424" t="s">
        <v>3755</v>
      </c>
      <c r="L3424">
        <v>265.8</v>
      </c>
      <c r="M3424" s="453">
        <v>45715</v>
      </c>
      <c r="N3424">
        <v>265.8</v>
      </c>
      <c r="O3424">
        <v>265.8</v>
      </c>
      <c r="P3424">
        <v>398.7</v>
      </c>
    </row>
    <row r="3425" spans="1:16" x14ac:dyDescent="0.3">
      <c r="A3425">
        <v>25270</v>
      </c>
      <c r="B3425">
        <v>116</v>
      </c>
      <c r="C3425" t="s">
        <v>568</v>
      </c>
      <c r="D3425" s="453">
        <v>45717</v>
      </c>
      <c r="E3425">
        <v>17006</v>
      </c>
      <c r="F3425" t="s">
        <v>4128</v>
      </c>
      <c r="G3425">
        <v>2902</v>
      </c>
      <c r="H3425">
        <v>11.3</v>
      </c>
      <c r="I3425" t="s">
        <v>3892</v>
      </c>
      <c r="J3425" t="s">
        <v>3469</v>
      </c>
      <c r="K3425" t="s">
        <v>3755</v>
      </c>
      <c r="L3425">
        <v>0</v>
      </c>
      <c r="M3425" s="453">
        <v>-693593</v>
      </c>
      <c r="N3425">
        <v>0</v>
      </c>
      <c r="O3425">
        <v>0</v>
      </c>
      <c r="P3425">
        <v>394.94</v>
      </c>
    </row>
    <row r="3426" spans="1:16" x14ac:dyDescent="0.3">
      <c r="A3426">
        <v>25053</v>
      </c>
      <c r="B3426">
        <v>116</v>
      </c>
      <c r="C3426" t="s">
        <v>568</v>
      </c>
      <c r="D3426" s="453">
        <v>45717</v>
      </c>
      <c r="E3426">
        <v>20752</v>
      </c>
      <c r="F3426" t="s">
        <v>3964</v>
      </c>
      <c r="G3426">
        <v>2088</v>
      </c>
      <c r="H3426">
        <v>3.5</v>
      </c>
      <c r="I3426" t="s">
        <v>3886</v>
      </c>
      <c r="J3426" t="s">
        <v>3469</v>
      </c>
      <c r="K3426" t="s">
        <v>3755</v>
      </c>
      <c r="L3426">
        <v>99.88</v>
      </c>
      <c r="M3426" s="453">
        <v>45713</v>
      </c>
      <c r="N3426">
        <v>99.99</v>
      </c>
      <c r="O3426">
        <v>99.99</v>
      </c>
      <c r="P3426">
        <v>349.58</v>
      </c>
    </row>
    <row r="3427" spans="1:16" x14ac:dyDescent="0.3">
      <c r="A3427">
        <v>25232</v>
      </c>
      <c r="B3427">
        <v>116</v>
      </c>
      <c r="C3427" t="s">
        <v>568</v>
      </c>
      <c r="D3427" s="453">
        <v>45717</v>
      </c>
      <c r="E3427">
        <v>18295</v>
      </c>
      <c r="F3427" t="s">
        <v>4030</v>
      </c>
      <c r="G3427">
        <v>3334</v>
      </c>
      <c r="H3427">
        <v>3.1</v>
      </c>
      <c r="I3427" t="s">
        <v>3878</v>
      </c>
      <c r="J3427" t="s">
        <v>3497</v>
      </c>
      <c r="K3427" t="s">
        <v>3755</v>
      </c>
      <c r="L3427">
        <v>112.44</v>
      </c>
      <c r="M3427" s="453">
        <v>45713</v>
      </c>
      <c r="N3427">
        <v>108.9</v>
      </c>
      <c r="O3427">
        <v>108.9</v>
      </c>
      <c r="P3427">
        <v>348.56</v>
      </c>
    </row>
    <row r="3428" spans="1:16" x14ac:dyDescent="0.3">
      <c r="A3428">
        <v>25064</v>
      </c>
      <c r="B3428">
        <v>116</v>
      </c>
      <c r="C3428" t="s">
        <v>568</v>
      </c>
      <c r="D3428" s="453">
        <v>45717</v>
      </c>
      <c r="E3428">
        <v>20555</v>
      </c>
      <c r="F3428" t="s">
        <v>3959</v>
      </c>
      <c r="G3428">
        <v>2139</v>
      </c>
      <c r="H3428">
        <v>4.38</v>
      </c>
      <c r="I3428" t="s">
        <v>3892</v>
      </c>
      <c r="J3428" t="s">
        <v>3469</v>
      </c>
      <c r="K3428" t="s">
        <v>3755</v>
      </c>
      <c r="L3428">
        <v>79</v>
      </c>
      <c r="M3428" s="453">
        <v>45713</v>
      </c>
      <c r="N3428">
        <v>79</v>
      </c>
      <c r="O3428">
        <v>79</v>
      </c>
      <c r="P3428">
        <v>346.02</v>
      </c>
    </row>
    <row r="3429" spans="1:16" x14ac:dyDescent="0.3">
      <c r="A3429">
        <v>25203</v>
      </c>
      <c r="B3429">
        <v>116</v>
      </c>
      <c r="C3429" t="s">
        <v>568</v>
      </c>
      <c r="D3429" s="453">
        <v>45717</v>
      </c>
      <c r="E3429">
        <v>18818</v>
      </c>
      <c r="F3429" t="s">
        <v>3916</v>
      </c>
      <c r="G3429">
        <v>2956</v>
      </c>
      <c r="H3429">
        <v>11.3</v>
      </c>
      <c r="I3429" t="s">
        <v>3892</v>
      </c>
      <c r="J3429" t="s">
        <v>3469</v>
      </c>
      <c r="K3429" t="s">
        <v>3755</v>
      </c>
      <c r="L3429">
        <v>0</v>
      </c>
      <c r="M3429" s="453">
        <v>45677</v>
      </c>
      <c r="N3429">
        <v>30.5</v>
      </c>
      <c r="O3429">
        <v>30.5</v>
      </c>
      <c r="P3429">
        <v>344.65</v>
      </c>
    </row>
    <row r="3430" spans="1:16" x14ac:dyDescent="0.3">
      <c r="A3430">
        <v>25268</v>
      </c>
      <c r="B3430">
        <v>116</v>
      </c>
      <c r="C3430" t="s">
        <v>568</v>
      </c>
      <c r="D3430" s="453">
        <v>45717</v>
      </c>
      <c r="E3430">
        <v>26195</v>
      </c>
      <c r="F3430" t="s">
        <v>4037</v>
      </c>
      <c r="G3430">
        <v>6618</v>
      </c>
      <c r="H3430">
        <v>12</v>
      </c>
      <c r="I3430" t="s">
        <v>3878</v>
      </c>
      <c r="J3430" t="s">
        <v>3497</v>
      </c>
      <c r="K3430" t="s">
        <v>3755</v>
      </c>
      <c r="L3430">
        <v>0</v>
      </c>
      <c r="M3430" s="453">
        <v>-693593</v>
      </c>
      <c r="N3430">
        <v>0</v>
      </c>
      <c r="O3430">
        <v>0</v>
      </c>
      <c r="P3430">
        <v>332.88</v>
      </c>
    </row>
    <row r="3431" spans="1:16" x14ac:dyDescent="0.3">
      <c r="A3431">
        <v>25055</v>
      </c>
      <c r="B3431">
        <v>116</v>
      </c>
      <c r="C3431" t="s">
        <v>568</v>
      </c>
      <c r="D3431" s="453">
        <v>45717</v>
      </c>
      <c r="E3431">
        <v>20278</v>
      </c>
      <c r="F3431" t="s">
        <v>3939</v>
      </c>
      <c r="G3431">
        <v>2230</v>
      </c>
      <c r="H3431">
        <v>10</v>
      </c>
      <c r="I3431" t="s">
        <v>3872</v>
      </c>
      <c r="J3431" t="s">
        <v>3469</v>
      </c>
      <c r="K3431" t="s">
        <v>3755</v>
      </c>
      <c r="L3431">
        <v>30.5</v>
      </c>
      <c r="M3431" s="453">
        <v>45716</v>
      </c>
      <c r="N3431">
        <v>17.3</v>
      </c>
      <c r="O3431">
        <v>17.3</v>
      </c>
      <c r="P3431">
        <v>305</v>
      </c>
    </row>
    <row r="3432" spans="1:16" x14ac:dyDescent="0.3">
      <c r="A3432">
        <v>25177</v>
      </c>
      <c r="B3432">
        <v>116</v>
      </c>
      <c r="C3432" t="s">
        <v>568</v>
      </c>
      <c r="D3432" s="453">
        <v>45717</v>
      </c>
      <c r="E3432">
        <v>19287</v>
      </c>
      <c r="F3432" t="s">
        <v>3974</v>
      </c>
      <c r="G3432">
        <v>2778</v>
      </c>
      <c r="H3432">
        <v>6.6</v>
      </c>
      <c r="I3432" t="s">
        <v>3892</v>
      </c>
      <c r="J3432" t="s">
        <v>3469</v>
      </c>
      <c r="K3432" t="s">
        <v>3755</v>
      </c>
      <c r="L3432">
        <v>44</v>
      </c>
      <c r="M3432" s="453">
        <v>45713</v>
      </c>
      <c r="N3432">
        <v>44</v>
      </c>
      <c r="O3432">
        <v>44.98</v>
      </c>
      <c r="P3432">
        <v>290.39999999999998</v>
      </c>
    </row>
    <row r="3433" spans="1:16" x14ac:dyDescent="0.3">
      <c r="A3433">
        <v>25089</v>
      </c>
      <c r="B3433">
        <v>116</v>
      </c>
      <c r="C3433" t="s">
        <v>568</v>
      </c>
      <c r="D3433" s="453">
        <v>45717</v>
      </c>
      <c r="E3433">
        <v>20131</v>
      </c>
      <c r="F3433" t="s">
        <v>4447</v>
      </c>
      <c r="G3433">
        <v>2287</v>
      </c>
      <c r="H3433">
        <v>23</v>
      </c>
      <c r="I3433" t="s">
        <v>3892</v>
      </c>
      <c r="J3433" t="s">
        <v>3469</v>
      </c>
      <c r="K3433" t="s">
        <v>3755</v>
      </c>
      <c r="L3433">
        <v>0</v>
      </c>
      <c r="M3433" s="453">
        <v>45672</v>
      </c>
      <c r="N3433">
        <v>12</v>
      </c>
      <c r="O3433">
        <v>12</v>
      </c>
      <c r="P3433">
        <v>276</v>
      </c>
    </row>
    <row r="3434" spans="1:16" x14ac:dyDescent="0.3">
      <c r="A3434">
        <v>25219</v>
      </c>
      <c r="B3434">
        <v>116</v>
      </c>
      <c r="C3434" t="s">
        <v>568</v>
      </c>
      <c r="D3434" s="453">
        <v>45717</v>
      </c>
      <c r="E3434">
        <v>18493</v>
      </c>
      <c r="F3434" t="s">
        <v>3958</v>
      </c>
      <c r="G3434">
        <v>3164</v>
      </c>
      <c r="H3434">
        <v>4</v>
      </c>
      <c r="I3434" t="s">
        <v>3878</v>
      </c>
      <c r="J3434" t="s">
        <v>3497</v>
      </c>
      <c r="K3434" t="s">
        <v>3755</v>
      </c>
      <c r="L3434">
        <v>0</v>
      </c>
      <c r="M3434" s="453">
        <v>45658</v>
      </c>
      <c r="N3434">
        <v>69</v>
      </c>
      <c r="O3434">
        <v>43.9</v>
      </c>
      <c r="P3434">
        <v>276</v>
      </c>
    </row>
    <row r="3435" spans="1:16" x14ac:dyDescent="0.3">
      <c r="A3435">
        <v>25184</v>
      </c>
      <c r="B3435">
        <v>116</v>
      </c>
      <c r="C3435" t="s">
        <v>568</v>
      </c>
      <c r="D3435" s="453">
        <v>45717</v>
      </c>
      <c r="E3435">
        <v>24117</v>
      </c>
      <c r="F3435" t="s">
        <v>4463</v>
      </c>
      <c r="G3435">
        <v>2925</v>
      </c>
      <c r="H3435">
        <v>6.2</v>
      </c>
      <c r="I3435" t="s">
        <v>3892</v>
      </c>
      <c r="J3435" t="s">
        <v>3469</v>
      </c>
      <c r="K3435" t="s">
        <v>3755</v>
      </c>
      <c r="L3435">
        <v>43.8</v>
      </c>
      <c r="M3435" s="453">
        <v>45713</v>
      </c>
      <c r="N3435">
        <v>44</v>
      </c>
      <c r="O3435">
        <v>45</v>
      </c>
      <c r="P3435">
        <v>271.56</v>
      </c>
    </row>
    <row r="3436" spans="1:16" x14ac:dyDescent="0.3">
      <c r="A3436">
        <v>25099</v>
      </c>
      <c r="B3436">
        <v>116</v>
      </c>
      <c r="C3436" t="s">
        <v>568</v>
      </c>
      <c r="D3436" s="453">
        <v>45717</v>
      </c>
      <c r="E3436">
        <v>20984</v>
      </c>
      <c r="F3436" t="s">
        <v>4235</v>
      </c>
      <c r="G3436">
        <v>2011</v>
      </c>
      <c r="H3436">
        <v>29</v>
      </c>
      <c r="I3436" t="s">
        <v>3931</v>
      </c>
      <c r="J3436" t="s">
        <v>3469</v>
      </c>
      <c r="K3436" t="s">
        <v>3755</v>
      </c>
      <c r="L3436">
        <v>0</v>
      </c>
      <c r="M3436" s="453">
        <v>45677</v>
      </c>
      <c r="N3436">
        <v>8.98</v>
      </c>
      <c r="O3436">
        <v>9.6</v>
      </c>
      <c r="P3436">
        <v>260.42</v>
      </c>
    </row>
    <row r="3437" spans="1:16" x14ac:dyDescent="0.3">
      <c r="A3437">
        <v>25179</v>
      </c>
      <c r="B3437">
        <v>116</v>
      </c>
      <c r="C3437" t="s">
        <v>568</v>
      </c>
      <c r="D3437" s="453">
        <v>45717</v>
      </c>
      <c r="E3437">
        <v>19139</v>
      </c>
      <c r="F3437" t="s">
        <v>3887</v>
      </c>
      <c r="G3437">
        <v>2836</v>
      </c>
      <c r="H3437">
        <v>28</v>
      </c>
      <c r="I3437" t="s">
        <v>3888</v>
      </c>
      <c r="J3437" t="s">
        <v>3469</v>
      </c>
      <c r="K3437" t="s">
        <v>3755</v>
      </c>
      <c r="L3437">
        <v>9.1</v>
      </c>
      <c r="M3437" s="453">
        <v>45716</v>
      </c>
      <c r="N3437">
        <v>9.1</v>
      </c>
      <c r="O3437">
        <v>9.1</v>
      </c>
      <c r="P3437">
        <v>254.8</v>
      </c>
    </row>
    <row r="3438" spans="1:16" x14ac:dyDescent="0.3">
      <c r="A3438">
        <v>25220</v>
      </c>
      <c r="B3438">
        <v>116</v>
      </c>
      <c r="C3438" t="s">
        <v>568</v>
      </c>
      <c r="D3438" s="453">
        <v>45717</v>
      </c>
      <c r="E3438">
        <v>18491</v>
      </c>
      <c r="F3438" t="s">
        <v>3934</v>
      </c>
      <c r="G3438">
        <v>3166</v>
      </c>
      <c r="H3438">
        <v>7</v>
      </c>
      <c r="I3438" t="s">
        <v>3878</v>
      </c>
      <c r="J3438" t="s">
        <v>3497</v>
      </c>
      <c r="K3438" t="s">
        <v>3755</v>
      </c>
      <c r="L3438">
        <v>0</v>
      </c>
      <c r="M3438" s="453">
        <v>45677</v>
      </c>
      <c r="N3438">
        <v>35.9</v>
      </c>
      <c r="O3438">
        <v>35.9</v>
      </c>
      <c r="P3438">
        <v>251.3</v>
      </c>
    </row>
    <row r="3439" spans="1:16" x14ac:dyDescent="0.3">
      <c r="A3439">
        <v>25221</v>
      </c>
      <c r="B3439">
        <v>116</v>
      </c>
      <c r="C3439" t="s">
        <v>568</v>
      </c>
      <c r="D3439" s="453">
        <v>45717</v>
      </c>
      <c r="E3439">
        <v>18475</v>
      </c>
      <c r="F3439" t="s">
        <v>3918</v>
      </c>
      <c r="G3439">
        <v>3181</v>
      </c>
      <c r="H3439">
        <v>7.6</v>
      </c>
      <c r="I3439" t="s">
        <v>3878</v>
      </c>
      <c r="J3439" t="s">
        <v>3497</v>
      </c>
      <c r="K3439" t="s">
        <v>3755</v>
      </c>
      <c r="L3439">
        <v>0</v>
      </c>
      <c r="M3439" s="453">
        <v>45677</v>
      </c>
      <c r="N3439">
        <v>32.9</v>
      </c>
      <c r="O3439">
        <v>32.9</v>
      </c>
      <c r="P3439">
        <v>250.04</v>
      </c>
    </row>
    <row r="3440" spans="1:16" x14ac:dyDescent="0.3">
      <c r="A3440">
        <v>25216</v>
      </c>
      <c r="B3440">
        <v>116</v>
      </c>
      <c r="C3440" t="s">
        <v>568</v>
      </c>
      <c r="D3440" s="453">
        <v>45717</v>
      </c>
      <c r="E3440">
        <v>18538</v>
      </c>
      <c r="F3440" t="s">
        <v>4026</v>
      </c>
      <c r="G3440">
        <v>3139</v>
      </c>
      <c r="H3440">
        <v>2.5</v>
      </c>
      <c r="I3440" t="s">
        <v>3878</v>
      </c>
      <c r="J3440" t="s">
        <v>3497</v>
      </c>
      <c r="K3440" t="s">
        <v>3755</v>
      </c>
      <c r="L3440">
        <v>99.69</v>
      </c>
      <c r="M3440" s="453">
        <v>45712</v>
      </c>
      <c r="N3440">
        <v>99.69</v>
      </c>
      <c r="O3440">
        <v>99.69</v>
      </c>
      <c r="P3440">
        <v>249.22</v>
      </c>
    </row>
    <row r="3441" spans="1:16" x14ac:dyDescent="0.3">
      <c r="A3441">
        <v>25223</v>
      </c>
      <c r="B3441">
        <v>116</v>
      </c>
      <c r="C3441" t="s">
        <v>568</v>
      </c>
      <c r="D3441" s="453">
        <v>45717</v>
      </c>
      <c r="E3441">
        <v>18467</v>
      </c>
      <c r="F3441" t="s">
        <v>4028</v>
      </c>
      <c r="G3441">
        <v>3189</v>
      </c>
      <c r="H3441">
        <v>3.5</v>
      </c>
      <c r="I3441" t="s">
        <v>3878</v>
      </c>
      <c r="J3441" t="s">
        <v>3497</v>
      </c>
      <c r="K3441" t="s">
        <v>3755</v>
      </c>
      <c r="L3441">
        <v>0</v>
      </c>
      <c r="M3441" s="453">
        <v>45677</v>
      </c>
      <c r="N3441">
        <v>70.760000000000005</v>
      </c>
      <c r="O3441">
        <v>70.760000000000005</v>
      </c>
      <c r="P3441">
        <v>247.66</v>
      </c>
    </row>
    <row r="3442" spans="1:16" x14ac:dyDescent="0.3">
      <c r="A3442">
        <v>25101</v>
      </c>
      <c r="B3442">
        <v>116</v>
      </c>
      <c r="C3442" t="s">
        <v>568</v>
      </c>
      <c r="D3442" s="453">
        <v>45717</v>
      </c>
      <c r="E3442">
        <v>20624</v>
      </c>
      <c r="F3442" t="s">
        <v>3982</v>
      </c>
      <c r="G3442">
        <v>2116</v>
      </c>
      <c r="H3442">
        <v>3.5</v>
      </c>
      <c r="I3442" t="s">
        <v>3966</v>
      </c>
      <c r="J3442" t="s">
        <v>3469</v>
      </c>
      <c r="K3442" t="s">
        <v>3755</v>
      </c>
      <c r="L3442">
        <v>69.900000000000006</v>
      </c>
      <c r="M3442" s="453">
        <v>45706</v>
      </c>
      <c r="N3442">
        <v>69.900000000000006</v>
      </c>
      <c r="O3442">
        <v>69.900000000000006</v>
      </c>
      <c r="P3442">
        <v>244.65</v>
      </c>
    </row>
    <row r="3443" spans="1:16" x14ac:dyDescent="0.3">
      <c r="A3443">
        <v>25252</v>
      </c>
      <c r="B3443">
        <v>116</v>
      </c>
      <c r="C3443" t="s">
        <v>568</v>
      </c>
      <c r="D3443" s="453">
        <v>45717</v>
      </c>
      <c r="E3443">
        <v>21984</v>
      </c>
      <c r="F3443" t="s">
        <v>4487</v>
      </c>
      <c r="G3443">
        <v>3709</v>
      </c>
      <c r="H3443">
        <v>2</v>
      </c>
      <c r="I3443" t="s">
        <v>3881</v>
      </c>
      <c r="J3443" t="s">
        <v>3497</v>
      </c>
      <c r="K3443" t="s">
        <v>3755</v>
      </c>
      <c r="L3443">
        <v>0</v>
      </c>
      <c r="M3443" s="453">
        <v>-693593</v>
      </c>
      <c r="N3443">
        <v>0</v>
      </c>
      <c r="O3443">
        <v>120</v>
      </c>
      <c r="P3443">
        <v>240</v>
      </c>
    </row>
    <row r="3444" spans="1:16" x14ac:dyDescent="0.3">
      <c r="A3444">
        <v>25185</v>
      </c>
      <c r="B3444">
        <v>116</v>
      </c>
      <c r="C3444" t="s">
        <v>568</v>
      </c>
      <c r="D3444" s="453">
        <v>45717</v>
      </c>
      <c r="E3444">
        <v>18948</v>
      </c>
      <c r="F3444" t="s">
        <v>3961</v>
      </c>
      <c r="G3444">
        <v>2927</v>
      </c>
      <c r="H3444">
        <v>3.6</v>
      </c>
      <c r="I3444" t="s">
        <v>3892</v>
      </c>
      <c r="J3444" t="s">
        <v>3469</v>
      </c>
      <c r="K3444" t="s">
        <v>3755</v>
      </c>
      <c r="L3444">
        <v>65.900000000000006</v>
      </c>
      <c r="M3444" s="453">
        <v>45700</v>
      </c>
      <c r="N3444">
        <v>65.900000000000006</v>
      </c>
      <c r="O3444">
        <v>65.900000000000006</v>
      </c>
      <c r="P3444">
        <v>237.24</v>
      </c>
    </row>
    <row r="3445" spans="1:16" x14ac:dyDescent="0.3">
      <c r="A3445">
        <v>25262</v>
      </c>
      <c r="B3445">
        <v>116</v>
      </c>
      <c r="C3445" t="s">
        <v>568</v>
      </c>
      <c r="D3445" s="453">
        <v>45717</v>
      </c>
      <c r="E3445">
        <v>17895</v>
      </c>
      <c r="F3445" t="s">
        <v>4137</v>
      </c>
      <c r="G3445">
        <v>3665</v>
      </c>
      <c r="H3445">
        <v>9</v>
      </c>
      <c r="I3445" t="s">
        <v>3888</v>
      </c>
      <c r="J3445" t="s">
        <v>3497</v>
      </c>
      <c r="K3445" t="s">
        <v>3755</v>
      </c>
      <c r="L3445">
        <v>26.28</v>
      </c>
      <c r="M3445" s="453">
        <v>45713</v>
      </c>
      <c r="N3445">
        <v>26.28</v>
      </c>
      <c r="O3445">
        <v>26.28</v>
      </c>
      <c r="P3445">
        <v>236.52</v>
      </c>
    </row>
    <row r="3446" spans="1:16" x14ac:dyDescent="0.3">
      <c r="A3446">
        <v>25192</v>
      </c>
      <c r="B3446">
        <v>116</v>
      </c>
      <c r="C3446" t="s">
        <v>568</v>
      </c>
      <c r="D3446" s="453">
        <v>45717</v>
      </c>
      <c r="E3446">
        <v>18684</v>
      </c>
      <c r="F3446" t="s">
        <v>3925</v>
      </c>
      <c r="G3446">
        <v>3041</v>
      </c>
      <c r="H3446">
        <v>7.3</v>
      </c>
      <c r="I3446" t="s">
        <v>3892</v>
      </c>
      <c r="J3446" t="s">
        <v>3469</v>
      </c>
      <c r="K3446" t="s">
        <v>3755</v>
      </c>
      <c r="L3446">
        <v>32</v>
      </c>
      <c r="M3446" s="453">
        <v>45713</v>
      </c>
      <c r="N3446">
        <v>32</v>
      </c>
      <c r="O3446">
        <v>32</v>
      </c>
      <c r="P3446">
        <v>233.6</v>
      </c>
    </row>
    <row r="3447" spans="1:16" x14ac:dyDescent="0.3">
      <c r="A3447">
        <v>25241</v>
      </c>
      <c r="B3447">
        <v>116</v>
      </c>
      <c r="C3447" t="s">
        <v>568</v>
      </c>
      <c r="D3447" s="453">
        <v>45717</v>
      </c>
      <c r="E3447">
        <v>22270</v>
      </c>
      <c r="F3447" t="s">
        <v>3923</v>
      </c>
      <c r="G3447">
        <v>3450</v>
      </c>
      <c r="H3447">
        <v>7.6</v>
      </c>
      <c r="I3447" t="s">
        <v>3884</v>
      </c>
      <c r="J3447" t="s">
        <v>3497</v>
      </c>
      <c r="K3447" t="s">
        <v>3755</v>
      </c>
      <c r="L3447">
        <v>0</v>
      </c>
      <c r="M3447" s="453">
        <v>45670</v>
      </c>
      <c r="N3447">
        <v>29.9</v>
      </c>
      <c r="O3447">
        <v>29.9</v>
      </c>
      <c r="P3447">
        <v>227.24</v>
      </c>
    </row>
    <row r="3448" spans="1:16" x14ac:dyDescent="0.3">
      <c r="A3448">
        <v>25198</v>
      </c>
      <c r="B3448">
        <v>116</v>
      </c>
      <c r="C3448" t="s">
        <v>568</v>
      </c>
      <c r="D3448" s="453">
        <v>45717</v>
      </c>
      <c r="E3448">
        <v>24517</v>
      </c>
      <c r="F3448" t="s">
        <v>3991</v>
      </c>
      <c r="G3448">
        <v>3047</v>
      </c>
      <c r="H3448">
        <v>7.8</v>
      </c>
      <c r="I3448" t="s">
        <v>3892</v>
      </c>
      <c r="J3448" t="s">
        <v>3469</v>
      </c>
      <c r="K3448" t="s">
        <v>3755</v>
      </c>
      <c r="L3448">
        <v>28.7</v>
      </c>
      <c r="M3448" s="453">
        <v>45706</v>
      </c>
      <c r="N3448">
        <v>28.5</v>
      </c>
      <c r="O3448">
        <v>27.99</v>
      </c>
      <c r="P3448">
        <v>223.86</v>
      </c>
    </row>
    <row r="3449" spans="1:16" x14ac:dyDescent="0.3">
      <c r="A3449">
        <v>25093</v>
      </c>
      <c r="B3449">
        <v>116</v>
      </c>
      <c r="C3449" t="s">
        <v>568</v>
      </c>
      <c r="D3449" s="453">
        <v>45717</v>
      </c>
      <c r="E3449">
        <v>19984</v>
      </c>
      <c r="F3449" t="s">
        <v>3904</v>
      </c>
      <c r="G3449">
        <v>2351</v>
      </c>
      <c r="H3449">
        <v>11</v>
      </c>
      <c r="I3449" t="s">
        <v>3872</v>
      </c>
      <c r="J3449" t="s">
        <v>3469</v>
      </c>
      <c r="K3449" t="s">
        <v>3755</v>
      </c>
      <c r="L3449">
        <v>19.8</v>
      </c>
      <c r="M3449" s="453">
        <v>45699</v>
      </c>
      <c r="N3449">
        <v>19.8</v>
      </c>
      <c r="O3449">
        <v>19.8</v>
      </c>
      <c r="P3449">
        <v>217.8</v>
      </c>
    </row>
    <row r="3450" spans="1:16" x14ac:dyDescent="0.3">
      <c r="A3450">
        <v>25195</v>
      </c>
      <c r="B3450">
        <v>116</v>
      </c>
      <c r="C3450" t="s">
        <v>568</v>
      </c>
      <c r="D3450" s="453">
        <v>45717</v>
      </c>
      <c r="E3450">
        <v>24388</v>
      </c>
      <c r="F3450" t="s">
        <v>3915</v>
      </c>
      <c r="G3450">
        <v>2945</v>
      </c>
      <c r="H3450">
        <v>7.7</v>
      </c>
      <c r="I3450" t="s">
        <v>3892</v>
      </c>
      <c r="J3450" t="s">
        <v>3469</v>
      </c>
      <c r="K3450" t="s">
        <v>3755</v>
      </c>
      <c r="L3450">
        <v>26.56</v>
      </c>
      <c r="M3450" s="453">
        <v>45714</v>
      </c>
      <c r="N3450">
        <v>24.95</v>
      </c>
      <c r="O3450">
        <v>24.95</v>
      </c>
      <c r="P3450">
        <v>204.51</v>
      </c>
    </row>
    <row r="3451" spans="1:16" x14ac:dyDescent="0.3">
      <c r="A3451">
        <v>25047</v>
      </c>
      <c r="B3451">
        <v>116</v>
      </c>
      <c r="C3451" t="s">
        <v>568</v>
      </c>
      <c r="D3451" s="453">
        <v>45717</v>
      </c>
      <c r="E3451">
        <v>20757</v>
      </c>
      <c r="F3451" t="s">
        <v>4050</v>
      </c>
      <c r="G3451">
        <v>2086</v>
      </c>
      <c r="H3451">
        <v>2.5</v>
      </c>
      <c r="I3451" t="s">
        <v>3966</v>
      </c>
      <c r="J3451" t="s">
        <v>3469</v>
      </c>
      <c r="K3451" t="s">
        <v>3755</v>
      </c>
      <c r="L3451">
        <v>0</v>
      </c>
      <c r="M3451" s="453">
        <v>45681</v>
      </c>
      <c r="N3451">
        <v>75.2</v>
      </c>
      <c r="O3451">
        <v>78.5</v>
      </c>
      <c r="P3451">
        <v>188</v>
      </c>
    </row>
    <row r="3452" spans="1:16" x14ac:dyDescent="0.3">
      <c r="A3452">
        <v>25096</v>
      </c>
      <c r="B3452">
        <v>116</v>
      </c>
      <c r="C3452" t="s">
        <v>568</v>
      </c>
      <c r="D3452" s="453">
        <v>45717</v>
      </c>
      <c r="E3452">
        <v>19961</v>
      </c>
      <c r="F3452" t="s">
        <v>4465</v>
      </c>
      <c r="G3452">
        <v>2357</v>
      </c>
      <c r="H3452">
        <v>14</v>
      </c>
      <c r="I3452" t="s">
        <v>3886</v>
      </c>
      <c r="J3452" t="s">
        <v>3469</v>
      </c>
      <c r="K3452" t="s">
        <v>3755</v>
      </c>
      <c r="L3452">
        <v>0</v>
      </c>
      <c r="M3452" s="453">
        <v>45670</v>
      </c>
      <c r="N3452">
        <v>13.39</v>
      </c>
      <c r="O3452">
        <v>20.7</v>
      </c>
      <c r="P3452">
        <v>187.46</v>
      </c>
    </row>
    <row r="3453" spans="1:16" x14ac:dyDescent="0.3">
      <c r="A3453">
        <v>25074</v>
      </c>
      <c r="B3453">
        <v>116</v>
      </c>
      <c r="C3453" t="s">
        <v>568</v>
      </c>
      <c r="D3453" s="453">
        <v>45717</v>
      </c>
      <c r="E3453">
        <v>20242</v>
      </c>
      <c r="F3453" t="s">
        <v>4120</v>
      </c>
      <c r="G3453">
        <v>2242</v>
      </c>
      <c r="H3453">
        <v>13.5</v>
      </c>
      <c r="I3453" t="s">
        <v>3888</v>
      </c>
      <c r="J3453" t="s">
        <v>3469</v>
      </c>
      <c r="K3453" t="s">
        <v>3755</v>
      </c>
      <c r="L3453">
        <v>13.7</v>
      </c>
      <c r="M3453" s="453">
        <v>45699</v>
      </c>
      <c r="N3453">
        <v>13.7</v>
      </c>
      <c r="O3453">
        <v>13.12</v>
      </c>
      <c r="P3453">
        <v>184.95</v>
      </c>
    </row>
    <row r="3454" spans="1:16" x14ac:dyDescent="0.3">
      <c r="A3454">
        <v>25240</v>
      </c>
      <c r="B3454">
        <v>116</v>
      </c>
      <c r="C3454" t="s">
        <v>568</v>
      </c>
      <c r="D3454" s="453">
        <v>45717</v>
      </c>
      <c r="E3454">
        <v>18194</v>
      </c>
      <c r="F3454" t="s">
        <v>4490</v>
      </c>
      <c r="G3454">
        <v>3430</v>
      </c>
      <c r="H3454">
        <v>2.7</v>
      </c>
      <c r="I3454" t="s">
        <v>3878</v>
      </c>
      <c r="J3454" t="s">
        <v>3497</v>
      </c>
      <c r="K3454" t="s">
        <v>3755</v>
      </c>
      <c r="L3454">
        <v>0</v>
      </c>
      <c r="M3454" s="453">
        <v>45670</v>
      </c>
      <c r="N3454">
        <v>68.19</v>
      </c>
      <c r="O3454">
        <v>96.16</v>
      </c>
      <c r="P3454">
        <v>184.11</v>
      </c>
    </row>
    <row r="3455" spans="1:16" x14ac:dyDescent="0.3">
      <c r="A3455">
        <v>25225</v>
      </c>
      <c r="B3455">
        <v>116</v>
      </c>
      <c r="C3455" t="s">
        <v>568</v>
      </c>
      <c r="D3455" s="453">
        <v>45717</v>
      </c>
      <c r="E3455">
        <v>18394</v>
      </c>
      <c r="F3455" t="s">
        <v>4044</v>
      </c>
      <c r="G3455">
        <v>3246</v>
      </c>
      <c r="H3455">
        <v>1</v>
      </c>
      <c r="I3455" t="s">
        <v>3878</v>
      </c>
      <c r="J3455" t="s">
        <v>3497</v>
      </c>
      <c r="K3455" t="s">
        <v>3755</v>
      </c>
      <c r="L3455">
        <v>0</v>
      </c>
      <c r="M3455" s="453">
        <v>45516</v>
      </c>
      <c r="N3455">
        <v>0</v>
      </c>
      <c r="O3455">
        <v>146.9</v>
      </c>
      <c r="P3455">
        <v>179.9</v>
      </c>
    </row>
    <row r="3456" spans="1:16" x14ac:dyDescent="0.3">
      <c r="A3456">
        <v>25269</v>
      </c>
      <c r="B3456">
        <v>116</v>
      </c>
      <c r="C3456" t="s">
        <v>568</v>
      </c>
      <c r="D3456" s="453">
        <v>45717</v>
      </c>
      <c r="E3456">
        <v>17609</v>
      </c>
      <c r="F3456" t="s">
        <v>4038</v>
      </c>
      <c r="G3456">
        <v>3917</v>
      </c>
      <c r="H3456">
        <v>9</v>
      </c>
      <c r="I3456" t="s">
        <v>3878</v>
      </c>
      <c r="J3456" t="s">
        <v>3497</v>
      </c>
      <c r="K3456" t="s">
        <v>3755</v>
      </c>
      <c r="L3456">
        <v>0</v>
      </c>
      <c r="M3456" s="453">
        <v>45573</v>
      </c>
      <c r="N3456">
        <v>18.899999999999999</v>
      </c>
      <c r="O3456">
        <v>18.899999999999999</v>
      </c>
      <c r="P3456">
        <v>170.1</v>
      </c>
    </row>
    <row r="3457" spans="1:16" x14ac:dyDescent="0.3">
      <c r="A3457">
        <v>25054</v>
      </c>
      <c r="B3457">
        <v>116</v>
      </c>
      <c r="C3457" t="s">
        <v>568</v>
      </c>
      <c r="D3457" s="453">
        <v>45717</v>
      </c>
      <c r="E3457">
        <v>20729</v>
      </c>
      <c r="F3457" t="s">
        <v>3965</v>
      </c>
      <c r="G3457">
        <v>2093</v>
      </c>
      <c r="H3457">
        <v>3.2</v>
      </c>
      <c r="I3457" t="s">
        <v>3966</v>
      </c>
      <c r="J3457" t="s">
        <v>3469</v>
      </c>
      <c r="K3457" t="s">
        <v>3755</v>
      </c>
      <c r="L3457">
        <v>52.87</v>
      </c>
      <c r="M3457" s="453">
        <v>45713</v>
      </c>
      <c r="N3457">
        <v>52.98</v>
      </c>
      <c r="O3457">
        <v>52.98</v>
      </c>
      <c r="P3457">
        <v>169.18</v>
      </c>
    </row>
    <row r="3458" spans="1:16" x14ac:dyDescent="0.3">
      <c r="A3458">
        <v>25141</v>
      </c>
      <c r="B3458">
        <v>116</v>
      </c>
      <c r="C3458" t="s">
        <v>568</v>
      </c>
      <c r="D3458" s="453">
        <v>45717</v>
      </c>
      <c r="E3458">
        <v>19756</v>
      </c>
      <c r="F3458" t="s">
        <v>4220</v>
      </c>
      <c r="G3458">
        <v>2497</v>
      </c>
      <c r="H3458">
        <v>36</v>
      </c>
      <c r="I3458" t="s">
        <v>3892</v>
      </c>
      <c r="J3458" t="s">
        <v>3469</v>
      </c>
      <c r="K3458" t="s">
        <v>3755</v>
      </c>
      <c r="L3458">
        <v>4.6900000000000004</v>
      </c>
      <c r="M3458" s="453">
        <v>45715</v>
      </c>
      <c r="N3458">
        <v>4.4000000000000004</v>
      </c>
      <c r="O3458">
        <v>4.5999999999999996</v>
      </c>
      <c r="P3458">
        <v>168.84</v>
      </c>
    </row>
    <row r="3459" spans="1:16" x14ac:dyDescent="0.3">
      <c r="A3459">
        <v>25212</v>
      </c>
      <c r="B3459">
        <v>116</v>
      </c>
      <c r="C3459" t="s">
        <v>568</v>
      </c>
      <c r="D3459" s="453">
        <v>45717</v>
      </c>
      <c r="E3459">
        <v>18550</v>
      </c>
      <c r="F3459" t="s">
        <v>4083</v>
      </c>
      <c r="G3459">
        <v>3130</v>
      </c>
      <c r="H3459">
        <v>1</v>
      </c>
      <c r="I3459" t="s">
        <v>3878</v>
      </c>
      <c r="J3459" t="s">
        <v>3497</v>
      </c>
      <c r="K3459" t="s">
        <v>3755</v>
      </c>
      <c r="L3459">
        <v>0</v>
      </c>
      <c r="M3459" s="453">
        <v>-693593</v>
      </c>
      <c r="N3459">
        <v>0</v>
      </c>
      <c r="O3459">
        <v>168</v>
      </c>
      <c r="P3459">
        <v>165.45</v>
      </c>
    </row>
    <row r="3460" spans="1:16" x14ac:dyDescent="0.3">
      <c r="A3460">
        <v>25085</v>
      </c>
      <c r="B3460">
        <v>116</v>
      </c>
      <c r="C3460" t="s">
        <v>568</v>
      </c>
      <c r="D3460" s="453">
        <v>45717</v>
      </c>
      <c r="E3460">
        <v>20508</v>
      </c>
      <c r="F3460" t="s">
        <v>4449</v>
      </c>
      <c r="G3460">
        <v>2153</v>
      </c>
      <c r="H3460">
        <v>5.9</v>
      </c>
      <c r="I3460" t="s">
        <v>3892</v>
      </c>
      <c r="J3460" t="s">
        <v>3469</v>
      </c>
      <c r="K3460" t="s">
        <v>3755</v>
      </c>
      <c r="L3460">
        <v>0</v>
      </c>
      <c r="M3460" s="453">
        <v>45678</v>
      </c>
      <c r="N3460">
        <v>28</v>
      </c>
      <c r="O3460">
        <v>28</v>
      </c>
      <c r="P3460">
        <v>165.2</v>
      </c>
    </row>
    <row r="3461" spans="1:16" x14ac:dyDescent="0.3">
      <c r="A3461">
        <v>25258</v>
      </c>
      <c r="B3461">
        <v>116</v>
      </c>
      <c r="C3461" t="s">
        <v>568</v>
      </c>
      <c r="D3461" s="453">
        <v>45717</v>
      </c>
      <c r="E3461">
        <v>17903</v>
      </c>
      <c r="F3461" t="s">
        <v>3971</v>
      </c>
      <c r="G3461">
        <v>3658</v>
      </c>
      <c r="H3461">
        <v>6</v>
      </c>
      <c r="I3461" t="s">
        <v>3888</v>
      </c>
      <c r="J3461" t="s">
        <v>3497</v>
      </c>
      <c r="K3461" t="s">
        <v>3755</v>
      </c>
      <c r="L3461">
        <v>26.88</v>
      </c>
      <c r="M3461" s="453">
        <v>45713</v>
      </c>
      <c r="N3461">
        <v>27.48</v>
      </c>
      <c r="O3461">
        <v>22.86</v>
      </c>
      <c r="P3461">
        <v>161.28</v>
      </c>
    </row>
    <row r="3462" spans="1:16" x14ac:dyDescent="0.3">
      <c r="A3462">
        <v>25088</v>
      </c>
      <c r="B3462">
        <v>116</v>
      </c>
      <c r="C3462" t="s">
        <v>568</v>
      </c>
      <c r="D3462" s="453">
        <v>45717</v>
      </c>
      <c r="E3462">
        <v>20007</v>
      </c>
      <c r="F3462" t="s">
        <v>4009</v>
      </c>
      <c r="G3462">
        <v>2343</v>
      </c>
      <c r="H3462">
        <v>3.5</v>
      </c>
      <c r="I3462" t="s">
        <v>3966</v>
      </c>
      <c r="J3462" t="s">
        <v>3469</v>
      </c>
      <c r="K3462" t="s">
        <v>3755</v>
      </c>
      <c r="L3462">
        <v>45.49</v>
      </c>
      <c r="M3462" s="453">
        <v>45706</v>
      </c>
      <c r="N3462">
        <v>45.5</v>
      </c>
      <c r="O3462">
        <v>45.5</v>
      </c>
      <c r="P3462">
        <v>159.22</v>
      </c>
    </row>
    <row r="3463" spans="1:16" x14ac:dyDescent="0.3">
      <c r="A3463">
        <v>25174</v>
      </c>
      <c r="B3463">
        <v>116</v>
      </c>
      <c r="C3463" t="s">
        <v>568</v>
      </c>
      <c r="D3463" s="453">
        <v>45717</v>
      </c>
      <c r="E3463">
        <v>19346</v>
      </c>
      <c r="F3463" t="s">
        <v>3948</v>
      </c>
      <c r="G3463">
        <v>2770</v>
      </c>
      <c r="H3463">
        <v>2.9</v>
      </c>
      <c r="I3463" t="s">
        <v>3892</v>
      </c>
      <c r="J3463" t="s">
        <v>3469</v>
      </c>
      <c r="K3463" t="s">
        <v>3755</v>
      </c>
      <c r="L3463">
        <v>54.5</v>
      </c>
      <c r="M3463" s="453">
        <v>45713</v>
      </c>
      <c r="N3463">
        <v>54.5</v>
      </c>
      <c r="O3463">
        <v>54.5</v>
      </c>
      <c r="P3463">
        <v>158.05000000000001</v>
      </c>
    </row>
    <row r="3464" spans="1:16" x14ac:dyDescent="0.3">
      <c r="A3464">
        <v>25049</v>
      </c>
      <c r="B3464">
        <v>116</v>
      </c>
      <c r="C3464" t="s">
        <v>568</v>
      </c>
      <c r="D3464" s="453">
        <v>45717</v>
      </c>
      <c r="E3464">
        <v>20304</v>
      </c>
      <c r="F3464" t="s">
        <v>3938</v>
      </c>
      <c r="G3464">
        <v>2223</v>
      </c>
      <c r="H3464">
        <v>4</v>
      </c>
      <c r="I3464" t="s">
        <v>3888</v>
      </c>
      <c r="J3464" t="s">
        <v>3469</v>
      </c>
      <c r="K3464" t="s">
        <v>3755</v>
      </c>
      <c r="L3464">
        <v>38.9</v>
      </c>
      <c r="M3464" s="453">
        <v>45706</v>
      </c>
      <c r="N3464">
        <v>38.9</v>
      </c>
      <c r="O3464">
        <v>38.9</v>
      </c>
      <c r="P3464">
        <v>155.6</v>
      </c>
    </row>
    <row r="3465" spans="1:16" x14ac:dyDescent="0.3">
      <c r="A3465">
        <v>25187</v>
      </c>
      <c r="B3465">
        <v>116</v>
      </c>
      <c r="C3465" t="s">
        <v>568</v>
      </c>
      <c r="D3465" s="453">
        <v>45717</v>
      </c>
      <c r="E3465">
        <v>18922</v>
      </c>
      <c r="F3465" t="s">
        <v>4499</v>
      </c>
      <c r="G3465">
        <v>2935</v>
      </c>
      <c r="H3465">
        <v>4.2</v>
      </c>
      <c r="I3465" t="s">
        <v>3892</v>
      </c>
      <c r="J3465" t="s">
        <v>3469</v>
      </c>
      <c r="K3465" t="s">
        <v>3755</v>
      </c>
      <c r="L3465">
        <v>0</v>
      </c>
      <c r="M3465" s="453">
        <v>45677</v>
      </c>
      <c r="N3465">
        <v>35.4</v>
      </c>
      <c r="O3465">
        <v>35.4</v>
      </c>
      <c r="P3465">
        <v>148.68</v>
      </c>
    </row>
    <row r="3466" spans="1:16" x14ac:dyDescent="0.3">
      <c r="A3466">
        <v>25249</v>
      </c>
      <c r="B3466">
        <v>116</v>
      </c>
      <c r="C3466" t="s">
        <v>568</v>
      </c>
      <c r="D3466" s="453">
        <v>45717</v>
      </c>
      <c r="E3466">
        <v>17969</v>
      </c>
      <c r="F3466" t="s">
        <v>4175</v>
      </c>
      <c r="G3466">
        <v>3617</v>
      </c>
      <c r="H3466">
        <v>9</v>
      </c>
      <c r="I3466" t="s">
        <v>3888</v>
      </c>
      <c r="J3466" t="s">
        <v>3497</v>
      </c>
      <c r="K3466" t="s">
        <v>3755</v>
      </c>
      <c r="L3466">
        <v>15.9</v>
      </c>
      <c r="M3466" s="453">
        <v>45698</v>
      </c>
      <c r="N3466">
        <v>15.9</v>
      </c>
      <c r="O3466">
        <v>21</v>
      </c>
      <c r="P3466">
        <v>143.1</v>
      </c>
    </row>
    <row r="3467" spans="1:16" x14ac:dyDescent="0.3">
      <c r="A3467">
        <v>25227</v>
      </c>
      <c r="B3467">
        <v>116</v>
      </c>
      <c r="C3467" t="s">
        <v>568</v>
      </c>
      <c r="D3467" s="453">
        <v>45717</v>
      </c>
      <c r="E3467">
        <v>18359</v>
      </c>
      <c r="F3467" t="s">
        <v>4029</v>
      </c>
      <c r="G3467">
        <v>3278</v>
      </c>
      <c r="H3467">
        <v>1.5</v>
      </c>
      <c r="I3467" t="s">
        <v>3878</v>
      </c>
      <c r="J3467" t="s">
        <v>3497</v>
      </c>
      <c r="K3467" t="s">
        <v>3755</v>
      </c>
      <c r="L3467">
        <v>89.23</v>
      </c>
      <c r="M3467" s="453">
        <v>45705</v>
      </c>
      <c r="N3467">
        <v>89.23</v>
      </c>
      <c r="O3467">
        <v>99.9</v>
      </c>
      <c r="P3467">
        <v>133.84</v>
      </c>
    </row>
    <row r="3468" spans="1:16" x14ac:dyDescent="0.3">
      <c r="A3468">
        <v>25242</v>
      </c>
      <c r="B3468">
        <v>116</v>
      </c>
      <c r="C3468" t="s">
        <v>568</v>
      </c>
      <c r="D3468" s="453">
        <v>45717</v>
      </c>
      <c r="E3468">
        <v>18146</v>
      </c>
      <c r="F3468" t="s">
        <v>4100</v>
      </c>
      <c r="G3468">
        <v>3471</v>
      </c>
      <c r="H3468">
        <v>1.2</v>
      </c>
      <c r="I3468" t="s">
        <v>3878</v>
      </c>
      <c r="J3468" t="s">
        <v>3497</v>
      </c>
      <c r="K3468" t="s">
        <v>3755</v>
      </c>
      <c r="L3468">
        <v>0</v>
      </c>
      <c r="M3468" s="453">
        <v>45608</v>
      </c>
      <c r="N3468">
        <v>111.09</v>
      </c>
      <c r="O3468">
        <v>113.9</v>
      </c>
      <c r="P3468">
        <v>133.31</v>
      </c>
    </row>
    <row r="3469" spans="1:16" x14ac:dyDescent="0.3">
      <c r="A3469">
        <v>25251</v>
      </c>
      <c r="B3469">
        <v>116</v>
      </c>
      <c r="C3469" t="s">
        <v>568</v>
      </c>
      <c r="D3469" s="453">
        <v>45717</v>
      </c>
      <c r="E3469">
        <v>18005</v>
      </c>
      <c r="F3469" t="s">
        <v>4491</v>
      </c>
      <c r="G3469">
        <v>3592</v>
      </c>
      <c r="H3469">
        <v>3</v>
      </c>
      <c r="I3469" t="s">
        <v>3872</v>
      </c>
      <c r="J3469" t="s">
        <v>3497</v>
      </c>
      <c r="K3469" t="s">
        <v>3755</v>
      </c>
      <c r="L3469">
        <v>0</v>
      </c>
      <c r="M3469" s="453">
        <v>-693593</v>
      </c>
      <c r="N3469">
        <v>0</v>
      </c>
      <c r="O3469">
        <v>0</v>
      </c>
      <c r="P3469">
        <v>132.44999999999999</v>
      </c>
    </row>
    <row r="3470" spans="1:16" x14ac:dyDescent="0.3">
      <c r="A3470">
        <v>25202</v>
      </c>
      <c r="B3470">
        <v>116</v>
      </c>
      <c r="C3470" t="s">
        <v>568</v>
      </c>
      <c r="D3470" s="453">
        <v>45717</v>
      </c>
      <c r="E3470">
        <v>22889</v>
      </c>
      <c r="F3470" t="s">
        <v>4466</v>
      </c>
      <c r="G3470">
        <v>2900</v>
      </c>
      <c r="H3470">
        <v>7.6</v>
      </c>
      <c r="I3470" t="s">
        <v>3892</v>
      </c>
      <c r="J3470" t="s">
        <v>3469</v>
      </c>
      <c r="K3470" t="s">
        <v>3755</v>
      </c>
      <c r="L3470">
        <v>0</v>
      </c>
      <c r="M3470" s="453">
        <v>45674</v>
      </c>
      <c r="N3470">
        <v>17.100000000000001</v>
      </c>
      <c r="O3470">
        <v>17.100000000000001</v>
      </c>
      <c r="P3470">
        <v>129.96</v>
      </c>
    </row>
    <row r="3471" spans="1:16" x14ac:dyDescent="0.3">
      <c r="A3471">
        <v>25243</v>
      </c>
      <c r="B3471">
        <v>116</v>
      </c>
      <c r="C3471" t="s">
        <v>568</v>
      </c>
      <c r="D3471" s="453">
        <v>45717</v>
      </c>
      <c r="E3471">
        <v>18111</v>
      </c>
      <c r="F3471" t="s">
        <v>4047</v>
      </c>
      <c r="G3471">
        <v>3500</v>
      </c>
      <c r="H3471">
        <v>1.4</v>
      </c>
      <c r="I3471" t="s">
        <v>3878</v>
      </c>
      <c r="J3471" t="s">
        <v>3497</v>
      </c>
      <c r="K3471" t="s">
        <v>3755</v>
      </c>
      <c r="L3471">
        <v>0</v>
      </c>
      <c r="M3471" s="453">
        <v>45559</v>
      </c>
      <c r="N3471">
        <v>92.47</v>
      </c>
      <c r="O3471">
        <v>92.47</v>
      </c>
      <c r="P3471">
        <v>129.46</v>
      </c>
    </row>
    <row r="3472" spans="1:16" x14ac:dyDescent="0.3">
      <c r="A3472">
        <v>25237</v>
      </c>
      <c r="B3472">
        <v>116</v>
      </c>
      <c r="C3472" t="s">
        <v>568</v>
      </c>
      <c r="D3472" s="453">
        <v>45717</v>
      </c>
      <c r="E3472">
        <v>18232</v>
      </c>
      <c r="F3472" t="s">
        <v>4091</v>
      </c>
      <c r="G3472">
        <v>3396</v>
      </c>
      <c r="H3472">
        <v>1.4</v>
      </c>
      <c r="I3472" t="s">
        <v>3878</v>
      </c>
      <c r="J3472" t="s">
        <v>3497</v>
      </c>
      <c r="K3472" t="s">
        <v>3755</v>
      </c>
      <c r="L3472">
        <v>0</v>
      </c>
      <c r="M3472" s="453">
        <v>45434</v>
      </c>
      <c r="N3472">
        <v>88.9</v>
      </c>
      <c r="O3472">
        <v>96.3</v>
      </c>
      <c r="P3472">
        <v>124.46</v>
      </c>
    </row>
    <row r="3473" spans="1:16" x14ac:dyDescent="0.3">
      <c r="A3473">
        <v>25097</v>
      </c>
      <c r="B3473">
        <v>116</v>
      </c>
      <c r="C3473" t="s">
        <v>568</v>
      </c>
      <c r="D3473" s="453">
        <v>45717</v>
      </c>
      <c r="E3473">
        <v>19967</v>
      </c>
      <c r="F3473" t="s">
        <v>3930</v>
      </c>
      <c r="G3473">
        <v>2356</v>
      </c>
      <c r="H3473">
        <v>2</v>
      </c>
      <c r="I3473" t="s">
        <v>3931</v>
      </c>
      <c r="J3473" t="s">
        <v>3469</v>
      </c>
      <c r="K3473" t="s">
        <v>3755</v>
      </c>
      <c r="L3473">
        <v>61.7</v>
      </c>
      <c r="M3473" s="453">
        <v>45699</v>
      </c>
      <c r="N3473">
        <v>61.7</v>
      </c>
      <c r="O3473">
        <v>61.5</v>
      </c>
      <c r="P3473">
        <v>123.4</v>
      </c>
    </row>
    <row r="3474" spans="1:16" x14ac:dyDescent="0.3">
      <c r="A3474">
        <v>25111</v>
      </c>
      <c r="B3474">
        <v>116</v>
      </c>
      <c r="C3474" t="s">
        <v>568</v>
      </c>
      <c r="D3474" s="453">
        <v>45717</v>
      </c>
      <c r="E3474">
        <v>20458</v>
      </c>
      <c r="F3474" t="s">
        <v>4121</v>
      </c>
      <c r="G3474">
        <v>2164</v>
      </c>
      <c r="H3474">
        <v>3</v>
      </c>
      <c r="I3474" t="s">
        <v>3892</v>
      </c>
      <c r="J3474" t="s">
        <v>3469</v>
      </c>
      <c r="K3474" t="s">
        <v>3755</v>
      </c>
      <c r="L3474">
        <v>41</v>
      </c>
      <c r="M3474" s="453">
        <v>45699</v>
      </c>
      <c r="N3474">
        <v>41</v>
      </c>
      <c r="O3474">
        <v>41</v>
      </c>
      <c r="P3474">
        <v>123</v>
      </c>
    </row>
    <row r="3475" spans="1:16" x14ac:dyDescent="0.3">
      <c r="A3475">
        <v>25040</v>
      </c>
      <c r="B3475">
        <v>116</v>
      </c>
      <c r="C3475" t="s">
        <v>568</v>
      </c>
      <c r="D3475" s="453">
        <v>45717</v>
      </c>
      <c r="E3475">
        <v>25767</v>
      </c>
      <c r="F3475" t="s">
        <v>3976</v>
      </c>
      <c r="G3475">
        <v>6316</v>
      </c>
      <c r="H3475">
        <v>2</v>
      </c>
      <c r="I3475" t="s">
        <v>3892</v>
      </c>
      <c r="J3475" t="s">
        <v>3469</v>
      </c>
      <c r="K3475" t="s">
        <v>3755</v>
      </c>
      <c r="L3475">
        <v>0</v>
      </c>
      <c r="M3475" s="453">
        <v>45635</v>
      </c>
      <c r="N3475">
        <v>60</v>
      </c>
      <c r="O3475">
        <v>60</v>
      </c>
      <c r="P3475">
        <v>120</v>
      </c>
    </row>
    <row r="3476" spans="1:16" x14ac:dyDescent="0.3">
      <c r="A3476">
        <v>25156</v>
      </c>
      <c r="B3476">
        <v>116</v>
      </c>
      <c r="C3476" t="s">
        <v>568</v>
      </c>
      <c r="D3476" s="453">
        <v>45717</v>
      </c>
      <c r="E3476">
        <v>19579</v>
      </c>
      <c r="F3476" t="s">
        <v>4020</v>
      </c>
      <c r="G3476">
        <v>2640</v>
      </c>
      <c r="H3476">
        <v>2</v>
      </c>
      <c r="I3476" t="s">
        <v>3892</v>
      </c>
      <c r="J3476" t="s">
        <v>3469</v>
      </c>
      <c r="K3476" t="s">
        <v>3755</v>
      </c>
      <c r="L3476">
        <v>0</v>
      </c>
      <c r="M3476" s="453">
        <v>45635</v>
      </c>
      <c r="N3476">
        <v>60</v>
      </c>
      <c r="O3476">
        <v>69</v>
      </c>
      <c r="P3476">
        <v>120</v>
      </c>
    </row>
    <row r="3477" spans="1:16" x14ac:dyDescent="0.3">
      <c r="A3477">
        <v>25186</v>
      </c>
      <c r="B3477">
        <v>116</v>
      </c>
      <c r="C3477" t="s">
        <v>568</v>
      </c>
      <c r="D3477" s="453">
        <v>45717</v>
      </c>
      <c r="E3477">
        <v>24194</v>
      </c>
      <c r="F3477" t="s">
        <v>4181</v>
      </c>
      <c r="G3477">
        <v>3038</v>
      </c>
      <c r="H3477">
        <v>2.7</v>
      </c>
      <c r="I3477" t="s">
        <v>3892</v>
      </c>
      <c r="J3477" t="s">
        <v>3469</v>
      </c>
      <c r="K3477" t="s">
        <v>3755</v>
      </c>
      <c r="L3477">
        <v>44</v>
      </c>
      <c r="M3477" s="453">
        <v>45713</v>
      </c>
      <c r="N3477">
        <v>44</v>
      </c>
      <c r="O3477">
        <v>42</v>
      </c>
      <c r="P3477">
        <v>118.8</v>
      </c>
    </row>
    <row r="3478" spans="1:16" x14ac:dyDescent="0.3">
      <c r="A3478">
        <v>25231</v>
      </c>
      <c r="B3478">
        <v>116</v>
      </c>
      <c r="C3478" t="s">
        <v>568</v>
      </c>
      <c r="D3478" s="453">
        <v>45717</v>
      </c>
      <c r="E3478">
        <v>18312</v>
      </c>
      <c r="F3478" t="s">
        <v>4089</v>
      </c>
      <c r="G3478">
        <v>3321</v>
      </c>
      <c r="H3478">
        <v>1</v>
      </c>
      <c r="I3478" t="s">
        <v>3878</v>
      </c>
      <c r="J3478" t="s">
        <v>3497</v>
      </c>
      <c r="K3478" t="s">
        <v>3755</v>
      </c>
      <c r="L3478">
        <v>0</v>
      </c>
      <c r="M3478" s="453">
        <v>45573</v>
      </c>
      <c r="N3478">
        <v>116.89</v>
      </c>
      <c r="O3478">
        <v>135.9</v>
      </c>
      <c r="P3478">
        <v>116.89</v>
      </c>
    </row>
    <row r="3479" spans="1:16" x14ac:dyDescent="0.3">
      <c r="A3479">
        <v>25113</v>
      </c>
      <c r="B3479">
        <v>116</v>
      </c>
      <c r="C3479" t="s">
        <v>568</v>
      </c>
      <c r="D3479" s="453">
        <v>45717</v>
      </c>
      <c r="E3479">
        <v>20456</v>
      </c>
      <c r="F3479" t="s">
        <v>4000</v>
      </c>
      <c r="G3479">
        <v>2166</v>
      </c>
      <c r="H3479">
        <v>2.9</v>
      </c>
      <c r="I3479" t="s">
        <v>3892</v>
      </c>
      <c r="J3479" t="s">
        <v>3469</v>
      </c>
      <c r="K3479" t="s">
        <v>3755</v>
      </c>
      <c r="L3479">
        <v>39</v>
      </c>
      <c r="M3479" s="453">
        <v>45713</v>
      </c>
      <c r="N3479">
        <v>39</v>
      </c>
      <c r="O3479">
        <v>39</v>
      </c>
      <c r="P3479">
        <v>113.1</v>
      </c>
    </row>
    <row r="3480" spans="1:16" x14ac:dyDescent="0.3">
      <c r="A3480">
        <v>25125</v>
      </c>
      <c r="B3480">
        <v>116</v>
      </c>
      <c r="C3480" t="s">
        <v>568</v>
      </c>
      <c r="D3480" s="453">
        <v>45717</v>
      </c>
      <c r="E3480">
        <v>24083</v>
      </c>
      <c r="F3480" t="s">
        <v>3898</v>
      </c>
      <c r="G3480">
        <v>2592</v>
      </c>
      <c r="H3480">
        <v>25</v>
      </c>
      <c r="I3480" t="s">
        <v>3892</v>
      </c>
      <c r="J3480" t="s">
        <v>3469</v>
      </c>
      <c r="K3480" t="s">
        <v>3755</v>
      </c>
      <c r="L3480">
        <v>4.5</v>
      </c>
      <c r="M3480" s="453">
        <v>45715</v>
      </c>
      <c r="N3480">
        <v>4.5</v>
      </c>
      <c r="O3480">
        <v>4.6500000000000004</v>
      </c>
      <c r="P3480">
        <v>112.5</v>
      </c>
    </row>
    <row r="3481" spans="1:16" x14ac:dyDescent="0.3">
      <c r="A3481">
        <v>25207</v>
      </c>
      <c r="B3481">
        <v>116</v>
      </c>
      <c r="C3481" t="s">
        <v>568</v>
      </c>
      <c r="D3481" s="453">
        <v>45717</v>
      </c>
      <c r="E3481">
        <v>21555</v>
      </c>
      <c r="F3481" t="s">
        <v>4493</v>
      </c>
      <c r="G3481">
        <v>4165</v>
      </c>
      <c r="H3481">
        <v>14</v>
      </c>
      <c r="I3481" t="s">
        <v>3892</v>
      </c>
      <c r="J3481" t="s">
        <v>3497</v>
      </c>
      <c r="K3481" t="s">
        <v>3755</v>
      </c>
      <c r="L3481">
        <v>0</v>
      </c>
      <c r="M3481" s="453">
        <v>45663</v>
      </c>
      <c r="N3481">
        <v>8</v>
      </c>
      <c r="O3481">
        <v>8</v>
      </c>
      <c r="P3481">
        <v>112</v>
      </c>
    </row>
    <row r="3482" spans="1:16" x14ac:dyDescent="0.3">
      <c r="A3482">
        <v>25233</v>
      </c>
      <c r="B3482">
        <v>116</v>
      </c>
      <c r="C3482" t="s">
        <v>568</v>
      </c>
      <c r="D3482" s="453">
        <v>45717</v>
      </c>
      <c r="E3482">
        <v>18272</v>
      </c>
      <c r="F3482" t="s">
        <v>4046</v>
      </c>
      <c r="G3482">
        <v>3358</v>
      </c>
      <c r="H3482">
        <v>3</v>
      </c>
      <c r="I3482" t="s">
        <v>3878</v>
      </c>
      <c r="J3482" t="s">
        <v>3497</v>
      </c>
      <c r="K3482" t="s">
        <v>3755</v>
      </c>
      <c r="L3482">
        <v>0</v>
      </c>
      <c r="M3482" s="453">
        <v>45659</v>
      </c>
      <c r="N3482">
        <v>36.6</v>
      </c>
      <c r="O3482">
        <v>40.770000000000003</v>
      </c>
      <c r="P3482">
        <v>109.8</v>
      </c>
    </row>
    <row r="3483" spans="1:16" x14ac:dyDescent="0.3">
      <c r="A3483">
        <v>25171</v>
      </c>
      <c r="B3483">
        <v>116</v>
      </c>
      <c r="C3483" t="s">
        <v>568</v>
      </c>
      <c r="D3483" s="453">
        <v>45717</v>
      </c>
      <c r="E3483">
        <v>19428</v>
      </c>
      <c r="F3483" t="s">
        <v>4169</v>
      </c>
      <c r="G3483">
        <v>2758</v>
      </c>
      <c r="H3483">
        <v>19</v>
      </c>
      <c r="I3483" t="s">
        <v>3872</v>
      </c>
      <c r="J3483" t="s">
        <v>3469</v>
      </c>
      <c r="K3483" t="s">
        <v>3755</v>
      </c>
      <c r="L3483">
        <v>5.72</v>
      </c>
      <c r="M3483" s="453">
        <v>45713</v>
      </c>
      <c r="N3483">
        <v>5.79</v>
      </c>
      <c r="O3483">
        <v>5.61</v>
      </c>
      <c r="P3483">
        <v>108.68</v>
      </c>
    </row>
    <row r="3484" spans="1:16" x14ac:dyDescent="0.3">
      <c r="A3484">
        <v>25168</v>
      </c>
      <c r="B3484">
        <v>116</v>
      </c>
      <c r="C3484" t="s">
        <v>568</v>
      </c>
      <c r="D3484" s="453">
        <v>45717</v>
      </c>
      <c r="E3484">
        <v>19540</v>
      </c>
      <c r="F3484" t="s">
        <v>4454</v>
      </c>
      <c r="G3484">
        <v>2676</v>
      </c>
      <c r="H3484">
        <v>18</v>
      </c>
      <c r="I3484" t="s">
        <v>3892</v>
      </c>
      <c r="J3484" t="s">
        <v>3469</v>
      </c>
      <c r="K3484" t="s">
        <v>3755</v>
      </c>
      <c r="L3484">
        <v>5.95</v>
      </c>
      <c r="M3484" s="453">
        <v>45715</v>
      </c>
      <c r="N3484">
        <v>5.5</v>
      </c>
      <c r="O3484">
        <v>5.5</v>
      </c>
      <c r="P3484">
        <v>107.1</v>
      </c>
    </row>
    <row r="3485" spans="1:16" x14ac:dyDescent="0.3">
      <c r="A3485">
        <v>25230</v>
      </c>
      <c r="B3485">
        <v>116</v>
      </c>
      <c r="C3485" t="s">
        <v>568</v>
      </c>
      <c r="D3485" s="453">
        <v>45717</v>
      </c>
      <c r="E3485">
        <v>18315</v>
      </c>
      <c r="F3485" t="s">
        <v>4088</v>
      </c>
      <c r="G3485">
        <v>3318</v>
      </c>
      <c r="H3485">
        <v>0.9</v>
      </c>
      <c r="I3485" t="s">
        <v>3878</v>
      </c>
      <c r="J3485" t="s">
        <v>3497</v>
      </c>
      <c r="K3485" t="s">
        <v>3755</v>
      </c>
      <c r="L3485">
        <v>0</v>
      </c>
      <c r="M3485" s="453">
        <v>45594</v>
      </c>
      <c r="N3485">
        <v>116.88</v>
      </c>
      <c r="O3485">
        <v>130.81</v>
      </c>
      <c r="P3485">
        <v>105.19</v>
      </c>
    </row>
    <row r="3486" spans="1:16" x14ac:dyDescent="0.3">
      <c r="A3486">
        <v>25234</v>
      </c>
      <c r="B3486">
        <v>116</v>
      </c>
      <c r="C3486" t="s">
        <v>568</v>
      </c>
      <c r="D3486" s="453">
        <v>45717</v>
      </c>
      <c r="E3486">
        <v>22338</v>
      </c>
      <c r="F3486" t="s">
        <v>3947</v>
      </c>
      <c r="G3486">
        <v>3376</v>
      </c>
      <c r="H3486">
        <v>3.5</v>
      </c>
      <c r="I3486" t="s">
        <v>3872</v>
      </c>
      <c r="J3486" t="s">
        <v>3497</v>
      </c>
      <c r="K3486" t="s">
        <v>3755</v>
      </c>
      <c r="L3486">
        <v>0</v>
      </c>
      <c r="M3486" s="453">
        <v>45659</v>
      </c>
      <c r="N3486">
        <v>29.97</v>
      </c>
      <c r="O3486">
        <v>28.97</v>
      </c>
      <c r="P3486">
        <v>104.9</v>
      </c>
    </row>
    <row r="3487" spans="1:16" x14ac:dyDescent="0.3">
      <c r="A3487">
        <v>25228</v>
      </c>
      <c r="B3487">
        <v>116</v>
      </c>
      <c r="C3487" t="s">
        <v>568</v>
      </c>
      <c r="D3487" s="453">
        <v>45717</v>
      </c>
      <c r="E3487">
        <v>18325</v>
      </c>
      <c r="F3487" t="s">
        <v>4459</v>
      </c>
      <c r="G3487">
        <v>3308</v>
      </c>
      <c r="H3487">
        <v>3</v>
      </c>
      <c r="I3487" t="s">
        <v>3878</v>
      </c>
      <c r="J3487" t="s">
        <v>3497</v>
      </c>
      <c r="K3487" t="s">
        <v>3755</v>
      </c>
      <c r="L3487">
        <v>0</v>
      </c>
      <c r="M3487" s="453">
        <v>-693593</v>
      </c>
      <c r="N3487">
        <v>0</v>
      </c>
      <c r="O3487">
        <v>34.479999999999997</v>
      </c>
      <c r="P3487">
        <v>103.44</v>
      </c>
    </row>
    <row r="3488" spans="1:16" x14ac:dyDescent="0.3">
      <c r="A3488">
        <v>25253</v>
      </c>
      <c r="B3488">
        <v>116</v>
      </c>
      <c r="C3488" t="s">
        <v>568</v>
      </c>
      <c r="D3488" s="453">
        <v>45717</v>
      </c>
      <c r="E3488">
        <v>24226</v>
      </c>
      <c r="F3488" t="s">
        <v>3998</v>
      </c>
      <c r="G3488">
        <v>3647</v>
      </c>
      <c r="H3488">
        <v>16</v>
      </c>
      <c r="I3488" t="s">
        <v>3872</v>
      </c>
      <c r="J3488" t="s">
        <v>3497</v>
      </c>
      <c r="K3488" t="s">
        <v>3755</v>
      </c>
      <c r="L3488">
        <v>0</v>
      </c>
      <c r="M3488" s="453">
        <v>45355</v>
      </c>
      <c r="N3488">
        <v>6.42</v>
      </c>
      <c r="O3488">
        <v>6.09</v>
      </c>
      <c r="P3488">
        <v>102.67</v>
      </c>
    </row>
    <row r="3489" spans="1:16" x14ac:dyDescent="0.3">
      <c r="A3489">
        <v>25052</v>
      </c>
      <c r="B3489">
        <v>116</v>
      </c>
      <c r="C3489" t="s">
        <v>568</v>
      </c>
      <c r="D3489" s="453">
        <v>45717</v>
      </c>
      <c r="E3489">
        <v>20755</v>
      </c>
      <c r="F3489" t="s">
        <v>4052</v>
      </c>
      <c r="G3489">
        <v>2087</v>
      </c>
      <c r="H3489">
        <v>1.7</v>
      </c>
      <c r="I3489" t="s">
        <v>3966</v>
      </c>
      <c r="J3489" t="s">
        <v>3469</v>
      </c>
      <c r="K3489" t="s">
        <v>3755</v>
      </c>
      <c r="L3489">
        <v>0</v>
      </c>
      <c r="M3489" s="453">
        <v>45497</v>
      </c>
      <c r="N3489">
        <v>60</v>
      </c>
      <c r="O3489">
        <v>60</v>
      </c>
      <c r="P3489">
        <v>102</v>
      </c>
    </row>
    <row r="3490" spans="1:16" x14ac:dyDescent="0.3">
      <c r="A3490">
        <v>25066</v>
      </c>
      <c r="B3490">
        <v>116</v>
      </c>
      <c r="C3490" t="s">
        <v>568</v>
      </c>
      <c r="D3490" s="453">
        <v>45717</v>
      </c>
      <c r="E3490">
        <v>20682</v>
      </c>
      <c r="F3490" t="s">
        <v>3929</v>
      </c>
      <c r="G3490">
        <v>2106</v>
      </c>
      <c r="H3490">
        <v>12</v>
      </c>
      <c r="I3490" t="s">
        <v>3872</v>
      </c>
      <c r="J3490" t="s">
        <v>3469</v>
      </c>
      <c r="K3490" t="s">
        <v>3755</v>
      </c>
      <c r="L3490">
        <v>0</v>
      </c>
      <c r="M3490" s="453">
        <v>45677</v>
      </c>
      <c r="N3490">
        <v>8.4499999999999993</v>
      </c>
      <c r="O3490">
        <v>8.4499999999999993</v>
      </c>
      <c r="P3490">
        <v>101.4</v>
      </c>
    </row>
    <row r="3491" spans="1:16" x14ac:dyDescent="0.3">
      <c r="A3491">
        <v>25081</v>
      </c>
      <c r="B3491">
        <v>116</v>
      </c>
      <c r="C3491" t="s">
        <v>568</v>
      </c>
      <c r="D3491" s="453">
        <v>45717</v>
      </c>
      <c r="E3491">
        <v>20661</v>
      </c>
      <c r="F3491" t="s">
        <v>3919</v>
      </c>
      <c r="G3491">
        <v>2110</v>
      </c>
      <c r="H3491">
        <v>11</v>
      </c>
      <c r="I3491" t="s">
        <v>3872</v>
      </c>
      <c r="J3491" t="s">
        <v>3469</v>
      </c>
      <c r="K3491" t="s">
        <v>3755</v>
      </c>
      <c r="L3491">
        <v>8.99</v>
      </c>
      <c r="M3491" s="453">
        <v>45713</v>
      </c>
      <c r="N3491">
        <v>8.99</v>
      </c>
      <c r="O3491">
        <v>9.35</v>
      </c>
      <c r="P3491">
        <v>98.89</v>
      </c>
    </row>
    <row r="3492" spans="1:16" x14ac:dyDescent="0.3">
      <c r="A3492">
        <v>25057</v>
      </c>
      <c r="B3492">
        <v>116</v>
      </c>
      <c r="C3492" t="s">
        <v>568</v>
      </c>
      <c r="D3492" s="453">
        <v>45717</v>
      </c>
      <c r="E3492">
        <v>20809</v>
      </c>
      <c r="F3492" t="s">
        <v>4005</v>
      </c>
      <c r="G3492">
        <v>2074</v>
      </c>
      <c r="H3492">
        <v>3.5</v>
      </c>
      <c r="I3492" t="s">
        <v>3888</v>
      </c>
      <c r="J3492" t="s">
        <v>3469</v>
      </c>
      <c r="K3492" t="s">
        <v>3755</v>
      </c>
      <c r="L3492">
        <v>28.12</v>
      </c>
      <c r="M3492" s="453">
        <v>45713</v>
      </c>
      <c r="N3492">
        <v>28.25</v>
      </c>
      <c r="O3492">
        <v>30.65</v>
      </c>
      <c r="P3492">
        <v>98.42</v>
      </c>
    </row>
    <row r="3493" spans="1:16" x14ac:dyDescent="0.3">
      <c r="A3493">
        <v>25044</v>
      </c>
      <c r="B3493">
        <v>116</v>
      </c>
      <c r="C3493" t="s">
        <v>568</v>
      </c>
      <c r="D3493" s="453">
        <v>45717</v>
      </c>
      <c r="E3493">
        <v>21093</v>
      </c>
      <c r="F3493" t="s">
        <v>3903</v>
      </c>
      <c r="G3493">
        <v>1988</v>
      </c>
      <c r="H3493">
        <v>21</v>
      </c>
      <c r="I3493" t="s">
        <v>3892</v>
      </c>
      <c r="J3493" t="s">
        <v>3469</v>
      </c>
      <c r="K3493" t="s">
        <v>3755</v>
      </c>
      <c r="L3493">
        <v>4.66</v>
      </c>
      <c r="M3493" s="453">
        <v>45716</v>
      </c>
      <c r="N3493">
        <v>4.6500000000000004</v>
      </c>
      <c r="O3493">
        <v>5.01</v>
      </c>
      <c r="P3493">
        <v>97.86</v>
      </c>
    </row>
    <row r="3494" spans="1:16" x14ac:dyDescent="0.3">
      <c r="A3494">
        <v>25065</v>
      </c>
      <c r="B3494">
        <v>116</v>
      </c>
      <c r="C3494" t="s">
        <v>568</v>
      </c>
      <c r="D3494" s="453">
        <v>45717</v>
      </c>
      <c r="E3494">
        <v>20549</v>
      </c>
      <c r="F3494" t="s">
        <v>4007</v>
      </c>
      <c r="G3494">
        <v>2141</v>
      </c>
      <c r="H3494">
        <v>4.5999999999999996</v>
      </c>
      <c r="I3494" t="s">
        <v>3892</v>
      </c>
      <c r="J3494" t="s">
        <v>3469</v>
      </c>
      <c r="K3494" t="s">
        <v>3755</v>
      </c>
      <c r="L3494">
        <v>21.11</v>
      </c>
      <c r="M3494" s="453">
        <v>45714</v>
      </c>
      <c r="N3494">
        <v>19.27</v>
      </c>
      <c r="O3494">
        <v>19.899999999999999</v>
      </c>
      <c r="P3494">
        <v>97.11</v>
      </c>
    </row>
    <row r="3495" spans="1:16" x14ac:dyDescent="0.3">
      <c r="A3495">
        <v>25073</v>
      </c>
      <c r="B3495">
        <v>116</v>
      </c>
      <c r="C3495" t="s">
        <v>568</v>
      </c>
      <c r="D3495" s="453">
        <v>45717</v>
      </c>
      <c r="E3495">
        <v>20250</v>
      </c>
      <c r="F3495" t="s">
        <v>4008</v>
      </c>
      <c r="G3495">
        <v>2241</v>
      </c>
      <c r="H3495">
        <v>2.5</v>
      </c>
      <c r="I3495" t="s">
        <v>3888</v>
      </c>
      <c r="J3495" t="s">
        <v>3469</v>
      </c>
      <c r="K3495" t="s">
        <v>3755</v>
      </c>
      <c r="L3495">
        <v>37.200000000000003</v>
      </c>
      <c r="M3495" s="453">
        <v>45716</v>
      </c>
      <c r="N3495">
        <v>37.200000000000003</v>
      </c>
      <c r="O3495">
        <v>37.200000000000003</v>
      </c>
      <c r="P3495">
        <v>93</v>
      </c>
    </row>
    <row r="3496" spans="1:16" x14ac:dyDescent="0.3">
      <c r="A3496">
        <v>25178</v>
      </c>
      <c r="B3496">
        <v>116</v>
      </c>
      <c r="C3496" t="s">
        <v>568</v>
      </c>
      <c r="D3496" s="453">
        <v>45717</v>
      </c>
      <c r="E3496">
        <v>19264</v>
      </c>
      <c r="F3496" t="s">
        <v>4082</v>
      </c>
      <c r="G3496">
        <v>2781</v>
      </c>
      <c r="H3496">
        <v>1.5</v>
      </c>
      <c r="I3496" t="s">
        <v>3888</v>
      </c>
      <c r="J3496" t="s">
        <v>3469</v>
      </c>
      <c r="K3496" t="s">
        <v>3755</v>
      </c>
      <c r="L3496">
        <v>61.19</v>
      </c>
      <c r="M3496" s="453">
        <v>45713</v>
      </c>
      <c r="N3496">
        <v>61.19</v>
      </c>
      <c r="O3496">
        <v>64.069999999999993</v>
      </c>
      <c r="P3496">
        <v>91.78</v>
      </c>
    </row>
    <row r="3497" spans="1:16" x14ac:dyDescent="0.3">
      <c r="A3497">
        <v>25182</v>
      </c>
      <c r="B3497">
        <v>116</v>
      </c>
      <c r="C3497" t="s">
        <v>568</v>
      </c>
      <c r="D3497" s="453">
        <v>45717</v>
      </c>
      <c r="E3497">
        <v>18694</v>
      </c>
      <c r="F3497" t="s">
        <v>4503</v>
      </c>
      <c r="G3497">
        <v>3035</v>
      </c>
      <c r="H3497">
        <v>4.5999999999999996</v>
      </c>
      <c r="I3497" t="s">
        <v>3892</v>
      </c>
      <c r="J3497" t="s">
        <v>3469</v>
      </c>
      <c r="K3497" t="s">
        <v>3755</v>
      </c>
      <c r="L3497">
        <v>19.8</v>
      </c>
      <c r="M3497" s="453">
        <v>45707</v>
      </c>
      <c r="N3497">
        <v>19.8</v>
      </c>
      <c r="O3497">
        <v>19.8</v>
      </c>
      <c r="P3497">
        <v>91.08</v>
      </c>
    </row>
    <row r="3498" spans="1:16" x14ac:dyDescent="0.3">
      <c r="A3498">
        <v>25042</v>
      </c>
      <c r="B3498">
        <v>116</v>
      </c>
      <c r="C3498" t="s">
        <v>568</v>
      </c>
      <c r="D3498" s="453">
        <v>45717</v>
      </c>
      <c r="E3498">
        <v>21166</v>
      </c>
      <c r="F3498" t="s">
        <v>4001</v>
      </c>
      <c r="G3498">
        <v>1940</v>
      </c>
      <c r="H3498">
        <v>2.5</v>
      </c>
      <c r="I3498" t="s">
        <v>3872</v>
      </c>
      <c r="J3498" t="s">
        <v>3469</v>
      </c>
      <c r="K3498" t="s">
        <v>3755</v>
      </c>
      <c r="L3498">
        <v>0</v>
      </c>
      <c r="M3498" s="453">
        <v>45615</v>
      </c>
      <c r="N3498">
        <v>36</v>
      </c>
      <c r="O3498">
        <v>36</v>
      </c>
      <c r="P3498">
        <v>90</v>
      </c>
    </row>
    <row r="3499" spans="1:16" x14ac:dyDescent="0.3">
      <c r="A3499">
        <v>25236</v>
      </c>
      <c r="B3499">
        <v>116</v>
      </c>
      <c r="C3499" t="s">
        <v>568</v>
      </c>
      <c r="D3499" s="453">
        <v>45717</v>
      </c>
      <c r="E3499">
        <v>18233</v>
      </c>
      <c r="F3499" t="s">
        <v>4090</v>
      </c>
      <c r="G3499">
        <v>3395</v>
      </c>
      <c r="H3499">
        <v>1</v>
      </c>
      <c r="I3499" t="s">
        <v>3878</v>
      </c>
      <c r="J3499" t="s">
        <v>3497</v>
      </c>
      <c r="K3499" t="s">
        <v>3755</v>
      </c>
      <c r="L3499">
        <v>0</v>
      </c>
      <c r="M3499" s="453">
        <v>45664</v>
      </c>
      <c r="N3499">
        <v>88.9</v>
      </c>
      <c r="O3499">
        <v>91.9</v>
      </c>
      <c r="P3499">
        <v>88.9</v>
      </c>
    </row>
    <row r="3500" spans="1:16" x14ac:dyDescent="0.3">
      <c r="A3500">
        <v>25257</v>
      </c>
      <c r="B3500">
        <v>116</v>
      </c>
      <c r="C3500" t="s">
        <v>568</v>
      </c>
      <c r="D3500" s="453">
        <v>45717</v>
      </c>
      <c r="E3500">
        <v>22044</v>
      </c>
      <c r="F3500" t="s">
        <v>3928</v>
      </c>
      <c r="G3500">
        <v>3656</v>
      </c>
      <c r="H3500">
        <v>40</v>
      </c>
      <c r="I3500" t="s">
        <v>3872</v>
      </c>
      <c r="J3500" t="s">
        <v>3497</v>
      </c>
      <c r="K3500" t="s">
        <v>3755</v>
      </c>
      <c r="L3500">
        <v>0</v>
      </c>
      <c r="M3500" s="453">
        <v>45677</v>
      </c>
      <c r="N3500">
        <v>2.19</v>
      </c>
      <c r="O3500">
        <v>2.04</v>
      </c>
      <c r="P3500">
        <v>87.6</v>
      </c>
    </row>
    <row r="3501" spans="1:16" x14ac:dyDescent="0.3">
      <c r="A3501">
        <v>25217</v>
      </c>
      <c r="B3501">
        <v>116</v>
      </c>
      <c r="C3501" t="s">
        <v>568</v>
      </c>
      <c r="D3501" s="453">
        <v>45717</v>
      </c>
      <c r="E3501">
        <v>18534</v>
      </c>
      <c r="F3501" t="s">
        <v>4084</v>
      </c>
      <c r="G3501">
        <v>3143</v>
      </c>
      <c r="H3501">
        <v>1</v>
      </c>
      <c r="I3501" t="s">
        <v>3878</v>
      </c>
      <c r="J3501" t="s">
        <v>3497</v>
      </c>
      <c r="K3501" t="s">
        <v>3755</v>
      </c>
      <c r="L3501">
        <v>0</v>
      </c>
      <c r="M3501" s="453">
        <v>-693593</v>
      </c>
      <c r="N3501">
        <v>0</v>
      </c>
      <c r="O3501">
        <v>0</v>
      </c>
      <c r="P3501">
        <v>86.89</v>
      </c>
    </row>
    <row r="3502" spans="1:16" x14ac:dyDescent="0.3">
      <c r="A3502">
        <v>25247</v>
      </c>
      <c r="B3502">
        <v>116</v>
      </c>
      <c r="C3502" t="s">
        <v>568</v>
      </c>
      <c r="D3502" s="453">
        <v>45717</v>
      </c>
      <c r="E3502">
        <v>24006</v>
      </c>
      <c r="F3502" t="s">
        <v>4177</v>
      </c>
      <c r="G3502">
        <v>3609</v>
      </c>
      <c r="H3502">
        <v>5</v>
      </c>
      <c r="I3502" t="s">
        <v>3888</v>
      </c>
      <c r="J3502" t="s">
        <v>3497</v>
      </c>
      <c r="K3502" t="s">
        <v>3755</v>
      </c>
      <c r="L3502">
        <v>17.100000000000001</v>
      </c>
      <c r="M3502" s="453">
        <v>45698</v>
      </c>
      <c r="N3502">
        <v>17.100000000000001</v>
      </c>
      <c r="O3502">
        <v>22.2</v>
      </c>
      <c r="P3502">
        <v>85.5</v>
      </c>
    </row>
    <row r="3503" spans="1:16" x14ac:dyDescent="0.3">
      <c r="A3503">
        <v>25181</v>
      </c>
      <c r="B3503">
        <v>116</v>
      </c>
      <c r="C3503" t="s">
        <v>568</v>
      </c>
      <c r="D3503" s="453">
        <v>45717</v>
      </c>
      <c r="E3503">
        <v>18708</v>
      </c>
      <c r="F3503" t="s">
        <v>4504</v>
      </c>
      <c r="G3503">
        <v>3033</v>
      </c>
      <c r="H3503">
        <v>2.8</v>
      </c>
      <c r="I3503" t="s">
        <v>3892</v>
      </c>
      <c r="J3503" t="s">
        <v>3469</v>
      </c>
      <c r="K3503" t="s">
        <v>3755</v>
      </c>
      <c r="L3503">
        <v>0</v>
      </c>
      <c r="M3503" s="453">
        <v>45462</v>
      </c>
      <c r="N3503">
        <v>29.9</v>
      </c>
      <c r="O3503">
        <v>30.4</v>
      </c>
      <c r="P3503">
        <v>83.72</v>
      </c>
    </row>
    <row r="3504" spans="1:16" x14ac:dyDescent="0.3">
      <c r="A3504">
        <v>25159</v>
      </c>
      <c r="B3504">
        <v>116</v>
      </c>
      <c r="C3504" t="s">
        <v>568</v>
      </c>
      <c r="D3504" s="453">
        <v>45717</v>
      </c>
      <c r="E3504">
        <v>19566</v>
      </c>
      <c r="F3504" t="s">
        <v>3986</v>
      </c>
      <c r="G3504">
        <v>2651</v>
      </c>
      <c r="H3504">
        <v>2</v>
      </c>
      <c r="I3504" t="s">
        <v>3892</v>
      </c>
      <c r="J3504" t="s">
        <v>3469</v>
      </c>
      <c r="K3504" t="s">
        <v>3755</v>
      </c>
      <c r="L3504">
        <v>0</v>
      </c>
      <c r="M3504" s="453">
        <v>45635</v>
      </c>
      <c r="N3504">
        <v>40.5</v>
      </c>
      <c r="O3504">
        <v>40.5</v>
      </c>
      <c r="P3504">
        <v>81</v>
      </c>
    </row>
    <row r="3505" spans="1:16" x14ac:dyDescent="0.3">
      <c r="A3505">
        <v>25160</v>
      </c>
      <c r="B3505">
        <v>116</v>
      </c>
      <c r="C3505" t="s">
        <v>568</v>
      </c>
      <c r="D3505" s="453">
        <v>45717</v>
      </c>
      <c r="E3505">
        <v>19565</v>
      </c>
      <c r="F3505" t="s">
        <v>3987</v>
      </c>
      <c r="G3505">
        <v>2652</v>
      </c>
      <c r="H3505">
        <v>2</v>
      </c>
      <c r="I3505" t="s">
        <v>3892</v>
      </c>
      <c r="J3505" t="s">
        <v>3469</v>
      </c>
      <c r="K3505" t="s">
        <v>3755</v>
      </c>
      <c r="L3505">
        <v>0</v>
      </c>
      <c r="M3505" s="453">
        <v>45635</v>
      </c>
      <c r="N3505">
        <v>40.5</v>
      </c>
      <c r="O3505">
        <v>40.5</v>
      </c>
      <c r="P3505">
        <v>81</v>
      </c>
    </row>
    <row r="3506" spans="1:16" x14ac:dyDescent="0.3">
      <c r="A3506">
        <v>25238</v>
      </c>
      <c r="B3506">
        <v>116</v>
      </c>
      <c r="C3506" t="s">
        <v>568</v>
      </c>
      <c r="D3506" s="453">
        <v>45717</v>
      </c>
      <c r="E3506">
        <v>18220</v>
      </c>
      <c r="F3506" t="s">
        <v>4479</v>
      </c>
      <c r="G3506">
        <v>3408</v>
      </c>
      <c r="H3506">
        <v>0.8</v>
      </c>
      <c r="I3506" t="s">
        <v>3878</v>
      </c>
      <c r="J3506" t="s">
        <v>3497</v>
      </c>
      <c r="K3506" t="s">
        <v>3755</v>
      </c>
      <c r="L3506">
        <v>0</v>
      </c>
      <c r="M3506" s="453">
        <v>-693593</v>
      </c>
      <c r="N3506">
        <v>0</v>
      </c>
      <c r="O3506">
        <v>79.03</v>
      </c>
      <c r="P3506">
        <v>80.709999999999994</v>
      </c>
    </row>
    <row r="3507" spans="1:16" x14ac:dyDescent="0.3">
      <c r="A3507">
        <v>25209</v>
      </c>
      <c r="B3507">
        <v>116</v>
      </c>
      <c r="C3507" t="s">
        <v>568</v>
      </c>
      <c r="D3507" s="453">
        <v>45717</v>
      </c>
      <c r="E3507">
        <v>24140</v>
      </c>
      <c r="F3507" t="s">
        <v>3889</v>
      </c>
      <c r="G3507">
        <v>3100</v>
      </c>
      <c r="H3507">
        <v>1</v>
      </c>
      <c r="I3507" t="s">
        <v>3872</v>
      </c>
      <c r="J3507" t="s">
        <v>3497</v>
      </c>
      <c r="K3507" t="s">
        <v>3755</v>
      </c>
      <c r="L3507">
        <v>77.959999999999994</v>
      </c>
      <c r="M3507" s="453">
        <v>45699</v>
      </c>
      <c r="N3507">
        <v>77.959999999999994</v>
      </c>
      <c r="O3507">
        <v>77.959999999999994</v>
      </c>
      <c r="P3507">
        <v>77.959999999999994</v>
      </c>
    </row>
    <row r="3508" spans="1:16" x14ac:dyDescent="0.3">
      <c r="A3508">
        <v>25090</v>
      </c>
      <c r="B3508">
        <v>116</v>
      </c>
      <c r="C3508" t="s">
        <v>568</v>
      </c>
      <c r="D3508" s="453">
        <v>45717</v>
      </c>
      <c r="E3508">
        <v>20117</v>
      </c>
      <c r="F3508" t="s">
        <v>4010</v>
      </c>
      <c r="G3508">
        <v>2291</v>
      </c>
      <c r="H3508">
        <v>2</v>
      </c>
      <c r="I3508" t="s">
        <v>3872</v>
      </c>
      <c r="J3508" t="s">
        <v>3469</v>
      </c>
      <c r="K3508" t="s">
        <v>3755</v>
      </c>
      <c r="L3508">
        <v>38.9</v>
      </c>
      <c r="M3508" s="453">
        <v>45699</v>
      </c>
      <c r="N3508">
        <v>38.9</v>
      </c>
      <c r="O3508">
        <v>44.92</v>
      </c>
      <c r="P3508">
        <v>77.8</v>
      </c>
    </row>
    <row r="3509" spans="1:16" x14ac:dyDescent="0.3">
      <c r="A3509">
        <v>25226</v>
      </c>
      <c r="B3509">
        <v>116</v>
      </c>
      <c r="C3509" t="s">
        <v>568</v>
      </c>
      <c r="D3509" s="453">
        <v>45717</v>
      </c>
      <c r="E3509">
        <v>18341</v>
      </c>
      <c r="F3509" t="s">
        <v>4086</v>
      </c>
      <c r="G3509">
        <v>3293</v>
      </c>
      <c r="H3509">
        <v>2</v>
      </c>
      <c r="I3509" t="s">
        <v>3878</v>
      </c>
      <c r="J3509" t="s">
        <v>3497</v>
      </c>
      <c r="K3509" t="s">
        <v>3755</v>
      </c>
      <c r="L3509">
        <v>0</v>
      </c>
      <c r="M3509" s="453">
        <v>-693593</v>
      </c>
      <c r="N3509">
        <v>0</v>
      </c>
      <c r="O3509">
        <v>50</v>
      </c>
      <c r="P3509">
        <v>76</v>
      </c>
    </row>
    <row r="3510" spans="1:16" x14ac:dyDescent="0.3">
      <c r="A3510">
        <v>25183</v>
      </c>
      <c r="B3510">
        <v>116</v>
      </c>
      <c r="C3510" t="s">
        <v>568</v>
      </c>
      <c r="D3510" s="453">
        <v>45717</v>
      </c>
      <c r="E3510">
        <v>18696</v>
      </c>
      <c r="F3510" t="s">
        <v>3956</v>
      </c>
      <c r="G3510">
        <v>3035</v>
      </c>
      <c r="H3510">
        <v>3.5</v>
      </c>
      <c r="I3510" t="s">
        <v>3892</v>
      </c>
      <c r="J3510" t="s">
        <v>3469</v>
      </c>
      <c r="K3510" t="s">
        <v>3755</v>
      </c>
      <c r="L3510">
        <v>0</v>
      </c>
      <c r="M3510" s="453">
        <v>45670</v>
      </c>
      <c r="N3510">
        <v>21.5</v>
      </c>
      <c r="O3510">
        <v>19.8</v>
      </c>
      <c r="P3510">
        <v>75.25</v>
      </c>
    </row>
    <row r="3511" spans="1:16" x14ac:dyDescent="0.3">
      <c r="A3511">
        <v>25254</v>
      </c>
      <c r="B3511">
        <v>116</v>
      </c>
      <c r="C3511" t="s">
        <v>568</v>
      </c>
      <c r="D3511" s="453">
        <v>45717</v>
      </c>
      <c r="E3511">
        <v>24227</v>
      </c>
      <c r="F3511" t="s">
        <v>3970</v>
      </c>
      <c r="G3511">
        <v>3648</v>
      </c>
      <c r="H3511">
        <v>11</v>
      </c>
      <c r="I3511" t="s">
        <v>3872</v>
      </c>
      <c r="J3511" t="s">
        <v>3497</v>
      </c>
      <c r="K3511" t="s">
        <v>3755</v>
      </c>
      <c r="L3511">
        <v>0</v>
      </c>
      <c r="M3511" s="453">
        <v>-693593</v>
      </c>
      <c r="N3511">
        <v>0</v>
      </c>
      <c r="O3511">
        <v>6.09</v>
      </c>
      <c r="P3511">
        <v>75.02</v>
      </c>
    </row>
    <row r="3512" spans="1:16" x14ac:dyDescent="0.3">
      <c r="A3512">
        <v>25104</v>
      </c>
      <c r="B3512">
        <v>116</v>
      </c>
      <c r="C3512" t="s">
        <v>568</v>
      </c>
      <c r="D3512" s="453">
        <v>45717</v>
      </c>
      <c r="E3512">
        <v>19922</v>
      </c>
      <c r="F3512" t="s">
        <v>4480</v>
      </c>
      <c r="G3512">
        <v>2375</v>
      </c>
      <c r="H3512">
        <v>1</v>
      </c>
      <c r="I3512" t="s">
        <v>3888</v>
      </c>
      <c r="J3512" t="s">
        <v>3469</v>
      </c>
      <c r="K3512" t="s">
        <v>3755</v>
      </c>
      <c r="L3512">
        <v>0</v>
      </c>
      <c r="M3512" s="453">
        <v>-693593</v>
      </c>
      <c r="N3512">
        <v>0</v>
      </c>
      <c r="O3512">
        <v>73.430000000000007</v>
      </c>
      <c r="P3512">
        <v>73.430000000000007</v>
      </c>
    </row>
    <row r="3513" spans="1:16" x14ac:dyDescent="0.3">
      <c r="A3513">
        <v>25086</v>
      </c>
      <c r="B3513">
        <v>116</v>
      </c>
      <c r="C3513" t="s">
        <v>568</v>
      </c>
      <c r="D3513" s="453">
        <v>45717</v>
      </c>
      <c r="E3513">
        <v>20501</v>
      </c>
      <c r="F3513" t="s">
        <v>4219</v>
      </c>
      <c r="G3513">
        <v>2154</v>
      </c>
      <c r="H3513">
        <v>3.5</v>
      </c>
      <c r="I3513" t="s">
        <v>3892</v>
      </c>
      <c r="J3513" t="s">
        <v>3469</v>
      </c>
      <c r="K3513" t="s">
        <v>3755</v>
      </c>
      <c r="L3513">
        <v>20.8</v>
      </c>
      <c r="M3513" s="453">
        <v>45707</v>
      </c>
      <c r="N3513">
        <v>20.8</v>
      </c>
      <c r="O3513">
        <v>19.989999999999998</v>
      </c>
      <c r="P3513">
        <v>72.8</v>
      </c>
    </row>
    <row r="3514" spans="1:16" x14ac:dyDescent="0.3">
      <c r="A3514">
        <v>25155</v>
      </c>
      <c r="B3514">
        <v>116</v>
      </c>
      <c r="C3514" t="s">
        <v>568</v>
      </c>
      <c r="D3514" s="453">
        <v>45717</v>
      </c>
      <c r="E3514">
        <v>19578</v>
      </c>
      <c r="F3514" t="s">
        <v>3985</v>
      </c>
      <c r="G3514">
        <v>2640</v>
      </c>
      <c r="H3514">
        <v>2</v>
      </c>
      <c r="I3514" t="s">
        <v>3892</v>
      </c>
      <c r="J3514" t="s">
        <v>3469</v>
      </c>
      <c r="K3514" t="s">
        <v>3755</v>
      </c>
      <c r="L3514">
        <v>0</v>
      </c>
      <c r="M3514" s="453">
        <v>45512</v>
      </c>
      <c r="N3514">
        <v>36</v>
      </c>
      <c r="O3514">
        <v>69</v>
      </c>
      <c r="P3514">
        <v>72</v>
      </c>
    </row>
    <row r="3515" spans="1:16" x14ac:dyDescent="0.3">
      <c r="A3515">
        <v>25059</v>
      </c>
      <c r="B3515">
        <v>116</v>
      </c>
      <c r="C3515" t="s">
        <v>568</v>
      </c>
      <c r="D3515" s="453">
        <v>45717</v>
      </c>
      <c r="E3515">
        <v>26193</v>
      </c>
      <c r="F3515" t="s">
        <v>3950</v>
      </c>
      <c r="G3515">
        <v>6616</v>
      </c>
      <c r="H3515">
        <v>6</v>
      </c>
      <c r="I3515" t="s">
        <v>3872</v>
      </c>
      <c r="J3515" t="s">
        <v>3469</v>
      </c>
      <c r="K3515" t="s">
        <v>3755</v>
      </c>
      <c r="L3515">
        <v>0</v>
      </c>
      <c r="M3515" s="453">
        <v>-693593</v>
      </c>
      <c r="N3515">
        <v>0</v>
      </c>
      <c r="O3515">
        <v>14.2</v>
      </c>
      <c r="P3515">
        <v>71.099999999999994</v>
      </c>
    </row>
    <row r="3516" spans="1:16" x14ac:dyDescent="0.3">
      <c r="A3516">
        <v>25103</v>
      </c>
      <c r="B3516">
        <v>116</v>
      </c>
      <c r="C3516" t="s">
        <v>568</v>
      </c>
      <c r="D3516" s="453">
        <v>45717</v>
      </c>
      <c r="E3516">
        <v>20621</v>
      </c>
      <c r="F3516" t="s">
        <v>3885</v>
      </c>
      <c r="G3516">
        <v>2117</v>
      </c>
      <c r="H3516">
        <v>2</v>
      </c>
      <c r="I3516" t="s">
        <v>3886</v>
      </c>
      <c r="J3516" t="s">
        <v>3469</v>
      </c>
      <c r="K3516" t="s">
        <v>3755</v>
      </c>
      <c r="L3516">
        <v>35</v>
      </c>
      <c r="M3516" s="453">
        <v>45707</v>
      </c>
      <c r="N3516">
        <v>35</v>
      </c>
      <c r="O3516">
        <v>23.15</v>
      </c>
      <c r="P3516">
        <v>70</v>
      </c>
    </row>
    <row r="3517" spans="1:16" x14ac:dyDescent="0.3">
      <c r="A3517">
        <v>25061</v>
      </c>
      <c r="B3517">
        <v>116</v>
      </c>
      <c r="C3517" t="s">
        <v>568</v>
      </c>
      <c r="D3517" s="453">
        <v>45717</v>
      </c>
      <c r="E3517">
        <v>20703</v>
      </c>
      <c r="F3517" t="s">
        <v>3893</v>
      </c>
      <c r="G3517">
        <v>2100</v>
      </c>
      <c r="H3517">
        <v>5</v>
      </c>
      <c r="I3517" t="s">
        <v>3886</v>
      </c>
      <c r="J3517" t="s">
        <v>3469</v>
      </c>
      <c r="K3517" t="s">
        <v>3755</v>
      </c>
      <c r="L3517">
        <v>13.86</v>
      </c>
      <c r="M3517" s="453">
        <v>45714</v>
      </c>
      <c r="N3517">
        <v>12.8</v>
      </c>
      <c r="O3517">
        <v>13.86</v>
      </c>
      <c r="P3517">
        <v>69.3</v>
      </c>
    </row>
    <row r="3518" spans="1:16" x14ac:dyDescent="0.3">
      <c r="A3518">
        <v>25077</v>
      </c>
      <c r="B3518">
        <v>116</v>
      </c>
      <c r="C3518" t="s">
        <v>568</v>
      </c>
      <c r="D3518" s="453">
        <v>45717</v>
      </c>
      <c r="E3518">
        <v>20327</v>
      </c>
      <c r="F3518" t="s">
        <v>4179</v>
      </c>
      <c r="G3518">
        <v>2211</v>
      </c>
      <c r="H3518">
        <v>10</v>
      </c>
      <c r="I3518" t="s">
        <v>3888</v>
      </c>
      <c r="J3518" t="s">
        <v>3469</v>
      </c>
      <c r="K3518" t="s">
        <v>3755</v>
      </c>
      <c r="L3518">
        <v>0</v>
      </c>
      <c r="M3518" s="453">
        <v>-693593</v>
      </c>
      <c r="N3518">
        <v>0</v>
      </c>
      <c r="O3518">
        <v>6.55</v>
      </c>
      <c r="P3518">
        <v>69</v>
      </c>
    </row>
    <row r="3519" spans="1:16" x14ac:dyDescent="0.3">
      <c r="A3519">
        <v>25091</v>
      </c>
      <c r="B3519">
        <v>116</v>
      </c>
      <c r="C3519" t="s">
        <v>568</v>
      </c>
      <c r="D3519" s="453">
        <v>45717</v>
      </c>
      <c r="E3519">
        <v>20832</v>
      </c>
      <c r="F3519" t="s">
        <v>4060</v>
      </c>
      <c r="G3519">
        <v>2065</v>
      </c>
      <c r="H3519">
        <v>2</v>
      </c>
      <c r="I3519" t="s">
        <v>3886</v>
      </c>
      <c r="J3519" t="s">
        <v>3469</v>
      </c>
      <c r="K3519" t="s">
        <v>3755</v>
      </c>
      <c r="L3519">
        <v>0</v>
      </c>
      <c r="M3519" s="453">
        <v>45615</v>
      </c>
      <c r="N3519">
        <v>33.9</v>
      </c>
      <c r="O3519">
        <v>33.9</v>
      </c>
      <c r="P3519">
        <v>67.8</v>
      </c>
    </row>
    <row r="3520" spans="1:16" x14ac:dyDescent="0.3">
      <c r="A3520">
        <v>25076</v>
      </c>
      <c r="B3520">
        <v>116</v>
      </c>
      <c r="C3520" t="s">
        <v>568</v>
      </c>
      <c r="D3520" s="453">
        <v>45717</v>
      </c>
      <c r="E3520">
        <v>20227</v>
      </c>
      <c r="F3520" t="s">
        <v>3968</v>
      </c>
      <c r="G3520">
        <v>2248</v>
      </c>
      <c r="H3520">
        <v>5</v>
      </c>
      <c r="I3520" t="s">
        <v>3888</v>
      </c>
      <c r="J3520" t="s">
        <v>3469</v>
      </c>
      <c r="K3520" t="s">
        <v>3755</v>
      </c>
      <c r="L3520">
        <v>13.5</v>
      </c>
      <c r="M3520" s="453">
        <v>45706</v>
      </c>
      <c r="N3520">
        <v>13.5</v>
      </c>
      <c r="O3520">
        <v>12.67</v>
      </c>
      <c r="P3520">
        <v>67.5</v>
      </c>
    </row>
    <row r="3521" spans="1:16" x14ac:dyDescent="0.3">
      <c r="A3521">
        <v>25045</v>
      </c>
      <c r="B3521">
        <v>116</v>
      </c>
      <c r="C3521" t="s">
        <v>568</v>
      </c>
      <c r="D3521" s="453">
        <v>45717</v>
      </c>
      <c r="E3521">
        <v>21085</v>
      </c>
      <c r="F3521" t="s">
        <v>4114</v>
      </c>
      <c r="G3521">
        <v>1989</v>
      </c>
      <c r="H3521">
        <v>1.5</v>
      </c>
      <c r="I3521" t="s">
        <v>3881</v>
      </c>
      <c r="J3521" t="s">
        <v>3469</v>
      </c>
      <c r="K3521" t="s">
        <v>3755</v>
      </c>
      <c r="L3521">
        <v>0</v>
      </c>
      <c r="M3521" s="453">
        <v>45524</v>
      </c>
      <c r="N3521">
        <v>44.8</v>
      </c>
      <c r="O3521">
        <v>22.18</v>
      </c>
      <c r="P3521">
        <v>67.2</v>
      </c>
    </row>
    <row r="3522" spans="1:16" x14ac:dyDescent="0.3">
      <c r="A3522">
        <v>25222</v>
      </c>
      <c r="B3522">
        <v>116</v>
      </c>
      <c r="C3522" t="s">
        <v>568</v>
      </c>
      <c r="D3522" s="453">
        <v>45717</v>
      </c>
      <c r="E3522">
        <v>18447</v>
      </c>
      <c r="F3522" t="s">
        <v>4027</v>
      </c>
      <c r="G3522">
        <v>3204</v>
      </c>
      <c r="H3522">
        <v>5</v>
      </c>
      <c r="I3522" t="s">
        <v>3878</v>
      </c>
      <c r="J3522" t="s">
        <v>3497</v>
      </c>
      <c r="K3522" t="s">
        <v>3755</v>
      </c>
      <c r="L3522">
        <v>0</v>
      </c>
      <c r="M3522" s="453">
        <v>45664</v>
      </c>
      <c r="N3522">
        <v>13.3</v>
      </c>
      <c r="O3522">
        <v>13.3</v>
      </c>
      <c r="P3522">
        <v>66.5</v>
      </c>
    </row>
    <row r="3523" spans="1:16" x14ac:dyDescent="0.3">
      <c r="A3523">
        <v>25072</v>
      </c>
      <c r="B3523">
        <v>116</v>
      </c>
      <c r="C3523" t="s">
        <v>568</v>
      </c>
      <c r="D3523" s="453">
        <v>45717</v>
      </c>
      <c r="E3523">
        <v>20358</v>
      </c>
      <c r="F3523" t="s">
        <v>3952</v>
      </c>
      <c r="G3523">
        <v>2200</v>
      </c>
      <c r="H3523">
        <v>4.5</v>
      </c>
      <c r="I3523" t="s">
        <v>3888</v>
      </c>
      <c r="J3523" t="s">
        <v>3469</v>
      </c>
      <c r="K3523" t="s">
        <v>3755</v>
      </c>
      <c r="L3523">
        <v>14.49</v>
      </c>
      <c r="M3523" s="453">
        <v>45695</v>
      </c>
      <c r="N3523">
        <v>14.49</v>
      </c>
      <c r="O3523">
        <v>14.4</v>
      </c>
      <c r="P3523">
        <v>65.2</v>
      </c>
    </row>
    <row r="3524" spans="1:16" x14ac:dyDescent="0.3">
      <c r="A3524">
        <v>25043</v>
      </c>
      <c r="B3524">
        <v>116</v>
      </c>
      <c r="C3524" t="s">
        <v>568</v>
      </c>
      <c r="D3524" s="453">
        <v>45717</v>
      </c>
      <c r="E3524">
        <v>21062</v>
      </c>
      <c r="F3524" t="s">
        <v>4481</v>
      </c>
      <c r="G3524">
        <v>1997</v>
      </c>
      <c r="H3524">
        <v>4</v>
      </c>
      <c r="I3524" t="s">
        <v>3878</v>
      </c>
      <c r="J3524" t="s">
        <v>3469</v>
      </c>
      <c r="K3524" t="s">
        <v>3755</v>
      </c>
      <c r="L3524">
        <v>0</v>
      </c>
      <c r="M3524" s="453">
        <v>-693593</v>
      </c>
      <c r="N3524">
        <v>0</v>
      </c>
      <c r="O3524">
        <v>14.9</v>
      </c>
      <c r="P3524">
        <v>62.68</v>
      </c>
    </row>
    <row r="3525" spans="1:16" x14ac:dyDescent="0.3">
      <c r="A3525">
        <v>25080</v>
      </c>
      <c r="B3525">
        <v>116</v>
      </c>
      <c r="C3525" t="s">
        <v>568</v>
      </c>
      <c r="D3525" s="453">
        <v>45717</v>
      </c>
      <c r="E3525">
        <v>20053</v>
      </c>
      <c r="F3525" t="s">
        <v>4457</v>
      </c>
      <c r="G3525">
        <v>2326</v>
      </c>
      <c r="H3525">
        <v>1.5</v>
      </c>
      <c r="I3525" t="s">
        <v>3888</v>
      </c>
      <c r="J3525" t="s">
        <v>3469</v>
      </c>
      <c r="K3525" t="s">
        <v>3755</v>
      </c>
      <c r="L3525">
        <v>41.2</v>
      </c>
      <c r="M3525" s="453">
        <v>45695</v>
      </c>
      <c r="N3525">
        <v>41.2</v>
      </c>
      <c r="O3525">
        <v>41.2</v>
      </c>
      <c r="P3525">
        <v>61.8</v>
      </c>
    </row>
    <row r="3526" spans="1:16" x14ac:dyDescent="0.3">
      <c r="A3526">
        <v>25048</v>
      </c>
      <c r="B3526">
        <v>116</v>
      </c>
      <c r="C3526" t="s">
        <v>568</v>
      </c>
      <c r="D3526" s="453">
        <v>45717</v>
      </c>
      <c r="E3526">
        <v>20301</v>
      </c>
      <c r="F3526" t="s">
        <v>4161</v>
      </c>
      <c r="G3526">
        <v>2223</v>
      </c>
      <c r="H3526">
        <v>2</v>
      </c>
      <c r="I3526" t="s">
        <v>3888</v>
      </c>
      <c r="J3526" t="s">
        <v>3469</v>
      </c>
      <c r="K3526" t="s">
        <v>3755</v>
      </c>
      <c r="L3526">
        <v>30.7</v>
      </c>
      <c r="M3526" s="453">
        <v>45695</v>
      </c>
      <c r="N3526">
        <v>30.7</v>
      </c>
      <c r="O3526">
        <v>33.159999999999997</v>
      </c>
      <c r="P3526">
        <v>61.4</v>
      </c>
    </row>
    <row r="3527" spans="1:16" x14ac:dyDescent="0.3">
      <c r="A3527">
        <v>25114</v>
      </c>
      <c r="B3527">
        <v>116</v>
      </c>
      <c r="C3527" t="s">
        <v>568</v>
      </c>
      <c r="D3527" s="453">
        <v>45717</v>
      </c>
      <c r="E3527">
        <v>25769</v>
      </c>
      <c r="F3527" t="s">
        <v>4013</v>
      </c>
      <c r="G3527">
        <v>6318</v>
      </c>
      <c r="H3527">
        <v>1.5</v>
      </c>
      <c r="I3527" t="s">
        <v>3892</v>
      </c>
      <c r="J3527" t="s">
        <v>3469</v>
      </c>
      <c r="K3527" t="s">
        <v>3755</v>
      </c>
      <c r="L3527">
        <v>0</v>
      </c>
      <c r="M3527" s="453">
        <v>-693593</v>
      </c>
      <c r="N3527">
        <v>0</v>
      </c>
      <c r="O3527">
        <v>4.75</v>
      </c>
      <c r="P3527">
        <v>60.75</v>
      </c>
    </row>
    <row r="3528" spans="1:16" x14ac:dyDescent="0.3">
      <c r="A3528">
        <v>25245</v>
      </c>
      <c r="B3528">
        <v>116</v>
      </c>
      <c r="C3528" t="s">
        <v>568</v>
      </c>
      <c r="D3528" s="453">
        <v>45717</v>
      </c>
      <c r="E3528">
        <v>24002</v>
      </c>
      <c r="F3528" t="s">
        <v>3924</v>
      </c>
      <c r="G3528">
        <v>3614</v>
      </c>
      <c r="H3528">
        <v>9</v>
      </c>
      <c r="I3528" t="s">
        <v>3872</v>
      </c>
      <c r="J3528" t="s">
        <v>3497</v>
      </c>
      <c r="K3528" t="s">
        <v>3755</v>
      </c>
      <c r="L3528">
        <v>6.64</v>
      </c>
      <c r="M3528" s="453">
        <v>45706</v>
      </c>
      <c r="N3528">
        <v>6.64</v>
      </c>
      <c r="O3528">
        <v>7.2</v>
      </c>
      <c r="P3528">
        <v>59.76</v>
      </c>
    </row>
    <row r="3529" spans="1:16" x14ac:dyDescent="0.3">
      <c r="A3529">
        <v>25094</v>
      </c>
      <c r="B3529">
        <v>116</v>
      </c>
      <c r="C3529" t="s">
        <v>568</v>
      </c>
      <c r="D3529" s="453">
        <v>45717</v>
      </c>
      <c r="E3529">
        <v>19986</v>
      </c>
      <c r="F3529" t="s">
        <v>4484</v>
      </c>
      <c r="G3529">
        <v>2351</v>
      </c>
      <c r="H3529">
        <v>4</v>
      </c>
      <c r="I3529" t="s">
        <v>3931</v>
      </c>
      <c r="J3529" t="s">
        <v>3469</v>
      </c>
      <c r="K3529" t="s">
        <v>3755</v>
      </c>
      <c r="L3529">
        <v>0</v>
      </c>
      <c r="M3529" s="453">
        <v>45664</v>
      </c>
      <c r="N3529">
        <v>0</v>
      </c>
      <c r="O3529">
        <v>0</v>
      </c>
      <c r="P3529">
        <v>59.6</v>
      </c>
    </row>
    <row r="3530" spans="1:16" x14ac:dyDescent="0.3">
      <c r="A3530">
        <v>25115</v>
      </c>
      <c r="B3530">
        <v>116</v>
      </c>
      <c r="C3530" t="s">
        <v>568</v>
      </c>
      <c r="D3530" s="453">
        <v>45717</v>
      </c>
      <c r="E3530">
        <v>20965</v>
      </c>
      <c r="F3530" t="s">
        <v>3969</v>
      </c>
      <c r="G3530">
        <v>2013</v>
      </c>
      <c r="H3530">
        <v>4</v>
      </c>
      <c r="I3530" t="s">
        <v>3872</v>
      </c>
      <c r="J3530" t="s">
        <v>3469</v>
      </c>
      <c r="K3530" t="s">
        <v>3755</v>
      </c>
      <c r="L3530">
        <v>14.9</v>
      </c>
      <c r="M3530" s="453">
        <v>45706</v>
      </c>
      <c r="N3530">
        <v>14.9</v>
      </c>
      <c r="O3530">
        <v>14.9</v>
      </c>
      <c r="P3530">
        <v>59.6</v>
      </c>
    </row>
    <row r="3531" spans="1:16" x14ac:dyDescent="0.3">
      <c r="A3531">
        <v>25197</v>
      </c>
      <c r="B3531">
        <v>116</v>
      </c>
      <c r="C3531" t="s">
        <v>568</v>
      </c>
      <c r="D3531" s="453">
        <v>45717</v>
      </c>
      <c r="E3531">
        <v>22704</v>
      </c>
      <c r="F3531" t="s">
        <v>4039</v>
      </c>
      <c r="G3531">
        <v>3045</v>
      </c>
      <c r="H3531">
        <v>2.7</v>
      </c>
      <c r="I3531" t="s">
        <v>3892</v>
      </c>
      <c r="J3531" t="s">
        <v>3469</v>
      </c>
      <c r="K3531" t="s">
        <v>3755</v>
      </c>
      <c r="L3531">
        <v>0</v>
      </c>
      <c r="M3531" s="453">
        <v>45678</v>
      </c>
      <c r="N3531">
        <v>22</v>
      </c>
      <c r="O3531">
        <v>22</v>
      </c>
      <c r="P3531">
        <v>59.4</v>
      </c>
    </row>
    <row r="3532" spans="1:16" x14ac:dyDescent="0.3">
      <c r="A3532">
        <v>25255</v>
      </c>
      <c r="B3532">
        <v>116</v>
      </c>
      <c r="C3532" t="s">
        <v>568</v>
      </c>
      <c r="D3532" s="453">
        <v>45717</v>
      </c>
      <c r="E3532">
        <v>17916</v>
      </c>
      <c r="F3532" t="s">
        <v>4191</v>
      </c>
      <c r="G3532">
        <v>3648</v>
      </c>
      <c r="H3532">
        <v>2</v>
      </c>
      <c r="I3532" t="s">
        <v>3888</v>
      </c>
      <c r="J3532" t="s">
        <v>3497</v>
      </c>
      <c r="K3532" t="s">
        <v>3755</v>
      </c>
      <c r="L3532">
        <v>27.28</v>
      </c>
      <c r="M3532" s="453">
        <v>45699</v>
      </c>
      <c r="N3532">
        <v>27.28</v>
      </c>
      <c r="O3532">
        <v>27.28</v>
      </c>
      <c r="P3532">
        <v>54.56</v>
      </c>
    </row>
    <row r="3533" spans="1:16" x14ac:dyDescent="0.3">
      <c r="A3533">
        <v>25214</v>
      </c>
      <c r="B3533">
        <v>116</v>
      </c>
      <c r="C3533" t="s">
        <v>568</v>
      </c>
      <c r="D3533" s="453">
        <v>45717</v>
      </c>
      <c r="E3533">
        <v>18528</v>
      </c>
      <c r="F3533" t="s">
        <v>4108</v>
      </c>
      <c r="G3533">
        <v>3147</v>
      </c>
      <c r="H3533">
        <v>1</v>
      </c>
      <c r="I3533" t="s">
        <v>3878</v>
      </c>
      <c r="J3533" t="s">
        <v>3497</v>
      </c>
      <c r="K3533" t="s">
        <v>3755</v>
      </c>
      <c r="L3533">
        <v>54.27</v>
      </c>
      <c r="M3533" s="453">
        <v>45712</v>
      </c>
      <c r="N3533">
        <v>54.27</v>
      </c>
      <c r="O3533">
        <v>54.27</v>
      </c>
      <c r="P3533">
        <v>54.27</v>
      </c>
    </row>
    <row r="3534" spans="1:16" x14ac:dyDescent="0.3">
      <c r="A3534">
        <v>25208</v>
      </c>
      <c r="B3534">
        <v>116</v>
      </c>
      <c r="C3534" t="s">
        <v>568</v>
      </c>
      <c r="D3534" s="453">
        <v>45717</v>
      </c>
      <c r="E3534">
        <v>24599</v>
      </c>
      <c r="F3534" t="s">
        <v>3897</v>
      </c>
      <c r="G3534">
        <v>5676</v>
      </c>
      <c r="H3534">
        <v>0.5</v>
      </c>
      <c r="I3534" t="s">
        <v>3888</v>
      </c>
      <c r="J3534" t="s">
        <v>3497</v>
      </c>
      <c r="K3534" t="s">
        <v>3755</v>
      </c>
      <c r="L3534">
        <v>105.46</v>
      </c>
      <c r="M3534" s="453">
        <v>45699</v>
      </c>
      <c r="N3534">
        <v>105.46</v>
      </c>
      <c r="O3534">
        <v>105.05</v>
      </c>
      <c r="P3534">
        <v>52.73</v>
      </c>
    </row>
    <row r="3535" spans="1:16" x14ac:dyDescent="0.3">
      <c r="A3535">
        <v>25264</v>
      </c>
      <c r="B3535">
        <v>116</v>
      </c>
      <c r="C3535" t="s">
        <v>568</v>
      </c>
      <c r="D3535" s="453">
        <v>45717</v>
      </c>
      <c r="E3535">
        <v>17886</v>
      </c>
      <c r="F3535" t="s">
        <v>3935</v>
      </c>
      <c r="G3535">
        <v>3670</v>
      </c>
      <c r="H3535">
        <v>2</v>
      </c>
      <c r="I3535" t="s">
        <v>3888</v>
      </c>
      <c r="J3535" t="s">
        <v>3497</v>
      </c>
      <c r="K3535" t="s">
        <v>3755</v>
      </c>
      <c r="L3535">
        <v>26.28</v>
      </c>
      <c r="M3535" s="453">
        <v>45706</v>
      </c>
      <c r="N3535">
        <v>26.28</v>
      </c>
      <c r="O3535">
        <v>26.28</v>
      </c>
      <c r="P3535">
        <v>52.56</v>
      </c>
    </row>
    <row r="3536" spans="1:16" x14ac:dyDescent="0.3">
      <c r="A3536">
        <v>25098</v>
      </c>
      <c r="B3536">
        <v>116</v>
      </c>
      <c r="C3536" t="s">
        <v>568</v>
      </c>
      <c r="D3536" s="453">
        <v>45717</v>
      </c>
      <c r="E3536">
        <v>19941</v>
      </c>
      <c r="F3536" t="s">
        <v>4505</v>
      </c>
      <c r="G3536">
        <v>2363</v>
      </c>
      <c r="H3536">
        <v>12</v>
      </c>
      <c r="I3536" t="s">
        <v>3872</v>
      </c>
      <c r="J3536" t="s">
        <v>3469</v>
      </c>
      <c r="K3536" t="s">
        <v>3755</v>
      </c>
      <c r="L3536">
        <v>0</v>
      </c>
      <c r="M3536" s="453">
        <v>45523</v>
      </c>
      <c r="N3536">
        <v>4.3</v>
      </c>
      <c r="O3536">
        <v>10.19</v>
      </c>
      <c r="P3536">
        <v>51.6</v>
      </c>
    </row>
    <row r="3537" spans="1:16" x14ac:dyDescent="0.3">
      <c r="A3537">
        <v>25110</v>
      </c>
      <c r="B3537">
        <v>116</v>
      </c>
      <c r="C3537" t="s">
        <v>568</v>
      </c>
      <c r="D3537" s="453">
        <v>45717</v>
      </c>
      <c r="E3537">
        <v>24458</v>
      </c>
      <c r="F3537" t="s">
        <v>4506</v>
      </c>
      <c r="G3537">
        <v>2160</v>
      </c>
      <c r="H3537">
        <v>0.8</v>
      </c>
      <c r="I3537" t="s">
        <v>3892</v>
      </c>
      <c r="J3537" t="s">
        <v>3469</v>
      </c>
      <c r="K3537" t="s">
        <v>3755</v>
      </c>
      <c r="L3537">
        <v>0</v>
      </c>
      <c r="M3537" s="453">
        <v>45370</v>
      </c>
      <c r="N3537">
        <v>62</v>
      </c>
      <c r="O3537">
        <v>62</v>
      </c>
      <c r="P3537">
        <v>49.6</v>
      </c>
    </row>
    <row r="3538" spans="1:16" x14ac:dyDescent="0.3">
      <c r="A3538">
        <v>25130</v>
      </c>
      <c r="B3538">
        <v>116</v>
      </c>
      <c r="C3538" t="s">
        <v>568</v>
      </c>
      <c r="D3538" s="453">
        <v>45717</v>
      </c>
      <c r="E3538">
        <v>19494</v>
      </c>
      <c r="F3538" t="s">
        <v>4126</v>
      </c>
      <c r="G3538">
        <v>2716</v>
      </c>
      <c r="H3538">
        <v>2.6</v>
      </c>
      <c r="I3538" t="s">
        <v>3892</v>
      </c>
      <c r="J3538" t="s">
        <v>3469</v>
      </c>
      <c r="K3538" t="s">
        <v>3755</v>
      </c>
      <c r="L3538">
        <v>18.48</v>
      </c>
      <c r="M3538" s="453">
        <v>45712</v>
      </c>
      <c r="N3538">
        <v>19.5</v>
      </c>
      <c r="O3538">
        <v>19.5</v>
      </c>
      <c r="P3538">
        <v>48.05</v>
      </c>
    </row>
    <row r="3539" spans="1:16" x14ac:dyDescent="0.3">
      <c r="A3539">
        <v>25079</v>
      </c>
      <c r="B3539">
        <v>116</v>
      </c>
      <c r="C3539" t="s">
        <v>568</v>
      </c>
      <c r="D3539" s="453">
        <v>45717</v>
      </c>
      <c r="E3539">
        <v>20213</v>
      </c>
      <c r="F3539" t="s">
        <v>4059</v>
      </c>
      <c r="G3539">
        <v>2251</v>
      </c>
      <c r="H3539">
        <v>1.5</v>
      </c>
      <c r="I3539" t="s">
        <v>3888</v>
      </c>
      <c r="J3539" t="s">
        <v>3469</v>
      </c>
      <c r="K3539" t="s">
        <v>3755</v>
      </c>
      <c r="L3539">
        <v>31.8</v>
      </c>
      <c r="M3539" s="453">
        <v>45699</v>
      </c>
      <c r="N3539">
        <v>31.8</v>
      </c>
      <c r="O3539">
        <v>30.86</v>
      </c>
      <c r="P3539">
        <v>47.7</v>
      </c>
    </row>
    <row r="3540" spans="1:16" x14ac:dyDescent="0.3">
      <c r="A3540">
        <v>25215</v>
      </c>
      <c r="B3540">
        <v>116</v>
      </c>
      <c r="C3540" t="s">
        <v>568</v>
      </c>
      <c r="D3540" s="453">
        <v>45717</v>
      </c>
      <c r="E3540">
        <v>18545</v>
      </c>
      <c r="F3540" t="s">
        <v>4099</v>
      </c>
      <c r="G3540">
        <v>3134</v>
      </c>
      <c r="H3540">
        <v>1</v>
      </c>
      <c r="I3540" t="s">
        <v>3878</v>
      </c>
      <c r="J3540" t="s">
        <v>3497</v>
      </c>
      <c r="K3540" t="s">
        <v>3755</v>
      </c>
      <c r="L3540">
        <v>47.5</v>
      </c>
      <c r="M3540" s="453">
        <v>45699</v>
      </c>
      <c r="N3540">
        <v>47.5</v>
      </c>
      <c r="O3540">
        <v>45.91</v>
      </c>
      <c r="P3540">
        <v>47.5</v>
      </c>
    </row>
    <row r="3541" spans="1:16" x14ac:dyDescent="0.3">
      <c r="A3541">
        <v>25149</v>
      </c>
      <c r="B3541">
        <v>116</v>
      </c>
      <c r="C3541" t="s">
        <v>568</v>
      </c>
      <c r="D3541" s="453">
        <v>45717</v>
      </c>
      <c r="E3541">
        <v>19740</v>
      </c>
      <c r="F3541" t="s">
        <v>3933</v>
      </c>
      <c r="G3541">
        <v>2513</v>
      </c>
      <c r="H3541">
        <v>6</v>
      </c>
      <c r="I3541" t="s">
        <v>3892</v>
      </c>
      <c r="J3541" t="s">
        <v>3469</v>
      </c>
      <c r="K3541" t="s">
        <v>3755</v>
      </c>
      <c r="L3541">
        <v>7.54</v>
      </c>
      <c r="M3541" s="453">
        <v>45715</v>
      </c>
      <c r="N3541">
        <v>6.6</v>
      </c>
      <c r="O3541">
        <v>6.62</v>
      </c>
      <c r="P3541">
        <v>45.24</v>
      </c>
    </row>
    <row r="3542" spans="1:16" x14ac:dyDescent="0.3">
      <c r="A3542">
        <v>25131</v>
      </c>
      <c r="B3542">
        <v>116</v>
      </c>
      <c r="C3542" t="s">
        <v>568</v>
      </c>
      <c r="D3542" s="453">
        <v>45717</v>
      </c>
      <c r="E3542">
        <v>19779</v>
      </c>
      <c r="F3542" t="s">
        <v>4069</v>
      </c>
      <c r="G3542">
        <v>2479</v>
      </c>
      <c r="H3542">
        <v>1</v>
      </c>
      <c r="I3542" t="s">
        <v>3892</v>
      </c>
      <c r="J3542" t="s">
        <v>3469</v>
      </c>
      <c r="K3542" t="s">
        <v>3755</v>
      </c>
      <c r="L3542">
        <v>45</v>
      </c>
      <c r="M3542" s="453">
        <v>45708</v>
      </c>
      <c r="N3542">
        <v>45</v>
      </c>
      <c r="O3542">
        <v>40</v>
      </c>
      <c r="P3542">
        <v>45</v>
      </c>
    </row>
    <row r="3543" spans="1:16" x14ac:dyDescent="0.3">
      <c r="A3543">
        <v>25138</v>
      </c>
      <c r="B3543">
        <v>116</v>
      </c>
      <c r="C3543" t="s">
        <v>568</v>
      </c>
      <c r="D3543" s="453">
        <v>45717</v>
      </c>
      <c r="E3543">
        <v>24230</v>
      </c>
      <c r="F3543" t="s">
        <v>4018</v>
      </c>
      <c r="G3543">
        <v>2622</v>
      </c>
      <c r="H3543">
        <v>2</v>
      </c>
      <c r="I3543" t="s">
        <v>3892</v>
      </c>
      <c r="J3543" t="s">
        <v>3469</v>
      </c>
      <c r="K3543" t="s">
        <v>3755</v>
      </c>
      <c r="L3543">
        <v>22.33</v>
      </c>
      <c r="M3543" s="453">
        <v>45715</v>
      </c>
      <c r="N3543">
        <v>22.44</v>
      </c>
      <c r="O3543">
        <v>22.44</v>
      </c>
      <c r="P3543">
        <v>44.66</v>
      </c>
    </row>
    <row r="3544" spans="1:16" x14ac:dyDescent="0.3">
      <c r="A3544">
        <v>25116</v>
      </c>
      <c r="B3544">
        <v>116</v>
      </c>
      <c r="C3544" t="s">
        <v>568</v>
      </c>
      <c r="D3544" s="453">
        <v>45717</v>
      </c>
      <c r="E3544">
        <v>20954</v>
      </c>
      <c r="F3544" t="s">
        <v>4452</v>
      </c>
      <c r="G3544">
        <v>2021</v>
      </c>
      <c r="H3544">
        <v>1</v>
      </c>
      <c r="I3544" t="s">
        <v>3878</v>
      </c>
      <c r="J3544" t="s">
        <v>3469</v>
      </c>
      <c r="K3544" t="s">
        <v>3755</v>
      </c>
      <c r="L3544">
        <v>0</v>
      </c>
      <c r="M3544" s="453">
        <v>-693593</v>
      </c>
      <c r="N3544">
        <v>0</v>
      </c>
      <c r="O3544">
        <v>43.99</v>
      </c>
      <c r="P3544">
        <v>43.99</v>
      </c>
    </row>
    <row r="3545" spans="1:16" x14ac:dyDescent="0.3">
      <c r="A3545">
        <v>25173</v>
      </c>
      <c r="B3545">
        <v>116</v>
      </c>
      <c r="C3545" t="s">
        <v>568</v>
      </c>
      <c r="D3545" s="453">
        <v>45717</v>
      </c>
      <c r="E3545">
        <v>19415</v>
      </c>
      <c r="F3545" t="s">
        <v>3941</v>
      </c>
      <c r="G3545">
        <v>2759</v>
      </c>
      <c r="H3545">
        <v>6</v>
      </c>
      <c r="I3545" t="s">
        <v>3872</v>
      </c>
      <c r="J3545" t="s">
        <v>3469</v>
      </c>
      <c r="K3545" t="s">
        <v>3755</v>
      </c>
      <c r="L3545">
        <v>7.3</v>
      </c>
      <c r="M3545" s="453">
        <v>45706</v>
      </c>
      <c r="N3545">
        <v>7.3</v>
      </c>
      <c r="O3545">
        <v>7.25</v>
      </c>
      <c r="P3545">
        <v>43.8</v>
      </c>
    </row>
    <row r="3546" spans="1:16" x14ac:dyDescent="0.3">
      <c r="A3546">
        <v>25132</v>
      </c>
      <c r="B3546">
        <v>116</v>
      </c>
      <c r="C3546" t="s">
        <v>568</v>
      </c>
      <c r="D3546" s="453">
        <v>45717</v>
      </c>
      <c r="E3546">
        <v>24509</v>
      </c>
      <c r="F3546" t="s">
        <v>3906</v>
      </c>
      <c r="G3546">
        <v>2607</v>
      </c>
      <c r="H3546">
        <v>14</v>
      </c>
      <c r="I3546" t="s">
        <v>3892</v>
      </c>
      <c r="J3546" t="s">
        <v>3469</v>
      </c>
      <c r="K3546" t="s">
        <v>3755</v>
      </c>
      <c r="L3546">
        <v>3.08</v>
      </c>
      <c r="M3546" s="453">
        <v>45715</v>
      </c>
      <c r="N3546">
        <v>3.3</v>
      </c>
      <c r="O3546">
        <v>3.24</v>
      </c>
      <c r="P3546">
        <v>43.12</v>
      </c>
    </row>
    <row r="3547" spans="1:16" x14ac:dyDescent="0.3">
      <c r="A3547">
        <v>25206</v>
      </c>
      <c r="B3547">
        <v>116</v>
      </c>
      <c r="C3547" t="s">
        <v>568</v>
      </c>
      <c r="D3547" s="453">
        <v>45717</v>
      </c>
      <c r="E3547">
        <v>18986</v>
      </c>
      <c r="F3547" t="s">
        <v>4501</v>
      </c>
      <c r="G3547">
        <v>2901</v>
      </c>
      <c r="H3547">
        <v>4.5</v>
      </c>
      <c r="I3547" t="s">
        <v>3892</v>
      </c>
      <c r="J3547" t="s">
        <v>3469</v>
      </c>
      <c r="K3547" t="s">
        <v>3755</v>
      </c>
      <c r="L3547">
        <v>0</v>
      </c>
      <c r="M3547" s="453">
        <v>45674</v>
      </c>
      <c r="N3547">
        <v>9.58</v>
      </c>
      <c r="O3547">
        <v>12.89</v>
      </c>
      <c r="P3547">
        <v>43.11</v>
      </c>
    </row>
    <row r="3548" spans="1:16" x14ac:dyDescent="0.3">
      <c r="A3548">
        <v>25239</v>
      </c>
      <c r="B3548">
        <v>116</v>
      </c>
      <c r="C3548" t="s">
        <v>568</v>
      </c>
      <c r="D3548" s="453">
        <v>45717</v>
      </c>
      <c r="E3548">
        <v>18200</v>
      </c>
      <c r="F3548" t="s">
        <v>4032</v>
      </c>
      <c r="G3548">
        <v>3426</v>
      </c>
      <c r="H3548">
        <v>1</v>
      </c>
      <c r="I3548" t="s">
        <v>3878</v>
      </c>
      <c r="J3548" t="s">
        <v>3497</v>
      </c>
      <c r="K3548" t="s">
        <v>3755</v>
      </c>
      <c r="L3548">
        <v>41.18</v>
      </c>
      <c r="M3548" s="453">
        <v>45699</v>
      </c>
      <c r="N3548">
        <v>41.18</v>
      </c>
      <c r="O3548">
        <v>41.18</v>
      </c>
      <c r="P3548">
        <v>41.18</v>
      </c>
    </row>
    <row r="3549" spans="1:16" x14ac:dyDescent="0.3">
      <c r="A3549">
        <v>25167</v>
      </c>
      <c r="B3549">
        <v>116</v>
      </c>
      <c r="C3549" t="s">
        <v>568</v>
      </c>
      <c r="D3549" s="453">
        <v>45717</v>
      </c>
      <c r="E3549">
        <v>19544</v>
      </c>
      <c r="F3549" t="s">
        <v>4473</v>
      </c>
      <c r="G3549">
        <v>2672</v>
      </c>
      <c r="H3549">
        <v>6.3</v>
      </c>
      <c r="I3549" t="s">
        <v>3892</v>
      </c>
      <c r="J3549" t="s">
        <v>3469</v>
      </c>
      <c r="K3549" t="s">
        <v>3755</v>
      </c>
      <c r="L3549">
        <v>6.44</v>
      </c>
      <c r="M3549" s="453">
        <v>45715</v>
      </c>
      <c r="N3549">
        <v>5.5</v>
      </c>
      <c r="O3549">
        <v>0.65</v>
      </c>
      <c r="P3549">
        <v>40.57</v>
      </c>
    </row>
    <row r="3550" spans="1:16" x14ac:dyDescent="0.3">
      <c r="A3550">
        <v>25244</v>
      </c>
      <c r="B3550">
        <v>116</v>
      </c>
      <c r="C3550" t="s">
        <v>568</v>
      </c>
      <c r="D3550" s="453">
        <v>45717</v>
      </c>
      <c r="E3550">
        <v>18030</v>
      </c>
      <c r="F3550" t="s">
        <v>4033</v>
      </c>
      <c r="G3550">
        <v>3568</v>
      </c>
      <c r="H3550">
        <v>1.5</v>
      </c>
      <c r="I3550" t="s">
        <v>3878</v>
      </c>
      <c r="J3550" t="s">
        <v>3497</v>
      </c>
      <c r="K3550" t="s">
        <v>3755</v>
      </c>
      <c r="L3550">
        <v>0</v>
      </c>
      <c r="M3550" s="453">
        <v>45573</v>
      </c>
      <c r="N3550">
        <v>26.9</v>
      </c>
      <c r="O3550">
        <v>27.5</v>
      </c>
      <c r="P3550">
        <v>40.35</v>
      </c>
    </row>
    <row r="3551" spans="1:16" x14ac:dyDescent="0.3">
      <c r="A3551">
        <v>25261</v>
      </c>
      <c r="B3551">
        <v>116</v>
      </c>
      <c r="C3551" t="s">
        <v>568</v>
      </c>
      <c r="D3551" s="453">
        <v>45717</v>
      </c>
      <c r="E3551">
        <v>24409</v>
      </c>
      <c r="F3551" t="s">
        <v>4036</v>
      </c>
      <c r="G3551">
        <v>3665</v>
      </c>
      <c r="H3551">
        <v>18</v>
      </c>
      <c r="I3551" t="s">
        <v>3872</v>
      </c>
      <c r="J3551" t="s">
        <v>3497</v>
      </c>
      <c r="K3551" t="s">
        <v>3755</v>
      </c>
      <c r="L3551">
        <v>0</v>
      </c>
      <c r="M3551" s="453">
        <v>45551</v>
      </c>
      <c r="N3551">
        <v>2.19</v>
      </c>
      <c r="O3551">
        <v>2.19</v>
      </c>
      <c r="P3551">
        <v>39.42</v>
      </c>
    </row>
    <row r="3552" spans="1:16" x14ac:dyDescent="0.3">
      <c r="A3552">
        <v>25267</v>
      </c>
      <c r="B3552">
        <v>116</v>
      </c>
      <c r="C3552" t="s">
        <v>568</v>
      </c>
      <c r="D3552" s="453">
        <v>45717</v>
      </c>
      <c r="E3552">
        <v>24468</v>
      </c>
      <c r="F3552" t="s">
        <v>4482</v>
      </c>
      <c r="G3552">
        <v>3675</v>
      </c>
      <c r="H3552">
        <v>18</v>
      </c>
      <c r="I3552" t="s">
        <v>3872</v>
      </c>
      <c r="J3552" t="s">
        <v>3497</v>
      </c>
      <c r="K3552" t="s">
        <v>3755</v>
      </c>
      <c r="L3552">
        <v>0</v>
      </c>
      <c r="M3552" s="453">
        <v>45544</v>
      </c>
      <c r="N3552">
        <v>2.19</v>
      </c>
      <c r="O3552">
        <v>2.19</v>
      </c>
      <c r="P3552">
        <v>39.42</v>
      </c>
    </row>
    <row r="3553" spans="1:16" x14ac:dyDescent="0.3">
      <c r="A3553">
        <v>25154</v>
      </c>
      <c r="B3553">
        <v>116</v>
      </c>
      <c r="C3553" t="s">
        <v>568</v>
      </c>
      <c r="D3553" s="453">
        <v>45717</v>
      </c>
      <c r="E3553">
        <v>19583</v>
      </c>
      <c r="F3553" t="s">
        <v>4076</v>
      </c>
      <c r="G3553">
        <v>2639</v>
      </c>
      <c r="H3553">
        <v>1</v>
      </c>
      <c r="I3553" t="s">
        <v>3892</v>
      </c>
      <c r="J3553" t="s">
        <v>3469</v>
      </c>
      <c r="K3553" t="s">
        <v>3755</v>
      </c>
      <c r="L3553">
        <v>39</v>
      </c>
      <c r="M3553" s="453">
        <v>45712</v>
      </c>
      <c r="N3553">
        <v>39</v>
      </c>
      <c r="O3553">
        <v>35</v>
      </c>
      <c r="P3553">
        <v>39</v>
      </c>
    </row>
    <row r="3554" spans="1:16" x14ac:dyDescent="0.3">
      <c r="A3554">
        <v>25256</v>
      </c>
      <c r="B3554">
        <v>116</v>
      </c>
      <c r="C3554" t="s">
        <v>568</v>
      </c>
      <c r="D3554" s="453">
        <v>45717</v>
      </c>
      <c r="E3554">
        <v>17942</v>
      </c>
      <c r="F3554" t="s">
        <v>4035</v>
      </c>
      <c r="G3554">
        <v>3630</v>
      </c>
      <c r="H3554">
        <v>3</v>
      </c>
      <c r="I3554" t="s">
        <v>3872</v>
      </c>
      <c r="J3554" t="s">
        <v>3497</v>
      </c>
      <c r="K3554" t="s">
        <v>3755</v>
      </c>
      <c r="L3554">
        <v>0</v>
      </c>
      <c r="M3554" s="453">
        <v>45567</v>
      </c>
      <c r="N3554">
        <v>13</v>
      </c>
      <c r="O3554">
        <v>13</v>
      </c>
      <c r="P3554">
        <v>39</v>
      </c>
    </row>
    <row r="3555" spans="1:16" x14ac:dyDescent="0.3">
      <c r="A3555">
        <v>25060</v>
      </c>
      <c r="B3555">
        <v>116</v>
      </c>
      <c r="C3555" t="s">
        <v>568</v>
      </c>
      <c r="D3555" s="453">
        <v>45717</v>
      </c>
      <c r="E3555">
        <v>20717</v>
      </c>
      <c r="F3555" t="s">
        <v>4055</v>
      </c>
      <c r="G3555">
        <v>2097</v>
      </c>
      <c r="H3555">
        <v>1</v>
      </c>
      <c r="I3555" t="s">
        <v>3872</v>
      </c>
      <c r="J3555" t="s">
        <v>3469</v>
      </c>
      <c r="K3555" t="s">
        <v>3755</v>
      </c>
      <c r="L3555">
        <v>38.89</v>
      </c>
      <c r="M3555" s="453">
        <v>45713</v>
      </c>
      <c r="N3555">
        <v>38.89</v>
      </c>
      <c r="O3555">
        <v>38.89</v>
      </c>
      <c r="P3555">
        <v>38.89</v>
      </c>
    </row>
    <row r="3556" spans="1:16" x14ac:dyDescent="0.3">
      <c r="A3556">
        <v>25194</v>
      </c>
      <c r="B3556">
        <v>116</v>
      </c>
      <c r="C3556" t="s">
        <v>568</v>
      </c>
      <c r="D3556" s="453">
        <v>45717</v>
      </c>
      <c r="E3556">
        <v>24343</v>
      </c>
      <c r="F3556" t="s">
        <v>3990</v>
      </c>
      <c r="G3556">
        <v>3044</v>
      </c>
      <c r="H3556">
        <v>1.3</v>
      </c>
      <c r="I3556" t="s">
        <v>3892</v>
      </c>
      <c r="J3556" t="s">
        <v>3469</v>
      </c>
      <c r="K3556" t="s">
        <v>3755</v>
      </c>
      <c r="L3556">
        <v>29.8</v>
      </c>
      <c r="M3556" s="453">
        <v>45706</v>
      </c>
      <c r="N3556">
        <v>29.8</v>
      </c>
      <c r="O3556">
        <v>29.8</v>
      </c>
      <c r="P3556">
        <v>38.74</v>
      </c>
    </row>
    <row r="3557" spans="1:16" x14ac:dyDescent="0.3">
      <c r="A3557">
        <v>25122</v>
      </c>
      <c r="B3557">
        <v>116</v>
      </c>
      <c r="C3557" t="s">
        <v>568</v>
      </c>
      <c r="D3557" s="453">
        <v>45717</v>
      </c>
      <c r="E3557">
        <v>19649</v>
      </c>
      <c r="F3557" t="s">
        <v>4015</v>
      </c>
      <c r="G3557">
        <v>2589</v>
      </c>
      <c r="H3557">
        <v>1.5</v>
      </c>
      <c r="I3557" t="s">
        <v>3892</v>
      </c>
      <c r="J3557" t="s">
        <v>3469</v>
      </c>
      <c r="K3557" t="s">
        <v>3755</v>
      </c>
      <c r="L3557">
        <v>25.69</v>
      </c>
      <c r="M3557" s="453">
        <v>45712</v>
      </c>
      <c r="N3557">
        <v>24.9</v>
      </c>
      <c r="O3557">
        <v>26.75</v>
      </c>
      <c r="P3557">
        <v>38.54</v>
      </c>
    </row>
    <row r="3558" spans="1:16" x14ac:dyDescent="0.3">
      <c r="A3558">
        <v>25117</v>
      </c>
      <c r="B3558">
        <v>116</v>
      </c>
      <c r="C3558" t="s">
        <v>568</v>
      </c>
      <c r="D3558" s="453">
        <v>45717</v>
      </c>
      <c r="E3558">
        <v>19787</v>
      </c>
      <c r="F3558" t="s">
        <v>3940</v>
      </c>
      <c r="G3558">
        <v>2471</v>
      </c>
      <c r="H3558">
        <v>6</v>
      </c>
      <c r="I3558" t="s">
        <v>3892</v>
      </c>
      <c r="J3558" t="s">
        <v>3469</v>
      </c>
      <c r="K3558" t="s">
        <v>3755</v>
      </c>
      <c r="L3558">
        <v>6.4</v>
      </c>
      <c r="M3558" s="453">
        <v>45715</v>
      </c>
      <c r="N3558">
        <v>6.2</v>
      </c>
      <c r="O3558">
        <v>7.05</v>
      </c>
      <c r="P3558">
        <v>38.4</v>
      </c>
    </row>
    <row r="3559" spans="1:16" x14ac:dyDescent="0.3">
      <c r="A3559">
        <v>25041</v>
      </c>
      <c r="B3559">
        <v>116</v>
      </c>
      <c r="C3559" t="s">
        <v>568</v>
      </c>
      <c r="D3559" s="453">
        <v>45717</v>
      </c>
      <c r="E3559">
        <v>24456</v>
      </c>
      <c r="F3559" t="s">
        <v>4048</v>
      </c>
      <c r="G3559">
        <v>1965</v>
      </c>
      <c r="H3559">
        <v>1.7</v>
      </c>
      <c r="I3559" t="s">
        <v>3892</v>
      </c>
      <c r="J3559" t="s">
        <v>3469</v>
      </c>
      <c r="K3559" t="s">
        <v>3755</v>
      </c>
      <c r="L3559">
        <v>22.27</v>
      </c>
      <c r="M3559" s="453">
        <v>45708</v>
      </c>
      <c r="N3559">
        <v>22.1</v>
      </c>
      <c r="O3559">
        <v>22.44</v>
      </c>
      <c r="P3559">
        <v>37.86</v>
      </c>
    </row>
    <row r="3560" spans="1:16" x14ac:dyDescent="0.3">
      <c r="A3560">
        <v>25083</v>
      </c>
      <c r="B3560">
        <v>116</v>
      </c>
      <c r="C3560" t="s">
        <v>568</v>
      </c>
      <c r="D3560" s="453">
        <v>45717</v>
      </c>
      <c r="E3560">
        <v>24328</v>
      </c>
      <c r="F3560" t="s">
        <v>4456</v>
      </c>
      <c r="G3560">
        <v>2146</v>
      </c>
      <c r="H3560">
        <v>1.8</v>
      </c>
      <c r="I3560" t="s">
        <v>3892</v>
      </c>
      <c r="J3560" t="s">
        <v>3469</v>
      </c>
      <c r="K3560" t="s">
        <v>3755</v>
      </c>
      <c r="L3560">
        <v>0</v>
      </c>
      <c r="M3560" s="453">
        <v>-693593</v>
      </c>
      <c r="N3560">
        <v>0</v>
      </c>
      <c r="O3560">
        <v>20.9</v>
      </c>
      <c r="P3560">
        <v>37.619999999999997</v>
      </c>
    </row>
    <row r="3561" spans="1:16" x14ac:dyDescent="0.3">
      <c r="A3561">
        <v>25229</v>
      </c>
      <c r="B3561">
        <v>116</v>
      </c>
      <c r="C3561" t="s">
        <v>568</v>
      </c>
      <c r="D3561" s="453">
        <v>45717</v>
      </c>
      <c r="E3561">
        <v>18317</v>
      </c>
      <c r="F3561" t="s">
        <v>4045</v>
      </c>
      <c r="G3561">
        <v>3316</v>
      </c>
      <c r="H3561">
        <v>1</v>
      </c>
      <c r="I3561" t="s">
        <v>3878</v>
      </c>
      <c r="J3561" t="s">
        <v>3497</v>
      </c>
      <c r="K3561" t="s">
        <v>3755</v>
      </c>
      <c r="L3561">
        <v>37.57</v>
      </c>
      <c r="M3561" s="453">
        <v>45699</v>
      </c>
      <c r="N3561">
        <v>37.57</v>
      </c>
      <c r="O3561">
        <v>35.909999999999997</v>
      </c>
      <c r="P3561">
        <v>37.57</v>
      </c>
    </row>
    <row r="3562" spans="1:16" x14ac:dyDescent="0.3">
      <c r="A3562">
        <v>25067</v>
      </c>
      <c r="B3562">
        <v>116</v>
      </c>
      <c r="C3562" t="s">
        <v>568</v>
      </c>
      <c r="D3562" s="453">
        <v>45717</v>
      </c>
      <c r="E3562">
        <v>25167</v>
      </c>
      <c r="F3562" t="s">
        <v>3951</v>
      </c>
      <c r="G3562">
        <v>5930</v>
      </c>
      <c r="H3562">
        <v>2</v>
      </c>
      <c r="I3562" t="s">
        <v>3892</v>
      </c>
      <c r="J3562" t="s">
        <v>3469</v>
      </c>
      <c r="K3562" t="s">
        <v>3755</v>
      </c>
      <c r="L3562">
        <v>18.7</v>
      </c>
      <c r="M3562" s="453">
        <v>45712</v>
      </c>
      <c r="N3562">
        <v>17.5</v>
      </c>
      <c r="O3562">
        <v>7.9</v>
      </c>
      <c r="P3562">
        <v>37.4</v>
      </c>
    </row>
    <row r="3563" spans="1:16" x14ac:dyDescent="0.3">
      <c r="A3563">
        <v>25139</v>
      </c>
      <c r="B3563">
        <v>116</v>
      </c>
      <c r="C3563" t="s">
        <v>568</v>
      </c>
      <c r="D3563" s="453">
        <v>45717</v>
      </c>
      <c r="E3563">
        <v>19765</v>
      </c>
      <c r="F3563" t="s">
        <v>4071</v>
      </c>
      <c r="G3563">
        <v>2488</v>
      </c>
      <c r="H3563">
        <v>1</v>
      </c>
      <c r="I3563" t="s">
        <v>3892</v>
      </c>
      <c r="J3563" t="s">
        <v>3469</v>
      </c>
      <c r="K3563" t="s">
        <v>3755</v>
      </c>
      <c r="L3563">
        <v>0</v>
      </c>
      <c r="M3563" s="453">
        <v>45680</v>
      </c>
      <c r="N3563">
        <v>37.26</v>
      </c>
      <c r="O3563">
        <v>30</v>
      </c>
      <c r="P3563">
        <v>37.26</v>
      </c>
    </row>
    <row r="3564" spans="1:16" x14ac:dyDescent="0.3">
      <c r="A3564">
        <v>25263</v>
      </c>
      <c r="B3564">
        <v>116</v>
      </c>
      <c r="C3564" t="s">
        <v>568</v>
      </c>
      <c r="D3564" s="453">
        <v>45717</v>
      </c>
      <c r="E3564">
        <v>24414</v>
      </c>
      <c r="F3564" t="s">
        <v>3943</v>
      </c>
      <c r="G3564">
        <v>3670</v>
      </c>
      <c r="H3564">
        <v>17</v>
      </c>
      <c r="I3564" t="s">
        <v>3872</v>
      </c>
      <c r="J3564" t="s">
        <v>3497</v>
      </c>
      <c r="K3564" t="s">
        <v>3755</v>
      </c>
      <c r="L3564">
        <v>0</v>
      </c>
      <c r="M3564" s="453">
        <v>45544</v>
      </c>
      <c r="N3564">
        <v>2.19</v>
      </c>
      <c r="O3564">
        <v>2.19</v>
      </c>
      <c r="P3564">
        <v>37.229999999999997</v>
      </c>
    </row>
    <row r="3565" spans="1:16" x14ac:dyDescent="0.3">
      <c r="A3565">
        <v>25069</v>
      </c>
      <c r="B3565">
        <v>116</v>
      </c>
      <c r="C3565" t="s">
        <v>568</v>
      </c>
      <c r="D3565" s="453">
        <v>45717</v>
      </c>
      <c r="E3565">
        <v>20402</v>
      </c>
      <c r="F3565" t="s">
        <v>4507</v>
      </c>
      <c r="G3565">
        <v>2191</v>
      </c>
      <c r="H3565">
        <v>3</v>
      </c>
      <c r="I3565" t="s">
        <v>3872</v>
      </c>
      <c r="J3565" t="s">
        <v>3469</v>
      </c>
      <c r="K3565" t="s">
        <v>3755</v>
      </c>
      <c r="L3565">
        <v>0</v>
      </c>
      <c r="M3565" s="453">
        <v>-693593</v>
      </c>
      <c r="N3565">
        <v>0</v>
      </c>
      <c r="O3565">
        <v>12.3</v>
      </c>
      <c r="P3565">
        <v>36.9</v>
      </c>
    </row>
    <row r="3566" spans="1:16" x14ac:dyDescent="0.3">
      <c r="A3566">
        <v>25213</v>
      </c>
      <c r="B3566">
        <v>116</v>
      </c>
      <c r="C3566" t="s">
        <v>568</v>
      </c>
      <c r="D3566" s="453">
        <v>45717</v>
      </c>
      <c r="E3566">
        <v>18547</v>
      </c>
      <c r="F3566" t="s">
        <v>3962</v>
      </c>
      <c r="G3566">
        <v>3132</v>
      </c>
      <c r="H3566">
        <v>1</v>
      </c>
      <c r="I3566" t="s">
        <v>3878</v>
      </c>
      <c r="J3566" t="s">
        <v>3497</v>
      </c>
      <c r="K3566" t="s">
        <v>3755</v>
      </c>
      <c r="L3566">
        <v>0</v>
      </c>
      <c r="M3566" s="453">
        <v>-693593</v>
      </c>
      <c r="N3566">
        <v>0</v>
      </c>
      <c r="O3566">
        <v>35.979999999999997</v>
      </c>
      <c r="P3566">
        <v>36.9</v>
      </c>
    </row>
    <row r="3567" spans="1:16" x14ac:dyDescent="0.3">
      <c r="A3567">
        <v>25068</v>
      </c>
      <c r="B3567">
        <v>116</v>
      </c>
      <c r="C3567" t="s">
        <v>568</v>
      </c>
      <c r="D3567" s="453">
        <v>45717</v>
      </c>
      <c r="E3567">
        <v>20395</v>
      </c>
      <c r="F3567" t="s">
        <v>4057</v>
      </c>
      <c r="G3567">
        <v>2192</v>
      </c>
      <c r="H3567">
        <v>1.5</v>
      </c>
      <c r="I3567" t="s">
        <v>3872</v>
      </c>
      <c r="J3567" t="s">
        <v>3469</v>
      </c>
      <c r="K3567" t="s">
        <v>3755</v>
      </c>
      <c r="L3567">
        <v>0</v>
      </c>
      <c r="M3567" s="453">
        <v>45677</v>
      </c>
      <c r="N3567">
        <v>24.3</v>
      </c>
      <c r="O3567">
        <v>24.3</v>
      </c>
      <c r="P3567">
        <v>36.450000000000003</v>
      </c>
    </row>
    <row r="3568" spans="1:16" x14ac:dyDescent="0.3">
      <c r="A3568">
        <v>25152</v>
      </c>
      <c r="B3568">
        <v>116</v>
      </c>
      <c r="C3568" t="s">
        <v>568</v>
      </c>
      <c r="D3568" s="453">
        <v>45717</v>
      </c>
      <c r="E3568">
        <v>23095</v>
      </c>
      <c r="F3568" t="s">
        <v>3882</v>
      </c>
      <c r="G3568">
        <v>2754</v>
      </c>
      <c r="H3568">
        <v>26</v>
      </c>
      <c r="I3568" t="s">
        <v>3872</v>
      </c>
      <c r="J3568" t="s">
        <v>3469</v>
      </c>
      <c r="K3568" t="s">
        <v>3755</v>
      </c>
      <c r="L3568">
        <v>1.39</v>
      </c>
      <c r="M3568" s="453">
        <v>45715</v>
      </c>
      <c r="N3568">
        <v>1.4</v>
      </c>
      <c r="O3568">
        <v>0.01</v>
      </c>
      <c r="P3568">
        <v>36.14</v>
      </c>
    </row>
    <row r="3569" spans="1:16" x14ac:dyDescent="0.3">
      <c r="A3569">
        <v>25260</v>
      </c>
      <c r="B3569">
        <v>116</v>
      </c>
      <c r="C3569" t="s">
        <v>568</v>
      </c>
      <c r="D3569" s="453">
        <v>45717</v>
      </c>
      <c r="E3569">
        <v>17896</v>
      </c>
      <c r="F3569" t="s">
        <v>3972</v>
      </c>
      <c r="G3569">
        <v>3664</v>
      </c>
      <c r="H3569">
        <v>1</v>
      </c>
      <c r="I3569" t="s">
        <v>3888</v>
      </c>
      <c r="J3569" t="s">
        <v>3497</v>
      </c>
      <c r="K3569" t="s">
        <v>3755</v>
      </c>
      <c r="L3569">
        <v>35.76</v>
      </c>
      <c r="M3569" s="453">
        <v>45706</v>
      </c>
      <c r="N3569">
        <v>35.76</v>
      </c>
      <c r="O3569">
        <v>35.76</v>
      </c>
      <c r="P3569">
        <v>35.76</v>
      </c>
    </row>
    <row r="3570" spans="1:16" x14ac:dyDescent="0.3">
      <c r="A3570">
        <v>25070</v>
      </c>
      <c r="B3570">
        <v>116</v>
      </c>
      <c r="C3570" t="s">
        <v>568</v>
      </c>
      <c r="D3570" s="453">
        <v>45717</v>
      </c>
      <c r="E3570">
        <v>25720</v>
      </c>
      <c r="F3570" t="s">
        <v>3926</v>
      </c>
      <c r="G3570">
        <v>2197</v>
      </c>
      <c r="H3570">
        <v>2</v>
      </c>
      <c r="I3570" t="s">
        <v>3892</v>
      </c>
      <c r="J3570" t="s">
        <v>3469</v>
      </c>
      <c r="K3570" t="s">
        <v>3755</v>
      </c>
      <c r="L3570">
        <v>0</v>
      </c>
      <c r="M3570" s="453">
        <v>-693593</v>
      </c>
      <c r="N3570">
        <v>0</v>
      </c>
      <c r="O3570">
        <v>0</v>
      </c>
      <c r="P3570">
        <v>33.799999999999997</v>
      </c>
    </row>
    <row r="3571" spans="1:16" x14ac:dyDescent="0.3">
      <c r="A3571">
        <v>25224</v>
      </c>
      <c r="B3571">
        <v>116</v>
      </c>
      <c r="C3571" t="s">
        <v>568</v>
      </c>
      <c r="D3571" s="453">
        <v>45717</v>
      </c>
      <c r="E3571">
        <v>18395</v>
      </c>
      <c r="F3571" t="s">
        <v>4085</v>
      </c>
      <c r="G3571">
        <v>3245</v>
      </c>
      <c r="H3571">
        <v>1</v>
      </c>
      <c r="I3571" t="s">
        <v>3878</v>
      </c>
      <c r="J3571" t="s">
        <v>3497</v>
      </c>
      <c r="K3571" t="s">
        <v>3755</v>
      </c>
      <c r="L3571">
        <v>0</v>
      </c>
      <c r="M3571" s="453">
        <v>45569</v>
      </c>
      <c r="N3571">
        <v>32.43</v>
      </c>
      <c r="O3571">
        <v>33.340000000000003</v>
      </c>
      <c r="P3571">
        <v>32.43</v>
      </c>
    </row>
    <row r="3572" spans="1:16" x14ac:dyDescent="0.3">
      <c r="A3572">
        <v>25121</v>
      </c>
      <c r="B3572">
        <v>116</v>
      </c>
      <c r="C3572" t="s">
        <v>568</v>
      </c>
      <c r="D3572" s="453">
        <v>45717</v>
      </c>
      <c r="E3572">
        <v>19652</v>
      </c>
      <c r="F3572" t="s">
        <v>4014</v>
      </c>
      <c r="G3572">
        <v>2587</v>
      </c>
      <c r="H3572">
        <v>1</v>
      </c>
      <c r="I3572" t="s">
        <v>3892</v>
      </c>
      <c r="J3572" t="s">
        <v>3469</v>
      </c>
      <c r="K3572" t="s">
        <v>3755</v>
      </c>
      <c r="L3572">
        <v>32</v>
      </c>
      <c r="M3572" s="453">
        <v>45701</v>
      </c>
      <c r="N3572">
        <v>32</v>
      </c>
      <c r="O3572">
        <v>19.93</v>
      </c>
      <c r="P3572">
        <v>32</v>
      </c>
    </row>
    <row r="3573" spans="1:16" x14ac:dyDescent="0.3">
      <c r="A3573">
        <v>25095</v>
      </c>
      <c r="B3573">
        <v>116</v>
      </c>
      <c r="C3573" t="s">
        <v>568</v>
      </c>
      <c r="D3573" s="453">
        <v>45717</v>
      </c>
      <c r="E3573">
        <v>19973</v>
      </c>
      <c r="F3573" t="s">
        <v>3981</v>
      </c>
      <c r="G3573">
        <v>2354</v>
      </c>
      <c r="H3573">
        <v>2</v>
      </c>
      <c r="I3573" t="s">
        <v>3872</v>
      </c>
      <c r="J3573" t="s">
        <v>3469</v>
      </c>
      <c r="K3573" t="s">
        <v>3755</v>
      </c>
      <c r="L3573">
        <v>0</v>
      </c>
      <c r="M3573" s="453">
        <v>45677</v>
      </c>
      <c r="N3573">
        <v>15.9</v>
      </c>
      <c r="O3573">
        <v>15.6</v>
      </c>
      <c r="P3573">
        <v>31.8</v>
      </c>
    </row>
    <row r="3574" spans="1:16" x14ac:dyDescent="0.3">
      <c r="A3574">
        <v>25107</v>
      </c>
      <c r="B3574">
        <v>116</v>
      </c>
      <c r="C3574" t="s">
        <v>568</v>
      </c>
      <c r="D3574" s="453">
        <v>45717</v>
      </c>
      <c r="E3574">
        <v>19916</v>
      </c>
      <c r="F3574" t="s">
        <v>4118</v>
      </c>
      <c r="G3574">
        <v>2379</v>
      </c>
      <c r="H3574">
        <v>1</v>
      </c>
      <c r="I3574" t="s">
        <v>3888</v>
      </c>
      <c r="J3574" t="s">
        <v>3469</v>
      </c>
      <c r="K3574" t="s">
        <v>3755</v>
      </c>
      <c r="L3574">
        <v>30.9</v>
      </c>
      <c r="M3574" s="453">
        <v>45708</v>
      </c>
      <c r="N3574">
        <v>30.9</v>
      </c>
      <c r="O3574">
        <v>30</v>
      </c>
      <c r="P3574">
        <v>30.9</v>
      </c>
    </row>
    <row r="3575" spans="1:16" x14ac:dyDescent="0.3">
      <c r="A3575">
        <v>25087</v>
      </c>
      <c r="B3575">
        <v>116</v>
      </c>
      <c r="C3575" t="s">
        <v>568</v>
      </c>
      <c r="D3575" s="453">
        <v>45717</v>
      </c>
      <c r="E3575">
        <v>20133</v>
      </c>
      <c r="F3575" t="s">
        <v>4461</v>
      </c>
      <c r="G3575">
        <v>2286</v>
      </c>
      <c r="H3575">
        <v>4</v>
      </c>
      <c r="I3575" t="s">
        <v>3888</v>
      </c>
      <c r="J3575" t="s">
        <v>3469</v>
      </c>
      <c r="K3575" t="s">
        <v>3755</v>
      </c>
      <c r="L3575">
        <v>7.52</v>
      </c>
      <c r="M3575" s="453">
        <v>45708</v>
      </c>
      <c r="N3575">
        <v>7.52</v>
      </c>
      <c r="O3575">
        <v>8.1999999999999993</v>
      </c>
      <c r="P3575">
        <v>30.08</v>
      </c>
    </row>
    <row r="3576" spans="1:16" x14ac:dyDescent="0.3">
      <c r="A3576">
        <v>25157</v>
      </c>
      <c r="B3576">
        <v>116</v>
      </c>
      <c r="C3576" t="s">
        <v>568</v>
      </c>
      <c r="D3576" s="453">
        <v>45717</v>
      </c>
      <c r="E3576">
        <v>19574</v>
      </c>
      <c r="F3576" t="s">
        <v>4077</v>
      </c>
      <c r="G3576">
        <v>2644</v>
      </c>
      <c r="H3576">
        <v>1</v>
      </c>
      <c r="I3576" t="s">
        <v>3892</v>
      </c>
      <c r="J3576" t="s">
        <v>3469</v>
      </c>
      <c r="K3576" t="s">
        <v>3755</v>
      </c>
      <c r="L3576">
        <v>0</v>
      </c>
      <c r="M3576" s="453">
        <v>45635</v>
      </c>
      <c r="N3576">
        <v>0</v>
      </c>
      <c r="O3576">
        <v>30</v>
      </c>
      <c r="P3576">
        <v>30</v>
      </c>
    </row>
    <row r="3577" spans="1:16" x14ac:dyDescent="0.3">
      <c r="A3577">
        <v>25046</v>
      </c>
      <c r="B3577">
        <v>116</v>
      </c>
      <c r="C3577" t="s">
        <v>568</v>
      </c>
      <c r="D3577" s="453">
        <v>45717</v>
      </c>
      <c r="E3577">
        <v>21078</v>
      </c>
      <c r="F3577" t="s">
        <v>4049</v>
      </c>
      <c r="G3577">
        <v>1991</v>
      </c>
      <c r="H3577">
        <v>1</v>
      </c>
      <c r="I3577" t="s">
        <v>3881</v>
      </c>
      <c r="J3577" t="s">
        <v>3469</v>
      </c>
      <c r="K3577" t="s">
        <v>3755</v>
      </c>
      <c r="L3577">
        <v>0</v>
      </c>
      <c r="M3577" s="453">
        <v>-693593</v>
      </c>
      <c r="N3577">
        <v>0</v>
      </c>
      <c r="O3577">
        <v>43.6</v>
      </c>
      <c r="P3577">
        <v>29.9</v>
      </c>
    </row>
    <row r="3578" spans="1:16" x14ac:dyDescent="0.3">
      <c r="A3578">
        <v>25248</v>
      </c>
      <c r="B3578">
        <v>116</v>
      </c>
      <c r="C3578" t="s">
        <v>568</v>
      </c>
      <c r="D3578" s="453">
        <v>45717</v>
      </c>
      <c r="E3578">
        <v>24019</v>
      </c>
      <c r="F3578" t="s">
        <v>4471</v>
      </c>
      <c r="G3578">
        <v>3617</v>
      </c>
      <c r="H3578">
        <v>18</v>
      </c>
      <c r="I3578" t="s">
        <v>3872</v>
      </c>
      <c r="J3578" t="s">
        <v>3497</v>
      </c>
      <c r="K3578" t="s">
        <v>3755</v>
      </c>
      <c r="L3578">
        <v>0</v>
      </c>
      <c r="M3578" s="453">
        <v>45545</v>
      </c>
      <c r="N3578">
        <v>1.62</v>
      </c>
      <c r="O3578">
        <v>1.63</v>
      </c>
      <c r="P3578">
        <v>29.25</v>
      </c>
    </row>
    <row r="3579" spans="1:16" x14ac:dyDescent="0.3">
      <c r="A3579">
        <v>25158</v>
      </c>
      <c r="B3579">
        <v>116</v>
      </c>
      <c r="C3579" t="s">
        <v>568</v>
      </c>
      <c r="D3579" s="453">
        <v>45717</v>
      </c>
      <c r="E3579">
        <v>19572</v>
      </c>
      <c r="F3579" t="s">
        <v>4023</v>
      </c>
      <c r="G3579">
        <v>2646</v>
      </c>
      <c r="H3579">
        <v>1.5</v>
      </c>
      <c r="I3579" t="s">
        <v>3892</v>
      </c>
      <c r="J3579" t="s">
        <v>3469</v>
      </c>
      <c r="K3579" t="s">
        <v>3755</v>
      </c>
      <c r="L3579">
        <v>19.399999999999999</v>
      </c>
      <c r="M3579" s="453">
        <v>45715</v>
      </c>
      <c r="N3579">
        <v>19</v>
      </c>
      <c r="O3579">
        <v>85</v>
      </c>
      <c r="P3579">
        <v>29.1</v>
      </c>
    </row>
    <row r="3580" spans="1:16" x14ac:dyDescent="0.3">
      <c r="A3580">
        <v>25105</v>
      </c>
      <c r="B3580">
        <v>116</v>
      </c>
      <c r="C3580" t="s">
        <v>568</v>
      </c>
      <c r="D3580" s="453">
        <v>45717</v>
      </c>
      <c r="E3580">
        <v>20487</v>
      </c>
      <c r="F3580" t="s">
        <v>4310</v>
      </c>
      <c r="G3580">
        <v>2157</v>
      </c>
      <c r="H3580">
        <v>1.2</v>
      </c>
      <c r="I3580" t="s">
        <v>3892</v>
      </c>
      <c r="J3580" t="s">
        <v>3469</v>
      </c>
      <c r="K3580" t="s">
        <v>3755</v>
      </c>
      <c r="L3580">
        <v>23.85</v>
      </c>
      <c r="M3580" s="453">
        <v>45706</v>
      </c>
      <c r="N3580">
        <v>23.85</v>
      </c>
      <c r="O3580">
        <v>24.2</v>
      </c>
      <c r="P3580">
        <v>28.62</v>
      </c>
    </row>
    <row r="3581" spans="1:16" x14ac:dyDescent="0.3">
      <c r="A3581">
        <v>25246</v>
      </c>
      <c r="B3581">
        <v>116</v>
      </c>
      <c r="C3581" t="s">
        <v>568</v>
      </c>
      <c r="D3581" s="453">
        <v>45717</v>
      </c>
      <c r="E3581">
        <v>22108</v>
      </c>
      <c r="F3581" t="s">
        <v>3871</v>
      </c>
      <c r="G3581">
        <v>3609</v>
      </c>
      <c r="H3581">
        <v>20</v>
      </c>
      <c r="I3581" t="s">
        <v>3872</v>
      </c>
      <c r="J3581" t="s">
        <v>3497</v>
      </c>
      <c r="K3581" t="s">
        <v>3755</v>
      </c>
      <c r="L3581">
        <v>0</v>
      </c>
      <c r="M3581" s="453">
        <v>45670</v>
      </c>
      <c r="N3581">
        <v>1.42</v>
      </c>
      <c r="O3581">
        <v>1.85</v>
      </c>
      <c r="P3581">
        <v>28.5</v>
      </c>
    </row>
    <row r="3582" spans="1:16" x14ac:dyDescent="0.3">
      <c r="A3582">
        <v>25137</v>
      </c>
      <c r="B3582">
        <v>116</v>
      </c>
      <c r="C3582" t="s">
        <v>568</v>
      </c>
      <c r="D3582" s="453">
        <v>45717</v>
      </c>
      <c r="E3582">
        <v>19613</v>
      </c>
      <c r="F3582" t="s">
        <v>4017</v>
      </c>
      <c r="G3582">
        <v>2620</v>
      </c>
      <c r="H3582">
        <v>2.9</v>
      </c>
      <c r="I3582" t="s">
        <v>3892</v>
      </c>
      <c r="J3582" t="s">
        <v>3469</v>
      </c>
      <c r="K3582" t="s">
        <v>3755</v>
      </c>
      <c r="L3582">
        <v>9.74</v>
      </c>
      <c r="M3582" s="453">
        <v>45715</v>
      </c>
      <c r="N3582">
        <v>12</v>
      </c>
      <c r="O3582">
        <v>11.38</v>
      </c>
      <c r="P3582">
        <v>28.25</v>
      </c>
    </row>
    <row r="3583" spans="1:16" x14ac:dyDescent="0.3">
      <c r="A3583">
        <v>25144</v>
      </c>
      <c r="B3583">
        <v>116</v>
      </c>
      <c r="C3583" t="s">
        <v>568</v>
      </c>
      <c r="D3583" s="453">
        <v>45717</v>
      </c>
      <c r="E3583">
        <v>24326</v>
      </c>
      <c r="F3583" t="s">
        <v>3932</v>
      </c>
      <c r="G3583">
        <v>2499</v>
      </c>
      <c r="H3583">
        <v>12</v>
      </c>
      <c r="I3583" t="s">
        <v>3892</v>
      </c>
      <c r="J3583" t="s">
        <v>3469</v>
      </c>
      <c r="K3583" t="s">
        <v>3755</v>
      </c>
      <c r="L3583">
        <v>2.33</v>
      </c>
      <c r="M3583" s="453">
        <v>45715</v>
      </c>
      <c r="N3583">
        <v>2.2999999999999998</v>
      </c>
      <c r="O3583">
        <v>2.63</v>
      </c>
      <c r="P3583">
        <v>27.96</v>
      </c>
    </row>
    <row r="3584" spans="1:16" x14ac:dyDescent="0.3">
      <c r="A3584">
        <v>25204</v>
      </c>
      <c r="B3584">
        <v>116</v>
      </c>
      <c r="C3584" t="s">
        <v>568</v>
      </c>
      <c r="D3584" s="453">
        <v>45717</v>
      </c>
      <c r="E3584">
        <v>18666</v>
      </c>
      <c r="F3584" t="s">
        <v>4003</v>
      </c>
      <c r="G3584">
        <v>3053</v>
      </c>
      <c r="H3584">
        <v>1.25</v>
      </c>
      <c r="I3584" t="s">
        <v>3892</v>
      </c>
      <c r="J3584" t="s">
        <v>3469</v>
      </c>
      <c r="K3584" t="s">
        <v>3755</v>
      </c>
      <c r="L3584">
        <v>22</v>
      </c>
      <c r="M3584" s="453">
        <v>45706</v>
      </c>
      <c r="N3584">
        <v>22</v>
      </c>
      <c r="O3584">
        <v>21</v>
      </c>
      <c r="P3584">
        <v>27.5</v>
      </c>
    </row>
    <row r="3585" spans="1:16" x14ac:dyDescent="0.3">
      <c r="A3585">
        <v>25196</v>
      </c>
      <c r="B3585">
        <v>116</v>
      </c>
      <c r="C3585" t="s">
        <v>568</v>
      </c>
      <c r="D3585" s="453">
        <v>45717</v>
      </c>
      <c r="E3585">
        <v>24393</v>
      </c>
      <c r="F3585" t="s">
        <v>4039</v>
      </c>
      <c r="G3585">
        <v>3045</v>
      </c>
      <c r="H3585">
        <v>1.2</v>
      </c>
      <c r="I3585" t="s">
        <v>3892</v>
      </c>
      <c r="J3585" t="s">
        <v>3469</v>
      </c>
      <c r="K3585" t="s">
        <v>3755</v>
      </c>
      <c r="L3585">
        <v>22</v>
      </c>
      <c r="M3585" s="453">
        <v>45706</v>
      </c>
      <c r="N3585">
        <v>22</v>
      </c>
      <c r="O3585">
        <v>12.99</v>
      </c>
      <c r="P3585">
        <v>26.4</v>
      </c>
    </row>
    <row r="3586" spans="1:16" x14ac:dyDescent="0.3">
      <c r="A3586">
        <v>25266</v>
      </c>
      <c r="B3586">
        <v>116</v>
      </c>
      <c r="C3586" t="s">
        <v>568</v>
      </c>
      <c r="D3586" s="453">
        <v>45717</v>
      </c>
      <c r="E3586">
        <v>17883</v>
      </c>
      <c r="F3586" t="s">
        <v>4136</v>
      </c>
      <c r="G3586">
        <v>3673</v>
      </c>
      <c r="H3586">
        <v>1</v>
      </c>
      <c r="I3586" t="s">
        <v>3888</v>
      </c>
      <c r="J3586" t="s">
        <v>3497</v>
      </c>
      <c r="K3586" t="s">
        <v>3755</v>
      </c>
      <c r="L3586">
        <v>26.28</v>
      </c>
      <c r="M3586" s="453">
        <v>45706</v>
      </c>
      <c r="N3586">
        <v>26.28</v>
      </c>
      <c r="O3586">
        <v>26.28</v>
      </c>
      <c r="P3586">
        <v>26.28</v>
      </c>
    </row>
    <row r="3587" spans="1:16" x14ac:dyDescent="0.3">
      <c r="A3587">
        <v>25145</v>
      </c>
      <c r="B3587">
        <v>116</v>
      </c>
      <c r="C3587" t="s">
        <v>568</v>
      </c>
      <c r="D3587" s="453">
        <v>45717</v>
      </c>
      <c r="E3587">
        <v>19478</v>
      </c>
      <c r="F3587" t="s">
        <v>4072</v>
      </c>
      <c r="G3587">
        <v>2728</v>
      </c>
      <c r="H3587">
        <v>1</v>
      </c>
      <c r="I3587" t="s">
        <v>3892</v>
      </c>
      <c r="J3587" t="s">
        <v>3469</v>
      </c>
      <c r="K3587" t="s">
        <v>3755</v>
      </c>
      <c r="L3587">
        <v>0</v>
      </c>
      <c r="M3587" s="453">
        <v>45478</v>
      </c>
      <c r="N3587">
        <v>26</v>
      </c>
      <c r="O3587">
        <v>63</v>
      </c>
      <c r="P3587">
        <v>26</v>
      </c>
    </row>
    <row r="3588" spans="1:16" x14ac:dyDescent="0.3">
      <c r="A3588">
        <v>25071</v>
      </c>
      <c r="B3588">
        <v>116</v>
      </c>
      <c r="C3588" t="s">
        <v>568</v>
      </c>
      <c r="D3588" s="453">
        <v>45717</v>
      </c>
      <c r="E3588">
        <v>20359</v>
      </c>
      <c r="F3588" t="s">
        <v>3917</v>
      </c>
      <c r="G3588">
        <v>2199</v>
      </c>
      <c r="H3588">
        <v>5.5</v>
      </c>
      <c r="I3588" t="s">
        <v>3872</v>
      </c>
      <c r="J3588" t="s">
        <v>3469</v>
      </c>
      <c r="K3588" t="s">
        <v>3755</v>
      </c>
      <c r="L3588">
        <v>4.72</v>
      </c>
      <c r="M3588" s="453">
        <v>45695</v>
      </c>
      <c r="N3588">
        <v>4.72</v>
      </c>
      <c r="O3588">
        <v>4.72</v>
      </c>
      <c r="P3588">
        <v>25.96</v>
      </c>
    </row>
    <row r="3589" spans="1:16" x14ac:dyDescent="0.3">
      <c r="A3589">
        <v>25169</v>
      </c>
      <c r="B3589">
        <v>116</v>
      </c>
      <c r="C3589" t="s">
        <v>568</v>
      </c>
      <c r="D3589" s="453">
        <v>45717</v>
      </c>
      <c r="E3589">
        <v>19710</v>
      </c>
      <c r="F3589" t="s">
        <v>4106</v>
      </c>
      <c r="G3589">
        <v>2540</v>
      </c>
      <c r="H3589">
        <v>1</v>
      </c>
      <c r="I3589" t="s">
        <v>3888</v>
      </c>
      <c r="J3589" t="s">
        <v>3469</v>
      </c>
      <c r="K3589" t="s">
        <v>3755</v>
      </c>
      <c r="L3589">
        <v>24.5</v>
      </c>
      <c r="M3589" s="453">
        <v>45699</v>
      </c>
      <c r="N3589">
        <v>24.5</v>
      </c>
      <c r="O3589">
        <v>24.5</v>
      </c>
      <c r="P3589">
        <v>24.5</v>
      </c>
    </row>
    <row r="3590" spans="1:16" x14ac:dyDescent="0.3">
      <c r="A3590">
        <v>25143</v>
      </c>
      <c r="B3590">
        <v>116</v>
      </c>
      <c r="C3590" t="s">
        <v>568</v>
      </c>
      <c r="D3590" s="453">
        <v>45717</v>
      </c>
      <c r="E3590">
        <v>19751</v>
      </c>
      <c r="F3590" t="s">
        <v>4019</v>
      </c>
      <c r="G3590">
        <v>2502</v>
      </c>
      <c r="H3590">
        <v>2.9</v>
      </c>
      <c r="I3590" t="s">
        <v>3892</v>
      </c>
      <c r="J3590" t="s">
        <v>3469</v>
      </c>
      <c r="K3590" t="s">
        <v>3755</v>
      </c>
      <c r="L3590">
        <v>8.35</v>
      </c>
      <c r="M3590" s="453">
        <v>45715</v>
      </c>
      <c r="N3590">
        <v>8.9</v>
      </c>
      <c r="O3590">
        <v>2.73</v>
      </c>
      <c r="P3590">
        <v>24.22</v>
      </c>
    </row>
    <row r="3591" spans="1:16" x14ac:dyDescent="0.3">
      <c r="A3591">
        <v>25056</v>
      </c>
      <c r="B3591">
        <v>116</v>
      </c>
      <c r="C3591" t="s">
        <v>568</v>
      </c>
      <c r="D3591" s="453">
        <v>45717</v>
      </c>
      <c r="E3591">
        <v>20287</v>
      </c>
      <c r="F3591" t="s">
        <v>4053</v>
      </c>
      <c r="G3591">
        <v>2229</v>
      </c>
      <c r="H3591">
        <v>1</v>
      </c>
      <c r="I3591" t="s">
        <v>3888</v>
      </c>
      <c r="J3591" t="s">
        <v>3469</v>
      </c>
      <c r="K3591" t="s">
        <v>3755</v>
      </c>
      <c r="L3591">
        <v>24</v>
      </c>
      <c r="M3591" s="453">
        <v>45699</v>
      </c>
      <c r="N3591">
        <v>24</v>
      </c>
      <c r="O3591">
        <v>24</v>
      </c>
      <c r="P3591">
        <v>24</v>
      </c>
    </row>
    <row r="3592" spans="1:16" x14ac:dyDescent="0.3">
      <c r="A3592">
        <v>25165</v>
      </c>
      <c r="B3592">
        <v>116</v>
      </c>
      <c r="C3592" t="s">
        <v>568</v>
      </c>
      <c r="D3592" s="453">
        <v>45717</v>
      </c>
      <c r="E3592">
        <v>19672</v>
      </c>
      <c r="F3592" t="s">
        <v>4024</v>
      </c>
      <c r="G3592">
        <v>2567</v>
      </c>
      <c r="H3592">
        <v>2</v>
      </c>
      <c r="I3592" t="s">
        <v>3892</v>
      </c>
      <c r="J3592" t="s">
        <v>3469</v>
      </c>
      <c r="K3592" t="s">
        <v>3755</v>
      </c>
      <c r="L3592">
        <v>11.93</v>
      </c>
      <c r="M3592" s="453">
        <v>45715</v>
      </c>
      <c r="N3592">
        <v>11.88</v>
      </c>
      <c r="O3592">
        <v>11.88</v>
      </c>
      <c r="P3592">
        <v>23.86</v>
      </c>
    </row>
    <row r="3593" spans="1:16" x14ac:dyDescent="0.3">
      <c r="A3593">
        <v>25109</v>
      </c>
      <c r="B3593">
        <v>116</v>
      </c>
      <c r="C3593" t="s">
        <v>568</v>
      </c>
      <c r="D3593" s="453">
        <v>45717</v>
      </c>
      <c r="E3593">
        <v>19902</v>
      </c>
      <c r="F3593" t="s">
        <v>3909</v>
      </c>
      <c r="G3593">
        <v>2382</v>
      </c>
      <c r="H3593">
        <v>1</v>
      </c>
      <c r="I3593" t="s">
        <v>3881</v>
      </c>
      <c r="J3593" t="s">
        <v>3469</v>
      </c>
      <c r="K3593" t="s">
        <v>3755</v>
      </c>
      <c r="L3593">
        <v>0</v>
      </c>
      <c r="M3593" s="453">
        <v>45560</v>
      </c>
      <c r="N3593">
        <v>23.8</v>
      </c>
      <c r="O3593">
        <v>23.9</v>
      </c>
      <c r="P3593">
        <v>23.8</v>
      </c>
    </row>
    <row r="3594" spans="1:16" x14ac:dyDescent="0.3">
      <c r="A3594">
        <v>25124</v>
      </c>
      <c r="B3594">
        <v>116</v>
      </c>
      <c r="C3594" t="s">
        <v>568</v>
      </c>
      <c r="D3594" s="453">
        <v>45717</v>
      </c>
      <c r="E3594">
        <v>19783</v>
      </c>
      <c r="F3594" t="s">
        <v>4016</v>
      </c>
      <c r="G3594">
        <v>2475</v>
      </c>
      <c r="H3594">
        <v>4.9000000000000004</v>
      </c>
      <c r="I3594" t="s">
        <v>3892</v>
      </c>
      <c r="J3594" t="s">
        <v>3469</v>
      </c>
      <c r="K3594" t="s">
        <v>3755</v>
      </c>
      <c r="L3594">
        <v>4.74</v>
      </c>
      <c r="M3594" s="453">
        <v>45715</v>
      </c>
      <c r="N3594">
        <v>4.5</v>
      </c>
      <c r="O3594">
        <v>4.12</v>
      </c>
      <c r="P3594">
        <v>23.23</v>
      </c>
    </row>
    <row r="3595" spans="1:16" x14ac:dyDescent="0.3">
      <c r="A3595">
        <v>25092</v>
      </c>
      <c r="B3595">
        <v>116</v>
      </c>
      <c r="C3595" t="s">
        <v>568</v>
      </c>
      <c r="D3595" s="453">
        <v>45717</v>
      </c>
      <c r="E3595">
        <v>20871</v>
      </c>
      <c r="F3595" t="s">
        <v>4475</v>
      </c>
      <c r="G3595">
        <v>2043</v>
      </c>
      <c r="H3595">
        <v>1</v>
      </c>
      <c r="I3595" t="s">
        <v>3886</v>
      </c>
      <c r="J3595" t="s">
        <v>3469</v>
      </c>
      <c r="K3595" t="s">
        <v>3755</v>
      </c>
      <c r="L3595">
        <v>0</v>
      </c>
      <c r="M3595" s="453">
        <v>-693593</v>
      </c>
      <c r="N3595">
        <v>0</v>
      </c>
      <c r="O3595">
        <v>28</v>
      </c>
      <c r="P3595">
        <v>22</v>
      </c>
    </row>
    <row r="3596" spans="1:16" x14ac:dyDescent="0.3">
      <c r="A3596">
        <v>25100</v>
      </c>
      <c r="B3596">
        <v>116</v>
      </c>
      <c r="C3596" t="s">
        <v>568</v>
      </c>
      <c r="D3596" s="453">
        <v>45717</v>
      </c>
      <c r="E3596">
        <v>24392</v>
      </c>
      <c r="F3596" t="s">
        <v>4041</v>
      </c>
      <c r="G3596">
        <v>2366</v>
      </c>
      <c r="H3596">
        <v>1</v>
      </c>
      <c r="I3596" t="s">
        <v>3892</v>
      </c>
      <c r="J3596" t="s">
        <v>3469</v>
      </c>
      <c r="K3596" t="s">
        <v>3755</v>
      </c>
      <c r="L3596">
        <v>0</v>
      </c>
      <c r="M3596" s="453">
        <v>45524</v>
      </c>
      <c r="N3596">
        <v>21.9</v>
      </c>
      <c r="O3596">
        <v>22.9</v>
      </c>
      <c r="P3596">
        <v>21.9</v>
      </c>
    </row>
    <row r="3597" spans="1:16" x14ac:dyDescent="0.3">
      <c r="A3597">
        <v>25265</v>
      </c>
      <c r="B3597">
        <v>116</v>
      </c>
      <c r="C3597" t="s">
        <v>568</v>
      </c>
      <c r="D3597" s="453">
        <v>45717</v>
      </c>
      <c r="E3597">
        <v>24467</v>
      </c>
      <c r="F3597" t="s">
        <v>3944</v>
      </c>
      <c r="G3597">
        <v>3673</v>
      </c>
      <c r="H3597">
        <v>11</v>
      </c>
      <c r="I3597" t="s">
        <v>3872</v>
      </c>
      <c r="J3597" t="s">
        <v>3497</v>
      </c>
      <c r="K3597" t="s">
        <v>3755</v>
      </c>
      <c r="L3597">
        <v>0</v>
      </c>
      <c r="M3597" s="453">
        <v>45510</v>
      </c>
      <c r="N3597">
        <v>1.99</v>
      </c>
      <c r="O3597">
        <v>2.19</v>
      </c>
      <c r="P3597">
        <v>21.89</v>
      </c>
    </row>
    <row r="3598" spans="1:16" x14ac:dyDescent="0.3">
      <c r="A3598">
        <v>25135</v>
      </c>
      <c r="B3598">
        <v>116</v>
      </c>
      <c r="C3598" t="s">
        <v>568</v>
      </c>
      <c r="D3598" s="453">
        <v>45717</v>
      </c>
      <c r="E3598">
        <v>19488</v>
      </c>
      <c r="F3598" t="s">
        <v>4070</v>
      </c>
      <c r="G3598">
        <v>2720</v>
      </c>
      <c r="H3598">
        <v>1.5</v>
      </c>
      <c r="I3598" t="s">
        <v>3892</v>
      </c>
      <c r="J3598" t="s">
        <v>3469</v>
      </c>
      <c r="K3598" t="s">
        <v>3755</v>
      </c>
      <c r="L3598">
        <v>13.18</v>
      </c>
      <c r="M3598" s="453">
        <v>45708</v>
      </c>
      <c r="N3598">
        <v>12</v>
      </c>
      <c r="O3598">
        <v>2.63</v>
      </c>
      <c r="P3598">
        <v>19.77</v>
      </c>
    </row>
    <row r="3599" spans="1:16" x14ac:dyDescent="0.3">
      <c r="A3599">
        <v>25133</v>
      </c>
      <c r="B3599">
        <v>116</v>
      </c>
      <c r="C3599" t="s">
        <v>568</v>
      </c>
      <c r="D3599" s="453">
        <v>45717</v>
      </c>
      <c r="E3599">
        <v>19623</v>
      </c>
      <c r="F3599" t="s">
        <v>3984</v>
      </c>
      <c r="G3599">
        <v>2611</v>
      </c>
      <c r="H3599">
        <v>4</v>
      </c>
      <c r="I3599" t="s">
        <v>3892</v>
      </c>
      <c r="J3599" t="s">
        <v>3469</v>
      </c>
      <c r="K3599" t="s">
        <v>3755</v>
      </c>
      <c r="L3599">
        <v>4.7699999999999996</v>
      </c>
      <c r="M3599" s="453">
        <v>45715</v>
      </c>
      <c r="N3599">
        <v>5.5</v>
      </c>
      <c r="O3599">
        <v>5.54</v>
      </c>
      <c r="P3599">
        <v>19.079999999999998</v>
      </c>
    </row>
    <row r="3600" spans="1:16" x14ac:dyDescent="0.3">
      <c r="A3600">
        <v>25062</v>
      </c>
      <c r="B3600">
        <v>116</v>
      </c>
      <c r="C3600" t="s">
        <v>568</v>
      </c>
      <c r="D3600" s="453">
        <v>45717</v>
      </c>
      <c r="E3600">
        <v>20702</v>
      </c>
      <c r="F3600" t="s">
        <v>4006</v>
      </c>
      <c r="G3600">
        <v>2101</v>
      </c>
      <c r="H3600">
        <v>0.5</v>
      </c>
      <c r="I3600" t="s">
        <v>3966</v>
      </c>
      <c r="J3600" t="s">
        <v>3469</v>
      </c>
      <c r="K3600" t="s">
        <v>3755</v>
      </c>
      <c r="L3600">
        <v>37.9</v>
      </c>
      <c r="M3600" s="453">
        <v>45706</v>
      </c>
      <c r="N3600">
        <v>37.9</v>
      </c>
      <c r="O3600">
        <v>37.979999999999997</v>
      </c>
      <c r="P3600">
        <v>18.95</v>
      </c>
    </row>
    <row r="3601" spans="1:16" x14ac:dyDescent="0.3">
      <c r="A3601">
        <v>25146</v>
      </c>
      <c r="B3601">
        <v>116</v>
      </c>
      <c r="C3601" t="s">
        <v>568</v>
      </c>
      <c r="D3601" s="453">
        <v>45717</v>
      </c>
      <c r="E3601">
        <v>19689</v>
      </c>
      <c r="F3601" t="s">
        <v>4073</v>
      </c>
      <c r="G3601">
        <v>2551</v>
      </c>
      <c r="H3601">
        <v>2</v>
      </c>
      <c r="I3601" t="s">
        <v>3892</v>
      </c>
      <c r="J3601" t="s">
        <v>3469</v>
      </c>
      <c r="K3601" t="s">
        <v>3755</v>
      </c>
      <c r="L3601">
        <v>9.4</v>
      </c>
      <c r="M3601" s="453">
        <v>45715</v>
      </c>
      <c r="N3601">
        <v>8</v>
      </c>
      <c r="O3601">
        <v>3.25</v>
      </c>
      <c r="P3601">
        <v>18.8</v>
      </c>
    </row>
    <row r="3602" spans="1:16" x14ac:dyDescent="0.3">
      <c r="A3602">
        <v>25075</v>
      </c>
      <c r="B3602">
        <v>116</v>
      </c>
      <c r="C3602" t="s">
        <v>568</v>
      </c>
      <c r="D3602" s="453">
        <v>45717</v>
      </c>
      <c r="E3602">
        <v>20231</v>
      </c>
      <c r="F3602" t="s">
        <v>4123</v>
      </c>
      <c r="G3602">
        <v>2247</v>
      </c>
      <c r="H3602">
        <v>1</v>
      </c>
      <c r="I3602" t="s">
        <v>3888</v>
      </c>
      <c r="J3602" t="s">
        <v>3469</v>
      </c>
      <c r="K3602" t="s">
        <v>3755</v>
      </c>
      <c r="L3602">
        <v>0</v>
      </c>
      <c r="M3602" s="453">
        <v>45545</v>
      </c>
      <c r="N3602">
        <v>17.7</v>
      </c>
      <c r="O3602">
        <v>19.7</v>
      </c>
      <c r="P3602">
        <v>17.7</v>
      </c>
    </row>
    <row r="3603" spans="1:16" x14ac:dyDescent="0.3">
      <c r="A3603">
        <v>25063</v>
      </c>
      <c r="B3603">
        <v>116</v>
      </c>
      <c r="C3603" t="s">
        <v>568</v>
      </c>
      <c r="D3603" s="453">
        <v>45717</v>
      </c>
      <c r="E3603">
        <v>24185</v>
      </c>
      <c r="F3603" t="s">
        <v>4040</v>
      </c>
      <c r="G3603">
        <v>2331</v>
      </c>
      <c r="H3603">
        <v>2</v>
      </c>
      <c r="I3603" t="s">
        <v>3892</v>
      </c>
      <c r="J3603" t="s">
        <v>3469</v>
      </c>
      <c r="K3603" t="s">
        <v>3755</v>
      </c>
      <c r="L3603">
        <v>0</v>
      </c>
      <c r="M3603" s="453">
        <v>-693593</v>
      </c>
      <c r="N3603">
        <v>0</v>
      </c>
      <c r="O3603">
        <v>0</v>
      </c>
      <c r="P3603">
        <v>17.52</v>
      </c>
    </row>
    <row r="3604" spans="1:16" x14ac:dyDescent="0.3">
      <c r="A3604">
        <v>25140</v>
      </c>
      <c r="B3604">
        <v>116</v>
      </c>
      <c r="C3604" t="s">
        <v>568</v>
      </c>
      <c r="D3604" s="453">
        <v>45717</v>
      </c>
      <c r="E3604">
        <v>19607</v>
      </c>
      <c r="F3604" t="s">
        <v>4105</v>
      </c>
      <c r="G3604">
        <v>2623</v>
      </c>
      <c r="H3604">
        <v>1</v>
      </c>
      <c r="I3604" t="s">
        <v>3892</v>
      </c>
      <c r="J3604" t="s">
        <v>3469</v>
      </c>
      <c r="K3604" t="s">
        <v>3755</v>
      </c>
      <c r="L3604">
        <v>17</v>
      </c>
      <c r="M3604" s="453">
        <v>45698</v>
      </c>
      <c r="N3604">
        <v>17</v>
      </c>
      <c r="O3604">
        <v>1.9</v>
      </c>
      <c r="P3604">
        <v>17</v>
      </c>
    </row>
    <row r="3605" spans="1:16" x14ac:dyDescent="0.3">
      <c r="A3605">
        <v>25142</v>
      </c>
      <c r="B3605">
        <v>116</v>
      </c>
      <c r="C3605" t="s">
        <v>568</v>
      </c>
      <c r="D3605" s="453">
        <v>45717</v>
      </c>
      <c r="E3605">
        <v>19752</v>
      </c>
      <c r="F3605" t="s">
        <v>4042</v>
      </c>
      <c r="G3605">
        <v>2501</v>
      </c>
      <c r="H3605">
        <v>1.2</v>
      </c>
      <c r="I3605" t="s">
        <v>3892</v>
      </c>
      <c r="J3605" t="s">
        <v>3469</v>
      </c>
      <c r="K3605" t="s">
        <v>3755</v>
      </c>
      <c r="L3605">
        <v>14</v>
      </c>
      <c r="M3605" s="453">
        <v>45708</v>
      </c>
      <c r="N3605">
        <v>16</v>
      </c>
      <c r="O3605">
        <v>10</v>
      </c>
      <c r="P3605">
        <v>16.8</v>
      </c>
    </row>
    <row r="3606" spans="1:16" x14ac:dyDescent="0.3">
      <c r="A3606">
        <v>25163</v>
      </c>
      <c r="B3606">
        <v>116</v>
      </c>
      <c r="C3606" t="s">
        <v>568</v>
      </c>
      <c r="D3606" s="453">
        <v>45717</v>
      </c>
      <c r="E3606">
        <v>19468</v>
      </c>
      <c r="F3606" t="s">
        <v>4079</v>
      </c>
      <c r="G3606">
        <v>2736</v>
      </c>
      <c r="H3606">
        <v>1.2</v>
      </c>
      <c r="I3606" t="s">
        <v>3892</v>
      </c>
      <c r="J3606" t="s">
        <v>3469</v>
      </c>
      <c r="K3606" t="s">
        <v>3755</v>
      </c>
      <c r="L3606">
        <v>13.81</v>
      </c>
      <c r="M3606" s="453">
        <v>45715</v>
      </c>
      <c r="N3606">
        <v>18</v>
      </c>
      <c r="O3606">
        <v>11.89</v>
      </c>
      <c r="P3606">
        <v>16.57</v>
      </c>
    </row>
    <row r="3607" spans="1:16" x14ac:dyDescent="0.3">
      <c r="A3607">
        <v>25201</v>
      </c>
      <c r="B3607">
        <v>116</v>
      </c>
      <c r="C3607" t="s">
        <v>568</v>
      </c>
      <c r="D3607" s="453">
        <v>45717</v>
      </c>
      <c r="E3607">
        <v>24403</v>
      </c>
      <c r="F3607" t="s">
        <v>3992</v>
      </c>
      <c r="G3607">
        <v>3049</v>
      </c>
      <c r="H3607">
        <v>1.35</v>
      </c>
      <c r="I3607" t="s">
        <v>3892</v>
      </c>
      <c r="J3607" t="s">
        <v>3469</v>
      </c>
      <c r="K3607" t="s">
        <v>3755</v>
      </c>
      <c r="L3607">
        <v>0</v>
      </c>
      <c r="M3607" s="453">
        <v>45538</v>
      </c>
      <c r="N3607">
        <v>12</v>
      </c>
      <c r="O3607">
        <v>12</v>
      </c>
      <c r="P3607">
        <v>16.2</v>
      </c>
    </row>
    <row r="3608" spans="1:16" x14ac:dyDescent="0.3">
      <c r="A3608">
        <v>25058</v>
      </c>
      <c r="B3608">
        <v>116</v>
      </c>
      <c r="C3608" t="s">
        <v>568</v>
      </c>
      <c r="D3608" s="453">
        <v>45717</v>
      </c>
      <c r="E3608">
        <v>20077</v>
      </c>
      <c r="F3608" t="s">
        <v>4054</v>
      </c>
      <c r="G3608">
        <v>2317</v>
      </c>
      <c r="H3608">
        <v>1</v>
      </c>
      <c r="I3608" t="s">
        <v>3888</v>
      </c>
      <c r="J3608" t="s">
        <v>3469</v>
      </c>
      <c r="K3608" t="s">
        <v>3755</v>
      </c>
      <c r="L3608">
        <v>15.96</v>
      </c>
      <c r="M3608" s="453">
        <v>45706</v>
      </c>
      <c r="N3608">
        <v>15.96</v>
      </c>
      <c r="O3608">
        <v>15.96</v>
      </c>
      <c r="P3608">
        <v>15.96</v>
      </c>
    </row>
    <row r="3609" spans="1:16" x14ac:dyDescent="0.3">
      <c r="A3609">
        <v>25161</v>
      </c>
      <c r="B3609">
        <v>116</v>
      </c>
      <c r="C3609" t="s">
        <v>568</v>
      </c>
      <c r="D3609" s="453">
        <v>45717</v>
      </c>
      <c r="E3609">
        <v>19555</v>
      </c>
      <c r="F3609" t="s">
        <v>4109</v>
      </c>
      <c r="G3609">
        <v>2662</v>
      </c>
      <c r="H3609">
        <v>0.5</v>
      </c>
      <c r="I3609" t="s">
        <v>3892</v>
      </c>
      <c r="J3609" t="s">
        <v>3469</v>
      </c>
      <c r="K3609" t="s">
        <v>3755</v>
      </c>
      <c r="L3609">
        <v>28.14</v>
      </c>
      <c r="M3609" s="453">
        <v>45715</v>
      </c>
      <c r="N3609">
        <v>28.06</v>
      </c>
      <c r="O3609">
        <v>28.06</v>
      </c>
      <c r="P3609">
        <v>14.07</v>
      </c>
    </row>
    <row r="3610" spans="1:16" x14ac:dyDescent="0.3">
      <c r="A3610">
        <v>25150</v>
      </c>
      <c r="B3610">
        <v>116</v>
      </c>
      <c r="C3610" t="s">
        <v>568</v>
      </c>
      <c r="D3610" s="453">
        <v>45717</v>
      </c>
      <c r="E3610">
        <v>19730</v>
      </c>
      <c r="F3610" t="s">
        <v>4075</v>
      </c>
      <c r="G3610">
        <v>2523</v>
      </c>
      <c r="H3610">
        <v>0.5</v>
      </c>
      <c r="I3610" t="s">
        <v>3892</v>
      </c>
      <c r="J3610" t="s">
        <v>3469</v>
      </c>
      <c r="K3610" t="s">
        <v>3755</v>
      </c>
      <c r="L3610">
        <v>28</v>
      </c>
      <c r="M3610" s="453">
        <v>45708</v>
      </c>
      <c r="N3610">
        <v>28</v>
      </c>
      <c r="O3610">
        <v>39.17</v>
      </c>
      <c r="P3610">
        <v>14</v>
      </c>
    </row>
    <row r="3611" spans="1:16" x14ac:dyDescent="0.3">
      <c r="A3611">
        <v>25106</v>
      </c>
      <c r="B3611">
        <v>116</v>
      </c>
      <c r="C3611" t="s">
        <v>568</v>
      </c>
      <c r="D3611" s="453">
        <v>45717</v>
      </c>
      <c r="E3611">
        <v>25768</v>
      </c>
      <c r="F3611" t="s">
        <v>4012</v>
      </c>
      <c r="G3611">
        <v>6317</v>
      </c>
      <c r="H3611">
        <v>2</v>
      </c>
      <c r="I3611" t="s">
        <v>3892</v>
      </c>
      <c r="J3611" t="s">
        <v>3469</v>
      </c>
      <c r="K3611" t="s">
        <v>3755</v>
      </c>
      <c r="L3611">
        <v>0</v>
      </c>
      <c r="M3611" s="453">
        <v>-693593</v>
      </c>
      <c r="N3611">
        <v>0</v>
      </c>
      <c r="O3611">
        <v>6.5</v>
      </c>
      <c r="P3611">
        <v>13.8</v>
      </c>
    </row>
    <row r="3612" spans="1:16" x14ac:dyDescent="0.3">
      <c r="A3612">
        <v>25148</v>
      </c>
      <c r="B3612">
        <v>116</v>
      </c>
      <c r="C3612" t="s">
        <v>568</v>
      </c>
      <c r="D3612" s="453">
        <v>45717</v>
      </c>
      <c r="E3612">
        <v>19475</v>
      </c>
      <c r="F3612" t="s">
        <v>4111</v>
      </c>
      <c r="G3612">
        <v>2730</v>
      </c>
      <c r="H3612">
        <v>0.3</v>
      </c>
      <c r="I3612" t="s">
        <v>3892</v>
      </c>
      <c r="J3612" t="s">
        <v>3469</v>
      </c>
      <c r="K3612" t="s">
        <v>3755</v>
      </c>
      <c r="L3612">
        <v>45.98</v>
      </c>
      <c r="M3612" s="453">
        <v>45715</v>
      </c>
      <c r="N3612">
        <v>46.8</v>
      </c>
      <c r="O3612">
        <v>45.51</v>
      </c>
      <c r="P3612">
        <v>13.79</v>
      </c>
    </row>
    <row r="3613" spans="1:16" x14ac:dyDescent="0.3">
      <c r="A3613">
        <v>25129</v>
      </c>
      <c r="B3613">
        <v>116</v>
      </c>
      <c r="C3613" t="s">
        <v>568</v>
      </c>
      <c r="D3613" s="453">
        <v>45717</v>
      </c>
      <c r="E3613">
        <v>19634</v>
      </c>
      <c r="F3613" t="s">
        <v>4068</v>
      </c>
      <c r="G3613">
        <v>2602</v>
      </c>
      <c r="H3613">
        <v>2</v>
      </c>
      <c r="I3613" t="s">
        <v>3892</v>
      </c>
      <c r="J3613" t="s">
        <v>3469</v>
      </c>
      <c r="K3613" t="s">
        <v>3755</v>
      </c>
      <c r="L3613">
        <v>6.24</v>
      </c>
      <c r="M3613" s="453">
        <v>45715</v>
      </c>
      <c r="N3613">
        <v>5.9</v>
      </c>
      <c r="O3613">
        <v>4.3099999999999996</v>
      </c>
      <c r="P3613">
        <v>12.48</v>
      </c>
    </row>
    <row r="3614" spans="1:16" x14ac:dyDescent="0.3">
      <c r="A3614">
        <v>25108</v>
      </c>
      <c r="B3614">
        <v>116</v>
      </c>
      <c r="C3614" t="s">
        <v>568</v>
      </c>
      <c r="D3614" s="453">
        <v>45717</v>
      </c>
      <c r="E3614">
        <v>19917</v>
      </c>
      <c r="F3614" t="s">
        <v>3920</v>
      </c>
      <c r="G3614">
        <v>2379</v>
      </c>
      <c r="H3614">
        <v>4</v>
      </c>
      <c r="I3614" t="s">
        <v>3888</v>
      </c>
      <c r="J3614" t="s">
        <v>3469</v>
      </c>
      <c r="K3614" t="s">
        <v>3755</v>
      </c>
      <c r="L3614">
        <v>0</v>
      </c>
      <c r="M3614" s="453">
        <v>45581</v>
      </c>
      <c r="N3614">
        <v>3.09</v>
      </c>
      <c r="O3614">
        <v>3.04</v>
      </c>
      <c r="P3614">
        <v>12.36</v>
      </c>
    </row>
    <row r="3615" spans="1:16" x14ac:dyDescent="0.3">
      <c r="A3615">
        <v>25118</v>
      </c>
      <c r="B3615">
        <v>116</v>
      </c>
      <c r="C3615" t="s">
        <v>568</v>
      </c>
      <c r="D3615" s="453">
        <v>45717</v>
      </c>
      <c r="E3615">
        <v>19506</v>
      </c>
      <c r="F3615" t="s">
        <v>4112</v>
      </c>
      <c r="G3615">
        <v>2705</v>
      </c>
      <c r="H3615">
        <v>0.3</v>
      </c>
      <c r="I3615" t="s">
        <v>3892</v>
      </c>
      <c r="J3615" t="s">
        <v>3469</v>
      </c>
      <c r="K3615" t="s">
        <v>3755</v>
      </c>
      <c r="L3615">
        <v>39.9</v>
      </c>
      <c r="M3615" s="453">
        <v>45712</v>
      </c>
      <c r="N3615">
        <v>39</v>
      </c>
      <c r="O3615">
        <v>65.19</v>
      </c>
      <c r="P3615">
        <v>11.97</v>
      </c>
    </row>
    <row r="3616" spans="1:16" x14ac:dyDescent="0.3">
      <c r="A3616">
        <v>25119</v>
      </c>
      <c r="B3616">
        <v>116</v>
      </c>
      <c r="C3616" t="s">
        <v>568</v>
      </c>
      <c r="D3616" s="453">
        <v>45717</v>
      </c>
      <c r="E3616">
        <v>19505</v>
      </c>
      <c r="F3616" t="s">
        <v>4101</v>
      </c>
      <c r="G3616">
        <v>2706</v>
      </c>
      <c r="H3616">
        <v>0.9</v>
      </c>
      <c r="I3616" t="s">
        <v>3892</v>
      </c>
      <c r="J3616" t="s">
        <v>3469</v>
      </c>
      <c r="K3616" t="s">
        <v>3755</v>
      </c>
      <c r="L3616">
        <v>12.11</v>
      </c>
      <c r="M3616" s="453">
        <v>45715</v>
      </c>
      <c r="N3616">
        <v>14</v>
      </c>
      <c r="O3616">
        <v>8.7799999999999994</v>
      </c>
      <c r="P3616">
        <v>10.9</v>
      </c>
    </row>
    <row r="3617" spans="1:16" x14ac:dyDescent="0.3">
      <c r="A3617">
        <v>25151</v>
      </c>
      <c r="B3617">
        <v>116</v>
      </c>
      <c r="C3617" t="s">
        <v>568</v>
      </c>
      <c r="D3617" s="453">
        <v>45717</v>
      </c>
      <c r="E3617">
        <v>24394</v>
      </c>
      <c r="F3617" t="s">
        <v>3876</v>
      </c>
      <c r="G3617">
        <v>2753</v>
      </c>
      <c r="H3617">
        <v>12</v>
      </c>
      <c r="I3617" t="s">
        <v>3872</v>
      </c>
      <c r="J3617" t="s">
        <v>3469</v>
      </c>
      <c r="K3617" t="s">
        <v>3755</v>
      </c>
      <c r="L3617">
        <v>0.88</v>
      </c>
      <c r="M3617" s="453">
        <v>45712</v>
      </c>
      <c r="N3617">
        <v>0.8</v>
      </c>
      <c r="O3617">
        <v>0.16</v>
      </c>
      <c r="P3617">
        <v>10.56</v>
      </c>
    </row>
    <row r="3618" spans="1:16" x14ac:dyDescent="0.3">
      <c r="A3618">
        <v>25123</v>
      </c>
      <c r="B3618">
        <v>116</v>
      </c>
      <c r="C3618" t="s">
        <v>568</v>
      </c>
      <c r="D3618" s="453">
        <v>45717</v>
      </c>
      <c r="E3618">
        <v>19647</v>
      </c>
      <c r="F3618" t="s">
        <v>4066</v>
      </c>
      <c r="G3618">
        <v>2591</v>
      </c>
      <c r="H3618">
        <v>0.7</v>
      </c>
      <c r="I3618" t="s">
        <v>3892</v>
      </c>
      <c r="J3618" t="s">
        <v>3469</v>
      </c>
      <c r="K3618" t="s">
        <v>3755</v>
      </c>
      <c r="L3618">
        <v>15</v>
      </c>
      <c r="M3618" s="453">
        <v>45701</v>
      </c>
      <c r="N3618">
        <v>16</v>
      </c>
      <c r="O3618">
        <v>5.35</v>
      </c>
      <c r="P3618">
        <v>10.5</v>
      </c>
    </row>
    <row r="3619" spans="1:16" x14ac:dyDescent="0.3">
      <c r="A3619">
        <v>25127</v>
      </c>
      <c r="B3619">
        <v>116</v>
      </c>
      <c r="C3619" t="s">
        <v>568</v>
      </c>
      <c r="D3619" s="453">
        <v>45717</v>
      </c>
      <c r="E3619">
        <v>19639</v>
      </c>
      <c r="F3619" t="s">
        <v>4494</v>
      </c>
      <c r="G3619">
        <v>2597</v>
      </c>
      <c r="H3619">
        <v>3</v>
      </c>
      <c r="I3619" t="s">
        <v>3892</v>
      </c>
      <c r="J3619" t="s">
        <v>3469</v>
      </c>
      <c r="K3619" t="s">
        <v>3755</v>
      </c>
      <c r="L3619">
        <v>3.31</v>
      </c>
      <c r="M3619" s="453">
        <v>45715</v>
      </c>
      <c r="N3619">
        <v>3.3</v>
      </c>
      <c r="O3619">
        <v>4.5</v>
      </c>
      <c r="P3619">
        <v>9.93</v>
      </c>
    </row>
    <row r="3620" spans="1:16" x14ac:dyDescent="0.3">
      <c r="A3620">
        <v>25136</v>
      </c>
      <c r="B3620">
        <v>116</v>
      </c>
      <c r="C3620" t="s">
        <v>568</v>
      </c>
      <c r="D3620" s="453">
        <v>45717</v>
      </c>
      <c r="E3620">
        <v>19621</v>
      </c>
      <c r="F3620" t="s">
        <v>4125</v>
      </c>
      <c r="G3620">
        <v>2613</v>
      </c>
      <c r="H3620">
        <v>2.6</v>
      </c>
      <c r="I3620" t="s">
        <v>3892</v>
      </c>
      <c r="J3620" t="s">
        <v>3469</v>
      </c>
      <c r="K3620" t="s">
        <v>3755</v>
      </c>
      <c r="L3620">
        <v>3.75</v>
      </c>
      <c r="M3620" s="453">
        <v>45715</v>
      </c>
      <c r="N3620">
        <v>3.8</v>
      </c>
      <c r="O3620">
        <v>2.2799999999999998</v>
      </c>
      <c r="P3620">
        <v>9.75</v>
      </c>
    </row>
    <row r="3621" spans="1:16" x14ac:dyDescent="0.3">
      <c r="A3621">
        <v>25166</v>
      </c>
      <c r="B3621">
        <v>116</v>
      </c>
      <c r="C3621" t="s">
        <v>568</v>
      </c>
      <c r="D3621" s="453">
        <v>45717</v>
      </c>
      <c r="E3621">
        <v>19546</v>
      </c>
      <c r="F3621" t="s">
        <v>4483</v>
      </c>
      <c r="G3621">
        <v>2670</v>
      </c>
      <c r="H3621">
        <v>0.6</v>
      </c>
      <c r="I3621" t="s">
        <v>3892</v>
      </c>
      <c r="J3621" t="s">
        <v>3469</v>
      </c>
      <c r="K3621" t="s">
        <v>3755</v>
      </c>
      <c r="L3621">
        <v>15.54</v>
      </c>
      <c r="M3621" s="453">
        <v>45715</v>
      </c>
      <c r="N3621">
        <v>15.84</v>
      </c>
      <c r="O3621">
        <v>15.67</v>
      </c>
      <c r="P3621">
        <v>9.32</v>
      </c>
    </row>
    <row r="3622" spans="1:16" x14ac:dyDescent="0.3">
      <c r="A3622">
        <v>25259</v>
      </c>
      <c r="B3622">
        <v>116</v>
      </c>
      <c r="C3622" t="s">
        <v>568</v>
      </c>
      <c r="D3622" s="453">
        <v>45717</v>
      </c>
      <c r="E3622">
        <v>22042</v>
      </c>
      <c r="F3622" t="s">
        <v>3901</v>
      </c>
      <c r="G3622">
        <v>3658</v>
      </c>
      <c r="H3622">
        <v>4</v>
      </c>
      <c r="I3622" t="s">
        <v>3872</v>
      </c>
      <c r="J3622" t="s">
        <v>3497</v>
      </c>
      <c r="K3622" t="s">
        <v>3755</v>
      </c>
      <c r="L3622">
        <v>0</v>
      </c>
      <c r="M3622" s="453">
        <v>45677</v>
      </c>
      <c r="N3622">
        <v>2.19</v>
      </c>
      <c r="O3622">
        <v>1.99</v>
      </c>
      <c r="P3622">
        <v>8.76</v>
      </c>
    </row>
    <row r="3623" spans="1:16" x14ac:dyDescent="0.3">
      <c r="A3623">
        <v>25128</v>
      </c>
      <c r="B3623">
        <v>116</v>
      </c>
      <c r="C3623" t="s">
        <v>568</v>
      </c>
      <c r="D3623" s="453">
        <v>45717</v>
      </c>
      <c r="E3623">
        <v>19638</v>
      </c>
      <c r="F3623" t="s">
        <v>4497</v>
      </c>
      <c r="G3623">
        <v>2598</v>
      </c>
      <c r="H3623">
        <v>2.5</v>
      </c>
      <c r="I3623" t="s">
        <v>3892</v>
      </c>
      <c r="J3623" t="s">
        <v>3469</v>
      </c>
      <c r="K3623" t="s">
        <v>3755</v>
      </c>
      <c r="L3623">
        <v>0</v>
      </c>
      <c r="M3623" s="453">
        <v>45688</v>
      </c>
      <c r="N3623">
        <v>3.5</v>
      </c>
      <c r="O3623">
        <v>3.54</v>
      </c>
      <c r="P3623">
        <v>8.75</v>
      </c>
    </row>
    <row r="3624" spans="1:16" x14ac:dyDescent="0.3">
      <c r="A3624">
        <v>25250</v>
      </c>
      <c r="B3624">
        <v>116</v>
      </c>
      <c r="C3624" t="s">
        <v>568</v>
      </c>
      <c r="D3624" s="453">
        <v>45717</v>
      </c>
      <c r="E3624">
        <v>24029</v>
      </c>
      <c r="F3624" t="s">
        <v>3875</v>
      </c>
      <c r="G3624">
        <v>3591</v>
      </c>
      <c r="H3624">
        <v>4</v>
      </c>
      <c r="I3624" t="s">
        <v>3872</v>
      </c>
      <c r="J3624" t="s">
        <v>3497</v>
      </c>
      <c r="K3624" t="s">
        <v>3755</v>
      </c>
      <c r="L3624">
        <v>0</v>
      </c>
      <c r="M3624" s="453">
        <v>45537</v>
      </c>
      <c r="N3624">
        <v>1.99</v>
      </c>
      <c r="O3624">
        <v>2.19</v>
      </c>
      <c r="P3624">
        <v>7.96</v>
      </c>
    </row>
    <row r="3625" spans="1:16" x14ac:dyDescent="0.3">
      <c r="A3625">
        <v>25134</v>
      </c>
      <c r="B3625">
        <v>116</v>
      </c>
      <c r="C3625" t="s">
        <v>568</v>
      </c>
      <c r="D3625" s="453">
        <v>45717</v>
      </c>
      <c r="E3625">
        <v>19486</v>
      </c>
      <c r="F3625" t="s">
        <v>4472</v>
      </c>
      <c r="G3625">
        <v>7790</v>
      </c>
      <c r="H3625">
        <v>0.2</v>
      </c>
      <c r="I3625" t="s">
        <v>3966</v>
      </c>
      <c r="J3625" t="s">
        <v>3469</v>
      </c>
      <c r="K3625" t="s">
        <v>3755</v>
      </c>
      <c r="L3625">
        <v>0</v>
      </c>
      <c r="M3625" s="453">
        <v>45636</v>
      </c>
      <c r="N3625">
        <v>37.92</v>
      </c>
      <c r="O3625">
        <v>37.92</v>
      </c>
      <c r="P3625">
        <v>7.58</v>
      </c>
    </row>
    <row r="3626" spans="1:16" x14ac:dyDescent="0.3">
      <c r="A3626">
        <v>25120</v>
      </c>
      <c r="B3626">
        <v>116</v>
      </c>
      <c r="C3626" t="s">
        <v>568</v>
      </c>
      <c r="D3626" s="453">
        <v>45717</v>
      </c>
      <c r="E3626">
        <v>19503</v>
      </c>
      <c r="F3626" t="s">
        <v>4498</v>
      </c>
      <c r="G3626">
        <v>2707</v>
      </c>
      <c r="H3626">
        <v>0.6</v>
      </c>
      <c r="I3626" t="s">
        <v>3892</v>
      </c>
      <c r="J3626" t="s">
        <v>3469</v>
      </c>
      <c r="K3626" t="s">
        <v>3755</v>
      </c>
      <c r="L3626">
        <v>11.92</v>
      </c>
      <c r="M3626" s="453">
        <v>45715</v>
      </c>
      <c r="N3626">
        <v>12</v>
      </c>
      <c r="O3626">
        <v>18.41</v>
      </c>
      <c r="P3626">
        <v>7.15</v>
      </c>
    </row>
    <row r="3627" spans="1:16" x14ac:dyDescent="0.3">
      <c r="A3627">
        <v>25147</v>
      </c>
      <c r="B3627">
        <v>116</v>
      </c>
      <c r="C3627" t="s">
        <v>568</v>
      </c>
      <c r="D3627" s="453">
        <v>45717</v>
      </c>
      <c r="E3627">
        <v>23347</v>
      </c>
      <c r="F3627" t="s">
        <v>4074</v>
      </c>
      <c r="G3627">
        <v>2511</v>
      </c>
      <c r="H3627">
        <v>1</v>
      </c>
      <c r="I3627" t="s">
        <v>3892</v>
      </c>
      <c r="J3627" t="s">
        <v>3469</v>
      </c>
      <c r="K3627" t="s">
        <v>3755</v>
      </c>
      <c r="L3627">
        <v>0</v>
      </c>
      <c r="M3627" s="453">
        <v>45677</v>
      </c>
      <c r="N3627">
        <v>6.8</v>
      </c>
      <c r="O3627">
        <v>6.8</v>
      </c>
      <c r="P3627">
        <v>6.8</v>
      </c>
    </row>
    <row r="3628" spans="1:16" x14ac:dyDescent="0.3">
      <c r="A3628">
        <v>25170</v>
      </c>
      <c r="B3628">
        <v>116</v>
      </c>
      <c r="C3628" t="s">
        <v>568</v>
      </c>
      <c r="D3628" s="453">
        <v>45717</v>
      </c>
      <c r="E3628">
        <v>24489</v>
      </c>
      <c r="F3628" t="s">
        <v>4502</v>
      </c>
      <c r="G3628">
        <v>2686</v>
      </c>
      <c r="H3628">
        <v>0.4</v>
      </c>
      <c r="I3628" t="s">
        <v>3892</v>
      </c>
      <c r="J3628" t="s">
        <v>3469</v>
      </c>
      <c r="K3628" t="s">
        <v>3755</v>
      </c>
      <c r="L3628">
        <v>16.5</v>
      </c>
      <c r="M3628" s="453">
        <v>45712</v>
      </c>
      <c r="N3628">
        <v>16</v>
      </c>
      <c r="O3628">
        <v>14.33</v>
      </c>
      <c r="P3628">
        <v>6.6</v>
      </c>
    </row>
    <row r="3629" spans="1:16" x14ac:dyDescent="0.3">
      <c r="A3629">
        <v>25102</v>
      </c>
      <c r="B3629">
        <v>116</v>
      </c>
      <c r="C3629" t="s">
        <v>568</v>
      </c>
      <c r="D3629" s="453">
        <v>45717</v>
      </c>
      <c r="E3629">
        <v>19935</v>
      </c>
      <c r="F3629" t="s">
        <v>4469</v>
      </c>
      <c r="G3629">
        <v>2368</v>
      </c>
      <c r="H3629">
        <v>1</v>
      </c>
      <c r="I3629" t="s">
        <v>3888</v>
      </c>
      <c r="J3629" t="s">
        <v>3469</v>
      </c>
      <c r="K3629" t="s">
        <v>3755</v>
      </c>
      <c r="L3629">
        <v>0</v>
      </c>
      <c r="M3629" s="453">
        <v>45629</v>
      </c>
      <c r="N3629">
        <v>6.5</v>
      </c>
      <c r="O3629">
        <v>6.5</v>
      </c>
      <c r="P3629">
        <v>6.5</v>
      </c>
    </row>
    <row r="3630" spans="1:16" x14ac:dyDescent="0.3">
      <c r="A3630">
        <v>25153</v>
      </c>
      <c r="B3630">
        <v>116</v>
      </c>
      <c r="C3630" t="s">
        <v>568</v>
      </c>
      <c r="D3630" s="453">
        <v>45717</v>
      </c>
      <c r="E3630">
        <v>19589</v>
      </c>
      <c r="F3630" t="s">
        <v>4153</v>
      </c>
      <c r="G3630">
        <v>2637</v>
      </c>
      <c r="H3630">
        <v>1</v>
      </c>
      <c r="I3630" t="s">
        <v>3892</v>
      </c>
      <c r="J3630" t="s">
        <v>3469</v>
      </c>
      <c r="K3630" t="s">
        <v>3755</v>
      </c>
      <c r="L3630">
        <v>5.9</v>
      </c>
      <c r="M3630" s="453">
        <v>45715</v>
      </c>
      <c r="N3630">
        <v>5.9</v>
      </c>
      <c r="O3630">
        <v>8.1300000000000008</v>
      </c>
      <c r="P3630">
        <v>5.9</v>
      </c>
    </row>
    <row r="3631" spans="1:16" x14ac:dyDescent="0.3">
      <c r="A3631">
        <v>25164</v>
      </c>
      <c r="B3631">
        <v>116</v>
      </c>
      <c r="C3631" t="s">
        <v>568</v>
      </c>
      <c r="D3631" s="453">
        <v>45717</v>
      </c>
      <c r="E3631">
        <v>19465</v>
      </c>
      <c r="F3631" t="s">
        <v>4080</v>
      </c>
      <c r="G3631">
        <v>2737</v>
      </c>
      <c r="H3631">
        <v>0.6</v>
      </c>
      <c r="I3631" t="s">
        <v>3892</v>
      </c>
      <c r="J3631" t="s">
        <v>3469</v>
      </c>
      <c r="K3631" t="s">
        <v>3755</v>
      </c>
      <c r="L3631">
        <v>9.1</v>
      </c>
      <c r="M3631" s="453">
        <v>45708</v>
      </c>
      <c r="N3631">
        <v>11.7</v>
      </c>
      <c r="O3631">
        <v>6.04</v>
      </c>
      <c r="P3631">
        <v>5.46</v>
      </c>
    </row>
    <row r="3632" spans="1:16" x14ac:dyDescent="0.3">
      <c r="A3632">
        <v>25126</v>
      </c>
      <c r="B3632">
        <v>116</v>
      </c>
      <c r="C3632" t="s">
        <v>568</v>
      </c>
      <c r="D3632" s="453">
        <v>45717</v>
      </c>
      <c r="E3632">
        <v>19642</v>
      </c>
      <c r="F3632" t="s">
        <v>4067</v>
      </c>
      <c r="G3632">
        <v>2596</v>
      </c>
      <c r="H3632">
        <v>1</v>
      </c>
      <c r="I3632" t="s">
        <v>3892</v>
      </c>
      <c r="J3632" t="s">
        <v>3469</v>
      </c>
      <c r="K3632" t="s">
        <v>3755</v>
      </c>
      <c r="L3632">
        <v>5.28</v>
      </c>
      <c r="M3632" s="453">
        <v>45715</v>
      </c>
      <c r="N3632">
        <v>5.81</v>
      </c>
      <c r="O3632">
        <v>4.8</v>
      </c>
      <c r="P3632">
        <v>5.28</v>
      </c>
    </row>
    <row r="3633" spans="1:16" x14ac:dyDescent="0.3">
      <c r="A3633">
        <v>25162</v>
      </c>
      <c r="B3633">
        <v>116</v>
      </c>
      <c r="C3633" t="s">
        <v>568</v>
      </c>
      <c r="D3633" s="453">
        <v>45717</v>
      </c>
      <c r="E3633">
        <v>19553</v>
      </c>
      <c r="F3633" t="s">
        <v>4078</v>
      </c>
      <c r="G3633">
        <v>2663</v>
      </c>
      <c r="H3633">
        <v>1</v>
      </c>
      <c r="I3633" t="s">
        <v>3892</v>
      </c>
      <c r="J3633" t="s">
        <v>3469</v>
      </c>
      <c r="K3633" t="s">
        <v>3755</v>
      </c>
      <c r="L3633">
        <v>3.9</v>
      </c>
      <c r="M3633" s="453">
        <v>45715</v>
      </c>
      <c r="N3633">
        <v>4.4000000000000004</v>
      </c>
      <c r="O3633">
        <v>4.4000000000000004</v>
      </c>
      <c r="P3633">
        <v>3.9</v>
      </c>
    </row>
    <row r="3634" spans="1:16" x14ac:dyDescent="0.3">
      <c r="A3634">
        <v>18732</v>
      </c>
      <c r="B3634">
        <v>116</v>
      </c>
      <c r="C3634" t="s">
        <v>568</v>
      </c>
      <c r="D3634" s="453">
        <v>45689</v>
      </c>
      <c r="E3634">
        <v>18636</v>
      </c>
      <c r="F3634" t="s">
        <v>3921</v>
      </c>
      <c r="G3634">
        <v>3075</v>
      </c>
      <c r="H3634">
        <v>10.5</v>
      </c>
      <c r="I3634" t="s">
        <v>3922</v>
      </c>
      <c r="J3634" t="s">
        <v>3497</v>
      </c>
      <c r="K3634" t="s">
        <v>3705</v>
      </c>
      <c r="L3634">
        <v>429</v>
      </c>
      <c r="M3634" s="453">
        <v>45688</v>
      </c>
      <c r="N3634">
        <v>429</v>
      </c>
      <c r="O3634">
        <v>443.69</v>
      </c>
      <c r="P3634">
        <v>4504.5</v>
      </c>
    </row>
    <row r="3635" spans="1:16" x14ac:dyDescent="0.3">
      <c r="A3635">
        <v>18758</v>
      </c>
      <c r="B3635">
        <v>116</v>
      </c>
      <c r="C3635" t="s">
        <v>568</v>
      </c>
      <c r="D3635" s="453">
        <v>45689</v>
      </c>
      <c r="E3635">
        <v>18247</v>
      </c>
      <c r="F3635" t="s">
        <v>3877</v>
      </c>
      <c r="G3635">
        <v>3383</v>
      </c>
      <c r="H3635">
        <v>48.2</v>
      </c>
      <c r="I3635" t="s">
        <v>3878</v>
      </c>
      <c r="J3635" t="s">
        <v>3497</v>
      </c>
      <c r="K3635" t="s">
        <v>3705</v>
      </c>
      <c r="L3635">
        <v>0</v>
      </c>
      <c r="M3635" s="453">
        <v>-693593</v>
      </c>
      <c r="N3635">
        <v>0</v>
      </c>
      <c r="O3635">
        <v>0</v>
      </c>
      <c r="P3635">
        <v>3200.48</v>
      </c>
    </row>
    <row r="3636" spans="1:16" x14ac:dyDescent="0.3">
      <c r="A3636">
        <v>18726</v>
      </c>
      <c r="B3636">
        <v>116</v>
      </c>
      <c r="C3636" t="s">
        <v>568</v>
      </c>
      <c r="D3636" s="453">
        <v>45689</v>
      </c>
      <c r="E3636">
        <v>25543</v>
      </c>
      <c r="F3636" t="s">
        <v>4477</v>
      </c>
      <c r="G3636">
        <v>6161</v>
      </c>
      <c r="H3636">
        <v>12</v>
      </c>
      <c r="I3636" t="s">
        <v>3892</v>
      </c>
      <c r="J3636" t="s">
        <v>3469</v>
      </c>
      <c r="K3636" t="s">
        <v>3705</v>
      </c>
      <c r="L3636">
        <v>0</v>
      </c>
      <c r="M3636" s="453">
        <v>-693593</v>
      </c>
      <c r="N3636">
        <v>0</v>
      </c>
      <c r="O3636">
        <v>0</v>
      </c>
      <c r="P3636">
        <v>2268</v>
      </c>
    </row>
    <row r="3637" spans="1:16" x14ac:dyDescent="0.3">
      <c r="A3637">
        <v>18740</v>
      </c>
      <c r="B3637">
        <v>116</v>
      </c>
      <c r="C3637" t="s">
        <v>568</v>
      </c>
      <c r="D3637" s="453">
        <v>45689</v>
      </c>
      <c r="E3637">
        <v>22515</v>
      </c>
      <c r="F3637" t="s">
        <v>3883</v>
      </c>
      <c r="G3637">
        <v>3202</v>
      </c>
      <c r="H3637">
        <v>52.5</v>
      </c>
      <c r="I3637" t="s">
        <v>3884</v>
      </c>
      <c r="J3637" t="s">
        <v>3497</v>
      </c>
      <c r="K3637" t="s">
        <v>3705</v>
      </c>
      <c r="L3637">
        <v>38</v>
      </c>
      <c r="M3637" s="453">
        <v>45671</v>
      </c>
      <c r="N3637">
        <v>38</v>
      </c>
      <c r="O3637">
        <v>38</v>
      </c>
      <c r="P3637">
        <v>1995</v>
      </c>
    </row>
    <row r="3638" spans="1:16" x14ac:dyDescent="0.3">
      <c r="A3638">
        <v>18781</v>
      </c>
      <c r="B3638">
        <v>116</v>
      </c>
      <c r="C3638" t="s">
        <v>568</v>
      </c>
      <c r="D3638" s="453">
        <v>45689</v>
      </c>
      <c r="E3638">
        <v>17896</v>
      </c>
      <c r="F3638" t="s">
        <v>3972</v>
      </c>
      <c r="G3638">
        <v>3664</v>
      </c>
      <c r="H3638">
        <v>23</v>
      </c>
      <c r="I3638" t="s">
        <v>3888</v>
      </c>
      <c r="J3638" t="s">
        <v>3497</v>
      </c>
      <c r="K3638" t="s">
        <v>3705</v>
      </c>
      <c r="L3638">
        <v>0</v>
      </c>
      <c r="M3638" s="453">
        <v>-693593</v>
      </c>
      <c r="N3638">
        <v>0</v>
      </c>
      <c r="O3638">
        <v>0</v>
      </c>
      <c r="P3638">
        <v>1398.4</v>
      </c>
    </row>
    <row r="3639" spans="1:16" x14ac:dyDescent="0.3">
      <c r="A3639">
        <v>18555</v>
      </c>
      <c r="B3639">
        <v>116</v>
      </c>
      <c r="C3639" t="s">
        <v>568</v>
      </c>
      <c r="D3639" s="453">
        <v>45689</v>
      </c>
      <c r="E3639">
        <v>20539</v>
      </c>
      <c r="F3639" t="s">
        <v>3908</v>
      </c>
      <c r="G3639">
        <v>2145</v>
      </c>
      <c r="H3639">
        <v>21.3</v>
      </c>
      <c r="I3639" t="s">
        <v>3892</v>
      </c>
      <c r="J3639" t="s">
        <v>3469</v>
      </c>
      <c r="K3639" t="s">
        <v>3705</v>
      </c>
      <c r="L3639">
        <v>42.17</v>
      </c>
      <c r="M3639" s="453">
        <v>45678</v>
      </c>
      <c r="N3639">
        <v>47.51</v>
      </c>
      <c r="O3639">
        <v>47.51</v>
      </c>
      <c r="P3639">
        <v>898.22</v>
      </c>
    </row>
    <row r="3640" spans="1:16" x14ac:dyDescent="0.3">
      <c r="A3640">
        <v>18684</v>
      </c>
      <c r="B3640">
        <v>116</v>
      </c>
      <c r="C3640" t="s">
        <v>568</v>
      </c>
      <c r="D3640" s="453">
        <v>45689</v>
      </c>
      <c r="E3640">
        <v>19289</v>
      </c>
      <c r="F3640" t="s">
        <v>4508</v>
      </c>
      <c r="G3640">
        <v>2776</v>
      </c>
      <c r="H3640">
        <v>11.4</v>
      </c>
      <c r="I3640" t="s">
        <v>3892</v>
      </c>
      <c r="J3640" t="s">
        <v>3469</v>
      </c>
      <c r="K3640" t="s">
        <v>3705</v>
      </c>
      <c r="L3640">
        <v>0</v>
      </c>
      <c r="M3640" s="453">
        <v>45594</v>
      </c>
      <c r="N3640">
        <v>65.900000000000006</v>
      </c>
      <c r="O3640">
        <v>65.900000000000006</v>
      </c>
      <c r="P3640">
        <v>751.25</v>
      </c>
    </row>
    <row r="3641" spans="1:16" x14ac:dyDescent="0.3">
      <c r="A3641">
        <v>18562</v>
      </c>
      <c r="B3641">
        <v>116</v>
      </c>
      <c r="C3641" t="s">
        <v>568</v>
      </c>
      <c r="D3641" s="453">
        <v>45689</v>
      </c>
      <c r="E3641">
        <v>20009</v>
      </c>
      <c r="F3641" t="s">
        <v>4509</v>
      </c>
      <c r="G3641">
        <v>2343</v>
      </c>
      <c r="H3641">
        <v>16</v>
      </c>
      <c r="I3641" t="s">
        <v>3872</v>
      </c>
      <c r="J3641" t="s">
        <v>3469</v>
      </c>
      <c r="K3641" t="s">
        <v>3705</v>
      </c>
      <c r="L3641">
        <v>44.3</v>
      </c>
      <c r="M3641" s="453">
        <v>45659</v>
      </c>
      <c r="N3641">
        <v>44.3</v>
      </c>
      <c r="O3641">
        <v>47.88</v>
      </c>
      <c r="P3641">
        <v>708.8</v>
      </c>
    </row>
    <row r="3642" spans="1:16" x14ac:dyDescent="0.3">
      <c r="A3642">
        <v>18702</v>
      </c>
      <c r="B3642">
        <v>116</v>
      </c>
      <c r="C3642" t="s">
        <v>568</v>
      </c>
      <c r="D3642" s="453">
        <v>45689</v>
      </c>
      <c r="E3642">
        <v>18774</v>
      </c>
      <c r="F3642" t="s">
        <v>4489</v>
      </c>
      <c r="G3642">
        <v>2993</v>
      </c>
      <c r="H3642">
        <v>9.3000000000000007</v>
      </c>
      <c r="I3642" t="s">
        <v>3892</v>
      </c>
      <c r="J3642" t="s">
        <v>3469</v>
      </c>
      <c r="K3642" t="s">
        <v>3705</v>
      </c>
      <c r="L3642">
        <v>67.900000000000006</v>
      </c>
      <c r="M3642" s="453">
        <v>45670</v>
      </c>
      <c r="N3642">
        <v>67.900000000000006</v>
      </c>
      <c r="O3642">
        <v>67.900000000000006</v>
      </c>
      <c r="P3642">
        <v>631.47</v>
      </c>
    </row>
    <row r="3643" spans="1:16" x14ac:dyDescent="0.3">
      <c r="A3643">
        <v>18706</v>
      </c>
      <c r="B3643">
        <v>116</v>
      </c>
      <c r="C3643" t="s">
        <v>568</v>
      </c>
      <c r="D3643" s="453">
        <v>45689</v>
      </c>
      <c r="E3643">
        <v>22763</v>
      </c>
      <c r="F3643" t="s">
        <v>4486</v>
      </c>
      <c r="G3643">
        <v>3002</v>
      </c>
      <c r="H3643">
        <v>6.5</v>
      </c>
      <c r="I3643" t="s">
        <v>3892</v>
      </c>
      <c r="J3643" t="s">
        <v>3469</v>
      </c>
      <c r="K3643" t="s">
        <v>3705</v>
      </c>
      <c r="L3643">
        <v>95</v>
      </c>
      <c r="M3643" s="453">
        <v>45671</v>
      </c>
      <c r="N3643">
        <v>95</v>
      </c>
      <c r="O3643">
        <v>95</v>
      </c>
      <c r="P3643">
        <v>617.5</v>
      </c>
    </row>
    <row r="3644" spans="1:16" x14ac:dyDescent="0.3">
      <c r="A3644">
        <v>18731</v>
      </c>
      <c r="B3644">
        <v>116</v>
      </c>
      <c r="C3644" t="s">
        <v>568</v>
      </c>
      <c r="D3644" s="453">
        <v>45689</v>
      </c>
      <c r="E3644">
        <v>18640</v>
      </c>
      <c r="F3644" t="s">
        <v>3994</v>
      </c>
      <c r="G3644">
        <v>3074</v>
      </c>
      <c r="H3644">
        <v>2</v>
      </c>
      <c r="I3644" t="s">
        <v>3922</v>
      </c>
      <c r="J3644" t="s">
        <v>3497</v>
      </c>
      <c r="K3644" t="s">
        <v>3705</v>
      </c>
      <c r="L3644">
        <v>265.8</v>
      </c>
      <c r="M3644" s="453">
        <v>45688</v>
      </c>
      <c r="N3644">
        <v>265.8</v>
      </c>
      <c r="O3644">
        <v>265.8</v>
      </c>
      <c r="P3644">
        <v>531.6</v>
      </c>
    </row>
    <row r="3645" spans="1:16" x14ac:dyDescent="0.3">
      <c r="A3645">
        <v>18772</v>
      </c>
      <c r="B3645">
        <v>116</v>
      </c>
      <c r="C3645" t="s">
        <v>568</v>
      </c>
      <c r="D3645" s="453">
        <v>45689</v>
      </c>
      <c r="E3645">
        <v>18005</v>
      </c>
      <c r="F3645" t="s">
        <v>4491</v>
      </c>
      <c r="G3645">
        <v>3592</v>
      </c>
      <c r="H3645">
        <v>12</v>
      </c>
      <c r="I3645" t="s">
        <v>3872</v>
      </c>
      <c r="J3645" t="s">
        <v>3497</v>
      </c>
      <c r="K3645" t="s">
        <v>3705</v>
      </c>
      <c r="L3645">
        <v>0</v>
      </c>
      <c r="M3645" s="453">
        <v>-693593</v>
      </c>
      <c r="N3645">
        <v>0</v>
      </c>
      <c r="O3645">
        <v>0</v>
      </c>
      <c r="P3645">
        <v>529.79</v>
      </c>
    </row>
    <row r="3646" spans="1:16" x14ac:dyDescent="0.3">
      <c r="A3646">
        <v>18743</v>
      </c>
      <c r="B3646">
        <v>116</v>
      </c>
      <c r="C3646" t="s">
        <v>568</v>
      </c>
      <c r="D3646" s="453">
        <v>45689</v>
      </c>
      <c r="E3646">
        <v>18475</v>
      </c>
      <c r="F3646" t="s">
        <v>3918</v>
      </c>
      <c r="G3646">
        <v>3181</v>
      </c>
      <c r="H3646">
        <v>15.3</v>
      </c>
      <c r="I3646" t="s">
        <v>3878</v>
      </c>
      <c r="J3646" t="s">
        <v>3497</v>
      </c>
      <c r="K3646" t="s">
        <v>3705</v>
      </c>
      <c r="L3646">
        <v>32.4</v>
      </c>
      <c r="M3646" s="453">
        <v>45677</v>
      </c>
      <c r="N3646">
        <v>32.9</v>
      </c>
      <c r="O3646">
        <v>32.9</v>
      </c>
      <c r="P3646">
        <v>495.72</v>
      </c>
    </row>
    <row r="3647" spans="1:16" x14ac:dyDescent="0.3">
      <c r="A3647">
        <v>18741</v>
      </c>
      <c r="B3647">
        <v>116</v>
      </c>
      <c r="C3647" t="s">
        <v>568</v>
      </c>
      <c r="D3647" s="453">
        <v>45689</v>
      </c>
      <c r="E3647">
        <v>18493</v>
      </c>
      <c r="F3647" t="s">
        <v>3958</v>
      </c>
      <c r="G3647">
        <v>3164</v>
      </c>
      <c r="H3647">
        <v>6.5</v>
      </c>
      <c r="I3647" t="s">
        <v>3878</v>
      </c>
      <c r="J3647" t="s">
        <v>3497</v>
      </c>
      <c r="K3647" t="s">
        <v>3705</v>
      </c>
      <c r="L3647">
        <v>69</v>
      </c>
      <c r="M3647" s="453">
        <v>45658</v>
      </c>
      <c r="N3647">
        <v>69</v>
      </c>
      <c r="O3647">
        <v>69.900000000000006</v>
      </c>
      <c r="P3647">
        <v>448.5</v>
      </c>
    </row>
    <row r="3648" spans="1:16" x14ac:dyDescent="0.3">
      <c r="A3648">
        <v>18512</v>
      </c>
      <c r="B3648">
        <v>116</v>
      </c>
      <c r="C3648" t="s">
        <v>568</v>
      </c>
      <c r="D3648" s="453">
        <v>45689</v>
      </c>
      <c r="E3648">
        <v>21030</v>
      </c>
      <c r="F3648" t="s">
        <v>3890</v>
      </c>
      <c r="G3648">
        <v>2001</v>
      </c>
      <c r="H3648">
        <v>15</v>
      </c>
      <c r="I3648" t="s">
        <v>3872</v>
      </c>
      <c r="J3648" t="s">
        <v>3469</v>
      </c>
      <c r="K3648" t="s">
        <v>3705</v>
      </c>
      <c r="L3648">
        <v>29.4</v>
      </c>
      <c r="M3648" s="453">
        <v>45659</v>
      </c>
      <c r="N3648">
        <v>29.4</v>
      </c>
      <c r="O3648">
        <v>29.4</v>
      </c>
      <c r="P3648">
        <v>441</v>
      </c>
    </row>
    <row r="3649" spans="1:16" x14ac:dyDescent="0.3">
      <c r="A3649">
        <v>18712</v>
      </c>
      <c r="B3649">
        <v>116</v>
      </c>
      <c r="C3649" t="s">
        <v>568</v>
      </c>
      <c r="D3649" s="453">
        <v>45689</v>
      </c>
      <c r="E3649">
        <v>24320</v>
      </c>
      <c r="F3649" t="s">
        <v>4160</v>
      </c>
      <c r="G3649">
        <v>2942</v>
      </c>
      <c r="H3649">
        <v>10.8</v>
      </c>
      <c r="I3649" t="s">
        <v>3892</v>
      </c>
      <c r="J3649" t="s">
        <v>3469</v>
      </c>
      <c r="K3649" t="s">
        <v>3705</v>
      </c>
      <c r="L3649">
        <v>0</v>
      </c>
      <c r="M3649" s="453">
        <v>45497</v>
      </c>
      <c r="N3649">
        <v>40.75</v>
      </c>
      <c r="O3649">
        <v>35.49</v>
      </c>
      <c r="P3649">
        <v>440.1</v>
      </c>
    </row>
    <row r="3650" spans="1:16" x14ac:dyDescent="0.3">
      <c r="A3650">
        <v>18601</v>
      </c>
      <c r="B3650">
        <v>116</v>
      </c>
      <c r="C3650" t="s">
        <v>568</v>
      </c>
      <c r="D3650" s="453">
        <v>45689</v>
      </c>
      <c r="E3650">
        <v>23718</v>
      </c>
      <c r="F3650" t="s">
        <v>4414</v>
      </c>
      <c r="G3650">
        <v>2165</v>
      </c>
      <c r="H3650">
        <v>11.4</v>
      </c>
      <c r="I3650" t="s">
        <v>3892</v>
      </c>
      <c r="J3650" t="s">
        <v>3469</v>
      </c>
      <c r="K3650" t="s">
        <v>3705</v>
      </c>
      <c r="L3650">
        <v>38.549999999999997</v>
      </c>
      <c r="M3650" s="453">
        <v>45672</v>
      </c>
      <c r="N3650">
        <v>38.549999999999997</v>
      </c>
      <c r="O3650">
        <v>29</v>
      </c>
      <c r="P3650">
        <v>439.47</v>
      </c>
    </row>
    <row r="3651" spans="1:16" x14ac:dyDescent="0.3">
      <c r="A3651">
        <v>18557</v>
      </c>
      <c r="B3651">
        <v>116</v>
      </c>
      <c r="C3651" t="s">
        <v>568</v>
      </c>
      <c r="D3651" s="453">
        <v>45689</v>
      </c>
      <c r="E3651">
        <v>20519</v>
      </c>
      <c r="F3651" t="s">
        <v>3902</v>
      </c>
      <c r="G3651">
        <v>2150</v>
      </c>
      <c r="H3651">
        <v>8.25</v>
      </c>
      <c r="I3651" t="s">
        <v>3892</v>
      </c>
      <c r="J3651" t="s">
        <v>3469</v>
      </c>
      <c r="K3651" t="s">
        <v>3705</v>
      </c>
      <c r="L3651">
        <v>47.51</v>
      </c>
      <c r="M3651" s="453">
        <v>45671</v>
      </c>
      <c r="N3651">
        <v>47.51</v>
      </c>
      <c r="O3651">
        <v>47.51</v>
      </c>
      <c r="P3651">
        <v>391.96</v>
      </c>
    </row>
    <row r="3652" spans="1:16" x14ac:dyDescent="0.3">
      <c r="A3652">
        <v>18529</v>
      </c>
      <c r="B3652">
        <v>116</v>
      </c>
      <c r="C3652" t="s">
        <v>568</v>
      </c>
      <c r="D3652" s="453">
        <v>45689</v>
      </c>
      <c r="E3652">
        <v>20703</v>
      </c>
      <c r="F3652" t="s">
        <v>3893</v>
      </c>
      <c r="G3652">
        <v>2100</v>
      </c>
      <c r="H3652">
        <v>12</v>
      </c>
      <c r="I3652" t="s">
        <v>3886</v>
      </c>
      <c r="J3652" t="s">
        <v>3469</v>
      </c>
      <c r="K3652" t="s">
        <v>3705</v>
      </c>
      <c r="L3652">
        <v>0</v>
      </c>
      <c r="M3652" s="453">
        <v>45499</v>
      </c>
      <c r="N3652">
        <v>29.99</v>
      </c>
      <c r="O3652">
        <v>29.99</v>
      </c>
      <c r="P3652">
        <v>359.88</v>
      </c>
    </row>
    <row r="3653" spans="1:16" x14ac:dyDescent="0.3">
      <c r="A3653">
        <v>18723</v>
      </c>
      <c r="B3653">
        <v>116</v>
      </c>
      <c r="C3653" t="s">
        <v>568</v>
      </c>
      <c r="D3653" s="453">
        <v>45689</v>
      </c>
      <c r="E3653">
        <v>18818</v>
      </c>
      <c r="F3653" t="s">
        <v>3916</v>
      </c>
      <c r="G3653">
        <v>2956</v>
      </c>
      <c r="H3653">
        <v>11.5</v>
      </c>
      <c r="I3653" t="s">
        <v>3892</v>
      </c>
      <c r="J3653" t="s">
        <v>3469</v>
      </c>
      <c r="K3653" t="s">
        <v>3705</v>
      </c>
      <c r="L3653">
        <v>29.5</v>
      </c>
      <c r="M3653" s="453">
        <v>45677</v>
      </c>
      <c r="N3653">
        <v>30.5</v>
      </c>
      <c r="O3653">
        <v>30.5</v>
      </c>
      <c r="P3653">
        <v>339.25</v>
      </c>
    </row>
    <row r="3654" spans="1:16" x14ac:dyDescent="0.3">
      <c r="A3654">
        <v>18532</v>
      </c>
      <c r="B3654">
        <v>116</v>
      </c>
      <c r="C3654" t="s">
        <v>568</v>
      </c>
      <c r="D3654" s="453">
        <v>45689</v>
      </c>
      <c r="E3654">
        <v>20555</v>
      </c>
      <c r="F3654" t="s">
        <v>3959</v>
      </c>
      <c r="G3654">
        <v>2139</v>
      </c>
      <c r="H3654">
        <v>4.25</v>
      </c>
      <c r="I3654" t="s">
        <v>3892</v>
      </c>
      <c r="J3654" t="s">
        <v>3469</v>
      </c>
      <c r="K3654" t="s">
        <v>3705</v>
      </c>
      <c r="L3654">
        <v>79</v>
      </c>
      <c r="M3654" s="453">
        <v>45678</v>
      </c>
      <c r="N3654">
        <v>79</v>
      </c>
      <c r="O3654">
        <v>79</v>
      </c>
      <c r="P3654">
        <v>335.75</v>
      </c>
    </row>
    <row r="3655" spans="1:16" x14ac:dyDescent="0.3">
      <c r="A3655">
        <v>18720</v>
      </c>
      <c r="B3655">
        <v>116</v>
      </c>
      <c r="C3655" t="s">
        <v>568</v>
      </c>
      <c r="D3655" s="453">
        <v>45689</v>
      </c>
      <c r="E3655">
        <v>18832</v>
      </c>
      <c r="F3655" t="s">
        <v>3900</v>
      </c>
      <c r="G3655">
        <v>2950</v>
      </c>
      <c r="H3655">
        <v>9</v>
      </c>
      <c r="I3655" t="s">
        <v>3892</v>
      </c>
      <c r="J3655" t="s">
        <v>3469</v>
      </c>
      <c r="K3655" t="s">
        <v>3705</v>
      </c>
      <c r="L3655">
        <v>35.32</v>
      </c>
      <c r="M3655" s="453">
        <v>45677</v>
      </c>
      <c r="N3655">
        <v>34.9</v>
      </c>
      <c r="O3655">
        <v>47</v>
      </c>
      <c r="P3655">
        <v>317.88</v>
      </c>
    </row>
    <row r="3656" spans="1:16" x14ac:dyDescent="0.3">
      <c r="A3656">
        <v>18695</v>
      </c>
      <c r="B3656">
        <v>116</v>
      </c>
      <c r="C3656" t="s">
        <v>568</v>
      </c>
      <c r="D3656" s="453">
        <v>45689</v>
      </c>
      <c r="E3656">
        <v>18948</v>
      </c>
      <c r="F3656" t="s">
        <v>3961</v>
      </c>
      <c r="G3656">
        <v>2927</v>
      </c>
      <c r="H3656">
        <v>5.9</v>
      </c>
      <c r="I3656" t="s">
        <v>3892</v>
      </c>
      <c r="J3656" t="s">
        <v>3469</v>
      </c>
      <c r="K3656" t="s">
        <v>3705</v>
      </c>
      <c r="L3656">
        <v>0</v>
      </c>
      <c r="M3656" s="453">
        <v>-693593</v>
      </c>
      <c r="N3656">
        <v>0</v>
      </c>
      <c r="O3656">
        <v>65.89</v>
      </c>
      <c r="P3656">
        <v>310.33999999999997</v>
      </c>
    </row>
    <row r="3657" spans="1:16" x14ac:dyDescent="0.3">
      <c r="A3657">
        <v>18533</v>
      </c>
      <c r="B3657">
        <v>116</v>
      </c>
      <c r="C3657" t="s">
        <v>568</v>
      </c>
      <c r="D3657" s="453">
        <v>45689</v>
      </c>
      <c r="E3657">
        <v>20549</v>
      </c>
      <c r="F3657" t="s">
        <v>4007</v>
      </c>
      <c r="G3657">
        <v>2141</v>
      </c>
      <c r="H3657">
        <v>13.6</v>
      </c>
      <c r="I3657" t="s">
        <v>3892</v>
      </c>
      <c r="J3657" t="s">
        <v>3469</v>
      </c>
      <c r="K3657" t="s">
        <v>3705</v>
      </c>
      <c r="L3657">
        <v>22.5</v>
      </c>
      <c r="M3657" s="453">
        <v>45677</v>
      </c>
      <c r="N3657">
        <v>22.5</v>
      </c>
      <c r="O3657">
        <v>19.899999999999999</v>
      </c>
      <c r="P3657">
        <v>306</v>
      </c>
    </row>
    <row r="3658" spans="1:16" x14ac:dyDescent="0.3">
      <c r="A3658">
        <v>18786</v>
      </c>
      <c r="B3658">
        <v>116</v>
      </c>
      <c r="C3658" t="s">
        <v>568</v>
      </c>
      <c r="D3658" s="453">
        <v>45689</v>
      </c>
      <c r="E3658">
        <v>26195</v>
      </c>
      <c r="F3658" t="s">
        <v>4037</v>
      </c>
      <c r="G3658">
        <v>6618</v>
      </c>
      <c r="H3658">
        <v>11</v>
      </c>
      <c r="I3658" t="s">
        <v>3878</v>
      </c>
      <c r="J3658" t="s">
        <v>3497</v>
      </c>
      <c r="K3658" t="s">
        <v>3705</v>
      </c>
      <c r="L3658">
        <v>0</v>
      </c>
      <c r="M3658" s="453">
        <v>-693593</v>
      </c>
      <c r="N3658">
        <v>0</v>
      </c>
      <c r="O3658">
        <v>0</v>
      </c>
      <c r="P3658">
        <v>305.14</v>
      </c>
    </row>
    <row r="3659" spans="1:16" x14ac:dyDescent="0.3">
      <c r="A3659">
        <v>18510</v>
      </c>
      <c r="B3659">
        <v>116</v>
      </c>
      <c r="C3659" t="s">
        <v>568</v>
      </c>
      <c r="D3659" s="453">
        <v>45689</v>
      </c>
      <c r="E3659">
        <v>20301</v>
      </c>
      <c r="F3659" t="s">
        <v>4161</v>
      </c>
      <c r="G3659">
        <v>2223</v>
      </c>
      <c r="H3659">
        <v>9.5</v>
      </c>
      <c r="I3659" t="s">
        <v>3888</v>
      </c>
      <c r="J3659" t="s">
        <v>3469</v>
      </c>
      <c r="K3659" t="s">
        <v>3705</v>
      </c>
      <c r="L3659">
        <v>0</v>
      </c>
      <c r="M3659" s="453">
        <v>45533</v>
      </c>
      <c r="N3659">
        <v>31.98</v>
      </c>
      <c r="O3659">
        <v>31.12</v>
      </c>
      <c r="P3659">
        <v>303.81</v>
      </c>
    </row>
    <row r="3660" spans="1:16" x14ac:dyDescent="0.3">
      <c r="A3660">
        <v>18599</v>
      </c>
      <c r="B3660">
        <v>116</v>
      </c>
      <c r="C3660" t="s">
        <v>568</v>
      </c>
      <c r="D3660" s="453">
        <v>45689</v>
      </c>
      <c r="E3660">
        <v>20458</v>
      </c>
      <c r="F3660" t="s">
        <v>4121</v>
      </c>
      <c r="G3660">
        <v>2164</v>
      </c>
      <c r="H3660">
        <v>8.1999999999999993</v>
      </c>
      <c r="I3660" t="s">
        <v>3892</v>
      </c>
      <c r="J3660" t="s">
        <v>3469</v>
      </c>
      <c r="K3660" t="s">
        <v>3705</v>
      </c>
      <c r="L3660">
        <v>36.4</v>
      </c>
      <c r="M3660" s="453">
        <v>45667</v>
      </c>
      <c r="N3660">
        <v>36.4</v>
      </c>
      <c r="O3660">
        <v>36.4</v>
      </c>
      <c r="P3660">
        <v>298.48</v>
      </c>
    </row>
    <row r="3661" spans="1:16" x14ac:dyDescent="0.3">
      <c r="A3661">
        <v>18707</v>
      </c>
      <c r="B3661">
        <v>116</v>
      </c>
      <c r="C3661" t="s">
        <v>568</v>
      </c>
      <c r="D3661" s="453">
        <v>45689</v>
      </c>
      <c r="E3661">
        <v>18883</v>
      </c>
      <c r="F3661" t="s">
        <v>4478</v>
      </c>
      <c r="G3661">
        <v>2938</v>
      </c>
      <c r="H3661">
        <v>3.55</v>
      </c>
      <c r="I3661" t="s">
        <v>3892</v>
      </c>
      <c r="J3661" t="s">
        <v>3469</v>
      </c>
      <c r="K3661" t="s">
        <v>3705</v>
      </c>
      <c r="L3661">
        <v>81.05</v>
      </c>
      <c r="M3661" s="453">
        <v>45677</v>
      </c>
      <c r="N3661">
        <v>79.5</v>
      </c>
      <c r="O3661">
        <v>79.900000000000006</v>
      </c>
      <c r="P3661">
        <v>287.73</v>
      </c>
    </row>
    <row r="3662" spans="1:16" x14ac:dyDescent="0.3">
      <c r="A3662">
        <v>18682</v>
      </c>
      <c r="B3662">
        <v>116</v>
      </c>
      <c r="C3662" t="s">
        <v>568</v>
      </c>
      <c r="D3662" s="453">
        <v>45689</v>
      </c>
      <c r="E3662">
        <v>19346</v>
      </c>
      <c r="F3662" t="s">
        <v>3948</v>
      </c>
      <c r="G3662">
        <v>2770</v>
      </c>
      <c r="H3662">
        <v>5.5</v>
      </c>
      <c r="I3662" t="s">
        <v>3892</v>
      </c>
      <c r="J3662" t="s">
        <v>3469</v>
      </c>
      <c r="K3662" t="s">
        <v>3705</v>
      </c>
      <c r="L3662">
        <v>51.9</v>
      </c>
      <c r="M3662" s="453">
        <v>45671</v>
      </c>
      <c r="N3662">
        <v>51.9</v>
      </c>
      <c r="O3662">
        <v>51.9</v>
      </c>
      <c r="P3662">
        <v>285.45</v>
      </c>
    </row>
    <row r="3663" spans="1:16" x14ac:dyDescent="0.3">
      <c r="A3663">
        <v>18770</v>
      </c>
      <c r="B3663">
        <v>116</v>
      </c>
      <c r="C3663" t="s">
        <v>568</v>
      </c>
      <c r="D3663" s="453">
        <v>45689</v>
      </c>
      <c r="E3663">
        <v>24019</v>
      </c>
      <c r="F3663" t="s">
        <v>4471</v>
      </c>
      <c r="G3663">
        <v>3617</v>
      </c>
      <c r="H3663">
        <v>174</v>
      </c>
      <c r="I3663" t="s">
        <v>3872</v>
      </c>
      <c r="J3663" t="s">
        <v>3497</v>
      </c>
      <c r="K3663" t="s">
        <v>3705</v>
      </c>
      <c r="L3663">
        <v>0</v>
      </c>
      <c r="M3663" s="453">
        <v>45545</v>
      </c>
      <c r="N3663">
        <v>1.62</v>
      </c>
      <c r="O3663">
        <v>1.63</v>
      </c>
      <c r="P3663">
        <v>282.75</v>
      </c>
    </row>
    <row r="3664" spans="1:16" x14ac:dyDescent="0.3">
      <c r="A3664">
        <v>18590</v>
      </c>
      <c r="B3664">
        <v>116</v>
      </c>
      <c r="C3664" t="s">
        <v>568</v>
      </c>
      <c r="D3664" s="453">
        <v>45689</v>
      </c>
      <c r="E3664">
        <v>20621</v>
      </c>
      <c r="F3664" t="s">
        <v>3885</v>
      </c>
      <c r="G3664">
        <v>2117</v>
      </c>
      <c r="H3664">
        <v>17</v>
      </c>
      <c r="I3664" t="s">
        <v>3886</v>
      </c>
      <c r="J3664" t="s">
        <v>3469</v>
      </c>
      <c r="K3664" t="s">
        <v>3705</v>
      </c>
      <c r="L3664">
        <v>0</v>
      </c>
      <c r="M3664" s="453">
        <v>45524</v>
      </c>
      <c r="N3664">
        <v>16.600000000000001</v>
      </c>
      <c r="O3664">
        <v>23.44</v>
      </c>
      <c r="P3664">
        <v>282.2</v>
      </c>
    </row>
    <row r="3665" spans="1:16" x14ac:dyDescent="0.3">
      <c r="A3665">
        <v>18704</v>
      </c>
      <c r="B3665">
        <v>116</v>
      </c>
      <c r="C3665" t="s">
        <v>568</v>
      </c>
      <c r="D3665" s="453">
        <v>45689</v>
      </c>
      <c r="E3665">
        <v>19023</v>
      </c>
      <c r="F3665" t="s">
        <v>4510</v>
      </c>
      <c r="G3665">
        <v>2893</v>
      </c>
      <c r="H3665">
        <v>12.4</v>
      </c>
      <c r="I3665" t="s">
        <v>3892</v>
      </c>
      <c r="J3665" t="s">
        <v>3469</v>
      </c>
      <c r="K3665" t="s">
        <v>3705</v>
      </c>
      <c r="L3665">
        <v>0</v>
      </c>
      <c r="M3665" s="453">
        <v>-693593</v>
      </c>
      <c r="N3665">
        <v>0</v>
      </c>
      <c r="O3665">
        <v>16.5</v>
      </c>
      <c r="P3665">
        <v>257.92</v>
      </c>
    </row>
    <row r="3666" spans="1:16" x14ac:dyDescent="0.3">
      <c r="A3666">
        <v>18742</v>
      </c>
      <c r="B3666">
        <v>116</v>
      </c>
      <c r="C3666" t="s">
        <v>568</v>
      </c>
      <c r="D3666" s="453">
        <v>45689</v>
      </c>
      <c r="E3666">
        <v>18491</v>
      </c>
      <c r="F3666" t="s">
        <v>3934</v>
      </c>
      <c r="G3666">
        <v>3166</v>
      </c>
      <c r="H3666">
        <v>7</v>
      </c>
      <c r="I3666" t="s">
        <v>3878</v>
      </c>
      <c r="J3666" t="s">
        <v>3497</v>
      </c>
      <c r="K3666" t="s">
        <v>3705</v>
      </c>
      <c r="L3666">
        <v>35.9</v>
      </c>
      <c r="M3666" s="453">
        <v>45677</v>
      </c>
      <c r="N3666">
        <v>35.9</v>
      </c>
      <c r="O3666">
        <v>35.9</v>
      </c>
      <c r="P3666">
        <v>251.3</v>
      </c>
    </row>
    <row r="3667" spans="1:16" x14ac:dyDescent="0.3">
      <c r="A3667">
        <v>18551</v>
      </c>
      <c r="B3667">
        <v>116</v>
      </c>
      <c r="C3667" t="s">
        <v>568</v>
      </c>
      <c r="D3667" s="453">
        <v>45689</v>
      </c>
      <c r="E3667">
        <v>21024</v>
      </c>
      <c r="F3667" t="s">
        <v>4180</v>
      </c>
      <c r="G3667">
        <v>2003</v>
      </c>
      <c r="H3667">
        <v>1.5</v>
      </c>
      <c r="I3667" t="s">
        <v>3966</v>
      </c>
      <c r="J3667" t="s">
        <v>3469</v>
      </c>
      <c r="K3667" t="s">
        <v>3705</v>
      </c>
      <c r="L3667">
        <v>161.4</v>
      </c>
      <c r="M3667" s="453">
        <v>45677</v>
      </c>
      <c r="N3667">
        <v>161.9</v>
      </c>
      <c r="O3667">
        <v>161.9</v>
      </c>
      <c r="P3667">
        <v>242.1</v>
      </c>
    </row>
    <row r="3668" spans="1:16" x14ac:dyDescent="0.3">
      <c r="A3668">
        <v>18769</v>
      </c>
      <c r="B3668">
        <v>116</v>
      </c>
      <c r="C3668" t="s">
        <v>568</v>
      </c>
      <c r="D3668" s="453">
        <v>45689</v>
      </c>
      <c r="E3668">
        <v>22108</v>
      </c>
      <c r="F3668" t="s">
        <v>3871</v>
      </c>
      <c r="G3668">
        <v>3609</v>
      </c>
      <c r="H3668">
        <v>168</v>
      </c>
      <c r="I3668" t="s">
        <v>3872</v>
      </c>
      <c r="J3668" t="s">
        <v>3497</v>
      </c>
      <c r="K3668" t="s">
        <v>3705</v>
      </c>
      <c r="L3668">
        <v>1.43</v>
      </c>
      <c r="M3668" s="453">
        <v>45670</v>
      </c>
      <c r="N3668">
        <v>1.42</v>
      </c>
      <c r="O3668">
        <v>1.85</v>
      </c>
      <c r="P3668">
        <v>240.24</v>
      </c>
    </row>
    <row r="3669" spans="1:16" x14ac:dyDescent="0.3">
      <c r="A3669">
        <v>18638</v>
      </c>
      <c r="B3669">
        <v>116</v>
      </c>
      <c r="C3669" t="s">
        <v>568</v>
      </c>
      <c r="D3669" s="453">
        <v>45689</v>
      </c>
      <c r="E3669">
        <v>19756</v>
      </c>
      <c r="F3669" t="s">
        <v>4220</v>
      </c>
      <c r="G3669">
        <v>2497</v>
      </c>
      <c r="H3669">
        <v>46</v>
      </c>
      <c r="I3669" t="s">
        <v>3892</v>
      </c>
      <c r="J3669" t="s">
        <v>3469</v>
      </c>
      <c r="K3669" t="s">
        <v>3705</v>
      </c>
      <c r="L3669">
        <v>5.22</v>
      </c>
      <c r="M3669" s="453">
        <v>45688</v>
      </c>
      <c r="N3669">
        <v>5</v>
      </c>
      <c r="O3669">
        <v>5.35</v>
      </c>
      <c r="P3669">
        <v>240.12</v>
      </c>
    </row>
    <row r="3670" spans="1:16" x14ac:dyDescent="0.3">
      <c r="A3670">
        <v>18747</v>
      </c>
      <c r="B3670">
        <v>116</v>
      </c>
      <c r="C3670" t="s">
        <v>568</v>
      </c>
      <c r="D3670" s="453">
        <v>45689</v>
      </c>
      <c r="E3670">
        <v>18394</v>
      </c>
      <c r="F3670" t="s">
        <v>4044</v>
      </c>
      <c r="G3670">
        <v>3246</v>
      </c>
      <c r="H3670">
        <v>1.2</v>
      </c>
      <c r="I3670" t="s">
        <v>3878</v>
      </c>
      <c r="J3670" t="s">
        <v>3497</v>
      </c>
      <c r="K3670" t="s">
        <v>3705</v>
      </c>
      <c r="L3670">
        <v>0</v>
      </c>
      <c r="M3670" s="453">
        <v>45516</v>
      </c>
      <c r="N3670">
        <v>0</v>
      </c>
      <c r="O3670">
        <v>146.9</v>
      </c>
      <c r="P3670">
        <v>215.88</v>
      </c>
    </row>
    <row r="3671" spans="1:16" x14ac:dyDescent="0.3">
      <c r="A3671">
        <v>18685</v>
      </c>
      <c r="B3671">
        <v>116</v>
      </c>
      <c r="C3671" t="s">
        <v>568</v>
      </c>
      <c r="D3671" s="453">
        <v>45689</v>
      </c>
      <c r="E3671">
        <v>19287</v>
      </c>
      <c r="F3671" t="s">
        <v>3974</v>
      </c>
      <c r="G3671">
        <v>2778</v>
      </c>
      <c r="H3671">
        <v>4.7</v>
      </c>
      <c r="I3671" t="s">
        <v>3892</v>
      </c>
      <c r="J3671" t="s">
        <v>3469</v>
      </c>
      <c r="K3671" t="s">
        <v>3705</v>
      </c>
      <c r="L3671">
        <v>44.24</v>
      </c>
      <c r="M3671" s="453">
        <v>45673</v>
      </c>
      <c r="N3671">
        <v>44.24</v>
      </c>
      <c r="O3671">
        <v>44.24</v>
      </c>
      <c r="P3671">
        <v>207.93</v>
      </c>
    </row>
    <row r="3672" spans="1:16" x14ac:dyDescent="0.3">
      <c r="A3672">
        <v>18782</v>
      </c>
      <c r="B3672">
        <v>116</v>
      </c>
      <c r="C3672" t="s">
        <v>568</v>
      </c>
      <c r="D3672" s="453">
        <v>45689</v>
      </c>
      <c r="E3672">
        <v>24409</v>
      </c>
      <c r="F3672" t="s">
        <v>4036</v>
      </c>
      <c r="G3672">
        <v>3665</v>
      </c>
      <c r="H3672">
        <v>94</v>
      </c>
      <c r="I3672" t="s">
        <v>3872</v>
      </c>
      <c r="J3672" t="s">
        <v>3497</v>
      </c>
      <c r="K3672" t="s">
        <v>3705</v>
      </c>
      <c r="L3672">
        <v>0</v>
      </c>
      <c r="M3672" s="453">
        <v>45551</v>
      </c>
      <c r="N3672">
        <v>2.19</v>
      </c>
      <c r="O3672">
        <v>2.19</v>
      </c>
      <c r="P3672">
        <v>205.86</v>
      </c>
    </row>
    <row r="3673" spans="1:16" x14ac:dyDescent="0.3">
      <c r="A3673">
        <v>18517</v>
      </c>
      <c r="B3673">
        <v>116</v>
      </c>
      <c r="C3673" t="s">
        <v>568</v>
      </c>
      <c r="D3673" s="453">
        <v>45689</v>
      </c>
      <c r="E3673">
        <v>20752</v>
      </c>
      <c r="F3673" t="s">
        <v>3964</v>
      </c>
      <c r="G3673">
        <v>2088</v>
      </c>
      <c r="H3673">
        <v>2</v>
      </c>
      <c r="I3673" t="s">
        <v>3886</v>
      </c>
      <c r="J3673" t="s">
        <v>3469</v>
      </c>
      <c r="K3673" t="s">
        <v>3705</v>
      </c>
      <c r="L3673">
        <v>99.5</v>
      </c>
      <c r="M3673" s="453">
        <v>45677</v>
      </c>
      <c r="N3673">
        <v>99.9</v>
      </c>
      <c r="O3673">
        <v>99.8</v>
      </c>
      <c r="P3673">
        <v>199</v>
      </c>
    </row>
    <row r="3674" spans="1:16" x14ac:dyDescent="0.3">
      <c r="A3674">
        <v>18753</v>
      </c>
      <c r="B3674">
        <v>116</v>
      </c>
      <c r="C3674" t="s">
        <v>568</v>
      </c>
      <c r="D3674" s="453">
        <v>45689</v>
      </c>
      <c r="E3674">
        <v>18295</v>
      </c>
      <c r="F3674" t="s">
        <v>4030</v>
      </c>
      <c r="G3674">
        <v>3334</v>
      </c>
      <c r="H3674">
        <v>1.6</v>
      </c>
      <c r="I3674" t="s">
        <v>3878</v>
      </c>
      <c r="J3674" t="s">
        <v>3497</v>
      </c>
      <c r="K3674" t="s">
        <v>3705</v>
      </c>
      <c r="L3674">
        <v>121.35</v>
      </c>
      <c r="M3674" s="453">
        <v>45670</v>
      </c>
      <c r="N3674">
        <v>122.19</v>
      </c>
      <c r="O3674">
        <v>116.87</v>
      </c>
      <c r="P3674">
        <v>194.16</v>
      </c>
    </row>
    <row r="3675" spans="1:16" x14ac:dyDescent="0.3">
      <c r="A3675">
        <v>18683</v>
      </c>
      <c r="B3675">
        <v>116</v>
      </c>
      <c r="C3675" t="s">
        <v>568</v>
      </c>
      <c r="D3675" s="453">
        <v>45689</v>
      </c>
      <c r="E3675">
        <v>19324</v>
      </c>
      <c r="F3675" t="s">
        <v>3937</v>
      </c>
      <c r="G3675">
        <v>2773</v>
      </c>
      <c r="H3675">
        <v>4.55</v>
      </c>
      <c r="I3675" t="s">
        <v>3892</v>
      </c>
      <c r="J3675" t="s">
        <v>3469</v>
      </c>
      <c r="K3675" t="s">
        <v>3705</v>
      </c>
      <c r="L3675">
        <v>42.61</v>
      </c>
      <c r="M3675" s="453">
        <v>45673</v>
      </c>
      <c r="N3675">
        <v>42.61</v>
      </c>
      <c r="O3675">
        <v>45.98</v>
      </c>
      <c r="P3675">
        <v>193.88</v>
      </c>
    </row>
    <row r="3676" spans="1:16" x14ac:dyDescent="0.3">
      <c r="A3676">
        <v>18564</v>
      </c>
      <c r="B3676">
        <v>116</v>
      </c>
      <c r="C3676" t="s">
        <v>568</v>
      </c>
      <c r="D3676" s="453">
        <v>45689</v>
      </c>
      <c r="E3676">
        <v>20131</v>
      </c>
      <c r="F3676" t="s">
        <v>4447</v>
      </c>
      <c r="G3676">
        <v>2287</v>
      </c>
      <c r="H3676">
        <v>16</v>
      </c>
      <c r="I3676" t="s">
        <v>3892</v>
      </c>
      <c r="J3676" t="s">
        <v>3469</v>
      </c>
      <c r="K3676" t="s">
        <v>3705</v>
      </c>
      <c r="L3676">
        <v>12</v>
      </c>
      <c r="M3676" s="453">
        <v>45672</v>
      </c>
      <c r="N3676">
        <v>12</v>
      </c>
      <c r="O3676">
        <v>12</v>
      </c>
      <c r="P3676">
        <v>192</v>
      </c>
    </row>
    <row r="3677" spans="1:16" x14ac:dyDescent="0.3">
      <c r="A3677">
        <v>18787</v>
      </c>
      <c r="B3677">
        <v>116</v>
      </c>
      <c r="C3677" t="s">
        <v>568</v>
      </c>
      <c r="D3677" s="453">
        <v>45689</v>
      </c>
      <c r="E3677">
        <v>17609</v>
      </c>
      <c r="F3677" t="s">
        <v>4038</v>
      </c>
      <c r="G3677">
        <v>3917</v>
      </c>
      <c r="H3677">
        <v>10</v>
      </c>
      <c r="I3677" t="s">
        <v>3878</v>
      </c>
      <c r="J3677" t="s">
        <v>3497</v>
      </c>
      <c r="K3677" t="s">
        <v>3705</v>
      </c>
      <c r="L3677">
        <v>0</v>
      </c>
      <c r="M3677" s="453">
        <v>45573</v>
      </c>
      <c r="N3677">
        <v>18.899999999999999</v>
      </c>
      <c r="O3677">
        <v>18.899999999999999</v>
      </c>
      <c r="P3677">
        <v>189</v>
      </c>
    </row>
    <row r="3678" spans="1:16" x14ac:dyDescent="0.3">
      <c r="A3678">
        <v>18763</v>
      </c>
      <c r="B3678">
        <v>116</v>
      </c>
      <c r="C3678" t="s">
        <v>568</v>
      </c>
      <c r="D3678" s="453">
        <v>45689</v>
      </c>
      <c r="E3678">
        <v>22270</v>
      </c>
      <c r="F3678" t="s">
        <v>3923</v>
      </c>
      <c r="G3678">
        <v>3450</v>
      </c>
      <c r="H3678">
        <v>6.3</v>
      </c>
      <c r="I3678" t="s">
        <v>3884</v>
      </c>
      <c r="J3678" t="s">
        <v>3497</v>
      </c>
      <c r="K3678" t="s">
        <v>3705</v>
      </c>
      <c r="L3678">
        <v>29.9</v>
      </c>
      <c r="M3678" s="453">
        <v>45670</v>
      </c>
      <c r="N3678">
        <v>29.9</v>
      </c>
      <c r="O3678">
        <v>29.9</v>
      </c>
      <c r="P3678">
        <v>188.37</v>
      </c>
    </row>
    <row r="3679" spans="1:16" x14ac:dyDescent="0.3">
      <c r="A3679">
        <v>18749</v>
      </c>
      <c r="B3679">
        <v>116</v>
      </c>
      <c r="C3679" t="s">
        <v>568</v>
      </c>
      <c r="D3679" s="453">
        <v>45689</v>
      </c>
      <c r="E3679">
        <v>18359</v>
      </c>
      <c r="F3679" t="s">
        <v>4029</v>
      </c>
      <c r="G3679">
        <v>3278</v>
      </c>
      <c r="H3679">
        <v>1.7</v>
      </c>
      <c r="I3679" t="s">
        <v>3878</v>
      </c>
      <c r="J3679" t="s">
        <v>3497</v>
      </c>
      <c r="K3679" t="s">
        <v>3705</v>
      </c>
      <c r="L3679">
        <v>109.9</v>
      </c>
      <c r="M3679" s="453">
        <v>45659</v>
      </c>
      <c r="N3679">
        <v>109.9</v>
      </c>
      <c r="O3679">
        <v>93.9</v>
      </c>
      <c r="P3679">
        <v>186.83</v>
      </c>
    </row>
    <row r="3680" spans="1:16" x14ac:dyDescent="0.3">
      <c r="A3680">
        <v>18737</v>
      </c>
      <c r="B3680">
        <v>116</v>
      </c>
      <c r="C3680" t="s">
        <v>568</v>
      </c>
      <c r="D3680" s="453">
        <v>45689</v>
      </c>
      <c r="E3680">
        <v>18538</v>
      </c>
      <c r="F3680" t="s">
        <v>4026</v>
      </c>
      <c r="G3680">
        <v>3139</v>
      </c>
      <c r="H3680">
        <v>1.8</v>
      </c>
      <c r="I3680" t="s">
        <v>3878</v>
      </c>
      <c r="J3680" t="s">
        <v>3497</v>
      </c>
      <c r="K3680" t="s">
        <v>3705</v>
      </c>
      <c r="L3680">
        <v>102.71</v>
      </c>
      <c r="M3680" s="453">
        <v>45670</v>
      </c>
      <c r="N3680">
        <v>108.32</v>
      </c>
      <c r="O3680">
        <v>108.32</v>
      </c>
      <c r="P3680">
        <v>184.88</v>
      </c>
    </row>
    <row r="3681" spans="1:16" x14ac:dyDescent="0.3">
      <c r="A3681">
        <v>18773</v>
      </c>
      <c r="B3681">
        <v>116</v>
      </c>
      <c r="C3681" t="s">
        <v>568</v>
      </c>
      <c r="D3681" s="453">
        <v>45689</v>
      </c>
      <c r="E3681">
        <v>21984</v>
      </c>
      <c r="F3681" t="s">
        <v>4487</v>
      </c>
      <c r="G3681">
        <v>3709</v>
      </c>
      <c r="H3681">
        <v>1.5</v>
      </c>
      <c r="I3681" t="s">
        <v>3881</v>
      </c>
      <c r="J3681" t="s">
        <v>3497</v>
      </c>
      <c r="K3681" t="s">
        <v>3705</v>
      </c>
      <c r="L3681">
        <v>0</v>
      </c>
      <c r="M3681" s="453">
        <v>-693593</v>
      </c>
      <c r="N3681">
        <v>0</v>
      </c>
      <c r="O3681">
        <v>120</v>
      </c>
      <c r="P3681">
        <v>180</v>
      </c>
    </row>
    <row r="3682" spans="1:16" x14ac:dyDescent="0.3">
      <c r="A3682">
        <v>18759</v>
      </c>
      <c r="B3682">
        <v>116</v>
      </c>
      <c r="C3682" t="s">
        <v>568</v>
      </c>
      <c r="D3682" s="453">
        <v>45689</v>
      </c>
      <c r="E3682">
        <v>18233</v>
      </c>
      <c r="F3682" t="s">
        <v>4090</v>
      </c>
      <c r="G3682">
        <v>3395</v>
      </c>
      <c r="H3682">
        <v>2</v>
      </c>
      <c r="I3682" t="s">
        <v>3878</v>
      </c>
      <c r="J3682" t="s">
        <v>3497</v>
      </c>
      <c r="K3682" t="s">
        <v>3705</v>
      </c>
      <c r="L3682">
        <v>88.9</v>
      </c>
      <c r="M3682" s="453">
        <v>45664</v>
      </c>
      <c r="N3682">
        <v>88.9</v>
      </c>
      <c r="O3682">
        <v>89.9</v>
      </c>
      <c r="P3682">
        <v>177.8</v>
      </c>
    </row>
    <row r="3683" spans="1:16" x14ac:dyDescent="0.3">
      <c r="A3683">
        <v>18580</v>
      </c>
      <c r="B3683">
        <v>116</v>
      </c>
      <c r="C3683" t="s">
        <v>568</v>
      </c>
      <c r="D3683" s="453">
        <v>45689</v>
      </c>
      <c r="E3683">
        <v>20997</v>
      </c>
      <c r="F3683" t="s">
        <v>4511</v>
      </c>
      <c r="G3683">
        <v>2009</v>
      </c>
      <c r="H3683">
        <v>10</v>
      </c>
      <c r="I3683" t="s">
        <v>3872</v>
      </c>
      <c r="J3683" t="s">
        <v>3469</v>
      </c>
      <c r="K3683" t="s">
        <v>3705</v>
      </c>
      <c r="L3683">
        <v>0</v>
      </c>
      <c r="M3683" s="453">
        <v>45398</v>
      </c>
      <c r="N3683">
        <v>17.61</v>
      </c>
      <c r="O3683">
        <v>16.48</v>
      </c>
      <c r="P3683">
        <v>176.1</v>
      </c>
    </row>
    <row r="3684" spans="1:16" x14ac:dyDescent="0.3">
      <c r="A3684">
        <v>18751</v>
      </c>
      <c r="B3684">
        <v>116</v>
      </c>
      <c r="C3684" t="s">
        <v>568</v>
      </c>
      <c r="D3684" s="453">
        <v>45689</v>
      </c>
      <c r="E3684">
        <v>18315</v>
      </c>
      <c r="F3684" t="s">
        <v>4088</v>
      </c>
      <c r="G3684">
        <v>3318</v>
      </c>
      <c r="H3684">
        <v>1.5</v>
      </c>
      <c r="I3684" t="s">
        <v>3878</v>
      </c>
      <c r="J3684" t="s">
        <v>3497</v>
      </c>
      <c r="K3684" t="s">
        <v>3705</v>
      </c>
      <c r="L3684">
        <v>0</v>
      </c>
      <c r="M3684" s="453">
        <v>45594</v>
      </c>
      <c r="N3684">
        <v>116.88</v>
      </c>
      <c r="O3684">
        <v>124</v>
      </c>
      <c r="P3684">
        <v>175.32</v>
      </c>
    </row>
    <row r="3685" spans="1:16" x14ac:dyDescent="0.3">
      <c r="A3685">
        <v>18693</v>
      </c>
      <c r="B3685">
        <v>116</v>
      </c>
      <c r="C3685" t="s">
        <v>568</v>
      </c>
      <c r="D3685" s="453">
        <v>45689</v>
      </c>
      <c r="E3685">
        <v>22859</v>
      </c>
      <c r="F3685" t="s">
        <v>4463</v>
      </c>
      <c r="G3685">
        <v>2925</v>
      </c>
      <c r="H3685">
        <v>3.9</v>
      </c>
      <c r="I3685" t="s">
        <v>3892</v>
      </c>
      <c r="J3685" t="s">
        <v>3469</v>
      </c>
      <c r="K3685" t="s">
        <v>3705</v>
      </c>
      <c r="L3685">
        <v>44.86</v>
      </c>
      <c r="M3685" s="453">
        <v>45673</v>
      </c>
      <c r="N3685">
        <v>44.86</v>
      </c>
      <c r="O3685">
        <v>45</v>
      </c>
      <c r="P3685">
        <v>174.95</v>
      </c>
    </row>
    <row r="3686" spans="1:16" x14ac:dyDescent="0.3">
      <c r="A3686">
        <v>18780</v>
      </c>
      <c r="B3686">
        <v>116</v>
      </c>
      <c r="C3686" t="s">
        <v>568</v>
      </c>
      <c r="D3686" s="453">
        <v>45689</v>
      </c>
      <c r="E3686">
        <v>22042</v>
      </c>
      <c r="F3686" t="s">
        <v>3901</v>
      </c>
      <c r="G3686">
        <v>3658</v>
      </c>
      <c r="H3686">
        <v>76</v>
      </c>
      <c r="I3686" t="s">
        <v>3872</v>
      </c>
      <c r="J3686" t="s">
        <v>3497</v>
      </c>
      <c r="K3686" t="s">
        <v>3705</v>
      </c>
      <c r="L3686">
        <v>2.19</v>
      </c>
      <c r="M3686" s="453">
        <v>45677</v>
      </c>
      <c r="N3686">
        <v>2.19</v>
      </c>
      <c r="O3686">
        <v>1.99</v>
      </c>
      <c r="P3686">
        <v>166.44</v>
      </c>
    </row>
    <row r="3687" spans="1:16" x14ac:dyDescent="0.3">
      <c r="A3687">
        <v>18733</v>
      </c>
      <c r="B3687">
        <v>116</v>
      </c>
      <c r="C3687" t="s">
        <v>568</v>
      </c>
      <c r="D3687" s="453">
        <v>45689</v>
      </c>
      <c r="E3687">
        <v>18550</v>
      </c>
      <c r="F3687" t="s">
        <v>4083</v>
      </c>
      <c r="G3687">
        <v>3130</v>
      </c>
      <c r="H3687">
        <v>1</v>
      </c>
      <c r="I3687" t="s">
        <v>3878</v>
      </c>
      <c r="J3687" t="s">
        <v>3497</v>
      </c>
      <c r="K3687" t="s">
        <v>3705</v>
      </c>
      <c r="L3687">
        <v>0</v>
      </c>
      <c r="M3687" s="453">
        <v>-693593</v>
      </c>
      <c r="N3687">
        <v>0</v>
      </c>
      <c r="O3687">
        <v>168</v>
      </c>
      <c r="P3687">
        <v>165.45</v>
      </c>
    </row>
    <row r="3688" spans="1:16" x14ac:dyDescent="0.3">
      <c r="A3688">
        <v>18745</v>
      </c>
      <c r="B3688">
        <v>116</v>
      </c>
      <c r="C3688" t="s">
        <v>568</v>
      </c>
      <c r="D3688" s="453">
        <v>45689</v>
      </c>
      <c r="E3688">
        <v>18467</v>
      </c>
      <c r="F3688" t="s">
        <v>4028</v>
      </c>
      <c r="G3688">
        <v>3189</v>
      </c>
      <c r="H3688">
        <v>2.2999999999999998</v>
      </c>
      <c r="I3688" t="s">
        <v>3878</v>
      </c>
      <c r="J3688" t="s">
        <v>3497</v>
      </c>
      <c r="K3688" t="s">
        <v>3705</v>
      </c>
      <c r="L3688">
        <v>71.150000000000006</v>
      </c>
      <c r="M3688" s="453">
        <v>45677</v>
      </c>
      <c r="N3688">
        <v>70.760000000000005</v>
      </c>
      <c r="O3688">
        <v>70.760000000000005</v>
      </c>
      <c r="P3688">
        <v>163.65</v>
      </c>
    </row>
    <row r="3689" spans="1:16" x14ac:dyDescent="0.3">
      <c r="A3689">
        <v>18718</v>
      </c>
      <c r="B3689">
        <v>116</v>
      </c>
      <c r="C3689" t="s">
        <v>568</v>
      </c>
      <c r="D3689" s="453">
        <v>45689</v>
      </c>
      <c r="E3689">
        <v>24517</v>
      </c>
      <c r="F3689" t="s">
        <v>3991</v>
      </c>
      <c r="G3689">
        <v>3047</v>
      </c>
      <c r="H3689">
        <v>6.4</v>
      </c>
      <c r="I3689" t="s">
        <v>3892</v>
      </c>
      <c r="J3689" t="s">
        <v>3469</v>
      </c>
      <c r="K3689" t="s">
        <v>3705</v>
      </c>
      <c r="L3689">
        <v>0</v>
      </c>
      <c r="M3689" s="453">
        <v>45656</v>
      </c>
      <c r="N3689">
        <v>25.5</v>
      </c>
      <c r="O3689">
        <v>27.99</v>
      </c>
      <c r="P3689">
        <v>163.19999999999999</v>
      </c>
    </row>
    <row r="3690" spans="1:16" x14ac:dyDescent="0.3">
      <c r="A3690">
        <v>18511</v>
      </c>
      <c r="B3690">
        <v>116</v>
      </c>
      <c r="C3690" t="s">
        <v>568</v>
      </c>
      <c r="D3690" s="453">
        <v>45689</v>
      </c>
      <c r="E3690">
        <v>20304</v>
      </c>
      <c r="F3690" t="s">
        <v>3938</v>
      </c>
      <c r="G3690">
        <v>2223</v>
      </c>
      <c r="H3690">
        <v>4</v>
      </c>
      <c r="I3690" t="s">
        <v>3888</v>
      </c>
      <c r="J3690" t="s">
        <v>3469</v>
      </c>
      <c r="K3690" t="s">
        <v>3705</v>
      </c>
      <c r="L3690">
        <v>39.479999999999997</v>
      </c>
      <c r="M3690" s="453">
        <v>45677</v>
      </c>
      <c r="N3690">
        <v>39.94</v>
      </c>
      <c r="O3690">
        <v>39.5</v>
      </c>
      <c r="P3690">
        <v>157.91999999999999</v>
      </c>
    </row>
    <row r="3691" spans="1:16" x14ac:dyDescent="0.3">
      <c r="A3691">
        <v>18765</v>
      </c>
      <c r="B3691">
        <v>116</v>
      </c>
      <c r="C3691" t="s">
        <v>568</v>
      </c>
      <c r="D3691" s="453">
        <v>45689</v>
      </c>
      <c r="E3691">
        <v>18146</v>
      </c>
      <c r="F3691" t="s">
        <v>4100</v>
      </c>
      <c r="G3691">
        <v>3471</v>
      </c>
      <c r="H3691">
        <v>1.4</v>
      </c>
      <c r="I3691" t="s">
        <v>3878</v>
      </c>
      <c r="J3691" t="s">
        <v>3497</v>
      </c>
      <c r="K3691" t="s">
        <v>3705</v>
      </c>
      <c r="L3691">
        <v>0</v>
      </c>
      <c r="M3691" s="453">
        <v>45608</v>
      </c>
      <c r="N3691">
        <v>111.09</v>
      </c>
      <c r="O3691">
        <v>112.9</v>
      </c>
      <c r="P3691">
        <v>155.53</v>
      </c>
    </row>
    <row r="3692" spans="1:16" x14ac:dyDescent="0.3">
      <c r="A3692">
        <v>18687</v>
      </c>
      <c r="B3692">
        <v>116</v>
      </c>
      <c r="C3692" t="s">
        <v>568</v>
      </c>
      <c r="D3692" s="453">
        <v>45689</v>
      </c>
      <c r="E3692">
        <v>19139</v>
      </c>
      <c r="F3692" t="s">
        <v>3887</v>
      </c>
      <c r="G3692">
        <v>2836</v>
      </c>
      <c r="H3692">
        <v>17</v>
      </c>
      <c r="I3692" t="s">
        <v>3888</v>
      </c>
      <c r="J3692" t="s">
        <v>3469</v>
      </c>
      <c r="K3692" t="s">
        <v>3705</v>
      </c>
      <c r="L3692">
        <v>9.07</v>
      </c>
      <c r="M3692" s="453">
        <v>45681</v>
      </c>
      <c r="N3692">
        <v>0</v>
      </c>
      <c r="O3692">
        <v>0</v>
      </c>
      <c r="P3692">
        <v>154.19</v>
      </c>
    </row>
    <row r="3693" spans="1:16" x14ac:dyDescent="0.3">
      <c r="A3693">
        <v>18571</v>
      </c>
      <c r="B3693">
        <v>116</v>
      </c>
      <c r="C3693" t="s">
        <v>568</v>
      </c>
      <c r="D3693" s="453">
        <v>45689</v>
      </c>
      <c r="E3693">
        <v>19984</v>
      </c>
      <c r="F3693" t="s">
        <v>3904</v>
      </c>
      <c r="G3693">
        <v>2351</v>
      </c>
      <c r="H3693">
        <v>8</v>
      </c>
      <c r="I3693" t="s">
        <v>3872</v>
      </c>
      <c r="J3693" t="s">
        <v>3469</v>
      </c>
      <c r="K3693" t="s">
        <v>3705</v>
      </c>
      <c r="L3693">
        <v>18.899999999999999</v>
      </c>
      <c r="M3693" s="453">
        <v>45664</v>
      </c>
      <c r="N3693">
        <v>18.899999999999999</v>
      </c>
      <c r="O3693">
        <v>11.5</v>
      </c>
      <c r="P3693">
        <v>151.19999999999999</v>
      </c>
    </row>
    <row r="3694" spans="1:16" x14ac:dyDescent="0.3">
      <c r="A3694">
        <v>18518</v>
      </c>
      <c r="B3694">
        <v>116</v>
      </c>
      <c r="C3694" t="s">
        <v>568</v>
      </c>
      <c r="D3694" s="453">
        <v>45689</v>
      </c>
      <c r="E3694">
        <v>20729</v>
      </c>
      <c r="F3694" t="s">
        <v>3965</v>
      </c>
      <c r="G3694">
        <v>2093</v>
      </c>
      <c r="H3694">
        <v>3</v>
      </c>
      <c r="I3694" t="s">
        <v>3966</v>
      </c>
      <c r="J3694" t="s">
        <v>3469</v>
      </c>
      <c r="K3694" t="s">
        <v>3705</v>
      </c>
      <c r="L3694">
        <v>49.84</v>
      </c>
      <c r="M3694" s="453">
        <v>45677</v>
      </c>
      <c r="N3694">
        <v>53.78</v>
      </c>
      <c r="O3694">
        <v>53.78</v>
      </c>
      <c r="P3694">
        <v>149.52000000000001</v>
      </c>
    </row>
    <row r="3695" spans="1:16" x14ac:dyDescent="0.3">
      <c r="A3695">
        <v>18522</v>
      </c>
      <c r="B3695">
        <v>116</v>
      </c>
      <c r="C3695" t="s">
        <v>568</v>
      </c>
      <c r="D3695" s="453">
        <v>45689</v>
      </c>
      <c r="E3695">
        <v>20284</v>
      </c>
      <c r="F3695" t="s">
        <v>4512</v>
      </c>
      <c r="G3695">
        <v>2230</v>
      </c>
      <c r="H3695">
        <v>7</v>
      </c>
      <c r="I3695" t="s">
        <v>3888</v>
      </c>
      <c r="J3695" t="s">
        <v>3469</v>
      </c>
      <c r="K3695" t="s">
        <v>3705</v>
      </c>
      <c r="L3695">
        <v>21</v>
      </c>
      <c r="M3695" s="453">
        <v>45665</v>
      </c>
      <c r="N3695">
        <v>21</v>
      </c>
      <c r="O3695">
        <v>21</v>
      </c>
      <c r="P3695">
        <v>147</v>
      </c>
    </row>
    <row r="3696" spans="1:16" x14ac:dyDescent="0.3">
      <c r="A3696">
        <v>18715</v>
      </c>
      <c r="B3696">
        <v>116</v>
      </c>
      <c r="C3696" t="s">
        <v>568</v>
      </c>
      <c r="D3696" s="453">
        <v>45689</v>
      </c>
      <c r="E3696">
        <v>22826</v>
      </c>
      <c r="F3696" t="s">
        <v>3915</v>
      </c>
      <c r="G3696">
        <v>2945</v>
      </c>
      <c r="H3696">
        <v>4.5999999999999996</v>
      </c>
      <c r="I3696" t="s">
        <v>3892</v>
      </c>
      <c r="J3696" t="s">
        <v>3469</v>
      </c>
      <c r="K3696" t="s">
        <v>3705</v>
      </c>
      <c r="L3696">
        <v>30.5</v>
      </c>
      <c r="M3696" s="453">
        <v>45665</v>
      </c>
      <c r="N3696">
        <v>30.5</v>
      </c>
      <c r="O3696">
        <v>30.5</v>
      </c>
      <c r="P3696">
        <v>140.30000000000001</v>
      </c>
    </row>
    <row r="3697" spans="1:16" x14ac:dyDescent="0.3">
      <c r="A3697">
        <v>18697</v>
      </c>
      <c r="B3697">
        <v>116</v>
      </c>
      <c r="C3697" t="s">
        <v>568</v>
      </c>
      <c r="D3697" s="453">
        <v>45689</v>
      </c>
      <c r="E3697">
        <v>18933</v>
      </c>
      <c r="F3697" t="s">
        <v>3957</v>
      </c>
      <c r="G3697">
        <v>2930</v>
      </c>
      <c r="H3697">
        <v>5.2</v>
      </c>
      <c r="I3697" t="s">
        <v>3892</v>
      </c>
      <c r="J3697" t="s">
        <v>3469</v>
      </c>
      <c r="K3697" t="s">
        <v>3705</v>
      </c>
      <c r="L3697">
        <v>26.9</v>
      </c>
      <c r="M3697" s="453">
        <v>45677</v>
      </c>
      <c r="N3697">
        <v>26.9</v>
      </c>
      <c r="O3697">
        <v>27.71</v>
      </c>
      <c r="P3697">
        <v>139.88</v>
      </c>
    </row>
    <row r="3698" spans="1:16" x14ac:dyDescent="0.3">
      <c r="A3698">
        <v>18762</v>
      </c>
      <c r="B3698">
        <v>116</v>
      </c>
      <c r="C3698" t="s">
        <v>568</v>
      </c>
      <c r="D3698" s="453">
        <v>45689</v>
      </c>
      <c r="E3698">
        <v>18194</v>
      </c>
      <c r="F3698" t="s">
        <v>4490</v>
      </c>
      <c r="G3698">
        <v>3430</v>
      </c>
      <c r="H3698">
        <v>2</v>
      </c>
      <c r="I3698" t="s">
        <v>3878</v>
      </c>
      <c r="J3698" t="s">
        <v>3497</v>
      </c>
      <c r="K3698" t="s">
        <v>3705</v>
      </c>
      <c r="L3698">
        <v>69.33</v>
      </c>
      <c r="M3698" s="453">
        <v>45670</v>
      </c>
      <c r="N3698">
        <v>68.19</v>
      </c>
      <c r="O3698">
        <v>96.15</v>
      </c>
      <c r="P3698">
        <v>138.66</v>
      </c>
    </row>
    <row r="3699" spans="1:16" x14ac:dyDescent="0.3">
      <c r="A3699">
        <v>18514</v>
      </c>
      <c r="B3699">
        <v>116</v>
      </c>
      <c r="C3699" t="s">
        <v>568</v>
      </c>
      <c r="D3699" s="453">
        <v>45689</v>
      </c>
      <c r="E3699">
        <v>23982</v>
      </c>
      <c r="F3699" t="s">
        <v>3977</v>
      </c>
      <c r="G3699">
        <v>1999</v>
      </c>
      <c r="H3699">
        <v>0.5</v>
      </c>
      <c r="I3699" t="s">
        <v>3978</v>
      </c>
      <c r="J3699" t="s">
        <v>3469</v>
      </c>
      <c r="K3699" t="s">
        <v>3705</v>
      </c>
      <c r="L3699">
        <v>263.51</v>
      </c>
      <c r="M3699" s="453">
        <v>45673</v>
      </c>
      <c r="N3699">
        <v>263.51</v>
      </c>
      <c r="O3699">
        <v>263.51</v>
      </c>
      <c r="P3699">
        <v>131.76</v>
      </c>
    </row>
    <row r="3700" spans="1:16" x14ac:dyDescent="0.3">
      <c r="A3700">
        <v>18691</v>
      </c>
      <c r="B3700">
        <v>116</v>
      </c>
      <c r="C3700" t="s">
        <v>568</v>
      </c>
      <c r="D3700" s="453">
        <v>45689</v>
      </c>
      <c r="E3700">
        <v>18708</v>
      </c>
      <c r="F3700" t="s">
        <v>4504</v>
      </c>
      <c r="G3700">
        <v>3033</v>
      </c>
      <c r="H3700">
        <v>4.2</v>
      </c>
      <c r="I3700" t="s">
        <v>3892</v>
      </c>
      <c r="J3700" t="s">
        <v>3469</v>
      </c>
      <c r="K3700" t="s">
        <v>3705</v>
      </c>
      <c r="L3700">
        <v>0</v>
      </c>
      <c r="M3700" s="453">
        <v>45462</v>
      </c>
      <c r="N3700">
        <v>29.9</v>
      </c>
      <c r="O3700">
        <v>30.4</v>
      </c>
      <c r="P3700">
        <v>125.58</v>
      </c>
    </row>
    <row r="3701" spans="1:16" x14ac:dyDescent="0.3">
      <c r="A3701">
        <v>18760</v>
      </c>
      <c r="B3701">
        <v>116</v>
      </c>
      <c r="C3701" t="s">
        <v>568</v>
      </c>
      <c r="D3701" s="453">
        <v>45689</v>
      </c>
      <c r="E3701">
        <v>18232</v>
      </c>
      <c r="F3701" t="s">
        <v>4091</v>
      </c>
      <c r="G3701">
        <v>3396</v>
      </c>
      <c r="H3701">
        <v>1.4</v>
      </c>
      <c r="I3701" t="s">
        <v>3878</v>
      </c>
      <c r="J3701" t="s">
        <v>3497</v>
      </c>
      <c r="K3701" t="s">
        <v>3705</v>
      </c>
      <c r="L3701">
        <v>0</v>
      </c>
      <c r="M3701" s="453">
        <v>45434</v>
      </c>
      <c r="N3701">
        <v>88.9</v>
      </c>
      <c r="O3701">
        <v>100.88</v>
      </c>
      <c r="P3701">
        <v>124.46</v>
      </c>
    </row>
    <row r="3702" spans="1:16" x14ac:dyDescent="0.3">
      <c r="A3702">
        <v>18755</v>
      </c>
      <c r="B3702">
        <v>116</v>
      </c>
      <c r="C3702" t="s">
        <v>568</v>
      </c>
      <c r="D3702" s="453">
        <v>45689</v>
      </c>
      <c r="E3702">
        <v>18272</v>
      </c>
      <c r="F3702" t="s">
        <v>4046</v>
      </c>
      <c r="G3702">
        <v>3358</v>
      </c>
      <c r="H3702">
        <v>3.4</v>
      </c>
      <c r="I3702" t="s">
        <v>3878</v>
      </c>
      <c r="J3702" t="s">
        <v>3497</v>
      </c>
      <c r="K3702" t="s">
        <v>3705</v>
      </c>
      <c r="L3702">
        <v>36.6</v>
      </c>
      <c r="M3702" s="453">
        <v>45659</v>
      </c>
      <c r="N3702">
        <v>36.6</v>
      </c>
      <c r="O3702">
        <v>37.950000000000003</v>
      </c>
      <c r="P3702">
        <v>124.44</v>
      </c>
    </row>
    <row r="3703" spans="1:16" x14ac:dyDescent="0.3">
      <c r="A3703">
        <v>18699</v>
      </c>
      <c r="B3703">
        <v>116</v>
      </c>
      <c r="C3703" t="s">
        <v>568</v>
      </c>
      <c r="D3703" s="453">
        <v>45689</v>
      </c>
      <c r="E3703">
        <v>18922</v>
      </c>
      <c r="F3703" t="s">
        <v>4499</v>
      </c>
      <c r="G3703">
        <v>2935</v>
      </c>
      <c r="H3703">
        <v>3.3</v>
      </c>
      <c r="I3703" t="s">
        <v>3892</v>
      </c>
      <c r="J3703" t="s">
        <v>3469</v>
      </c>
      <c r="K3703" t="s">
        <v>3705</v>
      </c>
      <c r="L3703">
        <v>36.58</v>
      </c>
      <c r="M3703" s="453">
        <v>45677</v>
      </c>
      <c r="N3703">
        <v>35.4</v>
      </c>
      <c r="O3703">
        <v>35.4</v>
      </c>
      <c r="P3703">
        <v>120.71</v>
      </c>
    </row>
    <row r="3704" spans="1:16" x14ac:dyDescent="0.3">
      <c r="A3704">
        <v>18502</v>
      </c>
      <c r="B3704">
        <v>116</v>
      </c>
      <c r="C3704" t="s">
        <v>568</v>
      </c>
      <c r="D3704" s="453">
        <v>45689</v>
      </c>
      <c r="E3704">
        <v>25767</v>
      </c>
      <c r="F3704" t="s">
        <v>3976</v>
      </c>
      <c r="G3704">
        <v>6316</v>
      </c>
      <c r="H3704">
        <v>2</v>
      </c>
      <c r="I3704" t="s">
        <v>3892</v>
      </c>
      <c r="J3704" t="s">
        <v>3469</v>
      </c>
      <c r="K3704" t="s">
        <v>3705</v>
      </c>
      <c r="L3704">
        <v>0</v>
      </c>
      <c r="M3704" s="453">
        <v>45635</v>
      </c>
      <c r="N3704">
        <v>60</v>
      </c>
      <c r="O3704">
        <v>60</v>
      </c>
      <c r="P3704">
        <v>120</v>
      </c>
    </row>
    <row r="3705" spans="1:16" x14ac:dyDescent="0.3">
      <c r="A3705">
        <v>18655</v>
      </c>
      <c r="B3705">
        <v>116</v>
      </c>
      <c r="C3705" t="s">
        <v>568</v>
      </c>
      <c r="D3705" s="453">
        <v>45689</v>
      </c>
      <c r="E3705">
        <v>19579</v>
      </c>
      <c r="F3705" t="s">
        <v>4020</v>
      </c>
      <c r="G3705">
        <v>2640</v>
      </c>
      <c r="H3705">
        <v>2</v>
      </c>
      <c r="I3705" t="s">
        <v>3892</v>
      </c>
      <c r="J3705" t="s">
        <v>3469</v>
      </c>
      <c r="K3705" t="s">
        <v>3705</v>
      </c>
      <c r="L3705">
        <v>0</v>
      </c>
      <c r="M3705" s="453">
        <v>45635</v>
      </c>
      <c r="N3705">
        <v>60</v>
      </c>
      <c r="O3705">
        <v>69</v>
      </c>
      <c r="P3705">
        <v>120</v>
      </c>
    </row>
    <row r="3706" spans="1:16" x14ac:dyDescent="0.3">
      <c r="A3706">
        <v>18757</v>
      </c>
      <c r="B3706">
        <v>116</v>
      </c>
      <c r="C3706" t="s">
        <v>568</v>
      </c>
      <c r="D3706" s="453">
        <v>45689</v>
      </c>
      <c r="E3706">
        <v>22338</v>
      </c>
      <c r="F3706" t="s">
        <v>3947</v>
      </c>
      <c r="G3706">
        <v>3376</v>
      </c>
      <c r="H3706">
        <v>4</v>
      </c>
      <c r="I3706" t="s">
        <v>3872</v>
      </c>
      <c r="J3706" t="s">
        <v>3497</v>
      </c>
      <c r="K3706" t="s">
        <v>3705</v>
      </c>
      <c r="L3706">
        <v>29.97</v>
      </c>
      <c r="M3706" s="453">
        <v>45659</v>
      </c>
      <c r="N3706">
        <v>29.97</v>
      </c>
      <c r="O3706">
        <v>28.97</v>
      </c>
      <c r="P3706">
        <v>119.88</v>
      </c>
    </row>
    <row r="3707" spans="1:16" x14ac:dyDescent="0.3">
      <c r="A3707">
        <v>18779</v>
      </c>
      <c r="B3707">
        <v>116</v>
      </c>
      <c r="C3707" t="s">
        <v>568</v>
      </c>
      <c r="D3707" s="453">
        <v>45689</v>
      </c>
      <c r="E3707">
        <v>22044</v>
      </c>
      <c r="F3707" t="s">
        <v>3928</v>
      </c>
      <c r="G3707">
        <v>3656</v>
      </c>
      <c r="H3707">
        <v>54</v>
      </c>
      <c r="I3707" t="s">
        <v>3872</v>
      </c>
      <c r="J3707" t="s">
        <v>3497</v>
      </c>
      <c r="K3707" t="s">
        <v>3705</v>
      </c>
      <c r="L3707">
        <v>2.19</v>
      </c>
      <c r="M3707" s="453">
        <v>45677</v>
      </c>
      <c r="N3707">
        <v>2.19</v>
      </c>
      <c r="O3707">
        <v>2.04</v>
      </c>
      <c r="P3707">
        <v>118.26</v>
      </c>
    </row>
    <row r="3708" spans="1:16" x14ac:dyDescent="0.3">
      <c r="A3708">
        <v>18561</v>
      </c>
      <c r="B3708">
        <v>116</v>
      </c>
      <c r="C3708" t="s">
        <v>568</v>
      </c>
      <c r="D3708" s="453">
        <v>45689</v>
      </c>
      <c r="E3708">
        <v>20007</v>
      </c>
      <c r="F3708" t="s">
        <v>4009</v>
      </c>
      <c r="G3708">
        <v>2343</v>
      </c>
      <c r="H3708">
        <v>2.5</v>
      </c>
      <c r="I3708" t="s">
        <v>3966</v>
      </c>
      <c r="J3708" t="s">
        <v>3469</v>
      </c>
      <c r="K3708" t="s">
        <v>3705</v>
      </c>
      <c r="L3708">
        <v>46.99</v>
      </c>
      <c r="M3708" s="453">
        <v>45677</v>
      </c>
      <c r="N3708">
        <v>47.02</v>
      </c>
      <c r="O3708">
        <v>47.88</v>
      </c>
      <c r="P3708">
        <v>117.48</v>
      </c>
    </row>
    <row r="3709" spans="1:16" x14ac:dyDescent="0.3">
      <c r="A3709">
        <v>18752</v>
      </c>
      <c r="B3709">
        <v>116</v>
      </c>
      <c r="C3709" t="s">
        <v>568</v>
      </c>
      <c r="D3709" s="453">
        <v>45689</v>
      </c>
      <c r="E3709">
        <v>18312</v>
      </c>
      <c r="F3709" t="s">
        <v>4089</v>
      </c>
      <c r="G3709">
        <v>3321</v>
      </c>
      <c r="H3709">
        <v>1</v>
      </c>
      <c r="I3709" t="s">
        <v>3878</v>
      </c>
      <c r="J3709" t="s">
        <v>3497</v>
      </c>
      <c r="K3709" t="s">
        <v>3705</v>
      </c>
      <c r="L3709">
        <v>0</v>
      </c>
      <c r="M3709" s="453">
        <v>45573</v>
      </c>
      <c r="N3709">
        <v>116.89</v>
      </c>
      <c r="O3709">
        <v>135.9</v>
      </c>
      <c r="P3709">
        <v>116.89</v>
      </c>
    </row>
    <row r="3710" spans="1:16" x14ac:dyDescent="0.3">
      <c r="A3710">
        <v>18565</v>
      </c>
      <c r="B3710">
        <v>116</v>
      </c>
      <c r="C3710" t="s">
        <v>568</v>
      </c>
      <c r="D3710" s="453">
        <v>45689</v>
      </c>
      <c r="E3710">
        <v>20117</v>
      </c>
      <c r="F3710" t="s">
        <v>4010</v>
      </c>
      <c r="G3710">
        <v>2291</v>
      </c>
      <c r="H3710">
        <v>3</v>
      </c>
      <c r="I3710" t="s">
        <v>3872</v>
      </c>
      <c r="J3710" t="s">
        <v>3469</v>
      </c>
      <c r="K3710" t="s">
        <v>3705</v>
      </c>
      <c r="L3710">
        <v>38.200000000000003</v>
      </c>
      <c r="M3710" s="453">
        <v>45664</v>
      </c>
      <c r="N3710">
        <v>38.200000000000003</v>
      </c>
      <c r="O3710">
        <v>37.9</v>
      </c>
      <c r="P3710">
        <v>114.6</v>
      </c>
    </row>
    <row r="3711" spans="1:16" x14ac:dyDescent="0.3">
      <c r="A3711">
        <v>18679</v>
      </c>
      <c r="B3711">
        <v>116</v>
      </c>
      <c r="C3711" t="s">
        <v>568</v>
      </c>
      <c r="D3711" s="453">
        <v>45689</v>
      </c>
      <c r="E3711">
        <v>19224</v>
      </c>
      <c r="F3711" t="s">
        <v>4485</v>
      </c>
      <c r="G3711">
        <v>5850</v>
      </c>
      <c r="H3711">
        <v>0.5</v>
      </c>
      <c r="I3711" t="s">
        <v>3872</v>
      </c>
      <c r="J3711" t="s">
        <v>3469</v>
      </c>
      <c r="K3711" t="s">
        <v>3705</v>
      </c>
      <c r="L3711">
        <v>0</v>
      </c>
      <c r="M3711" s="453">
        <v>45586</v>
      </c>
      <c r="N3711">
        <v>228.9</v>
      </c>
      <c r="O3711">
        <v>229.9</v>
      </c>
      <c r="P3711">
        <v>114.45</v>
      </c>
    </row>
    <row r="3712" spans="1:16" x14ac:dyDescent="0.3">
      <c r="A3712">
        <v>18536</v>
      </c>
      <c r="B3712">
        <v>116</v>
      </c>
      <c r="C3712" t="s">
        <v>568</v>
      </c>
      <c r="D3712" s="453">
        <v>45689</v>
      </c>
      <c r="E3712">
        <v>20395</v>
      </c>
      <c r="F3712" t="s">
        <v>4057</v>
      </c>
      <c r="G3712">
        <v>2192</v>
      </c>
      <c r="H3712">
        <v>4.7</v>
      </c>
      <c r="I3712" t="s">
        <v>3872</v>
      </c>
      <c r="J3712" t="s">
        <v>3469</v>
      </c>
      <c r="K3712" t="s">
        <v>3705</v>
      </c>
      <c r="L3712">
        <v>24.28</v>
      </c>
      <c r="M3712" s="453">
        <v>45677</v>
      </c>
      <c r="N3712">
        <v>24.3</v>
      </c>
      <c r="O3712">
        <v>24.3</v>
      </c>
      <c r="P3712">
        <v>114.12</v>
      </c>
    </row>
    <row r="3713" spans="1:16" x14ac:dyDescent="0.3">
      <c r="A3713">
        <v>18719</v>
      </c>
      <c r="B3713">
        <v>116</v>
      </c>
      <c r="C3713" t="s">
        <v>568</v>
      </c>
      <c r="D3713" s="453">
        <v>45689</v>
      </c>
      <c r="E3713">
        <v>22820</v>
      </c>
      <c r="F3713" t="s">
        <v>3896</v>
      </c>
      <c r="G3713">
        <v>2949</v>
      </c>
      <c r="H3713">
        <v>3.3</v>
      </c>
      <c r="I3713" t="s">
        <v>3892</v>
      </c>
      <c r="J3713" t="s">
        <v>3469</v>
      </c>
      <c r="K3713" t="s">
        <v>3705</v>
      </c>
      <c r="L3713">
        <v>34.5</v>
      </c>
      <c r="M3713" s="453">
        <v>45670</v>
      </c>
      <c r="N3713">
        <v>34.5</v>
      </c>
      <c r="O3713">
        <v>49.9</v>
      </c>
      <c r="P3713">
        <v>113.85</v>
      </c>
    </row>
    <row r="3714" spans="1:16" x14ac:dyDescent="0.3">
      <c r="A3714">
        <v>18727</v>
      </c>
      <c r="B3714">
        <v>116</v>
      </c>
      <c r="C3714" t="s">
        <v>568</v>
      </c>
      <c r="D3714" s="453">
        <v>45689</v>
      </c>
      <c r="E3714">
        <v>18986</v>
      </c>
      <c r="F3714" t="s">
        <v>4501</v>
      </c>
      <c r="G3714">
        <v>2901</v>
      </c>
      <c r="H3714">
        <v>11.5</v>
      </c>
      <c r="I3714" t="s">
        <v>3892</v>
      </c>
      <c r="J3714" t="s">
        <v>3469</v>
      </c>
      <c r="K3714" t="s">
        <v>3705</v>
      </c>
      <c r="L3714">
        <v>9.58</v>
      </c>
      <c r="M3714" s="453">
        <v>45674</v>
      </c>
      <c r="N3714">
        <v>9.58</v>
      </c>
      <c r="O3714">
        <v>12.89</v>
      </c>
      <c r="P3714">
        <v>110.17</v>
      </c>
    </row>
    <row r="3715" spans="1:16" x14ac:dyDescent="0.3">
      <c r="A3715">
        <v>18583</v>
      </c>
      <c r="B3715">
        <v>116</v>
      </c>
      <c r="C3715" t="s">
        <v>568</v>
      </c>
      <c r="D3715" s="453">
        <v>45689</v>
      </c>
      <c r="E3715">
        <v>20984</v>
      </c>
      <c r="F3715" t="s">
        <v>4235</v>
      </c>
      <c r="G3715">
        <v>2011</v>
      </c>
      <c r="H3715">
        <v>12</v>
      </c>
      <c r="I3715" t="s">
        <v>3931</v>
      </c>
      <c r="J3715" t="s">
        <v>3469</v>
      </c>
      <c r="K3715" t="s">
        <v>3705</v>
      </c>
      <c r="L3715">
        <v>8.85</v>
      </c>
      <c r="M3715" s="453">
        <v>45677</v>
      </c>
      <c r="N3715">
        <v>8.98</v>
      </c>
      <c r="O3715">
        <v>8.35</v>
      </c>
      <c r="P3715">
        <v>106.2</v>
      </c>
    </row>
    <row r="3716" spans="1:16" x14ac:dyDescent="0.3">
      <c r="A3716">
        <v>18613</v>
      </c>
      <c r="B3716">
        <v>116</v>
      </c>
      <c r="C3716" t="s">
        <v>568</v>
      </c>
      <c r="D3716" s="453">
        <v>45689</v>
      </c>
      <c r="E3716">
        <v>19649</v>
      </c>
      <c r="F3716" t="s">
        <v>4015</v>
      </c>
      <c r="G3716">
        <v>2589</v>
      </c>
      <c r="H3716">
        <v>4</v>
      </c>
      <c r="I3716" t="s">
        <v>3892</v>
      </c>
      <c r="J3716" t="s">
        <v>3469</v>
      </c>
      <c r="K3716" t="s">
        <v>3705</v>
      </c>
      <c r="L3716">
        <v>26.38</v>
      </c>
      <c r="M3716" s="453">
        <v>45688</v>
      </c>
      <c r="N3716">
        <v>26</v>
      </c>
      <c r="O3716">
        <v>26.51</v>
      </c>
      <c r="P3716">
        <v>105.52</v>
      </c>
    </row>
    <row r="3717" spans="1:16" x14ac:dyDescent="0.3">
      <c r="A3717">
        <v>18574</v>
      </c>
      <c r="B3717">
        <v>116</v>
      </c>
      <c r="C3717" t="s">
        <v>568</v>
      </c>
      <c r="D3717" s="453">
        <v>45689</v>
      </c>
      <c r="E3717">
        <v>19961</v>
      </c>
      <c r="F3717" t="s">
        <v>4465</v>
      </c>
      <c r="G3717">
        <v>2357</v>
      </c>
      <c r="H3717">
        <v>8</v>
      </c>
      <c r="I3717" t="s">
        <v>3886</v>
      </c>
      <c r="J3717" t="s">
        <v>3469</v>
      </c>
      <c r="K3717" t="s">
        <v>3705</v>
      </c>
      <c r="L3717">
        <v>12.85</v>
      </c>
      <c r="M3717" s="453">
        <v>45670</v>
      </c>
      <c r="N3717">
        <v>13.39</v>
      </c>
      <c r="O3717">
        <v>12.8</v>
      </c>
      <c r="P3717">
        <v>102.8</v>
      </c>
    </row>
    <row r="3718" spans="1:16" x14ac:dyDescent="0.3">
      <c r="A3718">
        <v>18761</v>
      </c>
      <c r="B3718">
        <v>116</v>
      </c>
      <c r="C3718" t="s">
        <v>568</v>
      </c>
      <c r="D3718" s="453">
        <v>45689</v>
      </c>
      <c r="E3718">
        <v>18220</v>
      </c>
      <c r="F3718" t="s">
        <v>4479</v>
      </c>
      <c r="G3718">
        <v>3408</v>
      </c>
      <c r="H3718">
        <v>1</v>
      </c>
      <c r="I3718" t="s">
        <v>3878</v>
      </c>
      <c r="J3718" t="s">
        <v>3497</v>
      </c>
      <c r="K3718" t="s">
        <v>3705</v>
      </c>
      <c r="L3718">
        <v>0</v>
      </c>
      <c r="M3718" s="453">
        <v>-693593</v>
      </c>
      <c r="N3718">
        <v>0</v>
      </c>
      <c r="O3718">
        <v>115.9</v>
      </c>
      <c r="P3718">
        <v>100.89</v>
      </c>
    </row>
    <row r="3719" spans="1:16" x14ac:dyDescent="0.3">
      <c r="A3719">
        <v>18523</v>
      </c>
      <c r="B3719">
        <v>116</v>
      </c>
      <c r="C3719" t="s">
        <v>568</v>
      </c>
      <c r="D3719" s="453">
        <v>45689</v>
      </c>
      <c r="E3719">
        <v>20809</v>
      </c>
      <c r="F3719" t="s">
        <v>4005</v>
      </c>
      <c r="G3719">
        <v>2074</v>
      </c>
      <c r="H3719">
        <v>4</v>
      </c>
      <c r="I3719" t="s">
        <v>3888</v>
      </c>
      <c r="J3719" t="s">
        <v>3469</v>
      </c>
      <c r="K3719" t="s">
        <v>3705</v>
      </c>
      <c r="L3719">
        <v>24.88</v>
      </c>
      <c r="M3719" s="453">
        <v>45681</v>
      </c>
      <c r="N3719">
        <v>26.95</v>
      </c>
      <c r="O3719">
        <v>27.7</v>
      </c>
      <c r="P3719">
        <v>99.52</v>
      </c>
    </row>
    <row r="3720" spans="1:16" x14ac:dyDescent="0.3">
      <c r="A3720">
        <v>18558</v>
      </c>
      <c r="B3720">
        <v>116</v>
      </c>
      <c r="C3720" t="s">
        <v>568</v>
      </c>
      <c r="D3720" s="453">
        <v>45689</v>
      </c>
      <c r="E3720">
        <v>20508</v>
      </c>
      <c r="F3720" t="s">
        <v>4449</v>
      </c>
      <c r="G3720">
        <v>2153</v>
      </c>
      <c r="H3720">
        <v>3.5</v>
      </c>
      <c r="I3720" t="s">
        <v>3892</v>
      </c>
      <c r="J3720" t="s">
        <v>3469</v>
      </c>
      <c r="K3720" t="s">
        <v>3705</v>
      </c>
      <c r="L3720">
        <v>28</v>
      </c>
      <c r="M3720" s="453">
        <v>45678</v>
      </c>
      <c r="N3720">
        <v>28</v>
      </c>
      <c r="O3720">
        <v>28</v>
      </c>
      <c r="P3720">
        <v>98</v>
      </c>
    </row>
    <row r="3721" spans="1:16" x14ac:dyDescent="0.3">
      <c r="A3721">
        <v>18784</v>
      </c>
      <c r="B3721">
        <v>116</v>
      </c>
      <c r="C3721" t="s">
        <v>568</v>
      </c>
      <c r="D3721" s="453">
        <v>45689</v>
      </c>
      <c r="E3721">
        <v>24467</v>
      </c>
      <c r="F3721" t="s">
        <v>3944</v>
      </c>
      <c r="G3721">
        <v>3673</v>
      </c>
      <c r="H3721">
        <v>49</v>
      </c>
      <c r="I3721" t="s">
        <v>3872</v>
      </c>
      <c r="J3721" t="s">
        <v>3497</v>
      </c>
      <c r="K3721" t="s">
        <v>3705</v>
      </c>
      <c r="L3721">
        <v>0</v>
      </c>
      <c r="M3721" s="453">
        <v>45510</v>
      </c>
      <c r="N3721">
        <v>1.99</v>
      </c>
      <c r="O3721">
        <v>2.19</v>
      </c>
      <c r="P3721">
        <v>97.51</v>
      </c>
    </row>
    <row r="3722" spans="1:16" x14ac:dyDescent="0.3">
      <c r="A3722">
        <v>18577</v>
      </c>
      <c r="B3722">
        <v>116</v>
      </c>
      <c r="C3722" t="s">
        <v>568</v>
      </c>
      <c r="D3722" s="453">
        <v>45689</v>
      </c>
      <c r="E3722">
        <v>19941</v>
      </c>
      <c r="F3722" t="s">
        <v>4505</v>
      </c>
      <c r="G3722">
        <v>2363</v>
      </c>
      <c r="H3722">
        <v>22</v>
      </c>
      <c r="I3722" t="s">
        <v>3872</v>
      </c>
      <c r="J3722" t="s">
        <v>3469</v>
      </c>
      <c r="K3722" t="s">
        <v>3705</v>
      </c>
      <c r="L3722">
        <v>0</v>
      </c>
      <c r="M3722" s="453">
        <v>45523</v>
      </c>
      <c r="N3722">
        <v>4.3</v>
      </c>
      <c r="O3722">
        <v>15.2</v>
      </c>
      <c r="P3722">
        <v>94.6</v>
      </c>
    </row>
    <row r="3723" spans="1:16" x14ac:dyDescent="0.3">
      <c r="A3723">
        <v>18766</v>
      </c>
      <c r="B3723">
        <v>116</v>
      </c>
      <c r="C3723" t="s">
        <v>568</v>
      </c>
      <c r="D3723" s="453">
        <v>45689</v>
      </c>
      <c r="E3723">
        <v>18111</v>
      </c>
      <c r="F3723" t="s">
        <v>4047</v>
      </c>
      <c r="G3723">
        <v>3500</v>
      </c>
      <c r="H3723">
        <v>1</v>
      </c>
      <c r="I3723" t="s">
        <v>3878</v>
      </c>
      <c r="J3723" t="s">
        <v>3497</v>
      </c>
      <c r="K3723" t="s">
        <v>3705</v>
      </c>
      <c r="L3723">
        <v>0</v>
      </c>
      <c r="M3723" s="453">
        <v>45559</v>
      </c>
      <c r="N3723">
        <v>92.47</v>
      </c>
      <c r="O3723">
        <v>79.900000000000006</v>
      </c>
      <c r="P3723">
        <v>92.47</v>
      </c>
    </row>
    <row r="3724" spans="1:16" x14ac:dyDescent="0.3">
      <c r="A3724">
        <v>18647</v>
      </c>
      <c r="B3724">
        <v>116</v>
      </c>
      <c r="C3724" t="s">
        <v>568</v>
      </c>
      <c r="D3724" s="453">
        <v>45689</v>
      </c>
      <c r="E3724">
        <v>19740</v>
      </c>
      <c r="F3724" t="s">
        <v>3933</v>
      </c>
      <c r="G3724">
        <v>2513</v>
      </c>
      <c r="H3724">
        <v>9.3000000000000007</v>
      </c>
      <c r="I3724" t="s">
        <v>3892</v>
      </c>
      <c r="J3724" t="s">
        <v>3469</v>
      </c>
      <c r="K3724" t="s">
        <v>3705</v>
      </c>
      <c r="L3724">
        <v>9.94</v>
      </c>
      <c r="M3724" s="453">
        <v>45688</v>
      </c>
      <c r="N3724">
        <v>7.25</v>
      </c>
      <c r="O3724">
        <v>10.32</v>
      </c>
      <c r="P3724">
        <v>92.44</v>
      </c>
    </row>
    <row r="3725" spans="1:16" x14ac:dyDescent="0.3">
      <c r="A3725">
        <v>18709</v>
      </c>
      <c r="B3725">
        <v>116</v>
      </c>
      <c r="C3725" t="s">
        <v>568</v>
      </c>
      <c r="D3725" s="453">
        <v>45689</v>
      </c>
      <c r="E3725">
        <v>18685</v>
      </c>
      <c r="F3725" t="s">
        <v>3945</v>
      </c>
      <c r="G3725">
        <v>3040</v>
      </c>
      <c r="H3725">
        <v>2.6</v>
      </c>
      <c r="I3725" t="s">
        <v>3892</v>
      </c>
      <c r="J3725" t="s">
        <v>3469</v>
      </c>
      <c r="K3725" t="s">
        <v>3705</v>
      </c>
      <c r="L3725">
        <v>35</v>
      </c>
      <c r="M3725" s="453">
        <v>45678</v>
      </c>
      <c r="N3725">
        <v>0</v>
      </c>
      <c r="O3725">
        <v>36</v>
      </c>
      <c r="P3725">
        <v>91</v>
      </c>
    </row>
    <row r="3726" spans="1:16" x14ac:dyDescent="0.3">
      <c r="A3726">
        <v>18504</v>
      </c>
      <c r="B3726">
        <v>116</v>
      </c>
      <c r="C3726" t="s">
        <v>568</v>
      </c>
      <c r="D3726" s="453">
        <v>45689</v>
      </c>
      <c r="E3726">
        <v>21166</v>
      </c>
      <c r="F3726" t="s">
        <v>4001</v>
      </c>
      <c r="G3726">
        <v>1940</v>
      </c>
      <c r="H3726">
        <v>2.5</v>
      </c>
      <c r="I3726" t="s">
        <v>3872</v>
      </c>
      <c r="J3726" t="s">
        <v>3469</v>
      </c>
      <c r="K3726" t="s">
        <v>3705</v>
      </c>
      <c r="L3726">
        <v>0</v>
      </c>
      <c r="M3726" s="453">
        <v>45615</v>
      </c>
      <c r="N3726">
        <v>36</v>
      </c>
      <c r="O3726">
        <v>36</v>
      </c>
      <c r="P3726">
        <v>90</v>
      </c>
    </row>
    <row r="3727" spans="1:16" x14ac:dyDescent="0.3">
      <c r="A3727">
        <v>18581</v>
      </c>
      <c r="B3727">
        <v>116</v>
      </c>
      <c r="C3727" t="s">
        <v>568</v>
      </c>
      <c r="D3727" s="453">
        <v>45689</v>
      </c>
      <c r="E3727">
        <v>20976</v>
      </c>
      <c r="F3727" t="s">
        <v>4062</v>
      </c>
      <c r="G3727">
        <v>2011</v>
      </c>
      <c r="H3727">
        <v>0.5</v>
      </c>
      <c r="I3727" t="s">
        <v>3884</v>
      </c>
      <c r="J3727" t="s">
        <v>3469</v>
      </c>
      <c r="K3727" t="s">
        <v>3705</v>
      </c>
      <c r="L3727">
        <v>0</v>
      </c>
      <c r="M3727" s="453">
        <v>45672</v>
      </c>
      <c r="N3727">
        <v>0</v>
      </c>
      <c r="O3727">
        <v>0</v>
      </c>
      <c r="P3727">
        <v>90</v>
      </c>
    </row>
    <row r="3728" spans="1:16" x14ac:dyDescent="0.3">
      <c r="A3728">
        <v>18728</v>
      </c>
      <c r="B3728">
        <v>116</v>
      </c>
      <c r="C3728" t="s">
        <v>568</v>
      </c>
      <c r="D3728" s="453">
        <v>45689</v>
      </c>
      <c r="E3728">
        <v>21555</v>
      </c>
      <c r="F3728" t="s">
        <v>4493</v>
      </c>
      <c r="G3728">
        <v>4165</v>
      </c>
      <c r="H3728">
        <v>11</v>
      </c>
      <c r="I3728" t="s">
        <v>3892</v>
      </c>
      <c r="J3728" t="s">
        <v>3497</v>
      </c>
      <c r="K3728" t="s">
        <v>3705</v>
      </c>
      <c r="L3728">
        <v>8</v>
      </c>
      <c r="M3728" s="453">
        <v>45663</v>
      </c>
      <c r="N3728">
        <v>8</v>
      </c>
      <c r="O3728">
        <v>8</v>
      </c>
      <c r="P3728">
        <v>88</v>
      </c>
    </row>
    <row r="3729" spans="1:16" x14ac:dyDescent="0.3">
      <c r="A3729">
        <v>18738</v>
      </c>
      <c r="B3729">
        <v>116</v>
      </c>
      <c r="C3729" t="s">
        <v>568</v>
      </c>
      <c r="D3729" s="453">
        <v>45689</v>
      </c>
      <c r="E3729">
        <v>18534</v>
      </c>
      <c r="F3729" t="s">
        <v>4084</v>
      </c>
      <c r="G3729">
        <v>3143</v>
      </c>
      <c r="H3729">
        <v>1</v>
      </c>
      <c r="I3729" t="s">
        <v>3878</v>
      </c>
      <c r="J3729" t="s">
        <v>3497</v>
      </c>
      <c r="K3729" t="s">
        <v>3705</v>
      </c>
      <c r="L3729">
        <v>0</v>
      </c>
      <c r="M3729" s="453">
        <v>-693593</v>
      </c>
      <c r="N3729">
        <v>0</v>
      </c>
      <c r="O3729">
        <v>0</v>
      </c>
      <c r="P3729">
        <v>86.89</v>
      </c>
    </row>
    <row r="3730" spans="1:16" x14ac:dyDescent="0.3">
      <c r="A3730">
        <v>18575</v>
      </c>
      <c r="B3730">
        <v>116</v>
      </c>
      <c r="C3730" t="s">
        <v>568</v>
      </c>
      <c r="D3730" s="453">
        <v>45689</v>
      </c>
      <c r="E3730">
        <v>19967</v>
      </c>
      <c r="F3730" t="s">
        <v>3930</v>
      </c>
      <c r="G3730">
        <v>2356</v>
      </c>
      <c r="H3730">
        <v>1.5</v>
      </c>
      <c r="I3730" t="s">
        <v>3931</v>
      </c>
      <c r="J3730" t="s">
        <v>3469</v>
      </c>
      <c r="K3730" t="s">
        <v>3705</v>
      </c>
      <c r="L3730">
        <v>0</v>
      </c>
      <c r="M3730" s="453">
        <v>45677</v>
      </c>
      <c r="N3730">
        <v>0</v>
      </c>
      <c r="O3730">
        <v>57.4</v>
      </c>
      <c r="P3730">
        <v>86.1</v>
      </c>
    </row>
    <row r="3731" spans="1:16" x14ac:dyDescent="0.3">
      <c r="A3731">
        <v>18735</v>
      </c>
      <c r="B3731">
        <v>116</v>
      </c>
      <c r="C3731" t="s">
        <v>568</v>
      </c>
      <c r="D3731" s="453">
        <v>45689</v>
      </c>
      <c r="E3731">
        <v>18528</v>
      </c>
      <c r="F3731" t="s">
        <v>4108</v>
      </c>
      <c r="G3731">
        <v>3147</v>
      </c>
      <c r="H3731">
        <v>1.5</v>
      </c>
      <c r="I3731" t="s">
        <v>3878</v>
      </c>
      <c r="J3731" t="s">
        <v>3497</v>
      </c>
      <c r="K3731" t="s">
        <v>3705</v>
      </c>
      <c r="L3731">
        <v>0</v>
      </c>
      <c r="M3731" s="453">
        <v>45503</v>
      </c>
      <c r="N3731">
        <v>55.9</v>
      </c>
      <c r="O3731">
        <v>55.9</v>
      </c>
      <c r="P3731">
        <v>83.85</v>
      </c>
    </row>
    <row r="3732" spans="1:16" x14ac:dyDescent="0.3">
      <c r="A3732">
        <v>18771</v>
      </c>
      <c r="B3732">
        <v>116</v>
      </c>
      <c r="C3732" t="s">
        <v>568</v>
      </c>
      <c r="D3732" s="453">
        <v>45689</v>
      </c>
      <c r="E3732">
        <v>24029</v>
      </c>
      <c r="F3732" t="s">
        <v>3875</v>
      </c>
      <c r="G3732">
        <v>3591</v>
      </c>
      <c r="H3732">
        <v>42</v>
      </c>
      <c r="I3732" t="s">
        <v>3872</v>
      </c>
      <c r="J3732" t="s">
        <v>3497</v>
      </c>
      <c r="K3732" t="s">
        <v>3705</v>
      </c>
      <c r="L3732">
        <v>0</v>
      </c>
      <c r="M3732" s="453">
        <v>45537</v>
      </c>
      <c r="N3732">
        <v>1.99</v>
      </c>
      <c r="O3732">
        <v>2.19</v>
      </c>
      <c r="P3732">
        <v>83.58</v>
      </c>
    </row>
    <row r="3733" spans="1:16" x14ac:dyDescent="0.3">
      <c r="A3733">
        <v>18775</v>
      </c>
      <c r="B3733">
        <v>116</v>
      </c>
      <c r="C3733" t="s">
        <v>568</v>
      </c>
      <c r="D3733" s="453">
        <v>45689</v>
      </c>
      <c r="E3733">
        <v>24226</v>
      </c>
      <c r="F3733" t="s">
        <v>3998</v>
      </c>
      <c r="G3733">
        <v>3647</v>
      </c>
      <c r="H3733">
        <v>13</v>
      </c>
      <c r="I3733" t="s">
        <v>3872</v>
      </c>
      <c r="J3733" t="s">
        <v>3497</v>
      </c>
      <c r="K3733" t="s">
        <v>3705</v>
      </c>
      <c r="L3733">
        <v>0</v>
      </c>
      <c r="M3733" s="453">
        <v>45355</v>
      </c>
      <c r="N3733">
        <v>6.42</v>
      </c>
      <c r="O3733">
        <v>6.82</v>
      </c>
      <c r="P3733">
        <v>83.42</v>
      </c>
    </row>
    <row r="3734" spans="1:16" x14ac:dyDescent="0.3">
      <c r="A3734">
        <v>18527</v>
      </c>
      <c r="B3734">
        <v>116</v>
      </c>
      <c r="C3734" t="s">
        <v>568</v>
      </c>
      <c r="D3734" s="453">
        <v>45689</v>
      </c>
      <c r="E3734">
        <v>26193</v>
      </c>
      <c r="F3734" t="s">
        <v>3950</v>
      </c>
      <c r="G3734">
        <v>6616</v>
      </c>
      <c r="H3734">
        <v>7</v>
      </c>
      <c r="I3734" t="s">
        <v>3872</v>
      </c>
      <c r="J3734" t="s">
        <v>3469</v>
      </c>
      <c r="K3734" t="s">
        <v>3705</v>
      </c>
      <c r="L3734">
        <v>0</v>
      </c>
      <c r="M3734" s="453">
        <v>-693593</v>
      </c>
      <c r="N3734">
        <v>0</v>
      </c>
      <c r="O3734">
        <v>0</v>
      </c>
      <c r="P3734">
        <v>82.95</v>
      </c>
    </row>
    <row r="3735" spans="1:16" x14ac:dyDescent="0.3">
      <c r="A3735">
        <v>18586</v>
      </c>
      <c r="B3735">
        <v>116</v>
      </c>
      <c r="C3735" t="s">
        <v>568</v>
      </c>
      <c r="D3735" s="453">
        <v>45689</v>
      </c>
      <c r="E3735">
        <v>20627</v>
      </c>
      <c r="F3735" t="s">
        <v>4513</v>
      </c>
      <c r="G3735">
        <v>2116</v>
      </c>
      <c r="H3735">
        <v>1</v>
      </c>
      <c r="I3735" t="s">
        <v>3886</v>
      </c>
      <c r="J3735" t="s">
        <v>3469</v>
      </c>
      <c r="K3735" t="s">
        <v>3705</v>
      </c>
      <c r="L3735">
        <v>0</v>
      </c>
      <c r="M3735" s="453">
        <v>45370</v>
      </c>
      <c r="N3735">
        <v>82</v>
      </c>
      <c r="O3735">
        <v>82</v>
      </c>
      <c r="P3735">
        <v>82</v>
      </c>
    </row>
    <row r="3736" spans="1:16" x14ac:dyDescent="0.3">
      <c r="A3736">
        <v>18692</v>
      </c>
      <c r="B3736">
        <v>116</v>
      </c>
      <c r="C3736" t="s">
        <v>568</v>
      </c>
      <c r="D3736" s="453">
        <v>45689</v>
      </c>
      <c r="E3736">
        <v>18696</v>
      </c>
      <c r="F3736" t="s">
        <v>3956</v>
      </c>
      <c r="G3736">
        <v>3035</v>
      </c>
      <c r="H3736">
        <v>3.8</v>
      </c>
      <c r="I3736" t="s">
        <v>3892</v>
      </c>
      <c r="J3736" t="s">
        <v>3469</v>
      </c>
      <c r="K3736" t="s">
        <v>3705</v>
      </c>
      <c r="L3736">
        <v>21.5</v>
      </c>
      <c r="M3736" s="453">
        <v>45670</v>
      </c>
      <c r="N3736">
        <v>21.5</v>
      </c>
      <c r="O3736">
        <v>19.8</v>
      </c>
      <c r="P3736">
        <v>81.7</v>
      </c>
    </row>
    <row r="3737" spans="1:16" x14ac:dyDescent="0.3">
      <c r="A3737">
        <v>18659</v>
      </c>
      <c r="B3737">
        <v>116</v>
      </c>
      <c r="C3737" t="s">
        <v>568</v>
      </c>
      <c r="D3737" s="453">
        <v>45689</v>
      </c>
      <c r="E3737">
        <v>19566</v>
      </c>
      <c r="F3737" t="s">
        <v>3986</v>
      </c>
      <c r="G3737">
        <v>2651</v>
      </c>
      <c r="H3737">
        <v>2</v>
      </c>
      <c r="I3737" t="s">
        <v>3892</v>
      </c>
      <c r="J3737" t="s">
        <v>3469</v>
      </c>
      <c r="K3737" t="s">
        <v>3705</v>
      </c>
      <c r="L3737">
        <v>0</v>
      </c>
      <c r="M3737" s="453">
        <v>45635</v>
      </c>
      <c r="N3737">
        <v>40.5</v>
      </c>
      <c r="O3737">
        <v>40.5</v>
      </c>
      <c r="P3737">
        <v>81</v>
      </c>
    </row>
    <row r="3738" spans="1:16" x14ac:dyDescent="0.3">
      <c r="A3738">
        <v>18672</v>
      </c>
      <c r="B3738">
        <v>116</v>
      </c>
      <c r="C3738" t="s">
        <v>568</v>
      </c>
      <c r="D3738" s="453">
        <v>45689</v>
      </c>
      <c r="E3738">
        <v>19539</v>
      </c>
      <c r="F3738" t="s">
        <v>4133</v>
      </c>
      <c r="G3738">
        <v>2677</v>
      </c>
      <c r="H3738">
        <v>18</v>
      </c>
      <c r="I3738" t="s">
        <v>3892</v>
      </c>
      <c r="J3738" t="s">
        <v>3469</v>
      </c>
      <c r="K3738" t="s">
        <v>3705</v>
      </c>
      <c r="L3738">
        <v>4.5</v>
      </c>
      <c r="M3738" s="453">
        <v>45673</v>
      </c>
      <c r="N3738">
        <v>4.5</v>
      </c>
      <c r="O3738">
        <v>4.5</v>
      </c>
      <c r="P3738">
        <v>81</v>
      </c>
    </row>
    <row r="3739" spans="1:16" x14ac:dyDescent="0.3">
      <c r="A3739">
        <v>18748</v>
      </c>
      <c r="B3739">
        <v>116</v>
      </c>
      <c r="C3739" t="s">
        <v>568</v>
      </c>
      <c r="D3739" s="453">
        <v>45689</v>
      </c>
      <c r="E3739">
        <v>18341</v>
      </c>
      <c r="F3739" t="s">
        <v>4086</v>
      </c>
      <c r="G3739">
        <v>3293</v>
      </c>
      <c r="H3739">
        <v>2</v>
      </c>
      <c r="I3739" t="s">
        <v>3878</v>
      </c>
      <c r="J3739" t="s">
        <v>3497</v>
      </c>
      <c r="K3739" t="s">
        <v>3705</v>
      </c>
      <c r="L3739">
        <v>0</v>
      </c>
      <c r="M3739" s="453">
        <v>-693593</v>
      </c>
      <c r="N3739">
        <v>0</v>
      </c>
      <c r="O3739">
        <v>50</v>
      </c>
      <c r="P3739">
        <v>76</v>
      </c>
    </row>
    <row r="3740" spans="1:16" x14ac:dyDescent="0.3">
      <c r="A3740">
        <v>18509</v>
      </c>
      <c r="B3740">
        <v>116</v>
      </c>
      <c r="C3740" t="s">
        <v>568</v>
      </c>
      <c r="D3740" s="453">
        <v>45689</v>
      </c>
      <c r="E3740">
        <v>20757</v>
      </c>
      <c r="F3740" t="s">
        <v>4050</v>
      </c>
      <c r="G3740">
        <v>2086</v>
      </c>
      <c r="H3740">
        <v>1</v>
      </c>
      <c r="I3740" t="s">
        <v>3966</v>
      </c>
      <c r="J3740" t="s">
        <v>3469</v>
      </c>
      <c r="K3740" t="s">
        <v>3705</v>
      </c>
      <c r="L3740">
        <v>75.2</v>
      </c>
      <c r="M3740" s="453">
        <v>45681</v>
      </c>
      <c r="N3740">
        <v>75.2</v>
      </c>
      <c r="O3740">
        <v>79.8</v>
      </c>
      <c r="P3740">
        <v>75.2</v>
      </c>
    </row>
    <row r="3741" spans="1:16" x14ac:dyDescent="0.3">
      <c r="A3741">
        <v>18736</v>
      </c>
      <c r="B3741">
        <v>116</v>
      </c>
      <c r="C3741" t="s">
        <v>568</v>
      </c>
      <c r="D3741" s="453">
        <v>45689</v>
      </c>
      <c r="E3741">
        <v>18545</v>
      </c>
      <c r="F3741" t="s">
        <v>4099</v>
      </c>
      <c r="G3741">
        <v>3134</v>
      </c>
      <c r="H3741">
        <v>1.6</v>
      </c>
      <c r="I3741" t="s">
        <v>3878</v>
      </c>
      <c r="J3741" t="s">
        <v>3497</v>
      </c>
      <c r="K3741" t="s">
        <v>3705</v>
      </c>
      <c r="L3741">
        <v>45.99</v>
      </c>
      <c r="M3741" s="453">
        <v>45670</v>
      </c>
      <c r="N3741">
        <v>45.99</v>
      </c>
      <c r="O3741">
        <v>45.91</v>
      </c>
      <c r="P3741">
        <v>73.58</v>
      </c>
    </row>
    <row r="3742" spans="1:16" x14ac:dyDescent="0.3">
      <c r="A3742">
        <v>18591</v>
      </c>
      <c r="B3742">
        <v>116</v>
      </c>
      <c r="C3742" t="s">
        <v>568</v>
      </c>
      <c r="D3742" s="453">
        <v>45689</v>
      </c>
      <c r="E3742">
        <v>19922</v>
      </c>
      <c r="F3742" t="s">
        <v>4480</v>
      </c>
      <c r="G3742">
        <v>2375</v>
      </c>
      <c r="H3742">
        <v>1</v>
      </c>
      <c r="I3742" t="s">
        <v>3888</v>
      </c>
      <c r="J3742" t="s">
        <v>3469</v>
      </c>
      <c r="K3742" t="s">
        <v>3705</v>
      </c>
      <c r="L3742">
        <v>0</v>
      </c>
      <c r="M3742" s="453">
        <v>-693593</v>
      </c>
      <c r="N3742">
        <v>0</v>
      </c>
      <c r="O3742">
        <v>73.430000000000007</v>
      </c>
      <c r="P3742">
        <v>73.430000000000007</v>
      </c>
    </row>
    <row r="3743" spans="1:16" x14ac:dyDescent="0.3">
      <c r="A3743">
        <v>18654</v>
      </c>
      <c r="B3743">
        <v>116</v>
      </c>
      <c r="C3743" t="s">
        <v>568</v>
      </c>
      <c r="D3743" s="453">
        <v>45689</v>
      </c>
      <c r="E3743">
        <v>19578</v>
      </c>
      <c r="F3743" t="s">
        <v>3985</v>
      </c>
      <c r="G3743">
        <v>2640</v>
      </c>
      <c r="H3743">
        <v>2</v>
      </c>
      <c r="I3743" t="s">
        <v>3892</v>
      </c>
      <c r="J3743" t="s">
        <v>3469</v>
      </c>
      <c r="K3743" t="s">
        <v>3705</v>
      </c>
      <c r="L3743">
        <v>0</v>
      </c>
      <c r="M3743" s="453">
        <v>45512</v>
      </c>
      <c r="N3743">
        <v>36</v>
      </c>
      <c r="O3743">
        <v>69</v>
      </c>
      <c r="P3743">
        <v>72</v>
      </c>
    </row>
    <row r="3744" spans="1:16" x14ac:dyDescent="0.3">
      <c r="A3744">
        <v>18767</v>
      </c>
      <c r="B3744">
        <v>116</v>
      </c>
      <c r="C3744" t="s">
        <v>568</v>
      </c>
      <c r="D3744" s="453">
        <v>45689</v>
      </c>
      <c r="E3744">
        <v>18030</v>
      </c>
      <c r="F3744" t="s">
        <v>4033</v>
      </c>
      <c r="G3744">
        <v>3568</v>
      </c>
      <c r="H3744">
        <v>2.5</v>
      </c>
      <c r="I3744" t="s">
        <v>3878</v>
      </c>
      <c r="J3744" t="s">
        <v>3497</v>
      </c>
      <c r="K3744" t="s">
        <v>3705</v>
      </c>
      <c r="L3744">
        <v>0</v>
      </c>
      <c r="M3744" s="453">
        <v>45573</v>
      </c>
      <c r="N3744">
        <v>26.9</v>
      </c>
      <c r="O3744">
        <v>28.61</v>
      </c>
      <c r="P3744">
        <v>67.25</v>
      </c>
    </row>
    <row r="3745" spans="1:16" x14ac:dyDescent="0.3">
      <c r="A3745">
        <v>18744</v>
      </c>
      <c r="B3745">
        <v>116</v>
      </c>
      <c r="C3745" t="s">
        <v>568</v>
      </c>
      <c r="D3745" s="453">
        <v>45689</v>
      </c>
      <c r="E3745">
        <v>18447</v>
      </c>
      <c r="F3745" t="s">
        <v>4027</v>
      </c>
      <c r="G3745">
        <v>3204</v>
      </c>
      <c r="H3745">
        <v>5</v>
      </c>
      <c r="I3745" t="s">
        <v>3878</v>
      </c>
      <c r="J3745" t="s">
        <v>3497</v>
      </c>
      <c r="K3745" t="s">
        <v>3705</v>
      </c>
      <c r="L3745">
        <v>13.3</v>
      </c>
      <c r="M3745" s="453">
        <v>45664</v>
      </c>
      <c r="N3745">
        <v>13.3</v>
      </c>
      <c r="O3745">
        <v>13.3</v>
      </c>
      <c r="P3745">
        <v>66.5</v>
      </c>
    </row>
    <row r="3746" spans="1:16" x14ac:dyDescent="0.3">
      <c r="A3746">
        <v>18542</v>
      </c>
      <c r="B3746">
        <v>116</v>
      </c>
      <c r="C3746" t="s">
        <v>568</v>
      </c>
      <c r="D3746" s="453">
        <v>45689</v>
      </c>
      <c r="E3746">
        <v>20238</v>
      </c>
      <c r="F3746" t="s">
        <v>4514</v>
      </c>
      <c r="G3746">
        <v>2242</v>
      </c>
      <c r="H3746">
        <v>9</v>
      </c>
      <c r="I3746" t="s">
        <v>3872</v>
      </c>
      <c r="J3746" t="s">
        <v>3469</v>
      </c>
      <c r="K3746" t="s">
        <v>3705</v>
      </c>
      <c r="L3746">
        <v>0</v>
      </c>
      <c r="M3746" s="453">
        <v>45573</v>
      </c>
      <c r="N3746">
        <v>7.37</v>
      </c>
      <c r="O3746">
        <v>6.75</v>
      </c>
      <c r="P3746">
        <v>66.33</v>
      </c>
    </row>
    <row r="3747" spans="1:16" x14ac:dyDescent="0.3">
      <c r="A3747">
        <v>18698</v>
      </c>
      <c r="B3747">
        <v>116</v>
      </c>
      <c r="C3747" t="s">
        <v>568</v>
      </c>
      <c r="D3747" s="453">
        <v>45689</v>
      </c>
      <c r="E3747">
        <v>24194</v>
      </c>
      <c r="F3747" t="s">
        <v>4181</v>
      </c>
      <c r="G3747">
        <v>3038</v>
      </c>
      <c r="H3747">
        <v>1.5</v>
      </c>
      <c r="I3747" t="s">
        <v>3892</v>
      </c>
      <c r="J3747" t="s">
        <v>3469</v>
      </c>
      <c r="K3747" t="s">
        <v>3705</v>
      </c>
      <c r="L3747">
        <v>44</v>
      </c>
      <c r="M3747" s="453">
        <v>45678</v>
      </c>
      <c r="N3747">
        <v>44</v>
      </c>
      <c r="O3747">
        <v>42</v>
      </c>
      <c r="P3747">
        <v>66</v>
      </c>
    </row>
    <row r="3748" spans="1:16" x14ac:dyDescent="0.3">
      <c r="A3748">
        <v>18505</v>
      </c>
      <c r="B3748">
        <v>116</v>
      </c>
      <c r="C3748" t="s">
        <v>568</v>
      </c>
      <c r="D3748" s="453">
        <v>45689</v>
      </c>
      <c r="E3748">
        <v>21062</v>
      </c>
      <c r="F3748" t="s">
        <v>4481</v>
      </c>
      <c r="G3748">
        <v>1997</v>
      </c>
      <c r="H3748">
        <v>4</v>
      </c>
      <c r="I3748" t="s">
        <v>3878</v>
      </c>
      <c r="J3748" t="s">
        <v>3469</v>
      </c>
      <c r="K3748" t="s">
        <v>3705</v>
      </c>
      <c r="L3748">
        <v>0</v>
      </c>
      <c r="M3748" s="453">
        <v>-693593</v>
      </c>
      <c r="N3748">
        <v>0</v>
      </c>
      <c r="O3748">
        <v>15.2</v>
      </c>
      <c r="P3748">
        <v>62.68</v>
      </c>
    </row>
    <row r="3749" spans="1:16" x14ac:dyDescent="0.3">
      <c r="A3749">
        <v>18553</v>
      </c>
      <c r="B3749">
        <v>116</v>
      </c>
      <c r="C3749" t="s">
        <v>568</v>
      </c>
      <c r="D3749" s="453">
        <v>45689</v>
      </c>
      <c r="E3749">
        <v>20053</v>
      </c>
      <c r="F3749" t="s">
        <v>4457</v>
      </c>
      <c r="G3749">
        <v>2326</v>
      </c>
      <c r="H3749">
        <v>1.5</v>
      </c>
      <c r="I3749" t="s">
        <v>3888</v>
      </c>
      <c r="J3749" t="s">
        <v>3469</v>
      </c>
      <c r="K3749" t="s">
        <v>3705</v>
      </c>
      <c r="L3749">
        <v>0</v>
      </c>
      <c r="M3749" s="453">
        <v>45622</v>
      </c>
      <c r="N3749">
        <v>41</v>
      </c>
      <c r="O3749">
        <v>42.25</v>
      </c>
      <c r="P3749">
        <v>61.5</v>
      </c>
    </row>
    <row r="3750" spans="1:16" x14ac:dyDescent="0.3">
      <c r="A3750">
        <v>18548</v>
      </c>
      <c r="B3750">
        <v>116</v>
      </c>
      <c r="C3750" t="s">
        <v>568</v>
      </c>
      <c r="D3750" s="453">
        <v>45689</v>
      </c>
      <c r="E3750">
        <v>20227</v>
      </c>
      <c r="F3750" t="s">
        <v>3968</v>
      </c>
      <c r="G3750">
        <v>2248</v>
      </c>
      <c r="H3750">
        <v>4</v>
      </c>
      <c r="I3750" t="s">
        <v>3888</v>
      </c>
      <c r="J3750" t="s">
        <v>3469</v>
      </c>
      <c r="K3750" t="s">
        <v>3705</v>
      </c>
      <c r="L3750">
        <v>15.21</v>
      </c>
      <c r="M3750" s="453">
        <v>45670</v>
      </c>
      <c r="N3750">
        <v>15.21</v>
      </c>
      <c r="O3750">
        <v>14.28</v>
      </c>
      <c r="P3750">
        <v>60.84</v>
      </c>
    </row>
    <row r="3751" spans="1:16" x14ac:dyDescent="0.3">
      <c r="A3751">
        <v>18660</v>
      </c>
      <c r="B3751">
        <v>116</v>
      </c>
      <c r="C3751" t="s">
        <v>568</v>
      </c>
      <c r="D3751" s="453">
        <v>45689</v>
      </c>
      <c r="E3751">
        <v>19565</v>
      </c>
      <c r="F3751" t="s">
        <v>3987</v>
      </c>
      <c r="G3751">
        <v>2652</v>
      </c>
      <c r="H3751">
        <v>1.5</v>
      </c>
      <c r="I3751" t="s">
        <v>3892</v>
      </c>
      <c r="J3751" t="s">
        <v>3469</v>
      </c>
      <c r="K3751" t="s">
        <v>3705</v>
      </c>
      <c r="L3751">
        <v>0</v>
      </c>
      <c r="M3751" s="453">
        <v>45635</v>
      </c>
      <c r="N3751">
        <v>40.5</v>
      </c>
      <c r="O3751">
        <v>40.5</v>
      </c>
      <c r="P3751">
        <v>60.75</v>
      </c>
    </row>
    <row r="3752" spans="1:16" x14ac:dyDescent="0.3">
      <c r="A3752">
        <v>18686</v>
      </c>
      <c r="B3752">
        <v>116</v>
      </c>
      <c r="C3752" t="s">
        <v>568</v>
      </c>
      <c r="D3752" s="453">
        <v>45689</v>
      </c>
      <c r="E3752">
        <v>19264</v>
      </c>
      <c r="F3752" t="s">
        <v>4082</v>
      </c>
      <c r="G3752">
        <v>2781</v>
      </c>
      <c r="H3752">
        <v>1</v>
      </c>
      <c r="I3752" t="s">
        <v>3888</v>
      </c>
      <c r="J3752" t="s">
        <v>3469</v>
      </c>
      <c r="K3752" t="s">
        <v>3705</v>
      </c>
      <c r="L3752">
        <v>60.04</v>
      </c>
      <c r="M3752" s="453">
        <v>45665</v>
      </c>
      <c r="N3752">
        <v>60.04</v>
      </c>
      <c r="O3752">
        <v>56.42</v>
      </c>
      <c r="P3752">
        <v>60.04</v>
      </c>
    </row>
    <row r="3753" spans="1:16" x14ac:dyDescent="0.3">
      <c r="A3753">
        <v>18515</v>
      </c>
      <c r="B3753">
        <v>116</v>
      </c>
      <c r="C3753" t="s">
        <v>568</v>
      </c>
      <c r="D3753" s="453">
        <v>45689</v>
      </c>
      <c r="E3753">
        <v>20755</v>
      </c>
      <c r="F3753" t="s">
        <v>4052</v>
      </c>
      <c r="G3753">
        <v>2087</v>
      </c>
      <c r="H3753">
        <v>1</v>
      </c>
      <c r="I3753" t="s">
        <v>3966</v>
      </c>
      <c r="J3753" t="s">
        <v>3469</v>
      </c>
      <c r="K3753" t="s">
        <v>3705</v>
      </c>
      <c r="L3753">
        <v>0</v>
      </c>
      <c r="M3753" s="453">
        <v>45497</v>
      </c>
      <c r="N3753">
        <v>60</v>
      </c>
      <c r="O3753">
        <v>60</v>
      </c>
      <c r="P3753">
        <v>60</v>
      </c>
    </row>
    <row r="3754" spans="1:16" x14ac:dyDescent="0.3">
      <c r="A3754">
        <v>18559</v>
      </c>
      <c r="B3754">
        <v>116</v>
      </c>
      <c r="C3754" t="s">
        <v>568</v>
      </c>
      <c r="D3754" s="453">
        <v>45689</v>
      </c>
      <c r="E3754">
        <v>20501</v>
      </c>
      <c r="F3754" t="s">
        <v>4219</v>
      </c>
      <c r="G3754">
        <v>2154</v>
      </c>
      <c r="H3754">
        <v>3</v>
      </c>
      <c r="I3754" t="s">
        <v>3892</v>
      </c>
      <c r="J3754" t="s">
        <v>3469</v>
      </c>
      <c r="K3754" t="s">
        <v>3705</v>
      </c>
      <c r="L3754">
        <v>0</v>
      </c>
      <c r="M3754" s="453">
        <v>45510</v>
      </c>
      <c r="N3754">
        <v>19.8</v>
      </c>
      <c r="O3754">
        <v>21.49</v>
      </c>
      <c r="P3754">
        <v>59.4</v>
      </c>
    </row>
    <row r="3755" spans="1:16" x14ac:dyDescent="0.3">
      <c r="A3755">
        <v>18717</v>
      </c>
      <c r="B3755">
        <v>116</v>
      </c>
      <c r="C3755" t="s">
        <v>568</v>
      </c>
      <c r="D3755" s="453">
        <v>45689</v>
      </c>
      <c r="E3755">
        <v>22704</v>
      </c>
      <c r="F3755" t="s">
        <v>4039</v>
      </c>
      <c r="G3755">
        <v>3045</v>
      </c>
      <c r="H3755">
        <v>2.7</v>
      </c>
      <c r="I3755" t="s">
        <v>3892</v>
      </c>
      <c r="J3755" t="s">
        <v>3469</v>
      </c>
      <c r="K3755" t="s">
        <v>3705</v>
      </c>
      <c r="L3755">
        <v>22</v>
      </c>
      <c r="M3755" s="453">
        <v>45678</v>
      </c>
      <c r="N3755">
        <v>22</v>
      </c>
      <c r="O3755">
        <v>22</v>
      </c>
      <c r="P3755">
        <v>59.4</v>
      </c>
    </row>
    <row r="3756" spans="1:16" x14ac:dyDescent="0.3">
      <c r="A3756">
        <v>18538</v>
      </c>
      <c r="B3756">
        <v>116</v>
      </c>
      <c r="C3756" t="s">
        <v>568</v>
      </c>
      <c r="D3756" s="453">
        <v>45689</v>
      </c>
      <c r="E3756">
        <v>25720</v>
      </c>
      <c r="F3756" t="s">
        <v>3926</v>
      </c>
      <c r="G3756">
        <v>2197</v>
      </c>
      <c r="H3756">
        <v>3.5</v>
      </c>
      <c r="I3756" t="s">
        <v>3892</v>
      </c>
      <c r="J3756" t="s">
        <v>3469</v>
      </c>
      <c r="K3756" t="s">
        <v>3705</v>
      </c>
      <c r="L3756">
        <v>0</v>
      </c>
      <c r="M3756" s="453">
        <v>-693593</v>
      </c>
      <c r="N3756">
        <v>0</v>
      </c>
      <c r="O3756">
        <v>0</v>
      </c>
      <c r="P3756">
        <v>59.15</v>
      </c>
    </row>
    <row r="3757" spans="1:16" x14ac:dyDescent="0.3">
      <c r="A3757">
        <v>18573</v>
      </c>
      <c r="B3757">
        <v>116</v>
      </c>
      <c r="C3757" t="s">
        <v>568</v>
      </c>
      <c r="D3757" s="453">
        <v>45689</v>
      </c>
      <c r="E3757">
        <v>19973</v>
      </c>
      <c r="F3757" t="s">
        <v>3981</v>
      </c>
      <c r="G3757">
        <v>2354</v>
      </c>
      <c r="H3757">
        <v>3.5</v>
      </c>
      <c r="I3757" t="s">
        <v>3872</v>
      </c>
      <c r="J3757" t="s">
        <v>3469</v>
      </c>
      <c r="K3757" t="s">
        <v>3705</v>
      </c>
      <c r="L3757">
        <v>15.9</v>
      </c>
      <c r="M3757" s="453">
        <v>45677</v>
      </c>
      <c r="N3757">
        <v>15.9</v>
      </c>
      <c r="O3757">
        <v>15.8</v>
      </c>
      <c r="P3757">
        <v>55.65</v>
      </c>
    </row>
    <row r="3758" spans="1:16" x14ac:dyDescent="0.3">
      <c r="A3758">
        <v>18783</v>
      </c>
      <c r="B3758">
        <v>116</v>
      </c>
      <c r="C3758" t="s">
        <v>568</v>
      </c>
      <c r="D3758" s="453">
        <v>45689</v>
      </c>
      <c r="E3758">
        <v>24414</v>
      </c>
      <c r="F3758" t="s">
        <v>3943</v>
      </c>
      <c r="G3758">
        <v>3670</v>
      </c>
      <c r="H3758">
        <v>25</v>
      </c>
      <c r="I3758" t="s">
        <v>3872</v>
      </c>
      <c r="J3758" t="s">
        <v>3497</v>
      </c>
      <c r="K3758" t="s">
        <v>3705</v>
      </c>
      <c r="L3758">
        <v>0</v>
      </c>
      <c r="M3758" s="453">
        <v>45544</v>
      </c>
      <c r="N3758">
        <v>2.19</v>
      </c>
      <c r="O3758">
        <v>2.19</v>
      </c>
      <c r="P3758">
        <v>54.75</v>
      </c>
    </row>
    <row r="3759" spans="1:16" x14ac:dyDescent="0.3">
      <c r="A3759">
        <v>18768</v>
      </c>
      <c r="B3759">
        <v>116</v>
      </c>
      <c r="C3759" t="s">
        <v>568</v>
      </c>
      <c r="D3759" s="453">
        <v>45689</v>
      </c>
      <c r="E3759">
        <v>24002</v>
      </c>
      <c r="F3759" t="s">
        <v>3924</v>
      </c>
      <c r="G3759">
        <v>3614</v>
      </c>
      <c r="H3759">
        <v>9</v>
      </c>
      <c r="I3759" t="s">
        <v>3872</v>
      </c>
      <c r="J3759" t="s">
        <v>3497</v>
      </c>
      <c r="K3759" t="s">
        <v>3705</v>
      </c>
      <c r="L3759">
        <v>0</v>
      </c>
      <c r="M3759" s="453">
        <v>45391</v>
      </c>
      <c r="N3759">
        <v>6</v>
      </c>
      <c r="O3759">
        <v>7.01</v>
      </c>
      <c r="P3759">
        <v>54</v>
      </c>
    </row>
    <row r="3760" spans="1:16" x14ac:dyDescent="0.3">
      <c r="A3760">
        <v>18506</v>
      </c>
      <c r="B3760">
        <v>116</v>
      </c>
      <c r="C3760" t="s">
        <v>568</v>
      </c>
      <c r="D3760" s="453">
        <v>45689</v>
      </c>
      <c r="E3760">
        <v>21093</v>
      </c>
      <c r="F3760" t="s">
        <v>3903</v>
      </c>
      <c r="G3760">
        <v>1988</v>
      </c>
      <c r="H3760">
        <v>11</v>
      </c>
      <c r="I3760" t="s">
        <v>3892</v>
      </c>
      <c r="J3760" t="s">
        <v>3469</v>
      </c>
      <c r="K3760" t="s">
        <v>3705</v>
      </c>
      <c r="L3760">
        <v>4.83</v>
      </c>
      <c r="M3760" s="453">
        <v>45673</v>
      </c>
      <c r="N3760">
        <v>4.83</v>
      </c>
      <c r="O3760">
        <v>4.67</v>
      </c>
      <c r="P3760">
        <v>53.13</v>
      </c>
    </row>
    <row r="3761" spans="1:16" x14ac:dyDescent="0.3">
      <c r="A3761">
        <v>18658</v>
      </c>
      <c r="B3761">
        <v>116</v>
      </c>
      <c r="C3761" t="s">
        <v>568</v>
      </c>
      <c r="D3761" s="453">
        <v>45689</v>
      </c>
      <c r="E3761">
        <v>19571</v>
      </c>
      <c r="F3761" t="s">
        <v>4422</v>
      </c>
      <c r="G3761">
        <v>2647</v>
      </c>
      <c r="H3761">
        <v>1</v>
      </c>
      <c r="I3761" t="s">
        <v>3892</v>
      </c>
      <c r="J3761" t="s">
        <v>3469</v>
      </c>
      <c r="K3761" t="s">
        <v>3705</v>
      </c>
      <c r="L3761">
        <v>0</v>
      </c>
      <c r="M3761" s="453">
        <v>45454</v>
      </c>
      <c r="N3761">
        <v>51.94</v>
      </c>
      <c r="O3761">
        <v>78</v>
      </c>
      <c r="P3761">
        <v>51.94</v>
      </c>
    </row>
    <row r="3762" spans="1:16" x14ac:dyDescent="0.3">
      <c r="A3762">
        <v>18560</v>
      </c>
      <c r="B3762">
        <v>116</v>
      </c>
      <c r="C3762" t="s">
        <v>568</v>
      </c>
      <c r="D3762" s="453">
        <v>45689</v>
      </c>
      <c r="E3762">
        <v>20133</v>
      </c>
      <c r="F3762" t="s">
        <v>4461</v>
      </c>
      <c r="G3762">
        <v>2286</v>
      </c>
      <c r="H3762">
        <v>7</v>
      </c>
      <c r="I3762" t="s">
        <v>3888</v>
      </c>
      <c r="J3762" t="s">
        <v>3469</v>
      </c>
      <c r="K3762" t="s">
        <v>3705</v>
      </c>
      <c r="L3762">
        <v>7.25</v>
      </c>
      <c r="M3762" s="453">
        <v>45664</v>
      </c>
      <c r="N3762">
        <v>7.25</v>
      </c>
      <c r="O3762">
        <v>8.1999999999999993</v>
      </c>
      <c r="P3762">
        <v>50.75</v>
      </c>
    </row>
    <row r="3763" spans="1:16" x14ac:dyDescent="0.3">
      <c r="A3763">
        <v>18552</v>
      </c>
      <c r="B3763">
        <v>116</v>
      </c>
      <c r="C3763" t="s">
        <v>568</v>
      </c>
      <c r="D3763" s="453">
        <v>45689</v>
      </c>
      <c r="E3763">
        <v>20213</v>
      </c>
      <c r="F3763" t="s">
        <v>4059</v>
      </c>
      <c r="G3763">
        <v>2251</v>
      </c>
      <c r="H3763">
        <v>1.5</v>
      </c>
      <c r="I3763" t="s">
        <v>3888</v>
      </c>
      <c r="J3763" t="s">
        <v>3469</v>
      </c>
      <c r="K3763" t="s">
        <v>3705</v>
      </c>
      <c r="L3763">
        <v>32.479999999999997</v>
      </c>
      <c r="M3763" s="453">
        <v>45670</v>
      </c>
      <c r="N3763">
        <v>32.479999999999997</v>
      </c>
      <c r="O3763">
        <v>32.200000000000003</v>
      </c>
      <c r="P3763">
        <v>48.72</v>
      </c>
    </row>
    <row r="3764" spans="1:16" x14ac:dyDescent="0.3">
      <c r="A3764">
        <v>18556</v>
      </c>
      <c r="B3764">
        <v>116</v>
      </c>
      <c r="C3764" t="s">
        <v>568</v>
      </c>
      <c r="D3764" s="453">
        <v>45689</v>
      </c>
      <c r="E3764">
        <v>24328</v>
      </c>
      <c r="F3764" t="s">
        <v>4456</v>
      </c>
      <c r="G3764">
        <v>2146</v>
      </c>
      <c r="H3764">
        <v>2.2999999999999998</v>
      </c>
      <c r="I3764" t="s">
        <v>3892</v>
      </c>
      <c r="J3764" t="s">
        <v>3469</v>
      </c>
      <c r="K3764" t="s">
        <v>3705</v>
      </c>
      <c r="L3764">
        <v>0</v>
      </c>
      <c r="M3764" s="453">
        <v>-693593</v>
      </c>
      <c r="N3764">
        <v>0</v>
      </c>
      <c r="O3764">
        <v>20.9</v>
      </c>
      <c r="P3764">
        <v>48.07</v>
      </c>
    </row>
    <row r="3765" spans="1:16" x14ac:dyDescent="0.3">
      <c r="A3765">
        <v>18777</v>
      </c>
      <c r="B3765">
        <v>116</v>
      </c>
      <c r="C3765" t="s">
        <v>568</v>
      </c>
      <c r="D3765" s="453">
        <v>45689</v>
      </c>
      <c r="E3765">
        <v>24227</v>
      </c>
      <c r="F3765" t="s">
        <v>3970</v>
      </c>
      <c r="G3765">
        <v>3648</v>
      </c>
      <c r="H3765">
        <v>7</v>
      </c>
      <c r="I3765" t="s">
        <v>3872</v>
      </c>
      <c r="J3765" t="s">
        <v>3497</v>
      </c>
      <c r="K3765" t="s">
        <v>3705</v>
      </c>
      <c r="L3765">
        <v>0</v>
      </c>
      <c r="M3765" s="453">
        <v>-693593</v>
      </c>
      <c r="N3765">
        <v>0</v>
      </c>
      <c r="O3765">
        <v>6.82</v>
      </c>
      <c r="P3765">
        <v>47.74</v>
      </c>
    </row>
    <row r="3766" spans="1:16" x14ac:dyDescent="0.3">
      <c r="A3766">
        <v>18602</v>
      </c>
      <c r="B3766">
        <v>116</v>
      </c>
      <c r="C3766" t="s">
        <v>568</v>
      </c>
      <c r="D3766" s="453">
        <v>45689</v>
      </c>
      <c r="E3766">
        <v>20456</v>
      </c>
      <c r="F3766" t="s">
        <v>4000</v>
      </c>
      <c r="G3766">
        <v>2166</v>
      </c>
      <c r="H3766">
        <v>1.2</v>
      </c>
      <c r="I3766" t="s">
        <v>3892</v>
      </c>
      <c r="J3766" t="s">
        <v>3469</v>
      </c>
      <c r="K3766" t="s">
        <v>3705</v>
      </c>
      <c r="L3766">
        <v>39</v>
      </c>
      <c r="M3766" s="453">
        <v>45671</v>
      </c>
      <c r="N3766">
        <v>39</v>
      </c>
      <c r="O3766">
        <v>39</v>
      </c>
      <c r="P3766">
        <v>46.8</v>
      </c>
    </row>
    <row r="3767" spans="1:16" x14ac:dyDescent="0.3">
      <c r="A3767">
        <v>18678</v>
      </c>
      <c r="B3767">
        <v>116</v>
      </c>
      <c r="C3767" t="s">
        <v>568</v>
      </c>
      <c r="D3767" s="453">
        <v>45689</v>
      </c>
      <c r="E3767">
        <v>19428</v>
      </c>
      <c r="F3767" t="s">
        <v>4169</v>
      </c>
      <c r="G3767">
        <v>2758</v>
      </c>
      <c r="H3767">
        <v>8</v>
      </c>
      <c r="I3767" t="s">
        <v>3872</v>
      </c>
      <c r="J3767" t="s">
        <v>3469</v>
      </c>
      <c r="K3767" t="s">
        <v>3705</v>
      </c>
      <c r="L3767">
        <v>5.79</v>
      </c>
      <c r="M3767" s="453">
        <v>45677</v>
      </c>
      <c r="N3767">
        <v>5.79</v>
      </c>
      <c r="O3767">
        <v>5.79</v>
      </c>
      <c r="P3767">
        <v>46.32</v>
      </c>
    </row>
    <row r="3768" spans="1:16" x14ac:dyDescent="0.3">
      <c r="A3768">
        <v>18530</v>
      </c>
      <c r="B3768">
        <v>116</v>
      </c>
      <c r="C3768" t="s">
        <v>568</v>
      </c>
      <c r="D3768" s="453">
        <v>45689</v>
      </c>
      <c r="E3768">
        <v>20702</v>
      </c>
      <c r="F3768" t="s">
        <v>4006</v>
      </c>
      <c r="G3768">
        <v>2101</v>
      </c>
      <c r="H3768">
        <v>1</v>
      </c>
      <c r="I3768" t="s">
        <v>3966</v>
      </c>
      <c r="J3768" t="s">
        <v>3469</v>
      </c>
      <c r="K3768" t="s">
        <v>3705</v>
      </c>
      <c r="L3768">
        <v>46.03</v>
      </c>
      <c r="M3768" s="453">
        <v>45670</v>
      </c>
      <c r="N3768">
        <v>37.799999999999997</v>
      </c>
      <c r="O3768">
        <v>38.9</v>
      </c>
      <c r="P3768">
        <v>46.03</v>
      </c>
    </row>
    <row r="3769" spans="1:16" x14ac:dyDescent="0.3">
      <c r="A3769">
        <v>18633</v>
      </c>
      <c r="B3769">
        <v>116</v>
      </c>
      <c r="C3769" t="s">
        <v>568</v>
      </c>
      <c r="D3769" s="453">
        <v>45689</v>
      </c>
      <c r="E3769">
        <v>24230</v>
      </c>
      <c r="F3769" t="s">
        <v>4018</v>
      </c>
      <c r="G3769">
        <v>2622</v>
      </c>
      <c r="H3769">
        <v>2</v>
      </c>
      <c r="I3769" t="s">
        <v>3892</v>
      </c>
      <c r="J3769" t="s">
        <v>3469</v>
      </c>
      <c r="K3769" t="s">
        <v>3705</v>
      </c>
      <c r="L3769">
        <v>22.95</v>
      </c>
      <c r="M3769" s="453">
        <v>45659</v>
      </c>
      <c r="N3769">
        <v>22.95</v>
      </c>
      <c r="O3769">
        <v>21.5</v>
      </c>
      <c r="P3769">
        <v>45.9</v>
      </c>
    </row>
    <row r="3770" spans="1:16" x14ac:dyDescent="0.3">
      <c r="A3770">
        <v>18507</v>
      </c>
      <c r="B3770">
        <v>116</v>
      </c>
      <c r="C3770" t="s">
        <v>568</v>
      </c>
      <c r="D3770" s="453">
        <v>45689</v>
      </c>
      <c r="E3770">
        <v>21085</v>
      </c>
      <c r="F3770" t="s">
        <v>4114</v>
      </c>
      <c r="G3770">
        <v>1989</v>
      </c>
      <c r="H3770">
        <v>1</v>
      </c>
      <c r="I3770" t="s">
        <v>3881</v>
      </c>
      <c r="J3770" t="s">
        <v>3469</v>
      </c>
      <c r="K3770" t="s">
        <v>3705</v>
      </c>
      <c r="L3770">
        <v>0</v>
      </c>
      <c r="M3770" s="453">
        <v>45524</v>
      </c>
      <c r="N3770">
        <v>44.8</v>
      </c>
      <c r="O3770">
        <v>22.29</v>
      </c>
      <c r="P3770">
        <v>44.8</v>
      </c>
    </row>
    <row r="3771" spans="1:16" x14ac:dyDescent="0.3">
      <c r="A3771">
        <v>18734</v>
      </c>
      <c r="B3771">
        <v>116</v>
      </c>
      <c r="C3771" t="s">
        <v>568</v>
      </c>
      <c r="D3771" s="453">
        <v>45689</v>
      </c>
      <c r="E3771">
        <v>18547</v>
      </c>
      <c r="F3771" t="s">
        <v>3962</v>
      </c>
      <c r="G3771">
        <v>3132</v>
      </c>
      <c r="H3771">
        <v>1.2</v>
      </c>
      <c r="I3771" t="s">
        <v>3878</v>
      </c>
      <c r="J3771" t="s">
        <v>3497</v>
      </c>
      <c r="K3771" t="s">
        <v>3705</v>
      </c>
      <c r="L3771">
        <v>0</v>
      </c>
      <c r="M3771" s="453">
        <v>-693593</v>
      </c>
      <c r="N3771">
        <v>0</v>
      </c>
      <c r="O3771">
        <v>38.19</v>
      </c>
      <c r="P3771">
        <v>44.28</v>
      </c>
    </row>
    <row r="3772" spans="1:16" x14ac:dyDescent="0.3">
      <c r="A3772">
        <v>18606</v>
      </c>
      <c r="B3772">
        <v>116</v>
      </c>
      <c r="C3772" t="s">
        <v>568</v>
      </c>
      <c r="D3772" s="453">
        <v>45689</v>
      </c>
      <c r="E3772">
        <v>20954</v>
      </c>
      <c r="F3772" t="s">
        <v>4452</v>
      </c>
      <c r="G3772">
        <v>2021</v>
      </c>
      <c r="H3772">
        <v>1</v>
      </c>
      <c r="I3772" t="s">
        <v>3878</v>
      </c>
      <c r="J3772" t="s">
        <v>3469</v>
      </c>
      <c r="K3772" t="s">
        <v>3705</v>
      </c>
      <c r="L3772">
        <v>0</v>
      </c>
      <c r="M3772" s="453">
        <v>-693593</v>
      </c>
      <c r="N3772">
        <v>0</v>
      </c>
      <c r="O3772">
        <v>43.99</v>
      </c>
      <c r="P3772">
        <v>43.99</v>
      </c>
    </row>
    <row r="3773" spans="1:16" x14ac:dyDescent="0.3">
      <c r="A3773">
        <v>18605</v>
      </c>
      <c r="B3773">
        <v>116</v>
      </c>
      <c r="C3773" t="s">
        <v>568</v>
      </c>
      <c r="D3773" s="453">
        <v>45689</v>
      </c>
      <c r="E3773">
        <v>20949</v>
      </c>
      <c r="F3773" t="s">
        <v>3983</v>
      </c>
      <c r="G3773">
        <v>2023</v>
      </c>
      <c r="H3773">
        <v>6</v>
      </c>
      <c r="I3773" t="s">
        <v>3878</v>
      </c>
      <c r="J3773" t="s">
        <v>3469</v>
      </c>
      <c r="K3773" t="s">
        <v>3705</v>
      </c>
      <c r="L3773">
        <v>6.99</v>
      </c>
      <c r="M3773" s="453">
        <v>45664</v>
      </c>
      <c r="N3773">
        <v>6.99</v>
      </c>
      <c r="O3773">
        <v>5.79</v>
      </c>
      <c r="P3773">
        <v>41.94</v>
      </c>
    </row>
    <row r="3774" spans="1:16" x14ac:dyDescent="0.3">
      <c r="A3774">
        <v>18730</v>
      </c>
      <c r="B3774">
        <v>116</v>
      </c>
      <c r="C3774" t="s">
        <v>568</v>
      </c>
      <c r="D3774" s="453">
        <v>45689</v>
      </c>
      <c r="E3774">
        <v>24599</v>
      </c>
      <c r="F3774" t="s">
        <v>3897</v>
      </c>
      <c r="G3774">
        <v>5676</v>
      </c>
      <c r="H3774">
        <v>9</v>
      </c>
      <c r="I3774" t="s">
        <v>3888</v>
      </c>
      <c r="J3774" t="s">
        <v>3497</v>
      </c>
      <c r="K3774" t="s">
        <v>3705</v>
      </c>
      <c r="L3774">
        <v>4.53</v>
      </c>
      <c r="M3774" s="453">
        <v>45670</v>
      </c>
      <c r="N3774">
        <v>4.53</v>
      </c>
      <c r="O3774">
        <v>99.68</v>
      </c>
      <c r="P3774">
        <v>40.770000000000003</v>
      </c>
    </row>
    <row r="3775" spans="1:16" x14ac:dyDescent="0.3">
      <c r="A3775">
        <v>18535</v>
      </c>
      <c r="B3775">
        <v>116</v>
      </c>
      <c r="C3775" t="s">
        <v>568</v>
      </c>
      <c r="D3775" s="453">
        <v>45689</v>
      </c>
      <c r="E3775">
        <v>25167</v>
      </c>
      <c r="F3775" t="s">
        <v>3951</v>
      </c>
      <c r="G3775">
        <v>5930</v>
      </c>
      <c r="H3775">
        <v>2</v>
      </c>
      <c r="I3775" t="s">
        <v>3892</v>
      </c>
      <c r="J3775" t="s">
        <v>3469</v>
      </c>
      <c r="K3775" t="s">
        <v>3705</v>
      </c>
      <c r="L3775">
        <v>19.8</v>
      </c>
      <c r="M3775" s="453">
        <v>45670</v>
      </c>
      <c r="N3775">
        <v>19.8</v>
      </c>
      <c r="O3775">
        <v>9.15</v>
      </c>
      <c r="P3775">
        <v>39.6</v>
      </c>
    </row>
    <row r="3776" spans="1:16" x14ac:dyDescent="0.3">
      <c r="A3776">
        <v>18503</v>
      </c>
      <c r="B3776">
        <v>116</v>
      </c>
      <c r="C3776" t="s">
        <v>568</v>
      </c>
      <c r="D3776" s="453">
        <v>45689</v>
      </c>
      <c r="E3776">
        <v>24456</v>
      </c>
      <c r="F3776" t="s">
        <v>4048</v>
      </c>
      <c r="G3776">
        <v>1965</v>
      </c>
      <c r="H3776">
        <v>1.7</v>
      </c>
      <c r="I3776" t="s">
        <v>3892</v>
      </c>
      <c r="J3776" t="s">
        <v>3469</v>
      </c>
      <c r="K3776" t="s">
        <v>3705</v>
      </c>
      <c r="L3776">
        <v>0</v>
      </c>
      <c r="M3776" s="453">
        <v>45547</v>
      </c>
      <c r="N3776">
        <v>22.95</v>
      </c>
      <c r="O3776">
        <v>27</v>
      </c>
      <c r="P3776">
        <v>39.020000000000003</v>
      </c>
    </row>
    <row r="3777" spans="1:16" x14ac:dyDescent="0.3">
      <c r="A3777">
        <v>18778</v>
      </c>
      <c r="B3777">
        <v>116</v>
      </c>
      <c r="C3777" t="s">
        <v>568</v>
      </c>
      <c r="D3777" s="453">
        <v>45689</v>
      </c>
      <c r="E3777">
        <v>17942</v>
      </c>
      <c r="F3777" t="s">
        <v>4035</v>
      </c>
      <c r="G3777">
        <v>3630</v>
      </c>
      <c r="H3777">
        <v>3</v>
      </c>
      <c r="I3777" t="s">
        <v>3872</v>
      </c>
      <c r="J3777" t="s">
        <v>3497</v>
      </c>
      <c r="K3777" t="s">
        <v>3705</v>
      </c>
      <c r="L3777">
        <v>0</v>
      </c>
      <c r="M3777" s="453">
        <v>45567</v>
      </c>
      <c r="N3777">
        <v>13</v>
      </c>
      <c r="O3777">
        <v>13</v>
      </c>
      <c r="P3777">
        <v>39</v>
      </c>
    </row>
    <row r="3778" spans="1:16" x14ac:dyDescent="0.3">
      <c r="A3778">
        <v>18540</v>
      </c>
      <c r="B3778">
        <v>116</v>
      </c>
      <c r="C3778" t="s">
        <v>568</v>
      </c>
      <c r="D3778" s="453">
        <v>45689</v>
      </c>
      <c r="E3778">
        <v>20359</v>
      </c>
      <c r="F3778" t="s">
        <v>3917</v>
      </c>
      <c r="G3778">
        <v>2199</v>
      </c>
      <c r="H3778">
        <v>8.8000000000000007</v>
      </c>
      <c r="I3778" t="s">
        <v>3872</v>
      </c>
      <c r="J3778" t="s">
        <v>3469</v>
      </c>
      <c r="K3778" t="s">
        <v>3705</v>
      </c>
      <c r="L3778">
        <v>0</v>
      </c>
      <c r="M3778" s="453">
        <v>45623</v>
      </c>
      <c r="N3778">
        <v>4.43</v>
      </c>
      <c r="O3778">
        <v>4.6900000000000004</v>
      </c>
      <c r="P3778">
        <v>38.979999999999997</v>
      </c>
    </row>
    <row r="3779" spans="1:16" x14ac:dyDescent="0.3">
      <c r="A3779">
        <v>18528</v>
      </c>
      <c r="B3779">
        <v>116</v>
      </c>
      <c r="C3779" t="s">
        <v>568</v>
      </c>
      <c r="D3779" s="453">
        <v>45689</v>
      </c>
      <c r="E3779">
        <v>20717</v>
      </c>
      <c r="F3779" t="s">
        <v>4055</v>
      </c>
      <c r="G3779">
        <v>2097</v>
      </c>
      <c r="H3779">
        <v>1</v>
      </c>
      <c r="I3779" t="s">
        <v>3872</v>
      </c>
      <c r="J3779" t="s">
        <v>3469</v>
      </c>
      <c r="K3779" t="s">
        <v>3705</v>
      </c>
      <c r="L3779">
        <v>38.89</v>
      </c>
      <c r="M3779" s="453">
        <v>45670</v>
      </c>
      <c r="N3779">
        <v>38.89</v>
      </c>
      <c r="O3779">
        <v>38.89</v>
      </c>
      <c r="P3779">
        <v>38.89</v>
      </c>
    </row>
    <row r="3780" spans="1:16" x14ac:dyDescent="0.3">
      <c r="A3780">
        <v>18607</v>
      </c>
      <c r="B3780">
        <v>116</v>
      </c>
      <c r="C3780" t="s">
        <v>568</v>
      </c>
      <c r="D3780" s="453">
        <v>45689</v>
      </c>
      <c r="E3780">
        <v>19787</v>
      </c>
      <c r="F3780" t="s">
        <v>3940</v>
      </c>
      <c r="G3780">
        <v>2471</v>
      </c>
      <c r="H3780">
        <v>5.5</v>
      </c>
      <c r="I3780" t="s">
        <v>3892</v>
      </c>
      <c r="J3780" t="s">
        <v>3469</v>
      </c>
      <c r="K3780" t="s">
        <v>3705</v>
      </c>
      <c r="L3780">
        <v>7.05</v>
      </c>
      <c r="M3780" s="453">
        <v>45688</v>
      </c>
      <c r="N3780">
        <v>7</v>
      </c>
      <c r="O3780">
        <v>7.04</v>
      </c>
      <c r="P3780">
        <v>38.78</v>
      </c>
    </row>
    <row r="3781" spans="1:16" x14ac:dyDescent="0.3">
      <c r="A3781">
        <v>18628</v>
      </c>
      <c r="B3781">
        <v>116</v>
      </c>
      <c r="C3781" t="s">
        <v>568</v>
      </c>
      <c r="D3781" s="453">
        <v>45689</v>
      </c>
      <c r="E3781">
        <v>19486</v>
      </c>
      <c r="F3781" t="s">
        <v>4472</v>
      </c>
      <c r="G3781">
        <v>7790</v>
      </c>
      <c r="H3781">
        <v>1</v>
      </c>
      <c r="I3781" t="s">
        <v>3966</v>
      </c>
      <c r="J3781" t="s">
        <v>3469</v>
      </c>
      <c r="K3781" t="s">
        <v>3705</v>
      </c>
      <c r="L3781">
        <v>0</v>
      </c>
      <c r="M3781" s="453">
        <v>45636</v>
      </c>
      <c r="N3781">
        <v>37.92</v>
      </c>
      <c r="O3781">
        <v>37.92</v>
      </c>
      <c r="P3781">
        <v>37.92</v>
      </c>
    </row>
    <row r="3782" spans="1:16" x14ac:dyDescent="0.3">
      <c r="A3782">
        <v>18598</v>
      </c>
      <c r="B3782">
        <v>116</v>
      </c>
      <c r="C3782" t="s">
        <v>568</v>
      </c>
      <c r="D3782" s="453">
        <v>45689</v>
      </c>
      <c r="E3782">
        <v>24458</v>
      </c>
      <c r="F3782" t="s">
        <v>4506</v>
      </c>
      <c r="G3782">
        <v>2160</v>
      </c>
      <c r="H3782">
        <v>0.6</v>
      </c>
      <c r="I3782" t="s">
        <v>3892</v>
      </c>
      <c r="J3782" t="s">
        <v>3469</v>
      </c>
      <c r="K3782" t="s">
        <v>3705</v>
      </c>
      <c r="L3782">
        <v>0</v>
      </c>
      <c r="M3782" s="453">
        <v>45370</v>
      </c>
      <c r="N3782">
        <v>62</v>
      </c>
      <c r="O3782">
        <v>62</v>
      </c>
      <c r="P3782">
        <v>37.200000000000003</v>
      </c>
    </row>
    <row r="3783" spans="1:16" x14ac:dyDescent="0.3">
      <c r="A3783">
        <v>18603</v>
      </c>
      <c r="B3783">
        <v>116</v>
      </c>
      <c r="C3783" t="s">
        <v>568</v>
      </c>
      <c r="D3783" s="453">
        <v>45689</v>
      </c>
      <c r="E3783">
        <v>25769</v>
      </c>
      <c r="F3783" t="s">
        <v>4013</v>
      </c>
      <c r="G3783">
        <v>6318</v>
      </c>
      <c r="H3783">
        <v>0.9</v>
      </c>
      <c r="I3783" t="s">
        <v>3892</v>
      </c>
      <c r="J3783" t="s">
        <v>3469</v>
      </c>
      <c r="K3783" t="s">
        <v>3705</v>
      </c>
      <c r="L3783">
        <v>0</v>
      </c>
      <c r="M3783" s="453">
        <v>-693593</v>
      </c>
      <c r="N3783">
        <v>0</v>
      </c>
      <c r="O3783">
        <v>41.4</v>
      </c>
      <c r="P3783">
        <v>36.450000000000003</v>
      </c>
    </row>
    <row r="3784" spans="1:16" x14ac:dyDescent="0.3">
      <c r="A3784">
        <v>18635</v>
      </c>
      <c r="B3784">
        <v>116</v>
      </c>
      <c r="C3784" t="s">
        <v>568</v>
      </c>
      <c r="D3784" s="453">
        <v>45689</v>
      </c>
      <c r="E3784">
        <v>19765</v>
      </c>
      <c r="F3784" t="s">
        <v>4071</v>
      </c>
      <c r="G3784">
        <v>2488</v>
      </c>
      <c r="H3784">
        <v>1</v>
      </c>
      <c r="I3784" t="s">
        <v>3892</v>
      </c>
      <c r="J3784" t="s">
        <v>3469</v>
      </c>
      <c r="K3784" t="s">
        <v>3705</v>
      </c>
      <c r="L3784">
        <v>36.130000000000003</v>
      </c>
      <c r="M3784" s="453">
        <v>45680</v>
      </c>
      <c r="N3784">
        <v>37.26</v>
      </c>
      <c r="O3784">
        <v>36</v>
      </c>
      <c r="P3784">
        <v>36.130000000000003</v>
      </c>
    </row>
    <row r="3785" spans="1:16" x14ac:dyDescent="0.3">
      <c r="A3785">
        <v>18596</v>
      </c>
      <c r="B3785">
        <v>116</v>
      </c>
      <c r="C3785" t="s">
        <v>568</v>
      </c>
      <c r="D3785" s="453">
        <v>45689</v>
      </c>
      <c r="E3785">
        <v>19907</v>
      </c>
      <c r="F3785" t="s">
        <v>4467</v>
      </c>
      <c r="G3785">
        <v>2381</v>
      </c>
      <c r="H3785">
        <v>12</v>
      </c>
      <c r="I3785" t="s">
        <v>3872</v>
      </c>
      <c r="J3785" t="s">
        <v>3469</v>
      </c>
      <c r="K3785" t="s">
        <v>3705</v>
      </c>
      <c r="L3785">
        <v>3.01</v>
      </c>
      <c r="M3785" s="453">
        <v>45670</v>
      </c>
      <c r="N3785">
        <v>3.01</v>
      </c>
      <c r="O3785">
        <v>3.04</v>
      </c>
      <c r="P3785">
        <v>36.119999999999997</v>
      </c>
    </row>
    <row r="3786" spans="1:16" x14ac:dyDescent="0.3">
      <c r="A3786">
        <v>18545</v>
      </c>
      <c r="B3786">
        <v>116</v>
      </c>
      <c r="C3786" t="s">
        <v>568</v>
      </c>
      <c r="D3786" s="453">
        <v>45689</v>
      </c>
      <c r="E3786">
        <v>20231</v>
      </c>
      <c r="F3786" t="s">
        <v>4123</v>
      </c>
      <c r="G3786">
        <v>2247</v>
      </c>
      <c r="H3786">
        <v>2</v>
      </c>
      <c r="I3786" t="s">
        <v>3888</v>
      </c>
      <c r="J3786" t="s">
        <v>3469</v>
      </c>
      <c r="K3786" t="s">
        <v>3705</v>
      </c>
      <c r="L3786">
        <v>0</v>
      </c>
      <c r="M3786" s="453">
        <v>45545</v>
      </c>
      <c r="N3786">
        <v>17.7</v>
      </c>
      <c r="O3786">
        <v>18.899999999999999</v>
      </c>
      <c r="P3786">
        <v>35.4</v>
      </c>
    </row>
    <row r="3787" spans="1:16" x14ac:dyDescent="0.3">
      <c r="A3787">
        <v>18554</v>
      </c>
      <c r="B3787">
        <v>116</v>
      </c>
      <c r="C3787" t="s">
        <v>568</v>
      </c>
      <c r="D3787" s="453">
        <v>45689</v>
      </c>
      <c r="E3787">
        <v>20661</v>
      </c>
      <c r="F3787" t="s">
        <v>3919</v>
      </c>
      <c r="G3787">
        <v>2110</v>
      </c>
      <c r="H3787">
        <v>4</v>
      </c>
      <c r="I3787" t="s">
        <v>3872</v>
      </c>
      <c r="J3787" t="s">
        <v>3469</v>
      </c>
      <c r="K3787" t="s">
        <v>3705</v>
      </c>
      <c r="L3787">
        <v>8.7799999999999994</v>
      </c>
      <c r="M3787" s="453">
        <v>45677</v>
      </c>
      <c r="N3787">
        <v>8.9499999999999993</v>
      </c>
      <c r="O3787">
        <v>8.82</v>
      </c>
      <c r="P3787">
        <v>35.119999999999997</v>
      </c>
    </row>
    <row r="3788" spans="1:16" x14ac:dyDescent="0.3">
      <c r="A3788">
        <v>18750</v>
      </c>
      <c r="B3788">
        <v>116</v>
      </c>
      <c r="C3788" t="s">
        <v>568</v>
      </c>
      <c r="D3788" s="453">
        <v>45689</v>
      </c>
      <c r="E3788">
        <v>18325</v>
      </c>
      <c r="F3788" t="s">
        <v>4459</v>
      </c>
      <c r="G3788">
        <v>3308</v>
      </c>
      <c r="H3788">
        <v>1</v>
      </c>
      <c r="I3788" t="s">
        <v>3878</v>
      </c>
      <c r="J3788" t="s">
        <v>3497</v>
      </c>
      <c r="K3788" t="s">
        <v>3705</v>
      </c>
      <c r="L3788">
        <v>0</v>
      </c>
      <c r="M3788" s="453">
        <v>-693593</v>
      </c>
      <c r="N3788">
        <v>0</v>
      </c>
      <c r="O3788">
        <v>34.479999999999997</v>
      </c>
      <c r="P3788">
        <v>34.479999999999997</v>
      </c>
    </row>
    <row r="3789" spans="1:16" x14ac:dyDescent="0.3">
      <c r="A3789">
        <v>18680</v>
      </c>
      <c r="B3789">
        <v>116</v>
      </c>
      <c r="C3789" t="s">
        <v>568</v>
      </c>
      <c r="D3789" s="453">
        <v>45689</v>
      </c>
      <c r="E3789">
        <v>19415</v>
      </c>
      <c r="F3789" t="s">
        <v>3941</v>
      </c>
      <c r="G3789">
        <v>2759</v>
      </c>
      <c r="H3789">
        <v>5</v>
      </c>
      <c r="I3789" t="s">
        <v>3872</v>
      </c>
      <c r="J3789" t="s">
        <v>3469</v>
      </c>
      <c r="K3789" t="s">
        <v>3705</v>
      </c>
      <c r="L3789">
        <v>0</v>
      </c>
      <c r="M3789" s="453">
        <v>45630</v>
      </c>
      <c r="N3789">
        <v>6.82</v>
      </c>
      <c r="O3789">
        <v>7.2</v>
      </c>
      <c r="P3789">
        <v>34.1</v>
      </c>
    </row>
    <row r="3790" spans="1:16" x14ac:dyDescent="0.3">
      <c r="A3790">
        <v>18566</v>
      </c>
      <c r="B3790">
        <v>116</v>
      </c>
      <c r="C3790" t="s">
        <v>568</v>
      </c>
      <c r="D3790" s="453">
        <v>45689</v>
      </c>
      <c r="E3790">
        <v>20832</v>
      </c>
      <c r="F3790" t="s">
        <v>4060</v>
      </c>
      <c r="G3790">
        <v>2065</v>
      </c>
      <c r="H3790">
        <v>1</v>
      </c>
      <c r="I3790" t="s">
        <v>3886</v>
      </c>
      <c r="J3790" t="s">
        <v>3469</v>
      </c>
      <c r="K3790" t="s">
        <v>3705</v>
      </c>
      <c r="L3790">
        <v>0</v>
      </c>
      <c r="M3790" s="453">
        <v>45615</v>
      </c>
      <c r="N3790">
        <v>33.9</v>
      </c>
      <c r="O3790">
        <v>33.9</v>
      </c>
      <c r="P3790">
        <v>33.9</v>
      </c>
    </row>
    <row r="3791" spans="1:16" x14ac:dyDescent="0.3">
      <c r="A3791">
        <v>18541</v>
      </c>
      <c r="B3791">
        <v>116</v>
      </c>
      <c r="C3791" t="s">
        <v>568</v>
      </c>
      <c r="D3791" s="453">
        <v>45689</v>
      </c>
      <c r="E3791">
        <v>20358</v>
      </c>
      <c r="F3791" t="s">
        <v>3952</v>
      </c>
      <c r="G3791">
        <v>2200</v>
      </c>
      <c r="H3791">
        <v>2.2999999999999998</v>
      </c>
      <c r="I3791" t="s">
        <v>3888</v>
      </c>
      <c r="J3791" t="s">
        <v>3469</v>
      </c>
      <c r="K3791" t="s">
        <v>3705</v>
      </c>
      <c r="L3791">
        <v>14.5</v>
      </c>
      <c r="M3791" s="453">
        <v>45677</v>
      </c>
      <c r="N3791">
        <v>14.49</v>
      </c>
      <c r="O3791">
        <v>14.5</v>
      </c>
      <c r="P3791">
        <v>33.35</v>
      </c>
    </row>
    <row r="3792" spans="1:16" x14ac:dyDescent="0.3">
      <c r="A3792">
        <v>18612</v>
      </c>
      <c r="B3792">
        <v>116</v>
      </c>
      <c r="C3792" t="s">
        <v>568</v>
      </c>
      <c r="D3792" s="453">
        <v>45689</v>
      </c>
      <c r="E3792">
        <v>19652</v>
      </c>
      <c r="F3792" t="s">
        <v>4014</v>
      </c>
      <c r="G3792">
        <v>2587</v>
      </c>
      <c r="H3792">
        <v>1</v>
      </c>
      <c r="I3792" t="s">
        <v>3892</v>
      </c>
      <c r="J3792" t="s">
        <v>3469</v>
      </c>
      <c r="K3792" t="s">
        <v>3705</v>
      </c>
      <c r="L3792">
        <v>33.32</v>
      </c>
      <c r="M3792" s="453">
        <v>45680</v>
      </c>
      <c r="N3792">
        <v>37.26</v>
      </c>
      <c r="O3792">
        <v>34</v>
      </c>
      <c r="P3792">
        <v>33.32</v>
      </c>
    </row>
    <row r="3793" spans="1:16" x14ac:dyDescent="0.3">
      <c r="A3793">
        <v>18640</v>
      </c>
      <c r="B3793">
        <v>116</v>
      </c>
      <c r="C3793" t="s">
        <v>568</v>
      </c>
      <c r="D3793" s="453">
        <v>45689</v>
      </c>
      <c r="E3793">
        <v>19751</v>
      </c>
      <c r="F3793" t="s">
        <v>4019</v>
      </c>
      <c r="G3793">
        <v>2502</v>
      </c>
      <c r="H3793">
        <v>3.7</v>
      </c>
      <c r="I3793" t="s">
        <v>3892</v>
      </c>
      <c r="J3793" t="s">
        <v>3469</v>
      </c>
      <c r="K3793" t="s">
        <v>3705</v>
      </c>
      <c r="L3793">
        <v>8.9499999999999993</v>
      </c>
      <c r="M3793" s="453">
        <v>45680</v>
      </c>
      <c r="N3793">
        <v>9.5</v>
      </c>
      <c r="O3793">
        <v>8.3000000000000007</v>
      </c>
      <c r="P3793">
        <v>33.119999999999997</v>
      </c>
    </row>
    <row r="3794" spans="1:16" x14ac:dyDescent="0.3">
      <c r="A3794">
        <v>18617</v>
      </c>
      <c r="B3794">
        <v>116</v>
      </c>
      <c r="C3794" t="s">
        <v>568</v>
      </c>
      <c r="D3794" s="453">
        <v>45689</v>
      </c>
      <c r="E3794">
        <v>24083</v>
      </c>
      <c r="F3794" t="s">
        <v>3898</v>
      </c>
      <c r="G3794">
        <v>2592</v>
      </c>
      <c r="H3794">
        <v>6</v>
      </c>
      <c r="I3794" t="s">
        <v>3892</v>
      </c>
      <c r="J3794" t="s">
        <v>3469</v>
      </c>
      <c r="K3794" t="s">
        <v>3705</v>
      </c>
      <c r="L3794">
        <v>5.5</v>
      </c>
      <c r="M3794" s="453">
        <v>45688</v>
      </c>
      <c r="N3794">
        <v>5.5</v>
      </c>
      <c r="O3794">
        <v>5.3</v>
      </c>
      <c r="P3794">
        <v>33</v>
      </c>
    </row>
    <row r="3795" spans="1:16" x14ac:dyDescent="0.3">
      <c r="A3795">
        <v>18534</v>
      </c>
      <c r="B3795">
        <v>116</v>
      </c>
      <c r="C3795" t="s">
        <v>568</v>
      </c>
      <c r="D3795" s="453">
        <v>45689</v>
      </c>
      <c r="E3795">
        <v>20682</v>
      </c>
      <c r="F3795" t="s">
        <v>3929</v>
      </c>
      <c r="G3795">
        <v>2106</v>
      </c>
      <c r="H3795">
        <v>4</v>
      </c>
      <c r="I3795" t="s">
        <v>3872</v>
      </c>
      <c r="J3795" t="s">
        <v>3469</v>
      </c>
      <c r="K3795" t="s">
        <v>3705</v>
      </c>
      <c r="L3795">
        <v>8.23</v>
      </c>
      <c r="M3795" s="453">
        <v>45677</v>
      </c>
      <c r="N3795">
        <v>8.4499999999999993</v>
      </c>
      <c r="O3795">
        <v>8.4499999999999993</v>
      </c>
      <c r="P3795">
        <v>32.92</v>
      </c>
    </row>
    <row r="3796" spans="1:16" x14ac:dyDescent="0.3">
      <c r="A3796">
        <v>18626</v>
      </c>
      <c r="B3796">
        <v>116</v>
      </c>
      <c r="C3796" t="s">
        <v>568</v>
      </c>
      <c r="D3796" s="453">
        <v>45689</v>
      </c>
      <c r="E3796">
        <v>19628</v>
      </c>
      <c r="F3796" t="s">
        <v>4515</v>
      </c>
      <c r="G3796">
        <v>2606</v>
      </c>
      <c r="H3796">
        <v>13</v>
      </c>
      <c r="I3796" t="s">
        <v>3892</v>
      </c>
      <c r="J3796" t="s">
        <v>3469</v>
      </c>
      <c r="K3796" t="s">
        <v>3705</v>
      </c>
      <c r="L3796">
        <v>2.5</v>
      </c>
      <c r="M3796" s="453">
        <v>45680</v>
      </c>
      <c r="N3796">
        <v>2.5</v>
      </c>
      <c r="O3796">
        <v>2.4</v>
      </c>
      <c r="P3796">
        <v>32.5</v>
      </c>
    </row>
    <row r="3797" spans="1:16" x14ac:dyDescent="0.3">
      <c r="A3797">
        <v>18746</v>
      </c>
      <c r="B3797">
        <v>116</v>
      </c>
      <c r="C3797" t="s">
        <v>568</v>
      </c>
      <c r="D3797" s="453">
        <v>45689</v>
      </c>
      <c r="E3797">
        <v>18395</v>
      </c>
      <c r="F3797" t="s">
        <v>4085</v>
      </c>
      <c r="G3797">
        <v>3245</v>
      </c>
      <c r="H3797">
        <v>1</v>
      </c>
      <c r="I3797" t="s">
        <v>3878</v>
      </c>
      <c r="J3797" t="s">
        <v>3497</v>
      </c>
      <c r="K3797" t="s">
        <v>3705</v>
      </c>
      <c r="L3797">
        <v>0</v>
      </c>
      <c r="M3797" s="453">
        <v>45569</v>
      </c>
      <c r="N3797">
        <v>32.43</v>
      </c>
      <c r="O3797">
        <v>38.68</v>
      </c>
      <c r="P3797">
        <v>32.43</v>
      </c>
    </row>
    <row r="3798" spans="1:16" x14ac:dyDescent="0.3">
      <c r="A3798">
        <v>18641</v>
      </c>
      <c r="B3798">
        <v>116</v>
      </c>
      <c r="C3798" t="s">
        <v>568</v>
      </c>
      <c r="D3798" s="453">
        <v>45689</v>
      </c>
      <c r="E3798">
        <v>24326</v>
      </c>
      <c r="F3798" t="s">
        <v>3932</v>
      </c>
      <c r="G3798">
        <v>2499</v>
      </c>
      <c r="H3798">
        <v>12</v>
      </c>
      <c r="I3798" t="s">
        <v>3892</v>
      </c>
      <c r="J3798" t="s">
        <v>3469</v>
      </c>
      <c r="K3798" t="s">
        <v>3705</v>
      </c>
      <c r="L3798">
        <v>2.7</v>
      </c>
      <c r="M3798" s="453">
        <v>45688</v>
      </c>
      <c r="N3798">
        <v>2.7</v>
      </c>
      <c r="O3798">
        <v>3.35</v>
      </c>
      <c r="P3798">
        <v>32.4</v>
      </c>
    </row>
    <row r="3799" spans="1:16" x14ac:dyDescent="0.3">
      <c r="A3799">
        <v>18656</v>
      </c>
      <c r="B3799">
        <v>116</v>
      </c>
      <c r="C3799" t="s">
        <v>568</v>
      </c>
      <c r="D3799" s="453">
        <v>45689</v>
      </c>
      <c r="E3799">
        <v>19574</v>
      </c>
      <c r="F3799" t="s">
        <v>4077</v>
      </c>
      <c r="G3799">
        <v>2644</v>
      </c>
      <c r="H3799">
        <v>1</v>
      </c>
      <c r="I3799" t="s">
        <v>3892</v>
      </c>
      <c r="J3799" t="s">
        <v>3469</v>
      </c>
      <c r="K3799" t="s">
        <v>3705</v>
      </c>
      <c r="L3799">
        <v>0</v>
      </c>
      <c r="M3799" s="453">
        <v>45635</v>
      </c>
      <c r="N3799">
        <v>0</v>
      </c>
      <c r="O3799">
        <v>32</v>
      </c>
      <c r="P3799">
        <v>32</v>
      </c>
    </row>
    <row r="3800" spans="1:16" x14ac:dyDescent="0.3">
      <c r="A3800">
        <v>18652</v>
      </c>
      <c r="B3800">
        <v>116</v>
      </c>
      <c r="C3800" t="s">
        <v>568</v>
      </c>
      <c r="D3800" s="453">
        <v>45689</v>
      </c>
      <c r="E3800">
        <v>19583</v>
      </c>
      <c r="F3800" t="s">
        <v>4076</v>
      </c>
      <c r="G3800">
        <v>2639</v>
      </c>
      <c r="H3800">
        <v>0.8</v>
      </c>
      <c r="I3800" t="s">
        <v>3892</v>
      </c>
      <c r="J3800" t="s">
        <v>3469</v>
      </c>
      <c r="K3800" t="s">
        <v>3705</v>
      </c>
      <c r="L3800">
        <v>38.200000000000003</v>
      </c>
      <c r="M3800" s="453">
        <v>45680</v>
      </c>
      <c r="N3800">
        <v>41.4</v>
      </c>
      <c r="O3800">
        <v>40</v>
      </c>
      <c r="P3800">
        <v>30.56</v>
      </c>
    </row>
    <row r="3801" spans="1:16" x14ac:dyDescent="0.3">
      <c r="A3801">
        <v>18623</v>
      </c>
      <c r="B3801">
        <v>116</v>
      </c>
      <c r="C3801" t="s">
        <v>568</v>
      </c>
      <c r="D3801" s="453">
        <v>45689</v>
      </c>
      <c r="E3801">
        <v>24099</v>
      </c>
      <c r="F3801" t="s">
        <v>4321</v>
      </c>
      <c r="G3801">
        <v>2716</v>
      </c>
      <c r="H3801">
        <v>4.2</v>
      </c>
      <c r="I3801" t="s">
        <v>3892</v>
      </c>
      <c r="J3801" t="s">
        <v>3469</v>
      </c>
      <c r="K3801" t="s">
        <v>3705</v>
      </c>
      <c r="L3801">
        <v>0</v>
      </c>
      <c r="M3801" s="453">
        <v>-693593</v>
      </c>
      <c r="N3801">
        <v>0</v>
      </c>
      <c r="O3801">
        <v>16</v>
      </c>
      <c r="P3801">
        <v>30.24</v>
      </c>
    </row>
    <row r="3802" spans="1:16" x14ac:dyDescent="0.3">
      <c r="A3802">
        <v>18669</v>
      </c>
      <c r="B3802">
        <v>116</v>
      </c>
      <c r="C3802" t="s">
        <v>568</v>
      </c>
      <c r="D3802" s="453">
        <v>45689</v>
      </c>
      <c r="E3802">
        <v>19672</v>
      </c>
      <c r="F3802" t="s">
        <v>4024</v>
      </c>
      <c r="G3802">
        <v>2567</v>
      </c>
      <c r="H3802">
        <v>2.1</v>
      </c>
      <c r="I3802" t="s">
        <v>3892</v>
      </c>
      <c r="J3802" t="s">
        <v>3469</v>
      </c>
      <c r="K3802" t="s">
        <v>3705</v>
      </c>
      <c r="L3802">
        <v>14.25</v>
      </c>
      <c r="M3802" s="453">
        <v>45688</v>
      </c>
      <c r="N3802">
        <v>15.5</v>
      </c>
      <c r="O3802">
        <v>15.5</v>
      </c>
      <c r="P3802">
        <v>29.92</v>
      </c>
    </row>
    <row r="3803" spans="1:16" x14ac:dyDescent="0.3">
      <c r="A3803">
        <v>18508</v>
      </c>
      <c r="B3803">
        <v>116</v>
      </c>
      <c r="C3803" t="s">
        <v>568</v>
      </c>
      <c r="D3803" s="453">
        <v>45689</v>
      </c>
      <c r="E3803">
        <v>21078</v>
      </c>
      <c r="F3803" t="s">
        <v>4049</v>
      </c>
      <c r="G3803">
        <v>1991</v>
      </c>
      <c r="H3803">
        <v>1</v>
      </c>
      <c r="I3803" t="s">
        <v>3881</v>
      </c>
      <c r="J3803" t="s">
        <v>3469</v>
      </c>
      <c r="K3803" t="s">
        <v>3705</v>
      </c>
      <c r="L3803">
        <v>0</v>
      </c>
      <c r="M3803" s="453">
        <v>-693593</v>
      </c>
      <c r="N3803">
        <v>0</v>
      </c>
      <c r="O3803">
        <v>43.6</v>
      </c>
      <c r="P3803">
        <v>29.9</v>
      </c>
    </row>
    <row r="3804" spans="1:16" x14ac:dyDescent="0.3">
      <c r="A3804">
        <v>18572</v>
      </c>
      <c r="B3804">
        <v>116</v>
      </c>
      <c r="C3804" t="s">
        <v>568</v>
      </c>
      <c r="D3804" s="453">
        <v>45689</v>
      </c>
      <c r="E3804">
        <v>19986</v>
      </c>
      <c r="F3804" t="s">
        <v>4484</v>
      </c>
      <c r="G3804">
        <v>2351</v>
      </c>
      <c r="H3804">
        <v>2</v>
      </c>
      <c r="I3804" t="s">
        <v>3931</v>
      </c>
      <c r="J3804" t="s">
        <v>3469</v>
      </c>
      <c r="K3804" t="s">
        <v>3705</v>
      </c>
      <c r="L3804">
        <v>0</v>
      </c>
      <c r="M3804" s="453">
        <v>45664</v>
      </c>
      <c r="N3804">
        <v>0</v>
      </c>
      <c r="O3804">
        <v>0</v>
      </c>
      <c r="P3804">
        <v>29.8</v>
      </c>
    </row>
    <row r="3805" spans="1:16" x14ac:dyDescent="0.3">
      <c r="A3805">
        <v>18673</v>
      </c>
      <c r="B3805">
        <v>116</v>
      </c>
      <c r="C3805" t="s">
        <v>568</v>
      </c>
      <c r="D3805" s="453">
        <v>45689</v>
      </c>
      <c r="E3805">
        <v>19533</v>
      </c>
      <c r="F3805" t="s">
        <v>4132</v>
      </c>
      <c r="G3805">
        <v>2682</v>
      </c>
      <c r="H3805">
        <v>4.8</v>
      </c>
      <c r="I3805" t="s">
        <v>3892</v>
      </c>
      <c r="J3805" t="s">
        <v>3469</v>
      </c>
      <c r="K3805" t="s">
        <v>3705</v>
      </c>
      <c r="L3805">
        <v>6.15</v>
      </c>
      <c r="M3805" s="453">
        <v>45677</v>
      </c>
      <c r="N3805">
        <v>6.5</v>
      </c>
      <c r="O3805">
        <v>6.5</v>
      </c>
      <c r="P3805">
        <v>29.52</v>
      </c>
    </row>
    <row r="3806" spans="1:16" x14ac:dyDescent="0.3">
      <c r="A3806">
        <v>18649</v>
      </c>
      <c r="B3806">
        <v>116</v>
      </c>
      <c r="C3806" t="s">
        <v>568</v>
      </c>
      <c r="D3806" s="453">
        <v>45689</v>
      </c>
      <c r="E3806">
        <v>24394</v>
      </c>
      <c r="F3806" t="s">
        <v>3876</v>
      </c>
      <c r="G3806">
        <v>2753</v>
      </c>
      <c r="H3806">
        <v>41</v>
      </c>
      <c r="I3806" t="s">
        <v>3872</v>
      </c>
      <c r="J3806" t="s">
        <v>3469</v>
      </c>
      <c r="K3806" t="s">
        <v>3705</v>
      </c>
      <c r="L3806">
        <v>0.68</v>
      </c>
      <c r="M3806" s="453">
        <v>45688</v>
      </c>
      <c r="N3806">
        <v>0.68</v>
      </c>
      <c r="O3806">
        <v>0.7</v>
      </c>
      <c r="P3806">
        <v>27.88</v>
      </c>
    </row>
    <row r="3807" spans="1:16" x14ac:dyDescent="0.3">
      <c r="A3807">
        <v>18537</v>
      </c>
      <c r="B3807">
        <v>116</v>
      </c>
      <c r="C3807" t="s">
        <v>568</v>
      </c>
      <c r="D3807" s="453">
        <v>45689</v>
      </c>
      <c r="E3807">
        <v>20402</v>
      </c>
      <c r="F3807" t="s">
        <v>4507</v>
      </c>
      <c r="G3807">
        <v>2191</v>
      </c>
      <c r="H3807">
        <v>2</v>
      </c>
      <c r="I3807" t="s">
        <v>3872</v>
      </c>
      <c r="J3807" t="s">
        <v>3469</v>
      </c>
      <c r="K3807" t="s">
        <v>3705</v>
      </c>
      <c r="L3807">
        <v>0</v>
      </c>
      <c r="M3807" s="453">
        <v>-693593</v>
      </c>
      <c r="N3807">
        <v>0</v>
      </c>
      <c r="O3807">
        <v>12.3</v>
      </c>
      <c r="P3807">
        <v>24.6</v>
      </c>
    </row>
    <row r="3808" spans="1:16" x14ac:dyDescent="0.3">
      <c r="A3808">
        <v>18650</v>
      </c>
      <c r="B3808">
        <v>116</v>
      </c>
      <c r="C3808" t="s">
        <v>568</v>
      </c>
      <c r="D3808" s="453">
        <v>45689</v>
      </c>
      <c r="E3808">
        <v>23095</v>
      </c>
      <c r="F3808" t="s">
        <v>3882</v>
      </c>
      <c r="G3808">
        <v>2754</v>
      </c>
      <c r="H3808">
        <v>27</v>
      </c>
      <c r="I3808" t="s">
        <v>3872</v>
      </c>
      <c r="J3808" t="s">
        <v>3469</v>
      </c>
      <c r="K3808" t="s">
        <v>3705</v>
      </c>
      <c r="L3808">
        <v>0.91</v>
      </c>
      <c r="M3808" s="453">
        <v>45688</v>
      </c>
      <c r="N3808">
        <v>0.92</v>
      </c>
      <c r="O3808">
        <v>1.33</v>
      </c>
      <c r="P3808">
        <v>24.57</v>
      </c>
    </row>
    <row r="3809" spans="1:16" x14ac:dyDescent="0.3">
      <c r="A3809">
        <v>18550</v>
      </c>
      <c r="B3809">
        <v>116</v>
      </c>
      <c r="C3809" t="s">
        <v>568</v>
      </c>
      <c r="D3809" s="453">
        <v>45689</v>
      </c>
      <c r="E3809">
        <v>20327</v>
      </c>
      <c r="F3809" t="s">
        <v>4179</v>
      </c>
      <c r="G3809">
        <v>2211</v>
      </c>
      <c r="H3809">
        <v>3.5</v>
      </c>
      <c r="I3809" t="s">
        <v>3888</v>
      </c>
      <c r="J3809" t="s">
        <v>3469</v>
      </c>
      <c r="K3809" t="s">
        <v>3705</v>
      </c>
      <c r="L3809">
        <v>0</v>
      </c>
      <c r="M3809" s="453">
        <v>-693593</v>
      </c>
      <c r="N3809">
        <v>0</v>
      </c>
      <c r="O3809">
        <v>6.75</v>
      </c>
      <c r="P3809">
        <v>24.15</v>
      </c>
    </row>
    <row r="3810" spans="1:16" x14ac:dyDescent="0.3">
      <c r="A3810">
        <v>18597</v>
      </c>
      <c r="B3810">
        <v>116</v>
      </c>
      <c r="C3810" t="s">
        <v>568</v>
      </c>
      <c r="D3810" s="453">
        <v>45689</v>
      </c>
      <c r="E3810">
        <v>19902</v>
      </c>
      <c r="F3810" t="s">
        <v>3909</v>
      </c>
      <c r="G3810">
        <v>2382</v>
      </c>
      <c r="H3810">
        <v>1</v>
      </c>
      <c r="I3810" t="s">
        <v>3881</v>
      </c>
      <c r="J3810" t="s">
        <v>3469</v>
      </c>
      <c r="K3810" t="s">
        <v>3705</v>
      </c>
      <c r="L3810">
        <v>0</v>
      </c>
      <c r="M3810" s="453">
        <v>45560</v>
      </c>
      <c r="N3810">
        <v>23.8</v>
      </c>
      <c r="O3810">
        <v>24.22</v>
      </c>
      <c r="P3810">
        <v>23.8</v>
      </c>
    </row>
    <row r="3811" spans="1:16" x14ac:dyDescent="0.3">
      <c r="A3811">
        <v>18578</v>
      </c>
      <c r="B3811">
        <v>116</v>
      </c>
      <c r="C3811" t="s">
        <v>568</v>
      </c>
      <c r="D3811" s="453">
        <v>45689</v>
      </c>
      <c r="E3811">
        <v>26194</v>
      </c>
      <c r="F3811" t="s">
        <v>4446</v>
      </c>
      <c r="G3811">
        <v>6617</v>
      </c>
      <c r="H3811">
        <v>0.5</v>
      </c>
      <c r="I3811" t="s">
        <v>3978</v>
      </c>
      <c r="J3811" t="s">
        <v>3469</v>
      </c>
      <c r="K3811" t="s">
        <v>3705</v>
      </c>
      <c r="L3811">
        <v>0</v>
      </c>
      <c r="M3811" s="453">
        <v>-693593</v>
      </c>
      <c r="N3811">
        <v>0</v>
      </c>
      <c r="O3811">
        <v>0</v>
      </c>
      <c r="P3811">
        <v>23.2</v>
      </c>
    </row>
    <row r="3812" spans="1:16" x14ac:dyDescent="0.3">
      <c r="A3812">
        <v>18622</v>
      </c>
      <c r="B3812">
        <v>116</v>
      </c>
      <c r="C3812" t="s">
        <v>568</v>
      </c>
      <c r="D3812" s="453">
        <v>45689</v>
      </c>
      <c r="E3812">
        <v>19634</v>
      </c>
      <c r="F3812" t="s">
        <v>4068</v>
      </c>
      <c r="G3812">
        <v>2602</v>
      </c>
      <c r="H3812">
        <v>3.1</v>
      </c>
      <c r="I3812" t="s">
        <v>3892</v>
      </c>
      <c r="J3812" t="s">
        <v>3469</v>
      </c>
      <c r="K3812" t="s">
        <v>3705</v>
      </c>
      <c r="L3812">
        <v>7.28</v>
      </c>
      <c r="M3812" s="453">
        <v>45688</v>
      </c>
      <c r="N3812">
        <v>6.5</v>
      </c>
      <c r="O3812">
        <v>6.5</v>
      </c>
      <c r="P3812">
        <v>22.57</v>
      </c>
    </row>
    <row r="3813" spans="1:16" x14ac:dyDescent="0.3">
      <c r="A3813">
        <v>18568</v>
      </c>
      <c r="B3813">
        <v>116</v>
      </c>
      <c r="C3813" t="s">
        <v>568</v>
      </c>
      <c r="D3813" s="453">
        <v>45689</v>
      </c>
      <c r="E3813">
        <v>20871</v>
      </c>
      <c r="F3813" t="s">
        <v>4475</v>
      </c>
      <c r="G3813">
        <v>2043</v>
      </c>
      <c r="H3813">
        <v>1</v>
      </c>
      <c r="I3813" t="s">
        <v>3886</v>
      </c>
      <c r="J3813" t="s">
        <v>3469</v>
      </c>
      <c r="K3813" t="s">
        <v>3705</v>
      </c>
      <c r="L3813">
        <v>0</v>
      </c>
      <c r="M3813" s="453">
        <v>-693593</v>
      </c>
      <c r="N3813">
        <v>0</v>
      </c>
      <c r="O3813">
        <v>15.8</v>
      </c>
      <c r="P3813">
        <v>22</v>
      </c>
    </row>
    <row r="3814" spans="1:16" x14ac:dyDescent="0.3">
      <c r="A3814">
        <v>18585</v>
      </c>
      <c r="B3814">
        <v>116</v>
      </c>
      <c r="C3814" t="s">
        <v>568</v>
      </c>
      <c r="D3814" s="453">
        <v>45689</v>
      </c>
      <c r="E3814">
        <v>24392</v>
      </c>
      <c r="F3814" t="s">
        <v>4041</v>
      </c>
      <c r="G3814">
        <v>2366</v>
      </c>
      <c r="H3814">
        <v>1</v>
      </c>
      <c r="I3814" t="s">
        <v>3892</v>
      </c>
      <c r="J3814" t="s">
        <v>3469</v>
      </c>
      <c r="K3814" t="s">
        <v>3705</v>
      </c>
      <c r="L3814">
        <v>0</v>
      </c>
      <c r="M3814" s="453">
        <v>45524</v>
      </c>
      <c r="N3814">
        <v>21.9</v>
      </c>
      <c r="O3814">
        <v>22.9</v>
      </c>
      <c r="P3814">
        <v>21.9</v>
      </c>
    </row>
    <row r="3815" spans="1:16" x14ac:dyDescent="0.3">
      <c r="A3815">
        <v>18620</v>
      </c>
      <c r="B3815">
        <v>116</v>
      </c>
      <c r="C3815" t="s">
        <v>568</v>
      </c>
      <c r="D3815" s="453">
        <v>45689</v>
      </c>
      <c r="E3815">
        <v>19638</v>
      </c>
      <c r="F3815" t="s">
        <v>4497</v>
      </c>
      <c r="G3815">
        <v>2598</v>
      </c>
      <c r="H3815">
        <v>6.8</v>
      </c>
      <c r="I3815" t="s">
        <v>3892</v>
      </c>
      <c r="J3815" t="s">
        <v>3469</v>
      </c>
      <c r="K3815" t="s">
        <v>3705</v>
      </c>
      <c r="L3815">
        <v>3.03</v>
      </c>
      <c r="M3815" s="453">
        <v>45688</v>
      </c>
      <c r="N3815">
        <v>3.5</v>
      </c>
      <c r="O3815">
        <v>3.5</v>
      </c>
      <c r="P3815">
        <v>20.6</v>
      </c>
    </row>
    <row r="3816" spans="1:16" x14ac:dyDescent="0.3">
      <c r="A3816">
        <v>18521</v>
      </c>
      <c r="B3816">
        <v>116</v>
      </c>
      <c r="C3816" t="s">
        <v>568</v>
      </c>
      <c r="D3816" s="453">
        <v>45689</v>
      </c>
      <c r="E3816">
        <v>20283</v>
      </c>
      <c r="F3816" t="s">
        <v>4516</v>
      </c>
      <c r="G3816">
        <v>2230</v>
      </c>
      <c r="H3816">
        <v>0.9</v>
      </c>
      <c r="I3816" t="s">
        <v>3872</v>
      </c>
      <c r="J3816" t="s">
        <v>3469</v>
      </c>
      <c r="K3816" t="s">
        <v>3705</v>
      </c>
      <c r="L3816">
        <v>21</v>
      </c>
      <c r="M3816" s="453">
        <v>45672</v>
      </c>
      <c r="N3816">
        <v>21</v>
      </c>
      <c r="O3816">
        <v>21</v>
      </c>
      <c r="P3816">
        <v>18.899999999999999</v>
      </c>
    </row>
    <row r="3817" spans="1:16" x14ac:dyDescent="0.3">
      <c r="A3817">
        <v>18627</v>
      </c>
      <c r="B3817">
        <v>116</v>
      </c>
      <c r="C3817" t="s">
        <v>568</v>
      </c>
      <c r="D3817" s="453">
        <v>45689</v>
      </c>
      <c r="E3817">
        <v>19623</v>
      </c>
      <c r="F3817" t="s">
        <v>3984</v>
      </c>
      <c r="G3817">
        <v>2611</v>
      </c>
      <c r="H3817">
        <v>3.7</v>
      </c>
      <c r="I3817" t="s">
        <v>3892</v>
      </c>
      <c r="J3817" t="s">
        <v>3469</v>
      </c>
      <c r="K3817" t="s">
        <v>3705</v>
      </c>
      <c r="L3817">
        <v>4.4800000000000004</v>
      </c>
      <c r="M3817" s="453">
        <v>45688</v>
      </c>
      <c r="N3817">
        <v>4</v>
      </c>
      <c r="O3817">
        <v>4.26</v>
      </c>
      <c r="P3817">
        <v>16.579999999999998</v>
      </c>
    </row>
    <row r="3818" spans="1:16" x14ac:dyDescent="0.3">
      <c r="A3818">
        <v>18663</v>
      </c>
      <c r="B3818">
        <v>116</v>
      </c>
      <c r="C3818" t="s">
        <v>568</v>
      </c>
      <c r="D3818" s="453">
        <v>45689</v>
      </c>
      <c r="E3818">
        <v>19558</v>
      </c>
      <c r="F3818" t="s">
        <v>4183</v>
      </c>
      <c r="G3818">
        <v>2659</v>
      </c>
      <c r="H3818">
        <v>1</v>
      </c>
      <c r="I3818" t="s">
        <v>3892</v>
      </c>
      <c r="J3818" t="s">
        <v>3469</v>
      </c>
      <c r="K3818" t="s">
        <v>3705</v>
      </c>
      <c r="L3818">
        <v>16.5</v>
      </c>
      <c r="M3818" s="453">
        <v>45670</v>
      </c>
      <c r="N3818">
        <v>18</v>
      </c>
      <c r="O3818">
        <v>24</v>
      </c>
      <c r="P3818">
        <v>16.5</v>
      </c>
    </row>
    <row r="3819" spans="1:16" x14ac:dyDescent="0.3">
      <c r="A3819">
        <v>18524</v>
      </c>
      <c r="B3819">
        <v>116</v>
      </c>
      <c r="C3819" t="s">
        <v>568</v>
      </c>
      <c r="D3819" s="453">
        <v>45689</v>
      </c>
      <c r="E3819">
        <v>20077</v>
      </c>
      <c r="F3819" t="s">
        <v>4054</v>
      </c>
      <c r="G3819">
        <v>2317</v>
      </c>
      <c r="H3819">
        <v>1</v>
      </c>
      <c r="I3819" t="s">
        <v>3888</v>
      </c>
      <c r="J3819" t="s">
        <v>3469</v>
      </c>
      <c r="K3819" t="s">
        <v>3705</v>
      </c>
      <c r="L3819">
        <v>16.399999999999999</v>
      </c>
      <c r="M3819" s="453">
        <v>45677</v>
      </c>
      <c r="N3819">
        <v>15.96</v>
      </c>
      <c r="O3819">
        <v>15.96</v>
      </c>
      <c r="P3819">
        <v>16.399999999999999</v>
      </c>
    </row>
    <row r="3820" spans="1:16" x14ac:dyDescent="0.3">
      <c r="A3820">
        <v>18657</v>
      </c>
      <c r="B3820">
        <v>116</v>
      </c>
      <c r="C3820" t="s">
        <v>568</v>
      </c>
      <c r="D3820" s="453">
        <v>45689</v>
      </c>
      <c r="E3820">
        <v>19572</v>
      </c>
      <c r="F3820" t="s">
        <v>4023</v>
      </c>
      <c r="G3820">
        <v>2646</v>
      </c>
      <c r="H3820">
        <v>1.2</v>
      </c>
      <c r="I3820" t="s">
        <v>3892</v>
      </c>
      <c r="J3820" t="s">
        <v>3469</v>
      </c>
      <c r="K3820" t="s">
        <v>3705</v>
      </c>
      <c r="L3820">
        <v>13</v>
      </c>
      <c r="M3820" s="453">
        <v>45688</v>
      </c>
      <c r="N3820">
        <v>10</v>
      </c>
      <c r="O3820">
        <v>10</v>
      </c>
      <c r="P3820">
        <v>15.6</v>
      </c>
    </row>
    <row r="3821" spans="1:16" x14ac:dyDescent="0.3">
      <c r="A3821">
        <v>18595</v>
      </c>
      <c r="B3821">
        <v>116</v>
      </c>
      <c r="C3821" t="s">
        <v>568</v>
      </c>
      <c r="D3821" s="453">
        <v>45689</v>
      </c>
      <c r="E3821">
        <v>19917</v>
      </c>
      <c r="F3821" t="s">
        <v>3920</v>
      </c>
      <c r="G3821">
        <v>2379</v>
      </c>
      <c r="H3821">
        <v>5</v>
      </c>
      <c r="I3821" t="s">
        <v>3888</v>
      </c>
      <c r="J3821" t="s">
        <v>3469</v>
      </c>
      <c r="K3821" t="s">
        <v>3705</v>
      </c>
      <c r="L3821">
        <v>0</v>
      </c>
      <c r="M3821" s="453">
        <v>45581</v>
      </c>
      <c r="N3821">
        <v>3.09</v>
      </c>
      <c r="O3821">
        <v>3.04</v>
      </c>
      <c r="P3821">
        <v>15.45</v>
      </c>
    </row>
    <row r="3822" spans="1:16" x14ac:dyDescent="0.3">
      <c r="A3822">
        <v>18630</v>
      </c>
      <c r="B3822">
        <v>116</v>
      </c>
      <c r="C3822" t="s">
        <v>568</v>
      </c>
      <c r="D3822" s="453">
        <v>45689</v>
      </c>
      <c r="E3822">
        <v>19621</v>
      </c>
      <c r="F3822" t="s">
        <v>4125</v>
      </c>
      <c r="G3822">
        <v>2613</v>
      </c>
      <c r="H3822">
        <v>4</v>
      </c>
      <c r="I3822" t="s">
        <v>3892</v>
      </c>
      <c r="J3822" t="s">
        <v>3469</v>
      </c>
      <c r="K3822" t="s">
        <v>3705</v>
      </c>
      <c r="L3822">
        <v>3.75</v>
      </c>
      <c r="M3822" s="453">
        <v>45688</v>
      </c>
      <c r="N3822">
        <v>3.5</v>
      </c>
      <c r="O3822">
        <v>5.1100000000000003</v>
      </c>
      <c r="P3822">
        <v>15</v>
      </c>
    </row>
    <row r="3823" spans="1:16" x14ac:dyDescent="0.3">
      <c r="A3823">
        <v>18632</v>
      </c>
      <c r="B3823">
        <v>116</v>
      </c>
      <c r="C3823" t="s">
        <v>568</v>
      </c>
      <c r="D3823" s="453">
        <v>45689</v>
      </c>
      <c r="E3823">
        <v>19613</v>
      </c>
      <c r="F3823" t="s">
        <v>4017</v>
      </c>
      <c r="G3823">
        <v>2620</v>
      </c>
      <c r="H3823">
        <v>2.7</v>
      </c>
      <c r="I3823" t="s">
        <v>3892</v>
      </c>
      <c r="J3823" t="s">
        <v>3469</v>
      </c>
      <c r="K3823" t="s">
        <v>3705</v>
      </c>
      <c r="L3823">
        <v>5.53</v>
      </c>
      <c r="M3823" s="453">
        <v>45688</v>
      </c>
      <c r="N3823">
        <v>4.8</v>
      </c>
      <c r="O3823">
        <v>4.8</v>
      </c>
      <c r="P3823">
        <v>14.93</v>
      </c>
    </row>
    <row r="3824" spans="1:16" x14ac:dyDescent="0.3">
      <c r="A3824">
        <v>18594</v>
      </c>
      <c r="B3824">
        <v>116</v>
      </c>
      <c r="C3824" t="s">
        <v>568</v>
      </c>
      <c r="D3824" s="453">
        <v>45689</v>
      </c>
      <c r="E3824">
        <v>25768</v>
      </c>
      <c r="F3824" t="s">
        <v>4012</v>
      </c>
      <c r="G3824">
        <v>6317</v>
      </c>
      <c r="H3824">
        <v>2</v>
      </c>
      <c r="I3824" t="s">
        <v>3892</v>
      </c>
      <c r="J3824" t="s">
        <v>3469</v>
      </c>
      <c r="K3824" t="s">
        <v>3705</v>
      </c>
      <c r="L3824">
        <v>0</v>
      </c>
      <c r="M3824" s="453">
        <v>-693593</v>
      </c>
      <c r="N3824">
        <v>0</v>
      </c>
      <c r="O3824">
        <v>6.8</v>
      </c>
      <c r="P3824">
        <v>13.8</v>
      </c>
    </row>
    <row r="3825" spans="1:16" x14ac:dyDescent="0.3">
      <c r="A3825">
        <v>18644</v>
      </c>
      <c r="B3825">
        <v>116</v>
      </c>
      <c r="C3825" t="s">
        <v>568</v>
      </c>
      <c r="D3825" s="453">
        <v>45689</v>
      </c>
      <c r="E3825">
        <v>23347</v>
      </c>
      <c r="F3825" t="s">
        <v>4074</v>
      </c>
      <c r="G3825">
        <v>2511</v>
      </c>
      <c r="H3825">
        <v>2</v>
      </c>
      <c r="I3825" t="s">
        <v>3892</v>
      </c>
      <c r="J3825" t="s">
        <v>3469</v>
      </c>
      <c r="K3825" t="s">
        <v>3705</v>
      </c>
      <c r="L3825">
        <v>6.8</v>
      </c>
      <c r="M3825" s="453">
        <v>45677</v>
      </c>
      <c r="N3825">
        <v>6.8</v>
      </c>
      <c r="O3825">
        <v>6.8</v>
      </c>
      <c r="P3825">
        <v>13.6</v>
      </c>
    </row>
    <row r="3826" spans="1:16" x14ac:dyDescent="0.3">
      <c r="A3826">
        <v>18642</v>
      </c>
      <c r="B3826">
        <v>116</v>
      </c>
      <c r="C3826" t="s">
        <v>568</v>
      </c>
      <c r="D3826" s="453">
        <v>45689</v>
      </c>
      <c r="E3826">
        <v>19478</v>
      </c>
      <c r="F3826" t="s">
        <v>4072</v>
      </c>
      <c r="G3826">
        <v>2728</v>
      </c>
      <c r="H3826">
        <v>0.5</v>
      </c>
      <c r="I3826" t="s">
        <v>3892</v>
      </c>
      <c r="J3826" t="s">
        <v>3469</v>
      </c>
      <c r="K3826" t="s">
        <v>3705</v>
      </c>
      <c r="L3826">
        <v>0</v>
      </c>
      <c r="M3826" s="453">
        <v>45478</v>
      </c>
      <c r="N3826">
        <v>26</v>
      </c>
      <c r="O3826">
        <v>65</v>
      </c>
      <c r="P3826">
        <v>13</v>
      </c>
    </row>
    <row r="3827" spans="1:16" x14ac:dyDescent="0.3">
      <c r="A3827">
        <v>18520</v>
      </c>
      <c r="B3827">
        <v>116</v>
      </c>
      <c r="C3827" t="s">
        <v>568</v>
      </c>
      <c r="D3827" s="453">
        <v>45689</v>
      </c>
      <c r="E3827">
        <v>20287</v>
      </c>
      <c r="F3827" t="s">
        <v>4053</v>
      </c>
      <c r="G3827">
        <v>2229</v>
      </c>
      <c r="H3827">
        <v>1</v>
      </c>
      <c r="I3827" t="s">
        <v>3888</v>
      </c>
      <c r="J3827" t="s">
        <v>3469</v>
      </c>
      <c r="K3827" t="s">
        <v>3705</v>
      </c>
      <c r="L3827">
        <v>0</v>
      </c>
      <c r="M3827" s="453">
        <v>45636</v>
      </c>
      <c r="N3827">
        <v>12.98</v>
      </c>
      <c r="O3827">
        <v>12.98</v>
      </c>
      <c r="P3827">
        <v>12.98</v>
      </c>
    </row>
    <row r="3828" spans="1:16" x14ac:dyDescent="0.3">
      <c r="A3828">
        <v>18625</v>
      </c>
      <c r="B3828">
        <v>116</v>
      </c>
      <c r="C3828" t="s">
        <v>568</v>
      </c>
      <c r="D3828" s="453">
        <v>45689</v>
      </c>
      <c r="E3828">
        <v>19779</v>
      </c>
      <c r="F3828" t="s">
        <v>4069</v>
      </c>
      <c r="G3828">
        <v>2479</v>
      </c>
      <c r="H3828">
        <v>0.3</v>
      </c>
      <c r="I3828" t="s">
        <v>3892</v>
      </c>
      <c r="J3828" t="s">
        <v>3469</v>
      </c>
      <c r="K3828" t="s">
        <v>3705</v>
      </c>
      <c r="L3828">
        <v>42.19</v>
      </c>
      <c r="M3828" s="453">
        <v>45659</v>
      </c>
      <c r="N3828">
        <v>42.19</v>
      </c>
      <c r="O3828">
        <v>47.82</v>
      </c>
      <c r="P3828">
        <v>12.66</v>
      </c>
    </row>
    <row r="3829" spans="1:16" x14ac:dyDescent="0.3">
      <c r="A3829">
        <v>18619</v>
      </c>
      <c r="B3829">
        <v>116</v>
      </c>
      <c r="C3829" t="s">
        <v>568</v>
      </c>
      <c r="D3829" s="453">
        <v>45689</v>
      </c>
      <c r="E3829">
        <v>19639</v>
      </c>
      <c r="F3829" t="s">
        <v>4494</v>
      </c>
      <c r="G3829">
        <v>2597</v>
      </c>
      <c r="H3829">
        <v>3</v>
      </c>
      <c r="I3829" t="s">
        <v>3892</v>
      </c>
      <c r="J3829" t="s">
        <v>3469</v>
      </c>
      <c r="K3829" t="s">
        <v>3705</v>
      </c>
      <c r="L3829">
        <v>4.09</v>
      </c>
      <c r="M3829" s="453">
        <v>45688</v>
      </c>
      <c r="N3829">
        <v>4.5</v>
      </c>
      <c r="O3829">
        <v>4.5</v>
      </c>
      <c r="P3829">
        <v>12.27</v>
      </c>
    </row>
    <row r="3830" spans="1:16" x14ac:dyDescent="0.3">
      <c r="A3830">
        <v>18615</v>
      </c>
      <c r="B3830">
        <v>116</v>
      </c>
      <c r="C3830" t="s">
        <v>568</v>
      </c>
      <c r="D3830" s="453">
        <v>45689</v>
      </c>
      <c r="E3830">
        <v>19783</v>
      </c>
      <c r="F3830" t="s">
        <v>4016</v>
      </c>
      <c r="G3830">
        <v>2475</v>
      </c>
      <c r="H3830">
        <v>2</v>
      </c>
      <c r="I3830" t="s">
        <v>3892</v>
      </c>
      <c r="J3830" t="s">
        <v>3469</v>
      </c>
      <c r="K3830" t="s">
        <v>3705</v>
      </c>
      <c r="L3830">
        <v>5.61</v>
      </c>
      <c r="M3830" s="453">
        <v>45688</v>
      </c>
      <c r="N3830">
        <v>5.3</v>
      </c>
      <c r="O3830">
        <v>5.07</v>
      </c>
      <c r="P3830">
        <v>11.22</v>
      </c>
    </row>
    <row r="3831" spans="1:16" x14ac:dyDescent="0.3">
      <c r="A3831">
        <v>18661</v>
      </c>
      <c r="B3831">
        <v>116</v>
      </c>
      <c r="C3831" t="s">
        <v>568</v>
      </c>
      <c r="D3831" s="453">
        <v>45689</v>
      </c>
      <c r="E3831">
        <v>19562</v>
      </c>
      <c r="F3831" t="s">
        <v>4517</v>
      </c>
      <c r="G3831">
        <v>2655</v>
      </c>
      <c r="H3831">
        <v>1</v>
      </c>
      <c r="I3831" t="s">
        <v>3892</v>
      </c>
      <c r="J3831" t="s">
        <v>3469</v>
      </c>
      <c r="K3831" t="s">
        <v>3705</v>
      </c>
      <c r="L3831">
        <v>10.75</v>
      </c>
      <c r="M3831" s="453">
        <v>45688</v>
      </c>
      <c r="N3831">
        <v>7.5</v>
      </c>
      <c r="O3831">
        <v>7.5</v>
      </c>
      <c r="P3831">
        <v>10.75</v>
      </c>
    </row>
    <row r="3832" spans="1:16" x14ac:dyDescent="0.3">
      <c r="A3832">
        <v>18675</v>
      </c>
      <c r="B3832">
        <v>116</v>
      </c>
      <c r="C3832" t="s">
        <v>568</v>
      </c>
      <c r="D3832" s="453">
        <v>45689</v>
      </c>
      <c r="E3832">
        <v>19710</v>
      </c>
      <c r="F3832" t="s">
        <v>4106</v>
      </c>
      <c r="G3832">
        <v>2540</v>
      </c>
      <c r="H3832">
        <v>0.5</v>
      </c>
      <c r="I3832" t="s">
        <v>3888</v>
      </c>
      <c r="J3832" t="s">
        <v>3469</v>
      </c>
      <c r="K3832" t="s">
        <v>3705</v>
      </c>
      <c r="L3832">
        <v>0</v>
      </c>
      <c r="M3832" s="453">
        <v>-693593</v>
      </c>
      <c r="N3832">
        <v>0</v>
      </c>
      <c r="O3832">
        <v>23.9</v>
      </c>
      <c r="P3832">
        <v>10.6</v>
      </c>
    </row>
    <row r="3833" spans="1:16" x14ac:dyDescent="0.3">
      <c r="A3833">
        <v>18639</v>
      </c>
      <c r="B3833">
        <v>116</v>
      </c>
      <c r="C3833" t="s">
        <v>568</v>
      </c>
      <c r="D3833" s="453">
        <v>45689</v>
      </c>
      <c r="E3833">
        <v>19752</v>
      </c>
      <c r="F3833" t="s">
        <v>4042</v>
      </c>
      <c r="G3833">
        <v>2501</v>
      </c>
      <c r="H3833">
        <v>0.8</v>
      </c>
      <c r="I3833" t="s">
        <v>3892</v>
      </c>
      <c r="J3833" t="s">
        <v>3469</v>
      </c>
      <c r="K3833" t="s">
        <v>3705</v>
      </c>
      <c r="L3833">
        <v>12.65</v>
      </c>
      <c r="M3833" s="453">
        <v>45673</v>
      </c>
      <c r="N3833">
        <v>17</v>
      </c>
      <c r="O3833">
        <v>12</v>
      </c>
      <c r="P3833">
        <v>10.119999999999999</v>
      </c>
    </row>
    <row r="3834" spans="1:16" x14ac:dyDescent="0.3">
      <c r="A3834">
        <v>18636</v>
      </c>
      <c r="B3834">
        <v>116</v>
      </c>
      <c r="C3834" t="s">
        <v>568</v>
      </c>
      <c r="D3834" s="453">
        <v>45689</v>
      </c>
      <c r="E3834">
        <v>19607</v>
      </c>
      <c r="F3834" t="s">
        <v>4105</v>
      </c>
      <c r="G3834">
        <v>2623</v>
      </c>
      <c r="H3834">
        <v>0.6</v>
      </c>
      <c r="I3834" t="s">
        <v>3892</v>
      </c>
      <c r="J3834" t="s">
        <v>3469</v>
      </c>
      <c r="K3834" t="s">
        <v>3705</v>
      </c>
      <c r="L3834">
        <v>16.5</v>
      </c>
      <c r="M3834" s="453">
        <v>45659</v>
      </c>
      <c r="N3834">
        <v>16.5</v>
      </c>
      <c r="O3834">
        <v>21</v>
      </c>
      <c r="P3834">
        <v>9.9</v>
      </c>
    </row>
    <row r="3835" spans="1:16" x14ac:dyDescent="0.3">
      <c r="A3835">
        <v>18614</v>
      </c>
      <c r="B3835">
        <v>116</v>
      </c>
      <c r="C3835" t="s">
        <v>568</v>
      </c>
      <c r="D3835" s="453">
        <v>45689</v>
      </c>
      <c r="E3835">
        <v>19647</v>
      </c>
      <c r="F3835" t="s">
        <v>4066</v>
      </c>
      <c r="G3835">
        <v>2591</v>
      </c>
      <c r="H3835">
        <v>1</v>
      </c>
      <c r="I3835" t="s">
        <v>3892</v>
      </c>
      <c r="J3835" t="s">
        <v>3469</v>
      </c>
      <c r="K3835" t="s">
        <v>3705</v>
      </c>
      <c r="L3835">
        <v>9.8000000000000007</v>
      </c>
      <c r="M3835" s="453">
        <v>45666</v>
      </c>
      <c r="N3835">
        <v>9.8000000000000007</v>
      </c>
      <c r="O3835">
        <v>11.24</v>
      </c>
      <c r="P3835">
        <v>9.8000000000000007</v>
      </c>
    </row>
    <row r="3836" spans="1:16" x14ac:dyDescent="0.3">
      <c r="A3836">
        <v>18592</v>
      </c>
      <c r="B3836">
        <v>116</v>
      </c>
      <c r="C3836" t="s">
        <v>568</v>
      </c>
      <c r="D3836" s="453">
        <v>45689</v>
      </c>
      <c r="E3836">
        <v>20487</v>
      </c>
      <c r="F3836" t="s">
        <v>4310</v>
      </c>
      <c r="G3836">
        <v>2157</v>
      </c>
      <c r="H3836">
        <v>0.4</v>
      </c>
      <c r="I3836" t="s">
        <v>3892</v>
      </c>
      <c r="J3836" t="s">
        <v>3469</v>
      </c>
      <c r="K3836" t="s">
        <v>3705</v>
      </c>
      <c r="L3836">
        <v>23.84</v>
      </c>
      <c r="M3836" s="453">
        <v>45673</v>
      </c>
      <c r="N3836">
        <v>23.84</v>
      </c>
      <c r="O3836">
        <v>23.84</v>
      </c>
      <c r="P3836">
        <v>9.5399999999999991</v>
      </c>
    </row>
    <row r="3837" spans="1:16" x14ac:dyDescent="0.3">
      <c r="A3837">
        <v>18662</v>
      </c>
      <c r="B3837">
        <v>116</v>
      </c>
      <c r="C3837" t="s">
        <v>568</v>
      </c>
      <c r="D3837" s="453">
        <v>45689</v>
      </c>
      <c r="E3837">
        <v>19560</v>
      </c>
      <c r="F3837" t="s">
        <v>4167</v>
      </c>
      <c r="G3837">
        <v>2657</v>
      </c>
      <c r="H3837">
        <v>1</v>
      </c>
      <c r="I3837" t="s">
        <v>3892</v>
      </c>
      <c r="J3837" t="s">
        <v>3469</v>
      </c>
      <c r="K3837" t="s">
        <v>3705</v>
      </c>
      <c r="L3837">
        <v>9.1</v>
      </c>
      <c r="M3837" s="453">
        <v>45688</v>
      </c>
      <c r="N3837">
        <v>7.5</v>
      </c>
      <c r="O3837">
        <v>7.5</v>
      </c>
      <c r="P3837">
        <v>9.1</v>
      </c>
    </row>
    <row r="3838" spans="1:16" x14ac:dyDescent="0.3">
      <c r="A3838">
        <v>18676</v>
      </c>
      <c r="B3838">
        <v>116</v>
      </c>
      <c r="C3838" t="s">
        <v>568</v>
      </c>
      <c r="D3838" s="453">
        <v>45689</v>
      </c>
      <c r="E3838">
        <v>23166</v>
      </c>
      <c r="F3838" t="s">
        <v>4502</v>
      </c>
      <c r="G3838">
        <v>2686</v>
      </c>
      <c r="H3838">
        <v>0.5</v>
      </c>
      <c r="I3838" t="s">
        <v>3892</v>
      </c>
      <c r="J3838" t="s">
        <v>3469</v>
      </c>
      <c r="K3838" t="s">
        <v>3705</v>
      </c>
      <c r="L3838">
        <v>17.5</v>
      </c>
      <c r="M3838" s="453">
        <v>45670</v>
      </c>
      <c r="N3838">
        <v>18</v>
      </c>
      <c r="O3838">
        <v>0</v>
      </c>
      <c r="P3838">
        <v>8.75</v>
      </c>
    </row>
    <row r="3839" spans="1:16" x14ac:dyDescent="0.3">
      <c r="A3839">
        <v>18609</v>
      </c>
      <c r="B3839">
        <v>116</v>
      </c>
      <c r="C3839" t="s">
        <v>568</v>
      </c>
      <c r="D3839" s="453">
        <v>45689</v>
      </c>
      <c r="E3839">
        <v>19506</v>
      </c>
      <c r="F3839" t="s">
        <v>4112</v>
      </c>
      <c r="G3839">
        <v>2705</v>
      </c>
      <c r="H3839">
        <v>0.2</v>
      </c>
      <c r="I3839" t="s">
        <v>3892</v>
      </c>
      <c r="J3839" t="s">
        <v>3469</v>
      </c>
      <c r="K3839" t="s">
        <v>3705</v>
      </c>
      <c r="L3839">
        <v>43.07</v>
      </c>
      <c r="M3839" s="453">
        <v>45688</v>
      </c>
      <c r="N3839">
        <v>45</v>
      </c>
      <c r="O3839">
        <v>48</v>
      </c>
      <c r="P3839">
        <v>8.61</v>
      </c>
    </row>
    <row r="3840" spans="1:16" x14ac:dyDescent="0.3">
      <c r="A3840">
        <v>18722</v>
      </c>
      <c r="B3840">
        <v>116</v>
      </c>
      <c r="C3840" t="s">
        <v>568</v>
      </c>
      <c r="D3840" s="453">
        <v>45689</v>
      </c>
      <c r="E3840">
        <v>22889</v>
      </c>
      <c r="F3840" t="s">
        <v>4466</v>
      </c>
      <c r="G3840">
        <v>2900</v>
      </c>
      <c r="H3840">
        <v>0.5</v>
      </c>
      <c r="I3840" t="s">
        <v>3892</v>
      </c>
      <c r="J3840" t="s">
        <v>3469</v>
      </c>
      <c r="K3840" t="s">
        <v>3705</v>
      </c>
      <c r="L3840">
        <v>17.100000000000001</v>
      </c>
      <c r="M3840" s="453">
        <v>45674</v>
      </c>
      <c r="N3840">
        <v>17.100000000000001</v>
      </c>
      <c r="O3840">
        <v>17.100000000000001</v>
      </c>
      <c r="P3840">
        <v>8.5500000000000007</v>
      </c>
    </row>
    <row r="3841" spans="1:16" x14ac:dyDescent="0.3">
      <c r="A3841">
        <v>18667</v>
      </c>
      <c r="B3841">
        <v>116</v>
      </c>
      <c r="C3841" t="s">
        <v>568</v>
      </c>
      <c r="D3841" s="453">
        <v>45689</v>
      </c>
      <c r="E3841">
        <v>19468</v>
      </c>
      <c r="F3841" t="s">
        <v>4079</v>
      </c>
      <c r="G3841">
        <v>2736</v>
      </c>
      <c r="H3841">
        <v>0.8</v>
      </c>
      <c r="I3841" t="s">
        <v>3892</v>
      </c>
      <c r="J3841" t="s">
        <v>3469</v>
      </c>
      <c r="K3841" t="s">
        <v>3705</v>
      </c>
      <c r="L3841">
        <v>10.64</v>
      </c>
      <c r="M3841" s="453">
        <v>45688</v>
      </c>
      <c r="N3841">
        <v>10</v>
      </c>
      <c r="O3841">
        <v>12.57</v>
      </c>
      <c r="P3841">
        <v>8.51</v>
      </c>
    </row>
    <row r="3842" spans="1:16" x14ac:dyDescent="0.3">
      <c r="A3842">
        <v>18646</v>
      </c>
      <c r="B3842">
        <v>116</v>
      </c>
      <c r="C3842" t="s">
        <v>568</v>
      </c>
      <c r="D3842" s="453">
        <v>45689</v>
      </c>
      <c r="E3842">
        <v>19475</v>
      </c>
      <c r="F3842" t="s">
        <v>4111</v>
      </c>
      <c r="G3842">
        <v>2730</v>
      </c>
      <c r="H3842">
        <v>0.2</v>
      </c>
      <c r="I3842" t="s">
        <v>3892</v>
      </c>
      <c r="J3842" t="s">
        <v>3469</v>
      </c>
      <c r="K3842" t="s">
        <v>3705</v>
      </c>
      <c r="L3842">
        <v>42.12</v>
      </c>
      <c r="M3842" s="453">
        <v>45688</v>
      </c>
      <c r="N3842">
        <v>40</v>
      </c>
      <c r="O3842">
        <v>40</v>
      </c>
      <c r="P3842">
        <v>8.42</v>
      </c>
    </row>
    <row r="3843" spans="1:16" x14ac:dyDescent="0.3">
      <c r="A3843">
        <v>18634</v>
      </c>
      <c r="B3843">
        <v>116</v>
      </c>
      <c r="C3843" t="s">
        <v>568</v>
      </c>
      <c r="D3843" s="453">
        <v>45689</v>
      </c>
      <c r="E3843">
        <v>23126</v>
      </c>
      <c r="F3843" t="s">
        <v>4166</v>
      </c>
      <c r="G3843">
        <v>2725</v>
      </c>
      <c r="H3843">
        <v>1</v>
      </c>
      <c r="I3843" t="s">
        <v>3892</v>
      </c>
      <c r="J3843" t="s">
        <v>3469</v>
      </c>
      <c r="K3843" t="s">
        <v>3705</v>
      </c>
      <c r="L3843">
        <v>8.1999999999999993</v>
      </c>
      <c r="M3843" s="453">
        <v>45680</v>
      </c>
      <c r="N3843">
        <v>8.06</v>
      </c>
      <c r="O3843">
        <v>8.06</v>
      </c>
      <c r="P3843">
        <v>8.1999999999999993</v>
      </c>
    </row>
    <row r="3844" spans="1:16" x14ac:dyDescent="0.3">
      <c r="A3844">
        <v>18721</v>
      </c>
      <c r="B3844">
        <v>116</v>
      </c>
      <c r="C3844" t="s">
        <v>568</v>
      </c>
      <c r="D3844" s="453">
        <v>45689</v>
      </c>
      <c r="E3844">
        <v>24403</v>
      </c>
      <c r="F3844" t="s">
        <v>3992</v>
      </c>
      <c r="G3844">
        <v>3049</v>
      </c>
      <c r="H3844">
        <v>0.6</v>
      </c>
      <c r="I3844" t="s">
        <v>3892</v>
      </c>
      <c r="J3844" t="s">
        <v>3469</v>
      </c>
      <c r="K3844" t="s">
        <v>3705</v>
      </c>
      <c r="L3844">
        <v>0</v>
      </c>
      <c r="M3844" s="453">
        <v>45538</v>
      </c>
      <c r="N3844">
        <v>12</v>
      </c>
      <c r="O3844">
        <v>12</v>
      </c>
      <c r="P3844">
        <v>7.2</v>
      </c>
    </row>
    <row r="3845" spans="1:16" x14ac:dyDescent="0.3">
      <c r="A3845">
        <v>18618</v>
      </c>
      <c r="B3845">
        <v>116</v>
      </c>
      <c r="C3845" t="s">
        <v>568</v>
      </c>
      <c r="D3845" s="453">
        <v>45689</v>
      </c>
      <c r="E3845">
        <v>19642</v>
      </c>
      <c r="F3845" t="s">
        <v>4067</v>
      </c>
      <c r="G3845">
        <v>2596</v>
      </c>
      <c r="H3845">
        <v>1.3</v>
      </c>
      <c r="I3845" t="s">
        <v>3892</v>
      </c>
      <c r="J3845" t="s">
        <v>3469</v>
      </c>
      <c r="K3845" t="s">
        <v>3705</v>
      </c>
      <c r="L3845">
        <v>5.33</v>
      </c>
      <c r="M3845" s="453">
        <v>45677</v>
      </c>
      <c r="N3845">
        <v>4.8</v>
      </c>
      <c r="O3845">
        <v>6.34</v>
      </c>
      <c r="P3845">
        <v>6.93</v>
      </c>
    </row>
    <row r="3846" spans="1:16" x14ac:dyDescent="0.3">
      <c r="A3846">
        <v>18668</v>
      </c>
      <c r="B3846">
        <v>116</v>
      </c>
      <c r="C3846" t="s">
        <v>568</v>
      </c>
      <c r="D3846" s="453">
        <v>45689</v>
      </c>
      <c r="E3846">
        <v>19465</v>
      </c>
      <c r="F3846" t="s">
        <v>4080</v>
      </c>
      <c r="G3846">
        <v>2737</v>
      </c>
      <c r="H3846">
        <v>1.1000000000000001</v>
      </c>
      <c r="I3846" t="s">
        <v>3892</v>
      </c>
      <c r="J3846" t="s">
        <v>3469</v>
      </c>
      <c r="K3846" t="s">
        <v>3705</v>
      </c>
      <c r="L3846">
        <v>6.29</v>
      </c>
      <c r="M3846" s="453">
        <v>45688</v>
      </c>
      <c r="N3846">
        <v>6.5</v>
      </c>
      <c r="O3846">
        <v>12.06</v>
      </c>
      <c r="P3846">
        <v>6.92</v>
      </c>
    </row>
    <row r="3847" spans="1:16" x14ac:dyDescent="0.3">
      <c r="A3847">
        <v>18725</v>
      </c>
      <c r="B3847">
        <v>116</v>
      </c>
      <c r="C3847" t="s">
        <v>568</v>
      </c>
      <c r="D3847" s="453">
        <v>45689</v>
      </c>
      <c r="E3847">
        <v>18666</v>
      </c>
      <c r="F3847" t="s">
        <v>4003</v>
      </c>
      <c r="G3847">
        <v>3053</v>
      </c>
      <c r="H3847">
        <v>0.3</v>
      </c>
      <c r="I3847" t="s">
        <v>3892</v>
      </c>
      <c r="J3847" t="s">
        <v>3469</v>
      </c>
      <c r="K3847" t="s">
        <v>3705</v>
      </c>
      <c r="L3847">
        <v>22</v>
      </c>
      <c r="M3847" s="453">
        <v>45678</v>
      </c>
      <c r="N3847">
        <v>22</v>
      </c>
      <c r="O3847">
        <v>22</v>
      </c>
      <c r="P3847">
        <v>6.6</v>
      </c>
    </row>
    <row r="3848" spans="1:16" x14ac:dyDescent="0.3">
      <c r="A3848">
        <v>18664</v>
      </c>
      <c r="B3848">
        <v>116</v>
      </c>
      <c r="C3848" t="s">
        <v>568</v>
      </c>
      <c r="D3848" s="453">
        <v>45689</v>
      </c>
      <c r="E3848">
        <v>19555</v>
      </c>
      <c r="F3848" t="s">
        <v>4109</v>
      </c>
      <c r="G3848">
        <v>2662</v>
      </c>
      <c r="H3848">
        <v>0.3</v>
      </c>
      <c r="I3848" t="s">
        <v>3892</v>
      </c>
      <c r="J3848" t="s">
        <v>3469</v>
      </c>
      <c r="K3848" t="s">
        <v>3705</v>
      </c>
      <c r="L3848">
        <v>21.96</v>
      </c>
      <c r="M3848" s="453">
        <v>45688</v>
      </c>
      <c r="N3848">
        <v>30</v>
      </c>
      <c r="O3848">
        <v>30</v>
      </c>
      <c r="P3848">
        <v>6.59</v>
      </c>
    </row>
    <row r="3849" spans="1:16" x14ac:dyDescent="0.3">
      <c r="A3849">
        <v>18785</v>
      </c>
      <c r="B3849">
        <v>116</v>
      </c>
      <c r="C3849" t="s">
        <v>568</v>
      </c>
      <c r="D3849" s="453">
        <v>45689</v>
      </c>
      <c r="E3849">
        <v>24468</v>
      </c>
      <c r="F3849" t="s">
        <v>4482</v>
      </c>
      <c r="G3849">
        <v>3675</v>
      </c>
      <c r="H3849">
        <v>3</v>
      </c>
      <c r="I3849" t="s">
        <v>3872</v>
      </c>
      <c r="J3849" t="s">
        <v>3497</v>
      </c>
      <c r="K3849" t="s">
        <v>3705</v>
      </c>
      <c r="L3849">
        <v>0</v>
      </c>
      <c r="M3849" s="453">
        <v>45544</v>
      </c>
      <c r="N3849">
        <v>2.19</v>
      </c>
      <c r="O3849">
        <v>2.19</v>
      </c>
      <c r="P3849">
        <v>6.57</v>
      </c>
    </row>
    <row r="3850" spans="1:16" x14ac:dyDescent="0.3">
      <c r="A3850">
        <v>18610</v>
      </c>
      <c r="B3850">
        <v>116</v>
      </c>
      <c r="C3850" t="s">
        <v>568</v>
      </c>
      <c r="D3850" s="453">
        <v>45689</v>
      </c>
      <c r="E3850">
        <v>19505</v>
      </c>
      <c r="F3850" t="s">
        <v>4101</v>
      </c>
      <c r="G3850">
        <v>2706</v>
      </c>
      <c r="H3850">
        <v>0.8</v>
      </c>
      <c r="I3850" t="s">
        <v>3892</v>
      </c>
      <c r="J3850" t="s">
        <v>3469</v>
      </c>
      <c r="K3850" t="s">
        <v>3705</v>
      </c>
      <c r="L3850">
        <v>7.43</v>
      </c>
      <c r="M3850" s="453">
        <v>45688</v>
      </c>
      <c r="N3850">
        <v>6.5</v>
      </c>
      <c r="O3850">
        <v>7.7</v>
      </c>
      <c r="P3850">
        <v>5.94</v>
      </c>
    </row>
    <row r="3851" spans="1:16" x14ac:dyDescent="0.3">
      <c r="A3851">
        <v>18651</v>
      </c>
      <c r="B3851">
        <v>116</v>
      </c>
      <c r="C3851" t="s">
        <v>568</v>
      </c>
      <c r="D3851" s="453">
        <v>45689</v>
      </c>
      <c r="E3851">
        <v>19589</v>
      </c>
      <c r="F3851" t="s">
        <v>4153</v>
      </c>
      <c r="G3851">
        <v>2637</v>
      </c>
      <c r="H3851">
        <v>1</v>
      </c>
      <c r="I3851" t="s">
        <v>3892</v>
      </c>
      <c r="J3851" t="s">
        <v>3469</v>
      </c>
      <c r="K3851" t="s">
        <v>3705</v>
      </c>
      <c r="L3851">
        <v>5.19</v>
      </c>
      <c r="M3851" s="453">
        <v>45680</v>
      </c>
      <c r="N3851">
        <v>6</v>
      </c>
      <c r="O3851">
        <v>5</v>
      </c>
      <c r="P3851">
        <v>5.19</v>
      </c>
    </row>
    <row r="3852" spans="1:16" x14ac:dyDescent="0.3">
      <c r="A3852">
        <v>18531</v>
      </c>
      <c r="B3852">
        <v>116</v>
      </c>
      <c r="C3852" t="s">
        <v>568</v>
      </c>
      <c r="D3852" s="453">
        <v>45689</v>
      </c>
      <c r="E3852">
        <v>24185</v>
      </c>
      <c r="F3852" t="s">
        <v>4040</v>
      </c>
      <c r="G3852">
        <v>2331</v>
      </c>
      <c r="H3852">
        <v>0.5</v>
      </c>
      <c r="I3852" t="s">
        <v>3892</v>
      </c>
      <c r="J3852" t="s">
        <v>3469</v>
      </c>
      <c r="K3852" t="s">
        <v>3705</v>
      </c>
      <c r="L3852">
        <v>0</v>
      </c>
      <c r="M3852" s="453">
        <v>-693593</v>
      </c>
      <c r="N3852">
        <v>0</v>
      </c>
      <c r="O3852">
        <v>0</v>
      </c>
      <c r="P3852">
        <v>4.38</v>
      </c>
    </row>
    <row r="3853" spans="1:16" x14ac:dyDescent="0.3">
      <c r="A3853">
        <v>18674</v>
      </c>
      <c r="B3853">
        <v>116</v>
      </c>
      <c r="C3853" t="s">
        <v>568</v>
      </c>
      <c r="D3853" s="453">
        <v>45689</v>
      </c>
      <c r="E3853">
        <v>24484</v>
      </c>
      <c r="F3853" t="s">
        <v>4154</v>
      </c>
      <c r="G3853">
        <v>2684</v>
      </c>
      <c r="H3853">
        <v>0.45</v>
      </c>
      <c r="I3853" t="s">
        <v>3892</v>
      </c>
      <c r="J3853" t="s">
        <v>3469</v>
      </c>
      <c r="K3853" t="s">
        <v>3705</v>
      </c>
      <c r="L3853">
        <v>0</v>
      </c>
      <c r="M3853" s="453">
        <v>45638</v>
      </c>
      <c r="N3853">
        <v>9.44</v>
      </c>
      <c r="O3853">
        <v>0</v>
      </c>
      <c r="P3853">
        <v>4.25</v>
      </c>
    </row>
    <row r="3854" spans="1:16" x14ac:dyDescent="0.3">
      <c r="A3854">
        <v>18665</v>
      </c>
      <c r="B3854">
        <v>116</v>
      </c>
      <c r="C3854" t="s">
        <v>568</v>
      </c>
      <c r="D3854" s="453">
        <v>45689</v>
      </c>
      <c r="E3854">
        <v>19553</v>
      </c>
      <c r="F3854" t="s">
        <v>4078</v>
      </c>
      <c r="G3854">
        <v>2663</v>
      </c>
      <c r="H3854">
        <v>1.3</v>
      </c>
      <c r="I3854" t="s">
        <v>3892</v>
      </c>
      <c r="J3854" t="s">
        <v>3469</v>
      </c>
      <c r="K3854" t="s">
        <v>3705</v>
      </c>
      <c r="L3854">
        <v>2.83</v>
      </c>
      <c r="M3854" s="453">
        <v>45688</v>
      </c>
      <c r="N3854">
        <v>2.5</v>
      </c>
      <c r="O3854">
        <v>2.5</v>
      </c>
      <c r="P3854">
        <v>3.68</v>
      </c>
    </row>
    <row r="3855" spans="1:16" x14ac:dyDescent="0.3">
      <c r="A3855">
        <v>18611</v>
      </c>
      <c r="B3855">
        <v>116</v>
      </c>
      <c r="C3855" t="s">
        <v>568</v>
      </c>
      <c r="D3855" s="453">
        <v>45689</v>
      </c>
      <c r="E3855">
        <v>19503</v>
      </c>
      <c r="F3855" t="s">
        <v>4498</v>
      </c>
      <c r="G3855">
        <v>2707</v>
      </c>
      <c r="H3855">
        <v>0.4</v>
      </c>
      <c r="I3855" t="s">
        <v>3892</v>
      </c>
      <c r="J3855" t="s">
        <v>3469</v>
      </c>
      <c r="K3855" t="s">
        <v>3705</v>
      </c>
      <c r="L3855">
        <v>8.9499999999999993</v>
      </c>
      <c r="M3855" s="453">
        <v>45688</v>
      </c>
      <c r="N3855">
        <v>6</v>
      </c>
      <c r="O3855">
        <v>6</v>
      </c>
      <c r="P3855">
        <v>3.58</v>
      </c>
    </row>
    <row r="3856" spans="1:16" x14ac:dyDescent="0.3">
      <c r="A3856">
        <v>18588</v>
      </c>
      <c r="B3856">
        <v>116</v>
      </c>
      <c r="C3856" t="s">
        <v>568</v>
      </c>
      <c r="D3856" s="453">
        <v>45689</v>
      </c>
      <c r="E3856">
        <v>19935</v>
      </c>
      <c r="F3856" t="s">
        <v>4469</v>
      </c>
      <c r="G3856">
        <v>2368</v>
      </c>
      <c r="H3856">
        <v>0.5</v>
      </c>
      <c r="I3856" t="s">
        <v>3888</v>
      </c>
      <c r="J3856" t="s">
        <v>3469</v>
      </c>
      <c r="K3856" t="s">
        <v>3705</v>
      </c>
      <c r="L3856">
        <v>0</v>
      </c>
      <c r="M3856" s="453">
        <v>45629</v>
      </c>
      <c r="N3856">
        <v>6.5</v>
      </c>
      <c r="O3856">
        <v>6.5</v>
      </c>
      <c r="P3856">
        <v>3.25</v>
      </c>
    </row>
    <row r="3857" spans="1:16" x14ac:dyDescent="0.3">
      <c r="A3857">
        <v>18631</v>
      </c>
      <c r="B3857">
        <v>116</v>
      </c>
      <c r="C3857" t="s">
        <v>568</v>
      </c>
      <c r="D3857" s="453">
        <v>45689</v>
      </c>
      <c r="E3857">
        <v>19617</v>
      </c>
      <c r="F3857" t="s">
        <v>4110</v>
      </c>
      <c r="G3857">
        <v>2617</v>
      </c>
      <c r="H3857">
        <v>0.2</v>
      </c>
      <c r="I3857" t="s">
        <v>3892</v>
      </c>
      <c r="J3857" t="s">
        <v>3469</v>
      </c>
      <c r="K3857" t="s">
        <v>3705</v>
      </c>
      <c r="L3857">
        <v>14</v>
      </c>
      <c r="M3857" s="453">
        <v>45677</v>
      </c>
      <c r="N3857">
        <v>14</v>
      </c>
      <c r="O3857">
        <v>18.03</v>
      </c>
      <c r="P3857">
        <v>2.8</v>
      </c>
    </row>
    <row r="3858" spans="1:16" x14ac:dyDescent="0.3">
      <c r="A3858">
        <v>18629</v>
      </c>
      <c r="B3858">
        <v>116</v>
      </c>
      <c r="C3858" t="s">
        <v>568</v>
      </c>
      <c r="D3858" s="453">
        <v>45689</v>
      </c>
      <c r="E3858">
        <v>19488</v>
      </c>
      <c r="F3858" t="s">
        <v>4070</v>
      </c>
      <c r="G3858">
        <v>2720</v>
      </c>
      <c r="H3858">
        <v>0.2</v>
      </c>
      <c r="I3858" t="s">
        <v>3892</v>
      </c>
      <c r="J3858" t="s">
        <v>3469</v>
      </c>
      <c r="K3858" t="s">
        <v>3705</v>
      </c>
      <c r="L3858">
        <v>11.33</v>
      </c>
      <c r="M3858" s="453">
        <v>45688</v>
      </c>
      <c r="N3858">
        <v>12</v>
      </c>
      <c r="O3858">
        <v>13.27</v>
      </c>
      <c r="P3858">
        <v>2.27</v>
      </c>
    </row>
    <row r="3859" spans="1:16" x14ac:dyDescent="0.3">
      <c r="A3859">
        <v>18589</v>
      </c>
      <c r="B3859">
        <v>116</v>
      </c>
      <c r="C3859" t="s">
        <v>568</v>
      </c>
      <c r="D3859" s="453">
        <v>45689</v>
      </c>
      <c r="E3859">
        <v>19931</v>
      </c>
      <c r="F3859" t="s">
        <v>4470</v>
      </c>
      <c r="G3859">
        <v>2369</v>
      </c>
      <c r="H3859">
        <v>0.2</v>
      </c>
      <c r="I3859" t="s">
        <v>3888</v>
      </c>
      <c r="J3859" t="s">
        <v>3469</v>
      </c>
      <c r="K3859" t="s">
        <v>3705</v>
      </c>
      <c r="L3859">
        <v>7.5</v>
      </c>
      <c r="M3859" s="453">
        <v>45671</v>
      </c>
      <c r="N3859">
        <v>7.5</v>
      </c>
      <c r="O3859">
        <v>7.5</v>
      </c>
      <c r="P3859">
        <v>1.5</v>
      </c>
    </row>
    <row r="3860" spans="1:16" x14ac:dyDescent="0.3">
      <c r="A3860">
        <v>20270</v>
      </c>
      <c r="B3860">
        <v>116</v>
      </c>
      <c r="C3860" t="s">
        <v>568</v>
      </c>
      <c r="D3860" s="453">
        <v>45688</v>
      </c>
      <c r="E3860">
        <v>17006</v>
      </c>
      <c r="F3860" t="s">
        <v>4128</v>
      </c>
      <c r="G3860">
        <v>2902</v>
      </c>
      <c r="H3860">
        <v>10.5</v>
      </c>
      <c r="I3860" t="s">
        <v>3892</v>
      </c>
      <c r="J3860" t="s">
        <v>3469</v>
      </c>
      <c r="K3860" t="s">
        <v>3762</v>
      </c>
      <c r="L3860">
        <v>0</v>
      </c>
      <c r="M3860" s="453">
        <v>-693593</v>
      </c>
      <c r="N3860">
        <v>0</v>
      </c>
      <c r="O3860">
        <v>0</v>
      </c>
      <c r="P3860">
        <v>366.98</v>
      </c>
    </row>
    <row r="3861" spans="1:16" x14ac:dyDescent="0.3">
      <c r="A3861">
        <v>20268</v>
      </c>
      <c r="B3861">
        <v>116</v>
      </c>
      <c r="C3861" t="s">
        <v>568</v>
      </c>
      <c r="D3861" s="453">
        <v>45688</v>
      </c>
      <c r="E3861">
        <v>25547</v>
      </c>
      <c r="F3861" t="s">
        <v>4518</v>
      </c>
      <c r="G3861">
        <v>6163</v>
      </c>
      <c r="H3861">
        <v>5</v>
      </c>
      <c r="I3861" t="s">
        <v>3878</v>
      </c>
      <c r="J3861" t="s">
        <v>3497</v>
      </c>
      <c r="K3861" t="s">
        <v>3762</v>
      </c>
      <c r="L3861">
        <v>0</v>
      </c>
      <c r="M3861" s="453">
        <v>-693593</v>
      </c>
      <c r="N3861">
        <v>0</v>
      </c>
      <c r="O3861">
        <v>0</v>
      </c>
      <c r="P3861">
        <v>242.5</v>
      </c>
    </row>
    <row r="3862" spans="1:16" x14ac:dyDescent="0.3">
      <c r="A3862">
        <v>20269</v>
      </c>
      <c r="B3862">
        <v>116</v>
      </c>
      <c r="C3862" t="s">
        <v>568</v>
      </c>
      <c r="D3862" s="453">
        <v>45688</v>
      </c>
      <c r="E3862">
        <v>24229</v>
      </c>
      <c r="F3862" t="s">
        <v>4519</v>
      </c>
      <c r="G3862">
        <v>2336</v>
      </c>
      <c r="H3862">
        <v>0.7</v>
      </c>
      <c r="I3862" t="s">
        <v>3892</v>
      </c>
      <c r="J3862" t="s">
        <v>3469</v>
      </c>
      <c r="K3862" t="s">
        <v>3762</v>
      </c>
      <c r="L3862">
        <v>0</v>
      </c>
      <c r="M3862" s="453">
        <v>-693593</v>
      </c>
      <c r="N3862">
        <v>0</v>
      </c>
      <c r="O3862">
        <v>0</v>
      </c>
      <c r="P3862">
        <v>29.4</v>
      </c>
    </row>
    <row r="3863" spans="1:16" x14ac:dyDescent="0.3">
      <c r="A3863">
        <v>12957</v>
      </c>
      <c r="B3863">
        <v>116</v>
      </c>
      <c r="C3863" t="s">
        <v>568</v>
      </c>
      <c r="D3863" s="453">
        <v>45658</v>
      </c>
      <c r="E3863">
        <v>18636</v>
      </c>
      <c r="F3863" t="s">
        <v>3921</v>
      </c>
      <c r="G3863">
        <v>3075</v>
      </c>
      <c r="H3863">
        <v>17.5</v>
      </c>
      <c r="I3863" t="s">
        <v>3922</v>
      </c>
      <c r="J3863" t="s">
        <v>3497</v>
      </c>
      <c r="K3863" t="s">
        <v>3762</v>
      </c>
      <c r="L3863">
        <v>429</v>
      </c>
      <c r="M3863" s="453">
        <v>45657</v>
      </c>
      <c r="N3863">
        <v>429</v>
      </c>
      <c r="O3863">
        <v>429</v>
      </c>
      <c r="P3863">
        <v>7507.5</v>
      </c>
    </row>
    <row r="3864" spans="1:16" x14ac:dyDescent="0.3">
      <c r="A3864">
        <v>14870</v>
      </c>
      <c r="B3864">
        <v>116</v>
      </c>
      <c r="C3864" t="s">
        <v>568</v>
      </c>
      <c r="D3864" s="453">
        <v>45658</v>
      </c>
      <c r="E3864">
        <v>18247</v>
      </c>
      <c r="F3864" t="s">
        <v>3877</v>
      </c>
      <c r="G3864">
        <v>3383</v>
      </c>
      <c r="H3864">
        <v>54.2</v>
      </c>
      <c r="I3864" t="s">
        <v>3878</v>
      </c>
      <c r="J3864" t="s">
        <v>3497</v>
      </c>
      <c r="K3864" t="s">
        <v>3762</v>
      </c>
      <c r="L3864">
        <v>0</v>
      </c>
      <c r="M3864" s="453">
        <v>-693593</v>
      </c>
      <c r="N3864">
        <v>0</v>
      </c>
      <c r="O3864">
        <v>0</v>
      </c>
      <c r="P3864">
        <v>3598.88</v>
      </c>
    </row>
    <row r="3865" spans="1:16" x14ac:dyDescent="0.3">
      <c r="A3865">
        <v>14865</v>
      </c>
      <c r="B3865">
        <v>116</v>
      </c>
      <c r="C3865" t="s">
        <v>568</v>
      </c>
      <c r="D3865" s="453">
        <v>45658</v>
      </c>
      <c r="E3865">
        <v>25543</v>
      </c>
      <c r="F3865" t="s">
        <v>4477</v>
      </c>
      <c r="G3865">
        <v>6161</v>
      </c>
      <c r="H3865">
        <v>12</v>
      </c>
      <c r="I3865" t="s">
        <v>3892</v>
      </c>
      <c r="J3865" t="s">
        <v>3469</v>
      </c>
      <c r="K3865" t="s">
        <v>3762</v>
      </c>
      <c r="L3865">
        <v>0</v>
      </c>
      <c r="M3865" s="453">
        <v>-693593</v>
      </c>
      <c r="N3865">
        <v>0</v>
      </c>
      <c r="O3865">
        <v>0</v>
      </c>
      <c r="P3865">
        <v>2268</v>
      </c>
    </row>
    <row r="3866" spans="1:16" x14ac:dyDescent="0.3">
      <c r="A3866">
        <v>12978</v>
      </c>
      <c r="B3866">
        <v>116</v>
      </c>
      <c r="C3866" t="s">
        <v>568</v>
      </c>
      <c r="D3866" s="453">
        <v>45658</v>
      </c>
      <c r="E3866">
        <v>18450</v>
      </c>
      <c r="F3866" t="s">
        <v>4253</v>
      </c>
      <c r="G3866">
        <v>3202</v>
      </c>
      <c r="H3866">
        <v>21.2</v>
      </c>
      <c r="I3866" t="s">
        <v>3878</v>
      </c>
      <c r="J3866" t="s">
        <v>3497</v>
      </c>
      <c r="K3866" t="s">
        <v>3762</v>
      </c>
      <c r="L3866">
        <v>0</v>
      </c>
      <c r="M3866" s="453">
        <v>45407</v>
      </c>
      <c r="N3866">
        <v>68.599999999999994</v>
      </c>
      <c r="O3866">
        <v>68.599999999999994</v>
      </c>
      <c r="P3866">
        <v>1454.32</v>
      </c>
    </row>
    <row r="3867" spans="1:16" x14ac:dyDescent="0.3">
      <c r="A3867">
        <v>13088</v>
      </c>
      <c r="B3867">
        <v>116</v>
      </c>
      <c r="C3867" t="s">
        <v>568</v>
      </c>
      <c r="D3867" s="453">
        <v>45658</v>
      </c>
      <c r="E3867">
        <v>20703</v>
      </c>
      <c r="F3867" t="s">
        <v>3893</v>
      </c>
      <c r="G3867">
        <v>2100</v>
      </c>
      <c r="H3867">
        <v>34</v>
      </c>
      <c r="I3867" t="s">
        <v>3886</v>
      </c>
      <c r="J3867" t="s">
        <v>3469</v>
      </c>
      <c r="K3867" t="s">
        <v>3762</v>
      </c>
      <c r="L3867">
        <v>0</v>
      </c>
      <c r="M3867" s="453">
        <v>45499</v>
      </c>
      <c r="N3867">
        <v>29.99</v>
      </c>
      <c r="O3867">
        <v>29.99</v>
      </c>
      <c r="P3867">
        <v>1019.66</v>
      </c>
    </row>
    <row r="3868" spans="1:16" x14ac:dyDescent="0.3">
      <c r="A3868">
        <v>13110</v>
      </c>
      <c r="B3868">
        <v>116</v>
      </c>
      <c r="C3868" t="s">
        <v>568</v>
      </c>
      <c r="D3868" s="453">
        <v>45658</v>
      </c>
      <c r="E3868">
        <v>19224</v>
      </c>
      <c r="F3868" t="s">
        <v>4485</v>
      </c>
      <c r="G3868">
        <v>5850</v>
      </c>
      <c r="H3868">
        <v>3.9</v>
      </c>
      <c r="I3868" t="s">
        <v>3872</v>
      </c>
      <c r="J3868" t="s">
        <v>3469</v>
      </c>
      <c r="K3868" t="s">
        <v>3762</v>
      </c>
      <c r="L3868">
        <v>0</v>
      </c>
      <c r="M3868" s="453">
        <v>45586</v>
      </c>
      <c r="N3868">
        <v>228.9</v>
      </c>
      <c r="O3868">
        <v>235.9</v>
      </c>
      <c r="P3868">
        <v>892.71</v>
      </c>
    </row>
    <row r="3869" spans="1:16" x14ac:dyDescent="0.3">
      <c r="A3869">
        <v>13094</v>
      </c>
      <c r="B3869">
        <v>116</v>
      </c>
      <c r="C3869" t="s">
        <v>568</v>
      </c>
      <c r="D3869" s="453">
        <v>45658</v>
      </c>
      <c r="E3869">
        <v>20621</v>
      </c>
      <c r="F3869" t="s">
        <v>3885</v>
      </c>
      <c r="G3869">
        <v>2117</v>
      </c>
      <c r="H3869">
        <v>51</v>
      </c>
      <c r="I3869" t="s">
        <v>3886</v>
      </c>
      <c r="J3869" t="s">
        <v>3469</v>
      </c>
      <c r="K3869" t="s">
        <v>3762</v>
      </c>
      <c r="L3869">
        <v>0</v>
      </c>
      <c r="M3869" s="453">
        <v>45524</v>
      </c>
      <c r="N3869">
        <v>16.600000000000001</v>
      </c>
      <c r="O3869">
        <v>21.9</v>
      </c>
      <c r="P3869">
        <v>846.6</v>
      </c>
    </row>
    <row r="3870" spans="1:16" x14ac:dyDescent="0.3">
      <c r="A3870">
        <v>13054</v>
      </c>
      <c r="B3870">
        <v>116</v>
      </c>
      <c r="C3870" t="s">
        <v>568</v>
      </c>
      <c r="D3870" s="453">
        <v>45658</v>
      </c>
      <c r="E3870">
        <v>18764</v>
      </c>
      <c r="F3870" t="s">
        <v>3907</v>
      </c>
      <c r="G3870">
        <v>3001</v>
      </c>
      <c r="H3870">
        <v>8.5</v>
      </c>
      <c r="I3870" t="s">
        <v>3892</v>
      </c>
      <c r="J3870" t="s">
        <v>3469</v>
      </c>
      <c r="K3870" t="s">
        <v>3762</v>
      </c>
      <c r="L3870">
        <v>0</v>
      </c>
      <c r="M3870" s="453">
        <v>45615</v>
      </c>
      <c r="N3870">
        <v>89.9</v>
      </c>
      <c r="O3870">
        <v>89.9</v>
      </c>
      <c r="P3870">
        <v>764.15</v>
      </c>
    </row>
    <row r="3871" spans="1:16" x14ac:dyDescent="0.3">
      <c r="A3871">
        <v>14861</v>
      </c>
      <c r="B3871">
        <v>116</v>
      </c>
      <c r="C3871" t="s">
        <v>568</v>
      </c>
      <c r="D3871" s="453">
        <v>45658</v>
      </c>
      <c r="E3871">
        <v>19289</v>
      </c>
      <c r="F3871" t="s">
        <v>4508</v>
      </c>
      <c r="G3871">
        <v>2776</v>
      </c>
      <c r="H3871">
        <v>10.5</v>
      </c>
      <c r="I3871" t="s">
        <v>3892</v>
      </c>
      <c r="J3871" t="s">
        <v>3469</v>
      </c>
      <c r="K3871" t="s">
        <v>3762</v>
      </c>
      <c r="L3871">
        <v>0</v>
      </c>
      <c r="M3871" s="453">
        <v>45594</v>
      </c>
      <c r="N3871">
        <v>65.900000000000006</v>
      </c>
      <c r="O3871">
        <v>65.900000000000006</v>
      </c>
      <c r="P3871">
        <v>691.94</v>
      </c>
    </row>
    <row r="3872" spans="1:16" x14ac:dyDescent="0.3">
      <c r="A3872">
        <v>14837</v>
      </c>
      <c r="B3872">
        <v>116</v>
      </c>
      <c r="C3872" t="s">
        <v>568</v>
      </c>
      <c r="D3872" s="453">
        <v>45658</v>
      </c>
      <c r="E3872">
        <v>24252</v>
      </c>
      <c r="F3872" t="s">
        <v>4520</v>
      </c>
      <c r="G3872">
        <v>2993</v>
      </c>
      <c r="H3872">
        <v>10</v>
      </c>
      <c r="I3872" t="s">
        <v>3892</v>
      </c>
      <c r="J3872" t="s">
        <v>3469</v>
      </c>
      <c r="K3872" t="s">
        <v>3762</v>
      </c>
      <c r="L3872">
        <v>0</v>
      </c>
      <c r="M3872" s="453">
        <v>45572</v>
      </c>
      <c r="N3872">
        <v>67.900000000000006</v>
      </c>
      <c r="O3872">
        <v>67.900000000000006</v>
      </c>
      <c r="P3872">
        <v>679</v>
      </c>
    </row>
    <row r="3873" spans="1:16" x14ac:dyDescent="0.3">
      <c r="A3873">
        <v>13050</v>
      </c>
      <c r="B3873">
        <v>116</v>
      </c>
      <c r="C3873" t="s">
        <v>568</v>
      </c>
      <c r="D3873" s="453">
        <v>45658</v>
      </c>
      <c r="E3873">
        <v>18844</v>
      </c>
      <c r="F3873" t="s">
        <v>4521</v>
      </c>
      <c r="G3873">
        <v>2947</v>
      </c>
      <c r="H3873">
        <v>11.6</v>
      </c>
      <c r="I3873" t="s">
        <v>3892</v>
      </c>
      <c r="J3873" t="s">
        <v>3469</v>
      </c>
      <c r="K3873" t="s">
        <v>3762</v>
      </c>
      <c r="L3873">
        <v>0</v>
      </c>
      <c r="M3873" s="453">
        <v>45497</v>
      </c>
      <c r="N3873">
        <v>52.6</v>
      </c>
      <c r="O3873">
        <v>52.6</v>
      </c>
      <c r="P3873">
        <v>610.16</v>
      </c>
    </row>
    <row r="3874" spans="1:16" x14ac:dyDescent="0.3">
      <c r="A3874">
        <v>13059</v>
      </c>
      <c r="B3874">
        <v>116</v>
      </c>
      <c r="C3874" t="s">
        <v>568</v>
      </c>
      <c r="D3874" s="453">
        <v>45658</v>
      </c>
      <c r="E3874">
        <v>18832</v>
      </c>
      <c r="F3874" t="s">
        <v>3900</v>
      </c>
      <c r="G3874">
        <v>2950</v>
      </c>
      <c r="H3874">
        <v>15</v>
      </c>
      <c r="I3874" t="s">
        <v>3892</v>
      </c>
      <c r="J3874" t="s">
        <v>3469</v>
      </c>
      <c r="K3874" t="s">
        <v>3762</v>
      </c>
      <c r="L3874">
        <v>37.909999999999997</v>
      </c>
      <c r="M3874" s="453">
        <v>45656</v>
      </c>
      <c r="N3874">
        <v>33.5</v>
      </c>
      <c r="O3874">
        <v>33.5</v>
      </c>
      <c r="P3874">
        <v>568.65</v>
      </c>
    </row>
    <row r="3875" spans="1:16" x14ac:dyDescent="0.3">
      <c r="A3875">
        <v>14832</v>
      </c>
      <c r="B3875">
        <v>116</v>
      </c>
      <c r="C3875" t="s">
        <v>568</v>
      </c>
      <c r="D3875" s="453">
        <v>45658</v>
      </c>
      <c r="E3875">
        <v>20555</v>
      </c>
      <c r="F3875" t="s">
        <v>3959</v>
      </c>
      <c r="G3875">
        <v>2139</v>
      </c>
      <c r="H3875">
        <v>6.28</v>
      </c>
      <c r="I3875" t="s">
        <v>3892</v>
      </c>
      <c r="J3875" t="s">
        <v>3469</v>
      </c>
      <c r="K3875" t="s">
        <v>3762</v>
      </c>
      <c r="L3875">
        <v>79</v>
      </c>
      <c r="M3875" s="453">
        <v>45656</v>
      </c>
      <c r="N3875">
        <v>79</v>
      </c>
      <c r="O3875">
        <v>79</v>
      </c>
      <c r="P3875">
        <v>496.12</v>
      </c>
    </row>
    <row r="3876" spans="1:16" x14ac:dyDescent="0.3">
      <c r="A3876">
        <v>13045</v>
      </c>
      <c r="B3876">
        <v>116</v>
      </c>
      <c r="C3876" t="s">
        <v>568</v>
      </c>
      <c r="D3876" s="453">
        <v>45658</v>
      </c>
      <c r="E3876">
        <v>19324</v>
      </c>
      <c r="F3876" t="s">
        <v>3937</v>
      </c>
      <c r="G3876">
        <v>2773</v>
      </c>
      <c r="H3876">
        <v>10.4</v>
      </c>
      <c r="I3876" t="s">
        <v>3892</v>
      </c>
      <c r="J3876" t="s">
        <v>3469</v>
      </c>
      <c r="K3876" t="s">
        <v>3762</v>
      </c>
      <c r="L3876">
        <v>42.52</v>
      </c>
      <c r="M3876" s="453">
        <v>45656</v>
      </c>
      <c r="N3876">
        <v>42.61</v>
      </c>
      <c r="O3876">
        <v>42.6</v>
      </c>
      <c r="P3876">
        <v>442.21</v>
      </c>
    </row>
    <row r="3877" spans="1:16" x14ac:dyDescent="0.3">
      <c r="A3877">
        <v>14824</v>
      </c>
      <c r="B3877">
        <v>116</v>
      </c>
      <c r="C3877" t="s">
        <v>568</v>
      </c>
      <c r="D3877" s="453">
        <v>45658</v>
      </c>
      <c r="E3877">
        <v>21030</v>
      </c>
      <c r="F3877" t="s">
        <v>3890</v>
      </c>
      <c r="G3877">
        <v>2001</v>
      </c>
      <c r="H3877">
        <v>15</v>
      </c>
      <c r="I3877" t="s">
        <v>3872</v>
      </c>
      <c r="J3877" t="s">
        <v>3469</v>
      </c>
      <c r="K3877" t="s">
        <v>3762</v>
      </c>
      <c r="L3877">
        <v>0</v>
      </c>
      <c r="M3877" s="453">
        <v>45623</v>
      </c>
      <c r="N3877">
        <v>29.4</v>
      </c>
      <c r="O3877">
        <v>29.4</v>
      </c>
      <c r="P3877">
        <v>441</v>
      </c>
    </row>
    <row r="3878" spans="1:16" x14ac:dyDescent="0.3">
      <c r="A3878">
        <v>12979</v>
      </c>
      <c r="B3878">
        <v>116</v>
      </c>
      <c r="C3878" t="s">
        <v>568</v>
      </c>
      <c r="D3878" s="453">
        <v>45658</v>
      </c>
      <c r="E3878">
        <v>18493</v>
      </c>
      <c r="F3878" t="s">
        <v>3958</v>
      </c>
      <c r="G3878">
        <v>3164</v>
      </c>
      <c r="H3878">
        <v>6</v>
      </c>
      <c r="I3878" t="s">
        <v>3878</v>
      </c>
      <c r="J3878" t="s">
        <v>3497</v>
      </c>
      <c r="K3878" t="s">
        <v>3762</v>
      </c>
      <c r="L3878">
        <v>0</v>
      </c>
      <c r="M3878" s="453">
        <v>45594</v>
      </c>
      <c r="N3878">
        <v>69.900000000000006</v>
      </c>
      <c r="O3878">
        <v>69.900000000000006</v>
      </c>
      <c r="P3878">
        <v>419.4</v>
      </c>
    </row>
    <row r="3879" spans="1:16" x14ac:dyDescent="0.3">
      <c r="A3879">
        <v>12967</v>
      </c>
      <c r="B3879">
        <v>116</v>
      </c>
      <c r="C3879" t="s">
        <v>568</v>
      </c>
      <c r="D3879" s="453">
        <v>45658</v>
      </c>
      <c r="E3879">
        <v>21984</v>
      </c>
      <c r="F3879" t="s">
        <v>4487</v>
      </c>
      <c r="G3879">
        <v>3709</v>
      </c>
      <c r="H3879">
        <v>3.32</v>
      </c>
      <c r="I3879" t="s">
        <v>3881</v>
      </c>
      <c r="J3879" t="s">
        <v>3497</v>
      </c>
      <c r="K3879" t="s">
        <v>3762</v>
      </c>
      <c r="L3879">
        <v>0</v>
      </c>
      <c r="M3879" s="453">
        <v>-693593</v>
      </c>
      <c r="N3879">
        <v>0</v>
      </c>
      <c r="O3879">
        <v>120</v>
      </c>
      <c r="P3879">
        <v>398.4</v>
      </c>
    </row>
    <row r="3880" spans="1:16" x14ac:dyDescent="0.3">
      <c r="A3880">
        <v>13087</v>
      </c>
      <c r="B3880">
        <v>116</v>
      </c>
      <c r="C3880" t="s">
        <v>568</v>
      </c>
      <c r="D3880" s="453">
        <v>45658</v>
      </c>
      <c r="E3880">
        <v>20752</v>
      </c>
      <c r="F3880" t="s">
        <v>3964</v>
      </c>
      <c r="G3880">
        <v>2088</v>
      </c>
      <c r="H3880">
        <v>4</v>
      </c>
      <c r="I3880" t="s">
        <v>3886</v>
      </c>
      <c r="J3880" t="s">
        <v>3469</v>
      </c>
      <c r="K3880" t="s">
        <v>3762</v>
      </c>
      <c r="L3880">
        <v>97.21</v>
      </c>
      <c r="M3880" s="453">
        <v>45656</v>
      </c>
      <c r="N3880">
        <v>98.9</v>
      </c>
      <c r="O3880">
        <v>98.9</v>
      </c>
      <c r="P3880">
        <v>388.84</v>
      </c>
    </row>
    <row r="3881" spans="1:16" x14ac:dyDescent="0.3">
      <c r="A3881">
        <v>13055</v>
      </c>
      <c r="B3881">
        <v>116</v>
      </c>
      <c r="C3881" t="s">
        <v>568</v>
      </c>
      <c r="D3881" s="453">
        <v>45658</v>
      </c>
      <c r="E3881">
        <v>24259</v>
      </c>
      <c r="F3881" t="s">
        <v>3895</v>
      </c>
      <c r="G3881">
        <v>2938</v>
      </c>
      <c r="H3881">
        <v>4.5</v>
      </c>
      <c r="I3881" t="s">
        <v>3892</v>
      </c>
      <c r="J3881" t="s">
        <v>3469</v>
      </c>
      <c r="K3881" t="s">
        <v>3762</v>
      </c>
      <c r="L3881">
        <v>0</v>
      </c>
      <c r="M3881" s="453">
        <v>-693593</v>
      </c>
      <c r="N3881">
        <v>0</v>
      </c>
      <c r="O3881">
        <v>89.99</v>
      </c>
      <c r="P3881">
        <v>375.75</v>
      </c>
    </row>
    <row r="3882" spans="1:16" x14ac:dyDescent="0.3">
      <c r="A3882">
        <v>12971</v>
      </c>
      <c r="B3882">
        <v>116</v>
      </c>
      <c r="C3882" t="s">
        <v>568</v>
      </c>
      <c r="D3882" s="453">
        <v>45658</v>
      </c>
      <c r="E3882">
        <v>21047</v>
      </c>
      <c r="F3882" t="s">
        <v>4522</v>
      </c>
      <c r="G3882">
        <v>1999</v>
      </c>
      <c r="H3882">
        <v>2</v>
      </c>
      <c r="I3882" t="s">
        <v>3978</v>
      </c>
      <c r="J3882" t="s">
        <v>3469</v>
      </c>
      <c r="K3882" t="s">
        <v>3762</v>
      </c>
      <c r="L3882">
        <v>0</v>
      </c>
      <c r="M3882" s="453">
        <v>-693593</v>
      </c>
      <c r="N3882">
        <v>0</v>
      </c>
      <c r="O3882">
        <v>184.9</v>
      </c>
      <c r="P3882">
        <v>369.8</v>
      </c>
    </row>
    <row r="3883" spans="1:16" x14ac:dyDescent="0.3">
      <c r="A3883">
        <v>14872</v>
      </c>
      <c r="B3883">
        <v>116</v>
      </c>
      <c r="C3883" t="s">
        <v>568</v>
      </c>
      <c r="D3883" s="453">
        <v>45658</v>
      </c>
      <c r="E3883">
        <v>26195</v>
      </c>
      <c r="F3883" t="s">
        <v>4037</v>
      </c>
      <c r="G3883">
        <v>6618</v>
      </c>
      <c r="H3883">
        <v>13</v>
      </c>
      <c r="I3883" t="s">
        <v>3878</v>
      </c>
      <c r="J3883" t="s">
        <v>3497</v>
      </c>
      <c r="K3883" t="s">
        <v>3762</v>
      </c>
      <c r="L3883">
        <v>0</v>
      </c>
      <c r="M3883" s="453">
        <v>-693593</v>
      </c>
      <c r="N3883">
        <v>0</v>
      </c>
      <c r="O3883">
        <v>0</v>
      </c>
      <c r="P3883">
        <v>360.62</v>
      </c>
    </row>
    <row r="3884" spans="1:16" x14ac:dyDescent="0.3">
      <c r="A3884">
        <v>13061</v>
      </c>
      <c r="B3884">
        <v>116</v>
      </c>
      <c r="C3884" t="s">
        <v>568</v>
      </c>
      <c r="D3884" s="453">
        <v>45658</v>
      </c>
      <c r="E3884">
        <v>18817</v>
      </c>
      <c r="F3884" t="s">
        <v>4523</v>
      </c>
      <c r="G3884">
        <v>2957</v>
      </c>
      <c r="H3884">
        <v>15</v>
      </c>
      <c r="I3884" t="s">
        <v>3892</v>
      </c>
      <c r="J3884" t="s">
        <v>3469</v>
      </c>
      <c r="K3884" t="s">
        <v>3762</v>
      </c>
      <c r="L3884">
        <v>0</v>
      </c>
      <c r="M3884" s="453">
        <v>-693593</v>
      </c>
      <c r="N3884">
        <v>0</v>
      </c>
      <c r="O3884">
        <v>22</v>
      </c>
      <c r="P3884">
        <v>330</v>
      </c>
    </row>
    <row r="3885" spans="1:16" x14ac:dyDescent="0.3">
      <c r="A3885">
        <v>13056</v>
      </c>
      <c r="B3885">
        <v>116</v>
      </c>
      <c r="C3885" t="s">
        <v>568</v>
      </c>
      <c r="D3885" s="453">
        <v>45658</v>
      </c>
      <c r="E3885">
        <v>18685</v>
      </c>
      <c r="F3885" t="s">
        <v>3945</v>
      </c>
      <c r="G3885">
        <v>3040</v>
      </c>
      <c r="H3885">
        <v>9</v>
      </c>
      <c r="I3885" t="s">
        <v>3892</v>
      </c>
      <c r="J3885" t="s">
        <v>3469</v>
      </c>
      <c r="K3885" t="s">
        <v>3762</v>
      </c>
      <c r="L3885">
        <v>35</v>
      </c>
      <c r="M3885" s="453">
        <v>45656</v>
      </c>
      <c r="N3885">
        <v>35</v>
      </c>
      <c r="O3885">
        <v>35</v>
      </c>
      <c r="P3885">
        <v>315</v>
      </c>
    </row>
    <row r="3886" spans="1:16" x14ac:dyDescent="0.3">
      <c r="A3886">
        <v>14823</v>
      </c>
      <c r="B3886">
        <v>116</v>
      </c>
      <c r="C3886" t="s">
        <v>568</v>
      </c>
      <c r="D3886" s="453">
        <v>45658</v>
      </c>
      <c r="E3886">
        <v>23982</v>
      </c>
      <c r="F3886" t="s">
        <v>3977</v>
      </c>
      <c r="G3886">
        <v>1999</v>
      </c>
      <c r="H3886">
        <v>1.2</v>
      </c>
      <c r="I3886" t="s">
        <v>3978</v>
      </c>
      <c r="J3886" t="s">
        <v>3469</v>
      </c>
      <c r="K3886" t="s">
        <v>3762</v>
      </c>
      <c r="L3886">
        <v>0</v>
      </c>
      <c r="M3886" s="453">
        <v>45623</v>
      </c>
      <c r="N3886">
        <v>252</v>
      </c>
      <c r="O3886">
        <v>292.04000000000002</v>
      </c>
      <c r="P3886">
        <v>302.39999999999998</v>
      </c>
    </row>
    <row r="3887" spans="1:16" x14ac:dyDescent="0.3">
      <c r="A3887">
        <v>13114</v>
      </c>
      <c r="B3887">
        <v>116</v>
      </c>
      <c r="C3887" t="s">
        <v>568</v>
      </c>
      <c r="D3887" s="453">
        <v>45658</v>
      </c>
      <c r="E3887">
        <v>24019</v>
      </c>
      <c r="F3887" t="s">
        <v>4471</v>
      </c>
      <c r="G3887">
        <v>3617</v>
      </c>
      <c r="H3887">
        <v>186</v>
      </c>
      <c r="I3887" t="s">
        <v>3872</v>
      </c>
      <c r="J3887" t="s">
        <v>3497</v>
      </c>
      <c r="K3887" t="s">
        <v>3762</v>
      </c>
      <c r="L3887">
        <v>0</v>
      </c>
      <c r="M3887" s="453">
        <v>45545</v>
      </c>
      <c r="N3887">
        <v>1.62</v>
      </c>
      <c r="O3887">
        <v>1.63</v>
      </c>
      <c r="P3887">
        <v>302.25</v>
      </c>
    </row>
    <row r="3888" spans="1:16" x14ac:dyDescent="0.3">
      <c r="A3888">
        <v>13058</v>
      </c>
      <c r="B3888">
        <v>116</v>
      </c>
      <c r="C3888" t="s">
        <v>568</v>
      </c>
      <c r="D3888" s="453">
        <v>45658</v>
      </c>
      <c r="E3888">
        <v>24517</v>
      </c>
      <c r="F3888" t="s">
        <v>3991</v>
      </c>
      <c r="G3888">
        <v>3047</v>
      </c>
      <c r="H3888">
        <v>10.1</v>
      </c>
      <c r="I3888" t="s">
        <v>3892</v>
      </c>
      <c r="J3888" t="s">
        <v>3469</v>
      </c>
      <c r="K3888" t="s">
        <v>3762</v>
      </c>
      <c r="L3888">
        <v>29.5</v>
      </c>
      <c r="M3888" s="453">
        <v>45656</v>
      </c>
      <c r="N3888">
        <v>25.5</v>
      </c>
      <c r="O3888">
        <v>25.5</v>
      </c>
      <c r="P3888">
        <v>297.95</v>
      </c>
    </row>
    <row r="3889" spans="1:16" x14ac:dyDescent="0.3">
      <c r="A3889">
        <v>13044</v>
      </c>
      <c r="B3889">
        <v>116</v>
      </c>
      <c r="C3889" t="s">
        <v>568</v>
      </c>
      <c r="D3889" s="453">
        <v>45658</v>
      </c>
      <c r="E3889">
        <v>19346</v>
      </c>
      <c r="F3889" t="s">
        <v>3948</v>
      </c>
      <c r="G3889">
        <v>2770</v>
      </c>
      <c r="H3889">
        <v>5.7</v>
      </c>
      <c r="I3889" t="s">
        <v>3892</v>
      </c>
      <c r="J3889" t="s">
        <v>3469</v>
      </c>
      <c r="K3889" t="s">
        <v>3762</v>
      </c>
      <c r="L3889">
        <v>51.77</v>
      </c>
      <c r="M3889" s="453">
        <v>45649</v>
      </c>
      <c r="N3889">
        <v>51.9</v>
      </c>
      <c r="O3889">
        <v>51.9</v>
      </c>
      <c r="P3889">
        <v>295.08999999999997</v>
      </c>
    </row>
    <row r="3890" spans="1:16" x14ac:dyDescent="0.3">
      <c r="A3890">
        <v>13047</v>
      </c>
      <c r="B3890">
        <v>116</v>
      </c>
      <c r="C3890" t="s">
        <v>568</v>
      </c>
      <c r="D3890" s="453">
        <v>45658</v>
      </c>
      <c r="E3890">
        <v>22798</v>
      </c>
      <c r="F3890" t="s">
        <v>4524</v>
      </c>
      <c r="G3890">
        <v>2976</v>
      </c>
      <c r="H3890">
        <v>3</v>
      </c>
      <c r="I3890" t="s">
        <v>3892</v>
      </c>
      <c r="J3890" t="s">
        <v>3469</v>
      </c>
      <c r="K3890" t="s">
        <v>3762</v>
      </c>
      <c r="L3890">
        <v>0</v>
      </c>
      <c r="M3890" s="453">
        <v>-693593</v>
      </c>
      <c r="N3890">
        <v>0</v>
      </c>
      <c r="O3890">
        <v>98</v>
      </c>
      <c r="P3890">
        <v>294</v>
      </c>
    </row>
    <row r="3891" spans="1:16" x14ac:dyDescent="0.3">
      <c r="A3891">
        <v>12959</v>
      </c>
      <c r="B3891">
        <v>116</v>
      </c>
      <c r="C3891" t="s">
        <v>568</v>
      </c>
      <c r="D3891" s="453">
        <v>45658</v>
      </c>
      <c r="E3891">
        <v>20751</v>
      </c>
      <c r="F3891" t="s">
        <v>4331</v>
      </c>
      <c r="G3891">
        <v>2088</v>
      </c>
      <c r="H3891">
        <v>3</v>
      </c>
      <c r="I3891" t="s">
        <v>3966</v>
      </c>
      <c r="J3891" t="s">
        <v>3469</v>
      </c>
      <c r="K3891" t="s">
        <v>3762</v>
      </c>
      <c r="L3891">
        <v>0</v>
      </c>
      <c r="M3891" s="453">
        <v>-693593</v>
      </c>
      <c r="N3891">
        <v>0</v>
      </c>
      <c r="O3891">
        <v>98.7</v>
      </c>
      <c r="P3891">
        <v>286.58999999999997</v>
      </c>
    </row>
    <row r="3892" spans="1:16" x14ac:dyDescent="0.3">
      <c r="A3892">
        <v>12998</v>
      </c>
      <c r="B3892">
        <v>116</v>
      </c>
      <c r="C3892" t="s">
        <v>568</v>
      </c>
      <c r="D3892" s="453">
        <v>45658</v>
      </c>
      <c r="E3892">
        <v>18172</v>
      </c>
      <c r="F3892" t="s">
        <v>3923</v>
      </c>
      <c r="G3892">
        <v>3450</v>
      </c>
      <c r="H3892">
        <v>8.6</v>
      </c>
      <c r="I3892" t="s">
        <v>3878</v>
      </c>
      <c r="J3892" t="s">
        <v>3497</v>
      </c>
      <c r="K3892" t="s">
        <v>3762</v>
      </c>
      <c r="L3892">
        <v>32.9</v>
      </c>
      <c r="M3892" s="453">
        <v>45649</v>
      </c>
      <c r="N3892">
        <v>31.9</v>
      </c>
      <c r="O3892">
        <v>33.56</v>
      </c>
      <c r="P3892">
        <v>282.94</v>
      </c>
    </row>
    <row r="3893" spans="1:16" x14ac:dyDescent="0.3">
      <c r="A3893">
        <v>13052</v>
      </c>
      <c r="B3893">
        <v>116</v>
      </c>
      <c r="C3893" t="s">
        <v>568</v>
      </c>
      <c r="D3893" s="453">
        <v>45658</v>
      </c>
      <c r="E3893">
        <v>22843</v>
      </c>
      <c r="F3893" t="s">
        <v>4525</v>
      </c>
      <c r="G3893">
        <v>2936</v>
      </c>
      <c r="H3893">
        <v>7.2</v>
      </c>
      <c r="I3893" t="s">
        <v>3892</v>
      </c>
      <c r="J3893" t="s">
        <v>3469</v>
      </c>
      <c r="K3893" t="s">
        <v>3762</v>
      </c>
      <c r="L3893">
        <v>0</v>
      </c>
      <c r="M3893" s="453">
        <v>-693593</v>
      </c>
      <c r="N3893">
        <v>0</v>
      </c>
      <c r="O3893">
        <v>37.6</v>
      </c>
      <c r="P3893">
        <v>272.88</v>
      </c>
    </row>
    <row r="3894" spans="1:16" x14ac:dyDescent="0.3">
      <c r="A3894">
        <v>12956</v>
      </c>
      <c r="B3894">
        <v>116</v>
      </c>
      <c r="C3894" t="s">
        <v>568</v>
      </c>
      <c r="D3894" s="453">
        <v>45658</v>
      </c>
      <c r="E3894">
        <v>18640</v>
      </c>
      <c r="F3894" t="s">
        <v>3994</v>
      </c>
      <c r="G3894">
        <v>3074</v>
      </c>
      <c r="H3894">
        <v>1</v>
      </c>
      <c r="I3894" t="s">
        <v>3922</v>
      </c>
      <c r="J3894" t="s">
        <v>3497</v>
      </c>
      <c r="K3894" t="s">
        <v>3762</v>
      </c>
      <c r="L3894">
        <v>265.8</v>
      </c>
      <c r="M3894" s="453">
        <v>45657</v>
      </c>
      <c r="N3894">
        <v>265.8</v>
      </c>
      <c r="O3894">
        <v>265.8</v>
      </c>
      <c r="P3894">
        <v>265.8</v>
      </c>
    </row>
    <row r="3895" spans="1:16" x14ac:dyDescent="0.3">
      <c r="A3895">
        <v>14833</v>
      </c>
      <c r="B3895">
        <v>116</v>
      </c>
      <c r="C3895" t="s">
        <v>568</v>
      </c>
      <c r="D3895" s="453">
        <v>45658</v>
      </c>
      <c r="E3895">
        <v>22844</v>
      </c>
      <c r="F3895" t="s">
        <v>4488</v>
      </c>
      <c r="G3895">
        <v>2935</v>
      </c>
      <c r="H3895">
        <v>6</v>
      </c>
      <c r="I3895" t="s">
        <v>3892</v>
      </c>
      <c r="J3895" t="s">
        <v>3469</v>
      </c>
      <c r="K3895" t="s">
        <v>3762</v>
      </c>
      <c r="L3895">
        <v>0</v>
      </c>
      <c r="M3895" s="453">
        <v>-693593</v>
      </c>
      <c r="N3895">
        <v>0</v>
      </c>
      <c r="O3895">
        <v>0</v>
      </c>
      <c r="P3895">
        <v>263.94</v>
      </c>
    </row>
    <row r="3896" spans="1:16" x14ac:dyDescent="0.3">
      <c r="A3896">
        <v>14844</v>
      </c>
      <c r="B3896">
        <v>116</v>
      </c>
      <c r="C3896" t="s">
        <v>568</v>
      </c>
      <c r="D3896" s="453">
        <v>45658</v>
      </c>
      <c r="E3896">
        <v>20539</v>
      </c>
      <c r="F3896" t="s">
        <v>3908</v>
      </c>
      <c r="G3896">
        <v>2145</v>
      </c>
      <c r="H3896">
        <v>5.5</v>
      </c>
      <c r="I3896" t="s">
        <v>3892</v>
      </c>
      <c r="J3896" t="s">
        <v>3469</v>
      </c>
      <c r="K3896" t="s">
        <v>3762</v>
      </c>
      <c r="L3896">
        <v>0</v>
      </c>
      <c r="M3896" s="453">
        <v>45607</v>
      </c>
      <c r="N3896">
        <v>47.51</v>
      </c>
      <c r="O3896">
        <v>47.51</v>
      </c>
      <c r="P3896">
        <v>261.3</v>
      </c>
    </row>
    <row r="3897" spans="1:16" x14ac:dyDescent="0.3">
      <c r="A3897">
        <v>14866</v>
      </c>
      <c r="B3897">
        <v>116</v>
      </c>
      <c r="C3897" t="s">
        <v>568</v>
      </c>
      <c r="D3897" s="453">
        <v>45658</v>
      </c>
      <c r="E3897">
        <v>20458</v>
      </c>
      <c r="F3897" t="s">
        <v>4121</v>
      </c>
      <c r="G3897">
        <v>2164</v>
      </c>
      <c r="H3897">
        <v>7.2</v>
      </c>
      <c r="I3897" t="s">
        <v>3892</v>
      </c>
      <c r="J3897" t="s">
        <v>3469</v>
      </c>
      <c r="K3897" t="s">
        <v>3762</v>
      </c>
      <c r="L3897">
        <v>0</v>
      </c>
      <c r="M3897" s="453">
        <v>45626</v>
      </c>
      <c r="N3897">
        <v>36</v>
      </c>
      <c r="O3897">
        <v>36</v>
      </c>
      <c r="P3897">
        <v>259.2</v>
      </c>
    </row>
    <row r="3898" spans="1:16" x14ac:dyDescent="0.3">
      <c r="A3898">
        <v>13053</v>
      </c>
      <c r="B3898">
        <v>116</v>
      </c>
      <c r="C3898" t="s">
        <v>568</v>
      </c>
      <c r="D3898" s="453">
        <v>45658</v>
      </c>
      <c r="E3898">
        <v>19023</v>
      </c>
      <c r="F3898" t="s">
        <v>4510</v>
      </c>
      <c r="G3898">
        <v>2893</v>
      </c>
      <c r="H3898">
        <v>12.3</v>
      </c>
      <c r="I3898" t="s">
        <v>3892</v>
      </c>
      <c r="J3898" t="s">
        <v>3469</v>
      </c>
      <c r="K3898" t="s">
        <v>3762</v>
      </c>
      <c r="L3898">
        <v>0</v>
      </c>
      <c r="M3898" s="453">
        <v>-693593</v>
      </c>
      <c r="N3898">
        <v>0</v>
      </c>
      <c r="O3898">
        <v>19.690000000000001</v>
      </c>
      <c r="P3898">
        <v>255.84</v>
      </c>
    </row>
    <row r="3899" spans="1:16" x14ac:dyDescent="0.3">
      <c r="A3899">
        <v>13108</v>
      </c>
      <c r="B3899">
        <v>116</v>
      </c>
      <c r="C3899" t="s">
        <v>568</v>
      </c>
      <c r="D3899" s="453">
        <v>45658</v>
      </c>
      <c r="E3899">
        <v>23095</v>
      </c>
      <c r="F3899" t="s">
        <v>3882</v>
      </c>
      <c r="G3899">
        <v>2754</v>
      </c>
      <c r="H3899">
        <v>36</v>
      </c>
      <c r="I3899" t="s">
        <v>3872</v>
      </c>
      <c r="J3899" t="s">
        <v>3469</v>
      </c>
      <c r="K3899" t="s">
        <v>3762</v>
      </c>
      <c r="L3899">
        <v>6.89</v>
      </c>
      <c r="M3899" s="453">
        <v>45638</v>
      </c>
      <c r="N3899">
        <v>0.9</v>
      </c>
      <c r="O3899">
        <v>0.9</v>
      </c>
      <c r="P3899">
        <v>248.04</v>
      </c>
    </row>
    <row r="3900" spans="1:16" x14ac:dyDescent="0.3">
      <c r="A3900">
        <v>14826</v>
      </c>
      <c r="B3900">
        <v>116</v>
      </c>
      <c r="C3900" t="s">
        <v>568</v>
      </c>
      <c r="D3900" s="453">
        <v>45658</v>
      </c>
      <c r="E3900">
        <v>24077</v>
      </c>
      <c r="F3900" t="s">
        <v>4526</v>
      </c>
      <c r="G3900">
        <v>2983</v>
      </c>
      <c r="H3900">
        <v>2.5</v>
      </c>
      <c r="I3900" t="s">
        <v>3892</v>
      </c>
      <c r="J3900" t="s">
        <v>3469</v>
      </c>
      <c r="K3900" t="s">
        <v>3762</v>
      </c>
      <c r="L3900">
        <v>0</v>
      </c>
      <c r="M3900" s="453">
        <v>45490</v>
      </c>
      <c r="N3900">
        <v>98</v>
      </c>
      <c r="O3900">
        <v>98</v>
      </c>
      <c r="P3900">
        <v>245</v>
      </c>
    </row>
    <row r="3901" spans="1:16" x14ac:dyDescent="0.3">
      <c r="A3901">
        <v>13121</v>
      </c>
      <c r="B3901">
        <v>116</v>
      </c>
      <c r="C3901" t="s">
        <v>568</v>
      </c>
      <c r="D3901" s="453">
        <v>45658</v>
      </c>
      <c r="E3901">
        <v>24414</v>
      </c>
      <c r="F3901" t="s">
        <v>3943</v>
      </c>
      <c r="G3901">
        <v>3670</v>
      </c>
      <c r="H3901">
        <v>111</v>
      </c>
      <c r="I3901" t="s">
        <v>3872</v>
      </c>
      <c r="J3901" t="s">
        <v>3497</v>
      </c>
      <c r="K3901" t="s">
        <v>3762</v>
      </c>
      <c r="L3901">
        <v>0</v>
      </c>
      <c r="M3901" s="453">
        <v>45544</v>
      </c>
      <c r="N3901">
        <v>2.19</v>
      </c>
      <c r="O3901">
        <v>2.19</v>
      </c>
      <c r="P3901">
        <v>243.09</v>
      </c>
    </row>
    <row r="3902" spans="1:16" x14ac:dyDescent="0.3">
      <c r="A3902">
        <v>12976</v>
      </c>
      <c r="B3902">
        <v>116</v>
      </c>
      <c r="C3902" t="s">
        <v>568</v>
      </c>
      <c r="D3902" s="453">
        <v>45658</v>
      </c>
      <c r="E3902">
        <v>18538</v>
      </c>
      <c r="F3902" t="s">
        <v>4026</v>
      </c>
      <c r="G3902">
        <v>3139</v>
      </c>
      <c r="H3902">
        <v>2.2999999999999998</v>
      </c>
      <c r="I3902" t="s">
        <v>3878</v>
      </c>
      <c r="J3902" t="s">
        <v>3497</v>
      </c>
      <c r="K3902" t="s">
        <v>3762</v>
      </c>
      <c r="L3902">
        <v>105</v>
      </c>
      <c r="M3902" s="453">
        <v>45631</v>
      </c>
      <c r="N3902">
        <v>105</v>
      </c>
      <c r="O3902">
        <v>98.9</v>
      </c>
      <c r="P3902">
        <v>241.5</v>
      </c>
    </row>
    <row r="3903" spans="1:16" x14ac:dyDescent="0.3">
      <c r="A3903">
        <v>12970</v>
      </c>
      <c r="B3903">
        <v>116</v>
      </c>
      <c r="C3903" t="s">
        <v>568</v>
      </c>
      <c r="D3903" s="453">
        <v>45658</v>
      </c>
      <c r="E3903">
        <v>19967</v>
      </c>
      <c r="F3903" t="s">
        <v>3930</v>
      </c>
      <c r="G3903">
        <v>2356</v>
      </c>
      <c r="H3903">
        <v>5</v>
      </c>
      <c r="I3903" t="s">
        <v>3931</v>
      </c>
      <c r="J3903" t="s">
        <v>3469</v>
      </c>
      <c r="K3903" t="s">
        <v>3762</v>
      </c>
      <c r="L3903">
        <v>47.8</v>
      </c>
      <c r="M3903" s="453">
        <v>45656</v>
      </c>
      <c r="N3903">
        <v>47.81</v>
      </c>
      <c r="O3903">
        <v>47.81</v>
      </c>
      <c r="P3903">
        <v>239</v>
      </c>
    </row>
    <row r="3904" spans="1:16" x14ac:dyDescent="0.3">
      <c r="A3904">
        <v>14822</v>
      </c>
      <c r="B3904">
        <v>116</v>
      </c>
      <c r="C3904" t="s">
        <v>568</v>
      </c>
      <c r="D3904" s="453">
        <v>45658</v>
      </c>
      <c r="E3904">
        <v>20304</v>
      </c>
      <c r="F3904" t="s">
        <v>3938</v>
      </c>
      <c r="G3904">
        <v>2223</v>
      </c>
      <c r="H3904">
        <v>6</v>
      </c>
      <c r="I3904" t="s">
        <v>3888</v>
      </c>
      <c r="J3904" t="s">
        <v>3469</v>
      </c>
      <c r="K3904" t="s">
        <v>3762</v>
      </c>
      <c r="L3904">
        <v>38.9</v>
      </c>
      <c r="M3904" s="453">
        <v>45629</v>
      </c>
      <c r="N3904">
        <v>38.9</v>
      </c>
      <c r="O3904">
        <v>38.9</v>
      </c>
      <c r="P3904">
        <v>233.4</v>
      </c>
    </row>
    <row r="3905" spans="1:16" x14ac:dyDescent="0.3">
      <c r="A3905">
        <v>14845</v>
      </c>
      <c r="B3905">
        <v>116</v>
      </c>
      <c r="C3905" t="s">
        <v>568</v>
      </c>
      <c r="D3905" s="453">
        <v>45658</v>
      </c>
      <c r="E3905">
        <v>20519</v>
      </c>
      <c r="F3905" t="s">
        <v>3902</v>
      </c>
      <c r="G3905">
        <v>2150</v>
      </c>
      <c r="H3905">
        <v>5.3</v>
      </c>
      <c r="I3905" t="s">
        <v>3892</v>
      </c>
      <c r="J3905" t="s">
        <v>3469</v>
      </c>
      <c r="K3905" t="s">
        <v>3762</v>
      </c>
      <c r="L3905">
        <v>0</v>
      </c>
      <c r="M3905" s="453">
        <v>45518</v>
      </c>
      <c r="N3905">
        <v>43.95</v>
      </c>
      <c r="O3905">
        <v>43.95</v>
      </c>
      <c r="P3905">
        <v>232.94</v>
      </c>
    </row>
    <row r="3906" spans="1:16" x14ac:dyDescent="0.3">
      <c r="A3906">
        <v>14873</v>
      </c>
      <c r="B3906">
        <v>116</v>
      </c>
      <c r="C3906" t="s">
        <v>568</v>
      </c>
      <c r="D3906" s="453">
        <v>45658</v>
      </c>
      <c r="E3906">
        <v>17609</v>
      </c>
      <c r="F3906" t="s">
        <v>4038</v>
      </c>
      <c r="G3906">
        <v>3917</v>
      </c>
      <c r="H3906">
        <v>12</v>
      </c>
      <c r="I3906" t="s">
        <v>3878</v>
      </c>
      <c r="J3906" t="s">
        <v>3497</v>
      </c>
      <c r="K3906" t="s">
        <v>3762</v>
      </c>
      <c r="L3906">
        <v>0</v>
      </c>
      <c r="M3906" s="453">
        <v>45573</v>
      </c>
      <c r="N3906">
        <v>18.899999999999999</v>
      </c>
      <c r="O3906">
        <v>18.899999999999999</v>
      </c>
      <c r="P3906">
        <v>226.8</v>
      </c>
    </row>
    <row r="3907" spans="1:16" x14ac:dyDescent="0.3">
      <c r="A3907">
        <v>13049</v>
      </c>
      <c r="B3907">
        <v>116</v>
      </c>
      <c r="C3907" t="s">
        <v>568</v>
      </c>
      <c r="D3907" s="453">
        <v>45658</v>
      </c>
      <c r="E3907">
        <v>24654</v>
      </c>
      <c r="F3907" t="s">
        <v>4527</v>
      </c>
      <c r="G3907">
        <v>5699</v>
      </c>
      <c r="H3907">
        <v>5</v>
      </c>
      <c r="I3907" t="s">
        <v>3892</v>
      </c>
      <c r="J3907" t="s">
        <v>3469</v>
      </c>
      <c r="K3907" t="s">
        <v>3762</v>
      </c>
      <c r="L3907">
        <v>0</v>
      </c>
      <c r="M3907" s="453">
        <v>-693593</v>
      </c>
      <c r="N3907">
        <v>0</v>
      </c>
      <c r="O3907">
        <v>45</v>
      </c>
      <c r="P3907">
        <v>225</v>
      </c>
    </row>
    <row r="3908" spans="1:16" x14ac:dyDescent="0.3">
      <c r="A3908">
        <v>14842</v>
      </c>
      <c r="B3908">
        <v>116</v>
      </c>
      <c r="C3908" t="s">
        <v>568</v>
      </c>
      <c r="D3908" s="453">
        <v>45658</v>
      </c>
      <c r="E3908">
        <v>24320</v>
      </c>
      <c r="F3908" t="s">
        <v>4160</v>
      </c>
      <c r="G3908">
        <v>2942</v>
      </c>
      <c r="H3908">
        <v>5.2</v>
      </c>
      <c r="I3908" t="s">
        <v>3892</v>
      </c>
      <c r="J3908" t="s">
        <v>3469</v>
      </c>
      <c r="K3908" t="s">
        <v>3762</v>
      </c>
      <c r="L3908">
        <v>0</v>
      </c>
      <c r="M3908" s="453">
        <v>45497</v>
      </c>
      <c r="N3908">
        <v>40.75</v>
      </c>
      <c r="O3908">
        <v>35.49</v>
      </c>
      <c r="P3908">
        <v>211.9</v>
      </c>
    </row>
    <row r="3909" spans="1:16" x14ac:dyDescent="0.3">
      <c r="A3909">
        <v>14830</v>
      </c>
      <c r="B3909">
        <v>116</v>
      </c>
      <c r="C3909" t="s">
        <v>568</v>
      </c>
      <c r="D3909" s="453">
        <v>45658</v>
      </c>
      <c r="E3909">
        <v>18948</v>
      </c>
      <c r="F3909" t="s">
        <v>3961</v>
      </c>
      <c r="G3909">
        <v>2927</v>
      </c>
      <c r="H3909">
        <v>4</v>
      </c>
      <c r="I3909" t="s">
        <v>3892</v>
      </c>
      <c r="J3909" t="s">
        <v>3469</v>
      </c>
      <c r="K3909" t="s">
        <v>3762</v>
      </c>
      <c r="L3909">
        <v>0</v>
      </c>
      <c r="M3909" s="453">
        <v>-693593</v>
      </c>
      <c r="N3909">
        <v>0</v>
      </c>
      <c r="O3909">
        <v>52.6</v>
      </c>
      <c r="P3909">
        <v>210.4</v>
      </c>
    </row>
    <row r="3910" spans="1:16" x14ac:dyDescent="0.3">
      <c r="A3910">
        <v>13120</v>
      </c>
      <c r="B3910">
        <v>116</v>
      </c>
      <c r="C3910" t="s">
        <v>568</v>
      </c>
      <c r="D3910" s="453">
        <v>45658</v>
      </c>
      <c r="E3910">
        <v>24409</v>
      </c>
      <c r="F3910" t="s">
        <v>4036</v>
      </c>
      <c r="G3910">
        <v>3665</v>
      </c>
      <c r="H3910">
        <v>96</v>
      </c>
      <c r="I3910" t="s">
        <v>3872</v>
      </c>
      <c r="J3910" t="s">
        <v>3497</v>
      </c>
      <c r="K3910" t="s">
        <v>3762</v>
      </c>
      <c r="L3910">
        <v>0</v>
      </c>
      <c r="M3910" s="453">
        <v>45551</v>
      </c>
      <c r="N3910">
        <v>2.19</v>
      </c>
      <c r="O3910">
        <v>1.78</v>
      </c>
      <c r="P3910">
        <v>210.24</v>
      </c>
    </row>
    <row r="3911" spans="1:16" x14ac:dyDescent="0.3">
      <c r="A3911">
        <v>13069</v>
      </c>
      <c r="B3911">
        <v>116</v>
      </c>
      <c r="C3911" t="s">
        <v>568</v>
      </c>
      <c r="D3911" s="453">
        <v>45658</v>
      </c>
      <c r="E3911">
        <v>20284</v>
      </c>
      <c r="F3911" t="s">
        <v>4512</v>
      </c>
      <c r="G3911">
        <v>2230</v>
      </c>
      <c r="H3911">
        <v>4</v>
      </c>
      <c r="I3911" t="s">
        <v>3888</v>
      </c>
      <c r="J3911" t="s">
        <v>3469</v>
      </c>
      <c r="K3911" t="s">
        <v>3762</v>
      </c>
      <c r="L3911">
        <v>52.2</v>
      </c>
      <c r="M3911" s="453">
        <v>45649</v>
      </c>
      <c r="N3911">
        <v>83.4</v>
      </c>
      <c r="O3911">
        <v>83.4</v>
      </c>
      <c r="P3911">
        <v>208.8</v>
      </c>
    </row>
    <row r="3912" spans="1:16" x14ac:dyDescent="0.3">
      <c r="A3912">
        <v>12960</v>
      </c>
      <c r="B3912">
        <v>116</v>
      </c>
      <c r="C3912" t="s">
        <v>568</v>
      </c>
      <c r="D3912" s="453">
        <v>45658</v>
      </c>
      <c r="E3912">
        <v>20724</v>
      </c>
      <c r="F3912" t="s">
        <v>4423</v>
      </c>
      <c r="G3912">
        <v>2094</v>
      </c>
      <c r="H3912">
        <v>4.5</v>
      </c>
      <c r="I3912" t="s">
        <v>3966</v>
      </c>
      <c r="J3912" t="s">
        <v>3469</v>
      </c>
      <c r="K3912" t="s">
        <v>3762</v>
      </c>
      <c r="L3912">
        <v>0</v>
      </c>
      <c r="M3912" s="453">
        <v>-693593</v>
      </c>
      <c r="N3912">
        <v>0</v>
      </c>
      <c r="O3912">
        <v>51.74</v>
      </c>
      <c r="P3912">
        <v>206.55</v>
      </c>
    </row>
    <row r="3913" spans="1:16" x14ac:dyDescent="0.3">
      <c r="A3913">
        <v>13093</v>
      </c>
      <c r="B3913">
        <v>116</v>
      </c>
      <c r="C3913" t="s">
        <v>568</v>
      </c>
      <c r="D3913" s="453">
        <v>45658</v>
      </c>
      <c r="E3913">
        <v>20627</v>
      </c>
      <c r="F3913" t="s">
        <v>4513</v>
      </c>
      <c r="G3913">
        <v>2116</v>
      </c>
      <c r="H3913">
        <v>2.5</v>
      </c>
      <c r="I3913" t="s">
        <v>3886</v>
      </c>
      <c r="J3913" t="s">
        <v>3469</v>
      </c>
      <c r="K3913" t="s">
        <v>3762</v>
      </c>
      <c r="L3913">
        <v>0</v>
      </c>
      <c r="M3913" s="453">
        <v>45370</v>
      </c>
      <c r="N3913">
        <v>82</v>
      </c>
      <c r="O3913">
        <v>82</v>
      </c>
      <c r="P3913">
        <v>205</v>
      </c>
    </row>
    <row r="3914" spans="1:16" x14ac:dyDescent="0.3">
      <c r="A3914">
        <v>12990</v>
      </c>
      <c r="B3914">
        <v>116</v>
      </c>
      <c r="C3914" t="s">
        <v>568</v>
      </c>
      <c r="D3914" s="453">
        <v>45658</v>
      </c>
      <c r="E3914">
        <v>18295</v>
      </c>
      <c r="F3914" t="s">
        <v>4030</v>
      </c>
      <c r="G3914">
        <v>3334</v>
      </c>
      <c r="H3914">
        <v>1.7</v>
      </c>
      <c r="I3914" t="s">
        <v>3878</v>
      </c>
      <c r="J3914" t="s">
        <v>3497</v>
      </c>
      <c r="K3914" t="s">
        <v>3762</v>
      </c>
      <c r="L3914">
        <v>118.89</v>
      </c>
      <c r="M3914" s="453">
        <v>45649</v>
      </c>
      <c r="N3914">
        <v>119.9</v>
      </c>
      <c r="O3914">
        <v>119.9</v>
      </c>
      <c r="P3914">
        <v>202.11</v>
      </c>
    </row>
    <row r="3915" spans="1:16" x14ac:dyDescent="0.3">
      <c r="A3915">
        <v>13067</v>
      </c>
      <c r="B3915">
        <v>116</v>
      </c>
      <c r="C3915" t="s">
        <v>568</v>
      </c>
      <c r="D3915" s="453">
        <v>45658</v>
      </c>
      <c r="E3915">
        <v>20301</v>
      </c>
      <c r="F3915" t="s">
        <v>4161</v>
      </c>
      <c r="G3915">
        <v>2223</v>
      </c>
      <c r="H3915">
        <v>6</v>
      </c>
      <c r="I3915" t="s">
        <v>3888</v>
      </c>
      <c r="J3915" t="s">
        <v>3469</v>
      </c>
      <c r="K3915" t="s">
        <v>3762</v>
      </c>
      <c r="L3915">
        <v>0</v>
      </c>
      <c r="M3915" s="453">
        <v>45533</v>
      </c>
      <c r="N3915">
        <v>31.98</v>
      </c>
      <c r="O3915">
        <v>32.99</v>
      </c>
      <c r="P3915">
        <v>191.88</v>
      </c>
    </row>
    <row r="3916" spans="1:16" x14ac:dyDescent="0.3">
      <c r="A3916">
        <v>12986</v>
      </c>
      <c r="B3916">
        <v>116</v>
      </c>
      <c r="C3916" t="s">
        <v>568</v>
      </c>
      <c r="D3916" s="453">
        <v>45658</v>
      </c>
      <c r="E3916">
        <v>18359</v>
      </c>
      <c r="F3916" t="s">
        <v>4029</v>
      </c>
      <c r="G3916">
        <v>3278</v>
      </c>
      <c r="H3916">
        <v>2.1</v>
      </c>
      <c r="I3916" t="s">
        <v>3878</v>
      </c>
      <c r="J3916" t="s">
        <v>3497</v>
      </c>
      <c r="K3916" t="s">
        <v>3762</v>
      </c>
      <c r="L3916">
        <v>88.9</v>
      </c>
      <c r="M3916" s="453">
        <v>45631</v>
      </c>
      <c r="N3916">
        <v>88.9</v>
      </c>
      <c r="O3916">
        <v>99.9</v>
      </c>
      <c r="P3916">
        <v>186.69</v>
      </c>
    </row>
    <row r="3917" spans="1:16" x14ac:dyDescent="0.3">
      <c r="A3917">
        <v>12982</v>
      </c>
      <c r="B3917">
        <v>116</v>
      </c>
      <c r="C3917" t="s">
        <v>568</v>
      </c>
      <c r="D3917" s="453">
        <v>45658</v>
      </c>
      <c r="E3917">
        <v>18467</v>
      </c>
      <c r="F3917" t="s">
        <v>4028</v>
      </c>
      <c r="G3917">
        <v>3189</v>
      </c>
      <c r="H3917">
        <v>2.4</v>
      </c>
      <c r="I3917" t="s">
        <v>3878</v>
      </c>
      <c r="J3917" t="s">
        <v>3497</v>
      </c>
      <c r="K3917" t="s">
        <v>3762</v>
      </c>
      <c r="L3917">
        <v>0</v>
      </c>
      <c r="M3917" s="453">
        <v>45621</v>
      </c>
      <c r="N3917">
        <v>77</v>
      </c>
      <c r="O3917">
        <v>77</v>
      </c>
      <c r="P3917">
        <v>184.8</v>
      </c>
    </row>
    <row r="3918" spans="1:16" x14ac:dyDescent="0.3">
      <c r="A3918">
        <v>12984</v>
      </c>
      <c r="B3918">
        <v>116</v>
      </c>
      <c r="C3918" t="s">
        <v>568</v>
      </c>
      <c r="D3918" s="453">
        <v>45658</v>
      </c>
      <c r="E3918">
        <v>18394</v>
      </c>
      <c r="F3918" t="s">
        <v>4044</v>
      </c>
      <c r="G3918">
        <v>3246</v>
      </c>
      <c r="H3918">
        <v>1</v>
      </c>
      <c r="I3918" t="s">
        <v>3878</v>
      </c>
      <c r="J3918" t="s">
        <v>3497</v>
      </c>
      <c r="K3918" t="s">
        <v>3762</v>
      </c>
      <c r="L3918">
        <v>0</v>
      </c>
      <c r="M3918" s="453">
        <v>45516</v>
      </c>
      <c r="N3918">
        <v>0</v>
      </c>
      <c r="O3918">
        <v>179.9</v>
      </c>
      <c r="P3918">
        <v>179.9</v>
      </c>
    </row>
    <row r="3919" spans="1:16" x14ac:dyDescent="0.3">
      <c r="A3919">
        <v>13046</v>
      </c>
      <c r="B3919">
        <v>116</v>
      </c>
      <c r="C3919" t="s">
        <v>568</v>
      </c>
      <c r="D3919" s="453">
        <v>45658</v>
      </c>
      <c r="E3919">
        <v>19287</v>
      </c>
      <c r="F3919" t="s">
        <v>3974</v>
      </c>
      <c r="G3919">
        <v>2778</v>
      </c>
      <c r="H3919">
        <v>3.9</v>
      </c>
      <c r="I3919" t="s">
        <v>3892</v>
      </c>
      <c r="J3919" t="s">
        <v>3469</v>
      </c>
      <c r="K3919" t="s">
        <v>3762</v>
      </c>
      <c r="L3919">
        <v>45.38</v>
      </c>
      <c r="M3919" s="453">
        <v>45656</v>
      </c>
      <c r="N3919">
        <v>44.24</v>
      </c>
      <c r="O3919">
        <v>44.24</v>
      </c>
      <c r="P3919">
        <v>176.98</v>
      </c>
    </row>
    <row r="3920" spans="1:16" x14ac:dyDescent="0.3">
      <c r="A3920">
        <v>12988</v>
      </c>
      <c r="B3920">
        <v>116</v>
      </c>
      <c r="C3920" t="s">
        <v>568</v>
      </c>
      <c r="D3920" s="453">
        <v>45658</v>
      </c>
      <c r="E3920">
        <v>18315</v>
      </c>
      <c r="F3920" t="s">
        <v>4088</v>
      </c>
      <c r="G3920">
        <v>3318</v>
      </c>
      <c r="H3920">
        <v>1.5</v>
      </c>
      <c r="I3920" t="s">
        <v>3878</v>
      </c>
      <c r="J3920" t="s">
        <v>3497</v>
      </c>
      <c r="K3920" t="s">
        <v>3762</v>
      </c>
      <c r="L3920">
        <v>0</v>
      </c>
      <c r="M3920" s="453">
        <v>45594</v>
      </c>
      <c r="N3920">
        <v>116.88</v>
      </c>
      <c r="O3920">
        <v>124</v>
      </c>
      <c r="P3920">
        <v>175.32</v>
      </c>
    </row>
    <row r="3921" spans="1:16" x14ac:dyDescent="0.3">
      <c r="A3921">
        <v>13083</v>
      </c>
      <c r="B3921">
        <v>116</v>
      </c>
      <c r="C3921" t="s">
        <v>568</v>
      </c>
      <c r="D3921" s="453">
        <v>45658</v>
      </c>
      <c r="E3921">
        <v>19139</v>
      </c>
      <c r="F3921" t="s">
        <v>3887</v>
      </c>
      <c r="G3921">
        <v>2836</v>
      </c>
      <c r="H3921">
        <v>19</v>
      </c>
      <c r="I3921" t="s">
        <v>3888</v>
      </c>
      <c r="J3921" t="s">
        <v>3469</v>
      </c>
      <c r="K3921" t="s">
        <v>3762</v>
      </c>
      <c r="L3921">
        <v>9</v>
      </c>
      <c r="M3921" s="453">
        <v>45652</v>
      </c>
      <c r="N3921">
        <v>9</v>
      </c>
      <c r="O3921">
        <v>9</v>
      </c>
      <c r="P3921">
        <v>171</v>
      </c>
    </row>
    <row r="3922" spans="1:16" x14ac:dyDescent="0.3">
      <c r="A3922">
        <v>13113</v>
      </c>
      <c r="B3922">
        <v>116</v>
      </c>
      <c r="C3922" t="s">
        <v>568</v>
      </c>
      <c r="D3922" s="453">
        <v>45658</v>
      </c>
      <c r="E3922">
        <v>22108</v>
      </c>
      <c r="F3922" t="s">
        <v>3871</v>
      </c>
      <c r="G3922">
        <v>3609</v>
      </c>
      <c r="H3922">
        <v>128</v>
      </c>
      <c r="I3922" t="s">
        <v>3872</v>
      </c>
      <c r="J3922" t="s">
        <v>3497</v>
      </c>
      <c r="K3922" t="s">
        <v>3762</v>
      </c>
      <c r="L3922">
        <v>1.33</v>
      </c>
      <c r="M3922" s="453">
        <v>45656</v>
      </c>
      <c r="N3922">
        <v>1.33</v>
      </c>
      <c r="O3922">
        <v>1.33</v>
      </c>
      <c r="P3922">
        <v>170.24</v>
      </c>
    </row>
    <row r="3923" spans="1:16" x14ac:dyDescent="0.3">
      <c r="A3923">
        <v>12999</v>
      </c>
      <c r="B3923">
        <v>116</v>
      </c>
      <c r="C3923" t="s">
        <v>568</v>
      </c>
      <c r="D3923" s="453">
        <v>45658</v>
      </c>
      <c r="E3923">
        <v>18146</v>
      </c>
      <c r="F3923" t="s">
        <v>4100</v>
      </c>
      <c r="G3923">
        <v>3471</v>
      </c>
      <c r="H3923">
        <v>1.5</v>
      </c>
      <c r="I3923" t="s">
        <v>3878</v>
      </c>
      <c r="J3923" t="s">
        <v>3497</v>
      </c>
      <c r="K3923" t="s">
        <v>3762</v>
      </c>
      <c r="L3923">
        <v>0</v>
      </c>
      <c r="M3923" s="453">
        <v>45608</v>
      </c>
      <c r="N3923">
        <v>111.09</v>
      </c>
      <c r="O3923">
        <v>113.9</v>
      </c>
      <c r="P3923">
        <v>166.64</v>
      </c>
    </row>
    <row r="3924" spans="1:16" x14ac:dyDescent="0.3">
      <c r="A3924">
        <v>12972</v>
      </c>
      <c r="B3924">
        <v>116</v>
      </c>
      <c r="C3924" t="s">
        <v>568</v>
      </c>
      <c r="D3924" s="453">
        <v>45658</v>
      </c>
      <c r="E3924">
        <v>18550</v>
      </c>
      <c r="F3924" t="s">
        <v>4083</v>
      </c>
      <c r="G3924">
        <v>3130</v>
      </c>
      <c r="H3924">
        <v>1</v>
      </c>
      <c r="I3924" t="s">
        <v>3878</v>
      </c>
      <c r="J3924" t="s">
        <v>3497</v>
      </c>
      <c r="K3924" t="s">
        <v>3762</v>
      </c>
      <c r="L3924">
        <v>0</v>
      </c>
      <c r="M3924" s="453">
        <v>-693593</v>
      </c>
      <c r="N3924">
        <v>0</v>
      </c>
      <c r="O3924">
        <v>229.9</v>
      </c>
      <c r="P3924">
        <v>165.45</v>
      </c>
    </row>
    <row r="3925" spans="1:16" x14ac:dyDescent="0.3">
      <c r="A3925">
        <v>13029</v>
      </c>
      <c r="B3925">
        <v>116</v>
      </c>
      <c r="C3925" t="s">
        <v>568</v>
      </c>
      <c r="D3925" s="453">
        <v>45658</v>
      </c>
      <c r="E3925">
        <v>19756</v>
      </c>
      <c r="F3925" t="s">
        <v>4220</v>
      </c>
      <c r="G3925">
        <v>2497</v>
      </c>
      <c r="H3925">
        <v>28</v>
      </c>
      <c r="I3925" t="s">
        <v>3892</v>
      </c>
      <c r="J3925" t="s">
        <v>3469</v>
      </c>
      <c r="K3925" t="s">
        <v>3762</v>
      </c>
      <c r="L3925">
        <v>5.88</v>
      </c>
      <c r="M3925" s="453">
        <v>45649</v>
      </c>
      <c r="N3925">
        <v>5.9</v>
      </c>
      <c r="O3925">
        <v>7.74</v>
      </c>
      <c r="P3925">
        <v>164.64</v>
      </c>
    </row>
    <row r="3926" spans="1:16" x14ac:dyDescent="0.3">
      <c r="A3926">
        <v>13085</v>
      </c>
      <c r="B3926">
        <v>116</v>
      </c>
      <c r="C3926" t="s">
        <v>568</v>
      </c>
      <c r="D3926" s="453">
        <v>45658</v>
      </c>
      <c r="E3926">
        <v>17905</v>
      </c>
      <c r="F3926" t="s">
        <v>4139</v>
      </c>
      <c r="G3926">
        <v>3656</v>
      </c>
      <c r="H3926">
        <v>5.33</v>
      </c>
      <c r="I3926" t="s">
        <v>3888</v>
      </c>
      <c r="J3926" t="s">
        <v>3497</v>
      </c>
      <c r="K3926" t="s">
        <v>3762</v>
      </c>
      <c r="L3926">
        <v>0</v>
      </c>
      <c r="M3926" s="453">
        <v>-693593</v>
      </c>
      <c r="N3926">
        <v>0</v>
      </c>
      <c r="O3926">
        <v>0</v>
      </c>
      <c r="P3926">
        <v>140.07</v>
      </c>
    </row>
    <row r="3927" spans="1:16" x14ac:dyDescent="0.3">
      <c r="A3927">
        <v>14849</v>
      </c>
      <c r="B3927">
        <v>116</v>
      </c>
      <c r="C3927" t="s">
        <v>568</v>
      </c>
      <c r="D3927" s="453">
        <v>45658</v>
      </c>
      <c r="E3927">
        <v>26194</v>
      </c>
      <c r="F3927" t="s">
        <v>4446</v>
      </c>
      <c r="G3927">
        <v>6617</v>
      </c>
      <c r="H3927">
        <v>3</v>
      </c>
      <c r="I3927" t="s">
        <v>3978</v>
      </c>
      <c r="J3927" t="s">
        <v>3469</v>
      </c>
      <c r="K3927" t="s">
        <v>3762</v>
      </c>
      <c r="L3927">
        <v>0</v>
      </c>
      <c r="M3927" s="453">
        <v>-693593</v>
      </c>
      <c r="N3927">
        <v>0</v>
      </c>
      <c r="O3927">
        <v>0</v>
      </c>
      <c r="P3927">
        <v>139.19999999999999</v>
      </c>
    </row>
    <row r="3928" spans="1:16" x14ac:dyDescent="0.3">
      <c r="A3928">
        <v>13048</v>
      </c>
      <c r="B3928">
        <v>116</v>
      </c>
      <c r="C3928" t="s">
        <v>568</v>
      </c>
      <c r="D3928" s="453">
        <v>45658</v>
      </c>
      <c r="E3928">
        <v>18708</v>
      </c>
      <c r="F3928" t="s">
        <v>4504</v>
      </c>
      <c r="G3928">
        <v>3033</v>
      </c>
      <c r="H3928">
        <v>4.5</v>
      </c>
      <c r="I3928" t="s">
        <v>3892</v>
      </c>
      <c r="J3928" t="s">
        <v>3469</v>
      </c>
      <c r="K3928" t="s">
        <v>3762</v>
      </c>
      <c r="L3928">
        <v>0</v>
      </c>
      <c r="M3928" s="453">
        <v>45462</v>
      </c>
      <c r="N3928">
        <v>29.9</v>
      </c>
      <c r="O3928">
        <v>28.45</v>
      </c>
      <c r="P3928">
        <v>134.55000000000001</v>
      </c>
    </row>
    <row r="3929" spans="1:16" x14ac:dyDescent="0.3">
      <c r="A3929">
        <v>12980</v>
      </c>
      <c r="B3929">
        <v>116</v>
      </c>
      <c r="C3929" t="s">
        <v>568</v>
      </c>
      <c r="D3929" s="453">
        <v>45658</v>
      </c>
      <c r="E3929">
        <v>18491</v>
      </c>
      <c r="F3929" t="s">
        <v>3934</v>
      </c>
      <c r="G3929">
        <v>3166</v>
      </c>
      <c r="H3929">
        <v>3.7</v>
      </c>
      <c r="I3929" t="s">
        <v>3878</v>
      </c>
      <c r="J3929" t="s">
        <v>3497</v>
      </c>
      <c r="K3929" t="s">
        <v>3762</v>
      </c>
      <c r="L3929">
        <v>0</v>
      </c>
      <c r="M3929" s="453">
        <v>45573</v>
      </c>
      <c r="N3929">
        <v>35.9</v>
      </c>
      <c r="O3929">
        <v>35.9</v>
      </c>
      <c r="P3929">
        <v>132.83000000000001</v>
      </c>
    </row>
    <row r="3930" spans="1:16" x14ac:dyDescent="0.3">
      <c r="A3930">
        <v>13123</v>
      </c>
      <c r="B3930">
        <v>116</v>
      </c>
      <c r="C3930" t="s">
        <v>568</v>
      </c>
      <c r="D3930" s="453">
        <v>45658</v>
      </c>
      <c r="E3930">
        <v>24468</v>
      </c>
      <c r="F3930" t="s">
        <v>4482</v>
      </c>
      <c r="G3930">
        <v>3675</v>
      </c>
      <c r="H3930">
        <v>60</v>
      </c>
      <c r="I3930" t="s">
        <v>3872</v>
      </c>
      <c r="J3930" t="s">
        <v>3497</v>
      </c>
      <c r="K3930" t="s">
        <v>3762</v>
      </c>
      <c r="L3930">
        <v>0</v>
      </c>
      <c r="M3930" s="453">
        <v>45544</v>
      </c>
      <c r="N3930">
        <v>2.19</v>
      </c>
      <c r="O3930">
        <v>2.19</v>
      </c>
      <c r="P3930">
        <v>131.4</v>
      </c>
    </row>
    <row r="3931" spans="1:16" x14ac:dyDescent="0.3">
      <c r="A3931">
        <v>12997</v>
      </c>
      <c r="B3931">
        <v>116</v>
      </c>
      <c r="C3931" t="s">
        <v>568</v>
      </c>
      <c r="D3931" s="453">
        <v>45658</v>
      </c>
      <c r="E3931">
        <v>18194</v>
      </c>
      <c r="F3931" t="s">
        <v>4490</v>
      </c>
      <c r="G3931">
        <v>3430</v>
      </c>
      <c r="H3931">
        <v>1.9</v>
      </c>
      <c r="I3931" t="s">
        <v>3878</v>
      </c>
      <c r="J3931" t="s">
        <v>3497</v>
      </c>
      <c r="K3931" t="s">
        <v>3762</v>
      </c>
      <c r="L3931">
        <v>0</v>
      </c>
      <c r="M3931" s="453">
        <v>45622</v>
      </c>
      <c r="N3931">
        <v>68.900000000000006</v>
      </c>
      <c r="O3931">
        <v>77.069999999999993</v>
      </c>
      <c r="P3931">
        <v>130.91</v>
      </c>
    </row>
    <row r="3932" spans="1:16" x14ac:dyDescent="0.3">
      <c r="A3932">
        <v>12994</v>
      </c>
      <c r="B3932">
        <v>116</v>
      </c>
      <c r="C3932" t="s">
        <v>568</v>
      </c>
      <c r="D3932" s="453">
        <v>45658</v>
      </c>
      <c r="E3932">
        <v>18233</v>
      </c>
      <c r="F3932" t="s">
        <v>4090</v>
      </c>
      <c r="G3932">
        <v>3395</v>
      </c>
      <c r="H3932">
        <v>1.5</v>
      </c>
      <c r="I3932" t="s">
        <v>3878</v>
      </c>
      <c r="J3932" t="s">
        <v>3497</v>
      </c>
      <c r="K3932" t="s">
        <v>3762</v>
      </c>
      <c r="L3932">
        <v>0</v>
      </c>
      <c r="M3932" s="453">
        <v>45497</v>
      </c>
      <c r="N3932">
        <v>85.86</v>
      </c>
      <c r="O3932">
        <v>92.89</v>
      </c>
      <c r="P3932">
        <v>128.79</v>
      </c>
    </row>
    <row r="3933" spans="1:16" x14ac:dyDescent="0.3">
      <c r="A3933">
        <v>13034</v>
      </c>
      <c r="B3933">
        <v>116</v>
      </c>
      <c r="C3933" t="s">
        <v>568</v>
      </c>
      <c r="D3933" s="453">
        <v>45658</v>
      </c>
      <c r="E3933">
        <v>19740</v>
      </c>
      <c r="F3933" t="s">
        <v>3933</v>
      </c>
      <c r="G3933">
        <v>2513</v>
      </c>
      <c r="H3933">
        <v>7.6</v>
      </c>
      <c r="I3933" t="s">
        <v>3892</v>
      </c>
      <c r="J3933" t="s">
        <v>3469</v>
      </c>
      <c r="K3933" t="s">
        <v>3762</v>
      </c>
      <c r="L3933">
        <v>16.43</v>
      </c>
      <c r="M3933" s="453">
        <v>45656</v>
      </c>
      <c r="N3933">
        <v>12.9</v>
      </c>
      <c r="O3933">
        <v>12.9</v>
      </c>
      <c r="P3933">
        <v>124.87</v>
      </c>
    </row>
    <row r="3934" spans="1:16" x14ac:dyDescent="0.3">
      <c r="A3934">
        <v>13057</v>
      </c>
      <c r="B3934">
        <v>116</v>
      </c>
      <c r="C3934" t="s">
        <v>568</v>
      </c>
      <c r="D3934" s="453">
        <v>45658</v>
      </c>
      <c r="E3934">
        <v>24389</v>
      </c>
      <c r="F3934" t="s">
        <v>4305</v>
      </c>
      <c r="G3934">
        <v>2946</v>
      </c>
      <c r="H3934">
        <v>5.0999999999999996</v>
      </c>
      <c r="I3934" t="s">
        <v>3892</v>
      </c>
      <c r="J3934" t="s">
        <v>3469</v>
      </c>
      <c r="K3934" t="s">
        <v>3762</v>
      </c>
      <c r="L3934">
        <v>0</v>
      </c>
      <c r="M3934" s="453">
        <v>-693593</v>
      </c>
      <c r="N3934">
        <v>0</v>
      </c>
      <c r="O3934">
        <v>23.9</v>
      </c>
      <c r="P3934">
        <v>121.88</v>
      </c>
    </row>
    <row r="3935" spans="1:16" x14ac:dyDescent="0.3">
      <c r="A3935">
        <v>13086</v>
      </c>
      <c r="B3935">
        <v>116</v>
      </c>
      <c r="C3935" t="s">
        <v>568</v>
      </c>
      <c r="D3935" s="453">
        <v>45658</v>
      </c>
      <c r="E3935">
        <v>17896</v>
      </c>
      <c r="F3935" t="s">
        <v>3972</v>
      </c>
      <c r="G3935">
        <v>3664</v>
      </c>
      <c r="H3935">
        <v>2</v>
      </c>
      <c r="I3935" t="s">
        <v>3888</v>
      </c>
      <c r="J3935" t="s">
        <v>3497</v>
      </c>
      <c r="K3935" t="s">
        <v>3762</v>
      </c>
      <c r="L3935">
        <v>0</v>
      </c>
      <c r="M3935" s="453">
        <v>-693593</v>
      </c>
      <c r="N3935">
        <v>0</v>
      </c>
      <c r="O3935">
        <v>0</v>
      </c>
      <c r="P3935">
        <v>121.6</v>
      </c>
    </row>
    <row r="3936" spans="1:16" x14ac:dyDescent="0.3">
      <c r="A3936">
        <v>13115</v>
      </c>
      <c r="B3936">
        <v>116</v>
      </c>
      <c r="C3936" t="s">
        <v>568</v>
      </c>
      <c r="D3936" s="453">
        <v>45658</v>
      </c>
      <c r="E3936">
        <v>24029</v>
      </c>
      <c r="F3936" t="s">
        <v>3875</v>
      </c>
      <c r="G3936">
        <v>3591</v>
      </c>
      <c r="H3936">
        <v>60</v>
      </c>
      <c r="I3936" t="s">
        <v>3872</v>
      </c>
      <c r="J3936" t="s">
        <v>3497</v>
      </c>
      <c r="K3936" t="s">
        <v>3762</v>
      </c>
      <c r="L3936">
        <v>0</v>
      </c>
      <c r="M3936" s="453">
        <v>45537</v>
      </c>
      <c r="N3936">
        <v>1.99</v>
      </c>
      <c r="O3936">
        <v>2.19</v>
      </c>
      <c r="P3936">
        <v>119.4</v>
      </c>
    </row>
    <row r="3937" spans="1:16" x14ac:dyDescent="0.3">
      <c r="A3937">
        <v>13092</v>
      </c>
      <c r="B3937">
        <v>116</v>
      </c>
      <c r="C3937" t="s">
        <v>568</v>
      </c>
      <c r="D3937" s="453">
        <v>45658</v>
      </c>
      <c r="E3937">
        <v>19955</v>
      </c>
      <c r="F3937" t="s">
        <v>4528</v>
      </c>
      <c r="G3937">
        <v>2359</v>
      </c>
      <c r="H3937">
        <v>2</v>
      </c>
      <c r="I3937" t="s">
        <v>3872</v>
      </c>
      <c r="J3937" t="s">
        <v>3469</v>
      </c>
      <c r="K3937" t="s">
        <v>3762</v>
      </c>
      <c r="L3937">
        <v>0</v>
      </c>
      <c r="M3937" s="453">
        <v>-693593</v>
      </c>
      <c r="N3937">
        <v>0</v>
      </c>
      <c r="O3937">
        <v>59.5</v>
      </c>
      <c r="P3937">
        <v>119</v>
      </c>
    </row>
    <row r="3938" spans="1:16" x14ac:dyDescent="0.3">
      <c r="A3938">
        <v>12989</v>
      </c>
      <c r="B3938">
        <v>116</v>
      </c>
      <c r="C3938" t="s">
        <v>568</v>
      </c>
      <c r="D3938" s="453">
        <v>45658</v>
      </c>
      <c r="E3938">
        <v>18312</v>
      </c>
      <c r="F3938" t="s">
        <v>4089</v>
      </c>
      <c r="G3938">
        <v>3321</v>
      </c>
      <c r="H3938">
        <v>1</v>
      </c>
      <c r="I3938" t="s">
        <v>3878</v>
      </c>
      <c r="J3938" t="s">
        <v>3497</v>
      </c>
      <c r="K3938" t="s">
        <v>3762</v>
      </c>
      <c r="L3938">
        <v>0</v>
      </c>
      <c r="M3938" s="453">
        <v>45573</v>
      </c>
      <c r="N3938">
        <v>116.89</v>
      </c>
      <c r="O3938">
        <v>135.9</v>
      </c>
      <c r="P3938">
        <v>116.89</v>
      </c>
    </row>
    <row r="3939" spans="1:16" x14ac:dyDescent="0.3">
      <c r="A3939">
        <v>13104</v>
      </c>
      <c r="B3939">
        <v>116</v>
      </c>
      <c r="C3939" t="s">
        <v>568</v>
      </c>
      <c r="D3939" s="453">
        <v>45658</v>
      </c>
      <c r="E3939">
        <v>20985</v>
      </c>
      <c r="F3939" t="s">
        <v>3914</v>
      </c>
      <c r="G3939">
        <v>2011</v>
      </c>
      <c r="H3939">
        <v>13</v>
      </c>
      <c r="I3939" t="s">
        <v>3872</v>
      </c>
      <c r="J3939" t="s">
        <v>3469</v>
      </c>
      <c r="K3939" t="s">
        <v>3762</v>
      </c>
      <c r="L3939">
        <v>8.7200000000000006</v>
      </c>
      <c r="M3939" s="453">
        <v>45629</v>
      </c>
      <c r="N3939">
        <v>8.7200000000000006</v>
      </c>
      <c r="O3939">
        <v>8.7200000000000006</v>
      </c>
      <c r="P3939">
        <v>113.36</v>
      </c>
    </row>
    <row r="3940" spans="1:16" x14ac:dyDescent="0.3">
      <c r="A3940">
        <v>14868</v>
      </c>
      <c r="B3940">
        <v>116</v>
      </c>
      <c r="C3940" t="s">
        <v>568</v>
      </c>
      <c r="D3940" s="453">
        <v>45658</v>
      </c>
      <c r="E3940">
        <v>20456</v>
      </c>
      <c r="F3940" t="s">
        <v>4000</v>
      </c>
      <c r="G3940">
        <v>2166</v>
      </c>
      <c r="H3940">
        <v>2.8</v>
      </c>
      <c r="I3940" t="s">
        <v>3892</v>
      </c>
      <c r="J3940" t="s">
        <v>3469</v>
      </c>
      <c r="K3940" t="s">
        <v>3762</v>
      </c>
      <c r="L3940">
        <v>39</v>
      </c>
      <c r="M3940" s="453">
        <v>45629</v>
      </c>
      <c r="N3940">
        <v>39</v>
      </c>
      <c r="O3940">
        <v>39</v>
      </c>
      <c r="P3940">
        <v>109.2</v>
      </c>
    </row>
    <row r="3941" spans="1:16" x14ac:dyDescent="0.3">
      <c r="A3941">
        <v>13103</v>
      </c>
      <c r="B3941">
        <v>116</v>
      </c>
      <c r="C3941" t="s">
        <v>568</v>
      </c>
      <c r="D3941" s="453">
        <v>45658</v>
      </c>
      <c r="E3941">
        <v>19941</v>
      </c>
      <c r="F3941" t="s">
        <v>4505</v>
      </c>
      <c r="G3941">
        <v>2363</v>
      </c>
      <c r="H3941">
        <v>25</v>
      </c>
      <c r="I3941" t="s">
        <v>3872</v>
      </c>
      <c r="J3941" t="s">
        <v>3469</v>
      </c>
      <c r="K3941" t="s">
        <v>3762</v>
      </c>
      <c r="L3941">
        <v>0</v>
      </c>
      <c r="M3941" s="453">
        <v>45523</v>
      </c>
      <c r="N3941">
        <v>4.3</v>
      </c>
      <c r="O3941">
        <v>15.2</v>
      </c>
      <c r="P3941">
        <v>107.5</v>
      </c>
    </row>
    <row r="3942" spans="1:16" x14ac:dyDescent="0.3">
      <c r="A3942">
        <v>12987</v>
      </c>
      <c r="B3942">
        <v>116</v>
      </c>
      <c r="C3942" t="s">
        <v>568</v>
      </c>
      <c r="D3942" s="453">
        <v>45658</v>
      </c>
      <c r="E3942">
        <v>18325</v>
      </c>
      <c r="F3942" t="s">
        <v>4459</v>
      </c>
      <c r="G3942">
        <v>3308</v>
      </c>
      <c r="H3942">
        <v>3</v>
      </c>
      <c r="I3942" t="s">
        <v>3878</v>
      </c>
      <c r="J3942" t="s">
        <v>3497</v>
      </c>
      <c r="K3942" t="s">
        <v>3762</v>
      </c>
      <c r="L3942">
        <v>0</v>
      </c>
      <c r="M3942" s="453">
        <v>-693593</v>
      </c>
      <c r="N3942">
        <v>0</v>
      </c>
      <c r="O3942">
        <v>34.479999999999997</v>
      </c>
      <c r="P3942">
        <v>103.44</v>
      </c>
    </row>
    <row r="3943" spans="1:16" x14ac:dyDescent="0.3">
      <c r="A3943">
        <v>13117</v>
      </c>
      <c r="B3943">
        <v>116</v>
      </c>
      <c r="C3943" t="s">
        <v>568</v>
      </c>
      <c r="D3943" s="453">
        <v>45658</v>
      </c>
      <c r="E3943">
        <v>24226</v>
      </c>
      <c r="F3943" t="s">
        <v>3998</v>
      </c>
      <c r="G3943">
        <v>3647</v>
      </c>
      <c r="H3943">
        <v>16</v>
      </c>
      <c r="I3943" t="s">
        <v>3872</v>
      </c>
      <c r="J3943" t="s">
        <v>3497</v>
      </c>
      <c r="K3943" t="s">
        <v>3762</v>
      </c>
      <c r="L3943">
        <v>0</v>
      </c>
      <c r="M3943" s="453">
        <v>45355</v>
      </c>
      <c r="N3943">
        <v>6.42</v>
      </c>
      <c r="O3943">
        <v>6.82</v>
      </c>
      <c r="P3943">
        <v>102.67</v>
      </c>
    </row>
    <row r="3944" spans="1:16" x14ac:dyDescent="0.3">
      <c r="A3944">
        <v>13111</v>
      </c>
      <c r="B3944">
        <v>116</v>
      </c>
      <c r="C3944" t="s">
        <v>568</v>
      </c>
      <c r="D3944" s="453">
        <v>45658</v>
      </c>
      <c r="E3944">
        <v>19415</v>
      </c>
      <c r="F3944" t="s">
        <v>3941</v>
      </c>
      <c r="G3944">
        <v>2759</v>
      </c>
      <c r="H3944">
        <v>15</v>
      </c>
      <c r="I3944" t="s">
        <v>3872</v>
      </c>
      <c r="J3944" t="s">
        <v>3469</v>
      </c>
      <c r="K3944" t="s">
        <v>3762</v>
      </c>
      <c r="L3944">
        <v>6.82</v>
      </c>
      <c r="M3944" s="453">
        <v>45630</v>
      </c>
      <c r="N3944">
        <v>6.82</v>
      </c>
      <c r="O3944">
        <v>7.61</v>
      </c>
      <c r="P3944">
        <v>102.3</v>
      </c>
    </row>
    <row r="3945" spans="1:16" x14ac:dyDescent="0.3">
      <c r="A3945">
        <v>12996</v>
      </c>
      <c r="B3945">
        <v>116</v>
      </c>
      <c r="C3945" t="s">
        <v>568</v>
      </c>
      <c r="D3945" s="453">
        <v>45658</v>
      </c>
      <c r="E3945">
        <v>18220</v>
      </c>
      <c r="F3945" t="s">
        <v>4479</v>
      </c>
      <c r="G3945">
        <v>3408</v>
      </c>
      <c r="H3945">
        <v>1</v>
      </c>
      <c r="I3945" t="s">
        <v>3878</v>
      </c>
      <c r="J3945" t="s">
        <v>3497</v>
      </c>
      <c r="K3945" t="s">
        <v>3762</v>
      </c>
      <c r="L3945">
        <v>0</v>
      </c>
      <c r="M3945" s="453">
        <v>-693593</v>
      </c>
      <c r="N3945">
        <v>0</v>
      </c>
      <c r="O3945">
        <v>134.68</v>
      </c>
      <c r="P3945">
        <v>100.89</v>
      </c>
    </row>
    <row r="3946" spans="1:16" x14ac:dyDescent="0.3">
      <c r="A3946">
        <v>13007</v>
      </c>
      <c r="B3946">
        <v>116</v>
      </c>
      <c r="C3946" t="s">
        <v>568</v>
      </c>
      <c r="D3946" s="453">
        <v>45658</v>
      </c>
      <c r="E3946">
        <v>24351</v>
      </c>
      <c r="F3946" t="s">
        <v>3912</v>
      </c>
      <c r="G3946">
        <v>2287</v>
      </c>
      <c r="H3946">
        <v>8</v>
      </c>
      <c r="I3946" t="s">
        <v>3872</v>
      </c>
      <c r="J3946" t="s">
        <v>3469</v>
      </c>
      <c r="K3946" t="s">
        <v>3762</v>
      </c>
      <c r="L3946">
        <v>0</v>
      </c>
      <c r="M3946" s="453">
        <v>-693593</v>
      </c>
      <c r="N3946">
        <v>0</v>
      </c>
      <c r="O3946">
        <v>16.899999999999999</v>
      </c>
      <c r="P3946">
        <v>96</v>
      </c>
    </row>
    <row r="3947" spans="1:16" x14ac:dyDescent="0.3">
      <c r="A3947">
        <v>14860</v>
      </c>
      <c r="B3947">
        <v>116</v>
      </c>
      <c r="C3947" t="s">
        <v>568</v>
      </c>
      <c r="D3947" s="453">
        <v>45658</v>
      </c>
      <c r="E3947">
        <v>20486</v>
      </c>
      <c r="F3947" t="s">
        <v>4529</v>
      </c>
      <c r="G3947">
        <v>2157</v>
      </c>
      <c r="H3947">
        <v>3.5</v>
      </c>
      <c r="I3947" t="s">
        <v>3892</v>
      </c>
      <c r="J3947" t="s">
        <v>3469</v>
      </c>
      <c r="K3947" t="s">
        <v>3762</v>
      </c>
      <c r="L3947">
        <v>0</v>
      </c>
      <c r="M3947" s="453">
        <v>-693593</v>
      </c>
      <c r="N3947">
        <v>0</v>
      </c>
      <c r="O3947">
        <v>26.75</v>
      </c>
      <c r="P3947">
        <v>93.62</v>
      </c>
    </row>
    <row r="3948" spans="1:16" x14ac:dyDescent="0.3">
      <c r="A3948">
        <v>13116</v>
      </c>
      <c r="B3948">
        <v>116</v>
      </c>
      <c r="C3948" t="s">
        <v>568</v>
      </c>
      <c r="D3948" s="453">
        <v>45658</v>
      </c>
      <c r="E3948">
        <v>18005</v>
      </c>
      <c r="F3948" t="s">
        <v>4491</v>
      </c>
      <c r="G3948">
        <v>3592</v>
      </c>
      <c r="H3948">
        <v>2.08</v>
      </c>
      <c r="I3948" t="s">
        <v>3872</v>
      </c>
      <c r="J3948" t="s">
        <v>3497</v>
      </c>
      <c r="K3948" t="s">
        <v>3762</v>
      </c>
      <c r="L3948">
        <v>0</v>
      </c>
      <c r="M3948" s="453">
        <v>-693593</v>
      </c>
      <c r="N3948">
        <v>0</v>
      </c>
      <c r="O3948">
        <v>0</v>
      </c>
      <c r="P3948">
        <v>91.83</v>
      </c>
    </row>
    <row r="3949" spans="1:16" x14ac:dyDescent="0.3">
      <c r="A3949">
        <v>14825</v>
      </c>
      <c r="B3949">
        <v>116</v>
      </c>
      <c r="C3949" t="s">
        <v>568</v>
      </c>
      <c r="D3949" s="453">
        <v>45658</v>
      </c>
      <c r="E3949">
        <v>20755</v>
      </c>
      <c r="F3949" t="s">
        <v>4052</v>
      </c>
      <c r="G3949">
        <v>2087</v>
      </c>
      <c r="H3949">
        <v>1.5</v>
      </c>
      <c r="I3949" t="s">
        <v>3966</v>
      </c>
      <c r="J3949" t="s">
        <v>3469</v>
      </c>
      <c r="K3949" t="s">
        <v>3762</v>
      </c>
      <c r="L3949">
        <v>0</v>
      </c>
      <c r="M3949" s="453">
        <v>45497</v>
      </c>
      <c r="N3949">
        <v>60</v>
      </c>
      <c r="O3949">
        <v>60</v>
      </c>
      <c r="P3949">
        <v>90</v>
      </c>
    </row>
    <row r="3950" spans="1:16" x14ac:dyDescent="0.3">
      <c r="A3950">
        <v>14852</v>
      </c>
      <c r="B3950">
        <v>116</v>
      </c>
      <c r="C3950" t="s">
        <v>568</v>
      </c>
      <c r="D3950" s="453">
        <v>45658</v>
      </c>
      <c r="E3950">
        <v>20976</v>
      </c>
      <c r="F3950" t="s">
        <v>4062</v>
      </c>
      <c r="G3950">
        <v>2011</v>
      </c>
      <c r="H3950">
        <v>0.5</v>
      </c>
      <c r="I3950" t="s">
        <v>3884</v>
      </c>
      <c r="J3950" t="s">
        <v>3469</v>
      </c>
      <c r="K3950" t="s">
        <v>3762</v>
      </c>
      <c r="L3950">
        <v>180</v>
      </c>
      <c r="M3950" s="453">
        <v>45636</v>
      </c>
      <c r="N3950">
        <v>180</v>
      </c>
      <c r="O3950">
        <v>180</v>
      </c>
      <c r="P3950">
        <v>90</v>
      </c>
    </row>
    <row r="3951" spans="1:16" x14ac:dyDescent="0.3">
      <c r="A3951">
        <v>13051</v>
      </c>
      <c r="B3951">
        <v>116</v>
      </c>
      <c r="C3951" t="s">
        <v>568</v>
      </c>
      <c r="D3951" s="453">
        <v>45658</v>
      </c>
      <c r="E3951">
        <v>24194</v>
      </c>
      <c r="F3951" t="s">
        <v>4181</v>
      </c>
      <c r="G3951">
        <v>3038</v>
      </c>
      <c r="H3951">
        <v>3.1</v>
      </c>
      <c r="I3951" t="s">
        <v>3892</v>
      </c>
      <c r="J3951" t="s">
        <v>3469</v>
      </c>
      <c r="K3951" t="s">
        <v>3762</v>
      </c>
      <c r="L3951">
        <v>0</v>
      </c>
      <c r="M3951" s="453">
        <v>45595</v>
      </c>
      <c r="N3951">
        <v>28.9</v>
      </c>
      <c r="O3951">
        <v>42</v>
      </c>
      <c r="P3951">
        <v>89.59</v>
      </c>
    </row>
    <row r="3952" spans="1:16" x14ac:dyDescent="0.3">
      <c r="A3952">
        <v>12995</v>
      </c>
      <c r="B3952">
        <v>116</v>
      </c>
      <c r="C3952" t="s">
        <v>568</v>
      </c>
      <c r="D3952" s="453">
        <v>45658</v>
      </c>
      <c r="E3952">
        <v>18232</v>
      </c>
      <c r="F3952" t="s">
        <v>4091</v>
      </c>
      <c r="G3952">
        <v>3396</v>
      </c>
      <c r="H3952">
        <v>1</v>
      </c>
      <c r="I3952" t="s">
        <v>3878</v>
      </c>
      <c r="J3952" t="s">
        <v>3497</v>
      </c>
      <c r="K3952" t="s">
        <v>3762</v>
      </c>
      <c r="L3952">
        <v>0</v>
      </c>
      <c r="M3952" s="453">
        <v>45434</v>
      </c>
      <c r="N3952">
        <v>88.9</v>
      </c>
      <c r="O3952">
        <v>100.88</v>
      </c>
      <c r="P3952">
        <v>88.9</v>
      </c>
    </row>
    <row r="3953" spans="1:16" x14ac:dyDescent="0.3">
      <c r="A3953">
        <v>12992</v>
      </c>
      <c r="B3953">
        <v>116</v>
      </c>
      <c r="C3953" t="s">
        <v>568</v>
      </c>
      <c r="D3953" s="453">
        <v>45658</v>
      </c>
      <c r="E3953">
        <v>18272</v>
      </c>
      <c r="F3953" t="s">
        <v>4046</v>
      </c>
      <c r="G3953">
        <v>3358</v>
      </c>
      <c r="H3953">
        <v>2.5</v>
      </c>
      <c r="I3953" t="s">
        <v>3878</v>
      </c>
      <c r="J3953" t="s">
        <v>3497</v>
      </c>
      <c r="K3953" t="s">
        <v>3762</v>
      </c>
      <c r="L3953">
        <v>0</v>
      </c>
      <c r="M3953" s="453">
        <v>45586</v>
      </c>
      <c r="N3953">
        <v>35.5</v>
      </c>
      <c r="O3953">
        <v>36.57</v>
      </c>
      <c r="P3953">
        <v>88.75</v>
      </c>
    </row>
    <row r="3954" spans="1:16" x14ac:dyDescent="0.3">
      <c r="A3954">
        <v>13118</v>
      </c>
      <c r="B3954">
        <v>116</v>
      </c>
      <c r="C3954" t="s">
        <v>568</v>
      </c>
      <c r="D3954" s="453">
        <v>45658</v>
      </c>
      <c r="E3954">
        <v>24227</v>
      </c>
      <c r="F3954" t="s">
        <v>3970</v>
      </c>
      <c r="G3954">
        <v>3648</v>
      </c>
      <c r="H3954">
        <v>13</v>
      </c>
      <c r="I3954" t="s">
        <v>3872</v>
      </c>
      <c r="J3954" t="s">
        <v>3497</v>
      </c>
      <c r="K3954" t="s">
        <v>3762</v>
      </c>
      <c r="L3954">
        <v>0</v>
      </c>
      <c r="M3954" s="453">
        <v>-693593</v>
      </c>
      <c r="N3954">
        <v>0</v>
      </c>
      <c r="O3954">
        <v>7.66</v>
      </c>
      <c r="P3954">
        <v>88.66</v>
      </c>
    </row>
    <row r="3955" spans="1:16" x14ac:dyDescent="0.3">
      <c r="A3955">
        <v>12977</v>
      </c>
      <c r="B3955">
        <v>116</v>
      </c>
      <c r="C3955" t="s">
        <v>568</v>
      </c>
      <c r="D3955" s="453">
        <v>45658</v>
      </c>
      <c r="E3955">
        <v>18534</v>
      </c>
      <c r="F3955" t="s">
        <v>4084</v>
      </c>
      <c r="G3955">
        <v>3143</v>
      </c>
      <c r="H3955">
        <v>1</v>
      </c>
      <c r="I3955" t="s">
        <v>3878</v>
      </c>
      <c r="J3955" t="s">
        <v>3497</v>
      </c>
      <c r="K3955" t="s">
        <v>3762</v>
      </c>
      <c r="L3955">
        <v>0</v>
      </c>
      <c r="M3955" s="453">
        <v>-693593</v>
      </c>
      <c r="N3955">
        <v>0</v>
      </c>
      <c r="O3955">
        <v>0</v>
      </c>
      <c r="P3955">
        <v>86.89</v>
      </c>
    </row>
    <row r="3956" spans="1:16" x14ac:dyDescent="0.3">
      <c r="A3956">
        <v>12981</v>
      </c>
      <c r="B3956">
        <v>116</v>
      </c>
      <c r="C3956" t="s">
        <v>568</v>
      </c>
      <c r="D3956" s="453">
        <v>45658</v>
      </c>
      <c r="E3956">
        <v>18475</v>
      </c>
      <c r="F3956" t="s">
        <v>3918</v>
      </c>
      <c r="G3956">
        <v>3181</v>
      </c>
      <c r="H3956">
        <v>2.6</v>
      </c>
      <c r="I3956" t="s">
        <v>3878</v>
      </c>
      <c r="J3956" t="s">
        <v>3497</v>
      </c>
      <c r="K3956" t="s">
        <v>3762</v>
      </c>
      <c r="L3956">
        <v>0</v>
      </c>
      <c r="M3956" s="453">
        <v>45616</v>
      </c>
      <c r="N3956">
        <v>32.9</v>
      </c>
      <c r="O3956">
        <v>32.9</v>
      </c>
      <c r="P3956">
        <v>85.54</v>
      </c>
    </row>
    <row r="3957" spans="1:16" x14ac:dyDescent="0.3">
      <c r="A3957">
        <v>13076</v>
      </c>
      <c r="B3957">
        <v>116</v>
      </c>
      <c r="C3957" t="s">
        <v>568</v>
      </c>
      <c r="D3957" s="453">
        <v>45658</v>
      </c>
      <c r="E3957">
        <v>20053</v>
      </c>
      <c r="F3957" t="s">
        <v>4457</v>
      </c>
      <c r="G3957">
        <v>2326</v>
      </c>
      <c r="H3957">
        <v>2</v>
      </c>
      <c r="I3957" t="s">
        <v>3888</v>
      </c>
      <c r="J3957" t="s">
        <v>3469</v>
      </c>
      <c r="K3957" t="s">
        <v>3762</v>
      </c>
      <c r="L3957">
        <v>0</v>
      </c>
      <c r="M3957" s="453">
        <v>45622</v>
      </c>
      <c r="N3957">
        <v>41</v>
      </c>
      <c r="O3957">
        <v>42.88</v>
      </c>
      <c r="P3957">
        <v>82</v>
      </c>
    </row>
    <row r="3958" spans="1:16" x14ac:dyDescent="0.3">
      <c r="A3958">
        <v>14858</v>
      </c>
      <c r="B3958">
        <v>116</v>
      </c>
      <c r="C3958" t="s">
        <v>568</v>
      </c>
      <c r="D3958" s="453">
        <v>45658</v>
      </c>
      <c r="E3958">
        <v>19566</v>
      </c>
      <c r="F3958" t="s">
        <v>3986</v>
      </c>
      <c r="G3958">
        <v>2651</v>
      </c>
      <c r="H3958">
        <v>2</v>
      </c>
      <c r="I3958" t="s">
        <v>3892</v>
      </c>
      <c r="J3958" t="s">
        <v>3469</v>
      </c>
      <c r="K3958" t="s">
        <v>3762</v>
      </c>
      <c r="L3958">
        <v>40.5</v>
      </c>
      <c r="M3958" s="453">
        <v>45635</v>
      </c>
      <c r="N3958">
        <v>40.5</v>
      </c>
      <c r="O3958">
        <v>40.5</v>
      </c>
      <c r="P3958">
        <v>81</v>
      </c>
    </row>
    <row r="3959" spans="1:16" x14ac:dyDescent="0.3">
      <c r="A3959">
        <v>13001</v>
      </c>
      <c r="B3959">
        <v>116</v>
      </c>
      <c r="C3959" t="s">
        <v>568</v>
      </c>
      <c r="D3959" s="453">
        <v>45658</v>
      </c>
      <c r="E3959">
        <v>18030</v>
      </c>
      <c r="F3959" t="s">
        <v>4033</v>
      </c>
      <c r="G3959">
        <v>3568</v>
      </c>
      <c r="H3959">
        <v>3</v>
      </c>
      <c r="I3959" t="s">
        <v>3878</v>
      </c>
      <c r="J3959" t="s">
        <v>3497</v>
      </c>
      <c r="K3959" t="s">
        <v>3762</v>
      </c>
      <c r="L3959">
        <v>0</v>
      </c>
      <c r="M3959" s="453">
        <v>45573</v>
      </c>
      <c r="N3959">
        <v>26.9</v>
      </c>
      <c r="O3959">
        <v>26.6</v>
      </c>
      <c r="P3959">
        <v>80.7</v>
      </c>
    </row>
    <row r="3960" spans="1:16" x14ac:dyDescent="0.3">
      <c r="A3960">
        <v>13096</v>
      </c>
      <c r="B3960">
        <v>116</v>
      </c>
      <c r="C3960" t="s">
        <v>568</v>
      </c>
      <c r="D3960" s="453">
        <v>45658</v>
      </c>
      <c r="E3960">
        <v>20057</v>
      </c>
      <c r="F3960" t="s">
        <v>3967</v>
      </c>
      <c r="G3960">
        <v>2324</v>
      </c>
      <c r="H3960">
        <v>2</v>
      </c>
      <c r="I3960" t="s">
        <v>3872</v>
      </c>
      <c r="J3960" t="s">
        <v>3469</v>
      </c>
      <c r="K3960" t="s">
        <v>3762</v>
      </c>
      <c r="L3960">
        <v>0</v>
      </c>
      <c r="M3960" s="453">
        <v>45476</v>
      </c>
      <c r="N3960">
        <v>0</v>
      </c>
      <c r="O3960">
        <v>41.23</v>
      </c>
      <c r="P3960">
        <v>79.98</v>
      </c>
    </row>
    <row r="3961" spans="1:16" x14ac:dyDescent="0.3">
      <c r="A3961">
        <v>13014</v>
      </c>
      <c r="B3961">
        <v>116</v>
      </c>
      <c r="C3961" t="s">
        <v>568</v>
      </c>
      <c r="D3961" s="453">
        <v>45658</v>
      </c>
      <c r="E3961">
        <v>19649</v>
      </c>
      <c r="F3961" t="s">
        <v>4015</v>
      </c>
      <c r="G3961">
        <v>2589</v>
      </c>
      <c r="H3961">
        <v>3.5</v>
      </c>
      <c r="I3961" t="s">
        <v>3892</v>
      </c>
      <c r="J3961" t="s">
        <v>3469</v>
      </c>
      <c r="K3961" t="s">
        <v>3762</v>
      </c>
      <c r="L3961">
        <v>22.82</v>
      </c>
      <c r="M3961" s="453">
        <v>45649</v>
      </c>
      <c r="N3961">
        <v>28</v>
      </c>
      <c r="O3961">
        <v>27.12</v>
      </c>
      <c r="P3961">
        <v>79.87</v>
      </c>
    </row>
    <row r="3962" spans="1:16" x14ac:dyDescent="0.3">
      <c r="A3962">
        <v>12962</v>
      </c>
      <c r="B3962">
        <v>116</v>
      </c>
      <c r="C3962" t="s">
        <v>568</v>
      </c>
      <c r="D3962" s="453">
        <v>45658</v>
      </c>
      <c r="E3962">
        <v>20007</v>
      </c>
      <c r="F3962" t="s">
        <v>4009</v>
      </c>
      <c r="G3962">
        <v>2343</v>
      </c>
      <c r="H3962">
        <v>2</v>
      </c>
      <c r="I3962" t="s">
        <v>3966</v>
      </c>
      <c r="J3962" t="s">
        <v>3469</v>
      </c>
      <c r="K3962" t="s">
        <v>3762</v>
      </c>
      <c r="L3962">
        <v>38.9</v>
      </c>
      <c r="M3962" s="453">
        <v>45636</v>
      </c>
      <c r="N3962">
        <v>38.9</v>
      </c>
      <c r="O3962">
        <v>44.9</v>
      </c>
      <c r="P3962">
        <v>77.8</v>
      </c>
    </row>
    <row r="3963" spans="1:16" x14ac:dyDescent="0.3">
      <c r="A3963">
        <v>13091</v>
      </c>
      <c r="B3963">
        <v>116</v>
      </c>
      <c r="C3963" t="s">
        <v>568</v>
      </c>
      <c r="D3963" s="453">
        <v>45658</v>
      </c>
      <c r="E3963">
        <v>19961</v>
      </c>
      <c r="F3963" t="s">
        <v>4465</v>
      </c>
      <c r="G3963">
        <v>2357</v>
      </c>
      <c r="H3963">
        <v>9</v>
      </c>
      <c r="I3963" t="s">
        <v>3886</v>
      </c>
      <c r="J3963" t="s">
        <v>3469</v>
      </c>
      <c r="K3963" t="s">
        <v>3762</v>
      </c>
      <c r="L3963">
        <v>0</v>
      </c>
      <c r="M3963" s="453">
        <v>45517</v>
      </c>
      <c r="N3963">
        <v>8.5500000000000007</v>
      </c>
      <c r="O3963">
        <v>13.4</v>
      </c>
      <c r="P3963">
        <v>76.95</v>
      </c>
    </row>
    <row r="3964" spans="1:16" x14ac:dyDescent="0.3">
      <c r="A3964">
        <v>14836</v>
      </c>
      <c r="B3964">
        <v>116</v>
      </c>
      <c r="C3964" t="s">
        <v>568</v>
      </c>
      <c r="D3964" s="453">
        <v>45658</v>
      </c>
      <c r="E3964">
        <v>25720</v>
      </c>
      <c r="F3964" t="s">
        <v>3926</v>
      </c>
      <c r="G3964">
        <v>2197</v>
      </c>
      <c r="H3964">
        <v>4.5</v>
      </c>
      <c r="I3964" t="s">
        <v>3892</v>
      </c>
      <c r="J3964" t="s">
        <v>3469</v>
      </c>
      <c r="K3964" t="s">
        <v>3762</v>
      </c>
      <c r="L3964">
        <v>0</v>
      </c>
      <c r="M3964" s="453">
        <v>-693593</v>
      </c>
      <c r="N3964">
        <v>0</v>
      </c>
      <c r="O3964">
        <v>0</v>
      </c>
      <c r="P3964">
        <v>76.05</v>
      </c>
    </row>
    <row r="3965" spans="1:16" x14ac:dyDescent="0.3">
      <c r="A3965">
        <v>12985</v>
      </c>
      <c r="B3965">
        <v>116</v>
      </c>
      <c r="C3965" t="s">
        <v>568</v>
      </c>
      <c r="D3965" s="453">
        <v>45658</v>
      </c>
      <c r="E3965">
        <v>18341</v>
      </c>
      <c r="F3965" t="s">
        <v>4086</v>
      </c>
      <c r="G3965">
        <v>3293</v>
      </c>
      <c r="H3965">
        <v>2</v>
      </c>
      <c r="I3965" t="s">
        <v>3878</v>
      </c>
      <c r="J3965" t="s">
        <v>3497</v>
      </c>
      <c r="K3965" t="s">
        <v>3762</v>
      </c>
      <c r="L3965">
        <v>0</v>
      </c>
      <c r="M3965" s="453">
        <v>-693593</v>
      </c>
      <c r="N3965">
        <v>0</v>
      </c>
      <c r="O3965">
        <v>50</v>
      </c>
      <c r="P3965">
        <v>76</v>
      </c>
    </row>
    <row r="3966" spans="1:16" x14ac:dyDescent="0.3">
      <c r="A3966">
        <v>12958</v>
      </c>
      <c r="B3966">
        <v>116</v>
      </c>
      <c r="C3966" t="s">
        <v>568</v>
      </c>
      <c r="D3966" s="453">
        <v>45658</v>
      </c>
      <c r="E3966">
        <v>20757</v>
      </c>
      <c r="F3966" t="s">
        <v>4050</v>
      </c>
      <c r="G3966">
        <v>2086</v>
      </c>
      <c r="H3966">
        <v>1</v>
      </c>
      <c r="I3966" t="s">
        <v>3966</v>
      </c>
      <c r="J3966" t="s">
        <v>3469</v>
      </c>
      <c r="K3966" t="s">
        <v>3762</v>
      </c>
      <c r="L3966">
        <v>0</v>
      </c>
      <c r="M3966" s="453">
        <v>45589</v>
      </c>
      <c r="N3966">
        <v>75.2</v>
      </c>
      <c r="O3966">
        <v>79.900000000000006</v>
      </c>
      <c r="P3966">
        <v>75.2</v>
      </c>
    </row>
    <row r="3967" spans="1:16" x14ac:dyDescent="0.3">
      <c r="A3967">
        <v>12975</v>
      </c>
      <c r="B3967">
        <v>116</v>
      </c>
      <c r="C3967" t="s">
        <v>568</v>
      </c>
      <c r="D3967" s="453">
        <v>45658</v>
      </c>
      <c r="E3967">
        <v>18545</v>
      </c>
      <c r="F3967" t="s">
        <v>4099</v>
      </c>
      <c r="G3967">
        <v>3134</v>
      </c>
      <c r="H3967">
        <v>1.5</v>
      </c>
      <c r="I3967" t="s">
        <v>3878</v>
      </c>
      <c r="J3967" t="s">
        <v>3497</v>
      </c>
      <c r="K3967" t="s">
        <v>3762</v>
      </c>
      <c r="L3967">
        <v>0</v>
      </c>
      <c r="M3967" s="453">
        <v>45616</v>
      </c>
      <c r="N3967">
        <v>49.99</v>
      </c>
      <c r="O3967">
        <v>49.99</v>
      </c>
      <c r="P3967">
        <v>74.98</v>
      </c>
    </row>
    <row r="3968" spans="1:16" x14ac:dyDescent="0.3">
      <c r="A3968">
        <v>14864</v>
      </c>
      <c r="B3968">
        <v>116</v>
      </c>
      <c r="C3968" t="s">
        <v>568</v>
      </c>
      <c r="D3968" s="453">
        <v>45658</v>
      </c>
      <c r="E3968">
        <v>24458</v>
      </c>
      <c r="F3968" t="s">
        <v>4506</v>
      </c>
      <c r="G3968">
        <v>2160</v>
      </c>
      <c r="H3968">
        <v>1.2</v>
      </c>
      <c r="I3968" t="s">
        <v>3892</v>
      </c>
      <c r="J3968" t="s">
        <v>3469</v>
      </c>
      <c r="K3968" t="s">
        <v>3762</v>
      </c>
      <c r="L3968">
        <v>0</v>
      </c>
      <c r="M3968" s="453">
        <v>45370</v>
      </c>
      <c r="N3968">
        <v>62</v>
      </c>
      <c r="O3968">
        <v>62</v>
      </c>
      <c r="P3968">
        <v>74.400000000000006</v>
      </c>
    </row>
    <row r="3969" spans="1:16" x14ac:dyDescent="0.3">
      <c r="A3969">
        <v>13099</v>
      </c>
      <c r="B3969">
        <v>116</v>
      </c>
      <c r="C3969" t="s">
        <v>568</v>
      </c>
      <c r="D3969" s="453">
        <v>45658</v>
      </c>
      <c r="E3969">
        <v>20238</v>
      </c>
      <c r="F3969" t="s">
        <v>4514</v>
      </c>
      <c r="G3969">
        <v>2242</v>
      </c>
      <c r="H3969">
        <v>10</v>
      </c>
      <c r="I3969" t="s">
        <v>3872</v>
      </c>
      <c r="J3969" t="s">
        <v>3469</v>
      </c>
      <c r="K3969" t="s">
        <v>3762</v>
      </c>
      <c r="L3969">
        <v>0</v>
      </c>
      <c r="M3969" s="453">
        <v>45573</v>
      </c>
      <c r="N3969">
        <v>7.37</v>
      </c>
      <c r="O3969">
        <v>6.93</v>
      </c>
      <c r="P3969">
        <v>73.7</v>
      </c>
    </row>
    <row r="3970" spans="1:16" x14ac:dyDescent="0.3">
      <c r="A3970">
        <v>13079</v>
      </c>
      <c r="B3970">
        <v>116</v>
      </c>
      <c r="C3970" t="s">
        <v>568</v>
      </c>
      <c r="D3970" s="453">
        <v>45658</v>
      </c>
      <c r="E3970">
        <v>19922</v>
      </c>
      <c r="F3970" t="s">
        <v>4480</v>
      </c>
      <c r="G3970">
        <v>2375</v>
      </c>
      <c r="H3970">
        <v>1</v>
      </c>
      <c r="I3970" t="s">
        <v>3888</v>
      </c>
      <c r="J3970" t="s">
        <v>3469</v>
      </c>
      <c r="K3970" t="s">
        <v>3762</v>
      </c>
      <c r="L3970">
        <v>0</v>
      </c>
      <c r="M3970" s="453">
        <v>-693593</v>
      </c>
      <c r="N3970">
        <v>0</v>
      </c>
      <c r="O3970">
        <v>73.430000000000007</v>
      </c>
      <c r="P3970">
        <v>73.430000000000007</v>
      </c>
    </row>
    <row r="3971" spans="1:16" x14ac:dyDescent="0.3">
      <c r="A3971">
        <v>13006</v>
      </c>
      <c r="B3971">
        <v>116</v>
      </c>
      <c r="C3971" t="s">
        <v>568</v>
      </c>
      <c r="D3971" s="453">
        <v>45658</v>
      </c>
      <c r="E3971">
        <v>20501</v>
      </c>
      <c r="F3971" t="s">
        <v>4219</v>
      </c>
      <c r="G3971">
        <v>2154</v>
      </c>
      <c r="H3971">
        <v>3.5</v>
      </c>
      <c r="I3971" t="s">
        <v>3892</v>
      </c>
      <c r="J3971" t="s">
        <v>3469</v>
      </c>
      <c r="K3971" t="s">
        <v>3762</v>
      </c>
      <c r="L3971">
        <v>0</v>
      </c>
      <c r="M3971" s="453">
        <v>45510</v>
      </c>
      <c r="N3971">
        <v>19.8</v>
      </c>
      <c r="O3971">
        <v>26.03</v>
      </c>
      <c r="P3971">
        <v>69.3</v>
      </c>
    </row>
    <row r="3972" spans="1:16" x14ac:dyDescent="0.3">
      <c r="A3972">
        <v>14847</v>
      </c>
      <c r="B3972">
        <v>116</v>
      </c>
      <c r="C3972" t="s">
        <v>568</v>
      </c>
      <c r="D3972" s="453">
        <v>45658</v>
      </c>
      <c r="E3972">
        <v>19984</v>
      </c>
      <c r="F3972" t="s">
        <v>3904</v>
      </c>
      <c r="G3972">
        <v>2351</v>
      </c>
      <c r="H3972">
        <v>4</v>
      </c>
      <c r="I3972" t="s">
        <v>3872</v>
      </c>
      <c r="J3972" t="s">
        <v>3469</v>
      </c>
      <c r="K3972" t="s">
        <v>3762</v>
      </c>
      <c r="L3972">
        <v>17</v>
      </c>
      <c r="M3972" s="453">
        <v>45629</v>
      </c>
      <c r="N3972">
        <v>17</v>
      </c>
      <c r="O3972">
        <v>18</v>
      </c>
      <c r="P3972">
        <v>68</v>
      </c>
    </row>
    <row r="3973" spans="1:16" x14ac:dyDescent="0.3">
      <c r="A3973">
        <v>13074</v>
      </c>
      <c r="B3973">
        <v>116</v>
      </c>
      <c r="C3973" t="s">
        <v>568</v>
      </c>
      <c r="D3973" s="453">
        <v>45658</v>
      </c>
      <c r="E3973">
        <v>20225</v>
      </c>
      <c r="F3973" t="s">
        <v>4530</v>
      </c>
      <c r="G3973">
        <v>2248</v>
      </c>
      <c r="H3973">
        <v>8</v>
      </c>
      <c r="I3973" t="s">
        <v>3888</v>
      </c>
      <c r="J3973" t="s">
        <v>3469</v>
      </c>
      <c r="K3973" t="s">
        <v>3762</v>
      </c>
      <c r="L3973">
        <v>0</v>
      </c>
      <c r="M3973" s="453">
        <v>45615</v>
      </c>
      <c r="N3973">
        <v>8.4600000000000009</v>
      </c>
      <c r="O3973">
        <v>7.75</v>
      </c>
      <c r="P3973">
        <v>67.680000000000007</v>
      </c>
    </row>
    <row r="3974" spans="1:16" x14ac:dyDescent="0.3">
      <c r="A3974">
        <v>12983</v>
      </c>
      <c r="B3974">
        <v>116</v>
      </c>
      <c r="C3974" t="s">
        <v>568</v>
      </c>
      <c r="D3974" s="453">
        <v>45658</v>
      </c>
      <c r="E3974">
        <v>18395</v>
      </c>
      <c r="F3974" t="s">
        <v>4085</v>
      </c>
      <c r="G3974">
        <v>3245</v>
      </c>
      <c r="H3974">
        <v>2</v>
      </c>
      <c r="I3974" t="s">
        <v>3878</v>
      </c>
      <c r="J3974" t="s">
        <v>3497</v>
      </c>
      <c r="K3974" t="s">
        <v>3762</v>
      </c>
      <c r="L3974">
        <v>0</v>
      </c>
      <c r="M3974" s="453">
        <v>45569</v>
      </c>
      <c r="N3974">
        <v>32.43</v>
      </c>
      <c r="O3974">
        <v>34.6</v>
      </c>
      <c r="P3974">
        <v>64.86</v>
      </c>
    </row>
    <row r="3975" spans="1:16" x14ac:dyDescent="0.3">
      <c r="A3975">
        <v>13082</v>
      </c>
      <c r="B3975">
        <v>116</v>
      </c>
      <c r="C3975" t="s">
        <v>568</v>
      </c>
      <c r="D3975" s="453">
        <v>45658</v>
      </c>
      <c r="E3975">
        <v>19264</v>
      </c>
      <c r="F3975" t="s">
        <v>4082</v>
      </c>
      <c r="G3975">
        <v>2781</v>
      </c>
      <c r="H3975">
        <v>1.2</v>
      </c>
      <c r="I3975" t="s">
        <v>3888</v>
      </c>
      <c r="J3975" t="s">
        <v>3469</v>
      </c>
      <c r="K3975" t="s">
        <v>3762</v>
      </c>
      <c r="L3975">
        <v>53.95</v>
      </c>
      <c r="M3975" s="453">
        <v>45652</v>
      </c>
      <c r="N3975">
        <v>49.2</v>
      </c>
      <c r="O3975">
        <v>55.86</v>
      </c>
      <c r="P3975">
        <v>64.739999999999995</v>
      </c>
    </row>
    <row r="3976" spans="1:16" x14ac:dyDescent="0.3">
      <c r="A3976">
        <v>14834</v>
      </c>
      <c r="B3976">
        <v>116</v>
      </c>
      <c r="C3976" t="s">
        <v>568</v>
      </c>
      <c r="D3976" s="453">
        <v>45658</v>
      </c>
      <c r="E3976">
        <v>20682</v>
      </c>
      <c r="F3976" t="s">
        <v>3929</v>
      </c>
      <c r="G3976">
        <v>2106</v>
      </c>
      <c r="H3976">
        <v>8</v>
      </c>
      <c r="I3976" t="s">
        <v>3872</v>
      </c>
      <c r="J3976" t="s">
        <v>3469</v>
      </c>
      <c r="K3976" t="s">
        <v>3762</v>
      </c>
      <c r="L3976">
        <v>7.94</v>
      </c>
      <c r="M3976" s="453">
        <v>45656</v>
      </c>
      <c r="N3976">
        <v>8</v>
      </c>
      <c r="O3976">
        <v>8</v>
      </c>
      <c r="P3976">
        <v>63.52</v>
      </c>
    </row>
    <row r="3977" spans="1:16" x14ac:dyDescent="0.3">
      <c r="A3977">
        <v>14854</v>
      </c>
      <c r="B3977">
        <v>116</v>
      </c>
      <c r="C3977" t="s">
        <v>568</v>
      </c>
      <c r="D3977" s="453">
        <v>45658</v>
      </c>
      <c r="E3977">
        <v>19579</v>
      </c>
      <c r="F3977" t="s">
        <v>4020</v>
      </c>
      <c r="G3977">
        <v>2640</v>
      </c>
      <c r="H3977">
        <v>1</v>
      </c>
      <c r="I3977" t="s">
        <v>3892</v>
      </c>
      <c r="J3977" t="s">
        <v>3469</v>
      </c>
      <c r="K3977" t="s">
        <v>3762</v>
      </c>
      <c r="L3977">
        <v>60</v>
      </c>
      <c r="M3977" s="453">
        <v>45635</v>
      </c>
      <c r="N3977">
        <v>60</v>
      </c>
      <c r="O3977">
        <v>60</v>
      </c>
      <c r="P3977">
        <v>60</v>
      </c>
    </row>
    <row r="3978" spans="1:16" x14ac:dyDescent="0.3">
      <c r="A3978">
        <v>13102</v>
      </c>
      <c r="B3978">
        <v>116</v>
      </c>
      <c r="C3978" t="s">
        <v>568</v>
      </c>
      <c r="D3978" s="453">
        <v>45658</v>
      </c>
      <c r="E3978">
        <v>20117</v>
      </c>
      <c r="F3978" t="s">
        <v>4010</v>
      </c>
      <c r="G3978">
        <v>2291</v>
      </c>
      <c r="H3978">
        <v>1.5</v>
      </c>
      <c r="I3978" t="s">
        <v>3872</v>
      </c>
      <c r="J3978" t="s">
        <v>3469</v>
      </c>
      <c r="K3978" t="s">
        <v>3762</v>
      </c>
      <c r="L3978">
        <v>0</v>
      </c>
      <c r="M3978" s="453">
        <v>45608</v>
      </c>
      <c r="N3978">
        <v>39.33</v>
      </c>
      <c r="O3978">
        <v>37.9</v>
      </c>
      <c r="P3978">
        <v>59</v>
      </c>
    </row>
    <row r="3979" spans="1:16" x14ac:dyDescent="0.3">
      <c r="A3979">
        <v>12993</v>
      </c>
      <c r="B3979">
        <v>116</v>
      </c>
      <c r="C3979" t="s">
        <v>568</v>
      </c>
      <c r="D3979" s="453">
        <v>45658</v>
      </c>
      <c r="E3979">
        <v>18253</v>
      </c>
      <c r="F3979" t="s">
        <v>3947</v>
      </c>
      <c r="G3979">
        <v>3376</v>
      </c>
      <c r="H3979">
        <v>2</v>
      </c>
      <c r="I3979" t="s">
        <v>3878</v>
      </c>
      <c r="J3979" t="s">
        <v>3497</v>
      </c>
      <c r="K3979" t="s">
        <v>3762</v>
      </c>
      <c r="L3979">
        <v>29</v>
      </c>
      <c r="M3979" s="453">
        <v>45639</v>
      </c>
      <c r="N3979">
        <v>29</v>
      </c>
      <c r="O3979">
        <v>28.97</v>
      </c>
      <c r="P3979">
        <v>58</v>
      </c>
    </row>
    <row r="3980" spans="1:16" x14ac:dyDescent="0.3">
      <c r="A3980">
        <v>14835</v>
      </c>
      <c r="B3980">
        <v>116</v>
      </c>
      <c r="C3980" t="s">
        <v>568</v>
      </c>
      <c r="D3980" s="453">
        <v>45658</v>
      </c>
      <c r="E3980">
        <v>25167</v>
      </c>
      <c r="F3980" t="s">
        <v>3951</v>
      </c>
      <c r="G3980">
        <v>5930</v>
      </c>
      <c r="H3980">
        <v>3</v>
      </c>
      <c r="I3980" t="s">
        <v>3892</v>
      </c>
      <c r="J3980" t="s">
        <v>3469</v>
      </c>
      <c r="K3980" t="s">
        <v>3762</v>
      </c>
      <c r="L3980">
        <v>0</v>
      </c>
      <c r="M3980" s="453">
        <v>45622</v>
      </c>
      <c r="N3980">
        <v>18.899999999999999</v>
      </c>
      <c r="O3980">
        <v>17.5</v>
      </c>
      <c r="P3980">
        <v>56.7</v>
      </c>
    </row>
    <row r="3981" spans="1:16" x14ac:dyDescent="0.3">
      <c r="A3981">
        <v>13070</v>
      </c>
      <c r="B3981">
        <v>116</v>
      </c>
      <c r="C3981" t="s">
        <v>568</v>
      </c>
      <c r="D3981" s="453">
        <v>45658</v>
      </c>
      <c r="E3981">
        <v>20809</v>
      </c>
      <c r="F3981" t="s">
        <v>4005</v>
      </c>
      <c r="G3981">
        <v>2074</v>
      </c>
      <c r="H3981">
        <v>2.5</v>
      </c>
      <c r="I3981" t="s">
        <v>3888</v>
      </c>
      <c r="J3981" t="s">
        <v>3469</v>
      </c>
      <c r="K3981" t="s">
        <v>3762</v>
      </c>
      <c r="L3981">
        <v>22.39</v>
      </c>
      <c r="M3981" s="453">
        <v>45636</v>
      </c>
      <c r="N3981">
        <v>22.39</v>
      </c>
      <c r="O3981">
        <v>24.21</v>
      </c>
      <c r="P3981">
        <v>55.98</v>
      </c>
    </row>
    <row r="3982" spans="1:16" x14ac:dyDescent="0.3">
      <c r="A3982">
        <v>13075</v>
      </c>
      <c r="B3982">
        <v>116</v>
      </c>
      <c r="C3982" t="s">
        <v>568</v>
      </c>
      <c r="D3982" s="453">
        <v>45658</v>
      </c>
      <c r="E3982">
        <v>20213</v>
      </c>
      <c r="F3982" t="s">
        <v>4059</v>
      </c>
      <c r="G3982">
        <v>2251</v>
      </c>
      <c r="H3982">
        <v>1.5</v>
      </c>
      <c r="I3982" t="s">
        <v>3888</v>
      </c>
      <c r="J3982" t="s">
        <v>3469</v>
      </c>
      <c r="K3982" t="s">
        <v>3762</v>
      </c>
      <c r="L3982">
        <v>0</v>
      </c>
      <c r="M3982" s="453">
        <v>45595</v>
      </c>
      <c r="N3982">
        <v>37.15</v>
      </c>
      <c r="O3982">
        <v>31.91</v>
      </c>
      <c r="P3982">
        <v>55.72</v>
      </c>
    </row>
    <row r="3983" spans="1:16" x14ac:dyDescent="0.3">
      <c r="A3983">
        <v>13010</v>
      </c>
      <c r="B3983">
        <v>116</v>
      </c>
      <c r="C3983" t="s">
        <v>568</v>
      </c>
      <c r="D3983" s="453">
        <v>45658</v>
      </c>
      <c r="E3983">
        <v>19787</v>
      </c>
      <c r="F3983" t="s">
        <v>3940</v>
      </c>
      <c r="G3983">
        <v>2471</v>
      </c>
      <c r="H3983">
        <v>7.3</v>
      </c>
      <c r="I3983" t="s">
        <v>3892</v>
      </c>
      <c r="J3983" t="s">
        <v>3469</v>
      </c>
      <c r="K3983" t="s">
        <v>3762</v>
      </c>
      <c r="L3983">
        <v>7.47</v>
      </c>
      <c r="M3983" s="453">
        <v>45656</v>
      </c>
      <c r="N3983">
        <v>8.1999999999999993</v>
      </c>
      <c r="O3983">
        <v>8.42</v>
      </c>
      <c r="P3983">
        <v>54.53</v>
      </c>
    </row>
    <row r="3984" spans="1:16" x14ac:dyDescent="0.3">
      <c r="A3984">
        <v>13031</v>
      </c>
      <c r="B3984">
        <v>116</v>
      </c>
      <c r="C3984" t="s">
        <v>568</v>
      </c>
      <c r="D3984" s="453">
        <v>45658</v>
      </c>
      <c r="E3984">
        <v>24326</v>
      </c>
      <c r="F3984" t="s">
        <v>3932</v>
      </c>
      <c r="G3984">
        <v>2499</v>
      </c>
      <c r="H3984">
        <v>12</v>
      </c>
      <c r="I3984" t="s">
        <v>3892</v>
      </c>
      <c r="J3984" t="s">
        <v>3469</v>
      </c>
      <c r="K3984" t="s">
        <v>3762</v>
      </c>
      <c r="L3984">
        <v>4.5</v>
      </c>
      <c r="M3984" s="453">
        <v>45649</v>
      </c>
      <c r="N3984">
        <v>4.5</v>
      </c>
      <c r="O3984">
        <v>3.75</v>
      </c>
      <c r="P3984">
        <v>54</v>
      </c>
    </row>
    <row r="3985" spans="1:16" x14ac:dyDescent="0.3">
      <c r="A3985">
        <v>14869</v>
      </c>
      <c r="B3985">
        <v>116</v>
      </c>
      <c r="C3985" t="s">
        <v>568</v>
      </c>
      <c r="D3985" s="453">
        <v>45658</v>
      </c>
      <c r="E3985">
        <v>21166</v>
      </c>
      <c r="F3985" t="s">
        <v>4001</v>
      </c>
      <c r="G3985">
        <v>1940</v>
      </c>
      <c r="H3985">
        <v>1.5</v>
      </c>
      <c r="I3985" t="s">
        <v>3872</v>
      </c>
      <c r="J3985" t="s">
        <v>3469</v>
      </c>
      <c r="K3985" t="s">
        <v>3762</v>
      </c>
      <c r="L3985">
        <v>0</v>
      </c>
      <c r="M3985" s="453">
        <v>45615</v>
      </c>
      <c r="N3985">
        <v>36</v>
      </c>
      <c r="O3985">
        <v>36</v>
      </c>
      <c r="P3985">
        <v>54</v>
      </c>
    </row>
    <row r="3986" spans="1:16" x14ac:dyDescent="0.3">
      <c r="A3986">
        <v>14867</v>
      </c>
      <c r="B3986">
        <v>116</v>
      </c>
      <c r="C3986" t="s">
        <v>568</v>
      </c>
      <c r="D3986" s="453">
        <v>45658</v>
      </c>
      <c r="E3986">
        <v>20457</v>
      </c>
      <c r="F3986" t="s">
        <v>3999</v>
      </c>
      <c r="G3986">
        <v>2165</v>
      </c>
      <c r="H3986">
        <v>1.8</v>
      </c>
      <c r="I3986" t="s">
        <v>3892</v>
      </c>
      <c r="J3986" t="s">
        <v>3469</v>
      </c>
      <c r="K3986" t="s">
        <v>3762</v>
      </c>
      <c r="L3986">
        <v>29.9</v>
      </c>
      <c r="M3986" s="453">
        <v>45652</v>
      </c>
      <c r="N3986">
        <v>29.9</v>
      </c>
      <c r="O3986">
        <v>29.9</v>
      </c>
      <c r="P3986">
        <v>53.82</v>
      </c>
    </row>
    <row r="3987" spans="1:16" x14ac:dyDescent="0.3">
      <c r="A3987">
        <v>13101</v>
      </c>
      <c r="B3987">
        <v>116</v>
      </c>
      <c r="C3987" t="s">
        <v>568</v>
      </c>
      <c r="D3987" s="453">
        <v>45658</v>
      </c>
      <c r="E3987">
        <v>20661</v>
      </c>
      <c r="F3987" t="s">
        <v>3919</v>
      </c>
      <c r="G3987">
        <v>2110</v>
      </c>
      <c r="H3987">
        <v>6</v>
      </c>
      <c r="I3987" t="s">
        <v>3872</v>
      </c>
      <c r="J3987" t="s">
        <v>3469</v>
      </c>
      <c r="K3987" t="s">
        <v>3762</v>
      </c>
      <c r="L3987">
        <v>8.6999999999999993</v>
      </c>
      <c r="M3987" s="453">
        <v>45637</v>
      </c>
      <c r="N3987">
        <v>8.6999999999999993</v>
      </c>
      <c r="O3987">
        <v>8.7899999999999991</v>
      </c>
      <c r="P3987">
        <v>52.2</v>
      </c>
    </row>
    <row r="3988" spans="1:16" x14ac:dyDescent="0.3">
      <c r="A3988">
        <v>14839</v>
      </c>
      <c r="B3988">
        <v>116</v>
      </c>
      <c r="C3988" t="s">
        <v>568</v>
      </c>
      <c r="D3988" s="453">
        <v>45658</v>
      </c>
      <c r="E3988">
        <v>17942</v>
      </c>
      <c r="F3988" t="s">
        <v>4035</v>
      </c>
      <c r="G3988">
        <v>3630</v>
      </c>
      <c r="H3988">
        <v>4</v>
      </c>
      <c r="I3988" t="s">
        <v>3872</v>
      </c>
      <c r="J3988" t="s">
        <v>3497</v>
      </c>
      <c r="K3988" t="s">
        <v>3762</v>
      </c>
      <c r="L3988">
        <v>0</v>
      </c>
      <c r="M3988" s="453">
        <v>45567</v>
      </c>
      <c r="N3988">
        <v>13</v>
      </c>
      <c r="O3988">
        <v>13</v>
      </c>
      <c r="P3988">
        <v>52</v>
      </c>
    </row>
    <row r="3989" spans="1:16" x14ac:dyDescent="0.3">
      <c r="A3989">
        <v>13038</v>
      </c>
      <c r="B3989">
        <v>116</v>
      </c>
      <c r="C3989" t="s">
        <v>568</v>
      </c>
      <c r="D3989" s="453">
        <v>45658</v>
      </c>
      <c r="E3989">
        <v>19571</v>
      </c>
      <c r="F3989" t="s">
        <v>4422</v>
      </c>
      <c r="G3989">
        <v>2647</v>
      </c>
      <c r="H3989">
        <v>1</v>
      </c>
      <c r="I3989" t="s">
        <v>3892</v>
      </c>
      <c r="J3989" t="s">
        <v>3469</v>
      </c>
      <c r="K3989" t="s">
        <v>3762</v>
      </c>
      <c r="L3989">
        <v>0</v>
      </c>
      <c r="M3989" s="453">
        <v>45454</v>
      </c>
      <c r="N3989">
        <v>51.94</v>
      </c>
      <c r="O3989">
        <v>26</v>
      </c>
      <c r="P3989">
        <v>51.94</v>
      </c>
    </row>
    <row r="3990" spans="1:16" x14ac:dyDescent="0.3">
      <c r="A3990">
        <v>12991</v>
      </c>
      <c r="B3990">
        <v>116</v>
      </c>
      <c r="C3990" t="s">
        <v>568</v>
      </c>
      <c r="D3990" s="453">
        <v>45658</v>
      </c>
      <c r="E3990">
        <v>18273</v>
      </c>
      <c r="F3990" t="s">
        <v>4031</v>
      </c>
      <c r="G3990">
        <v>3357</v>
      </c>
      <c r="H3990">
        <v>1.3</v>
      </c>
      <c r="I3990" t="s">
        <v>3878</v>
      </c>
      <c r="J3990" t="s">
        <v>3497</v>
      </c>
      <c r="K3990" t="s">
        <v>3762</v>
      </c>
      <c r="L3990">
        <v>0</v>
      </c>
      <c r="M3990" s="453">
        <v>-693593</v>
      </c>
      <c r="N3990">
        <v>0</v>
      </c>
      <c r="O3990">
        <v>39.18</v>
      </c>
      <c r="P3990">
        <v>50.93</v>
      </c>
    </row>
    <row r="3991" spans="1:16" x14ac:dyDescent="0.3">
      <c r="A3991">
        <v>12964</v>
      </c>
      <c r="B3991">
        <v>116</v>
      </c>
      <c r="C3991" t="s">
        <v>568</v>
      </c>
      <c r="D3991" s="453">
        <v>45658</v>
      </c>
      <c r="E3991">
        <v>19585</v>
      </c>
      <c r="F3991" t="s">
        <v>4531</v>
      </c>
      <c r="G3991">
        <v>2639</v>
      </c>
      <c r="H3991">
        <v>0.9</v>
      </c>
      <c r="I3991" t="s">
        <v>3966</v>
      </c>
      <c r="J3991" t="s">
        <v>3469</v>
      </c>
      <c r="K3991" t="s">
        <v>3762</v>
      </c>
      <c r="L3991">
        <v>0</v>
      </c>
      <c r="M3991" s="453">
        <v>-693593</v>
      </c>
      <c r="N3991">
        <v>0</v>
      </c>
      <c r="O3991">
        <v>55.7</v>
      </c>
      <c r="P3991">
        <v>50.06</v>
      </c>
    </row>
    <row r="3992" spans="1:16" x14ac:dyDescent="0.3">
      <c r="A3992">
        <v>13017</v>
      </c>
      <c r="B3992">
        <v>116</v>
      </c>
      <c r="C3992" t="s">
        <v>568</v>
      </c>
      <c r="D3992" s="453">
        <v>45658</v>
      </c>
      <c r="E3992">
        <v>24083</v>
      </c>
      <c r="F3992" t="s">
        <v>3898</v>
      </c>
      <c r="G3992">
        <v>2592</v>
      </c>
      <c r="H3992">
        <v>8.5</v>
      </c>
      <c r="I3992" t="s">
        <v>3892</v>
      </c>
      <c r="J3992" t="s">
        <v>3469</v>
      </c>
      <c r="K3992" t="s">
        <v>3762</v>
      </c>
      <c r="L3992">
        <v>5.78</v>
      </c>
      <c r="M3992" s="453">
        <v>45638</v>
      </c>
      <c r="N3992">
        <v>5.5</v>
      </c>
      <c r="O3992">
        <v>5.5</v>
      </c>
      <c r="P3992">
        <v>49.13</v>
      </c>
    </row>
    <row r="3993" spans="1:16" x14ac:dyDescent="0.3">
      <c r="A3993">
        <v>13066</v>
      </c>
      <c r="B3993">
        <v>116</v>
      </c>
      <c r="C3993" t="s">
        <v>568</v>
      </c>
      <c r="D3993" s="453">
        <v>45658</v>
      </c>
      <c r="E3993">
        <v>21093</v>
      </c>
      <c r="F3993" t="s">
        <v>3903</v>
      </c>
      <c r="G3993">
        <v>1988</v>
      </c>
      <c r="H3993">
        <v>10</v>
      </c>
      <c r="I3993" t="s">
        <v>3892</v>
      </c>
      <c r="J3993" t="s">
        <v>3469</v>
      </c>
      <c r="K3993" t="s">
        <v>3762</v>
      </c>
      <c r="L3993">
        <v>4.7699999999999996</v>
      </c>
      <c r="M3993" s="453">
        <v>45636</v>
      </c>
      <c r="N3993">
        <v>4.75</v>
      </c>
      <c r="O3993">
        <v>5.2</v>
      </c>
      <c r="P3993">
        <v>47.7</v>
      </c>
    </row>
    <row r="3994" spans="1:16" x14ac:dyDescent="0.3">
      <c r="A3994">
        <v>13071</v>
      </c>
      <c r="B3994">
        <v>116</v>
      </c>
      <c r="C3994" t="s">
        <v>568</v>
      </c>
      <c r="D3994" s="453">
        <v>45658</v>
      </c>
      <c r="E3994">
        <v>20377</v>
      </c>
      <c r="F3994" t="s">
        <v>4532</v>
      </c>
      <c r="G3994">
        <v>2197</v>
      </c>
      <c r="H3994">
        <v>1</v>
      </c>
      <c r="I3994" t="s">
        <v>3888</v>
      </c>
      <c r="J3994" t="s">
        <v>3469</v>
      </c>
      <c r="K3994" t="s">
        <v>3762</v>
      </c>
      <c r="L3994">
        <v>0</v>
      </c>
      <c r="M3994" s="453">
        <v>-693593</v>
      </c>
      <c r="N3994">
        <v>0</v>
      </c>
      <c r="O3994">
        <v>47.7</v>
      </c>
      <c r="P3994">
        <v>47.7</v>
      </c>
    </row>
    <row r="3995" spans="1:16" x14ac:dyDescent="0.3">
      <c r="A3995">
        <v>13002</v>
      </c>
      <c r="B3995">
        <v>116</v>
      </c>
      <c r="C3995" t="s">
        <v>568</v>
      </c>
      <c r="D3995" s="453">
        <v>45658</v>
      </c>
      <c r="E3995">
        <v>21062</v>
      </c>
      <c r="F3995" t="s">
        <v>4481</v>
      </c>
      <c r="G3995">
        <v>1997</v>
      </c>
      <c r="H3995">
        <v>3</v>
      </c>
      <c r="I3995" t="s">
        <v>3878</v>
      </c>
      <c r="J3995" t="s">
        <v>3469</v>
      </c>
      <c r="K3995" t="s">
        <v>3762</v>
      </c>
      <c r="L3995">
        <v>0</v>
      </c>
      <c r="M3995" s="453">
        <v>-693593</v>
      </c>
      <c r="N3995">
        <v>0</v>
      </c>
      <c r="O3995">
        <v>15.67</v>
      </c>
      <c r="P3995">
        <v>47.01</v>
      </c>
    </row>
    <row r="3996" spans="1:16" x14ac:dyDescent="0.3">
      <c r="A3996">
        <v>13000</v>
      </c>
      <c r="B3996">
        <v>116</v>
      </c>
      <c r="C3996" t="s">
        <v>568</v>
      </c>
      <c r="D3996" s="453">
        <v>45658</v>
      </c>
      <c r="E3996">
        <v>18111</v>
      </c>
      <c r="F3996" t="s">
        <v>4047</v>
      </c>
      <c r="G3996">
        <v>3500</v>
      </c>
      <c r="H3996">
        <v>0.5</v>
      </c>
      <c r="I3996" t="s">
        <v>3878</v>
      </c>
      <c r="J3996" t="s">
        <v>3497</v>
      </c>
      <c r="K3996" t="s">
        <v>3762</v>
      </c>
      <c r="L3996">
        <v>0</v>
      </c>
      <c r="M3996" s="453">
        <v>45559</v>
      </c>
      <c r="N3996">
        <v>92.47</v>
      </c>
      <c r="O3996">
        <v>92.47</v>
      </c>
      <c r="P3996">
        <v>46.24</v>
      </c>
    </row>
    <row r="3997" spans="1:16" x14ac:dyDescent="0.3">
      <c r="A3997">
        <v>12961</v>
      </c>
      <c r="B3997">
        <v>116</v>
      </c>
      <c r="C3997" t="s">
        <v>568</v>
      </c>
      <c r="D3997" s="453">
        <v>45658</v>
      </c>
      <c r="E3997">
        <v>20702</v>
      </c>
      <c r="F3997" t="s">
        <v>4006</v>
      </c>
      <c r="G3997">
        <v>2101</v>
      </c>
      <c r="H3997">
        <v>1</v>
      </c>
      <c r="I3997" t="s">
        <v>3966</v>
      </c>
      <c r="J3997" t="s">
        <v>3469</v>
      </c>
      <c r="K3997" t="s">
        <v>3762</v>
      </c>
      <c r="L3997">
        <v>45.97</v>
      </c>
      <c r="M3997" s="453">
        <v>45649</v>
      </c>
      <c r="N3997">
        <v>53.95</v>
      </c>
      <c r="O3997">
        <v>53.95</v>
      </c>
      <c r="P3997">
        <v>45.97</v>
      </c>
    </row>
    <row r="3998" spans="1:16" x14ac:dyDescent="0.3">
      <c r="A3998">
        <v>14863</v>
      </c>
      <c r="B3998">
        <v>116</v>
      </c>
      <c r="C3998" t="s">
        <v>568</v>
      </c>
      <c r="D3998" s="453">
        <v>45658</v>
      </c>
      <c r="E3998">
        <v>24456</v>
      </c>
      <c r="F3998" t="s">
        <v>4048</v>
      </c>
      <c r="G3998">
        <v>1965</v>
      </c>
      <c r="H3998">
        <v>2</v>
      </c>
      <c r="I3998" t="s">
        <v>3892</v>
      </c>
      <c r="J3998" t="s">
        <v>3469</v>
      </c>
      <c r="K3998" t="s">
        <v>3762</v>
      </c>
      <c r="L3998">
        <v>0</v>
      </c>
      <c r="M3998" s="453">
        <v>45547</v>
      </c>
      <c r="N3998">
        <v>22.95</v>
      </c>
      <c r="O3998">
        <v>22.95</v>
      </c>
      <c r="P3998">
        <v>45.9</v>
      </c>
    </row>
    <row r="3999" spans="1:16" x14ac:dyDescent="0.3">
      <c r="A3999">
        <v>12965</v>
      </c>
      <c r="B3999">
        <v>116</v>
      </c>
      <c r="C3999" t="s">
        <v>568</v>
      </c>
      <c r="D3999" s="453">
        <v>45658</v>
      </c>
      <c r="E3999">
        <v>21085</v>
      </c>
      <c r="F3999" t="s">
        <v>4114</v>
      </c>
      <c r="G3999">
        <v>1989</v>
      </c>
      <c r="H3999">
        <v>1</v>
      </c>
      <c r="I3999" t="s">
        <v>3881</v>
      </c>
      <c r="J3999" t="s">
        <v>3469</v>
      </c>
      <c r="K3999" t="s">
        <v>3762</v>
      </c>
      <c r="L3999">
        <v>0</v>
      </c>
      <c r="M3999" s="453">
        <v>45524</v>
      </c>
      <c r="N3999">
        <v>44.8</v>
      </c>
      <c r="O3999">
        <v>19.3</v>
      </c>
      <c r="P3999">
        <v>44.8</v>
      </c>
    </row>
    <row r="4000" spans="1:16" x14ac:dyDescent="0.3">
      <c r="A4000">
        <v>13003</v>
      </c>
      <c r="B4000">
        <v>116</v>
      </c>
      <c r="C4000" t="s">
        <v>568</v>
      </c>
      <c r="D4000" s="453">
        <v>45658</v>
      </c>
      <c r="E4000">
        <v>20954</v>
      </c>
      <c r="F4000" t="s">
        <v>4452</v>
      </c>
      <c r="G4000">
        <v>2021</v>
      </c>
      <c r="H4000">
        <v>1</v>
      </c>
      <c r="I4000" t="s">
        <v>3878</v>
      </c>
      <c r="J4000" t="s">
        <v>3469</v>
      </c>
      <c r="K4000" t="s">
        <v>3762</v>
      </c>
      <c r="L4000">
        <v>0</v>
      </c>
      <c r="M4000" s="453">
        <v>-693593</v>
      </c>
      <c r="N4000">
        <v>0</v>
      </c>
      <c r="O4000">
        <v>43.99</v>
      </c>
      <c r="P4000">
        <v>43.99</v>
      </c>
    </row>
    <row r="4001" spans="1:16" x14ac:dyDescent="0.3">
      <c r="A4001">
        <v>13035</v>
      </c>
      <c r="B4001">
        <v>116</v>
      </c>
      <c r="C4001" t="s">
        <v>568</v>
      </c>
      <c r="D4001" s="453">
        <v>45658</v>
      </c>
      <c r="E4001">
        <v>19734</v>
      </c>
      <c r="F4001" t="s">
        <v>4533</v>
      </c>
      <c r="G4001">
        <v>2519</v>
      </c>
      <c r="H4001">
        <v>3</v>
      </c>
      <c r="I4001" t="s">
        <v>3892</v>
      </c>
      <c r="J4001" t="s">
        <v>3469</v>
      </c>
      <c r="K4001" t="s">
        <v>3762</v>
      </c>
      <c r="L4001">
        <v>0</v>
      </c>
      <c r="M4001" s="453">
        <v>-693593</v>
      </c>
      <c r="N4001">
        <v>0</v>
      </c>
      <c r="O4001">
        <v>9.8000000000000007</v>
      </c>
      <c r="P4001">
        <v>43.29</v>
      </c>
    </row>
    <row r="4002" spans="1:16" x14ac:dyDescent="0.3">
      <c r="A4002">
        <v>13005</v>
      </c>
      <c r="B4002">
        <v>116</v>
      </c>
      <c r="C4002" t="s">
        <v>568</v>
      </c>
      <c r="D4002" s="453">
        <v>45658</v>
      </c>
      <c r="E4002">
        <v>20508</v>
      </c>
      <c r="F4002" t="s">
        <v>4449</v>
      </c>
      <c r="G4002">
        <v>2153</v>
      </c>
      <c r="H4002">
        <v>1.5</v>
      </c>
      <c r="I4002" t="s">
        <v>3892</v>
      </c>
      <c r="J4002" t="s">
        <v>3469</v>
      </c>
      <c r="K4002" t="s">
        <v>3762</v>
      </c>
      <c r="L4002">
        <v>28</v>
      </c>
      <c r="M4002" s="453">
        <v>45629</v>
      </c>
      <c r="N4002">
        <v>28</v>
      </c>
      <c r="O4002">
        <v>28</v>
      </c>
      <c r="P4002">
        <v>42</v>
      </c>
    </row>
    <row r="4003" spans="1:16" x14ac:dyDescent="0.3">
      <c r="A4003">
        <v>14859</v>
      </c>
      <c r="B4003">
        <v>116</v>
      </c>
      <c r="C4003" t="s">
        <v>568</v>
      </c>
      <c r="D4003" s="453">
        <v>45658</v>
      </c>
      <c r="E4003">
        <v>19565</v>
      </c>
      <c r="F4003" t="s">
        <v>3987</v>
      </c>
      <c r="G4003">
        <v>2652</v>
      </c>
      <c r="H4003">
        <v>1</v>
      </c>
      <c r="I4003" t="s">
        <v>3892</v>
      </c>
      <c r="J4003" t="s">
        <v>3469</v>
      </c>
      <c r="K4003" t="s">
        <v>3762</v>
      </c>
      <c r="L4003">
        <v>40.5</v>
      </c>
      <c r="M4003" s="453">
        <v>45635</v>
      </c>
      <c r="N4003">
        <v>40.5</v>
      </c>
      <c r="O4003">
        <v>40.5</v>
      </c>
      <c r="P4003">
        <v>40.5</v>
      </c>
    </row>
    <row r="4004" spans="1:16" x14ac:dyDescent="0.3">
      <c r="A4004">
        <v>14871</v>
      </c>
      <c r="B4004">
        <v>116</v>
      </c>
      <c r="C4004" t="s">
        <v>568</v>
      </c>
      <c r="D4004" s="453">
        <v>45658</v>
      </c>
      <c r="E4004">
        <v>25769</v>
      </c>
      <c r="F4004" t="s">
        <v>4013</v>
      </c>
      <c r="G4004">
        <v>6318</v>
      </c>
      <c r="H4004">
        <v>1</v>
      </c>
      <c r="I4004" t="s">
        <v>3892</v>
      </c>
      <c r="J4004" t="s">
        <v>3469</v>
      </c>
      <c r="K4004" t="s">
        <v>3762</v>
      </c>
      <c r="L4004">
        <v>0</v>
      </c>
      <c r="M4004" s="453">
        <v>-693593</v>
      </c>
      <c r="N4004">
        <v>0</v>
      </c>
      <c r="O4004">
        <v>40.5</v>
      </c>
      <c r="P4004">
        <v>40.5</v>
      </c>
    </row>
    <row r="4005" spans="1:16" x14ac:dyDescent="0.3">
      <c r="A4005">
        <v>12968</v>
      </c>
      <c r="B4005">
        <v>116</v>
      </c>
      <c r="C4005" t="s">
        <v>568</v>
      </c>
      <c r="D4005" s="453">
        <v>45658</v>
      </c>
      <c r="E4005">
        <v>19982</v>
      </c>
      <c r="F4005" t="s">
        <v>4534</v>
      </c>
      <c r="G4005">
        <v>2351</v>
      </c>
      <c r="H4005">
        <v>7</v>
      </c>
      <c r="I4005" t="s">
        <v>3931</v>
      </c>
      <c r="J4005" t="s">
        <v>3469</v>
      </c>
      <c r="K4005" t="s">
        <v>3762</v>
      </c>
      <c r="L4005">
        <v>0</v>
      </c>
      <c r="M4005" s="453">
        <v>-693593</v>
      </c>
      <c r="N4005">
        <v>0</v>
      </c>
      <c r="O4005">
        <v>5.7</v>
      </c>
      <c r="P4005">
        <v>39.9</v>
      </c>
    </row>
    <row r="4006" spans="1:16" x14ac:dyDescent="0.3">
      <c r="A4006">
        <v>13004</v>
      </c>
      <c r="B4006">
        <v>116</v>
      </c>
      <c r="C4006" t="s">
        <v>568</v>
      </c>
      <c r="D4006" s="453">
        <v>45658</v>
      </c>
      <c r="E4006">
        <v>24328</v>
      </c>
      <c r="F4006" t="s">
        <v>4456</v>
      </c>
      <c r="G4006">
        <v>2146</v>
      </c>
      <c r="H4006">
        <v>1.9</v>
      </c>
      <c r="I4006" t="s">
        <v>3892</v>
      </c>
      <c r="J4006" t="s">
        <v>3469</v>
      </c>
      <c r="K4006" t="s">
        <v>3762</v>
      </c>
      <c r="L4006">
        <v>0</v>
      </c>
      <c r="M4006" s="453">
        <v>-693593</v>
      </c>
      <c r="N4006">
        <v>0</v>
      </c>
      <c r="O4006">
        <v>20.9</v>
      </c>
      <c r="P4006">
        <v>39.71</v>
      </c>
    </row>
    <row r="4007" spans="1:16" x14ac:dyDescent="0.3">
      <c r="A4007">
        <v>13008</v>
      </c>
      <c r="B4007">
        <v>116</v>
      </c>
      <c r="C4007" t="s">
        <v>568</v>
      </c>
      <c r="D4007" s="453">
        <v>45658</v>
      </c>
      <c r="E4007">
        <v>17032</v>
      </c>
      <c r="F4007" t="s">
        <v>4535</v>
      </c>
      <c r="G4007">
        <v>2366</v>
      </c>
      <c r="H4007">
        <v>1</v>
      </c>
      <c r="I4007" t="s">
        <v>3892</v>
      </c>
      <c r="J4007" t="s">
        <v>3469</v>
      </c>
      <c r="K4007" t="s">
        <v>3762</v>
      </c>
      <c r="L4007">
        <v>0</v>
      </c>
      <c r="M4007" s="453">
        <v>-693593</v>
      </c>
      <c r="N4007">
        <v>0</v>
      </c>
      <c r="O4007">
        <v>38.9</v>
      </c>
      <c r="P4007">
        <v>38.9</v>
      </c>
    </row>
    <row r="4008" spans="1:16" x14ac:dyDescent="0.3">
      <c r="A4008">
        <v>12963</v>
      </c>
      <c r="B4008">
        <v>116</v>
      </c>
      <c r="C4008" t="s">
        <v>568</v>
      </c>
      <c r="D4008" s="453">
        <v>45658</v>
      </c>
      <c r="E4008">
        <v>19486</v>
      </c>
      <c r="F4008" t="s">
        <v>4472</v>
      </c>
      <c r="G4008">
        <v>7790</v>
      </c>
      <c r="H4008">
        <v>1</v>
      </c>
      <c r="I4008" t="s">
        <v>3966</v>
      </c>
      <c r="J4008" t="s">
        <v>3469</v>
      </c>
      <c r="K4008" t="s">
        <v>3762</v>
      </c>
      <c r="L4008">
        <v>37.92</v>
      </c>
      <c r="M4008" s="453">
        <v>45636</v>
      </c>
      <c r="N4008">
        <v>37.92</v>
      </c>
      <c r="O4008">
        <v>37.92</v>
      </c>
      <c r="P4008">
        <v>37.92</v>
      </c>
    </row>
    <row r="4009" spans="1:16" x14ac:dyDescent="0.3">
      <c r="A4009">
        <v>12973</v>
      </c>
      <c r="B4009">
        <v>116</v>
      </c>
      <c r="C4009" t="s">
        <v>568</v>
      </c>
      <c r="D4009" s="453">
        <v>45658</v>
      </c>
      <c r="E4009">
        <v>18547</v>
      </c>
      <c r="F4009" t="s">
        <v>3962</v>
      </c>
      <c r="G4009">
        <v>3132</v>
      </c>
      <c r="H4009">
        <v>1</v>
      </c>
      <c r="I4009" t="s">
        <v>3878</v>
      </c>
      <c r="J4009" t="s">
        <v>3497</v>
      </c>
      <c r="K4009" t="s">
        <v>3762</v>
      </c>
      <c r="L4009">
        <v>0</v>
      </c>
      <c r="M4009" s="453">
        <v>-693593</v>
      </c>
      <c r="N4009">
        <v>0</v>
      </c>
      <c r="O4009">
        <v>35.9</v>
      </c>
      <c r="P4009">
        <v>36.9</v>
      </c>
    </row>
    <row r="4010" spans="1:16" x14ac:dyDescent="0.3">
      <c r="A4010">
        <v>13097</v>
      </c>
      <c r="B4010">
        <v>116</v>
      </c>
      <c r="C4010" t="s">
        <v>568</v>
      </c>
      <c r="D4010" s="453">
        <v>45658</v>
      </c>
      <c r="E4010">
        <v>20402</v>
      </c>
      <c r="F4010" t="s">
        <v>4507</v>
      </c>
      <c r="G4010">
        <v>2191</v>
      </c>
      <c r="H4010">
        <v>3</v>
      </c>
      <c r="I4010" t="s">
        <v>3872</v>
      </c>
      <c r="J4010" t="s">
        <v>3469</v>
      </c>
      <c r="K4010" t="s">
        <v>3762</v>
      </c>
      <c r="L4010">
        <v>0</v>
      </c>
      <c r="M4010" s="453">
        <v>-693593</v>
      </c>
      <c r="N4010">
        <v>0</v>
      </c>
      <c r="O4010">
        <v>12.3</v>
      </c>
      <c r="P4010">
        <v>36.9</v>
      </c>
    </row>
    <row r="4011" spans="1:16" x14ac:dyDescent="0.3">
      <c r="A4011">
        <v>13109</v>
      </c>
      <c r="B4011">
        <v>116</v>
      </c>
      <c r="C4011" t="s">
        <v>568</v>
      </c>
      <c r="D4011" s="453">
        <v>45658</v>
      </c>
      <c r="E4011">
        <v>19420</v>
      </c>
      <c r="F4011" t="s">
        <v>3899</v>
      </c>
      <c r="G4011">
        <v>2758</v>
      </c>
      <c r="H4011">
        <v>6</v>
      </c>
      <c r="I4011" t="s">
        <v>3872</v>
      </c>
      <c r="J4011" t="s">
        <v>3469</v>
      </c>
      <c r="K4011" t="s">
        <v>3762</v>
      </c>
      <c r="L4011">
        <v>0</v>
      </c>
      <c r="M4011" s="453">
        <v>45503</v>
      </c>
      <c r="N4011">
        <v>6.05</v>
      </c>
      <c r="O4011">
        <v>5.7</v>
      </c>
      <c r="P4011">
        <v>36.299999999999997</v>
      </c>
    </row>
    <row r="4012" spans="1:16" x14ac:dyDescent="0.3">
      <c r="A4012">
        <v>14846</v>
      </c>
      <c r="B4012">
        <v>116</v>
      </c>
      <c r="C4012" t="s">
        <v>568</v>
      </c>
      <c r="D4012" s="453">
        <v>45658</v>
      </c>
      <c r="E4012">
        <v>20133</v>
      </c>
      <c r="F4012" t="s">
        <v>4461</v>
      </c>
      <c r="G4012">
        <v>2286</v>
      </c>
      <c r="H4012">
        <v>5</v>
      </c>
      <c r="I4012" t="s">
        <v>3888</v>
      </c>
      <c r="J4012" t="s">
        <v>3469</v>
      </c>
      <c r="K4012" t="s">
        <v>3762</v>
      </c>
      <c r="L4012">
        <v>0</v>
      </c>
      <c r="M4012" s="453">
        <v>45623</v>
      </c>
      <c r="N4012">
        <v>7.25</v>
      </c>
      <c r="O4012">
        <v>8.17</v>
      </c>
      <c r="P4012">
        <v>36.25</v>
      </c>
    </row>
    <row r="4013" spans="1:16" x14ac:dyDescent="0.3">
      <c r="A4013">
        <v>14853</v>
      </c>
      <c r="B4013">
        <v>116</v>
      </c>
      <c r="C4013" t="s">
        <v>568</v>
      </c>
      <c r="D4013" s="453">
        <v>45658</v>
      </c>
      <c r="E4013">
        <v>19578</v>
      </c>
      <c r="F4013" t="s">
        <v>3985</v>
      </c>
      <c r="G4013">
        <v>2640</v>
      </c>
      <c r="H4013">
        <v>1</v>
      </c>
      <c r="I4013" t="s">
        <v>3892</v>
      </c>
      <c r="J4013" t="s">
        <v>3469</v>
      </c>
      <c r="K4013" t="s">
        <v>3762</v>
      </c>
      <c r="L4013">
        <v>0</v>
      </c>
      <c r="M4013" s="453">
        <v>45512</v>
      </c>
      <c r="N4013">
        <v>36</v>
      </c>
      <c r="O4013">
        <v>69</v>
      </c>
      <c r="P4013">
        <v>36</v>
      </c>
    </row>
    <row r="4014" spans="1:16" x14ac:dyDescent="0.3">
      <c r="A4014">
        <v>14829</v>
      </c>
      <c r="B4014">
        <v>116</v>
      </c>
      <c r="C4014" t="s">
        <v>568</v>
      </c>
      <c r="D4014" s="453">
        <v>45658</v>
      </c>
      <c r="E4014">
        <v>26193</v>
      </c>
      <c r="F4014" t="s">
        <v>3950</v>
      </c>
      <c r="G4014">
        <v>6616</v>
      </c>
      <c r="H4014">
        <v>3</v>
      </c>
      <c r="I4014" t="s">
        <v>3872</v>
      </c>
      <c r="J4014" t="s">
        <v>3469</v>
      </c>
      <c r="K4014" t="s">
        <v>3762</v>
      </c>
      <c r="L4014">
        <v>0</v>
      </c>
      <c r="M4014" s="453">
        <v>-693593</v>
      </c>
      <c r="N4014">
        <v>0</v>
      </c>
      <c r="O4014">
        <v>0</v>
      </c>
      <c r="P4014">
        <v>35.549999999999997</v>
      </c>
    </row>
    <row r="4015" spans="1:16" x14ac:dyDescent="0.3">
      <c r="A4015">
        <v>13073</v>
      </c>
      <c r="B4015">
        <v>116</v>
      </c>
      <c r="C4015" t="s">
        <v>568</v>
      </c>
      <c r="D4015" s="453">
        <v>45658</v>
      </c>
      <c r="E4015">
        <v>20231</v>
      </c>
      <c r="F4015" t="s">
        <v>4123</v>
      </c>
      <c r="G4015">
        <v>2247</v>
      </c>
      <c r="H4015">
        <v>2</v>
      </c>
      <c r="I4015" t="s">
        <v>3888</v>
      </c>
      <c r="J4015" t="s">
        <v>3469</v>
      </c>
      <c r="K4015" t="s">
        <v>3762</v>
      </c>
      <c r="L4015">
        <v>0</v>
      </c>
      <c r="M4015" s="453">
        <v>45545</v>
      </c>
      <c r="N4015">
        <v>17.7</v>
      </c>
      <c r="O4015">
        <v>19.899999999999999</v>
      </c>
      <c r="P4015">
        <v>35.4</v>
      </c>
    </row>
    <row r="4016" spans="1:16" x14ac:dyDescent="0.3">
      <c r="A4016">
        <v>14851</v>
      </c>
      <c r="B4016">
        <v>116</v>
      </c>
      <c r="C4016" t="s">
        <v>568</v>
      </c>
      <c r="D4016" s="453">
        <v>45658</v>
      </c>
      <c r="E4016">
        <v>20997</v>
      </c>
      <c r="F4016" t="s">
        <v>4511</v>
      </c>
      <c r="G4016">
        <v>2009</v>
      </c>
      <c r="H4016">
        <v>2</v>
      </c>
      <c r="I4016" t="s">
        <v>3872</v>
      </c>
      <c r="J4016" t="s">
        <v>3469</v>
      </c>
      <c r="K4016" t="s">
        <v>3762</v>
      </c>
      <c r="L4016">
        <v>0</v>
      </c>
      <c r="M4016" s="453">
        <v>45398</v>
      </c>
      <c r="N4016">
        <v>17.61</v>
      </c>
      <c r="O4016">
        <v>16.48</v>
      </c>
      <c r="P4016">
        <v>35.22</v>
      </c>
    </row>
    <row r="4017" spans="1:16" x14ac:dyDescent="0.3">
      <c r="A4017">
        <v>13089</v>
      </c>
      <c r="B4017">
        <v>116</v>
      </c>
      <c r="C4017" t="s">
        <v>568</v>
      </c>
      <c r="D4017" s="453">
        <v>45658</v>
      </c>
      <c r="E4017">
        <v>20832</v>
      </c>
      <c r="F4017" t="s">
        <v>4060</v>
      </c>
      <c r="G4017">
        <v>2065</v>
      </c>
      <c r="H4017">
        <v>1</v>
      </c>
      <c r="I4017" t="s">
        <v>3886</v>
      </c>
      <c r="J4017" t="s">
        <v>3469</v>
      </c>
      <c r="K4017" t="s">
        <v>3762</v>
      </c>
      <c r="L4017">
        <v>0</v>
      </c>
      <c r="M4017" s="453">
        <v>45615</v>
      </c>
      <c r="N4017">
        <v>33.9</v>
      </c>
      <c r="O4017">
        <v>33.9</v>
      </c>
      <c r="P4017">
        <v>33.9</v>
      </c>
    </row>
    <row r="4018" spans="1:16" x14ac:dyDescent="0.3">
      <c r="A4018">
        <v>12969</v>
      </c>
      <c r="B4018">
        <v>116</v>
      </c>
      <c r="C4018" t="s">
        <v>568</v>
      </c>
      <c r="D4018" s="453">
        <v>45658</v>
      </c>
      <c r="E4018">
        <v>19973</v>
      </c>
      <c r="F4018" t="s">
        <v>3981</v>
      </c>
      <c r="G4018">
        <v>2354</v>
      </c>
      <c r="H4018">
        <v>2</v>
      </c>
      <c r="I4018" t="s">
        <v>3872</v>
      </c>
      <c r="J4018" t="s">
        <v>3469</v>
      </c>
      <c r="K4018" t="s">
        <v>3762</v>
      </c>
      <c r="L4018">
        <v>0</v>
      </c>
      <c r="M4018" s="453">
        <v>45623</v>
      </c>
      <c r="N4018">
        <v>16</v>
      </c>
      <c r="O4018">
        <v>12.65</v>
      </c>
      <c r="P4018">
        <v>32</v>
      </c>
    </row>
    <row r="4019" spans="1:16" x14ac:dyDescent="0.3">
      <c r="A4019">
        <v>13027</v>
      </c>
      <c r="B4019">
        <v>116</v>
      </c>
      <c r="C4019" t="s">
        <v>568</v>
      </c>
      <c r="D4019" s="453">
        <v>45658</v>
      </c>
      <c r="E4019">
        <v>19613</v>
      </c>
      <c r="F4019" t="s">
        <v>4017</v>
      </c>
      <c r="G4019">
        <v>2620</v>
      </c>
      <c r="H4019">
        <v>3</v>
      </c>
      <c r="I4019" t="s">
        <v>3892</v>
      </c>
      <c r="J4019" t="s">
        <v>3469</v>
      </c>
      <c r="K4019" t="s">
        <v>3762</v>
      </c>
      <c r="L4019">
        <v>10.55</v>
      </c>
      <c r="M4019" s="453">
        <v>45652</v>
      </c>
      <c r="N4019">
        <v>7.43</v>
      </c>
      <c r="O4019">
        <v>14</v>
      </c>
      <c r="P4019">
        <v>31.65</v>
      </c>
    </row>
    <row r="4020" spans="1:16" x14ac:dyDescent="0.3">
      <c r="A4020">
        <v>13064</v>
      </c>
      <c r="B4020">
        <v>116</v>
      </c>
      <c r="C4020" t="s">
        <v>568</v>
      </c>
      <c r="D4020" s="453">
        <v>45658</v>
      </c>
      <c r="E4020">
        <v>23974</v>
      </c>
      <c r="F4020" t="s">
        <v>4536</v>
      </c>
      <c r="G4020">
        <v>4163</v>
      </c>
      <c r="H4020">
        <v>16</v>
      </c>
      <c r="I4020" t="s">
        <v>3872</v>
      </c>
      <c r="J4020" t="s">
        <v>3497</v>
      </c>
      <c r="K4020" t="s">
        <v>3762</v>
      </c>
      <c r="L4020">
        <v>0</v>
      </c>
      <c r="M4020" s="453">
        <v>-693593</v>
      </c>
      <c r="N4020">
        <v>0</v>
      </c>
      <c r="O4020">
        <v>1.9</v>
      </c>
      <c r="P4020">
        <v>30.4</v>
      </c>
    </row>
    <row r="4021" spans="1:16" x14ac:dyDescent="0.3">
      <c r="A4021">
        <v>13030</v>
      </c>
      <c r="B4021">
        <v>116</v>
      </c>
      <c r="C4021" t="s">
        <v>568</v>
      </c>
      <c r="D4021" s="453">
        <v>45658</v>
      </c>
      <c r="E4021">
        <v>19751</v>
      </c>
      <c r="F4021" t="s">
        <v>4019</v>
      </c>
      <c r="G4021">
        <v>2502</v>
      </c>
      <c r="H4021">
        <v>2</v>
      </c>
      <c r="I4021" t="s">
        <v>3892</v>
      </c>
      <c r="J4021" t="s">
        <v>3469</v>
      </c>
      <c r="K4021" t="s">
        <v>3762</v>
      </c>
      <c r="L4021">
        <v>15.19</v>
      </c>
      <c r="M4021" s="453">
        <v>45656</v>
      </c>
      <c r="N4021">
        <v>8.3000000000000007</v>
      </c>
      <c r="O4021">
        <v>8.3000000000000007</v>
      </c>
      <c r="P4021">
        <v>30.38</v>
      </c>
    </row>
    <row r="4022" spans="1:16" x14ac:dyDescent="0.3">
      <c r="A4022">
        <v>13112</v>
      </c>
      <c r="B4022">
        <v>116</v>
      </c>
      <c r="C4022" t="s">
        <v>568</v>
      </c>
      <c r="D4022" s="453">
        <v>45658</v>
      </c>
      <c r="E4022">
        <v>24002</v>
      </c>
      <c r="F4022" t="s">
        <v>3924</v>
      </c>
      <c r="G4022">
        <v>3614</v>
      </c>
      <c r="H4022">
        <v>5</v>
      </c>
      <c r="I4022" t="s">
        <v>3872</v>
      </c>
      <c r="J4022" t="s">
        <v>3497</v>
      </c>
      <c r="K4022" t="s">
        <v>3762</v>
      </c>
      <c r="L4022">
        <v>0</v>
      </c>
      <c r="M4022" s="453">
        <v>45391</v>
      </c>
      <c r="N4022">
        <v>6</v>
      </c>
      <c r="O4022">
        <v>7.3</v>
      </c>
      <c r="P4022">
        <v>30</v>
      </c>
    </row>
    <row r="4023" spans="1:16" x14ac:dyDescent="0.3">
      <c r="A4023">
        <v>14856</v>
      </c>
      <c r="B4023">
        <v>116</v>
      </c>
      <c r="C4023" t="s">
        <v>568</v>
      </c>
      <c r="D4023" s="453">
        <v>45658</v>
      </c>
      <c r="E4023">
        <v>25767</v>
      </c>
      <c r="F4023" t="s">
        <v>3976</v>
      </c>
      <c r="G4023">
        <v>6316</v>
      </c>
      <c r="H4023">
        <v>0.5</v>
      </c>
      <c r="I4023" t="s">
        <v>3892</v>
      </c>
      <c r="J4023" t="s">
        <v>3469</v>
      </c>
      <c r="K4023" t="s">
        <v>3762</v>
      </c>
      <c r="L4023">
        <v>60</v>
      </c>
      <c r="M4023" s="453">
        <v>45635</v>
      </c>
      <c r="N4023">
        <v>60</v>
      </c>
      <c r="O4023">
        <v>60</v>
      </c>
      <c r="P4023">
        <v>30</v>
      </c>
    </row>
    <row r="4024" spans="1:16" x14ac:dyDescent="0.3">
      <c r="A4024">
        <v>13095</v>
      </c>
      <c r="B4024">
        <v>116</v>
      </c>
      <c r="C4024" t="s">
        <v>568</v>
      </c>
      <c r="D4024" s="453">
        <v>45658</v>
      </c>
      <c r="E4024">
        <v>21078</v>
      </c>
      <c r="F4024" t="s">
        <v>4049</v>
      </c>
      <c r="G4024">
        <v>1991</v>
      </c>
      <c r="H4024">
        <v>1</v>
      </c>
      <c r="I4024" t="s">
        <v>3881</v>
      </c>
      <c r="J4024" t="s">
        <v>3469</v>
      </c>
      <c r="K4024" t="s">
        <v>3762</v>
      </c>
      <c r="L4024">
        <v>0</v>
      </c>
      <c r="M4024" s="453">
        <v>-693593</v>
      </c>
      <c r="N4024">
        <v>0</v>
      </c>
      <c r="O4024">
        <v>46</v>
      </c>
      <c r="P4024">
        <v>29.9</v>
      </c>
    </row>
    <row r="4025" spans="1:16" x14ac:dyDescent="0.3">
      <c r="A4025">
        <v>13105</v>
      </c>
      <c r="B4025">
        <v>116</v>
      </c>
      <c r="C4025" t="s">
        <v>568</v>
      </c>
      <c r="D4025" s="453">
        <v>45658</v>
      </c>
      <c r="E4025">
        <v>19907</v>
      </c>
      <c r="F4025" t="s">
        <v>4467</v>
      </c>
      <c r="G4025">
        <v>2381</v>
      </c>
      <c r="H4025">
        <v>10</v>
      </c>
      <c r="I4025" t="s">
        <v>3872</v>
      </c>
      <c r="J4025" t="s">
        <v>3469</v>
      </c>
      <c r="K4025" t="s">
        <v>3762</v>
      </c>
      <c r="L4025">
        <v>2.99</v>
      </c>
      <c r="M4025" s="453">
        <v>45636</v>
      </c>
      <c r="N4025">
        <v>2.99</v>
      </c>
      <c r="O4025">
        <v>3.08</v>
      </c>
      <c r="P4025">
        <v>29.9</v>
      </c>
    </row>
    <row r="4026" spans="1:16" x14ac:dyDescent="0.3">
      <c r="A4026">
        <v>13072</v>
      </c>
      <c r="B4026">
        <v>116</v>
      </c>
      <c r="C4026" t="s">
        <v>568</v>
      </c>
      <c r="D4026" s="453">
        <v>45658</v>
      </c>
      <c r="E4026">
        <v>20358</v>
      </c>
      <c r="F4026" t="s">
        <v>3952</v>
      </c>
      <c r="G4026">
        <v>2200</v>
      </c>
      <c r="H4026">
        <v>2</v>
      </c>
      <c r="I4026" t="s">
        <v>3888</v>
      </c>
      <c r="J4026" t="s">
        <v>3469</v>
      </c>
      <c r="K4026" t="s">
        <v>3762</v>
      </c>
      <c r="L4026">
        <v>14.5</v>
      </c>
      <c r="M4026" s="453">
        <v>45629</v>
      </c>
      <c r="N4026">
        <v>14.5</v>
      </c>
      <c r="O4026">
        <v>14.5</v>
      </c>
      <c r="P4026">
        <v>29</v>
      </c>
    </row>
    <row r="4027" spans="1:16" x14ac:dyDescent="0.3">
      <c r="A4027">
        <v>12974</v>
      </c>
      <c r="B4027">
        <v>116</v>
      </c>
      <c r="C4027" t="s">
        <v>568</v>
      </c>
      <c r="D4027" s="453">
        <v>45658</v>
      </c>
      <c r="E4027">
        <v>18528</v>
      </c>
      <c r="F4027" t="s">
        <v>4108</v>
      </c>
      <c r="G4027">
        <v>3147</v>
      </c>
      <c r="H4027">
        <v>0.5</v>
      </c>
      <c r="I4027" t="s">
        <v>3878</v>
      </c>
      <c r="J4027" t="s">
        <v>3497</v>
      </c>
      <c r="K4027" t="s">
        <v>3762</v>
      </c>
      <c r="L4027">
        <v>0</v>
      </c>
      <c r="M4027" s="453">
        <v>45503</v>
      </c>
      <c r="N4027">
        <v>55.9</v>
      </c>
      <c r="O4027">
        <v>55.9</v>
      </c>
      <c r="P4027">
        <v>27.95</v>
      </c>
    </row>
    <row r="4028" spans="1:16" x14ac:dyDescent="0.3">
      <c r="A4028">
        <v>14855</v>
      </c>
      <c r="B4028">
        <v>116</v>
      </c>
      <c r="C4028" t="s">
        <v>568</v>
      </c>
      <c r="D4028" s="453">
        <v>45658</v>
      </c>
      <c r="E4028">
        <v>19574</v>
      </c>
      <c r="F4028" t="s">
        <v>4077</v>
      </c>
      <c r="G4028">
        <v>2644</v>
      </c>
      <c r="H4028">
        <v>0.5</v>
      </c>
      <c r="I4028" t="s">
        <v>3892</v>
      </c>
      <c r="J4028" t="s">
        <v>3469</v>
      </c>
      <c r="K4028" t="s">
        <v>3762</v>
      </c>
      <c r="L4028">
        <v>0</v>
      </c>
      <c r="M4028" s="453">
        <v>45635</v>
      </c>
      <c r="N4028">
        <v>0</v>
      </c>
      <c r="O4028">
        <v>60</v>
      </c>
      <c r="P4028">
        <v>26.93</v>
      </c>
    </row>
    <row r="4029" spans="1:16" x14ac:dyDescent="0.3">
      <c r="A4029">
        <v>13060</v>
      </c>
      <c r="B4029">
        <v>116</v>
      </c>
      <c r="C4029" t="s">
        <v>568</v>
      </c>
      <c r="D4029" s="453">
        <v>45658</v>
      </c>
      <c r="E4029">
        <v>24403</v>
      </c>
      <c r="F4029" t="s">
        <v>3992</v>
      </c>
      <c r="G4029">
        <v>3049</v>
      </c>
      <c r="H4029">
        <v>2.2000000000000002</v>
      </c>
      <c r="I4029" t="s">
        <v>3892</v>
      </c>
      <c r="J4029" t="s">
        <v>3469</v>
      </c>
      <c r="K4029" t="s">
        <v>3762</v>
      </c>
      <c r="L4029">
        <v>0</v>
      </c>
      <c r="M4029" s="453">
        <v>45538</v>
      </c>
      <c r="N4029">
        <v>12</v>
      </c>
      <c r="O4029">
        <v>12</v>
      </c>
      <c r="P4029">
        <v>26.4</v>
      </c>
    </row>
    <row r="4030" spans="1:16" x14ac:dyDescent="0.3">
      <c r="A4030">
        <v>13016</v>
      </c>
      <c r="B4030">
        <v>116</v>
      </c>
      <c r="C4030" t="s">
        <v>568</v>
      </c>
      <c r="D4030" s="453">
        <v>45658</v>
      </c>
      <c r="E4030">
        <v>19783</v>
      </c>
      <c r="F4030" t="s">
        <v>4016</v>
      </c>
      <c r="G4030">
        <v>2475</v>
      </c>
      <c r="H4030">
        <v>4.5999999999999996</v>
      </c>
      <c r="I4030" t="s">
        <v>3892</v>
      </c>
      <c r="J4030" t="s">
        <v>3469</v>
      </c>
      <c r="K4030" t="s">
        <v>3762</v>
      </c>
      <c r="L4030">
        <v>5.67</v>
      </c>
      <c r="M4030" s="453">
        <v>45656</v>
      </c>
      <c r="N4030">
        <v>5.98</v>
      </c>
      <c r="O4030">
        <v>6.59</v>
      </c>
      <c r="P4030">
        <v>26.08</v>
      </c>
    </row>
    <row r="4031" spans="1:16" x14ac:dyDescent="0.3">
      <c r="A4031">
        <v>13032</v>
      </c>
      <c r="B4031">
        <v>116</v>
      </c>
      <c r="C4031" t="s">
        <v>568</v>
      </c>
      <c r="D4031" s="453">
        <v>45658</v>
      </c>
      <c r="E4031">
        <v>19478</v>
      </c>
      <c r="F4031" t="s">
        <v>4072</v>
      </c>
      <c r="G4031">
        <v>2728</v>
      </c>
      <c r="H4031">
        <v>1</v>
      </c>
      <c r="I4031" t="s">
        <v>3892</v>
      </c>
      <c r="J4031" t="s">
        <v>3469</v>
      </c>
      <c r="K4031" t="s">
        <v>3762</v>
      </c>
      <c r="L4031">
        <v>0</v>
      </c>
      <c r="M4031" s="453">
        <v>45478</v>
      </c>
      <c r="N4031">
        <v>26</v>
      </c>
      <c r="O4031">
        <v>50</v>
      </c>
      <c r="P4031">
        <v>26</v>
      </c>
    </row>
    <row r="4032" spans="1:16" x14ac:dyDescent="0.3">
      <c r="A4032">
        <v>13062</v>
      </c>
      <c r="B4032">
        <v>116</v>
      </c>
      <c r="C4032" t="s">
        <v>568</v>
      </c>
      <c r="D4032" s="453">
        <v>45658</v>
      </c>
      <c r="E4032">
        <v>18666</v>
      </c>
      <c r="F4032" t="s">
        <v>4003</v>
      </c>
      <c r="G4032">
        <v>3053</v>
      </c>
      <c r="H4032">
        <v>1.1000000000000001</v>
      </c>
      <c r="I4032" t="s">
        <v>3892</v>
      </c>
      <c r="J4032" t="s">
        <v>3469</v>
      </c>
      <c r="K4032" t="s">
        <v>3762</v>
      </c>
      <c r="L4032">
        <v>22</v>
      </c>
      <c r="M4032" s="453">
        <v>45636</v>
      </c>
      <c r="N4032">
        <v>22</v>
      </c>
      <c r="O4032">
        <v>29.8</v>
      </c>
      <c r="P4032">
        <v>24.2</v>
      </c>
    </row>
    <row r="4033" spans="1:16" x14ac:dyDescent="0.3">
      <c r="A4033">
        <v>13107</v>
      </c>
      <c r="B4033">
        <v>116</v>
      </c>
      <c r="C4033" t="s">
        <v>568</v>
      </c>
      <c r="D4033" s="453">
        <v>45658</v>
      </c>
      <c r="E4033">
        <v>24394</v>
      </c>
      <c r="F4033" t="s">
        <v>3876</v>
      </c>
      <c r="G4033">
        <v>2753</v>
      </c>
      <c r="H4033">
        <v>50</v>
      </c>
      <c r="I4033" t="s">
        <v>3872</v>
      </c>
      <c r="J4033" t="s">
        <v>3469</v>
      </c>
      <c r="K4033" t="s">
        <v>3762</v>
      </c>
      <c r="L4033">
        <v>0</v>
      </c>
      <c r="M4033" s="453">
        <v>45544</v>
      </c>
      <c r="N4033">
        <v>0.48</v>
      </c>
      <c r="O4033">
        <v>0.7</v>
      </c>
      <c r="P4033">
        <v>24</v>
      </c>
    </row>
    <row r="4034" spans="1:16" x14ac:dyDescent="0.3">
      <c r="A4034">
        <v>14848</v>
      </c>
      <c r="B4034">
        <v>116</v>
      </c>
      <c r="C4034" t="s">
        <v>568</v>
      </c>
      <c r="D4034" s="453">
        <v>45658</v>
      </c>
      <c r="E4034">
        <v>19986</v>
      </c>
      <c r="F4034" t="s">
        <v>4484</v>
      </c>
      <c r="G4034">
        <v>2351</v>
      </c>
      <c r="H4034">
        <v>1</v>
      </c>
      <c r="I4034" t="s">
        <v>3931</v>
      </c>
      <c r="J4034" t="s">
        <v>3469</v>
      </c>
      <c r="K4034" t="s">
        <v>3762</v>
      </c>
      <c r="L4034">
        <v>0</v>
      </c>
      <c r="M4034" s="453">
        <v>45594</v>
      </c>
      <c r="N4034">
        <v>22.95</v>
      </c>
      <c r="O4034">
        <v>22.95</v>
      </c>
      <c r="P4034">
        <v>22.95</v>
      </c>
    </row>
    <row r="4035" spans="1:16" x14ac:dyDescent="0.3">
      <c r="A4035">
        <v>13063</v>
      </c>
      <c r="B4035">
        <v>116</v>
      </c>
      <c r="C4035" t="s">
        <v>568</v>
      </c>
      <c r="D4035" s="453">
        <v>45658</v>
      </c>
      <c r="E4035">
        <v>20607</v>
      </c>
      <c r="F4035" t="s">
        <v>4537</v>
      </c>
      <c r="G4035">
        <v>2120</v>
      </c>
      <c r="H4035">
        <v>1</v>
      </c>
      <c r="I4035" t="s">
        <v>3884</v>
      </c>
      <c r="J4035" t="s">
        <v>3469</v>
      </c>
      <c r="K4035" t="s">
        <v>3762</v>
      </c>
      <c r="L4035">
        <v>0</v>
      </c>
      <c r="M4035" s="453">
        <v>-693593</v>
      </c>
      <c r="N4035">
        <v>0</v>
      </c>
      <c r="O4035">
        <v>22.8</v>
      </c>
      <c r="P4035">
        <v>22.8</v>
      </c>
    </row>
    <row r="4036" spans="1:16" x14ac:dyDescent="0.3">
      <c r="A4036">
        <v>13090</v>
      </c>
      <c r="B4036">
        <v>116</v>
      </c>
      <c r="C4036" t="s">
        <v>568</v>
      </c>
      <c r="D4036" s="453">
        <v>45658</v>
      </c>
      <c r="E4036">
        <v>20871</v>
      </c>
      <c r="F4036" t="s">
        <v>4475</v>
      </c>
      <c r="G4036">
        <v>2043</v>
      </c>
      <c r="H4036">
        <v>1</v>
      </c>
      <c r="I4036" t="s">
        <v>3886</v>
      </c>
      <c r="J4036" t="s">
        <v>3469</v>
      </c>
      <c r="K4036" t="s">
        <v>3762</v>
      </c>
      <c r="L4036">
        <v>0</v>
      </c>
      <c r="M4036" s="453">
        <v>-693593</v>
      </c>
      <c r="N4036">
        <v>0</v>
      </c>
      <c r="O4036">
        <v>30.9</v>
      </c>
      <c r="P4036">
        <v>22</v>
      </c>
    </row>
    <row r="4037" spans="1:16" x14ac:dyDescent="0.3">
      <c r="A4037">
        <v>13009</v>
      </c>
      <c r="B4037">
        <v>116</v>
      </c>
      <c r="C4037" t="s">
        <v>568</v>
      </c>
      <c r="D4037" s="453">
        <v>45658</v>
      </c>
      <c r="E4037">
        <v>24392</v>
      </c>
      <c r="F4037" t="s">
        <v>4041</v>
      </c>
      <c r="G4037">
        <v>2366</v>
      </c>
      <c r="H4037">
        <v>1</v>
      </c>
      <c r="I4037" t="s">
        <v>3892</v>
      </c>
      <c r="J4037" t="s">
        <v>3469</v>
      </c>
      <c r="K4037" t="s">
        <v>3762</v>
      </c>
      <c r="L4037">
        <v>0</v>
      </c>
      <c r="M4037" s="453">
        <v>45524</v>
      </c>
      <c r="N4037">
        <v>21.9</v>
      </c>
      <c r="O4037">
        <v>22.9</v>
      </c>
      <c r="P4037">
        <v>21.9</v>
      </c>
    </row>
    <row r="4038" spans="1:16" x14ac:dyDescent="0.3">
      <c r="A4038">
        <v>13013</v>
      </c>
      <c r="B4038">
        <v>116</v>
      </c>
      <c r="C4038" t="s">
        <v>568</v>
      </c>
      <c r="D4038" s="453">
        <v>45658</v>
      </c>
      <c r="E4038">
        <v>19652</v>
      </c>
      <c r="F4038" t="s">
        <v>4014</v>
      </c>
      <c r="G4038">
        <v>2587</v>
      </c>
      <c r="H4038">
        <v>1</v>
      </c>
      <c r="I4038" t="s">
        <v>3892</v>
      </c>
      <c r="J4038" t="s">
        <v>3469</v>
      </c>
      <c r="K4038" t="s">
        <v>3762</v>
      </c>
      <c r="L4038">
        <v>21.4</v>
      </c>
      <c r="M4038" s="453">
        <v>45649</v>
      </c>
      <c r="N4038">
        <v>32</v>
      </c>
      <c r="O4038">
        <v>30.59</v>
      </c>
      <c r="P4038">
        <v>21.4</v>
      </c>
    </row>
    <row r="4039" spans="1:16" x14ac:dyDescent="0.3">
      <c r="A4039">
        <v>13019</v>
      </c>
      <c r="B4039">
        <v>116</v>
      </c>
      <c r="C4039" t="s">
        <v>568</v>
      </c>
      <c r="D4039" s="453">
        <v>45658</v>
      </c>
      <c r="E4039">
        <v>19638</v>
      </c>
      <c r="F4039" t="s">
        <v>4497</v>
      </c>
      <c r="G4039">
        <v>2598</v>
      </c>
      <c r="H4039">
        <v>3</v>
      </c>
      <c r="I4039" t="s">
        <v>3892</v>
      </c>
      <c r="J4039" t="s">
        <v>3469</v>
      </c>
      <c r="K4039" t="s">
        <v>3762</v>
      </c>
      <c r="L4039">
        <v>6.9</v>
      </c>
      <c r="M4039" s="453">
        <v>45638</v>
      </c>
      <c r="N4039">
        <v>3.5</v>
      </c>
      <c r="O4039">
        <v>4</v>
      </c>
      <c r="P4039">
        <v>20.7</v>
      </c>
    </row>
    <row r="4040" spans="1:16" x14ac:dyDescent="0.3">
      <c r="A4040">
        <v>13042</v>
      </c>
      <c r="B4040">
        <v>116</v>
      </c>
      <c r="C4040" t="s">
        <v>568</v>
      </c>
      <c r="D4040" s="453">
        <v>45658</v>
      </c>
      <c r="E4040">
        <v>19544</v>
      </c>
      <c r="F4040" t="s">
        <v>4473</v>
      </c>
      <c r="G4040">
        <v>2672</v>
      </c>
      <c r="H4040">
        <v>4.2</v>
      </c>
      <c r="I4040" t="s">
        <v>3892</v>
      </c>
      <c r="J4040" t="s">
        <v>3469</v>
      </c>
      <c r="K4040" t="s">
        <v>3762</v>
      </c>
      <c r="L4040">
        <v>0</v>
      </c>
      <c r="M4040" s="453">
        <v>45509</v>
      </c>
      <c r="N4040">
        <v>4.5</v>
      </c>
      <c r="O4040">
        <v>5.32</v>
      </c>
      <c r="P4040">
        <v>18.899999999999999</v>
      </c>
    </row>
    <row r="4041" spans="1:16" x14ac:dyDescent="0.3">
      <c r="A4041">
        <v>13080</v>
      </c>
      <c r="B4041">
        <v>116</v>
      </c>
      <c r="C4041" t="s">
        <v>568</v>
      </c>
      <c r="D4041" s="453">
        <v>45658</v>
      </c>
      <c r="E4041">
        <v>19917</v>
      </c>
      <c r="F4041" t="s">
        <v>3920</v>
      </c>
      <c r="G4041">
        <v>2379</v>
      </c>
      <c r="H4041">
        <v>6</v>
      </c>
      <c r="I4041" t="s">
        <v>3888</v>
      </c>
      <c r="J4041" t="s">
        <v>3469</v>
      </c>
      <c r="K4041" t="s">
        <v>3762</v>
      </c>
      <c r="L4041">
        <v>0</v>
      </c>
      <c r="M4041" s="453">
        <v>45581</v>
      </c>
      <c r="N4041">
        <v>3.09</v>
      </c>
      <c r="O4041">
        <v>3.09</v>
      </c>
      <c r="P4041">
        <v>18.54</v>
      </c>
    </row>
    <row r="4042" spans="1:16" x14ac:dyDescent="0.3">
      <c r="A4042">
        <v>13037</v>
      </c>
      <c r="B4042">
        <v>116</v>
      </c>
      <c r="C4042" t="s">
        <v>568</v>
      </c>
      <c r="D4042" s="453">
        <v>45658</v>
      </c>
      <c r="E4042">
        <v>19572</v>
      </c>
      <c r="F4042" t="s">
        <v>4023</v>
      </c>
      <c r="G4042">
        <v>2646</v>
      </c>
      <c r="H4042">
        <v>1</v>
      </c>
      <c r="I4042" t="s">
        <v>3892</v>
      </c>
      <c r="J4042" t="s">
        <v>3469</v>
      </c>
      <c r="K4042" t="s">
        <v>3762</v>
      </c>
      <c r="L4042">
        <v>16.329999999999998</v>
      </c>
      <c r="M4042" s="453">
        <v>45635</v>
      </c>
      <c r="N4042">
        <v>18.899999999999999</v>
      </c>
      <c r="O4042">
        <v>28</v>
      </c>
      <c r="P4042">
        <v>16.329999999999998</v>
      </c>
    </row>
    <row r="4043" spans="1:16" x14ac:dyDescent="0.3">
      <c r="A4043">
        <v>14828</v>
      </c>
      <c r="B4043">
        <v>116</v>
      </c>
      <c r="C4043" t="s">
        <v>568</v>
      </c>
      <c r="D4043" s="453">
        <v>45658</v>
      </c>
      <c r="E4043">
        <v>20077</v>
      </c>
      <c r="F4043" t="s">
        <v>4054</v>
      </c>
      <c r="G4043">
        <v>2317</v>
      </c>
      <c r="H4043">
        <v>1</v>
      </c>
      <c r="I4043" t="s">
        <v>3888</v>
      </c>
      <c r="J4043" t="s">
        <v>3469</v>
      </c>
      <c r="K4043" t="s">
        <v>3762</v>
      </c>
      <c r="L4043">
        <v>0</v>
      </c>
      <c r="M4043" s="453">
        <v>45615</v>
      </c>
      <c r="N4043">
        <v>15.99</v>
      </c>
      <c r="O4043">
        <v>15.99</v>
      </c>
      <c r="P4043">
        <v>15.99</v>
      </c>
    </row>
    <row r="4044" spans="1:16" x14ac:dyDescent="0.3">
      <c r="A4044">
        <v>13100</v>
      </c>
      <c r="B4044">
        <v>116</v>
      </c>
      <c r="C4044" t="s">
        <v>568</v>
      </c>
      <c r="D4044" s="453">
        <v>45658</v>
      </c>
      <c r="E4044">
        <v>20241</v>
      </c>
      <c r="F4044" t="s">
        <v>4538</v>
      </c>
      <c r="G4044">
        <v>2242</v>
      </c>
      <c r="H4044">
        <v>1</v>
      </c>
      <c r="I4044" t="s">
        <v>3872</v>
      </c>
      <c r="J4044" t="s">
        <v>3469</v>
      </c>
      <c r="K4044" t="s">
        <v>3762</v>
      </c>
      <c r="L4044">
        <v>0</v>
      </c>
      <c r="M4044" s="453">
        <v>-693593</v>
      </c>
      <c r="N4044">
        <v>0</v>
      </c>
      <c r="O4044">
        <v>14.8</v>
      </c>
      <c r="P4044">
        <v>15.02</v>
      </c>
    </row>
    <row r="4045" spans="1:16" x14ac:dyDescent="0.3">
      <c r="A4045">
        <v>13022</v>
      </c>
      <c r="B4045">
        <v>116</v>
      </c>
      <c r="C4045" t="s">
        <v>568</v>
      </c>
      <c r="D4045" s="453">
        <v>45658</v>
      </c>
      <c r="E4045">
        <v>24099</v>
      </c>
      <c r="F4045" t="s">
        <v>4321</v>
      </c>
      <c r="G4045">
        <v>2716</v>
      </c>
      <c r="H4045">
        <v>2</v>
      </c>
      <c r="I4045" t="s">
        <v>3892</v>
      </c>
      <c r="J4045" t="s">
        <v>3469</v>
      </c>
      <c r="K4045" t="s">
        <v>3762</v>
      </c>
      <c r="L4045">
        <v>0</v>
      </c>
      <c r="M4045" s="453">
        <v>-693593</v>
      </c>
      <c r="N4045">
        <v>0</v>
      </c>
      <c r="O4045">
        <v>12.99</v>
      </c>
      <c r="P4045">
        <v>14.4</v>
      </c>
    </row>
    <row r="4046" spans="1:16" x14ac:dyDescent="0.3">
      <c r="A4046">
        <v>14838</v>
      </c>
      <c r="B4046">
        <v>116</v>
      </c>
      <c r="C4046" t="s">
        <v>568</v>
      </c>
      <c r="D4046" s="453">
        <v>45658</v>
      </c>
      <c r="E4046">
        <v>20327</v>
      </c>
      <c r="F4046" t="s">
        <v>4179</v>
      </c>
      <c r="G4046">
        <v>2211</v>
      </c>
      <c r="H4046">
        <v>2</v>
      </c>
      <c r="I4046" t="s">
        <v>3888</v>
      </c>
      <c r="J4046" t="s">
        <v>3469</v>
      </c>
      <c r="K4046" t="s">
        <v>3762</v>
      </c>
      <c r="L4046">
        <v>0</v>
      </c>
      <c r="M4046" s="453">
        <v>-693593</v>
      </c>
      <c r="N4046">
        <v>0</v>
      </c>
      <c r="O4046">
        <v>0</v>
      </c>
      <c r="P4046">
        <v>13.8</v>
      </c>
    </row>
    <row r="4047" spans="1:16" x14ac:dyDescent="0.3">
      <c r="A4047">
        <v>13106</v>
      </c>
      <c r="B4047">
        <v>116</v>
      </c>
      <c r="C4047" t="s">
        <v>568</v>
      </c>
      <c r="D4047" s="453">
        <v>45658</v>
      </c>
      <c r="E4047">
        <v>20949</v>
      </c>
      <c r="F4047" t="s">
        <v>3983</v>
      </c>
      <c r="G4047">
        <v>2023</v>
      </c>
      <c r="H4047">
        <v>2</v>
      </c>
      <c r="I4047" t="s">
        <v>3878</v>
      </c>
      <c r="J4047" t="s">
        <v>3469</v>
      </c>
      <c r="K4047" t="s">
        <v>3762</v>
      </c>
      <c r="L4047">
        <v>0</v>
      </c>
      <c r="M4047" s="453">
        <v>45516</v>
      </c>
      <c r="N4047">
        <v>6.77</v>
      </c>
      <c r="O4047">
        <v>6</v>
      </c>
      <c r="P4047">
        <v>13.54</v>
      </c>
    </row>
    <row r="4048" spans="1:16" x14ac:dyDescent="0.3">
      <c r="A4048">
        <v>13018</v>
      </c>
      <c r="B4048">
        <v>116</v>
      </c>
      <c r="C4048" t="s">
        <v>568</v>
      </c>
      <c r="D4048" s="453">
        <v>45658</v>
      </c>
      <c r="E4048">
        <v>19639</v>
      </c>
      <c r="F4048" t="s">
        <v>4494</v>
      </c>
      <c r="G4048">
        <v>2597</v>
      </c>
      <c r="H4048">
        <v>2.9</v>
      </c>
      <c r="I4048" t="s">
        <v>3892</v>
      </c>
      <c r="J4048" t="s">
        <v>3469</v>
      </c>
      <c r="K4048" t="s">
        <v>3762</v>
      </c>
      <c r="L4048">
        <v>4.66</v>
      </c>
      <c r="M4048" s="453">
        <v>45649</v>
      </c>
      <c r="N4048">
        <v>5</v>
      </c>
      <c r="O4048">
        <v>5</v>
      </c>
      <c r="P4048">
        <v>13.51</v>
      </c>
    </row>
    <row r="4049" spans="1:16" x14ac:dyDescent="0.3">
      <c r="A4049">
        <v>13021</v>
      </c>
      <c r="B4049">
        <v>116</v>
      </c>
      <c r="C4049" t="s">
        <v>568</v>
      </c>
      <c r="D4049" s="453">
        <v>45658</v>
      </c>
      <c r="E4049">
        <v>19634</v>
      </c>
      <c r="F4049" t="s">
        <v>4068</v>
      </c>
      <c r="G4049">
        <v>2602</v>
      </c>
      <c r="H4049">
        <v>2</v>
      </c>
      <c r="I4049" t="s">
        <v>3892</v>
      </c>
      <c r="J4049" t="s">
        <v>3469</v>
      </c>
      <c r="K4049" t="s">
        <v>3762</v>
      </c>
      <c r="L4049">
        <v>6.75</v>
      </c>
      <c r="M4049" s="453">
        <v>45652</v>
      </c>
      <c r="N4049">
        <v>6.75</v>
      </c>
      <c r="O4049">
        <v>6.84</v>
      </c>
      <c r="P4049">
        <v>13.5</v>
      </c>
    </row>
    <row r="4050" spans="1:16" x14ac:dyDescent="0.3">
      <c r="A4050">
        <v>13098</v>
      </c>
      <c r="B4050">
        <v>116</v>
      </c>
      <c r="C4050" t="s">
        <v>568</v>
      </c>
      <c r="D4050" s="453">
        <v>45658</v>
      </c>
      <c r="E4050">
        <v>20359</v>
      </c>
      <c r="F4050" t="s">
        <v>3917</v>
      </c>
      <c r="G4050">
        <v>2199</v>
      </c>
      <c r="H4050">
        <v>3</v>
      </c>
      <c r="I4050" t="s">
        <v>3872</v>
      </c>
      <c r="J4050" t="s">
        <v>3469</v>
      </c>
      <c r="K4050" t="s">
        <v>3762</v>
      </c>
      <c r="L4050">
        <v>0</v>
      </c>
      <c r="M4050" s="453">
        <v>45623</v>
      </c>
      <c r="N4050">
        <v>4.43</v>
      </c>
      <c r="O4050">
        <v>4.59</v>
      </c>
      <c r="P4050">
        <v>13.29</v>
      </c>
    </row>
    <row r="4051" spans="1:16" x14ac:dyDescent="0.3">
      <c r="A4051">
        <v>13078</v>
      </c>
      <c r="B4051">
        <v>116</v>
      </c>
      <c r="C4051" t="s">
        <v>568</v>
      </c>
      <c r="D4051" s="453">
        <v>45658</v>
      </c>
      <c r="E4051">
        <v>19931</v>
      </c>
      <c r="F4051" t="s">
        <v>4470</v>
      </c>
      <c r="G4051">
        <v>2369</v>
      </c>
      <c r="H4051">
        <v>1</v>
      </c>
      <c r="I4051" t="s">
        <v>3888</v>
      </c>
      <c r="J4051" t="s">
        <v>3469</v>
      </c>
      <c r="K4051" t="s">
        <v>3762</v>
      </c>
      <c r="L4051">
        <v>13</v>
      </c>
      <c r="M4051" s="453">
        <v>45629</v>
      </c>
      <c r="N4051">
        <v>13</v>
      </c>
      <c r="O4051">
        <v>13</v>
      </c>
      <c r="P4051">
        <v>13</v>
      </c>
    </row>
    <row r="4052" spans="1:16" x14ac:dyDescent="0.3">
      <c r="A4052">
        <v>13024</v>
      </c>
      <c r="B4052">
        <v>116</v>
      </c>
      <c r="C4052" t="s">
        <v>568</v>
      </c>
      <c r="D4052" s="453">
        <v>45658</v>
      </c>
      <c r="E4052">
        <v>19623</v>
      </c>
      <c r="F4052" t="s">
        <v>3984</v>
      </c>
      <c r="G4052">
        <v>2611</v>
      </c>
      <c r="H4052">
        <v>2.2999999999999998</v>
      </c>
      <c r="I4052" t="s">
        <v>3892</v>
      </c>
      <c r="J4052" t="s">
        <v>3469</v>
      </c>
      <c r="K4052" t="s">
        <v>3762</v>
      </c>
      <c r="L4052">
        <v>5.26</v>
      </c>
      <c r="M4052" s="453">
        <v>45638</v>
      </c>
      <c r="N4052">
        <v>2.89</v>
      </c>
      <c r="O4052">
        <v>6</v>
      </c>
      <c r="P4052">
        <v>12.1</v>
      </c>
    </row>
    <row r="4053" spans="1:16" x14ac:dyDescent="0.3">
      <c r="A4053">
        <v>13011</v>
      </c>
      <c r="B4053">
        <v>116</v>
      </c>
      <c r="C4053" t="s">
        <v>568</v>
      </c>
      <c r="D4053" s="453">
        <v>45658</v>
      </c>
      <c r="E4053">
        <v>19506</v>
      </c>
      <c r="F4053" t="s">
        <v>4112</v>
      </c>
      <c r="G4053">
        <v>2705</v>
      </c>
      <c r="H4053">
        <v>0.2</v>
      </c>
      <c r="I4053" t="s">
        <v>3892</v>
      </c>
      <c r="J4053" t="s">
        <v>3469</v>
      </c>
      <c r="K4053" t="s">
        <v>3762</v>
      </c>
      <c r="L4053">
        <v>55</v>
      </c>
      <c r="M4053" s="453">
        <v>45656</v>
      </c>
      <c r="N4053">
        <v>70</v>
      </c>
      <c r="O4053">
        <v>70</v>
      </c>
      <c r="P4053">
        <v>11</v>
      </c>
    </row>
    <row r="4054" spans="1:16" x14ac:dyDescent="0.3">
      <c r="A4054">
        <v>13015</v>
      </c>
      <c r="B4054">
        <v>116</v>
      </c>
      <c r="C4054" t="s">
        <v>568</v>
      </c>
      <c r="D4054" s="453">
        <v>45658</v>
      </c>
      <c r="E4054">
        <v>19647</v>
      </c>
      <c r="F4054" t="s">
        <v>4066</v>
      </c>
      <c r="G4054">
        <v>2591</v>
      </c>
      <c r="H4054">
        <v>1</v>
      </c>
      <c r="I4054" t="s">
        <v>3892</v>
      </c>
      <c r="J4054" t="s">
        <v>3469</v>
      </c>
      <c r="K4054" t="s">
        <v>3762</v>
      </c>
      <c r="L4054">
        <v>10.8</v>
      </c>
      <c r="M4054" s="453">
        <v>45652</v>
      </c>
      <c r="N4054">
        <v>10.8</v>
      </c>
      <c r="O4054">
        <v>8.48</v>
      </c>
      <c r="P4054">
        <v>10.8</v>
      </c>
    </row>
    <row r="4055" spans="1:16" x14ac:dyDescent="0.3">
      <c r="A4055">
        <v>13040</v>
      </c>
      <c r="B4055">
        <v>116</v>
      </c>
      <c r="C4055" t="s">
        <v>568</v>
      </c>
      <c r="D4055" s="453">
        <v>45658</v>
      </c>
      <c r="E4055">
        <v>19468</v>
      </c>
      <c r="F4055" t="s">
        <v>4079</v>
      </c>
      <c r="G4055">
        <v>2736</v>
      </c>
      <c r="H4055">
        <v>0.96</v>
      </c>
      <c r="I4055" t="s">
        <v>3892</v>
      </c>
      <c r="J4055" t="s">
        <v>3469</v>
      </c>
      <c r="K4055" t="s">
        <v>3762</v>
      </c>
      <c r="L4055">
        <v>10.81</v>
      </c>
      <c r="M4055" s="453">
        <v>45656</v>
      </c>
      <c r="N4055">
        <v>12.95</v>
      </c>
      <c r="O4055">
        <v>12.26</v>
      </c>
      <c r="P4055">
        <v>10.38</v>
      </c>
    </row>
    <row r="4056" spans="1:16" x14ac:dyDescent="0.3">
      <c r="A4056">
        <v>13068</v>
      </c>
      <c r="B4056">
        <v>116</v>
      </c>
      <c r="C4056" t="s">
        <v>568</v>
      </c>
      <c r="D4056" s="453">
        <v>45658</v>
      </c>
      <c r="E4056">
        <v>20287</v>
      </c>
      <c r="F4056" t="s">
        <v>4053</v>
      </c>
      <c r="G4056">
        <v>2229</v>
      </c>
      <c r="H4056">
        <v>0.8</v>
      </c>
      <c r="I4056" t="s">
        <v>3888</v>
      </c>
      <c r="J4056" t="s">
        <v>3469</v>
      </c>
      <c r="K4056" t="s">
        <v>3762</v>
      </c>
      <c r="L4056">
        <v>12.98</v>
      </c>
      <c r="M4056" s="453">
        <v>45636</v>
      </c>
      <c r="N4056">
        <v>12.98</v>
      </c>
      <c r="O4056">
        <v>12.98</v>
      </c>
      <c r="P4056">
        <v>10.38</v>
      </c>
    </row>
    <row r="4057" spans="1:16" x14ac:dyDescent="0.3">
      <c r="A4057">
        <v>13119</v>
      </c>
      <c r="B4057">
        <v>116</v>
      </c>
      <c r="C4057" t="s">
        <v>568</v>
      </c>
      <c r="D4057" s="453">
        <v>45658</v>
      </c>
      <c r="E4057">
        <v>17903</v>
      </c>
      <c r="F4057" t="s">
        <v>3971</v>
      </c>
      <c r="G4057">
        <v>3658</v>
      </c>
      <c r="H4057">
        <v>4.67</v>
      </c>
      <c r="I4057" t="s">
        <v>3888</v>
      </c>
      <c r="J4057" t="s">
        <v>3497</v>
      </c>
      <c r="K4057" t="s">
        <v>3762</v>
      </c>
      <c r="L4057">
        <v>2.19</v>
      </c>
      <c r="M4057" s="453">
        <v>45652</v>
      </c>
      <c r="N4057">
        <v>2.19</v>
      </c>
      <c r="O4057">
        <v>26.28</v>
      </c>
      <c r="P4057">
        <v>10.23</v>
      </c>
    </row>
    <row r="4058" spans="1:16" x14ac:dyDescent="0.3">
      <c r="A4058">
        <v>13012</v>
      </c>
      <c r="B4058">
        <v>116</v>
      </c>
      <c r="C4058" t="s">
        <v>568</v>
      </c>
      <c r="D4058" s="453">
        <v>45658</v>
      </c>
      <c r="E4058">
        <v>19505</v>
      </c>
      <c r="F4058" t="s">
        <v>4101</v>
      </c>
      <c r="G4058">
        <v>2706</v>
      </c>
      <c r="H4058">
        <v>0.6</v>
      </c>
      <c r="I4058" t="s">
        <v>3892</v>
      </c>
      <c r="J4058" t="s">
        <v>3469</v>
      </c>
      <c r="K4058" t="s">
        <v>3762</v>
      </c>
      <c r="L4058">
        <v>15.97</v>
      </c>
      <c r="M4058" s="453">
        <v>45656</v>
      </c>
      <c r="N4058">
        <v>12.3</v>
      </c>
      <c r="O4058">
        <v>12.3</v>
      </c>
      <c r="P4058">
        <v>9.58</v>
      </c>
    </row>
    <row r="4059" spans="1:16" x14ac:dyDescent="0.3">
      <c r="A4059">
        <v>14831</v>
      </c>
      <c r="B4059">
        <v>116</v>
      </c>
      <c r="C4059" t="s">
        <v>568</v>
      </c>
      <c r="D4059" s="453">
        <v>45658</v>
      </c>
      <c r="E4059">
        <v>24185</v>
      </c>
      <c r="F4059" t="s">
        <v>4040</v>
      </c>
      <c r="G4059">
        <v>2331</v>
      </c>
      <c r="H4059">
        <v>1</v>
      </c>
      <c r="I4059" t="s">
        <v>3892</v>
      </c>
      <c r="J4059" t="s">
        <v>3469</v>
      </c>
      <c r="K4059" t="s">
        <v>3762</v>
      </c>
      <c r="L4059">
        <v>0</v>
      </c>
      <c r="M4059" s="453">
        <v>-693593</v>
      </c>
      <c r="N4059">
        <v>0</v>
      </c>
      <c r="O4059">
        <v>0</v>
      </c>
      <c r="P4059">
        <v>8.75</v>
      </c>
    </row>
    <row r="4060" spans="1:16" x14ac:dyDescent="0.3">
      <c r="A4060">
        <v>13033</v>
      </c>
      <c r="B4060">
        <v>116</v>
      </c>
      <c r="C4060" t="s">
        <v>568</v>
      </c>
      <c r="D4060" s="453">
        <v>45658</v>
      </c>
      <c r="E4060">
        <v>19475</v>
      </c>
      <c r="F4060" t="s">
        <v>4111</v>
      </c>
      <c r="G4060">
        <v>2730</v>
      </c>
      <c r="H4060">
        <v>0.3</v>
      </c>
      <c r="I4060" t="s">
        <v>3892</v>
      </c>
      <c r="J4060" t="s">
        <v>3469</v>
      </c>
      <c r="K4060" t="s">
        <v>3762</v>
      </c>
      <c r="L4060">
        <v>28.93</v>
      </c>
      <c r="M4060" s="453">
        <v>45656</v>
      </c>
      <c r="N4060">
        <v>1</v>
      </c>
      <c r="O4060">
        <v>1</v>
      </c>
      <c r="P4060">
        <v>8.68</v>
      </c>
    </row>
    <row r="4061" spans="1:16" x14ac:dyDescent="0.3">
      <c r="A4061">
        <v>14862</v>
      </c>
      <c r="B4061">
        <v>116</v>
      </c>
      <c r="C4061" t="s">
        <v>568</v>
      </c>
      <c r="D4061" s="453">
        <v>45658</v>
      </c>
      <c r="E4061">
        <v>25768</v>
      </c>
      <c r="F4061" t="s">
        <v>4012</v>
      </c>
      <c r="G4061">
        <v>6317</v>
      </c>
      <c r="H4061">
        <v>1.2</v>
      </c>
      <c r="I4061" t="s">
        <v>3892</v>
      </c>
      <c r="J4061" t="s">
        <v>3469</v>
      </c>
      <c r="K4061" t="s">
        <v>3762</v>
      </c>
      <c r="L4061">
        <v>0</v>
      </c>
      <c r="M4061" s="453">
        <v>-693593</v>
      </c>
      <c r="N4061">
        <v>0</v>
      </c>
      <c r="O4061">
        <v>0</v>
      </c>
      <c r="P4061">
        <v>8.2799999999999994</v>
      </c>
    </row>
    <row r="4062" spans="1:16" x14ac:dyDescent="0.3">
      <c r="A4062">
        <v>13020</v>
      </c>
      <c r="B4062">
        <v>116</v>
      </c>
      <c r="C4062" t="s">
        <v>568</v>
      </c>
      <c r="D4062" s="453">
        <v>45658</v>
      </c>
      <c r="E4062">
        <v>19635</v>
      </c>
      <c r="F4062" t="s">
        <v>4539</v>
      </c>
      <c r="G4062">
        <v>2601</v>
      </c>
      <c r="H4062">
        <v>2</v>
      </c>
      <c r="I4062" t="s">
        <v>3892</v>
      </c>
      <c r="J4062" t="s">
        <v>3469</v>
      </c>
      <c r="K4062" t="s">
        <v>3762</v>
      </c>
      <c r="L4062">
        <v>0</v>
      </c>
      <c r="M4062" s="453">
        <v>-693593</v>
      </c>
      <c r="N4062">
        <v>0</v>
      </c>
      <c r="O4062">
        <v>3.91</v>
      </c>
      <c r="P4062">
        <v>7.82</v>
      </c>
    </row>
    <row r="4063" spans="1:16" x14ac:dyDescent="0.3">
      <c r="A4063">
        <v>13041</v>
      </c>
      <c r="B4063">
        <v>116</v>
      </c>
      <c r="C4063" t="s">
        <v>568</v>
      </c>
      <c r="D4063" s="453">
        <v>45658</v>
      </c>
      <c r="E4063">
        <v>19465</v>
      </c>
      <c r="F4063" t="s">
        <v>4080</v>
      </c>
      <c r="G4063">
        <v>2737</v>
      </c>
      <c r="H4063">
        <v>1.3</v>
      </c>
      <c r="I4063" t="s">
        <v>3892</v>
      </c>
      <c r="J4063" t="s">
        <v>3469</v>
      </c>
      <c r="K4063" t="s">
        <v>3762</v>
      </c>
      <c r="L4063">
        <v>6</v>
      </c>
      <c r="M4063" s="453">
        <v>45631</v>
      </c>
      <c r="N4063">
        <v>6</v>
      </c>
      <c r="O4063">
        <v>10.57</v>
      </c>
      <c r="P4063">
        <v>7.8</v>
      </c>
    </row>
    <row r="4064" spans="1:16" x14ac:dyDescent="0.3">
      <c r="A4064">
        <v>12966</v>
      </c>
      <c r="B4064">
        <v>116</v>
      </c>
      <c r="C4064" t="s">
        <v>568</v>
      </c>
      <c r="D4064" s="453">
        <v>45658</v>
      </c>
      <c r="E4064">
        <v>19902</v>
      </c>
      <c r="F4064" t="s">
        <v>3909</v>
      </c>
      <c r="G4064">
        <v>2382</v>
      </c>
      <c r="H4064">
        <v>0.3</v>
      </c>
      <c r="I4064" t="s">
        <v>3881</v>
      </c>
      <c r="J4064" t="s">
        <v>3469</v>
      </c>
      <c r="K4064" t="s">
        <v>3762</v>
      </c>
      <c r="L4064">
        <v>0</v>
      </c>
      <c r="M4064" s="453">
        <v>45560</v>
      </c>
      <c r="N4064">
        <v>23.8</v>
      </c>
      <c r="O4064">
        <v>25.8</v>
      </c>
      <c r="P4064">
        <v>7.14</v>
      </c>
    </row>
    <row r="4065" spans="1:16" x14ac:dyDescent="0.3">
      <c r="A4065">
        <v>13039</v>
      </c>
      <c r="B4065">
        <v>116</v>
      </c>
      <c r="C4065" t="s">
        <v>568</v>
      </c>
      <c r="D4065" s="453">
        <v>45658</v>
      </c>
      <c r="E4065">
        <v>19552</v>
      </c>
      <c r="F4065" t="s">
        <v>4540</v>
      </c>
      <c r="G4065">
        <v>2664</v>
      </c>
      <c r="H4065">
        <v>1</v>
      </c>
      <c r="I4065" t="s">
        <v>3892</v>
      </c>
      <c r="J4065" t="s">
        <v>3469</v>
      </c>
      <c r="K4065" t="s">
        <v>3762</v>
      </c>
      <c r="L4065">
        <v>0</v>
      </c>
      <c r="M4065" s="453">
        <v>45596</v>
      </c>
      <c r="N4065">
        <v>6.4</v>
      </c>
      <c r="O4065">
        <v>4.0599999999999996</v>
      </c>
      <c r="P4065">
        <v>6.4</v>
      </c>
    </row>
    <row r="4066" spans="1:16" x14ac:dyDescent="0.3">
      <c r="A4066">
        <v>13081</v>
      </c>
      <c r="B4066">
        <v>116</v>
      </c>
      <c r="C4066" t="s">
        <v>568</v>
      </c>
      <c r="D4066" s="453">
        <v>45658</v>
      </c>
      <c r="E4066">
        <v>19710</v>
      </c>
      <c r="F4066" t="s">
        <v>4106</v>
      </c>
      <c r="G4066">
        <v>2540</v>
      </c>
      <c r="H4066">
        <v>0.3</v>
      </c>
      <c r="I4066" t="s">
        <v>3888</v>
      </c>
      <c r="J4066" t="s">
        <v>3469</v>
      </c>
      <c r="K4066" t="s">
        <v>3762</v>
      </c>
      <c r="L4066">
        <v>0</v>
      </c>
      <c r="M4066" s="453">
        <v>-693593</v>
      </c>
      <c r="N4066">
        <v>0</v>
      </c>
      <c r="O4066">
        <v>23.9</v>
      </c>
      <c r="P4066">
        <v>6.36</v>
      </c>
    </row>
    <row r="4067" spans="1:16" x14ac:dyDescent="0.3">
      <c r="A4067">
        <v>13036</v>
      </c>
      <c r="B4067">
        <v>116</v>
      </c>
      <c r="C4067" t="s">
        <v>568</v>
      </c>
      <c r="D4067" s="453">
        <v>45658</v>
      </c>
      <c r="E4067">
        <v>19589</v>
      </c>
      <c r="F4067" t="s">
        <v>4153</v>
      </c>
      <c r="G4067">
        <v>2637</v>
      </c>
      <c r="H4067">
        <v>1.5</v>
      </c>
      <c r="I4067" t="s">
        <v>3892</v>
      </c>
      <c r="J4067" t="s">
        <v>3469</v>
      </c>
      <c r="K4067" t="s">
        <v>3762</v>
      </c>
      <c r="L4067">
        <v>4.13</v>
      </c>
      <c r="M4067" s="453">
        <v>45638</v>
      </c>
      <c r="N4067">
        <v>4.4800000000000004</v>
      </c>
      <c r="O4067">
        <v>4.4800000000000004</v>
      </c>
      <c r="P4067">
        <v>6.2</v>
      </c>
    </row>
    <row r="4068" spans="1:16" x14ac:dyDescent="0.3">
      <c r="A4068">
        <v>14827</v>
      </c>
      <c r="B4068">
        <v>116</v>
      </c>
      <c r="C4068" t="s">
        <v>568</v>
      </c>
      <c r="D4068" s="453">
        <v>45658</v>
      </c>
      <c r="E4068">
        <v>19642</v>
      </c>
      <c r="F4068" t="s">
        <v>4067</v>
      </c>
      <c r="G4068">
        <v>2596</v>
      </c>
      <c r="H4068">
        <v>1</v>
      </c>
      <c r="I4068" t="s">
        <v>3892</v>
      </c>
      <c r="J4068" t="s">
        <v>3469</v>
      </c>
      <c r="K4068" t="s">
        <v>3762</v>
      </c>
      <c r="L4068">
        <v>5.8</v>
      </c>
      <c r="M4068" s="453">
        <v>45638</v>
      </c>
      <c r="N4068">
        <v>6</v>
      </c>
      <c r="O4068">
        <v>5.8</v>
      </c>
      <c r="P4068">
        <v>5.8</v>
      </c>
    </row>
    <row r="4069" spans="1:16" x14ac:dyDescent="0.3">
      <c r="A4069">
        <v>13026</v>
      </c>
      <c r="B4069">
        <v>116</v>
      </c>
      <c r="C4069" t="s">
        <v>568</v>
      </c>
      <c r="D4069" s="453">
        <v>45658</v>
      </c>
      <c r="E4069">
        <v>19621</v>
      </c>
      <c r="F4069" t="s">
        <v>4125</v>
      </c>
      <c r="G4069">
        <v>2613</v>
      </c>
      <c r="H4069">
        <v>2</v>
      </c>
      <c r="I4069" t="s">
        <v>3892</v>
      </c>
      <c r="J4069" t="s">
        <v>3469</v>
      </c>
      <c r="K4069" t="s">
        <v>3762</v>
      </c>
      <c r="L4069">
        <v>2.79</v>
      </c>
      <c r="M4069" s="453">
        <v>45638</v>
      </c>
      <c r="N4069">
        <v>2.2000000000000002</v>
      </c>
      <c r="O4069">
        <v>2.6</v>
      </c>
      <c r="P4069">
        <v>5.58</v>
      </c>
    </row>
    <row r="4070" spans="1:16" x14ac:dyDescent="0.3">
      <c r="A4070">
        <v>13023</v>
      </c>
      <c r="B4070">
        <v>116</v>
      </c>
      <c r="C4070" t="s">
        <v>568</v>
      </c>
      <c r="D4070" s="453">
        <v>45658</v>
      </c>
      <c r="E4070">
        <v>19628</v>
      </c>
      <c r="F4070" t="s">
        <v>4515</v>
      </c>
      <c r="G4070">
        <v>2606</v>
      </c>
      <c r="H4070">
        <v>3</v>
      </c>
      <c r="I4070" t="s">
        <v>3892</v>
      </c>
      <c r="J4070" t="s">
        <v>3469</v>
      </c>
      <c r="K4070" t="s">
        <v>3762</v>
      </c>
      <c r="L4070">
        <v>1.69</v>
      </c>
      <c r="M4070" s="453">
        <v>45638</v>
      </c>
      <c r="N4070">
        <v>1.69</v>
      </c>
      <c r="O4070">
        <v>2.5</v>
      </c>
      <c r="P4070">
        <v>5.07</v>
      </c>
    </row>
    <row r="4071" spans="1:16" x14ac:dyDescent="0.3">
      <c r="A4071">
        <v>13043</v>
      </c>
      <c r="B4071">
        <v>116</v>
      </c>
      <c r="C4071" t="s">
        <v>568</v>
      </c>
      <c r="D4071" s="453">
        <v>45658</v>
      </c>
      <c r="E4071">
        <v>24484</v>
      </c>
      <c r="F4071" t="s">
        <v>4154</v>
      </c>
      <c r="G4071">
        <v>2684</v>
      </c>
      <c r="H4071">
        <v>0.5</v>
      </c>
      <c r="I4071" t="s">
        <v>3892</v>
      </c>
      <c r="J4071" t="s">
        <v>3469</v>
      </c>
      <c r="K4071" t="s">
        <v>3762</v>
      </c>
      <c r="L4071">
        <v>9.44</v>
      </c>
      <c r="M4071" s="453">
        <v>45638</v>
      </c>
      <c r="N4071">
        <v>9.44</v>
      </c>
      <c r="O4071">
        <v>9.1</v>
      </c>
      <c r="P4071">
        <v>4.72</v>
      </c>
    </row>
    <row r="4072" spans="1:16" x14ac:dyDescent="0.3">
      <c r="A4072">
        <v>13065</v>
      </c>
      <c r="B4072">
        <v>116</v>
      </c>
      <c r="C4072" t="s">
        <v>568</v>
      </c>
      <c r="D4072" s="453">
        <v>45658</v>
      </c>
      <c r="E4072">
        <v>24599</v>
      </c>
      <c r="F4072" t="s">
        <v>3897</v>
      </c>
      <c r="G4072">
        <v>5676</v>
      </c>
      <c r="H4072">
        <v>1</v>
      </c>
      <c r="I4072" t="s">
        <v>3888</v>
      </c>
      <c r="J4072" t="s">
        <v>3497</v>
      </c>
      <c r="K4072" t="s">
        <v>3762</v>
      </c>
      <c r="L4072">
        <v>4.53</v>
      </c>
      <c r="M4072" s="453">
        <v>45650</v>
      </c>
      <c r="N4072">
        <v>4.53</v>
      </c>
      <c r="O4072">
        <v>4.53</v>
      </c>
      <c r="P4072">
        <v>4.53</v>
      </c>
    </row>
    <row r="4073" spans="1:16" x14ac:dyDescent="0.3">
      <c r="A4073">
        <v>13028</v>
      </c>
      <c r="B4073">
        <v>116</v>
      </c>
      <c r="C4073" t="s">
        <v>568</v>
      </c>
      <c r="D4073" s="453">
        <v>45658</v>
      </c>
      <c r="E4073">
        <v>19607</v>
      </c>
      <c r="F4073" t="s">
        <v>4105</v>
      </c>
      <c r="G4073">
        <v>2623</v>
      </c>
      <c r="H4073">
        <v>0.5</v>
      </c>
      <c r="I4073" t="s">
        <v>3892</v>
      </c>
      <c r="J4073" t="s">
        <v>3469</v>
      </c>
      <c r="K4073" t="s">
        <v>3762</v>
      </c>
      <c r="L4073">
        <v>0</v>
      </c>
      <c r="M4073" s="453">
        <v>45596</v>
      </c>
      <c r="N4073">
        <v>8.5</v>
      </c>
      <c r="O4073">
        <v>16.2</v>
      </c>
      <c r="P4073">
        <v>4.25</v>
      </c>
    </row>
    <row r="4074" spans="1:16" x14ac:dyDescent="0.3">
      <c r="A4074">
        <v>13122</v>
      </c>
      <c r="B4074">
        <v>116</v>
      </c>
      <c r="C4074" t="s">
        <v>568</v>
      </c>
      <c r="D4074" s="453">
        <v>45658</v>
      </c>
      <c r="E4074">
        <v>24467</v>
      </c>
      <c r="F4074" t="s">
        <v>3944</v>
      </c>
      <c r="G4074">
        <v>3673</v>
      </c>
      <c r="H4074">
        <v>2</v>
      </c>
      <c r="I4074" t="s">
        <v>3872</v>
      </c>
      <c r="J4074" t="s">
        <v>3497</v>
      </c>
      <c r="K4074" t="s">
        <v>3762</v>
      </c>
      <c r="L4074">
        <v>0</v>
      </c>
      <c r="M4074" s="453">
        <v>45510</v>
      </c>
      <c r="N4074">
        <v>1.99</v>
      </c>
      <c r="O4074">
        <v>2.19</v>
      </c>
      <c r="P4074">
        <v>3.98</v>
      </c>
    </row>
    <row r="4075" spans="1:16" x14ac:dyDescent="0.3">
      <c r="A4075">
        <v>13077</v>
      </c>
      <c r="B4075">
        <v>116</v>
      </c>
      <c r="C4075" t="s">
        <v>568</v>
      </c>
      <c r="D4075" s="453">
        <v>45658</v>
      </c>
      <c r="E4075">
        <v>19935</v>
      </c>
      <c r="F4075" t="s">
        <v>4469</v>
      </c>
      <c r="G4075">
        <v>2368</v>
      </c>
      <c r="H4075">
        <v>0.5</v>
      </c>
      <c r="I4075" t="s">
        <v>3888</v>
      </c>
      <c r="J4075" t="s">
        <v>3469</v>
      </c>
      <c r="K4075" t="s">
        <v>3762</v>
      </c>
      <c r="L4075">
        <v>6.5</v>
      </c>
      <c r="M4075" s="453">
        <v>45629</v>
      </c>
      <c r="N4075">
        <v>6.5</v>
      </c>
      <c r="O4075">
        <v>6.5</v>
      </c>
      <c r="P4075">
        <v>3.25</v>
      </c>
    </row>
    <row r="4076" spans="1:16" x14ac:dyDescent="0.3">
      <c r="A4076">
        <v>13025</v>
      </c>
      <c r="B4076">
        <v>116</v>
      </c>
      <c r="C4076" t="s">
        <v>568</v>
      </c>
      <c r="D4076" s="453">
        <v>45658</v>
      </c>
      <c r="E4076">
        <v>19488</v>
      </c>
      <c r="F4076" t="s">
        <v>4070</v>
      </c>
      <c r="G4076">
        <v>2720</v>
      </c>
      <c r="H4076">
        <v>0.2</v>
      </c>
      <c r="I4076" t="s">
        <v>3892</v>
      </c>
      <c r="J4076" t="s">
        <v>3469</v>
      </c>
      <c r="K4076" t="s">
        <v>3762</v>
      </c>
      <c r="L4076">
        <v>11.63</v>
      </c>
      <c r="M4076" s="453">
        <v>45656</v>
      </c>
      <c r="N4076">
        <v>13.3</v>
      </c>
      <c r="O4076">
        <v>13.3</v>
      </c>
      <c r="P4076">
        <v>2.33</v>
      </c>
    </row>
    <row r="4077" spans="1:16" x14ac:dyDescent="0.3">
      <c r="A4077">
        <v>14850</v>
      </c>
      <c r="B4077">
        <v>116</v>
      </c>
      <c r="C4077" t="s">
        <v>568</v>
      </c>
      <c r="D4077" s="453">
        <v>45658</v>
      </c>
      <c r="E4077">
        <v>19939</v>
      </c>
      <c r="F4077" t="s">
        <v>4311</v>
      </c>
      <c r="G4077">
        <v>2365</v>
      </c>
      <c r="H4077">
        <v>0.1</v>
      </c>
      <c r="I4077" t="s">
        <v>3892</v>
      </c>
      <c r="J4077" t="s">
        <v>3469</v>
      </c>
      <c r="K4077" t="s">
        <v>3762</v>
      </c>
      <c r="L4077">
        <v>0</v>
      </c>
      <c r="M4077" s="453">
        <v>-693593</v>
      </c>
      <c r="N4077">
        <v>0</v>
      </c>
      <c r="O4077">
        <v>22</v>
      </c>
      <c r="P4077">
        <v>2.2000000000000002</v>
      </c>
    </row>
    <row r="4078" spans="1:16" x14ac:dyDescent="0.3">
      <c r="A4078">
        <v>8246</v>
      </c>
      <c r="B4078">
        <v>116</v>
      </c>
      <c r="C4078" t="s">
        <v>568</v>
      </c>
      <c r="D4078" s="453">
        <v>45627</v>
      </c>
      <c r="E4078">
        <v>18636</v>
      </c>
      <c r="F4078" t="s">
        <v>3921</v>
      </c>
      <c r="G4078">
        <v>3075</v>
      </c>
      <c r="H4078">
        <v>11.8</v>
      </c>
      <c r="I4078" t="s">
        <v>3922</v>
      </c>
      <c r="J4078" t="s">
        <v>3497</v>
      </c>
      <c r="K4078" t="s">
        <v>3799</v>
      </c>
      <c r="L4078">
        <v>429</v>
      </c>
      <c r="M4078" s="453">
        <v>45623</v>
      </c>
      <c r="N4078">
        <v>429</v>
      </c>
      <c r="O4078">
        <v>429</v>
      </c>
      <c r="P4078">
        <v>5062.2</v>
      </c>
    </row>
    <row r="4079" spans="1:16" x14ac:dyDescent="0.3">
      <c r="A4079">
        <v>11038</v>
      </c>
      <c r="B4079">
        <v>116</v>
      </c>
      <c r="C4079" t="s">
        <v>568</v>
      </c>
      <c r="D4079" s="453">
        <v>45627</v>
      </c>
      <c r="E4079">
        <v>18247</v>
      </c>
      <c r="F4079" t="s">
        <v>3877</v>
      </c>
      <c r="G4079">
        <v>3383</v>
      </c>
      <c r="H4079">
        <v>60</v>
      </c>
      <c r="I4079" t="s">
        <v>3878</v>
      </c>
      <c r="J4079" t="s">
        <v>3497</v>
      </c>
      <c r="K4079" t="s">
        <v>3799</v>
      </c>
      <c r="L4079">
        <v>0</v>
      </c>
      <c r="M4079" s="453">
        <v>-693593</v>
      </c>
      <c r="N4079">
        <v>0</v>
      </c>
      <c r="O4079">
        <v>0</v>
      </c>
      <c r="P4079">
        <v>3984</v>
      </c>
    </row>
    <row r="4080" spans="1:16" x14ac:dyDescent="0.3">
      <c r="A4080">
        <v>8252</v>
      </c>
      <c r="B4080">
        <v>116</v>
      </c>
      <c r="C4080" t="s">
        <v>568</v>
      </c>
      <c r="D4080" s="453">
        <v>45627</v>
      </c>
      <c r="E4080">
        <v>18450</v>
      </c>
      <c r="F4080" t="s">
        <v>4253</v>
      </c>
      <c r="G4080">
        <v>3202</v>
      </c>
      <c r="H4080">
        <v>48.5</v>
      </c>
      <c r="I4080" t="s">
        <v>3878</v>
      </c>
      <c r="J4080" t="s">
        <v>3497</v>
      </c>
      <c r="K4080" t="s">
        <v>3799</v>
      </c>
      <c r="L4080">
        <v>0</v>
      </c>
      <c r="M4080" s="453">
        <v>45407</v>
      </c>
      <c r="N4080">
        <v>68.599999999999994</v>
      </c>
      <c r="O4080">
        <v>68.599999999999994</v>
      </c>
      <c r="P4080">
        <v>3327.1</v>
      </c>
    </row>
    <row r="4081" spans="1:16" x14ac:dyDescent="0.3">
      <c r="A4081">
        <v>8289</v>
      </c>
      <c r="B4081">
        <v>116</v>
      </c>
      <c r="C4081" t="s">
        <v>568</v>
      </c>
      <c r="D4081" s="453">
        <v>45627</v>
      </c>
      <c r="E4081">
        <v>20703</v>
      </c>
      <c r="F4081" t="s">
        <v>3893</v>
      </c>
      <c r="G4081">
        <v>2100</v>
      </c>
      <c r="H4081">
        <v>57</v>
      </c>
      <c r="I4081" t="s">
        <v>3886</v>
      </c>
      <c r="J4081" t="s">
        <v>3469</v>
      </c>
      <c r="K4081" t="s">
        <v>3799</v>
      </c>
      <c r="L4081">
        <v>0</v>
      </c>
      <c r="M4081" s="453">
        <v>45499</v>
      </c>
      <c r="N4081">
        <v>29.99</v>
      </c>
      <c r="O4081">
        <v>29.99</v>
      </c>
      <c r="P4081">
        <v>1709.43</v>
      </c>
    </row>
    <row r="4082" spans="1:16" x14ac:dyDescent="0.3">
      <c r="A4082">
        <v>8320</v>
      </c>
      <c r="B4082">
        <v>116</v>
      </c>
      <c r="C4082" t="s">
        <v>568</v>
      </c>
      <c r="D4082" s="453">
        <v>45627</v>
      </c>
      <c r="E4082">
        <v>20621</v>
      </c>
      <c r="F4082" t="s">
        <v>3885</v>
      </c>
      <c r="G4082">
        <v>2117</v>
      </c>
      <c r="H4082">
        <v>86</v>
      </c>
      <c r="I4082" t="s">
        <v>3886</v>
      </c>
      <c r="J4082" t="s">
        <v>3469</v>
      </c>
      <c r="K4082" t="s">
        <v>3799</v>
      </c>
      <c r="L4082">
        <v>0</v>
      </c>
      <c r="M4082" s="453">
        <v>45524</v>
      </c>
      <c r="N4082">
        <v>16.600000000000001</v>
      </c>
      <c r="O4082">
        <v>23.47</v>
      </c>
      <c r="P4082">
        <v>1427.6</v>
      </c>
    </row>
    <row r="4083" spans="1:16" x14ac:dyDescent="0.3">
      <c r="A4083">
        <v>8378</v>
      </c>
      <c r="B4083">
        <v>116</v>
      </c>
      <c r="C4083" t="s">
        <v>568</v>
      </c>
      <c r="D4083" s="453">
        <v>45627</v>
      </c>
      <c r="E4083">
        <v>18764</v>
      </c>
      <c r="F4083" t="s">
        <v>3907</v>
      </c>
      <c r="G4083">
        <v>3001</v>
      </c>
      <c r="H4083">
        <v>12</v>
      </c>
      <c r="I4083" t="s">
        <v>3892</v>
      </c>
      <c r="J4083" t="s">
        <v>3469</v>
      </c>
      <c r="K4083" t="s">
        <v>3799</v>
      </c>
      <c r="L4083">
        <v>89.9</v>
      </c>
      <c r="M4083" s="453">
        <v>45615</v>
      </c>
      <c r="N4083">
        <v>89.9</v>
      </c>
      <c r="O4083">
        <v>89.9</v>
      </c>
      <c r="P4083">
        <v>1078.8</v>
      </c>
    </row>
    <row r="4084" spans="1:16" x14ac:dyDescent="0.3">
      <c r="A4084">
        <v>11040</v>
      </c>
      <c r="B4084">
        <v>116</v>
      </c>
      <c r="C4084" t="s">
        <v>568</v>
      </c>
      <c r="D4084" s="453">
        <v>45627</v>
      </c>
      <c r="E4084">
        <v>18749</v>
      </c>
      <c r="F4084" t="s">
        <v>4541</v>
      </c>
      <c r="G4084">
        <v>3012</v>
      </c>
      <c r="H4084">
        <v>8</v>
      </c>
      <c r="I4084" t="s">
        <v>3892</v>
      </c>
      <c r="J4084" t="s">
        <v>3469</v>
      </c>
      <c r="K4084" t="s">
        <v>3799</v>
      </c>
      <c r="L4084">
        <v>0</v>
      </c>
      <c r="M4084" s="453">
        <v>-693593</v>
      </c>
      <c r="N4084">
        <v>0</v>
      </c>
      <c r="O4084">
        <v>0</v>
      </c>
      <c r="P4084">
        <v>720</v>
      </c>
    </row>
    <row r="4085" spans="1:16" x14ac:dyDescent="0.3">
      <c r="A4085">
        <v>8383</v>
      </c>
      <c r="B4085">
        <v>116</v>
      </c>
      <c r="C4085" t="s">
        <v>568</v>
      </c>
      <c r="D4085" s="453">
        <v>45627</v>
      </c>
      <c r="E4085">
        <v>18832</v>
      </c>
      <c r="F4085" t="s">
        <v>3900</v>
      </c>
      <c r="G4085">
        <v>2950</v>
      </c>
      <c r="H4085">
        <v>13.5</v>
      </c>
      <c r="I4085" t="s">
        <v>3892</v>
      </c>
      <c r="J4085" t="s">
        <v>3469</v>
      </c>
      <c r="K4085" t="s">
        <v>3799</v>
      </c>
      <c r="L4085">
        <v>47.6</v>
      </c>
      <c r="M4085" s="453">
        <v>45622</v>
      </c>
      <c r="N4085">
        <v>46.8</v>
      </c>
      <c r="O4085">
        <v>47</v>
      </c>
      <c r="P4085">
        <v>642.6</v>
      </c>
    </row>
    <row r="4086" spans="1:16" x14ac:dyDescent="0.3">
      <c r="A4086">
        <v>11039</v>
      </c>
      <c r="B4086">
        <v>116</v>
      </c>
      <c r="C4086" t="s">
        <v>568</v>
      </c>
      <c r="D4086" s="453">
        <v>45627</v>
      </c>
      <c r="E4086">
        <v>18790</v>
      </c>
      <c r="F4086" t="s">
        <v>4542</v>
      </c>
      <c r="G4086">
        <v>2983</v>
      </c>
      <c r="H4086">
        <v>6</v>
      </c>
      <c r="I4086" t="s">
        <v>3872</v>
      </c>
      <c r="J4086" t="s">
        <v>3469</v>
      </c>
      <c r="K4086" t="s">
        <v>3799</v>
      </c>
      <c r="L4086">
        <v>0</v>
      </c>
      <c r="M4086" s="453">
        <v>45447</v>
      </c>
      <c r="N4086">
        <v>2450</v>
      </c>
      <c r="O4086">
        <v>2450</v>
      </c>
      <c r="P4086">
        <v>600</v>
      </c>
    </row>
    <row r="4087" spans="1:16" x14ac:dyDescent="0.3">
      <c r="A4087">
        <v>8245</v>
      </c>
      <c r="B4087">
        <v>116</v>
      </c>
      <c r="C4087" t="s">
        <v>568</v>
      </c>
      <c r="D4087" s="453">
        <v>45627</v>
      </c>
      <c r="E4087">
        <v>18640</v>
      </c>
      <c r="F4087" t="s">
        <v>3994</v>
      </c>
      <c r="G4087">
        <v>3074</v>
      </c>
      <c r="H4087">
        <v>2.2000000000000002</v>
      </c>
      <c r="I4087" t="s">
        <v>3922</v>
      </c>
      <c r="J4087" t="s">
        <v>3497</v>
      </c>
      <c r="K4087" t="s">
        <v>3799</v>
      </c>
      <c r="L4087">
        <v>265.8</v>
      </c>
      <c r="M4087" s="453">
        <v>45623</v>
      </c>
      <c r="N4087">
        <v>265.8</v>
      </c>
      <c r="O4087">
        <v>265.8</v>
      </c>
      <c r="P4087">
        <v>584.76</v>
      </c>
    </row>
    <row r="4088" spans="1:16" x14ac:dyDescent="0.3">
      <c r="A4088">
        <v>8255</v>
      </c>
      <c r="B4088">
        <v>116</v>
      </c>
      <c r="C4088" t="s">
        <v>568</v>
      </c>
      <c r="D4088" s="453">
        <v>45627</v>
      </c>
      <c r="E4088">
        <v>18475</v>
      </c>
      <c r="F4088" t="s">
        <v>3918</v>
      </c>
      <c r="G4088">
        <v>3181</v>
      </c>
      <c r="H4088">
        <v>14.5</v>
      </c>
      <c r="I4088" t="s">
        <v>3878</v>
      </c>
      <c r="J4088" t="s">
        <v>3497</v>
      </c>
      <c r="K4088" t="s">
        <v>3799</v>
      </c>
      <c r="L4088">
        <v>32.9</v>
      </c>
      <c r="M4088" s="453">
        <v>45616</v>
      </c>
      <c r="N4088">
        <v>32.9</v>
      </c>
      <c r="O4088">
        <v>32.9</v>
      </c>
      <c r="P4088">
        <v>477.05</v>
      </c>
    </row>
    <row r="4089" spans="1:16" x14ac:dyDescent="0.3">
      <c r="A4089">
        <v>11041</v>
      </c>
      <c r="B4089">
        <v>116</v>
      </c>
      <c r="C4089" t="s">
        <v>568</v>
      </c>
      <c r="D4089" s="453">
        <v>45627</v>
      </c>
      <c r="E4089">
        <v>25541</v>
      </c>
      <c r="F4089" t="s">
        <v>4330</v>
      </c>
      <c r="G4089">
        <v>6160</v>
      </c>
      <c r="H4089">
        <v>13</v>
      </c>
      <c r="I4089" t="s">
        <v>3892</v>
      </c>
      <c r="J4089" t="s">
        <v>3469</v>
      </c>
      <c r="K4089" t="s">
        <v>3799</v>
      </c>
      <c r="L4089">
        <v>0</v>
      </c>
      <c r="M4089" s="453">
        <v>-693593</v>
      </c>
      <c r="N4089">
        <v>0</v>
      </c>
      <c r="O4089">
        <v>0</v>
      </c>
      <c r="P4089">
        <v>438.92</v>
      </c>
    </row>
    <row r="4090" spans="1:16" x14ac:dyDescent="0.3">
      <c r="A4090">
        <v>8354</v>
      </c>
      <c r="B4090">
        <v>116</v>
      </c>
      <c r="C4090" t="s">
        <v>568</v>
      </c>
      <c r="D4090" s="453">
        <v>45627</v>
      </c>
      <c r="E4090">
        <v>23095</v>
      </c>
      <c r="F4090" t="s">
        <v>3882</v>
      </c>
      <c r="G4090">
        <v>2754</v>
      </c>
      <c r="H4090">
        <v>23</v>
      </c>
      <c r="I4090" t="s">
        <v>3872</v>
      </c>
      <c r="J4090" t="s">
        <v>3469</v>
      </c>
      <c r="K4090" t="s">
        <v>3799</v>
      </c>
      <c r="L4090">
        <v>18.899999999999999</v>
      </c>
      <c r="M4090" s="453">
        <v>45624</v>
      </c>
      <c r="N4090">
        <v>18.899999999999999</v>
      </c>
      <c r="O4090">
        <v>0.91</v>
      </c>
      <c r="P4090">
        <v>434.7</v>
      </c>
    </row>
    <row r="4091" spans="1:16" x14ac:dyDescent="0.3">
      <c r="A4091">
        <v>8304</v>
      </c>
      <c r="B4091">
        <v>116</v>
      </c>
      <c r="C4091" t="s">
        <v>568</v>
      </c>
      <c r="D4091" s="453">
        <v>45627</v>
      </c>
      <c r="E4091">
        <v>20500</v>
      </c>
      <c r="F4091" t="s">
        <v>3954</v>
      </c>
      <c r="G4091">
        <v>2154</v>
      </c>
      <c r="H4091">
        <v>6.5</v>
      </c>
      <c r="I4091" t="s">
        <v>3872</v>
      </c>
      <c r="J4091" t="s">
        <v>3469</v>
      </c>
      <c r="K4091" t="s">
        <v>3799</v>
      </c>
      <c r="L4091">
        <v>65.349999999999994</v>
      </c>
      <c r="M4091" s="453">
        <v>45623</v>
      </c>
      <c r="N4091">
        <v>24.8</v>
      </c>
      <c r="O4091">
        <v>24.8</v>
      </c>
      <c r="P4091">
        <v>424.78</v>
      </c>
    </row>
    <row r="4092" spans="1:16" x14ac:dyDescent="0.3">
      <c r="A4092">
        <v>8253</v>
      </c>
      <c r="B4092">
        <v>116</v>
      </c>
      <c r="C4092" t="s">
        <v>568</v>
      </c>
      <c r="D4092" s="453">
        <v>45627</v>
      </c>
      <c r="E4092">
        <v>18493</v>
      </c>
      <c r="F4092" t="s">
        <v>3958</v>
      </c>
      <c r="G4092">
        <v>3164</v>
      </c>
      <c r="H4092">
        <v>6</v>
      </c>
      <c r="I4092" t="s">
        <v>3878</v>
      </c>
      <c r="J4092" t="s">
        <v>3497</v>
      </c>
      <c r="K4092" t="s">
        <v>3799</v>
      </c>
      <c r="L4092">
        <v>0</v>
      </c>
      <c r="M4092" s="453">
        <v>45594</v>
      </c>
      <c r="N4092">
        <v>69.900000000000006</v>
      </c>
      <c r="O4092">
        <v>69.900000000000006</v>
      </c>
      <c r="P4092">
        <v>419.4</v>
      </c>
    </row>
    <row r="4093" spans="1:16" x14ac:dyDescent="0.3">
      <c r="A4093">
        <v>8271</v>
      </c>
      <c r="B4093">
        <v>116</v>
      </c>
      <c r="C4093" t="s">
        <v>568</v>
      </c>
      <c r="D4093" s="453">
        <v>45627</v>
      </c>
      <c r="E4093">
        <v>18194</v>
      </c>
      <c r="F4093" t="s">
        <v>4490</v>
      </c>
      <c r="G4093">
        <v>3430</v>
      </c>
      <c r="H4093">
        <v>6.2</v>
      </c>
      <c r="I4093" t="s">
        <v>3878</v>
      </c>
      <c r="J4093" t="s">
        <v>3497</v>
      </c>
      <c r="K4093" t="s">
        <v>3799</v>
      </c>
      <c r="L4093">
        <v>66.95</v>
      </c>
      <c r="M4093" s="453">
        <v>45622</v>
      </c>
      <c r="N4093">
        <v>68.900000000000006</v>
      </c>
      <c r="O4093">
        <v>68.900000000000006</v>
      </c>
      <c r="P4093">
        <v>415.09</v>
      </c>
    </row>
    <row r="4094" spans="1:16" x14ac:dyDescent="0.3">
      <c r="A4094">
        <v>8379</v>
      </c>
      <c r="B4094">
        <v>116</v>
      </c>
      <c r="C4094" t="s">
        <v>568</v>
      </c>
      <c r="D4094" s="453">
        <v>45627</v>
      </c>
      <c r="E4094">
        <v>24259</v>
      </c>
      <c r="F4094" t="s">
        <v>3895</v>
      </c>
      <c r="G4094">
        <v>2938</v>
      </c>
      <c r="H4094">
        <v>4.5</v>
      </c>
      <c r="I4094" t="s">
        <v>3892</v>
      </c>
      <c r="J4094" t="s">
        <v>3469</v>
      </c>
      <c r="K4094" t="s">
        <v>3799</v>
      </c>
      <c r="L4094">
        <v>0</v>
      </c>
      <c r="M4094" s="453">
        <v>-693593</v>
      </c>
      <c r="N4094">
        <v>0</v>
      </c>
      <c r="O4094">
        <v>83.5</v>
      </c>
      <c r="P4094">
        <v>375.75</v>
      </c>
    </row>
    <row r="4095" spans="1:16" x14ac:dyDescent="0.3">
      <c r="A4095">
        <v>8380</v>
      </c>
      <c r="B4095">
        <v>116</v>
      </c>
      <c r="C4095" t="s">
        <v>568</v>
      </c>
      <c r="D4095" s="453">
        <v>45627</v>
      </c>
      <c r="E4095">
        <v>18685</v>
      </c>
      <c r="F4095" t="s">
        <v>3945</v>
      </c>
      <c r="G4095">
        <v>3040</v>
      </c>
      <c r="H4095">
        <v>10.6</v>
      </c>
      <c r="I4095" t="s">
        <v>3892</v>
      </c>
      <c r="J4095" t="s">
        <v>3469</v>
      </c>
      <c r="K4095" t="s">
        <v>3799</v>
      </c>
      <c r="L4095">
        <v>35</v>
      </c>
      <c r="M4095" s="453">
        <v>45621</v>
      </c>
      <c r="N4095">
        <v>35</v>
      </c>
      <c r="O4095">
        <v>35</v>
      </c>
      <c r="P4095">
        <v>371</v>
      </c>
    </row>
    <row r="4096" spans="1:16" x14ac:dyDescent="0.3">
      <c r="A4096">
        <v>8281</v>
      </c>
      <c r="B4096">
        <v>116</v>
      </c>
      <c r="C4096" t="s">
        <v>568</v>
      </c>
      <c r="D4096" s="453">
        <v>45627</v>
      </c>
      <c r="E4096">
        <v>21047</v>
      </c>
      <c r="F4096" t="s">
        <v>4522</v>
      </c>
      <c r="G4096">
        <v>1999</v>
      </c>
      <c r="H4096">
        <v>2</v>
      </c>
      <c r="I4096" t="s">
        <v>3978</v>
      </c>
      <c r="J4096" t="s">
        <v>3469</v>
      </c>
      <c r="K4096" t="s">
        <v>3799</v>
      </c>
      <c r="L4096">
        <v>0</v>
      </c>
      <c r="M4096" s="453">
        <v>-693593</v>
      </c>
      <c r="N4096">
        <v>0</v>
      </c>
      <c r="O4096">
        <v>184.9</v>
      </c>
      <c r="P4096">
        <v>369.8</v>
      </c>
    </row>
    <row r="4097" spans="1:16" x14ac:dyDescent="0.3">
      <c r="A4097">
        <v>8392</v>
      </c>
      <c r="B4097">
        <v>116</v>
      </c>
      <c r="C4097" t="s">
        <v>568</v>
      </c>
      <c r="D4097" s="453">
        <v>45627</v>
      </c>
      <c r="E4097">
        <v>21984</v>
      </c>
      <c r="F4097" t="s">
        <v>4487</v>
      </c>
      <c r="G4097">
        <v>3709</v>
      </c>
      <c r="H4097">
        <v>2.9</v>
      </c>
      <c r="I4097" t="s">
        <v>3881</v>
      </c>
      <c r="J4097" t="s">
        <v>3497</v>
      </c>
      <c r="K4097" t="s">
        <v>3799</v>
      </c>
      <c r="L4097">
        <v>0</v>
      </c>
      <c r="M4097" s="453">
        <v>-693593</v>
      </c>
      <c r="N4097">
        <v>0</v>
      </c>
      <c r="O4097">
        <v>120</v>
      </c>
      <c r="P4097">
        <v>348</v>
      </c>
    </row>
    <row r="4098" spans="1:16" x14ac:dyDescent="0.3">
      <c r="A4098">
        <v>8282</v>
      </c>
      <c r="B4098">
        <v>116</v>
      </c>
      <c r="C4098" t="s">
        <v>568</v>
      </c>
      <c r="D4098" s="453">
        <v>45627</v>
      </c>
      <c r="E4098">
        <v>20751</v>
      </c>
      <c r="F4098" t="s">
        <v>4331</v>
      </c>
      <c r="G4098">
        <v>2088</v>
      </c>
      <c r="H4098">
        <v>3</v>
      </c>
      <c r="I4098" t="s">
        <v>3966</v>
      </c>
      <c r="J4098" t="s">
        <v>3469</v>
      </c>
      <c r="K4098" t="s">
        <v>3799</v>
      </c>
      <c r="L4098">
        <v>0</v>
      </c>
      <c r="M4098" s="453">
        <v>-693593</v>
      </c>
      <c r="N4098">
        <v>0</v>
      </c>
      <c r="O4098">
        <v>95.53</v>
      </c>
      <c r="P4098">
        <v>286.58999999999997</v>
      </c>
    </row>
    <row r="4099" spans="1:16" x14ac:dyDescent="0.3">
      <c r="A4099">
        <v>8398</v>
      </c>
      <c r="B4099">
        <v>116</v>
      </c>
      <c r="C4099" t="s">
        <v>568</v>
      </c>
      <c r="D4099" s="453">
        <v>45627</v>
      </c>
      <c r="E4099">
        <v>24409</v>
      </c>
      <c r="F4099" t="s">
        <v>4036</v>
      </c>
      <c r="G4099">
        <v>3665</v>
      </c>
      <c r="H4099">
        <v>127</v>
      </c>
      <c r="I4099" t="s">
        <v>3872</v>
      </c>
      <c r="J4099" t="s">
        <v>3497</v>
      </c>
      <c r="K4099" t="s">
        <v>3799</v>
      </c>
      <c r="L4099">
        <v>0</v>
      </c>
      <c r="M4099" s="453">
        <v>45551</v>
      </c>
      <c r="N4099">
        <v>2.19</v>
      </c>
      <c r="O4099">
        <v>2.19</v>
      </c>
      <c r="P4099">
        <v>278.13</v>
      </c>
    </row>
    <row r="4100" spans="1:16" x14ac:dyDescent="0.3">
      <c r="A4100">
        <v>8256</v>
      </c>
      <c r="B4100">
        <v>116</v>
      </c>
      <c r="C4100" t="s">
        <v>568</v>
      </c>
      <c r="D4100" s="453">
        <v>45627</v>
      </c>
      <c r="E4100">
        <v>18467</v>
      </c>
      <c r="F4100" t="s">
        <v>4028</v>
      </c>
      <c r="G4100">
        <v>3189</v>
      </c>
      <c r="H4100">
        <v>3.7</v>
      </c>
      <c r="I4100" t="s">
        <v>3878</v>
      </c>
      <c r="J4100" t="s">
        <v>3497</v>
      </c>
      <c r="K4100" t="s">
        <v>3799</v>
      </c>
      <c r="L4100">
        <v>74.5</v>
      </c>
      <c r="M4100" s="453">
        <v>45621</v>
      </c>
      <c r="N4100">
        <v>77</v>
      </c>
      <c r="O4100">
        <v>77</v>
      </c>
      <c r="P4100">
        <v>275.64999999999998</v>
      </c>
    </row>
    <row r="4101" spans="1:16" x14ac:dyDescent="0.3">
      <c r="A4101">
        <v>8368</v>
      </c>
      <c r="B4101">
        <v>116</v>
      </c>
      <c r="C4101" t="s">
        <v>568</v>
      </c>
      <c r="D4101" s="453">
        <v>45627</v>
      </c>
      <c r="E4101">
        <v>19324</v>
      </c>
      <c r="F4101" t="s">
        <v>3937</v>
      </c>
      <c r="G4101">
        <v>2773</v>
      </c>
      <c r="H4101">
        <v>6.1</v>
      </c>
      <c r="I4101" t="s">
        <v>3892</v>
      </c>
      <c r="J4101" t="s">
        <v>3469</v>
      </c>
      <c r="K4101" t="s">
        <v>3799</v>
      </c>
      <c r="L4101">
        <v>42.3</v>
      </c>
      <c r="M4101" s="453">
        <v>45615</v>
      </c>
      <c r="N4101">
        <v>42.51</v>
      </c>
      <c r="O4101">
        <v>39.96</v>
      </c>
      <c r="P4101">
        <v>258.02999999999997</v>
      </c>
    </row>
    <row r="4102" spans="1:16" x14ac:dyDescent="0.3">
      <c r="A4102">
        <v>8389</v>
      </c>
      <c r="B4102">
        <v>116</v>
      </c>
      <c r="C4102" t="s">
        <v>568</v>
      </c>
      <c r="D4102" s="453">
        <v>45627</v>
      </c>
      <c r="E4102">
        <v>24019</v>
      </c>
      <c r="F4102" t="s">
        <v>4471</v>
      </c>
      <c r="G4102">
        <v>3617</v>
      </c>
      <c r="H4102">
        <v>149</v>
      </c>
      <c r="I4102" t="s">
        <v>3872</v>
      </c>
      <c r="J4102" t="s">
        <v>3497</v>
      </c>
      <c r="K4102" t="s">
        <v>3799</v>
      </c>
      <c r="L4102">
        <v>0</v>
      </c>
      <c r="M4102" s="453">
        <v>45545</v>
      </c>
      <c r="N4102">
        <v>1.62</v>
      </c>
      <c r="O4102">
        <v>1.63</v>
      </c>
      <c r="P4102">
        <v>242.12</v>
      </c>
    </row>
    <row r="4103" spans="1:16" x14ac:dyDescent="0.3">
      <c r="A4103">
        <v>8260</v>
      </c>
      <c r="B4103">
        <v>116</v>
      </c>
      <c r="C4103" t="s">
        <v>568</v>
      </c>
      <c r="D4103" s="453">
        <v>45627</v>
      </c>
      <c r="E4103">
        <v>18359</v>
      </c>
      <c r="F4103" t="s">
        <v>4029</v>
      </c>
      <c r="G4103">
        <v>3278</v>
      </c>
      <c r="H4103">
        <v>2.5</v>
      </c>
      <c r="I4103" t="s">
        <v>3878</v>
      </c>
      <c r="J4103" t="s">
        <v>3497</v>
      </c>
      <c r="K4103" t="s">
        <v>3799</v>
      </c>
      <c r="L4103">
        <v>0</v>
      </c>
      <c r="M4103" s="453">
        <v>45530</v>
      </c>
      <c r="N4103">
        <v>95.85</v>
      </c>
      <c r="O4103">
        <v>99.81</v>
      </c>
      <c r="P4103">
        <v>239.62</v>
      </c>
    </row>
    <row r="4104" spans="1:16" x14ac:dyDescent="0.3">
      <c r="A4104">
        <v>8262</v>
      </c>
      <c r="B4104">
        <v>116</v>
      </c>
      <c r="C4104" t="s">
        <v>568</v>
      </c>
      <c r="D4104" s="453">
        <v>45627</v>
      </c>
      <c r="E4104">
        <v>18315</v>
      </c>
      <c r="F4104" t="s">
        <v>4088</v>
      </c>
      <c r="G4104">
        <v>3318</v>
      </c>
      <c r="H4104">
        <v>2</v>
      </c>
      <c r="I4104" t="s">
        <v>3878</v>
      </c>
      <c r="J4104" t="s">
        <v>3497</v>
      </c>
      <c r="K4104" t="s">
        <v>3799</v>
      </c>
      <c r="L4104">
        <v>0</v>
      </c>
      <c r="M4104" s="453">
        <v>45594</v>
      </c>
      <c r="N4104">
        <v>116.88</v>
      </c>
      <c r="O4104">
        <v>112</v>
      </c>
      <c r="P4104">
        <v>233.76</v>
      </c>
    </row>
    <row r="4105" spans="1:16" x14ac:dyDescent="0.3">
      <c r="A4105">
        <v>8367</v>
      </c>
      <c r="B4105">
        <v>116</v>
      </c>
      <c r="C4105" t="s">
        <v>568</v>
      </c>
      <c r="D4105" s="453">
        <v>45627</v>
      </c>
      <c r="E4105">
        <v>19346</v>
      </c>
      <c r="F4105" t="s">
        <v>3948</v>
      </c>
      <c r="G4105">
        <v>2770</v>
      </c>
      <c r="H4105">
        <v>4.3</v>
      </c>
      <c r="I4105" t="s">
        <v>3892</v>
      </c>
      <c r="J4105" t="s">
        <v>3469</v>
      </c>
      <c r="K4105" t="s">
        <v>3799</v>
      </c>
      <c r="L4105">
        <v>51.77</v>
      </c>
      <c r="M4105" s="453">
        <v>45615</v>
      </c>
      <c r="N4105">
        <v>51.9</v>
      </c>
      <c r="O4105">
        <v>51.9</v>
      </c>
      <c r="P4105">
        <v>222.61</v>
      </c>
    </row>
    <row r="4106" spans="1:16" x14ac:dyDescent="0.3">
      <c r="A4106">
        <v>8385</v>
      </c>
      <c r="B4106">
        <v>116</v>
      </c>
      <c r="C4106" t="s">
        <v>568</v>
      </c>
      <c r="D4106" s="453">
        <v>45627</v>
      </c>
      <c r="E4106">
        <v>18817</v>
      </c>
      <c r="F4106" t="s">
        <v>4523</v>
      </c>
      <c r="G4106">
        <v>2957</v>
      </c>
      <c r="H4106">
        <v>10</v>
      </c>
      <c r="I4106" t="s">
        <v>3892</v>
      </c>
      <c r="J4106" t="s">
        <v>3469</v>
      </c>
      <c r="K4106" t="s">
        <v>3799</v>
      </c>
      <c r="L4106">
        <v>0</v>
      </c>
      <c r="M4106" s="453">
        <v>-693593</v>
      </c>
      <c r="N4106">
        <v>0</v>
      </c>
      <c r="O4106">
        <v>22</v>
      </c>
      <c r="P4106">
        <v>220</v>
      </c>
    </row>
    <row r="4107" spans="1:16" x14ac:dyDescent="0.3">
      <c r="A4107">
        <v>8346</v>
      </c>
      <c r="B4107">
        <v>116</v>
      </c>
      <c r="C4107" t="s">
        <v>568</v>
      </c>
      <c r="D4107" s="453">
        <v>45627</v>
      </c>
      <c r="E4107">
        <v>19756</v>
      </c>
      <c r="F4107" t="s">
        <v>4220</v>
      </c>
      <c r="G4107">
        <v>2497</v>
      </c>
      <c r="H4107">
        <v>36</v>
      </c>
      <c r="I4107" t="s">
        <v>3892</v>
      </c>
      <c r="J4107" t="s">
        <v>3469</v>
      </c>
      <c r="K4107" t="s">
        <v>3799</v>
      </c>
      <c r="L4107">
        <v>5.78</v>
      </c>
      <c r="M4107" s="453">
        <v>45624</v>
      </c>
      <c r="N4107">
        <v>16.8</v>
      </c>
      <c r="O4107">
        <v>5.67</v>
      </c>
      <c r="P4107">
        <v>208.08</v>
      </c>
    </row>
    <row r="4108" spans="1:16" x14ac:dyDescent="0.3">
      <c r="A4108">
        <v>8369</v>
      </c>
      <c r="B4108">
        <v>116</v>
      </c>
      <c r="C4108" t="s">
        <v>568</v>
      </c>
      <c r="D4108" s="453">
        <v>45627</v>
      </c>
      <c r="E4108">
        <v>19287</v>
      </c>
      <c r="F4108" t="s">
        <v>3974</v>
      </c>
      <c r="G4108">
        <v>2778</v>
      </c>
      <c r="H4108">
        <v>4.5</v>
      </c>
      <c r="I4108" t="s">
        <v>3892</v>
      </c>
      <c r="J4108" t="s">
        <v>3469</v>
      </c>
      <c r="K4108" t="s">
        <v>3799</v>
      </c>
      <c r="L4108">
        <v>45.92</v>
      </c>
      <c r="M4108" s="453">
        <v>45608</v>
      </c>
      <c r="N4108">
        <v>45.92</v>
      </c>
      <c r="O4108">
        <v>46.9</v>
      </c>
      <c r="P4108">
        <v>206.64</v>
      </c>
    </row>
    <row r="4109" spans="1:16" x14ac:dyDescent="0.3">
      <c r="A4109">
        <v>8283</v>
      </c>
      <c r="B4109">
        <v>116</v>
      </c>
      <c r="C4109" t="s">
        <v>568</v>
      </c>
      <c r="D4109" s="453">
        <v>45627</v>
      </c>
      <c r="E4109">
        <v>20752</v>
      </c>
      <c r="F4109" t="s">
        <v>3964</v>
      </c>
      <c r="G4109">
        <v>2088</v>
      </c>
      <c r="H4109">
        <v>2</v>
      </c>
      <c r="I4109" t="s">
        <v>3886</v>
      </c>
      <c r="J4109" t="s">
        <v>3469</v>
      </c>
      <c r="K4109" t="s">
        <v>3799</v>
      </c>
      <c r="L4109">
        <v>96.92</v>
      </c>
      <c r="M4109" s="453">
        <v>45615</v>
      </c>
      <c r="N4109">
        <v>95.6</v>
      </c>
      <c r="O4109">
        <v>95.6</v>
      </c>
      <c r="P4109">
        <v>193.84</v>
      </c>
    </row>
    <row r="4110" spans="1:16" x14ac:dyDescent="0.3">
      <c r="A4110">
        <v>8306</v>
      </c>
      <c r="B4110">
        <v>116</v>
      </c>
      <c r="C4110" t="s">
        <v>568</v>
      </c>
      <c r="D4110" s="453">
        <v>45627</v>
      </c>
      <c r="E4110">
        <v>24351</v>
      </c>
      <c r="F4110" t="s">
        <v>3912</v>
      </c>
      <c r="G4110">
        <v>2287</v>
      </c>
      <c r="H4110">
        <v>16</v>
      </c>
      <c r="I4110" t="s">
        <v>3872</v>
      </c>
      <c r="J4110" t="s">
        <v>3469</v>
      </c>
      <c r="K4110" t="s">
        <v>3799</v>
      </c>
      <c r="L4110">
        <v>0</v>
      </c>
      <c r="M4110" s="453">
        <v>-693593</v>
      </c>
      <c r="N4110">
        <v>0</v>
      </c>
      <c r="O4110">
        <v>12</v>
      </c>
      <c r="P4110">
        <v>192</v>
      </c>
    </row>
    <row r="4111" spans="1:16" x14ac:dyDescent="0.3">
      <c r="A4111">
        <v>8401</v>
      </c>
      <c r="B4111">
        <v>116</v>
      </c>
      <c r="C4111" t="s">
        <v>568</v>
      </c>
      <c r="D4111" s="453">
        <v>45627</v>
      </c>
      <c r="E4111">
        <v>24468</v>
      </c>
      <c r="F4111" t="s">
        <v>4482</v>
      </c>
      <c r="G4111">
        <v>3675</v>
      </c>
      <c r="H4111">
        <v>86</v>
      </c>
      <c r="I4111" t="s">
        <v>3872</v>
      </c>
      <c r="J4111" t="s">
        <v>3497</v>
      </c>
      <c r="K4111" t="s">
        <v>3799</v>
      </c>
      <c r="L4111">
        <v>0</v>
      </c>
      <c r="M4111" s="453">
        <v>45544</v>
      </c>
      <c r="N4111">
        <v>2.19</v>
      </c>
      <c r="O4111">
        <v>2.19</v>
      </c>
      <c r="P4111">
        <v>188.34</v>
      </c>
    </row>
    <row r="4112" spans="1:16" x14ac:dyDescent="0.3">
      <c r="A4112">
        <v>8258</v>
      </c>
      <c r="B4112">
        <v>116</v>
      </c>
      <c r="C4112" t="s">
        <v>568</v>
      </c>
      <c r="D4112" s="453">
        <v>45627</v>
      </c>
      <c r="E4112">
        <v>18394</v>
      </c>
      <c r="F4112" t="s">
        <v>4044</v>
      </c>
      <c r="G4112">
        <v>3246</v>
      </c>
      <c r="H4112">
        <v>1</v>
      </c>
      <c r="I4112" t="s">
        <v>3878</v>
      </c>
      <c r="J4112" t="s">
        <v>3497</v>
      </c>
      <c r="K4112" t="s">
        <v>3799</v>
      </c>
      <c r="L4112">
        <v>0</v>
      </c>
      <c r="M4112" s="453">
        <v>45516</v>
      </c>
      <c r="N4112">
        <v>0</v>
      </c>
      <c r="O4112">
        <v>179.9</v>
      </c>
      <c r="P4112">
        <v>179.9</v>
      </c>
    </row>
    <row r="4113" spans="1:16" x14ac:dyDescent="0.3">
      <c r="A4113">
        <v>8273</v>
      </c>
      <c r="B4113">
        <v>116</v>
      </c>
      <c r="C4113" t="s">
        <v>568</v>
      </c>
      <c r="D4113" s="453">
        <v>45627</v>
      </c>
      <c r="E4113">
        <v>18146</v>
      </c>
      <c r="F4113" t="s">
        <v>4100</v>
      </c>
      <c r="G4113">
        <v>3471</v>
      </c>
      <c r="H4113">
        <v>1.5</v>
      </c>
      <c r="I4113" t="s">
        <v>3878</v>
      </c>
      <c r="J4113" t="s">
        <v>3497</v>
      </c>
      <c r="K4113" t="s">
        <v>3799</v>
      </c>
      <c r="L4113">
        <v>111.09</v>
      </c>
      <c r="M4113" s="453">
        <v>45608</v>
      </c>
      <c r="N4113">
        <v>111.09</v>
      </c>
      <c r="O4113">
        <v>111.09</v>
      </c>
      <c r="P4113">
        <v>166.64</v>
      </c>
    </row>
    <row r="4114" spans="1:16" x14ac:dyDescent="0.3">
      <c r="A4114">
        <v>8247</v>
      </c>
      <c r="B4114">
        <v>116</v>
      </c>
      <c r="C4114" t="s">
        <v>568</v>
      </c>
      <c r="D4114" s="453">
        <v>45627</v>
      </c>
      <c r="E4114">
        <v>18550</v>
      </c>
      <c r="F4114" t="s">
        <v>4083</v>
      </c>
      <c r="G4114">
        <v>3130</v>
      </c>
      <c r="H4114">
        <v>1</v>
      </c>
      <c r="I4114" t="s">
        <v>3878</v>
      </c>
      <c r="J4114" t="s">
        <v>3497</v>
      </c>
      <c r="K4114" t="s">
        <v>3799</v>
      </c>
      <c r="L4114">
        <v>0</v>
      </c>
      <c r="M4114" s="453">
        <v>-693593</v>
      </c>
      <c r="N4114">
        <v>0</v>
      </c>
      <c r="O4114">
        <v>165.45</v>
      </c>
      <c r="P4114">
        <v>165.45</v>
      </c>
    </row>
    <row r="4115" spans="1:16" x14ac:dyDescent="0.3">
      <c r="A4115">
        <v>8373</v>
      </c>
      <c r="B4115">
        <v>116</v>
      </c>
      <c r="C4115" t="s">
        <v>568</v>
      </c>
      <c r="D4115" s="453">
        <v>45627</v>
      </c>
      <c r="E4115">
        <v>18949</v>
      </c>
      <c r="F4115" t="s">
        <v>4543</v>
      </c>
      <c r="G4115">
        <v>2926</v>
      </c>
      <c r="H4115">
        <v>3.7</v>
      </c>
      <c r="I4115" t="s">
        <v>3892</v>
      </c>
      <c r="J4115" t="s">
        <v>3469</v>
      </c>
      <c r="K4115" t="s">
        <v>3799</v>
      </c>
      <c r="L4115">
        <v>0</v>
      </c>
      <c r="M4115" s="453">
        <v>45422</v>
      </c>
      <c r="N4115">
        <v>44</v>
      </c>
      <c r="O4115">
        <v>44</v>
      </c>
      <c r="P4115">
        <v>162.80000000000001</v>
      </c>
    </row>
    <row r="4116" spans="1:16" x14ac:dyDescent="0.3">
      <c r="A4116">
        <v>8381</v>
      </c>
      <c r="B4116">
        <v>116</v>
      </c>
      <c r="C4116" t="s">
        <v>568</v>
      </c>
      <c r="D4116" s="453">
        <v>45627</v>
      </c>
      <c r="E4116">
        <v>24389</v>
      </c>
      <c r="F4116" t="s">
        <v>4305</v>
      </c>
      <c r="G4116">
        <v>2946</v>
      </c>
      <c r="H4116">
        <v>6.8</v>
      </c>
      <c r="I4116" t="s">
        <v>3892</v>
      </c>
      <c r="J4116" t="s">
        <v>3469</v>
      </c>
      <c r="K4116" t="s">
        <v>3799</v>
      </c>
      <c r="L4116">
        <v>0</v>
      </c>
      <c r="M4116" s="453">
        <v>-693593</v>
      </c>
      <c r="N4116">
        <v>0</v>
      </c>
      <c r="O4116">
        <v>23.9</v>
      </c>
      <c r="P4116">
        <v>162.51</v>
      </c>
    </row>
    <row r="4117" spans="1:16" x14ac:dyDescent="0.3">
      <c r="A4117">
        <v>8365</v>
      </c>
      <c r="B4117">
        <v>116</v>
      </c>
      <c r="C4117" t="s">
        <v>568</v>
      </c>
      <c r="D4117" s="453">
        <v>45627</v>
      </c>
      <c r="E4117">
        <v>19405</v>
      </c>
      <c r="F4117" t="s">
        <v>4097</v>
      </c>
      <c r="G4117">
        <v>2761</v>
      </c>
      <c r="H4117">
        <v>3.5</v>
      </c>
      <c r="I4117" t="s">
        <v>3892</v>
      </c>
      <c r="J4117" t="s">
        <v>3469</v>
      </c>
      <c r="K4117" t="s">
        <v>3799</v>
      </c>
      <c r="L4117">
        <v>0</v>
      </c>
      <c r="M4117" s="453">
        <v>-693593</v>
      </c>
      <c r="N4117">
        <v>0</v>
      </c>
      <c r="O4117">
        <v>41.98</v>
      </c>
      <c r="P4117">
        <v>146.93</v>
      </c>
    </row>
    <row r="4118" spans="1:16" x14ac:dyDescent="0.3">
      <c r="A4118">
        <v>8374</v>
      </c>
      <c r="B4118">
        <v>116</v>
      </c>
      <c r="C4118" t="s">
        <v>568</v>
      </c>
      <c r="D4118" s="453">
        <v>45627</v>
      </c>
      <c r="E4118">
        <v>18844</v>
      </c>
      <c r="F4118" t="s">
        <v>4521</v>
      </c>
      <c r="G4118">
        <v>2947</v>
      </c>
      <c r="H4118">
        <v>2.7</v>
      </c>
      <c r="I4118" t="s">
        <v>3892</v>
      </c>
      <c r="J4118" t="s">
        <v>3469</v>
      </c>
      <c r="K4118" t="s">
        <v>3799</v>
      </c>
      <c r="L4118">
        <v>0</v>
      </c>
      <c r="M4118" s="453">
        <v>45497</v>
      </c>
      <c r="N4118">
        <v>52.6</v>
      </c>
      <c r="O4118">
        <v>52.6</v>
      </c>
      <c r="P4118">
        <v>142.02000000000001</v>
      </c>
    </row>
    <row r="4119" spans="1:16" x14ac:dyDescent="0.3">
      <c r="A4119">
        <v>8272</v>
      </c>
      <c r="B4119">
        <v>116</v>
      </c>
      <c r="C4119" t="s">
        <v>568</v>
      </c>
      <c r="D4119" s="453">
        <v>45627</v>
      </c>
      <c r="E4119">
        <v>18172</v>
      </c>
      <c r="F4119" t="s">
        <v>3923</v>
      </c>
      <c r="G4119">
        <v>3450</v>
      </c>
      <c r="H4119">
        <v>4.7</v>
      </c>
      <c r="I4119" t="s">
        <v>3878</v>
      </c>
      <c r="J4119" t="s">
        <v>3497</v>
      </c>
      <c r="K4119" t="s">
        <v>3799</v>
      </c>
      <c r="L4119">
        <v>0</v>
      </c>
      <c r="M4119" s="453">
        <v>45594</v>
      </c>
      <c r="N4119">
        <v>29.9</v>
      </c>
      <c r="O4119">
        <v>33.56</v>
      </c>
      <c r="P4119">
        <v>140.53</v>
      </c>
    </row>
    <row r="4120" spans="1:16" x14ac:dyDescent="0.3">
      <c r="A4120">
        <v>8251</v>
      </c>
      <c r="B4120">
        <v>116</v>
      </c>
      <c r="C4120" t="s">
        <v>568</v>
      </c>
      <c r="D4120" s="453">
        <v>45627</v>
      </c>
      <c r="E4120">
        <v>18538</v>
      </c>
      <c r="F4120" t="s">
        <v>4026</v>
      </c>
      <c r="G4120">
        <v>3139</v>
      </c>
      <c r="H4120">
        <v>1.4</v>
      </c>
      <c r="I4120" t="s">
        <v>3878</v>
      </c>
      <c r="J4120" t="s">
        <v>3497</v>
      </c>
      <c r="K4120" t="s">
        <v>3799</v>
      </c>
      <c r="L4120">
        <v>0</v>
      </c>
      <c r="M4120" s="453">
        <v>45594</v>
      </c>
      <c r="N4120">
        <v>98.9</v>
      </c>
      <c r="O4120">
        <v>98.9</v>
      </c>
      <c r="P4120">
        <v>138.46</v>
      </c>
    </row>
    <row r="4121" spans="1:16" x14ac:dyDescent="0.3">
      <c r="A4121">
        <v>8244</v>
      </c>
      <c r="B4121">
        <v>116</v>
      </c>
      <c r="C4121" t="s">
        <v>568</v>
      </c>
      <c r="D4121" s="453">
        <v>45627</v>
      </c>
      <c r="E4121">
        <v>24599</v>
      </c>
      <c r="F4121" t="s">
        <v>3897</v>
      </c>
      <c r="G4121">
        <v>5676</v>
      </c>
      <c r="H4121">
        <v>30</v>
      </c>
      <c r="I4121" t="s">
        <v>3888</v>
      </c>
      <c r="J4121" t="s">
        <v>3497</v>
      </c>
      <c r="K4121" t="s">
        <v>3799</v>
      </c>
      <c r="L4121">
        <v>0</v>
      </c>
      <c r="M4121" s="453">
        <v>45559</v>
      </c>
      <c r="N4121">
        <v>4.53</v>
      </c>
      <c r="O4121">
        <v>0</v>
      </c>
      <c r="P4121">
        <v>135.9</v>
      </c>
    </row>
    <row r="4122" spans="1:16" x14ac:dyDescent="0.3">
      <c r="A4122">
        <v>8399</v>
      </c>
      <c r="B4122">
        <v>116</v>
      </c>
      <c r="C4122" t="s">
        <v>568</v>
      </c>
      <c r="D4122" s="453">
        <v>45627</v>
      </c>
      <c r="E4122">
        <v>24414</v>
      </c>
      <c r="F4122" t="s">
        <v>3943</v>
      </c>
      <c r="G4122">
        <v>3670</v>
      </c>
      <c r="H4122">
        <v>59</v>
      </c>
      <c r="I4122" t="s">
        <v>3872</v>
      </c>
      <c r="J4122" t="s">
        <v>3497</v>
      </c>
      <c r="K4122" t="s">
        <v>3799</v>
      </c>
      <c r="L4122">
        <v>0</v>
      </c>
      <c r="M4122" s="453">
        <v>45544</v>
      </c>
      <c r="N4122">
        <v>2.19</v>
      </c>
      <c r="O4122">
        <v>2.19</v>
      </c>
      <c r="P4122">
        <v>129.21</v>
      </c>
    </row>
    <row r="4123" spans="1:16" x14ac:dyDescent="0.3">
      <c r="A4123">
        <v>8254</v>
      </c>
      <c r="B4123">
        <v>116</v>
      </c>
      <c r="C4123" t="s">
        <v>568</v>
      </c>
      <c r="D4123" s="453">
        <v>45627</v>
      </c>
      <c r="E4123">
        <v>18491</v>
      </c>
      <c r="F4123" t="s">
        <v>3934</v>
      </c>
      <c r="G4123">
        <v>3166</v>
      </c>
      <c r="H4123">
        <v>3.5</v>
      </c>
      <c r="I4123" t="s">
        <v>3878</v>
      </c>
      <c r="J4123" t="s">
        <v>3497</v>
      </c>
      <c r="K4123" t="s">
        <v>3799</v>
      </c>
      <c r="L4123">
        <v>0</v>
      </c>
      <c r="M4123" s="453">
        <v>45573</v>
      </c>
      <c r="N4123">
        <v>35.9</v>
      </c>
      <c r="O4123">
        <v>35.9</v>
      </c>
      <c r="P4123">
        <v>125.65</v>
      </c>
    </row>
    <row r="4124" spans="1:16" x14ac:dyDescent="0.3">
      <c r="A4124">
        <v>8315</v>
      </c>
      <c r="B4124">
        <v>116</v>
      </c>
      <c r="C4124" t="s">
        <v>568</v>
      </c>
      <c r="D4124" s="453">
        <v>45627</v>
      </c>
      <c r="E4124">
        <v>19941</v>
      </c>
      <c r="F4124" t="s">
        <v>4505</v>
      </c>
      <c r="G4124">
        <v>2363</v>
      </c>
      <c r="H4124">
        <v>29</v>
      </c>
      <c r="I4124" t="s">
        <v>3872</v>
      </c>
      <c r="J4124" t="s">
        <v>3469</v>
      </c>
      <c r="K4124" t="s">
        <v>3799</v>
      </c>
      <c r="L4124">
        <v>0</v>
      </c>
      <c r="M4124" s="453">
        <v>45523</v>
      </c>
      <c r="N4124">
        <v>4.3</v>
      </c>
      <c r="O4124">
        <v>15.2</v>
      </c>
      <c r="P4124">
        <v>124.7</v>
      </c>
    </row>
    <row r="4125" spans="1:16" x14ac:dyDescent="0.3">
      <c r="A4125">
        <v>8393</v>
      </c>
      <c r="B4125">
        <v>116</v>
      </c>
      <c r="C4125" t="s">
        <v>568</v>
      </c>
      <c r="D4125" s="453">
        <v>45627</v>
      </c>
      <c r="E4125">
        <v>24226</v>
      </c>
      <c r="F4125" t="s">
        <v>3998</v>
      </c>
      <c r="G4125">
        <v>3647</v>
      </c>
      <c r="H4125">
        <v>19</v>
      </c>
      <c r="I4125" t="s">
        <v>3872</v>
      </c>
      <c r="J4125" t="s">
        <v>3497</v>
      </c>
      <c r="K4125" t="s">
        <v>3799</v>
      </c>
      <c r="L4125">
        <v>0</v>
      </c>
      <c r="M4125" s="453">
        <v>45355</v>
      </c>
      <c r="N4125">
        <v>6.42</v>
      </c>
      <c r="O4125">
        <v>6.82</v>
      </c>
      <c r="P4125">
        <v>121.92</v>
      </c>
    </row>
    <row r="4126" spans="1:16" x14ac:dyDescent="0.3">
      <c r="A4126">
        <v>8382</v>
      </c>
      <c r="B4126">
        <v>116</v>
      </c>
      <c r="C4126" t="s">
        <v>568</v>
      </c>
      <c r="D4126" s="453">
        <v>45627</v>
      </c>
      <c r="E4126">
        <v>24517</v>
      </c>
      <c r="F4126" t="s">
        <v>3991</v>
      </c>
      <c r="G4126">
        <v>3047</v>
      </c>
      <c r="H4126">
        <v>4.3</v>
      </c>
      <c r="I4126" t="s">
        <v>3892</v>
      </c>
      <c r="J4126" t="s">
        <v>3469</v>
      </c>
      <c r="K4126" t="s">
        <v>3799</v>
      </c>
      <c r="L4126">
        <v>0</v>
      </c>
      <c r="M4126" s="453">
        <v>45567</v>
      </c>
      <c r="N4126">
        <v>27.19</v>
      </c>
      <c r="O4126">
        <v>27.99</v>
      </c>
      <c r="P4126">
        <v>116.92</v>
      </c>
    </row>
    <row r="4127" spans="1:16" x14ac:dyDescent="0.3">
      <c r="A4127">
        <v>8263</v>
      </c>
      <c r="B4127">
        <v>116</v>
      </c>
      <c r="C4127" t="s">
        <v>568</v>
      </c>
      <c r="D4127" s="453">
        <v>45627</v>
      </c>
      <c r="E4127">
        <v>18312</v>
      </c>
      <c r="F4127" t="s">
        <v>4089</v>
      </c>
      <c r="G4127">
        <v>3321</v>
      </c>
      <c r="H4127">
        <v>1</v>
      </c>
      <c r="I4127" t="s">
        <v>3878</v>
      </c>
      <c r="J4127" t="s">
        <v>3497</v>
      </c>
      <c r="K4127" t="s">
        <v>3799</v>
      </c>
      <c r="L4127">
        <v>0</v>
      </c>
      <c r="M4127" s="453">
        <v>45573</v>
      </c>
      <c r="N4127">
        <v>116.89</v>
      </c>
      <c r="O4127">
        <v>116.89</v>
      </c>
      <c r="P4127">
        <v>116.89</v>
      </c>
    </row>
    <row r="4128" spans="1:16" x14ac:dyDescent="0.3">
      <c r="A4128">
        <v>8264</v>
      </c>
      <c r="B4128">
        <v>116</v>
      </c>
      <c r="C4128" t="s">
        <v>568</v>
      </c>
      <c r="D4128" s="453">
        <v>45627</v>
      </c>
      <c r="E4128">
        <v>18305</v>
      </c>
      <c r="F4128" t="s">
        <v>4544</v>
      </c>
      <c r="G4128">
        <v>3328</v>
      </c>
      <c r="H4128">
        <v>3.2</v>
      </c>
      <c r="I4128" t="s">
        <v>3878</v>
      </c>
      <c r="J4128" t="s">
        <v>3497</v>
      </c>
      <c r="K4128" t="s">
        <v>3799</v>
      </c>
      <c r="L4128">
        <v>0</v>
      </c>
      <c r="M4128" s="453">
        <v>-693593</v>
      </c>
      <c r="N4128">
        <v>0</v>
      </c>
      <c r="O4128">
        <v>36.200000000000003</v>
      </c>
      <c r="P4128">
        <v>115.84</v>
      </c>
    </row>
    <row r="4129" spans="1:16" x14ac:dyDescent="0.3">
      <c r="A4129">
        <v>8269</v>
      </c>
      <c r="B4129">
        <v>116</v>
      </c>
      <c r="C4129" t="s">
        <v>568</v>
      </c>
      <c r="D4129" s="453">
        <v>45627</v>
      </c>
      <c r="E4129">
        <v>18232</v>
      </c>
      <c r="F4129" t="s">
        <v>4091</v>
      </c>
      <c r="G4129">
        <v>3396</v>
      </c>
      <c r="H4129">
        <v>1.3</v>
      </c>
      <c r="I4129" t="s">
        <v>3878</v>
      </c>
      <c r="J4129" t="s">
        <v>3497</v>
      </c>
      <c r="K4129" t="s">
        <v>3799</v>
      </c>
      <c r="L4129">
        <v>0</v>
      </c>
      <c r="M4129" s="453">
        <v>45434</v>
      </c>
      <c r="N4129">
        <v>88.9</v>
      </c>
      <c r="O4129">
        <v>88.57</v>
      </c>
      <c r="P4129">
        <v>115.57</v>
      </c>
    </row>
    <row r="4130" spans="1:16" x14ac:dyDescent="0.3">
      <c r="A4130">
        <v>8372</v>
      </c>
      <c r="B4130">
        <v>116</v>
      </c>
      <c r="C4130" t="s">
        <v>568</v>
      </c>
      <c r="D4130" s="453">
        <v>45627</v>
      </c>
      <c r="E4130">
        <v>18708</v>
      </c>
      <c r="F4130" t="s">
        <v>4504</v>
      </c>
      <c r="G4130">
        <v>3033</v>
      </c>
      <c r="H4130">
        <v>3.8</v>
      </c>
      <c r="I4130" t="s">
        <v>3892</v>
      </c>
      <c r="J4130" t="s">
        <v>3469</v>
      </c>
      <c r="K4130" t="s">
        <v>3799</v>
      </c>
      <c r="L4130">
        <v>0</v>
      </c>
      <c r="M4130" s="453">
        <v>45462</v>
      </c>
      <c r="N4130">
        <v>29.9</v>
      </c>
      <c r="O4130">
        <v>28.2</v>
      </c>
      <c r="P4130">
        <v>113.62</v>
      </c>
    </row>
    <row r="4131" spans="1:16" x14ac:dyDescent="0.3">
      <c r="A4131">
        <v>8388</v>
      </c>
      <c r="B4131">
        <v>116</v>
      </c>
      <c r="C4131" t="s">
        <v>568</v>
      </c>
      <c r="D4131" s="453">
        <v>45627</v>
      </c>
      <c r="E4131">
        <v>22108</v>
      </c>
      <c r="F4131" t="s">
        <v>3871</v>
      </c>
      <c r="G4131">
        <v>3609</v>
      </c>
      <c r="H4131">
        <v>80</v>
      </c>
      <c r="I4131" t="s">
        <v>3872</v>
      </c>
      <c r="J4131" t="s">
        <v>3497</v>
      </c>
      <c r="K4131" t="s">
        <v>3799</v>
      </c>
      <c r="L4131">
        <v>1.33</v>
      </c>
      <c r="M4131" s="453">
        <v>45621</v>
      </c>
      <c r="N4131">
        <v>1.33</v>
      </c>
      <c r="O4131">
        <v>1.72</v>
      </c>
      <c r="P4131">
        <v>106.4</v>
      </c>
    </row>
    <row r="4132" spans="1:16" x14ac:dyDescent="0.3">
      <c r="A4132">
        <v>8286</v>
      </c>
      <c r="B4132">
        <v>116</v>
      </c>
      <c r="C4132" t="s">
        <v>568</v>
      </c>
      <c r="D4132" s="453">
        <v>45627</v>
      </c>
      <c r="E4132">
        <v>20284</v>
      </c>
      <c r="F4132" t="s">
        <v>4512</v>
      </c>
      <c r="G4132">
        <v>2230</v>
      </c>
      <c r="H4132">
        <v>5</v>
      </c>
      <c r="I4132" t="s">
        <v>3888</v>
      </c>
      <c r="J4132" t="s">
        <v>3469</v>
      </c>
      <c r="K4132" t="s">
        <v>3799</v>
      </c>
      <c r="L4132">
        <v>21</v>
      </c>
      <c r="M4132" s="453">
        <v>45617</v>
      </c>
      <c r="N4132">
        <v>21</v>
      </c>
      <c r="O4132">
        <v>21</v>
      </c>
      <c r="P4132">
        <v>105</v>
      </c>
    </row>
    <row r="4133" spans="1:16" x14ac:dyDescent="0.3">
      <c r="A4133">
        <v>8261</v>
      </c>
      <c r="B4133">
        <v>116</v>
      </c>
      <c r="C4133" t="s">
        <v>568</v>
      </c>
      <c r="D4133" s="453">
        <v>45627</v>
      </c>
      <c r="E4133">
        <v>18325</v>
      </c>
      <c r="F4133" t="s">
        <v>4459</v>
      </c>
      <c r="G4133">
        <v>3308</v>
      </c>
      <c r="H4133">
        <v>3</v>
      </c>
      <c r="I4133" t="s">
        <v>3878</v>
      </c>
      <c r="J4133" t="s">
        <v>3497</v>
      </c>
      <c r="K4133" t="s">
        <v>3799</v>
      </c>
      <c r="L4133">
        <v>0</v>
      </c>
      <c r="M4133" s="453">
        <v>-693593</v>
      </c>
      <c r="N4133">
        <v>0</v>
      </c>
      <c r="O4133">
        <v>34.479999999999997</v>
      </c>
      <c r="P4133">
        <v>103.44</v>
      </c>
    </row>
    <row r="4134" spans="1:16" x14ac:dyDescent="0.3">
      <c r="A4134">
        <v>8268</v>
      </c>
      <c r="B4134">
        <v>116</v>
      </c>
      <c r="C4134" t="s">
        <v>568</v>
      </c>
      <c r="D4134" s="453">
        <v>45627</v>
      </c>
      <c r="E4134">
        <v>18233</v>
      </c>
      <c r="F4134" t="s">
        <v>4090</v>
      </c>
      <c r="G4134">
        <v>3395</v>
      </c>
      <c r="H4134">
        <v>1.2</v>
      </c>
      <c r="I4134" t="s">
        <v>3878</v>
      </c>
      <c r="J4134" t="s">
        <v>3497</v>
      </c>
      <c r="K4134" t="s">
        <v>3799</v>
      </c>
      <c r="L4134">
        <v>0</v>
      </c>
      <c r="M4134" s="453">
        <v>45497</v>
      </c>
      <c r="N4134">
        <v>85.86</v>
      </c>
      <c r="O4134">
        <v>85.5</v>
      </c>
      <c r="P4134">
        <v>103.03</v>
      </c>
    </row>
    <row r="4135" spans="1:16" x14ac:dyDescent="0.3">
      <c r="A4135">
        <v>8300</v>
      </c>
      <c r="B4135">
        <v>116</v>
      </c>
      <c r="C4135" t="s">
        <v>568</v>
      </c>
      <c r="D4135" s="453">
        <v>45627</v>
      </c>
      <c r="E4135">
        <v>20053</v>
      </c>
      <c r="F4135" t="s">
        <v>4457</v>
      </c>
      <c r="G4135">
        <v>2326</v>
      </c>
      <c r="H4135">
        <v>2.5</v>
      </c>
      <c r="I4135" t="s">
        <v>3888</v>
      </c>
      <c r="J4135" t="s">
        <v>3469</v>
      </c>
      <c r="K4135" t="s">
        <v>3799</v>
      </c>
      <c r="L4135">
        <v>41</v>
      </c>
      <c r="M4135" s="453">
        <v>45622</v>
      </c>
      <c r="N4135">
        <v>41</v>
      </c>
      <c r="O4135">
        <v>41.43</v>
      </c>
      <c r="P4135">
        <v>102.5</v>
      </c>
    </row>
    <row r="4136" spans="1:16" x14ac:dyDescent="0.3">
      <c r="A4136">
        <v>8301</v>
      </c>
      <c r="B4136">
        <v>116</v>
      </c>
      <c r="C4136" t="s">
        <v>568</v>
      </c>
      <c r="D4136" s="453">
        <v>45627</v>
      </c>
      <c r="E4136">
        <v>20661</v>
      </c>
      <c r="F4136" t="s">
        <v>3919</v>
      </c>
      <c r="G4136">
        <v>2110</v>
      </c>
      <c r="H4136">
        <v>12</v>
      </c>
      <c r="I4136" t="s">
        <v>3872</v>
      </c>
      <c r="J4136" t="s">
        <v>3469</v>
      </c>
      <c r="K4136" t="s">
        <v>3799</v>
      </c>
      <c r="L4136">
        <v>8.5</v>
      </c>
      <c r="M4136" s="453">
        <v>45615</v>
      </c>
      <c r="N4136">
        <v>8.49</v>
      </c>
      <c r="O4136">
        <v>8.49</v>
      </c>
      <c r="P4136">
        <v>102</v>
      </c>
    </row>
    <row r="4137" spans="1:16" x14ac:dyDescent="0.3">
      <c r="A4137">
        <v>8267</v>
      </c>
      <c r="B4137">
        <v>116</v>
      </c>
      <c r="C4137" t="s">
        <v>568</v>
      </c>
      <c r="D4137" s="453">
        <v>45627</v>
      </c>
      <c r="E4137">
        <v>18253</v>
      </c>
      <c r="F4137" t="s">
        <v>3947</v>
      </c>
      <c r="G4137">
        <v>3376</v>
      </c>
      <c r="H4137">
        <v>3.5</v>
      </c>
      <c r="I4137" t="s">
        <v>3878</v>
      </c>
      <c r="J4137" t="s">
        <v>3497</v>
      </c>
      <c r="K4137" t="s">
        <v>3799</v>
      </c>
      <c r="L4137">
        <v>0</v>
      </c>
      <c r="M4137" s="453">
        <v>45594</v>
      </c>
      <c r="N4137">
        <v>28.89</v>
      </c>
      <c r="O4137">
        <v>28.9</v>
      </c>
      <c r="P4137">
        <v>101.12</v>
      </c>
    </row>
    <row r="4138" spans="1:16" x14ac:dyDescent="0.3">
      <c r="A4138">
        <v>8270</v>
      </c>
      <c r="B4138">
        <v>116</v>
      </c>
      <c r="C4138" t="s">
        <v>568</v>
      </c>
      <c r="D4138" s="453">
        <v>45627</v>
      </c>
      <c r="E4138">
        <v>18220</v>
      </c>
      <c r="F4138" t="s">
        <v>4479</v>
      </c>
      <c r="G4138">
        <v>3408</v>
      </c>
      <c r="H4138">
        <v>1</v>
      </c>
      <c r="I4138" t="s">
        <v>3878</v>
      </c>
      <c r="J4138" t="s">
        <v>3497</v>
      </c>
      <c r="K4138" t="s">
        <v>3799</v>
      </c>
      <c r="L4138">
        <v>0</v>
      </c>
      <c r="M4138" s="453">
        <v>-693593</v>
      </c>
      <c r="N4138">
        <v>0</v>
      </c>
      <c r="O4138">
        <v>100.89</v>
      </c>
      <c r="P4138">
        <v>100.89</v>
      </c>
    </row>
    <row r="4139" spans="1:16" x14ac:dyDescent="0.3">
      <c r="A4139">
        <v>8288</v>
      </c>
      <c r="B4139">
        <v>116</v>
      </c>
      <c r="C4139" t="s">
        <v>568</v>
      </c>
      <c r="D4139" s="453">
        <v>45627</v>
      </c>
      <c r="E4139">
        <v>20057</v>
      </c>
      <c r="F4139" t="s">
        <v>3967</v>
      </c>
      <c r="G4139">
        <v>2324</v>
      </c>
      <c r="H4139">
        <v>2.5</v>
      </c>
      <c r="I4139" t="s">
        <v>3872</v>
      </c>
      <c r="J4139" t="s">
        <v>3469</v>
      </c>
      <c r="K4139" t="s">
        <v>3799</v>
      </c>
      <c r="L4139">
        <v>0</v>
      </c>
      <c r="M4139" s="453">
        <v>45476</v>
      </c>
      <c r="N4139">
        <v>0</v>
      </c>
      <c r="O4139">
        <v>39.99</v>
      </c>
      <c r="P4139">
        <v>99.98</v>
      </c>
    </row>
    <row r="4140" spans="1:16" x14ac:dyDescent="0.3">
      <c r="A4140">
        <v>8371</v>
      </c>
      <c r="B4140">
        <v>116</v>
      </c>
      <c r="C4140" t="s">
        <v>568</v>
      </c>
      <c r="D4140" s="453">
        <v>45627</v>
      </c>
      <c r="E4140">
        <v>19139</v>
      </c>
      <c r="F4140" t="s">
        <v>3887</v>
      </c>
      <c r="G4140">
        <v>2836</v>
      </c>
      <c r="H4140">
        <v>11</v>
      </c>
      <c r="I4140" t="s">
        <v>3888</v>
      </c>
      <c r="J4140" t="s">
        <v>3469</v>
      </c>
      <c r="K4140" t="s">
        <v>3799</v>
      </c>
      <c r="L4140">
        <v>9.0299999999999994</v>
      </c>
      <c r="M4140" s="453">
        <v>45617</v>
      </c>
      <c r="N4140">
        <v>9</v>
      </c>
      <c r="O4140">
        <v>0</v>
      </c>
      <c r="P4140">
        <v>99.33</v>
      </c>
    </row>
    <row r="4141" spans="1:16" x14ac:dyDescent="0.3">
      <c r="A4141">
        <v>8265</v>
      </c>
      <c r="B4141">
        <v>116</v>
      </c>
      <c r="C4141" t="s">
        <v>568</v>
      </c>
      <c r="D4141" s="453">
        <v>45627</v>
      </c>
      <c r="E4141">
        <v>18273</v>
      </c>
      <c r="F4141" t="s">
        <v>4031</v>
      </c>
      <c r="G4141">
        <v>3357</v>
      </c>
      <c r="H4141">
        <v>2.5</v>
      </c>
      <c r="I4141" t="s">
        <v>3878</v>
      </c>
      <c r="J4141" t="s">
        <v>3497</v>
      </c>
      <c r="K4141" t="s">
        <v>3799</v>
      </c>
      <c r="L4141">
        <v>0</v>
      </c>
      <c r="M4141" s="453">
        <v>-693593</v>
      </c>
      <c r="N4141">
        <v>0</v>
      </c>
      <c r="O4141">
        <v>39.18</v>
      </c>
      <c r="P4141">
        <v>97.95</v>
      </c>
    </row>
    <row r="4142" spans="1:16" x14ac:dyDescent="0.3">
      <c r="A4142">
        <v>8305</v>
      </c>
      <c r="B4142">
        <v>116</v>
      </c>
      <c r="C4142" t="s">
        <v>568</v>
      </c>
      <c r="D4142" s="453">
        <v>45627</v>
      </c>
      <c r="E4142">
        <v>20007</v>
      </c>
      <c r="F4142" t="s">
        <v>4009</v>
      </c>
      <c r="G4142">
        <v>2343</v>
      </c>
      <c r="H4142">
        <v>2.5</v>
      </c>
      <c r="I4142" t="s">
        <v>3966</v>
      </c>
      <c r="J4142" t="s">
        <v>3469</v>
      </c>
      <c r="K4142" t="s">
        <v>3799</v>
      </c>
      <c r="L4142">
        <v>38.9</v>
      </c>
      <c r="M4142" s="453">
        <v>45615</v>
      </c>
      <c r="N4142">
        <v>38.9</v>
      </c>
      <c r="O4142">
        <v>45.66</v>
      </c>
      <c r="P4142">
        <v>97.25</v>
      </c>
    </row>
    <row r="4143" spans="1:16" x14ac:dyDescent="0.3">
      <c r="A4143">
        <v>8284</v>
      </c>
      <c r="B4143">
        <v>116</v>
      </c>
      <c r="C4143" t="s">
        <v>568</v>
      </c>
      <c r="D4143" s="453">
        <v>45627</v>
      </c>
      <c r="E4143">
        <v>20724</v>
      </c>
      <c r="F4143" t="s">
        <v>4423</v>
      </c>
      <c r="G4143">
        <v>2094</v>
      </c>
      <c r="H4143">
        <v>2</v>
      </c>
      <c r="I4143" t="s">
        <v>3966</v>
      </c>
      <c r="J4143" t="s">
        <v>3469</v>
      </c>
      <c r="K4143" t="s">
        <v>3799</v>
      </c>
      <c r="L4143">
        <v>0</v>
      </c>
      <c r="M4143" s="453">
        <v>-693593</v>
      </c>
      <c r="N4143">
        <v>0</v>
      </c>
      <c r="O4143">
        <v>45.9</v>
      </c>
      <c r="P4143">
        <v>91.8</v>
      </c>
    </row>
    <row r="4144" spans="1:16" x14ac:dyDescent="0.3">
      <c r="A4144">
        <v>8296</v>
      </c>
      <c r="B4144">
        <v>116</v>
      </c>
      <c r="C4144" t="s">
        <v>568</v>
      </c>
      <c r="D4144" s="453">
        <v>45627</v>
      </c>
      <c r="E4144">
        <v>20241</v>
      </c>
      <c r="F4144" t="s">
        <v>4538</v>
      </c>
      <c r="G4144">
        <v>2242</v>
      </c>
      <c r="H4144">
        <v>6</v>
      </c>
      <c r="I4144" t="s">
        <v>3872</v>
      </c>
      <c r="J4144" t="s">
        <v>3469</v>
      </c>
      <c r="K4144" t="s">
        <v>3799</v>
      </c>
      <c r="L4144">
        <v>0</v>
      </c>
      <c r="M4144" s="453">
        <v>-693593</v>
      </c>
      <c r="N4144">
        <v>0</v>
      </c>
      <c r="O4144">
        <v>15.02</v>
      </c>
      <c r="P4144">
        <v>90.12</v>
      </c>
    </row>
    <row r="4145" spans="1:16" x14ac:dyDescent="0.3">
      <c r="A4145">
        <v>8328</v>
      </c>
      <c r="B4145">
        <v>116</v>
      </c>
      <c r="C4145" t="s">
        <v>568</v>
      </c>
      <c r="D4145" s="453">
        <v>45627</v>
      </c>
      <c r="E4145">
        <v>19787</v>
      </c>
      <c r="F4145" t="s">
        <v>3940</v>
      </c>
      <c r="G4145">
        <v>2471</v>
      </c>
      <c r="H4145">
        <v>6.2</v>
      </c>
      <c r="I4145" t="s">
        <v>3892</v>
      </c>
      <c r="J4145" t="s">
        <v>3469</v>
      </c>
      <c r="K4145" t="s">
        <v>3799</v>
      </c>
      <c r="L4145">
        <v>14.52</v>
      </c>
      <c r="M4145" s="453">
        <v>45624</v>
      </c>
      <c r="N4145">
        <v>47.5</v>
      </c>
      <c r="O4145">
        <v>5.89</v>
      </c>
      <c r="P4145">
        <v>90.02</v>
      </c>
    </row>
    <row r="4146" spans="1:16" x14ac:dyDescent="0.3">
      <c r="A4146">
        <v>8376</v>
      </c>
      <c r="B4146">
        <v>116</v>
      </c>
      <c r="C4146" t="s">
        <v>568</v>
      </c>
      <c r="D4146" s="453">
        <v>45627</v>
      </c>
      <c r="E4146">
        <v>22843</v>
      </c>
      <c r="F4146" t="s">
        <v>4525</v>
      </c>
      <c r="G4146">
        <v>2936</v>
      </c>
      <c r="H4146">
        <v>2.2999999999999998</v>
      </c>
      <c r="I4146" t="s">
        <v>3892</v>
      </c>
      <c r="J4146" t="s">
        <v>3469</v>
      </c>
      <c r="K4146" t="s">
        <v>3799</v>
      </c>
      <c r="L4146">
        <v>0</v>
      </c>
      <c r="M4146" s="453">
        <v>-693593</v>
      </c>
      <c r="N4146">
        <v>0</v>
      </c>
      <c r="O4146">
        <v>37.9</v>
      </c>
      <c r="P4146">
        <v>87.17</v>
      </c>
    </row>
    <row r="4147" spans="1:16" x14ac:dyDescent="0.3">
      <c r="A4147">
        <v>8317</v>
      </c>
      <c r="B4147">
        <v>116</v>
      </c>
      <c r="C4147" t="s">
        <v>568</v>
      </c>
      <c r="D4147" s="453">
        <v>45627</v>
      </c>
      <c r="E4147">
        <v>20627</v>
      </c>
      <c r="F4147" t="s">
        <v>4513</v>
      </c>
      <c r="G4147">
        <v>2116</v>
      </c>
      <c r="H4147">
        <v>1</v>
      </c>
      <c r="I4147" t="s">
        <v>3886</v>
      </c>
      <c r="J4147" t="s">
        <v>3469</v>
      </c>
      <c r="K4147" t="s">
        <v>3799</v>
      </c>
      <c r="L4147">
        <v>0</v>
      </c>
      <c r="M4147" s="453">
        <v>45370</v>
      </c>
      <c r="N4147">
        <v>82</v>
      </c>
      <c r="O4147">
        <v>82</v>
      </c>
      <c r="P4147">
        <v>82</v>
      </c>
    </row>
    <row r="4148" spans="1:16" x14ac:dyDescent="0.3">
      <c r="A4148">
        <v>8394</v>
      </c>
      <c r="B4148">
        <v>116</v>
      </c>
      <c r="C4148" t="s">
        <v>568</v>
      </c>
      <c r="D4148" s="453">
        <v>45627</v>
      </c>
      <c r="E4148">
        <v>24227</v>
      </c>
      <c r="F4148" t="s">
        <v>3970</v>
      </c>
      <c r="G4148">
        <v>3648</v>
      </c>
      <c r="H4148">
        <v>12</v>
      </c>
      <c r="I4148" t="s">
        <v>3872</v>
      </c>
      <c r="J4148" t="s">
        <v>3497</v>
      </c>
      <c r="K4148" t="s">
        <v>3799</v>
      </c>
      <c r="L4148">
        <v>0</v>
      </c>
      <c r="M4148" s="453">
        <v>-693593</v>
      </c>
      <c r="N4148">
        <v>0</v>
      </c>
      <c r="O4148">
        <v>6.82</v>
      </c>
      <c r="P4148">
        <v>81.84</v>
      </c>
    </row>
    <row r="4149" spans="1:16" x14ac:dyDescent="0.3">
      <c r="A4149">
        <v>8295</v>
      </c>
      <c r="B4149">
        <v>116</v>
      </c>
      <c r="C4149" t="s">
        <v>568</v>
      </c>
      <c r="D4149" s="453">
        <v>45627</v>
      </c>
      <c r="E4149">
        <v>20238</v>
      </c>
      <c r="F4149" t="s">
        <v>4514</v>
      </c>
      <c r="G4149">
        <v>2242</v>
      </c>
      <c r="H4149">
        <v>11</v>
      </c>
      <c r="I4149" t="s">
        <v>3872</v>
      </c>
      <c r="J4149" t="s">
        <v>3469</v>
      </c>
      <c r="K4149" t="s">
        <v>3799</v>
      </c>
      <c r="L4149">
        <v>0</v>
      </c>
      <c r="M4149" s="453">
        <v>45573</v>
      </c>
      <c r="N4149">
        <v>7.37</v>
      </c>
      <c r="O4149">
        <v>7.46</v>
      </c>
      <c r="P4149">
        <v>81.069999999999993</v>
      </c>
    </row>
    <row r="4150" spans="1:16" x14ac:dyDescent="0.3">
      <c r="A4150">
        <v>8275</v>
      </c>
      <c r="B4150">
        <v>116</v>
      </c>
      <c r="C4150" t="s">
        <v>568</v>
      </c>
      <c r="D4150" s="453">
        <v>45627</v>
      </c>
      <c r="E4150">
        <v>18030</v>
      </c>
      <c r="F4150" t="s">
        <v>4033</v>
      </c>
      <c r="G4150">
        <v>3568</v>
      </c>
      <c r="H4150">
        <v>3</v>
      </c>
      <c r="I4150" t="s">
        <v>3878</v>
      </c>
      <c r="J4150" t="s">
        <v>3497</v>
      </c>
      <c r="K4150" t="s">
        <v>3799</v>
      </c>
      <c r="L4150">
        <v>0</v>
      </c>
      <c r="M4150" s="453">
        <v>45573</v>
      </c>
      <c r="N4150">
        <v>26.9</v>
      </c>
      <c r="O4150">
        <v>26.5</v>
      </c>
      <c r="P4150">
        <v>80.7</v>
      </c>
    </row>
    <row r="4151" spans="1:16" x14ac:dyDescent="0.3">
      <c r="A4151">
        <v>8313</v>
      </c>
      <c r="B4151">
        <v>116</v>
      </c>
      <c r="C4151" t="s">
        <v>568</v>
      </c>
      <c r="D4151" s="453">
        <v>45627</v>
      </c>
      <c r="E4151">
        <v>19961</v>
      </c>
      <c r="F4151" t="s">
        <v>4465</v>
      </c>
      <c r="G4151">
        <v>2357</v>
      </c>
      <c r="H4151">
        <v>9</v>
      </c>
      <c r="I4151" t="s">
        <v>3886</v>
      </c>
      <c r="J4151" t="s">
        <v>3469</v>
      </c>
      <c r="K4151" t="s">
        <v>3799</v>
      </c>
      <c r="L4151">
        <v>0</v>
      </c>
      <c r="M4151" s="453">
        <v>45517</v>
      </c>
      <c r="N4151">
        <v>8.5500000000000007</v>
      </c>
      <c r="O4151">
        <v>13.4</v>
      </c>
      <c r="P4151">
        <v>76.95</v>
      </c>
    </row>
    <row r="4152" spans="1:16" x14ac:dyDescent="0.3">
      <c r="A4152">
        <v>8259</v>
      </c>
      <c r="B4152">
        <v>116</v>
      </c>
      <c r="C4152" t="s">
        <v>568</v>
      </c>
      <c r="D4152" s="453">
        <v>45627</v>
      </c>
      <c r="E4152">
        <v>18341</v>
      </c>
      <c r="F4152" t="s">
        <v>4086</v>
      </c>
      <c r="G4152">
        <v>3293</v>
      </c>
      <c r="H4152">
        <v>2</v>
      </c>
      <c r="I4152" t="s">
        <v>3878</v>
      </c>
      <c r="J4152" t="s">
        <v>3497</v>
      </c>
      <c r="K4152" t="s">
        <v>3799</v>
      </c>
      <c r="L4152">
        <v>0</v>
      </c>
      <c r="M4152" s="453">
        <v>-693593</v>
      </c>
      <c r="N4152">
        <v>0</v>
      </c>
      <c r="O4152">
        <v>38</v>
      </c>
      <c r="P4152">
        <v>76</v>
      </c>
    </row>
    <row r="4153" spans="1:16" x14ac:dyDescent="0.3">
      <c r="A4153">
        <v>8294</v>
      </c>
      <c r="B4153">
        <v>116</v>
      </c>
      <c r="C4153" t="s">
        <v>568</v>
      </c>
      <c r="D4153" s="453">
        <v>45627</v>
      </c>
      <c r="E4153">
        <v>20250</v>
      </c>
      <c r="F4153" t="s">
        <v>4008</v>
      </c>
      <c r="G4153">
        <v>2241</v>
      </c>
      <c r="H4153">
        <v>2</v>
      </c>
      <c r="I4153" t="s">
        <v>3888</v>
      </c>
      <c r="J4153" t="s">
        <v>3469</v>
      </c>
      <c r="K4153" t="s">
        <v>3799</v>
      </c>
      <c r="L4153">
        <v>37.700000000000003</v>
      </c>
      <c r="M4153" s="453">
        <v>45615</v>
      </c>
      <c r="N4153">
        <v>37.700000000000003</v>
      </c>
      <c r="O4153">
        <v>37.700000000000003</v>
      </c>
      <c r="P4153">
        <v>75.400000000000006</v>
      </c>
    </row>
    <row r="4154" spans="1:16" x14ac:dyDescent="0.3">
      <c r="A4154">
        <v>8280</v>
      </c>
      <c r="B4154">
        <v>116</v>
      </c>
      <c r="C4154" t="s">
        <v>568</v>
      </c>
      <c r="D4154" s="453">
        <v>45627</v>
      </c>
      <c r="E4154">
        <v>20757</v>
      </c>
      <c r="F4154" t="s">
        <v>4050</v>
      </c>
      <c r="G4154">
        <v>2086</v>
      </c>
      <c r="H4154">
        <v>1</v>
      </c>
      <c r="I4154" t="s">
        <v>3966</v>
      </c>
      <c r="J4154" t="s">
        <v>3469</v>
      </c>
      <c r="K4154" t="s">
        <v>3799</v>
      </c>
      <c r="L4154">
        <v>0</v>
      </c>
      <c r="M4154" s="453">
        <v>45589</v>
      </c>
      <c r="N4154">
        <v>75.2</v>
      </c>
      <c r="O4154">
        <v>79.2</v>
      </c>
      <c r="P4154">
        <v>75.2</v>
      </c>
    </row>
    <row r="4155" spans="1:16" x14ac:dyDescent="0.3">
      <c r="A4155">
        <v>8321</v>
      </c>
      <c r="B4155">
        <v>116</v>
      </c>
      <c r="C4155" t="s">
        <v>568</v>
      </c>
      <c r="D4155" s="453">
        <v>45627</v>
      </c>
      <c r="E4155">
        <v>19922</v>
      </c>
      <c r="F4155" t="s">
        <v>4480</v>
      </c>
      <c r="G4155">
        <v>2375</v>
      </c>
      <c r="H4155">
        <v>1</v>
      </c>
      <c r="I4155" t="s">
        <v>3888</v>
      </c>
      <c r="J4155" t="s">
        <v>3469</v>
      </c>
      <c r="K4155" t="s">
        <v>3799</v>
      </c>
      <c r="L4155">
        <v>0</v>
      </c>
      <c r="M4155" s="453">
        <v>-693593</v>
      </c>
      <c r="N4155">
        <v>0</v>
      </c>
      <c r="O4155">
        <v>73.430000000000007</v>
      </c>
      <c r="P4155">
        <v>73.430000000000007</v>
      </c>
    </row>
    <row r="4156" spans="1:16" x14ac:dyDescent="0.3">
      <c r="A4156">
        <v>8314</v>
      </c>
      <c r="B4156">
        <v>116</v>
      </c>
      <c r="C4156" t="s">
        <v>568</v>
      </c>
      <c r="D4156" s="453">
        <v>45627</v>
      </c>
      <c r="E4156">
        <v>19967</v>
      </c>
      <c r="F4156" t="s">
        <v>3930</v>
      </c>
      <c r="G4156">
        <v>2356</v>
      </c>
      <c r="H4156">
        <v>1.5</v>
      </c>
      <c r="I4156" t="s">
        <v>3931</v>
      </c>
      <c r="J4156" t="s">
        <v>3469</v>
      </c>
      <c r="K4156" t="s">
        <v>3799</v>
      </c>
      <c r="L4156">
        <v>47.94</v>
      </c>
      <c r="M4156" s="453">
        <v>45622</v>
      </c>
      <c r="N4156">
        <v>47.94</v>
      </c>
      <c r="O4156">
        <v>47.8</v>
      </c>
      <c r="P4156">
        <v>71.91</v>
      </c>
    </row>
    <row r="4157" spans="1:16" x14ac:dyDescent="0.3">
      <c r="A4157">
        <v>8250</v>
      </c>
      <c r="B4157">
        <v>116</v>
      </c>
      <c r="C4157" t="s">
        <v>568</v>
      </c>
      <c r="D4157" s="453">
        <v>45627</v>
      </c>
      <c r="E4157">
        <v>18545</v>
      </c>
      <c r="F4157" t="s">
        <v>4099</v>
      </c>
      <c r="G4157">
        <v>3134</v>
      </c>
      <c r="H4157">
        <v>1.3</v>
      </c>
      <c r="I4157" t="s">
        <v>3878</v>
      </c>
      <c r="J4157" t="s">
        <v>3497</v>
      </c>
      <c r="K4157" t="s">
        <v>3799</v>
      </c>
      <c r="L4157">
        <v>49.99</v>
      </c>
      <c r="M4157" s="453">
        <v>45616</v>
      </c>
      <c r="N4157">
        <v>49.99</v>
      </c>
      <c r="O4157">
        <v>48.39</v>
      </c>
      <c r="P4157">
        <v>64.989999999999995</v>
      </c>
    </row>
    <row r="4158" spans="1:16" x14ac:dyDescent="0.3">
      <c r="A4158">
        <v>8332</v>
      </c>
      <c r="B4158">
        <v>116</v>
      </c>
      <c r="C4158" t="s">
        <v>568</v>
      </c>
      <c r="D4158" s="453">
        <v>45627</v>
      </c>
      <c r="E4158">
        <v>19649</v>
      </c>
      <c r="F4158" t="s">
        <v>4015</v>
      </c>
      <c r="G4158">
        <v>2589</v>
      </c>
      <c r="H4158">
        <v>2.5</v>
      </c>
      <c r="I4158" t="s">
        <v>3892</v>
      </c>
      <c r="J4158" t="s">
        <v>3469</v>
      </c>
      <c r="K4158" t="s">
        <v>3799</v>
      </c>
      <c r="L4158">
        <v>25.97</v>
      </c>
      <c r="M4158" s="453">
        <v>45614</v>
      </c>
      <c r="N4158">
        <v>23.9</v>
      </c>
      <c r="O4158">
        <v>25</v>
      </c>
      <c r="P4158">
        <v>64.92</v>
      </c>
    </row>
    <row r="4159" spans="1:16" x14ac:dyDescent="0.3">
      <c r="A4159">
        <v>8257</v>
      </c>
      <c r="B4159">
        <v>116</v>
      </c>
      <c r="C4159" t="s">
        <v>568</v>
      </c>
      <c r="D4159" s="453">
        <v>45627</v>
      </c>
      <c r="E4159">
        <v>18395</v>
      </c>
      <c r="F4159" t="s">
        <v>4085</v>
      </c>
      <c r="G4159">
        <v>3245</v>
      </c>
      <c r="H4159">
        <v>2</v>
      </c>
      <c r="I4159" t="s">
        <v>3878</v>
      </c>
      <c r="J4159" t="s">
        <v>3497</v>
      </c>
      <c r="K4159" t="s">
        <v>3799</v>
      </c>
      <c r="L4159">
        <v>0</v>
      </c>
      <c r="M4159" s="453">
        <v>45569</v>
      </c>
      <c r="N4159">
        <v>32.43</v>
      </c>
      <c r="O4159">
        <v>34.6</v>
      </c>
      <c r="P4159">
        <v>64.86</v>
      </c>
    </row>
    <row r="4160" spans="1:16" x14ac:dyDescent="0.3">
      <c r="A4160">
        <v>8274</v>
      </c>
      <c r="B4160">
        <v>116</v>
      </c>
      <c r="C4160" t="s">
        <v>568</v>
      </c>
      <c r="D4160" s="453">
        <v>45627</v>
      </c>
      <c r="E4160">
        <v>18111</v>
      </c>
      <c r="F4160" t="s">
        <v>4047</v>
      </c>
      <c r="G4160">
        <v>3500</v>
      </c>
      <c r="H4160">
        <v>0.7</v>
      </c>
      <c r="I4160" t="s">
        <v>3878</v>
      </c>
      <c r="J4160" t="s">
        <v>3497</v>
      </c>
      <c r="K4160" t="s">
        <v>3799</v>
      </c>
      <c r="L4160">
        <v>0</v>
      </c>
      <c r="M4160" s="453">
        <v>45559</v>
      </c>
      <c r="N4160">
        <v>92.47</v>
      </c>
      <c r="O4160">
        <v>92.47</v>
      </c>
      <c r="P4160">
        <v>64.73</v>
      </c>
    </row>
    <row r="4161" spans="1:16" x14ac:dyDescent="0.3">
      <c r="A4161">
        <v>8299</v>
      </c>
      <c r="B4161">
        <v>116</v>
      </c>
      <c r="C4161" t="s">
        <v>568</v>
      </c>
      <c r="D4161" s="453">
        <v>45627</v>
      </c>
      <c r="E4161">
        <v>20213</v>
      </c>
      <c r="F4161" t="s">
        <v>4059</v>
      </c>
      <c r="G4161">
        <v>2251</v>
      </c>
      <c r="H4161">
        <v>1.7</v>
      </c>
      <c r="I4161" t="s">
        <v>3888</v>
      </c>
      <c r="J4161" t="s">
        <v>3469</v>
      </c>
      <c r="K4161" t="s">
        <v>3799</v>
      </c>
      <c r="L4161">
        <v>0</v>
      </c>
      <c r="M4161" s="453">
        <v>45595</v>
      </c>
      <c r="N4161">
        <v>37.15</v>
      </c>
      <c r="O4161">
        <v>31.2</v>
      </c>
      <c r="P4161">
        <v>63.15</v>
      </c>
    </row>
    <row r="4162" spans="1:16" x14ac:dyDescent="0.3">
      <c r="A4162">
        <v>8303</v>
      </c>
      <c r="B4162">
        <v>116</v>
      </c>
      <c r="C4162" t="s">
        <v>568</v>
      </c>
      <c r="D4162" s="453">
        <v>45627</v>
      </c>
      <c r="E4162">
        <v>24339</v>
      </c>
      <c r="F4162" t="s">
        <v>4119</v>
      </c>
      <c r="G4162">
        <v>2153</v>
      </c>
      <c r="H4162">
        <v>1.5</v>
      </c>
      <c r="I4162" t="s">
        <v>3892</v>
      </c>
      <c r="J4162" t="s">
        <v>3469</v>
      </c>
      <c r="K4162" t="s">
        <v>3799</v>
      </c>
      <c r="L4162">
        <v>0</v>
      </c>
      <c r="M4162" s="453">
        <v>-693593</v>
      </c>
      <c r="N4162">
        <v>0</v>
      </c>
      <c r="O4162">
        <v>39.9</v>
      </c>
      <c r="P4162">
        <v>59.85</v>
      </c>
    </row>
    <row r="4163" spans="1:16" x14ac:dyDescent="0.3">
      <c r="A4163">
        <v>8307</v>
      </c>
      <c r="B4163">
        <v>116</v>
      </c>
      <c r="C4163" t="s">
        <v>568</v>
      </c>
      <c r="D4163" s="453">
        <v>45627</v>
      </c>
      <c r="E4163">
        <v>20117</v>
      </c>
      <c r="F4163" t="s">
        <v>4010</v>
      </c>
      <c r="G4163">
        <v>2291</v>
      </c>
      <c r="H4163">
        <v>1.5</v>
      </c>
      <c r="I4163" t="s">
        <v>3872</v>
      </c>
      <c r="J4163" t="s">
        <v>3469</v>
      </c>
      <c r="K4163" t="s">
        <v>3799</v>
      </c>
      <c r="L4163">
        <v>39.33</v>
      </c>
      <c r="M4163" s="453">
        <v>45608</v>
      </c>
      <c r="N4163">
        <v>39.33</v>
      </c>
      <c r="O4163">
        <v>37.9</v>
      </c>
      <c r="P4163">
        <v>59</v>
      </c>
    </row>
    <row r="4164" spans="1:16" x14ac:dyDescent="0.3">
      <c r="A4164">
        <v>8370</v>
      </c>
      <c r="B4164">
        <v>116</v>
      </c>
      <c r="C4164" t="s">
        <v>568</v>
      </c>
      <c r="D4164" s="453">
        <v>45627</v>
      </c>
      <c r="E4164">
        <v>19264</v>
      </c>
      <c r="F4164" t="s">
        <v>4082</v>
      </c>
      <c r="G4164">
        <v>2781</v>
      </c>
      <c r="H4164">
        <v>0.9</v>
      </c>
      <c r="I4164" t="s">
        <v>3888</v>
      </c>
      <c r="J4164" t="s">
        <v>3469</v>
      </c>
      <c r="K4164" t="s">
        <v>3799</v>
      </c>
      <c r="L4164">
        <v>64.900000000000006</v>
      </c>
      <c r="M4164" s="453">
        <v>45615</v>
      </c>
      <c r="N4164">
        <v>64.900000000000006</v>
      </c>
      <c r="O4164">
        <v>56.42</v>
      </c>
      <c r="P4164">
        <v>58.41</v>
      </c>
    </row>
    <row r="4165" spans="1:16" x14ac:dyDescent="0.3">
      <c r="A4165">
        <v>8277</v>
      </c>
      <c r="B4165">
        <v>116</v>
      </c>
      <c r="C4165" t="s">
        <v>568</v>
      </c>
      <c r="D4165" s="453">
        <v>45627</v>
      </c>
      <c r="E4165">
        <v>21093</v>
      </c>
      <c r="F4165" t="s">
        <v>3903</v>
      </c>
      <c r="G4165">
        <v>1988</v>
      </c>
      <c r="H4165">
        <v>12</v>
      </c>
      <c r="I4165" t="s">
        <v>3892</v>
      </c>
      <c r="J4165" t="s">
        <v>3469</v>
      </c>
      <c r="K4165" t="s">
        <v>3799</v>
      </c>
      <c r="L4165">
        <v>4.75</v>
      </c>
      <c r="M4165" s="453">
        <v>45608</v>
      </c>
      <c r="N4165">
        <v>4.75</v>
      </c>
      <c r="O4165">
        <v>4.7</v>
      </c>
      <c r="P4165">
        <v>57</v>
      </c>
    </row>
    <row r="4166" spans="1:16" x14ac:dyDescent="0.3">
      <c r="A4166">
        <v>8249</v>
      </c>
      <c r="B4166">
        <v>116</v>
      </c>
      <c r="C4166" t="s">
        <v>568</v>
      </c>
      <c r="D4166" s="453">
        <v>45627</v>
      </c>
      <c r="E4166">
        <v>18528</v>
      </c>
      <c r="F4166" t="s">
        <v>4108</v>
      </c>
      <c r="G4166">
        <v>3147</v>
      </c>
      <c r="H4166">
        <v>1</v>
      </c>
      <c r="I4166" t="s">
        <v>3878</v>
      </c>
      <c r="J4166" t="s">
        <v>3497</v>
      </c>
      <c r="K4166" t="s">
        <v>3799</v>
      </c>
      <c r="L4166">
        <v>0</v>
      </c>
      <c r="M4166" s="453">
        <v>45503</v>
      </c>
      <c r="N4166">
        <v>55.9</v>
      </c>
      <c r="O4166">
        <v>55.9</v>
      </c>
      <c r="P4166">
        <v>55.9</v>
      </c>
    </row>
    <row r="4167" spans="1:16" x14ac:dyDescent="0.3">
      <c r="A4167">
        <v>8341</v>
      </c>
      <c r="B4167">
        <v>116</v>
      </c>
      <c r="C4167" t="s">
        <v>568</v>
      </c>
      <c r="D4167" s="453">
        <v>45627</v>
      </c>
      <c r="E4167">
        <v>19486</v>
      </c>
      <c r="F4167" t="s">
        <v>4472</v>
      </c>
      <c r="G4167">
        <v>7790</v>
      </c>
      <c r="H4167">
        <v>1.5</v>
      </c>
      <c r="I4167" t="s">
        <v>3966</v>
      </c>
      <c r="J4167" t="s">
        <v>3469</v>
      </c>
      <c r="K4167" t="s">
        <v>3799</v>
      </c>
      <c r="L4167">
        <v>0</v>
      </c>
      <c r="M4167" s="453">
        <v>45560</v>
      </c>
      <c r="N4167">
        <v>36.5</v>
      </c>
      <c r="O4167">
        <v>36.5</v>
      </c>
      <c r="P4167">
        <v>54.75</v>
      </c>
    </row>
    <row r="4168" spans="1:16" x14ac:dyDescent="0.3">
      <c r="A4168">
        <v>8375</v>
      </c>
      <c r="B4168">
        <v>116</v>
      </c>
      <c r="C4168" t="s">
        <v>568</v>
      </c>
      <c r="D4168" s="453">
        <v>45627</v>
      </c>
      <c r="E4168">
        <v>24194</v>
      </c>
      <c r="F4168" t="s">
        <v>4181</v>
      </c>
      <c r="G4168">
        <v>3038</v>
      </c>
      <c r="H4168">
        <v>1.8</v>
      </c>
      <c r="I4168" t="s">
        <v>3892</v>
      </c>
      <c r="J4168" t="s">
        <v>3469</v>
      </c>
      <c r="K4168" t="s">
        <v>3799</v>
      </c>
      <c r="L4168">
        <v>0</v>
      </c>
      <c r="M4168" s="453">
        <v>45595</v>
      </c>
      <c r="N4168">
        <v>28.9</v>
      </c>
      <c r="O4168">
        <v>42</v>
      </c>
      <c r="P4168">
        <v>52.02</v>
      </c>
    </row>
    <row r="4169" spans="1:16" x14ac:dyDescent="0.3">
      <c r="A4169">
        <v>8364</v>
      </c>
      <c r="B4169">
        <v>116</v>
      </c>
      <c r="C4169" t="s">
        <v>568</v>
      </c>
      <c r="D4169" s="453">
        <v>45627</v>
      </c>
      <c r="E4169">
        <v>19420</v>
      </c>
      <c r="F4169" t="s">
        <v>3899</v>
      </c>
      <c r="G4169">
        <v>2758</v>
      </c>
      <c r="H4169">
        <v>8</v>
      </c>
      <c r="I4169" t="s">
        <v>3872</v>
      </c>
      <c r="J4169" t="s">
        <v>3469</v>
      </c>
      <c r="K4169" t="s">
        <v>3799</v>
      </c>
      <c r="L4169">
        <v>0</v>
      </c>
      <c r="M4169" s="453">
        <v>45503</v>
      </c>
      <c r="N4169">
        <v>6.05</v>
      </c>
      <c r="O4169">
        <v>6.12</v>
      </c>
      <c r="P4169">
        <v>48.4</v>
      </c>
    </row>
    <row r="4170" spans="1:16" x14ac:dyDescent="0.3">
      <c r="A4170">
        <v>8276</v>
      </c>
      <c r="B4170">
        <v>116</v>
      </c>
      <c r="C4170" t="s">
        <v>568</v>
      </c>
      <c r="D4170" s="453">
        <v>45627</v>
      </c>
      <c r="E4170">
        <v>21062</v>
      </c>
      <c r="F4170" t="s">
        <v>4481</v>
      </c>
      <c r="G4170">
        <v>1997</v>
      </c>
      <c r="H4170">
        <v>3</v>
      </c>
      <c r="I4170" t="s">
        <v>3878</v>
      </c>
      <c r="J4170" t="s">
        <v>3469</v>
      </c>
      <c r="K4170" t="s">
        <v>3799</v>
      </c>
      <c r="L4170">
        <v>0</v>
      </c>
      <c r="M4170" s="453">
        <v>-693593</v>
      </c>
      <c r="N4170">
        <v>0</v>
      </c>
      <c r="O4170">
        <v>15.67</v>
      </c>
      <c r="P4170">
        <v>47.01</v>
      </c>
    </row>
    <row r="4171" spans="1:16" x14ac:dyDescent="0.3">
      <c r="A4171">
        <v>8292</v>
      </c>
      <c r="B4171">
        <v>116</v>
      </c>
      <c r="C4171" t="s">
        <v>568</v>
      </c>
      <c r="D4171" s="453">
        <v>45627</v>
      </c>
      <c r="E4171">
        <v>20359</v>
      </c>
      <c r="F4171" t="s">
        <v>3917</v>
      </c>
      <c r="G4171">
        <v>2199</v>
      </c>
      <c r="H4171">
        <v>10.5</v>
      </c>
      <c r="I4171" t="s">
        <v>3872</v>
      </c>
      <c r="J4171" t="s">
        <v>3469</v>
      </c>
      <c r="K4171" t="s">
        <v>3799</v>
      </c>
      <c r="L4171">
        <v>4.43</v>
      </c>
      <c r="M4171" s="453">
        <v>45623</v>
      </c>
      <c r="N4171">
        <v>4.43</v>
      </c>
      <c r="O4171">
        <v>4.45</v>
      </c>
      <c r="P4171">
        <v>46.52</v>
      </c>
    </row>
    <row r="4172" spans="1:16" x14ac:dyDescent="0.3">
      <c r="A4172">
        <v>8266</v>
      </c>
      <c r="B4172">
        <v>116</v>
      </c>
      <c r="C4172" t="s">
        <v>568</v>
      </c>
      <c r="D4172" s="453">
        <v>45627</v>
      </c>
      <c r="E4172">
        <v>18272</v>
      </c>
      <c r="F4172" t="s">
        <v>4046</v>
      </c>
      <c r="G4172">
        <v>3358</v>
      </c>
      <c r="H4172">
        <v>1.3</v>
      </c>
      <c r="I4172" t="s">
        <v>3878</v>
      </c>
      <c r="J4172" t="s">
        <v>3497</v>
      </c>
      <c r="K4172" t="s">
        <v>3799</v>
      </c>
      <c r="L4172">
        <v>0</v>
      </c>
      <c r="M4172" s="453">
        <v>45586</v>
      </c>
      <c r="N4172">
        <v>35.5</v>
      </c>
      <c r="O4172">
        <v>36.58</v>
      </c>
      <c r="P4172">
        <v>46.15</v>
      </c>
    </row>
    <row r="4173" spans="1:16" x14ac:dyDescent="0.3">
      <c r="A4173">
        <v>8278</v>
      </c>
      <c r="B4173">
        <v>116</v>
      </c>
      <c r="C4173" t="s">
        <v>568</v>
      </c>
      <c r="D4173" s="453">
        <v>45627</v>
      </c>
      <c r="E4173">
        <v>21085</v>
      </c>
      <c r="F4173" t="s">
        <v>4114</v>
      </c>
      <c r="G4173">
        <v>1989</v>
      </c>
      <c r="H4173">
        <v>1</v>
      </c>
      <c r="I4173" t="s">
        <v>3881</v>
      </c>
      <c r="J4173" t="s">
        <v>3469</v>
      </c>
      <c r="K4173" t="s">
        <v>3799</v>
      </c>
      <c r="L4173">
        <v>0</v>
      </c>
      <c r="M4173" s="453">
        <v>45524</v>
      </c>
      <c r="N4173">
        <v>44.8</v>
      </c>
      <c r="O4173">
        <v>22.16</v>
      </c>
      <c r="P4173">
        <v>44.8</v>
      </c>
    </row>
    <row r="4174" spans="1:16" x14ac:dyDescent="0.3">
      <c r="A4174">
        <v>8351</v>
      </c>
      <c r="B4174">
        <v>116</v>
      </c>
      <c r="C4174" t="s">
        <v>568</v>
      </c>
      <c r="D4174" s="453">
        <v>45627</v>
      </c>
      <c r="E4174">
        <v>19740</v>
      </c>
      <c r="F4174" t="s">
        <v>3933</v>
      </c>
      <c r="G4174">
        <v>2513</v>
      </c>
      <c r="H4174">
        <v>5</v>
      </c>
      <c r="I4174" t="s">
        <v>3892</v>
      </c>
      <c r="J4174" t="s">
        <v>3469</v>
      </c>
      <c r="K4174" t="s">
        <v>3799</v>
      </c>
      <c r="L4174">
        <v>8.9499999999999993</v>
      </c>
      <c r="M4174" s="453">
        <v>45624</v>
      </c>
      <c r="N4174">
        <v>0.6</v>
      </c>
      <c r="O4174">
        <v>11.2</v>
      </c>
      <c r="P4174">
        <v>44.75</v>
      </c>
    </row>
    <row r="4175" spans="1:16" x14ac:dyDescent="0.3">
      <c r="A4175">
        <v>8248</v>
      </c>
      <c r="B4175">
        <v>116</v>
      </c>
      <c r="C4175" t="s">
        <v>568</v>
      </c>
      <c r="D4175" s="453">
        <v>45627</v>
      </c>
      <c r="E4175">
        <v>18547</v>
      </c>
      <c r="F4175" t="s">
        <v>3962</v>
      </c>
      <c r="G4175">
        <v>3132</v>
      </c>
      <c r="H4175">
        <v>1.2</v>
      </c>
      <c r="I4175" t="s">
        <v>3878</v>
      </c>
      <c r="J4175" t="s">
        <v>3497</v>
      </c>
      <c r="K4175" t="s">
        <v>3799</v>
      </c>
      <c r="L4175">
        <v>0</v>
      </c>
      <c r="M4175" s="453">
        <v>-693593</v>
      </c>
      <c r="N4175">
        <v>0</v>
      </c>
      <c r="O4175">
        <v>36.9</v>
      </c>
      <c r="P4175">
        <v>44.28</v>
      </c>
    </row>
    <row r="4176" spans="1:16" x14ac:dyDescent="0.3">
      <c r="A4176">
        <v>8327</v>
      </c>
      <c r="B4176">
        <v>116</v>
      </c>
      <c r="C4176" t="s">
        <v>568</v>
      </c>
      <c r="D4176" s="453">
        <v>45627</v>
      </c>
      <c r="E4176">
        <v>20954</v>
      </c>
      <c r="F4176" t="s">
        <v>4452</v>
      </c>
      <c r="G4176">
        <v>2021</v>
      </c>
      <c r="H4176">
        <v>1</v>
      </c>
      <c r="I4176" t="s">
        <v>3878</v>
      </c>
      <c r="J4176" t="s">
        <v>3469</v>
      </c>
      <c r="K4176" t="s">
        <v>3799</v>
      </c>
      <c r="L4176">
        <v>0</v>
      </c>
      <c r="M4176" s="453">
        <v>-693593</v>
      </c>
      <c r="N4176">
        <v>0</v>
      </c>
      <c r="O4176">
        <v>43.99</v>
      </c>
      <c r="P4176">
        <v>43.99</v>
      </c>
    </row>
    <row r="4177" spans="1:16" x14ac:dyDescent="0.3">
      <c r="A4177">
        <v>8302</v>
      </c>
      <c r="B4177">
        <v>116</v>
      </c>
      <c r="C4177" t="s">
        <v>568</v>
      </c>
      <c r="D4177" s="453">
        <v>45627</v>
      </c>
      <c r="E4177">
        <v>20521</v>
      </c>
      <c r="F4177" t="s">
        <v>4545</v>
      </c>
      <c r="G4177">
        <v>2149</v>
      </c>
      <c r="H4177">
        <v>1.9</v>
      </c>
      <c r="I4177" t="s">
        <v>3892</v>
      </c>
      <c r="J4177" t="s">
        <v>3469</v>
      </c>
      <c r="K4177" t="s">
        <v>3799</v>
      </c>
      <c r="L4177">
        <v>22.52</v>
      </c>
      <c r="M4177" s="453">
        <v>45615</v>
      </c>
      <c r="N4177">
        <v>22.52</v>
      </c>
      <c r="O4177">
        <v>22.52</v>
      </c>
      <c r="P4177">
        <v>42.79</v>
      </c>
    </row>
    <row r="4178" spans="1:16" x14ac:dyDescent="0.3">
      <c r="A4178">
        <v>8298</v>
      </c>
      <c r="B4178">
        <v>116</v>
      </c>
      <c r="C4178" t="s">
        <v>568</v>
      </c>
      <c r="D4178" s="453">
        <v>45627</v>
      </c>
      <c r="E4178">
        <v>20225</v>
      </c>
      <c r="F4178" t="s">
        <v>4530</v>
      </c>
      <c r="G4178">
        <v>2248</v>
      </c>
      <c r="H4178">
        <v>5</v>
      </c>
      <c r="I4178" t="s">
        <v>3888</v>
      </c>
      <c r="J4178" t="s">
        <v>3469</v>
      </c>
      <c r="K4178" t="s">
        <v>3799</v>
      </c>
      <c r="L4178">
        <v>8.4600000000000009</v>
      </c>
      <c r="M4178" s="453">
        <v>45615</v>
      </c>
      <c r="N4178">
        <v>8.4600000000000009</v>
      </c>
      <c r="O4178">
        <v>7.95</v>
      </c>
      <c r="P4178">
        <v>42.3</v>
      </c>
    </row>
    <row r="4179" spans="1:16" x14ac:dyDescent="0.3">
      <c r="A4179">
        <v>8387</v>
      </c>
      <c r="B4179">
        <v>116</v>
      </c>
      <c r="C4179" t="s">
        <v>568</v>
      </c>
      <c r="D4179" s="453">
        <v>45627</v>
      </c>
      <c r="E4179">
        <v>24002</v>
      </c>
      <c r="F4179" t="s">
        <v>3924</v>
      </c>
      <c r="G4179">
        <v>3614</v>
      </c>
      <c r="H4179">
        <v>7</v>
      </c>
      <c r="I4179" t="s">
        <v>3872</v>
      </c>
      <c r="J4179" t="s">
        <v>3497</v>
      </c>
      <c r="K4179" t="s">
        <v>3799</v>
      </c>
      <c r="L4179">
        <v>0</v>
      </c>
      <c r="M4179" s="453">
        <v>45391</v>
      </c>
      <c r="N4179">
        <v>6</v>
      </c>
      <c r="O4179">
        <v>7.3</v>
      </c>
      <c r="P4179">
        <v>42</v>
      </c>
    </row>
    <row r="4180" spans="1:16" x14ac:dyDescent="0.3">
      <c r="A4180">
        <v>8349</v>
      </c>
      <c r="B4180">
        <v>116</v>
      </c>
      <c r="C4180" t="s">
        <v>568</v>
      </c>
      <c r="D4180" s="453">
        <v>45627</v>
      </c>
      <c r="E4180">
        <v>19476</v>
      </c>
      <c r="F4180" t="s">
        <v>4546</v>
      </c>
      <c r="G4180">
        <v>2729</v>
      </c>
      <c r="H4180">
        <v>1</v>
      </c>
      <c r="I4180" t="s">
        <v>3892</v>
      </c>
      <c r="J4180" t="s">
        <v>3469</v>
      </c>
      <c r="K4180" t="s">
        <v>3799</v>
      </c>
      <c r="L4180">
        <v>0</v>
      </c>
      <c r="M4180" s="453">
        <v>45366</v>
      </c>
      <c r="N4180">
        <v>0</v>
      </c>
      <c r="O4180">
        <v>41.81</v>
      </c>
      <c r="P4180">
        <v>41.81</v>
      </c>
    </row>
    <row r="4181" spans="1:16" x14ac:dyDescent="0.3">
      <c r="A4181">
        <v>8285</v>
      </c>
      <c r="B4181">
        <v>116</v>
      </c>
      <c r="C4181" t="s">
        <v>568</v>
      </c>
      <c r="D4181" s="453">
        <v>45627</v>
      </c>
      <c r="E4181">
        <v>20287</v>
      </c>
      <c r="F4181" t="s">
        <v>4053</v>
      </c>
      <c r="G4181">
        <v>2229</v>
      </c>
      <c r="H4181">
        <v>1.2</v>
      </c>
      <c r="I4181" t="s">
        <v>3888</v>
      </c>
      <c r="J4181" t="s">
        <v>3469</v>
      </c>
      <c r="K4181" t="s">
        <v>3799</v>
      </c>
      <c r="L4181">
        <v>0</v>
      </c>
      <c r="M4181" s="453">
        <v>45574</v>
      </c>
      <c r="N4181">
        <v>32.4</v>
      </c>
      <c r="O4181">
        <v>24.65</v>
      </c>
      <c r="P4181">
        <v>38.880000000000003</v>
      </c>
    </row>
    <row r="4182" spans="1:16" x14ac:dyDescent="0.3">
      <c r="A4182">
        <v>8291</v>
      </c>
      <c r="B4182">
        <v>116</v>
      </c>
      <c r="C4182" t="s">
        <v>568</v>
      </c>
      <c r="D4182" s="453">
        <v>45627</v>
      </c>
      <c r="E4182">
        <v>20402</v>
      </c>
      <c r="F4182" t="s">
        <v>4507</v>
      </c>
      <c r="G4182">
        <v>2191</v>
      </c>
      <c r="H4182">
        <v>3</v>
      </c>
      <c r="I4182" t="s">
        <v>3872</v>
      </c>
      <c r="J4182" t="s">
        <v>3469</v>
      </c>
      <c r="K4182" t="s">
        <v>3799</v>
      </c>
      <c r="L4182">
        <v>0</v>
      </c>
      <c r="M4182" s="453">
        <v>-693593</v>
      </c>
      <c r="N4182">
        <v>0</v>
      </c>
      <c r="O4182">
        <v>12.3</v>
      </c>
      <c r="P4182">
        <v>36.9</v>
      </c>
    </row>
    <row r="4183" spans="1:16" x14ac:dyDescent="0.3">
      <c r="A4183">
        <v>8339</v>
      </c>
      <c r="B4183">
        <v>116</v>
      </c>
      <c r="C4183" t="s">
        <v>568</v>
      </c>
      <c r="D4183" s="453">
        <v>45627</v>
      </c>
      <c r="E4183">
        <v>19628</v>
      </c>
      <c r="F4183" t="s">
        <v>4515</v>
      </c>
      <c r="G4183">
        <v>2606</v>
      </c>
      <c r="H4183">
        <v>8</v>
      </c>
      <c r="I4183" t="s">
        <v>3892</v>
      </c>
      <c r="J4183" t="s">
        <v>3469</v>
      </c>
      <c r="K4183" t="s">
        <v>3799</v>
      </c>
      <c r="L4183">
        <v>4.49</v>
      </c>
      <c r="M4183" s="453">
        <v>45624</v>
      </c>
      <c r="N4183">
        <v>10.8</v>
      </c>
      <c r="O4183">
        <v>1.84</v>
      </c>
      <c r="P4183">
        <v>35.92</v>
      </c>
    </row>
    <row r="4184" spans="1:16" x14ac:dyDescent="0.3">
      <c r="A4184">
        <v>8290</v>
      </c>
      <c r="B4184">
        <v>116</v>
      </c>
      <c r="C4184" t="s">
        <v>568</v>
      </c>
      <c r="D4184" s="453">
        <v>45627</v>
      </c>
      <c r="E4184">
        <v>20702</v>
      </c>
      <c r="F4184" t="s">
        <v>4006</v>
      </c>
      <c r="G4184">
        <v>2101</v>
      </c>
      <c r="H4184">
        <v>0.9</v>
      </c>
      <c r="I4184" t="s">
        <v>3966</v>
      </c>
      <c r="J4184" t="s">
        <v>3469</v>
      </c>
      <c r="K4184" t="s">
        <v>3799</v>
      </c>
      <c r="L4184">
        <v>37.799999999999997</v>
      </c>
      <c r="M4184" s="453">
        <v>45615</v>
      </c>
      <c r="N4184">
        <v>37.799999999999997</v>
      </c>
      <c r="O4184">
        <v>51.24</v>
      </c>
      <c r="P4184">
        <v>34.020000000000003</v>
      </c>
    </row>
    <row r="4185" spans="1:16" x14ac:dyDescent="0.3">
      <c r="A4185">
        <v>8287</v>
      </c>
      <c r="B4185">
        <v>116</v>
      </c>
      <c r="C4185" t="s">
        <v>568</v>
      </c>
      <c r="D4185" s="453">
        <v>45627</v>
      </c>
      <c r="E4185">
        <v>20809</v>
      </c>
      <c r="F4185" t="s">
        <v>4005</v>
      </c>
      <c r="G4185">
        <v>2074</v>
      </c>
      <c r="H4185">
        <v>1.5</v>
      </c>
      <c r="I4185" t="s">
        <v>3888</v>
      </c>
      <c r="J4185" t="s">
        <v>3469</v>
      </c>
      <c r="K4185" t="s">
        <v>3799</v>
      </c>
      <c r="L4185">
        <v>22.25</v>
      </c>
      <c r="M4185" s="453">
        <v>45615</v>
      </c>
      <c r="N4185">
        <v>22.2</v>
      </c>
      <c r="O4185">
        <v>22.18</v>
      </c>
      <c r="P4185">
        <v>33.380000000000003</v>
      </c>
    </row>
    <row r="4186" spans="1:16" x14ac:dyDescent="0.3">
      <c r="A4186">
        <v>8386</v>
      </c>
      <c r="B4186">
        <v>116</v>
      </c>
      <c r="C4186" t="s">
        <v>568</v>
      </c>
      <c r="D4186" s="453">
        <v>45627</v>
      </c>
      <c r="E4186">
        <v>18666</v>
      </c>
      <c r="F4186" t="s">
        <v>4003</v>
      </c>
      <c r="G4186">
        <v>3053</v>
      </c>
      <c r="H4186">
        <v>1.5</v>
      </c>
      <c r="I4186" t="s">
        <v>3892</v>
      </c>
      <c r="J4186" t="s">
        <v>3469</v>
      </c>
      <c r="K4186" t="s">
        <v>3799</v>
      </c>
      <c r="L4186">
        <v>22</v>
      </c>
      <c r="M4186" s="453">
        <v>45621</v>
      </c>
      <c r="N4186">
        <v>22</v>
      </c>
      <c r="O4186">
        <v>17.8</v>
      </c>
      <c r="P4186">
        <v>33</v>
      </c>
    </row>
    <row r="4187" spans="1:16" x14ac:dyDescent="0.3">
      <c r="A4187">
        <v>8312</v>
      </c>
      <c r="B4187">
        <v>116</v>
      </c>
      <c r="C4187" t="s">
        <v>568</v>
      </c>
      <c r="D4187" s="453">
        <v>45627</v>
      </c>
      <c r="E4187">
        <v>19973</v>
      </c>
      <c r="F4187" t="s">
        <v>3981</v>
      </c>
      <c r="G4187">
        <v>2354</v>
      </c>
      <c r="H4187">
        <v>2</v>
      </c>
      <c r="I4187" t="s">
        <v>3872</v>
      </c>
      <c r="J4187" t="s">
        <v>3469</v>
      </c>
      <c r="K4187" t="s">
        <v>3799</v>
      </c>
      <c r="L4187">
        <v>16</v>
      </c>
      <c r="M4187" s="453">
        <v>45623</v>
      </c>
      <c r="N4187">
        <v>16</v>
      </c>
      <c r="O4187">
        <v>16</v>
      </c>
      <c r="P4187">
        <v>32</v>
      </c>
    </row>
    <row r="4188" spans="1:16" x14ac:dyDescent="0.3">
      <c r="A4188">
        <v>8309</v>
      </c>
      <c r="B4188">
        <v>116</v>
      </c>
      <c r="C4188" t="s">
        <v>568</v>
      </c>
      <c r="D4188" s="453">
        <v>45627</v>
      </c>
      <c r="E4188">
        <v>20871</v>
      </c>
      <c r="F4188" t="s">
        <v>4475</v>
      </c>
      <c r="G4188">
        <v>2043</v>
      </c>
      <c r="H4188">
        <v>1.4</v>
      </c>
      <c r="I4188" t="s">
        <v>3886</v>
      </c>
      <c r="J4188" t="s">
        <v>3469</v>
      </c>
      <c r="K4188" t="s">
        <v>3799</v>
      </c>
      <c r="L4188">
        <v>0</v>
      </c>
      <c r="M4188" s="453">
        <v>-693593</v>
      </c>
      <c r="N4188">
        <v>0</v>
      </c>
      <c r="O4188">
        <v>22</v>
      </c>
      <c r="P4188">
        <v>30.8</v>
      </c>
    </row>
    <row r="4189" spans="1:16" x14ac:dyDescent="0.3">
      <c r="A4189">
        <v>8397</v>
      </c>
      <c r="B4189">
        <v>116</v>
      </c>
      <c r="C4189" t="s">
        <v>568</v>
      </c>
      <c r="D4189" s="453">
        <v>45627</v>
      </c>
      <c r="E4189">
        <v>17896</v>
      </c>
      <c r="F4189" t="s">
        <v>3972</v>
      </c>
      <c r="G4189">
        <v>3664</v>
      </c>
      <c r="H4189">
        <v>0.5</v>
      </c>
      <c r="I4189" t="s">
        <v>3888</v>
      </c>
      <c r="J4189" t="s">
        <v>3497</v>
      </c>
      <c r="K4189" t="s">
        <v>3799</v>
      </c>
      <c r="L4189">
        <v>0</v>
      </c>
      <c r="M4189" s="453">
        <v>-693593</v>
      </c>
      <c r="N4189">
        <v>0</v>
      </c>
      <c r="O4189">
        <v>0</v>
      </c>
      <c r="P4189">
        <v>30.4</v>
      </c>
    </row>
    <row r="4190" spans="1:16" x14ac:dyDescent="0.3">
      <c r="A4190">
        <v>8331</v>
      </c>
      <c r="B4190">
        <v>116</v>
      </c>
      <c r="C4190" t="s">
        <v>568</v>
      </c>
      <c r="D4190" s="453">
        <v>45627</v>
      </c>
      <c r="E4190">
        <v>19652</v>
      </c>
      <c r="F4190" t="s">
        <v>4014</v>
      </c>
      <c r="G4190">
        <v>2587</v>
      </c>
      <c r="H4190">
        <v>1</v>
      </c>
      <c r="I4190" t="s">
        <v>3892</v>
      </c>
      <c r="J4190" t="s">
        <v>3469</v>
      </c>
      <c r="K4190" t="s">
        <v>3799</v>
      </c>
      <c r="L4190">
        <v>0</v>
      </c>
      <c r="M4190" s="453">
        <v>45596</v>
      </c>
      <c r="N4190">
        <v>30</v>
      </c>
      <c r="O4190">
        <v>30</v>
      </c>
      <c r="P4190">
        <v>30</v>
      </c>
    </row>
    <row r="4191" spans="1:16" x14ac:dyDescent="0.3">
      <c r="A4191">
        <v>8335</v>
      </c>
      <c r="B4191">
        <v>116</v>
      </c>
      <c r="C4191" t="s">
        <v>568</v>
      </c>
      <c r="D4191" s="453">
        <v>45627</v>
      </c>
      <c r="E4191">
        <v>24083</v>
      </c>
      <c r="F4191" t="s">
        <v>3898</v>
      </c>
      <c r="G4191">
        <v>2592</v>
      </c>
      <c r="H4191">
        <v>6</v>
      </c>
      <c r="I4191" t="s">
        <v>3892</v>
      </c>
      <c r="J4191" t="s">
        <v>3469</v>
      </c>
      <c r="K4191" t="s">
        <v>3799</v>
      </c>
      <c r="L4191">
        <v>0</v>
      </c>
      <c r="M4191" s="453">
        <v>45568</v>
      </c>
      <c r="N4191">
        <v>5</v>
      </c>
      <c r="O4191">
        <v>5.8</v>
      </c>
      <c r="P4191">
        <v>30</v>
      </c>
    </row>
    <row r="4192" spans="1:16" x14ac:dyDescent="0.3">
      <c r="A4192">
        <v>8279</v>
      </c>
      <c r="B4192">
        <v>116</v>
      </c>
      <c r="C4192" t="s">
        <v>568</v>
      </c>
      <c r="D4192" s="453">
        <v>45627</v>
      </c>
      <c r="E4192">
        <v>21078</v>
      </c>
      <c r="F4192" t="s">
        <v>4049</v>
      </c>
      <c r="G4192">
        <v>1991</v>
      </c>
      <c r="H4192">
        <v>1</v>
      </c>
      <c r="I4192" t="s">
        <v>3881</v>
      </c>
      <c r="J4192" t="s">
        <v>3469</v>
      </c>
      <c r="K4192" t="s">
        <v>3799</v>
      </c>
      <c r="L4192">
        <v>0</v>
      </c>
      <c r="M4192" s="453">
        <v>-693593</v>
      </c>
      <c r="N4192">
        <v>0</v>
      </c>
      <c r="O4192">
        <v>29.9</v>
      </c>
      <c r="P4192">
        <v>29.9</v>
      </c>
    </row>
    <row r="4193" spans="1:16" x14ac:dyDescent="0.3">
      <c r="A4193">
        <v>8325</v>
      </c>
      <c r="B4193">
        <v>116</v>
      </c>
      <c r="C4193" t="s">
        <v>568</v>
      </c>
      <c r="D4193" s="453">
        <v>45627</v>
      </c>
      <c r="E4193">
        <v>20606</v>
      </c>
      <c r="F4193" t="s">
        <v>4547</v>
      </c>
      <c r="G4193">
        <v>2120</v>
      </c>
      <c r="H4193">
        <v>1</v>
      </c>
      <c r="I4193" t="s">
        <v>3872</v>
      </c>
      <c r="J4193" t="s">
        <v>3469</v>
      </c>
      <c r="K4193" t="s">
        <v>3799</v>
      </c>
      <c r="L4193">
        <v>0</v>
      </c>
      <c r="M4193" s="453">
        <v>-693593</v>
      </c>
      <c r="N4193">
        <v>0</v>
      </c>
      <c r="O4193">
        <v>29.3</v>
      </c>
      <c r="P4193">
        <v>29.3</v>
      </c>
    </row>
    <row r="4194" spans="1:16" x14ac:dyDescent="0.3">
      <c r="A4194">
        <v>8377</v>
      </c>
      <c r="B4194">
        <v>116</v>
      </c>
      <c r="C4194" t="s">
        <v>568</v>
      </c>
      <c r="D4194" s="453">
        <v>45627</v>
      </c>
      <c r="E4194">
        <v>19023</v>
      </c>
      <c r="F4194" t="s">
        <v>4510</v>
      </c>
      <c r="G4194">
        <v>2893</v>
      </c>
      <c r="H4194">
        <v>1.4</v>
      </c>
      <c r="I4194" t="s">
        <v>3892</v>
      </c>
      <c r="J4194" t="s">
        <v>3469</v>
      </c>
      <c r="K4194" t="s">
        <v>3799</v>
      </c>
      <c r="L4194">
        <v>0</v>
      </c>
      <c r="M4194" s="453">
        <v>-693593</v>
      </c>
      <c r="N4194">
        <v>0</v>
      </c>
      <c r="O4194">
        <v>20.8</v>
      </c>
      <c r="P4194">
        <v>29.12</v>
      </c>
    </row>
    <row r="4195" spans="1:16" x14ac:dyDescent="0.3">
      <c r="A4195">
        <v>8293</v>
      </c>
      <c r="B4195">
        <v>116</v>
      </c>
      <c r="C4195" t="s">
        <v>568</v>
      </c>
      <c r="D4195" s="453">
        <v>45627</v>
      </c>
      <c r="E4195">
        <v>20358</v>
      </c>
      <c r="F4195" t="s">
        <v>3952</v>
      </c>
      <c r="G4195">
        <v>2200</v>
      </c>
      <c r="H4195">
        <v>2</v>
      </c>
      <c r="I4195" t="s">
        <v>3888</v>
      </c>
      <c r="J4195" t="s">
        <v>3469</v>
      </c>
      <c r="K4195" t="s">
        <v>3799</v>
      </c>
      <c r="L4195">
        <v>14.5</v>
      </c>
      <c r="M4195" s="453">
        <v>45623</v>
      </c>
      <c r="N4195">
        <v>14.5</v>
      </c>
      <c r="O4195">
        <v>14.4</v>
      </c>
      <c r="P4195">
        <v>29</v>
      </c>
    </row>
    <row r="4196" spans="1:16" x14ac:dyDescent="0.3">
      <c r="A4196">
        <v>8356</v>
      </c>
      <c r="B4196">
        <v>116</v>
      </c>
      <c r="C4196" t="s">
        <v>568</v>
      </c>
      <c r="D4196" s="453">
        <v>45627</v>
      </c>
      <c r="E4196">
        <v>19585</v>
      </c>
      <c r="F4196" t="s">
        <v>4531</v>
      </c>
      <c r="G4196">
        <v>2639</v>
      </c>
      <c r="H4196">
        <v>0.5</v>
      </c>
      <c r="I4196" t="s">
        <v>3966</v>
      </c>
      <c r="J4196" t="s">
        <v>3469</v>
      </c>
      <c r="K4196" t="s">
        <v>3799</v>
      </c>
      <c r="L4196">
        <v>0</v>
      </c>
      <c r="M4196" s="453">
        <v>-693593</v>
      </c>
      <c r="N4196">
        <v>0</v>
      </c>
      <c r="O4196">
        <v>55.62</v>
      </c>
      <c r="P4196">
        <v>27.81</v>
      </c>
    </row>
    <row r="4197" spans="1:16" x14ac:dyDescent="0.3">
      <c r="A4197">
        <v>8311</v>
      </c>
      <c r="B4197">
        <v>116</v>
      </c>
      <c r="C4197" t="s">
        <v>568</v>
      </c>
      <c r="D4197" s="453">
        <v>45627</v>
      </c>
      <c r="E4197">
        <v>19983</v>
      </c>
      <c r="F4197" t="s">
        <v>4548</v>
      </c>
      <c r="G4197">
        <v>2351</v>
      </c>
      <c r="H4197">
        <v>4</v>
      </c>
      <c r="I4197" t="s">
        <v>3931</v>
      </c>
      <c r="J4197" t="s">
        <v>3469</v>
      </c>
      <c r="K4197" t="s">
        <v>3799</v>
      </c>
      <c r="L4197">
        <v>0</v>
      </c>
      <c r="M4197" s="453">
        <v>45533</v>
      </c>
      <c r="N4197">
        <v>6.93</v>
      </c>
      <c r="O4197">
        <v>9.1999999999999993</v>
      </c>
      <c r="P4197">
        <v>27.72</v>
      </c>
    </row>
    <row r="4198" spans="1:16" x14ac:dyDescent="0.3">
      <c r="A4198">
        <v>8308</v>
      </c>
      <c r="B4198">
        <v>116</v>
      </c>
      <c r="C4198" t="s">
        <v>568</v>
      </c>
      <c r="D4198" s="453">
        <v>45627</v>
      </c>
      <c r="E4198">
        <v>20832</v>
      </c>
      <c r="F4198" t="s">
        <v>4060</v>
      </c>
      <c r="G4198">
        <v>2065</v>
      </c>
      <c r="H4198">
        <v>0.8</v>
      </c>
      <c r="I4198" t="s">
        <v>3886</v>
      </c>
      <c r="J4198" t="s">
        <v>3469</v>
      </c>
      <c r="K4198" t="s">
        <v>3799</v>
      </c>
      <c r="L4198">
        <v>33.9</v>
      </c>
      <c r="M4198" s="453">
        <v>45615</v>
      </c>
      <c r="N4198">
        <v>33.9</v>
      </c>
      <c r="O4198">
        <v>33.9</v>
      </c>
      <c r="P4198">
        <v>27.12</v>
      </c>
    </row>
    <row r="4199" spans="1:16" x14ac:dyDescent="0.3">
      <c r="A4199">
        <v>8326</v>
      </c>
      <c r="B4199">
        <v>116</v>
      </c>
      <c r="C4199" t="s">
        <v>568</v>
      </c>
      <c r="D4199" s="453">
        <v>45627</v>
      </c>
      <c r="E4199">
        <v>20949</v>
      </c>
      <c r="F4199" t="s">
        <v>3983</v>
      </c>
      <c r="G4199">
        <v>2023</v>
      </c>
      <c r="H4199">
        <v>4</v>
      </c>
      <c r="I4199" t="s">
        <v>3878</v>
      </c>
      <c r="J4199" t="s">
        <v>3469</v>
      </c>
      <c r="K4199" t="s">
        <v>3799</v>
      </c>
      <c r="L4199">
        <v>0</v>
      </c>
      <c r="M4199" s="453">
        <v>45516</v>
      </c>
      <c r="N4199">
        <v>6.77</v>
      </c>
      <c r="O4199">
        <v>6.99</v>
      </c>
      <c r="P4199">
        <v>27.08</v>
      </c>
    </row>
    <row r="4200" spans="1:16" x14ac:dyDescent="0.3">
      <c r="A4200">
        <v>8361</v>
      </c>
      <c r="B4200">
        <v>116</v>
      </c>
      <c r="C4200" t="s">
        <v>568</v>
      </c>
      <c r="D4200" s="453">
        <v>45627</v>
      </c>
      <c r="E4200">
        <v>19539</v>
      </c>
      <c r="F4200" t="s">
        <v>4133</v>
      </c>
      <c r="G4200">
        <v>2677</v>
      </c>
      <c r="H4200">
        <v>6</v>
      </c>
      <c r="I4200" t="s">
        <v>3892</v>
      </c>
      <c r="J4200" t="s">
        <v>3469</v>
      </c>
      <c r="K4200" t="s">
        <v>3799</v>
      </c>
      <c r="L4200">
        <v>0</v>
      </c>
      <c r="M4200" s="453">
        <v>-693593</v>
      </c>
      <c r="N4200">
        <v>0</v>
      </c>
      <c r="O4200">
        <v>4.5</v>
      </c>
      <c r="P4200">
        <v>27</v>
      </c>
    </row>
    <row r="4201" spans="1:16" x14ac:dyDescent="0.3">
      <c r="A4201">
        <v>8395</v>
      </c>
      <c r="B4201">
        <v>116</v>
      </c>
      <c r="C4201" t="s">
        <v>568</v>
      </c>
      <c r="D4201" s="453">
        <v>45627</v>
      </c>
      <c r="E4201">
        <v>17905</v>
      </c>
      <c r="F4201" t="s">
        <v>4139</v>
      </c>
      <c r="G4201">
        <v>3656</v>
      </c>
      <c r="H4201">
        <v>1</v>
      </c>
      <c r="I4201" t="s">
        <v>3888</v>
      </c>
      <c r="J4201" t="s">
        <v>3497</v>
      </c>
      <c r="K4201" t="s">
        <v>3799</v>
      </c>
      <c r="L4201">
        <v>0</v>
      </c>
      <c r="M4201" s="453">
        <v>-693593</v>
      </c>
      <c r="N4201">
        <v>0</v>
      </c>
      <c r="O4201">
        <v>26.28</v>
      </c>
      <c r="P4201">
        <v>26.28</v>
      </c>
    </row>
    <row r="4202" spans="1:16" x14ac:dyDescent="0.3">
      <c r="A4202">
        <v>8324</v>
      </c>
      <c r="B4202">
        <v>116</v>
      </c>
      <c r="C4202" t="s">
        <v>568</v>
      </c>
      <c r="D4202" s="453">
        <v>45627</v>
      </c>
      <c r="E4202">
        <v>19902</v>
      </c>
      <c r="F4202" t="s">
        <v>3909</v>
      </c>
      <c r="G4202">
        <v>2382</v>
      </c>
      <c r="H4202">
        <v>1</v>
      </c>
      <c r="I4202" t="s">
        <v>3881</v>
      </c>
      <c r="J4202" t="s">
        <v>3469</v>
      </c>
      <c r="K4202" t="s">
        <v>3799</v>
      </c>
      <c r="L4202">
        <v>0</v>
      </c>
      <c r="M4202" s="453">
        <v>45560</v>
      </c>
      <c r="N4202">
        <v>23.8</v>
      </c>
      <c r="O4202">
        <v>25.8</v>
      </c>
      <c r="P4202">
        <v>23.8</v>
      </c>
    </row>
    <row r="4203" spans="1:16" x14ac:dyDescent="0.3">
      <c r="A4203">
        <v>8323</v>
      </c>
      <c r="B4203">
        <v>116</v>
      </c>
      <c r="C4203" t="s">
        <v>568</v>
      </c>
      <c r="D4203" s="453">
        <v>45627</v>
      </c>
      <c r="E4203">
        <v>19907</v>
      </c>
      <c r="F4203" t="s">
        <v>4467</v>
      </c>
      <c r="G4203">
        <v>2381</v>
      </c>
      <c r="H4203">
        <v>7.2</v>
      </c>
      <c r="I4203" t="s">
        <v>3872</v>
      </c>
      <c r="J4203" t="s">
        <v>3469</v>
      </c>
      <c r="K4203" t="s">
        <v>3799</v>
      </c>
      <c r="L4203">
        <v>0</v>
      </c>
      <c r="M4203" s="453">
        <v>45581</v>
      </c>
      <c r="N4203">
        <v>3.05</v>
      </c>
      <c r="O4203">
        <v>2.4900000000000002</v>
      </c>
      <c r="P4203">
        <v>21.96</v>
      </c>
    </row>
    <row r="4204" spans="1:16" x14ac:dyDescent="0.3">
      <c r="A4204">
        <v>8390</v>
      </c>
      <c r="B4204">
        <v>116</v>
      </c>
      <c r="C4204" t="s">
        <v>568</v>
      </c>
      <c r="D4204" s="453">
        <v>45627</v>
      </c>
      <c r="E4204">
        <v>24029</v>
      </c>
      <c r="F4204" t="s">
        <v>3875</v>
      </c>
      <c r="G4204">
        <v>3591</v>
      </c>
      <c r="H4204">
        <v>11</v>
      </c>
      <c r="I4204" t="s">
        <v>3872</v>
      </c>
      <c r="J4204" t="s">
        <v>3497</v>
      </c>
      <c r="K4204" t="s">
        <v>3799</v>
      </c>
      <c r="L4204">
        <v>0</v>
      </c>
      <c r="M4204" s="453">
        <v>45537</v>
      </c>
      <c r="N4204">
        <v>1.99</v>
      </c>
      <c r="O4204">
        <v>2.19</v>
      </c>
      <c r="P4204">
        <v>21.89</v>
      </c>
    </row>
    <row r="4205" spans="1:16" x14ac:dyDescent="0.3">
      <c r="A4205">
        <v>8334</v>
      </c>
      <c r="B4205">
        <v>116</v>
      </c>
      <c r="C4205" t="s">
        <v>568</v>
      </c>
      <c r="D4205" s="453">
        <v>45627</v>
      </c>
      <c r="E4205">
        <v>19780</v>
      </c>
      <c r="F4205" t="s">
        <v>4549</v>
      </c>
      <c r="G4205">
        <v>2478</v>
      </c>
      <c r="H4205">
        <v>3</v>
      </c>
      <c r="I4205" t="s">
        <v>3892</v>
      </c>
      <c r="J4205" t="s">
        <v>3469</v>
      </c>
      <c r="K4205" t="s">
        <v>3799</v>
      </c>
      <c r="L4205">
        <v>0</v>
      </c>
      <c r="M4205" s="453">
        <v>-693593</v>
      </c>
      <c r="N4205">
        <v>0</v>
      </c>
      <c r="O4205">
        <v>6.67</v>
      </c>
      <c r="P4205">
        <v>20</v>
      </c>
    </row>
    <row r="4206" spans="1:16" x14ac:dyDescent="0.3">
      <c r="A4206">
        <v>8243</v>
      </c>
      <c r="B4206">
        <v>116</v>
      </c>
      <c r="C4206" t="s">
        <v>568</v>
      </c>
      <c r="D4206" s="453">
        <v>45627</v>
      </c>
      <c r="E4206">
        <v>23974</v>
      </c>
      <c r="F4206" t="s">
        <v>4536</v>
      </c>
      <c r="G4206">
        <v>4163</v>
      </c>
      <c r="H4206">
        <v>10</v>
      </c>
      <c r="I4206" t="s">
        <v>3872</v>
      </c>
      <c r="J4206" t="s">
        <v>3497</v>
      </c>
      <c r="K4206" t="s">
        <v>3799</v>
      </c>
      <c r="L4206">
        <v>0</v>
      </c>
      <c r="M4206" s="453">
        <v>-693593</v>
      </c>
      <c r="N4206">
        <v>0</v>
      </c>
      <c r="O4206">
        <v>1.9</v>
      </c>
      <c r="P4206">
        <v>19</v>
      </c>
    </row>
    <row r="4207" spans="1:16" x14ac:dyDescent="0.3">
      <c r="A4207">
        <v>8322</v>
      </c>
      <c r="B4207">
        <v>116</v>
      </c>
      <c r="C4207" t="s">
        <v>568</v>
      </c>
      <c r="D4207" s="453">
        <v>45627</v>
      </c>
      <c r="E4207">
        <v>19917</v>
      </c>
      <c r="F4207" t="s">
        <v>3920</v>
      </c>
      <c r="G4207">
        <v>2379</v>
      </c>
      <c r="H4207">
        <v>6</v>
      </c>
      <c r="I4207" t="s">
        <v>3888</v>
      </c>
      <c r="J4207" t="s">
        <v>3469</v>
      </c>
      <c r="K4207" t="s">
        <v>3799</v>
      </c>
      <c r="L4207">
        <v>0</v>
      </c>
      <c r="M4207" s="453">
        <v>45581</v>
      </c>
      <c r="N4207">
        <v>3.09</v>
      </c>
      <c r="O4207">
        <v>3.19</v>
      </c>
      <c r="P4207">
        <v>18.54</v>
      </c>
    </row>
    <row r="4208" spans="1:16" x14ac:dyDescent="0.3">
      <c r="A4208">
        <v>8384</v>
      </c>
      <c r="B4208">
        <v>116</v>
      </c>
      <c r="C4208" t="s">
        <v>568</v>
      </c>
      <c r="D4208" s="453">
        <v>45627</v>
      </c>
      <c r="E4208">
        <v>24403</v>
      </c>
      <c r="F4208" t="s">
        <v>3992</v>
      </c>
      <c r="G4208">
        <v>3049</v>
      </c>
      <c r="H4208">
        <v>1.5</v>
      </c>
      <c r="I4208" t="s">
        <v>3892</v>
      </c>
      <c r="J4208" t="s">
        <v>3469</v>
      </c>
      <c r="K4208" t="s">
        <v>3799</v>
      </c>
      <c r="L4208">
        <v>0</v>
      </c>
      <c r="M4208" s="453">
        <v>45538</v>
      </c>
      <c r="N4208">
        <v>12</v>
      </c>
      <c r="O4208">
        <v>12</v>
      </c>
      <c r="P4208">
        <v>18</v>
      </c>
    </row>
    <row r="4209" spans="1:16" x14ac:dyDescent="0.3">
      <c r="A4209">
        <v>8347</v>
      </c>
      <c r="B4209">
        <v>116</v>
      </c>
      <c r="C4209" t="s">
        <v>568</v>
      </c>
      <c r="D4209" s="453">
        <v>45627</v>
      </c>
      <c r="E4209">
        <v>19751</v>
      </c>
      <c r="F4209" t="s">
        <v>4019</v>
      </c>
      <c r="G4209">
        <v>2502</v>
      </c>
      <c r="H4209">
        <v>2</v>
      </c>
      <c r="I4209" t="s">
        <v>3892</v>
      </c>
      <c r="J4209" t="s">
        <v>3469</v>
      </c>
      <c r="K4209" t="s">
        <v>3799</v>
      </c>
      <c r="L4209">
        <v>8.98</v>
      </c>
      <c r="M4209" s="453">
        <v>45624</v>
      </c>
      <c r="N4209">
        <v>5.18</v>
      </c>
      <c r="O4209">
        <v>8.5</v>
      </c>
      <c r="P4209">
        <v>17.96</v>
      </c>
    </row>
    <row r="4210" spans="1:16" x14ac:dyDescent="0.3">
      <c r="A4210">
        <v>8344</v>
      </c>
      <c r="B4210">
        <v>116</v>
      </c>
      <c r="C4210" t="s">
        <v>568</v>
      </c>
      <c r="D4210" s="453">
        <v>45627</v>
      </c>
      <c r="E4210">
        <v>19613</v>
      </c>
      <c r="F4210" t="s">
        <v>4017</v>
      </c>
      <c r="G4210">
        <v>2620</v>
      </c>
      <c r="H4210">
        <v>2.2000000000000002</v>
      </c>
      <c r="I4210" t="s">
        <v>3892</v>
      </c>
      <c r="J4210" t="s">
        <v>3469</v>
      </c>
      <c r="K4210" t="s">
        <v>3799</v>
      </c>
      <c r="L4210">
        <v>7.95</v>
      </c>
      <c r="M4210" s="453">
        <v>45624</v>
      </c>
      <c r="N4210">
        <v>9.17</v>
      </c>
      <c r="O4210">
        <v>13.15</v>
      </c>
      <c r="P4210">
        <v>17.489999999999998</v>
      </c>
    </row>
    <row r="4211" spans="1:16" x14ac:dyDescent="0.3">
      <c r="A4211">
        <v>8336</v>
      </c>
      <c r="B4211">
        <v>116</v>
      </c>
      <c r="C4211" t="s">
        <v>568</v>
      </c>
      <c r="D4211" s="453">
        <v>45627</v>
      </c>
      <c r="E4211">
        <v>19639</v>
      </c>
      <c r="F4211" t="s">
        <v>4494</v>
      </c>
      <c r="G4211">
        <v>2597</v>
      </c>
      <c r="H4211">
        <v>3</v>
      </c>
      <c r="I4211" t="s">
        <v>3892</v>
      </c>
      <c r="J4211" t="s">
        <v>3469</v>
      </c>
      <c r="K4211" t="s">
        <v>3799</v>
      </c>
      <c r="L4211">
        <v>5.4</v>
      </c>
      <c r="M4211" s="453">
        <v>45617</v>
      </c>
      <c r="N4211">
        <v>5.4</v>
      </c>
      <c r="O4211">
        <v>4.32</v>
      </c>
      <c r="P4211">
        <v>16.2</v>
      </c>
    </row>
    <row r="4212" spans="1:16" x14ac:dyDescent="0.3">
      <c r="A4212">
        <v>8391</v>
      </c>
      <c r="B4212">
        <v>116</v>
      </c>
      <c r="C4212" t="s">
        <v>568</v>
      </c>
      <c r="D4212" s="453">
        <v>45627</v>
      </c>
      <c r="E4212">
        <v>18004</v>
      </c>
      <c r="F4212" t="s">
        <v>4140</v>
      </c>
      <c r="G4212">
        <v>3592</v>
      </c>
      <c r="H4212">
        <v>7</v>
      </c>
      <c r="I4212" t="s">
        <v>3888</v>
      </c>
      <c r="J4212" t="s">
        <v>3497</v>
      </c>
      <c r="K4212" t="s">
        <v>3799</v>
      </c>
      <c r="L4212">
        <v>0</v>
      </c>
      <c r="M4212" s="453">
        <v>45586</v>
      </c>
      <c r="N4212">
        <v>24</v>
      </c>
      <c r="O4212">
        <v>3.25</v>
      </c>
      <c r="P4212">
        <v>15.33</v>
      </c>
    </row>
    <row r="4213" spans="1:16" x14ac:dyDescent="0.3">
      <c r="A4213">
        <v>8310</v>
      </c>
      <c r="B4213">
        <v>116</v>
      </c>
      <c r="C4213" t="s">
        <v>568</v>
      </c>
      <c r="D4213" s="453">
        <v>45627</v>
      </c>
      <c r="E4213">
        <v>19979</v>
      </c>
      <c r="F4213" t="s">
        <v>4295</v>
      </c>
      <c r="G4213">
        <v>2353</v>
      </c>
      <c r="H4213">
        <v>1</v>
      </c>
      <c r="I4213" t="s">
        <v>3931</v>
      </c>
      <c r="J4213" t="s">
        <v>3469</v>
      </c>
      <c r="K4213" t="s">
        <v>3799</v>
      </c>
      <c r="L4213">
        <v>0</v>
      </c>
      <c r="M4213" s="453">
        <v>45594</v>
      </c>
      <c r="N4213">
        <v>15.15</v>
      </c>
      <c r="O4213">
        <v>15.1</v>
      </c>
      <c r="P4213">
        <v>15.15</v>
      </c>
    </row>
    <row r="4214" spans="1:16" x14ac:dyDescent="0.3">
      <c r="A4214">
        <v>8348</v>
      </c>
      <c r="B4214">
        <v>116</v>
      </c>
      <c r="C4214" t="s">
        <v>568</v>
      </c>
      <c r="D4214" s="453">
        <v>45627</v>
      </c>
      <c r="E4214">
        <v>24326</v>
      </c>
      <c r="F4214" t="s">
        <v>3932</v>
      </c>
      <c r="G4214">
        <v>2499</v>
      </c>
      <c r="H4214">
        <v>3</v>
      </c>
      <c r="I4214" t="s">
        <v>3892</v>
      </c>
      <c r="J4214" t="s">
        <v>3469</v>
      </c>
      <c r="K4214" t="s">
        <v>3799</v>
      </c>
      <c r="L4214">
        <v>0</v>
      </c>
      <c r="M4214" s="453">
        <v>45547</v>
      </c>
      <c r="N4214">
        <v>5</v>
      </c>
      <c r="O4214">
        <v>5.5</v>
      </c>
      <c r="P4214">
        <v>15</v>
      </c>
    </row>
    <row r="4215" spans="1:16" x14ac:dyDescent="0.3">
      <c r="A4215">
        <v>8366</v>
      </c>
      <c r="B4215">
        <v>116</v>
      </c>
      <c r="C4215" t="s">
        <v>568</v>
      </c>
      <c r="D4215" s="453">
        <v>45627</v>
      </c>
      <c r="E4215">
        <v>19415</v>
      </c>
      <c r="F4215" t="s">
        <v>3941</v>
      </c>
      <c r="G4215">
        <v>2759</v>
      </c>
      <c r="H4215">
        <v>2</v>
      </c>
      <c r="I4215" t="s">
        <v>3872</v>
      </c>
      <c r="J4215" t="s">
        <v>3469</v>
      </c>
      <c r="K4215" t="s">
        <v>3799</v>
      </c>
      <c r="L4215">
        <v>7.38</v>
      </c>
      <c r="M4215" s="453">
        <v>45615</v>
      </c>
      <c r="N4215">
        <v>7.2</v>
      </c>
      <c r="O4215">
        <v>7.6</v>
      </c>
      <c r="P4215">
        <v>14.76</v>
      </c>
    </row>
    <row r="4216" spans="1:16" x14ac:dyDescent="0.3">
      <c r="A4216">
        <v>8352</v>
      </c>
      <c r="B4216">
        <v>116</v>
      </c>
      <c r="C4216" t="s">
        <v>568</v>
      </c>
      <c r="D4216" s="453">
        <v>45627</v>
      </c>
      <c r="E4216">
        <v>19734</v>
      </c>
      <c r="F4216" t="s">
        <v>4533</v>
      </c>
      <c r="G4216">
        <v>2519</v>
      </c>
      <c r="H4216">
        <v>1</v>
      </c>
      <c r="I4216" t="s">
        <v>3892</v>
      </c>
      <c r="J4216" t="s">
        <v>3469</v>
      </c>
      <c r="K4216" t="s">
        <v>3799</v>
      </c>
      <c r="L4216">
        <v>0</v>
      </c>
      <c r="M4216" s="453">
        <v>-693593</v>
      </c>
      <c r="N4216">
        <v>0</v>
      </c>
      <c r="O4216">
        <v>14.43</v>
      </c>
      <c r="P4216">
        <v>14.43</v>
      </c>
    </row>
    <row r="4217" spans="1:16" x14ac:dyDescent="0.3">
      <c r="A4217">
        <v>8337</v>
      </c>
      <c r="B4217">
        <v>116</v>
      </c>
      <c r="C4217" t="s">
        <v>568</v>
      </c>
      <c r="D4217" s="453">
        <v>45627</v>
      </c>
      <c r="E4217">
        <v>19634</v>
      </c>
      <c r="F4217" t="s">
        <v>4068</v>
      </c>
      <c r="G4217">
        <v>2602</v>
      </c>
      <c r="H4217">
        <v>2.5</v>
      </c>
      <c r="I4217" t="s">
        <v>3892</v>
      </c>
      <c r="J4217" t="s">
        <v>3469</v>
      </c>
      <c r="K4217" t="s">
        <v>3799</v>
      </c>
      <c r="L4217">
        <v>0</v>
      </c>
      <c r="M4217" s="453">
        <v>45596</v>
      </c>
      <c r="N4217">
        <v>5.6</v>
      </c>
      <c r="O4217">
        <v>6.38</v>
      </c>
      <c r="P4217">
        <v>14</v>
      </c>
    </row>
    <row r="4218" spans="1:16" x14ac:dyDescent="0.3">
      <c r="A4218">
        <v>8396</v>
      </c>
      <c r="B4218">
        <v>116</v>
      </c>
      <c r="C4218" t="s">
        <v>568</v>
      </c>
      <c r="D4218" s="453">
        <v>45627</v>
      </c>
      <c r="E4218">
        <v>17903</v>
      </c>
      <c r="F4218" t="s">
        <v>3971</v>
      </c>
      <c r="G4218">
        <v>3658</v>
      </c>
      <c r="H4218">
        <v>6.67</v>
      </c>
      <c r="I4218" t="s">
        <v>3888</v>
      </c>
      <c r="J4218" t="s">
        <v>3497</v>
      </c>
      <c r="K4218" t="s">
        <v>3799</v>
      </c>
      <c r="L4218">
        <v>0</v>
      </c>
      <c r="M4218" s="453">
        <v>45369</v>
      </c>
      <c r="N4218">
        <v>1.99</v>
      </c>
      <c r="O4218">
        <v>26.28</v>
      </c>
      <c r="P4218">
        <v>13.27</v>
      </c>
    </row>
    <row r="4219" spans="1:16" x14ac:dyDescent="0.3">
      <c r="A4219">
        <v>8360</v>
      </c>
      <c r="B4219">
        <v>116</v>
      </c>
      <c r="C4219" t="s">
        <v>568</v>
      </c>
      <c r="D4219" s="453">
        <v>45627</v>
      </c>
      <c r="E4219">
        <v>19544</v>
      </c>
      <c r="F4219" t="s">
        <v>4473</v>
      </c>
      <c r="G4219">
        <v>2672</v>
      </c>
      <c r="H4219">
        <v>2.9</v>
      </c>
      <c r="I4219" t="s">
        <v>3892</v>
      </c>
      <c r="J4219" t="s">
        <v>3469</v>
      </c>
      <c r="K4219" t="s">
        <v>3799</v>
      </c>
      <c r="L4219">
        <v>0</v>
      </c>
      <c r="M4219" s="453">
        <v>45509</v>
      </c>
      <c r="N4219">
        <v>4.5</v>
      </c>
      <c r="O4219">
        <v>3.4</v>
      </c>
      <c r="P4219">
        <v>13.05</v>
      </c>
    </row>
    <row r="4220" spans="1:16" x14ac:dyDescent="0.3">
      <c r="A4220">
        <v>8350</v>
      </c>
      <c r="B4220">
        <v>116</v>
      </c>
      <c r="C4220" t="s">
        <v>568</v>
      </c>
      <c r="D4220" s="453">
        <v>45627</v>
      </c>
      <c r="E4220">
        <v>19475</v>
      </c>
      <c r="F4220" t="s">
        <v>4111</v>
      </c>
      <c r="G4220">
        <v>2730</v>
      </c>
      <c r="H4220">
        <v>0.2</v>
      </c>
      <c r="I4220" t="s">
        <v>3892</v>
      </c>
      <c r="J4220" t="s">
        <v>3469</v>
      </c>
      <c r="K4220" t="s">
        <v>3799</v>
      </c>
      <c r="L4220">
        <v>45.26</v>
      </c>
      <c r="M4220" s="453">
        <v>45624</v>
      </c>
      <c r="N4220">
        <v>11.35</v>
      </c>
      <c r="O4220">
        <v>40</v>
      </c>
      <c r="P4220">
        <v>9.0500000000000007</v>
      </c>
    </row>
    <row r="4221" spans="1:16" x14ac:dyDescent="0.3">
      <c r="A4221">
        <v>8297</v>
      </c>
      <c r="B4221">
        <v>116</v>
      </c>
      <c r="C4221" t="s">
        <v>568</v>
      </c>
      <c r="D4221" s="453">
        <v>45627</v>
      </c>
      <c r="E4221">
        <v>24248</v>
      </c>
      <c r="F4221" t="s">
        <v>4102</v>
      </c>
      <c r="G4221">
        <v>2247</v>
      </c>
      <c r="H4221">
        <v>1</v>
      </c>
      <c r="I4221" t="s">
        <v>3892</v>
      </c>
      <c r="J4221" t="s">
        <v>3469</v>
      </c>
      <c r="K4221" t="s">
        <v>3799</v>
      </c>
      <c r="L4221">
        <v>0</v>
      </c>
      <c r="M4221" s="453">
        <v>45426</v>
      </c>
      <c r="N4221">
        <v>8.8000000000000007</v>
      </c>
      <c r="O4221">
        <v>7.9</v>
      </c>
      <c r="P4221">
        <v>8.8000000000000007</v>
      </c>
    </row>
    <row r="4222" spans="1:16" x14ac:dyDescent="0.3">
      <c r="A4222">
        <v>8345</v>
      </c>
      <c r="B4222">
        <v>116</v>
      </c>
      <c r="C4222" t="s">
        <v>568</v>
      </c>
      <c r="D4222" s="453">
        <v>45627</v>
      </c>
      <c r="E4222">
        <v>19607</v>
      </c>
      <c r="F4222" t="s">
        <v>4105</v>
      </c>
      <c r="G4222">
        <v>2623</v>
      </c>
      <c r="H4222">
        <v>1</v>
      </c>
      <c r="I4222" t="s">
        <v>3892</v>
      </c>
      <c r="J4222" t="s">
        <v>3469</v>
      </c>
      <c r="K4222" t="s">
        <v>3799</v>
      </c>
      <c r="L4222">
        <v>0</v>
      </c>
      <c r="M4222" s="453">
        <v>45596</v>
      </c>
      <c r="N4222">
        <v>8.5</v>
      </c>
      <c r="O4222">
        <v>16.2</v>
      </c>
      <c r="P4222">
        <v>8.5</v>
      </c>
    </row>
    <row r="4223" spans="1:16" x14ac:dyDescent="0.3">
      <c r="A4223">
        <v>8316</v>
      </c>
      <c r="B4223">
        <v>116</v>
      </c>
      <c r="C4223" t="s">
        <v>568</v>
      </c>
      <c r="D4223" s="453">
        <v>45627</v>
      </c>
      <c r="E4223">
        <v>20985</v>
      </c>
      <c r="F4223" t="s">
        <v>3914</v>
      </c>
      <c r="G4223">
        <v>2011</v>
      </c>
      <c r="H4223">
        <v>1</v>
      </c>
      <c r="I4223" t="s">
        <v>3872</v>
      </c>
      <c r="J4223" t="s">
        <v>3469</v>
      </c>
      <c r="K4223" t="s">
        <v>3799</v>
      </c>
      <c r="L4223">
        <v>8.44</v>
      </c>
      <c r="M4223" s="453">
        <v>45615</v>
      </c>
      <c r="N4223">
        <v>8.44</v>
      </c>
      <c r="O4223">
        <v>8.98</v>
      </c>
      <c r="P4223">
        <v>8.44</v>
      </c>
    </row>
    <row r="4224" spans="1:16" x14ac:dyDescent="0.3">
      <c r="A4224">
        <v>8353</v>
      </c>
      <c r="B4224">
        <v>116</v>
      </c>
      <c r="C4224" t="s">
        <v>568</v>
      </c>
      <c r="D4224" s="453">
        <v>45627</v>
      </c>
      <c r="E4224">
        <v>24394</v>
      </c>
      <c r="F4224" t="s">
        <v>3876</v>
      </c>
      <c r="G4224">
        <v>2753</v>
      </c>
      <c r="H4224">
        <v>17</v>
      </c>
      <c r="I4224" t="s">
        <v>3872</v>
      </c>
      <c r="J4224" t="s">
        <v>3469</v>
      </c>
      <c r="K4224" t="s">
        <v>3799</v>
      </c>
      <c r="L4224">
        <v>0</v>
      </c>
      <c r="M4224" s="453">
        <v>45544</v>
      </c>
      <c r="N4224">
        <v>0.48</v>
      </c>
      <c r="O4224">
        <v>0.59</v>
      </c>
      <c r="P4224">
        <v>8.16</v>
      </c>
    </row>
    <row r="4225" spans="1:16" x14ac:dyDescent="0.3">
      <c r="A4225">
        <v>8329</v>
      </c>
      <c r="B4225">
        <v>116</v>
      </c>
      <c r="C4225" t="s">
        <v>568</v>
      </c>
      <c r="D4225" s="453">
        <v>45627</v>
      </c>
      <c r="E4225">
        <v>19506</v>
      </c>
      <c r="F4225" t="s">
        <v>4112</v>
      </c>
      <c r="G4225">
        <v>2705</v>
      </c>
      <c r="H4225">
        <v>0.2</v>
      </c>
      <c r="I4225" t="s">
        <v>3892</v>
      </c>
      <c r="J4225" t="s">
        <v>3469</v>
      </c>
      <c r="K4225" t="s">
        <v>3799</v>
      </c>
      <c r="L4225">
        <v>40.36</v>
      </c>
      <c r="M4225" s="453">
        <v>45624</v>
      </c>
      <c r="N4225">
        <v>14</v>
      </c>
      <c r="O4225">
        <v>60</v>
      </c>
      <c r="P4225">
        <v>8.07</v>
      </c>
    </row>
    <row r="4226" spans="1:16" x14ac:dyDescent="0.3">
      <c r="A4226">
        <v>8338</v>
      </c>
      <c r="B4226">
        <v>116</v>
      </c>
      <c r="C4226" t="s">
        <v>568</v>
      </c>
      <c r="D4226" s="453">
        <v>45627</v>
      </c>
      <c r="E4226">
        <v>24099</v>
      </c>
      <c r="F4226" t="s">
        <v>4321</v>
      </c>
      <c r="G4226">
        <v>2716</v>
      </c>
      <c r="H4226">
        <v>1</v>
      </c>
      <c r="I4226" t="s">
        <v>3892</v>
      </c>
      <c r="J4226" t="s">
        <v>3469</v>
      </c>
      <c r="K4226" t="s">
        <v>3799</v>
      </c>
      <c r="L4226">
        <v>0</v>
      </c>
      <c r="M4226" s="453">
        <v>-693593</v>
      </c>
      <c r="N4226">
        <v>0</v>
      </c>
      <c r="O4226">
        <v>7.2</v>
      </c>
      <c r="P4226">
        <v>7.2</v>
      </c>
    </row>
    <row r="4227" spans="1:16" x14ac:dyDescent="0.3">
      <c r="A4227">
        <v>8319</v>
      </c>
      <c r="B4227">
        <v>116</v>
      </c>
      <c r="C4227" t="s">
        <v>568</v>
      </c>
      <c r="D4227" s="453">
        <v>45627</v>
      </c>
      <c r="E4227">
        <v>19931</v>
      </c>
      <c r="F4227" t="s">
        <v>4470</v>
      </c>
      <c r="G4227">
        <v>2369</v>
      </c>
      <c r="H4227">
        <v>1</v>
      </c>
      <c r="I4227" t="s">
        <v>3888</v>
      </c>
      <c r="J4227" t="s">
        <v>3469</v>
      </c>
      <c r="K4227" t="s">
        <v>3799</v>
      </c>
      <c r="L4227">
        <v>0</v>
      </c>
      <c r="M4227" s="453">
        <v>45587</v>
      </c>
      <c r="N4227">
        <v>6.9</v>
      </c>
      <c r="O4227">
        <v>6.9</v>
      </c>
      <c r="P4227">
        <v>6.9</v>
      </c>
    </row>
    <row r="4228" spans="1:16" x14ac:dyDescent="0.3">
      <c r="A4228">
        <v>8359</v>
      </c>
      <c r="B4228">
        <v>116</v>
      </c>
      <c r="C4228" t="s">
        <v>568</v>
      </c>
      <c r="D4228" s="453">
        <v>45627</v>
      </c>
      <c r="E4228">
        <v>19465</v>
      </c>
      <c r="F4228" t="s">
        <v>4080</v>
      </c>
      <c r="G4228">
        <v>2737</v>
      </c>
      <c r="H4228">
        <v>1</v>
      </c>
      <c r="I4228" t="s">
        <v>3892</v>
      </c>
      <c r="J4228" t="s">
        <v>3469</v>
      </c>
      <c r="K4228" t="s">
        <v>3799</v>
      </c>
      <c r="L4228">
        <v>6.85</v>
      </c>
      <c r="M4228" s="453">
        <v>45624</v>
      </c>
      <c r="N4228">
        <v>5.25</v>
      </c>
      <c r="O4228">
        <v>5</v>
      </c>
      <c r="P4228">
        <v>6.85</v>
      </c>
    </row>
    <row r="4229" spans="1:16" x14ac:dyDescent="0.3">
      <c r="A4229">
        <v>8343</v>
      </c>
      <c r="B4229">
        <v>116</v>
      </c>
      <c r="C4229" t="s">
        <v>568</v>
      </c>
      <c r="D4229" s="453">
        <v>45627</v>
      </c>
      <c r="E4229">
        <v>19621</v>
      </c>
      <c r="F4229" t="s">
        <v>4125</v>
      </c>
      <c r="G4229">
        <v>2613</v>
      </c>
      <c r="H4229">
        <v>2</v>
      </c>
      <c r="I4229" t="s">
        <v>3892</v>
      </c>
      <c r="J4229" t="s">
        <v>3469</v>
      </c>
      <c r="K4229" t="s">
        <v>3799</v>
      </c>
      <c r="L4229">
        <v>3.38</v>
      </c>
      <c r="M4229" s="453">
        <v>45610</v>
      </c>
      <c r="N4229">
        <v>3.38</v>
      </c>
      <c r="O4229">
        <v>2.2799999999999998</v>
      </c>
      <c r="P4229">
        <v>6.76</v>
      </c>
    </row>
    <row r="4230" spans="1:16" x14ac:dyDescent="0.3">
      <c r="A4230">
        <v>8357</v>
      </c>
      <c r="B4230">
        <v>116</v>
      </c>
      <c r="C4230" t="s">
        <v>568</v>
      </c>
      <c r="D4230" s="453">
        <v>45627</v>
      </c>
      <c r="E4230">
        <v>19552</v>
      </c>
      <c r="F4230" t="s">
        <v>4540</v>
      </c>
      <c r="G4230">
        <v>2664</v>
      </c>
      <c r="H4230">
        <v>1</v>
      </c>
      <c r="I4230" t="s">
        <v>3892</v>
      </c>
      <c r="J4230" t="s">
        <v>3469</v>
      </c>
      <c r="K4230" t="s">
        <v>3799</v>
      </c>
      <c r="L4230">
        <v>0</v>
      </c>
      <c r="M4230" s="453">
        <v>45596</v>
      </c>
      <c r="N4230">
        <v>6.4</v>
      </c>
      <c r="O4230">
        <v>4.0599999999999996</v>
      </c>
      <c r="P4230">
        <v>6.4</v>
      </c>
    </row>
    <row r="4231" spans="1:16" x14ac:dyDescent="0.3">
      <c r="A4231">
        <v>8363</v>
      </c>
      <c r="B4231">
        <v>116</v>
      </c>
      <c r="C4231" t="s">
        <v>568</v>
      </c>
      <c r="D4231" s="453">
        <v>45627</v>
      </c>
      <c r="E4231">
        <v>19710</v>
      </c>
      <c r="F4231" t="s">
        <v>4106</v>
      </c>
      <c r="G4231">
        <v>2540</v>
      </c>
      <c r="H4231">
        <v>0.3</v>
      </c>
      <c r="I4231" t="s">
        <v>3888</v>
      </c>
      <c r="J4231" t="s">
        <v>3469</v>
      </c>
      <c r="K4231" t="s">
        <v>3799</v>
      </c>
      <c r="L4231">
        <v>0</v>
      </c>
      <c r="M4231" s="453">
        <v>-693593</v>
      </c>
      <c r="N4231">
        <v>0</v>
      </c>
      <c r="O4231">
        <v>21.2</v>
      </c>
      <c r="P4231">
        <v>6.36</v>
      </c>
    </row>
    <row r="4232" spans="1:16" x14ac:dyDescent="0.3">
      <c r="A4232">
        <v>8333</v>
      </c>
      <c r="B4232">
        <v>116</v>
      </c>
      <c r="C4232" t="s">
        <v>568</v>
      </c>
      <c r="D4232" s="453">
        <v>45627</v>
      </c>
      <c r="E4232">
        <v>19783</v>
      </c>
      <c r="F4232" t="s">
        <v>4016</v>
      </c>
      <c r="G4232">
        <v>2475</v>
      </c>
      <c r="H4232">
        <v>1</v>
      </c>
      <c r="I4232" t="s">
        <v>3892</v>
      </c>
      <c r="J4232" t="s">
        <v>3469</v>
      </c>
      <c r="K4232" t="s">
        <v>3799</v>
      </c>
      <c r="L4232">
        <v>6.15</v>
      </c>
      <c r="M4232" s="453">
        <v>45624</v>
      </c>
      <c r="N4232">
        <v>6</v>
      </c>
      <c r="O4232">
        <v>5.98</v>
      </c>
      <c r="P4232">
        <v>6.15</v>
      </c>
    </row>
    <row r="4233" spans="1:16" x14ac:dyDescent="0.3">
      <c r="A4233">
        <v>8400</v>
      </c>
      <c r="B4233">
        <v>116</v>
      </c>
      <c r="C4233" t="s">
        <v>568</v>
      </c>
      <c r="D4233" s="453">
        <v>45627</v>
      </c>
      <c r="E4233">
        <v>24467</v>
      </c>
      <c r="F4233" t="s">
        <v>3944</v>
      </c>
      <c r="G4233">
        <v>3673</v>
      </c>
      <c r="H4233">
        <v>3</v>
      </c>
      <c r="I4233" t="s">
        <v>3872</v>
      </c>
      <c r="J4233" t="s">
        <v>3497</v>
      </c>
      <c r="K4233" t="s">
        <v>3799</v>
      </c>
      <c r="L4233">
        <v>0</v>
      </c>
      <c r="M4233" s="453">
        <v>45510</v>
      </c>
      <c r="N4233">
        <v>1.99</v>
      </c>
      <c r="O4233">
        <v>2.19</v>
      </c>
      <c r="P4233">
        <v>5.97</v>
      </c>
    </row>
    <row r="4234" spans="1:16" x14ac:dyDescent="0.3">
      <c r="A4234">
        <v>8358</v>
      </c>
      <c r="B4234">
        <v>116</v>
      </c>
      <c r="C4234" t="s">
        <v>568</v>
      </c>
      <c r="D4234" s="453">
        <v>45627</v>
      </c>
      <c r="E4234">
        <v>19468</v>
      </c>
      <c r="F4234" t="s">
        <v>4079</v>
      </c>
      <c r="G4234">
        <v>2736</v>
      </c>
      <c r="H4234">
        <v>0.6</v>
      </c>
      <c r="I4234" t="s">
        <v>3892</v>
      </c>
      <c r="J4234" t="s">
        <v>3469</v>
      </c>
      <c r="K4234" t="s">
        <v>3799</v>
      </c>
      <c r="L4234">
        <v>8.65</v>
      </c>
      <c r="M4234" s="453">
        <v>45624</v>
      </c>
      <c r="N4234">
        <v>6.3</v>
      </c>
      <c r="O4234">
        <v>10.029999999999999</v>
      </c>
      <c r="P4234">
        <v>5.19</v>
      </c>
    </row>
    <row r="4235" spans="1:16" x14ac:dyDescent="0.3">
      <c r="A4235">
        <v>8355</v>
      </c>
      <c r="B4235">
        <v>116</v>
      </c>
      <c r="C4235" t="s">
        <v>568</v>
      </c>
      <c r="D4235" s="453">
        <v>45627</v>
      </c>
      <c r="E4235">
        <v>19589</v>
      </c>
      <c r="F4235" t="s">
        <v>4153</v>
      </c>
      <c r="G4235">
        <v>2637</v>
      </c>
      <c r="H4235">
        <v>1</v>
      </c>
      <c r="I4235" t="s">
        <v>3892</v>
      </c>
      <c r="J4235" t="s">
        <v>3469</v>
      </c>
      <c r="K4235" t="s">
        <v>3799</v>
      </c>
      <c r="L4235">
        <v>5.0999999999999996</v>
      </c>
      <c r="M4235" s="453">
        <v>45610</v>
      </c>
      <c r="N4235">
        <v>5</v>
      </c>
      <c r="O4235">
        <v>3.55</v>
      </c>
      <c r="P4235">
        <v>5.0999999999999996</v>
      </c>
    </row>
    <row r="4236" spans="1:16" x14ac:dyDescent="0.3">
      <c r="A4236">
        <v>8340</v>
      </c>
      <c r="B4236">
        <v>116</v>
      </c>
      <c r="C4236" t="s">
        <v>568</v>
      </c>
      <c r="D4236" s="453">
        <v>45627</v>
      </c>
      <c r="E4236">
        <v>19623</v>
      </c>
      <c r="F4236" t="s">
        <v>3984</v>
      </c>
      <c r="G4236">
        <v>2611</v>
      </c>
      <c r="H4236">
        <v>1.5</v>
      </c>
      <c r="I4236" t="s">
        <v>3892</v>
      </c>
      <c r="J4236" t="s">
        <v>3469</v>
      </c>
      <c r="K4236" t="s">
        <v>3799</v>
      </c>
      <c r="L4236">
        <v>3.38</v>
      </c>
      <c r="M4236" s="453">
        <v>45610</v>
      </c>
      <c r="N4236">
        <v>3.38</v>
      </c>
      <c r="O4236">
        <v>2.97</v>
      </c>
      <c r="P4236">
        <v>5.07</v>
      </c>
    </row>
    <row r="4237" spans="1:16" x14ac:dyDescent="0.3">
      <c r="A4237">
        <v>8330</v>
      </c>
      <c r="B4237">
        <v>116</v>
      </c>
      <c r="C4237" t="s">
        <v>568</v>
      </c>
      <c r="D4237" s="453">
        <v>45627</v>
      </c>
      <c r="E4237">
        <v>19505</v>
      </c>
      <c r="F4237" t="s">
        <v>4101</v>
      </c>
      <c r="G4237">
        <v>2706</v>
      </c>
      <c r="H4237">
        <v>0.4</v>
      </c>
      <c r="I4237" t="s">
        <v>3892</v>
      </c>
      <c r="J4237" t="s">
        <v>3469</v>
      </c>
      <c r="K4237" t="s">
        <v>3799</v>
      </c>
      <c r="L4237">
        <v>11.94</v>
      </c>
      <c r="M4237" s="453">
        <v>45624</v>
      </c>
      <c r="N4237">
        <v>16.2</v>
      </c>
      <c r="O4237">
        <v>8.9</v>
      </c>
      <c r="P4237">
        <v>4.78</v>
      </c>
    </row>
    <row r="4238" spans="1:16" x14ac:dyDescent="0.3">
      <c r="A4238">
        <v>8362</v>
      </c>
      <c r="B4238">
        <v>116</v>
      </c>
      <c r="C4238" t="s">
        <v>568</v>
      </c>
      <c r="D4238" s="453">
        <v>45627</v>
      </c>
      <c r="E4238">
        <v>24484</v>
      </c>
      <c r="F4238" t="s">
        <v>4154</v>
      </c>
      <c r="G4238">
        <v>2684</v>
      </c>
      <c r="H4238">
        <v>0.5</v>
      </c>
      <c r="I4238" t="s">
        <v>3892</v>
      </c>
      <c r="J4238" t="s">
        <v>3469</v>
      </c>
      <c r="K4238" t="s">
        <v>3799</v>
      </c>
      <c r="L4238">
        <v>8.1</v>
      </c>
      <c r="M4238" s="453">
        <v>45624</v>
      </c>
      <c r="N4238">
        <v>8.1</v>
      </c>
      <c r="O4238">
        <v>8.1</v>
      </c>
      <c r="P4238">
        <v>4.05</v>
      </c>
    </row>
    <row r="4239" spans="1:16" x14ac:dyDescent="0.3">
      <c r="A4239">
        <v>8318</v>
      </c>
      <c r="B4239">
        <v>116</v>
      </c>
      <c r="C4239" t="s">
        <v>568</v>
      </c>
      <c r="D4239" s="453">
        <v>45627</v>
      </c>
      <c r="E4239">
        <v>19935</v>
      </c>
      <c r="F4239" t="s">
        <v>4469</v>
      </c>
      <c r="G4239">
        <v>2368</v>
      </c>
      <c r="H4239">
        <v>0.5</v>
      </c>
      <c r="I4239" t="s">
        <v>3888</v>
      </c>
      <c r="J4239" t="s">
        <v>3469</v>
      </c>
      <c r="K4239" t="s">
        <v>3799</v>
      </c>
      <c r="L4239">
        <v>0</v>
      </c>
      <c r="M4239" s="453">
        <v>45587</v>
      </c>
      <c r="N4239">
        <v>6.9</v>
      </c>
      <c r="O4239">
        <v>6.9</v>
      </c>
      <c r="P4239">
        <v>3.45</v>
      </c>
    </row>
    <row r="4240" spans="1:16" x14ac:dyDescent="0.3">
      <c r="A4240">
        <v>8342</v>
      </c>
      <c r="B4240">
        <v>116</v>
      </c>
      <c r="C4240" t="s">
        <v>568</v>
      </c>
      <c r="D4240" s="453">
        <v>45627</v>
      </c>
      <c r="E4240">
        <v>19488</v>
      </c>
      <c r="F4240" t="s">
        <v>4070</v>
      </c>
      <c r="G4240">
        <v>2720</v>
      </c>
      <c r="H4240">
        <v>0.2</v>
      </c>
      <c r="I4240" t="s">
        <v>3892</v>
      </c>
      <c r="J4240" t="s">
        <v>3469</v>
      </c>
      <c r="K4240" t="s">
        <v>3799</v>
      </c>
      <c r="L4240">
        <v>10.37</v>
      </c>
      <c r="M4240" s="453">
        <v>45624</v>
      </c>
      <c r="N4240">
        <v>9.5</v>
      </c>
      <c r="O4240">
        <v>10.130000000000001</v>
      </c>
      <c r="P4240">
        <v>2.0699999999999998</v>
      </c>
    </row>
    <row r="4241" spans="1:16" x14ac:dyDescent="0.3">
      <c r="A4241">
        <v>6684</v>
      </c>
      <c r="B4241">
        <v>116</v>
      </c>
      <c r="C4241" t="s">
        <v>568</v>
      </c>
      <c r="D4241" s="453">
        <v>45597</v>
      </c>
      <c r="E4241">
        <v>18790</v>
      </c>
      <c r="F4241" t="s">
        <v>4542</v>
      </c>
      <c r="G4241">
        <v>2983</v>
      </c>
      <c r="H4241">
        <v>9</v>
      </c>
      <c r="I4241" t="s">
        <v>3872</v>
      </c>
      <c r="J4241" t="s">
        <v>3469</v>
      </c>
      <c r="K4241" t="s">
        <v>3772</v>
      </c>
      <c r="L4241">
        <v>0</v>
      </c>
      <c r="M4241" s="453">
        <v>45447</v>
      </c>
      <c r="N4241">
        <v>2450</v>
      </c>
      <c r="O4241">
        <v>2450</v>
      </c>
      <c r="P4241">
        <v>22050</v>
      </c>
    </row>
    <row r="4242" spans="1:16" x14ac:dyDescent="0.3">
      <c r="A4242">
        <v>5759</v>
      </c>
      <c r="B4242">
        <v>116</v>
      </c>
      <c r="C4242" t="s">
        <v>568</v>
      </c>
      <c r="D4242" s="453">
        <v>45597</v>
      </c>
      <c r="E4242">
        <v>18636</v>
      </c>
      <c r="F4242" t="s">
        <v>3921</v>
      </c>
      <c r="G4242">
        <v>3075</v>
      </c>
      <c r="H4242">
        <v>14.3</v>
      </c>
      <c r="I4242" t="s">
        <v>3922</v>
      </c>
      <c r="J4242" t="s">
        <v>3497</v>
      </c>
      <c r="K4242" t="s">
        <v>3772</v>
      </c>
      <c r="L4242">
        <v>330.37</v>
      </c>
      <c r="M4242" s="453">
        <v>45594</v>
      </c>
      <c r="N4242">
        <v>429</v>
      </c>
      <c r="O4242">
        <v>429</v>
      </c>
      <c r="P4242">
        <v>4724.29</v>
      </c>
    </row>
    <row r="4243" spans="1:16" x14ac:dyDescent="0.3">
      <c r="A4243">
        <v>6731</v>
      </c>
      <c r="B4243">
        <v>116</v>
      </c>
      <c r="C4243" t="s">
        <v>568</v>
      </c>
      <c r="D4243" s="453">
        <v>45597</v>
      </c>
      <c r="E4243">
        <v>18247</v>
      </c>
      <c r="F4243" t="s">
        <v>3877</v>
      </c>
      <c r="G4243">
        <v>3383</v>
      </c>
      <c r="H4243">
        <v>64.5</v>
      </c>
      <c r="I4243" t="s">
        <v>3878</v>
      </c>
      <c r="J4243" t="s">
        <v>3497</v>
      </c>
      <c r="K4243" t="s">
        <v>3772</v>
      </c>
      <c r="L4243">
        <v>0</v>
      </c>
      <c r="M4243" s="453">
        <v>-693593</v>
      </c>
      <c r="N4243">
        <v>0</v>
      </c>
      <c r="O4243">
        <v>0</v>
      </c>
      <c r="P4243">
        <v>4282.8</v>
      </c>
    </row>
    <row r="4244" spans="1:16" x14ac:dyDescent="0.3">
      <c r="A4244">
        <v>5766</v>
      </c>
      <c r="B4244">
        <v>116</v>
      </c>
      <c r="C4244" t="s">
        <v>568</v>
      </c>
      <c r="D4244" s="453">
        <v>45597</v>
      </c>
      <c r="E4244">
        <v>18450</v>
      </c>
      <c r="F4244" t="s">
        <v>4253</v>
      </c>
      <c r="G4244">
        <v>3202</v>
      </c>
      <c r="H4244">
        <v>56</v>
      </c>
      <c r="I4244" t="s">
        <v>3878</v>
      </c>
      <c r="J4244" t="s">
        <v>3497</v>
      </c>
      <c r="K4244" t="s">
        <v>3772</v>
      </c>
      <c r="L4244">
        <v>0</v>
      </c>
      <c r="M4244" s="453">
        <v>45407</v>
      </c>
      <c r="N4244">
        <v>68.599999999999994</v>
      </c>
      <c r="O4244">
        <v>68.599999999999994</v>
      </c>
      <c r="P4244">
        <v>3841.6</v>
      </c>
    </row>
    <row r="4245" spans="1:16" x14ac:dyDescent="0.3">
      <c r="A4245">
        <v>6726</v>
      </c>
      <c r="B4245">
        <v>116</v>
      </c>
      <c r="C4245" t="s">
        <v>568</v>
      </c>
      <c r="D4245" s="453">
        <v>45597</v>
      </c>
      <c r="E4245">
        <v>18749</v>
      </c>
      <c r="F4245" t="s">
        <v>4541</v>
      </c>
      <c r="G4245">
        <v>3012</v>
      </c>
      <c r="H4245">
        <v>12</v>
      </c>
      <c r="I4245" t="s">
        <v>3892</v>
      </c>
      <c r="J4245" t="s">
        <v>3469</v>
      </c>
      <c r="K4245" t="s">
        <v>3772</v>
      </c>
      <c r="L4245">
        <v>0</v>
      </c>
      <c r="M4245" s="453">
        <v>-693593</v>
      </c>
      <c r="N4245">
        <v>0</v>
      </c>
      <c r="O4245">
        <v>0</v>
      </c>
      <c r="P4245">
        <v>2736</v>
      </c>
    </row>
    <row r="4246" spans="1:16" x14ac:dyDescent="0.3">
      <c r="A4246">
        <v>5900</v>
      </c>
      <c r="B4246">
        <v>116</v>
      </c>
      <c r="C4246" t="s">
        <v>568</v>
      </c>
      <c r="D4246" s="453">
        <v>45597</v>
      </c>
      <c r="E4246">
        <v>18764</v>
      </c>
      <c r="F4246" t="s">
        <v>3907</v>
      </c>
      <c r="G4246">
        <v>3001</v>
      </c>
      <c r="H4246">
        <v>13.4</v>
      </c>
      <c r="I4246" t="s">
        <v>3892</v>
      </c>
      <c r="J4246" t="s">
        <v>3469</v>
      </c>
      <c r="K4246" t="s">
        <v>3772</v>
      </c>
      <c r="L4246">
        <v>0</v>
      </c>
      <c r="M4246" s="453">
        <v>45559</v>
      </c>
      <c r="N4246">
        <v>78.7</v>
      </c>
      <c r="O4246">
        <v>78.7</v>
      </c>
      <c r="P4246">
        <v>1054.58</v>
      </c>
    </row>
    <row r="4247" spans="1:16" x14ac:dyDescent="0.3">
      <c r="A4247">
        <v>6723</v>
      </c>
      <c r="B4247">
        <v>116</v>
      </c>
      <c r="C4247" t="s">
        <v>568</v>
      </c>
      <c r="D4247" s="453">
        <v>45597</v>
      </c>
      <c r="E4247">
        <v>25541</v>
      </c>
      <c r="F4247" t="s">
        <v>4330</v>
      </c>
      <c r="G4247">
        <v>6160</v>
      </c>
      <c r="H4247">
        <v>25.4</v>
      </c>
      <c r="I4247" t="s">
        <v>3892</v>
      </c>
      <c r="J4247" t="s">
        <v>3469</v>
      </c>
      <c r="K4247" t="s">
        <v>3772</v>
      </c>
      <c r="L4247">
        <v>0</v>
      </c>
      <c r="M4247" s="453">
        <v>-693593</v>
      </c>
      <c r="N4247">
        <v>0</v>
      </c>
      <c r="O4247">
        <v>0</v>
      </c>
      <c r="P4247">
        <v>844.06</v>
      </c>
    </row>
    <row r="4248" spans="1:16" x14ac:dyDescent="0.3">
      <c r="A4248">
        <v>5886</v>
      </c>
      <c r="B4248">
        <v>116</v>
      </c>
      <c r="C4248" t="s">
        <v>568</v>
      </c>
      <c r="D4248" s="453">
        <v>45597</v>
      </c>
      <c r="E4248">
        <v>19224</v>
      </c>
      <c r="F4248" t="s">
        <v>4485</v>
      </c>
      <c r="G4248">
        <v>5850</v>
      </c>
      <c r="H4248">
        <v>2.9</v>
      </c>
      <c r="I4248" t="s">
        <v>3872</v>
      </c>
      <c r="J4248" t="s">
        <v>3469</v>
      </c>
      <c r="K4248" t="s">
        <v>3772</v>
      </c>
      <c r="L4248">
        <v>228.9</v>
      </c>
      <c r="M4248" s="453">
        <v>45586</v>
      </c>
      <c r="N4248">
        <v>228.9</v>
      </c>
      <c r="O4248">
        <v>245.9</v>
      </c>
      <c r="P4248">
        <v>663.81</v>
      </c>
    </row>
    <row r="4249" spans="1:16" x14ac:dyDescent="0.3">
      <c r="A4249">
        <v>6727</v>
      </c>
      <c r="B4249">
        <v>116</v>
      </c>
      <c r="C4249" t="s">
        <v>568</v>
      </c>
      <c r="D4249" s="453">
        <v>45597</v>
      </c>
      <c r="E4249">
        <v>20459</v>
      </c>
      <c r="F4249" t="s">
        <v>4550</v>
      </c>
      <c r="G4249">
        <v>2163</v>
      </c>
      <c r="H4249">
        <v>24.3</v>
      </c>
      <c r="I4249" t="s">
        <v>3892</v>
      </c>
      <c r="J4249" t="s">
        <v>3469</v>
      </c>
      <c r="K4249" t="s">
        <v>3772</v>
      </c>
      <c r="L4249">
        <v>0</v>
      </c>
      <c r="M4249" s="453">
        <v>-693593</v>
      </c>
      <c r="N4249">
        <v>0</v>
      </c>
      <c r="O4249">
        <v>0</v>
      </c>
      <c r="P4249">
        <v>624.51</v>
      </c>
    </row>
    <row r="4250" spans="1:16" x14ac:dyDescent="0.3">
      <c r="A4250">
        <v>6705</v>
      </c>
      <c r="B4250">
        <v>116</v>
      </c>
      <c r="C4250" t="s">
        <v>568</v>
      </c>
      <c r="D4250" s="453">
        <v>45597</v>
      </c>
      <c r="E4250">
        <v>20519</v>
      </c>
      <c r="F4250" t="s">
        <v>3902</v>
      </c>
      <c r="G4250">
        <v>2150</v>
      </c>
      <c r="H4250">
        <v>12.5</v>
      </c>
      <c r="I4250" t="s">
        <v>3892</v>
      </c>
      <c r="J4250" t="s">
        <v>3469</v>
      </c>
      <c r="K4250" t="s">
        <v>3772</v>
      </c>
      <c r="L4250">
        <v>0</v>
      </c>
      <c r="M4250" s="453">
        <v>45518</v>
      </c>
      <c r="N4250">
        <v>43.95</v>
      </c>
      <c r="O4250">
        <v>43.95</v>
      </c>
      <c r="P4250">
        <v>549.38</v>
      </c>
    </row>
    <row r="4251" spans="1:16" x14ac:dyDescent="0.3">
      <c r="A4251">
        <v>5901</v>
      </c>
      <c r="B4251">
        <v>116</v>
      </c>
      <c r="C4251" t="s">
        <v>568</v>
      </c>
      <c r="D4251" s="453">
        <v>45597</v>
      </c>
      <c r="E4251">
        <v>24259</v>
      </c>
      <c r="F4251" t="s">
        <v>3895</v>
      </c>
      <c r="G4251">
        <v>2938</v>
      </c>
      <c r="H4251">
        <v>8.5</v>
      </c>
      <c r="I4251" t="s">
        <v>3892</v>
      </c>
      <c r="J4251" t="s">
        <v>3469</v>
      </c>
      <c r="K4251" t="s">
        <v>3772</v>
      </c>
      <c r="L4251">
        <v>0</v>
      </c>
      <c r="M4251" s="453">
        <v>-693593</v>
      </c>
      <c r="N4251">
        <v>0</v>
      </c>
      <c r="O4251">
        <v>63</v>
      </c>
      <c r="P4251">
        <v>535.5</v>
      </c>
    </row>
    <row r="4252" spans="1:16" x14ac:dyDescent="0.3">
      <c r="A4252">
        <v>5905</v>
      </c>
      <c r="B4252">
        <v>116</v>
      </c>
      <c r="C4252" t="s">
        <v>568</v>
      </c>
      <c r="D4252" s="453">
        <v>45597</v>
      </c>
      <c r="E4252">
        <v>18832</v>
      </c>
      <c r="F4252" t="s">
        <v>3900</v>
      </c>
      <c r="G4252">
        <v>2950</v>
      </c>
      <c r="H4252">
        <v>12.7</v>
      </c>
      <c r="I4252" t="s">
        <v>3892</v>
      </c>
      <c r="J4252" t="s">
        <v>3469</v>
      </c>
      <c r="K4252" t="s">
        <v>3772</v>
      </c>
      <c r="L4252">
        <v>40.11</v>
      </c>
      <c r="M4252" s="453">
        <v>45581</v>
      </c>
      <c r="N4252">
        <v>40.799999999999997</v>
      </c>
      <c r="O4252">
        <v>45.5</v>
      </c>
      <c r="P4252">
        <v>509.4</v>
      </c>
    </row>
    <row r="4253" spans="1:16" x14ac:dyDescent="0.3">
      <c r="A4253">
        <v>6704</v>
      </c>
      <c r="B4253">
        <v>116</v>
      </c>
      <c r="C4253" t="s">
        <v>568</v>
      </c>
      <c r="D4253" s="453">
        <v>45597</v>
      </c>
      <c r="E4253">
        <v>20539</v>
      </c>
      <c r="F4253" t="s">
        <v>3908</v>
      </c>
      <c r="G4253">
        <v>2145</v>
      </c>
      <c r="H4253">
        <v>10.6</v>
      </c>
      <c r="I4253" t="s">
        <v>3892</v>
      </c>
      <c r="J4253" t="s">
        <v>3469</v>
      </c>
      <c r="K4253" t="s">
        <v>3772</v>
      </c>
      <c r="L4253">
        <v>47.94</v>
      </c>
      <c r="M4253" s="453">
        <v>45580</v>
      </c>
      <c r="N4253">
        <v>47.29</v>
      </c>
      <c r="O4253">
        <v>47.29</v>
      </c>
      <c r="P4253">
        <v>508.16</v>
      </c>
    </row>
    <row r="4254" spans="1:16" x14ac:dyDescent="0.3">
      <c r="A4254">
        <v>5769</v>
      </c>
      <c r="B4254">
        <v>116</v>
      </c>
      <c r="C4254" t="s">
        <v>568</v>
      </c>
      <c r="D4254" s="453">
        <v>45597</v>
      </c>
      <c r="E4254">
        <v>18475</v>
      </c>
      <c r="F4254" t="s">
        <v>3918</v>
      </c>
      <c r="G4254">
        <v>3181</v>
      </c>
      <c r="H4254">
        <v>15.2</v>
      </c>
      <c r="I4254" t="s">
        <v>3878</v>
      </c>
      <c r="J4254" t="s">
        <v>3497</v>
      </c>
      <c r="K4254" t="s">
        <v>3772</v>
      </c>
      <c r="L4254">
        <v>32.9</v>
      </c>
      <c r="M4254" s="453">
        <v>45594</v>
      </c>
      <c r="N4254">
        <v>32.9</v>
      </c>
      <c r="O4254">
        <v>32.9</v>
      </c>
      <c r="P4254">
        <v>500.08</v>
      </c>
    </row>
    <row r="4255" spans="1:16" x14ac:dyDescent="0.3">
      <c r="A4255">
        <v>6697</v>
      </c>
      <c r="B4255">
        <v>116</v>
      </c>
      <c r="C4255" t="s">
        <v>568</v>
      </c>
      <c r="D4255" s="453">
        <v>45597</v>
      </c>
      <c r="E4255">
        <v>24252</v>
      </c>
      <c r="F4255" t="s">
        <v>4520</v>
      </c>
      <c r="G4255">
        <v>2993</v>
      </c>
      <c r="H4255">
        <v>6.95</v>
      </c>
      <c r="I4255" t="s">
        <v>3892</v>
      </c>
      <c r="J4255" t="s">
        <v>3469</v>
      </c>
      <c r="K4255" t="s">
        <v>3772</v>
      </c>
      <c r="L4255">
        <v>67.900000000000006</v>
      </c>
      <c r="M4255" s="453">
        <v>45572</v>
      </c>
      <c r="N4255">
        <v>67.900000000000006</v>
      </c>
      <c r="O4255">
        <v>67.900000000000006</v>
      </c>
      <c r="P4255">
        <v>471.9</v>
      </c>
    </row>
    <row r="4256" spans="1:16" x14ac:dyDescent="0.3">
      <c r="A4256">
        <v>5915</v>
      </c>
      <c r="B4256">
        <v>116</v>
      </c>
      <c r="C4256" t="s">
        <v>568</v>
      </c>
      <c r="D4256" s="453">
        <v>45597</v>
      </c>
      <c r="E4256">
        <v>21984</v>
      </c>
      <c r="F4256" t="s">
        <v>4487</v>
      </c>
      <c r="G4256">
        <v>3709</v>
      </c>
      <c r="H4256">
        <v>3.9</v>
      </c>
      <c r="I4256" t="s">
        <v>3881</v>
      </c>
      <c r="J4256" t="s">
        <v>3497</v>
      </c>
      <c r="K4256" t="s">
        <v>3772</v>
      </c>
      <c r="L4256">
        <v>0</v>
      </c>
      <c r="M4256" s="453">
        <v>-693593</v>
      </c>
      <c r="N4256">
        <v>0</v>
      </c>
      <c r="O4256">
        <v>120</v>
      </c>
      <c r="P4256">
        <v>468</v>
      </c>
    </row>
    <row r="4257" spans="1:16" x14ac:dyDescent="0.3">
      <c r="A4257">
        <v>6702</v>
      </c>
      <c r="B4257">
        <v>116</v>
      </c>
      <c r="C4257" t="s">
        <v>568</v>
      </c>
      <c r="D4257" s="453">
        <v>45597</v>
      </c>
      <c r="E4257">
        <v>24320</v>
      </c>
      <c r="F4257" t="s">
        <v>4160</v>
      </c>
      <c r="G4257">
        <v>2942</v>
      </c>
      <c r="H4257">
        <v>11.3</v>
      </c>
      <c r="I4257" t="s">
        <v>3892</v>
      </c>
      <c r="J4257" t="s">
        <v>3469</v>
      </c>
      <c r="K4257" t="s">
        <v>3772</v>
      </c>
      <c r="L4257">
        <v>0</v>
      </c>
      <c r="M4257" s="453">
        <v>45497</v>
      </c>
      <c r="N4257">
        <v>40.75</v>
      </c>
      <c r="O4257">
        <v>44.8</v>
      </c>
      <c r="P4257">
        <v>460.48</v>
      </c>
    </row>
    <row r="4258" spans="1:16" x14ac:dyDescent="0.3">
      <c r="A4258">
        <v>5831</v>
      </c>
      <c r="B4258">
        <v>116</v>
      </c>
      <c r="C4258" t="s">
        <v>568</v>
      </c>
      <c r="D4258" s="453">
        <v>45597</v>
      </c>
      <c r="E4258">
        <v>21017</v>
      </c>
      <c r="F4258" t="s">
        <v>4290</v>
      </c>
      <c r="G4258">
        <v>2005</v>
      </c>
      <c r="H4258">
        <v>3</v>
      </c>
      <c r="I4258" t="s">
        <v>3966</v>
      </c>
      <c r="J4258" t="s">
        <v>3469</v>
      </c>
      <c r="K4258" t="s">
        <v>3772</v>
      </c>
      <c r="L4258">
        <v>0</v>
      </c>
      <c r="M4258" s="453">
        <v>-693593</v>
      </c>
      <c r="N4258">
        <v>0</v>
      </c>
      <c r="O4258">
        <v>147.9</v>
      </c>
      <c r="P4258">
        <v>443.7</v>
      </c>
    </row>
    <row r="4259" spans="1:16" x14ac:dyDescent="0.3">
      <c r="A4259">
        <v>5896</v>
      </c>
      <c r="B4259">
        <v>116</v>
      </c>
      <c r="C4259" t="s">
        <v>568</v>
      </c>
      <c r="D4259" s="453">
        <v>45597</v>
      </c>
      <c r="E4259">
        <v>18844</v>
      </c>
      <c r="F4259" t="s">
        <v>4521</v>
      </c>
      <c r="G4259">
        <v>2947</v>
      </c>
      <c r="H4259">
        <v>8.1999999999999993</v>
      </c>
      <c r="I4259" t="s">
        <v>3892</v>
      </c>
      <c r="J4259" t="s">
        <v>3469</v>
      </c>
      <c r="K4259" t="s">
        <v>3772</v>
      </c>
      <c r="L4259">
        <v>0</v>
      </c>
      <c r="M4259" s="453">
        <v>45497</v>
      </c>
      <c r="N4259">
        <v>52.6</v>
      </c>
      <c r="O4259">
        <v>52.6</v>
      </c>
      <c r="P4259">
        <v>431.32</v>
      </c>
    </row>
    <row r="4260" spans="1:16" x14ac:dyDescent="0.3">
      <c r="A4260">
        <v>6721</v>
      </c>
      <c r="B4260">
        <v>116</v>
      </c>
      <c r="C4260" t="s">
        <v>568</v>
      </c>
      <c r="D4260" s="453">
        <v>45597</v>
      </c>
      <c r="E4260">
        <v>19289</v>
      </c>
      <c r="F4260" t="s">
        <v>4508</v>
      </c>
      <c r="G4260">
        <v>2776</v>
      </c>
      <c r="H4260">
        <v>6.4</v>
      </c>
      <c r="I4260" t="s">
        <v>3892</v>
      </c>
      <c r="J4260" t="s">
        <v>3469</v>
      </c>
      <c r="K4260" t="s">
        <v>3772</v>
      </c>
      <c r="L4260">
        <v>66.05</v>
      </c>
      <c r="M4260" s="453">
        <v>45594</v>
      </c>
      <c r="N4260">
        <v>65.900000000000006</v>
      </c>
      <c r="O4260">
        <v>65.900000000000006</v>
      </c>
      <c r="P4260">
        <v>422.72</v>
      </c>
    </row>
    <row r="4261" spans="1:16" x14ac:dyDescent="0.3">
      <c r="A4261">
        <v>5804</v>
      </c>
      <c r="B4261">
        <v>116</v>
      </c>
      <c r="C4261" t="s">
        <v>568</v>
      </c>
      <c r="D4261" s="453">
        <v>45597</v>
      </c>
      <c r="E4261">
        <v>20703</v>
      </c>
      <c r="F4261" t="s">
        <v>3893</v>
      </c>
      <c r="G4261">
        <v>2100</v>
      </c>
      <c r="H4261">
        <v>14</v>
      </c>
      <c r="I4261" t="s">
        <v>3886</v>
      </c>
      <c r="J4261" t="s">
        <v>3469</v>
      </c>
      <c r="K4261" t="s">
        <v>3772</v>
      </c>
      <c r="L4261">
        <v>0</v>
      </c>
      <c r="M4261" s="453">
        <v>45499</v>
      </c>
      <c r="N4261">
        <v>29.99</v>
      </c>
      <c r="O4261">
        <v>29.99</v>
      </c>
      <c r="P4261">
        <v>419.86</v>
      </c>
    </row>
    <row r="4262" spans="1:16" x14ac:dyDescent="0.3">
      <c r="A4262">
        <v>6701</v>
      </c>
      <c r="B4262">
        <v>116</v>
      </c>
      <c r="C4262" t="s">
        <v>568</v>
      </c>
      <c r="D4262" s="453">
        <v>45597</v>
      </c>
      <c r="E4262">
        <v>18684</v>
      </c>
      <c r="F4262" t="s">
        <v>3925</v>
      </c>
      <c r="G4262">
        <v>3041</v>
      </c>
      <c r="H4262">
        <v>13.5</v>
      </c>
      <c r="I4262" t="s">
        <v>3892</v>
      </c>
      <c r="J4262" t="s">
        <v>3469</v>
      </c>
      <c r="K4262" t="s">
        <v>3772</v>
      </c>
      <c r="L4262">
        <v>29</v>
      </c>
      <c r="M4262" s="453">
        <v>45581</v>
      </c>
      <c r="N4262">
        <v>29</v>
      </c>
      <c r="O4262">
        <v>29</v>
      </c>
      <c r="P4262">
        <v>391.5</v>
      </c>
    </row>
    <row r="4263" spans="1:16" x14ac:dyDescent="0.3">
      <c r="A4263">
        <v>5758</v>
      </c>
      <c r="B4263">
        <v>116</v>
      </c>
      <c r="C4263" t="s">
        <v>568</v>
      </c>
      <c r="D4263" s="453">
        <v>45597</v>
      </c>
      <c r="E4263">
        <v>18640</v>
      </c>
      <c r="F4263" t="s">
        <v>3994</v>
      </c>
      <c r="G4263">
        <v>3074</v>
      </c>
      <c r="H4263">
        <v>1.8</v>
      </c>
      <c r="I4263" t="s">
        <v>3922</v>
      </c>
      <c r="J4263" t="s">
        <v>3497</v>
      </c>
      <c r="K4263" t="s">
        <v>3772</v>
      </c>
      <c r="L4263">
        <v>213.04</v>
      </c>
      <c r="M4263" s="453">
        <v>45594</v>
      </c>
      <c r="N4263">
        <v>265.8</v>
      </c>
      <c r="O4263">
        <v>265.8</v>
      </c>
      <c r="P4263">
        <v>383.47</v>
      </c>
    </row>
    <row r="4264" spans="1:16" x14ac:dyDescent="0.3">
      <c r="A4264">
        <v>5837</v>
      </c>
      <c r="B4264">
        <v>116</v>
      </c>
      <c r="C4264" t="s">
        <v>568</v>
      </c>
      <c r="D4264" s="453">
        <v>45597</v>
      </c>
      <c r="E4264">
        <v>20621</v>
      </c>
      <c r="F4264" t="s">
        <v>3885</v>
      </c>
      <c r="G4264">
        <v>2117</v>
      </c>
      <c r="H4264">
        <v>22</v>
      </c>
      <c r="I4264" t="s">
        <v>3886</v>
      </c>
      <c r="J4264" t="s">
        <v>3469</v>
      </c>
      <c r="K4264" t="s">
        <v>3772</v>
      </c>
      <c r="L4264">
        <v>0</v>
      </c>
      <c r="M4264" s="453">
        <v>45524</v>
      </c>
      <c r="N4264">
        <v>16.600000000000001</v>
      </c>
      <c r="O4264">
        <v>18.899999999999999</v>
      </c>
      <c r="P4264">
        <v>365.2</v>
      </c>
    </row>
    <row r="4265" spans="1:16" x14ac:dyDescent="0.3">
      <c r="A4265">
        <v>6682</v>
      </c>
      <c r="B4265">
        <v>116</v>
      </c>
      <c r="C4265" t="s">
        <v>568</v>
      </c>
      <c r="D4265" s="453">
        <v>45597</v>
      </c>
      <c r="E4265">
        <v>21030</v>
      </c>
      <c r="F4265" t="s">
        <v>3890</v>
      </c>
      <c r="G4265">
        <v>2001</v>
      </c>
      <c r="H4265">
        <v>12</v>
      </c>
      <c r="I4265" t="s">
        <v>3872</v>
      </c>
      <c r="J4265" t="s">
        <v>3469</v>
      </c>
      <c r="K4265" t="s">
        <v>3772</v>
      </c>
      <c r="L4265">
        <v>29.4</v>
      </c>
      <c r="M4265" s="453">
        <v>45573</v>
      </c>
      <c r="N4265">
        <v>29.4</v>
      </c>
      <c r="O4265">
        <v>29.4</v>
      </c>
      <c r="P4265">
        <v>352.8</v>
      </c>
    </row>
    <row r="4266" spans="1:16" x14ac:dyDescent="0.3">
      <c r="A4266">
        <v>5796</v>
      </c>
      <c r="B4266">
        <v>116</v>
      </c>
      <c r="C4266" t="s">
        <v>568</v>
      </c>
      <c r="D4266" s="453">
        <v>45597</v>
      </c>
      <c r="E4266">
        <v>20301</v>
      </c>
      <c r="F4266" t="s">
        <v>4161</v>
      </c>
      <c r="G4266">
        <v>2223</v>
      </c>
      <c r="H4266">
        <v>10.5</v>
      </c>
      <c r="I4266" t="s">
        <v>3888</v>
      </c>
      <c r="J4266" t="s">
        <v>3469</v>
      </c>
      <c r="K4266" t="s">
        <v>3772</v>
      </c>
      <c r="L4266">
        <v>0</v>
      </c>
      <c r="M4266" s="453">
        <v>45533</v>
      </c>
      <c r="N4266">
        <v>31.98</v>
      </c>
      <c r="O4266">
        <v>32.979999999999997</v>
      </c>
      <c r="P4266">
        <v>335.79</v>
      </c>
    </row>
    <row r="4267" spans="1:16" x14ac:dyDescent="0.3">
      <c r="A4267">
        <v>5767</v>
      </c>
      <c r="B4267">
        <v>116</v>
      </c>
      <c r="C4267" t="s">
        <v>568</v>
      </c>
      <c r="D4267" s="453">
        <v>45597</v>
      </c>
      <c r="E4267">
        <v>18493</v>
      </c>
      <c r="F4267" t="s">
        <v>3958</v>
      </c>
      <c r="G4267">
        <v>3164</v>
      </c>
      <c r="H4267">
        <v>4.8</v>
      </c>
      <c r="I4267" t="s">
        <v>3878</v>
      </c>
      <c r="J4267" t="s">
        <v>3497</v>
      </c>
      <c r="K4267" t="s">
        <v>3772</v>
      </c>
      <c r="L4267">
        <v>69.900000000000006</v>
      </c>
      <c r="M4267" s="453">
        <v>45594</v>
      </c>
      <c r="N4267">
        <v>69.900000000000006</v>
      </c>
      <c r="O4267">
        <v>69.900000000000006</v>
      </c>
      <c r="P4267">
        <v>335.52</v>
      </c>
    </row>
    <row r="4268" spans="1:16" x14ac:dyDescent="0.3">
      <c r="A4268">
        <v>5798</v>
      </c>
      <c r="B4268">
        <v>116</v>
      </c>
      <c r="C4268" t="s">
        <v>568</v>
      </c>
      <c r="D4268" s="453">
        <v>45597</v>
      </c>
      <c r="E4268">
        <v>20751</v>
      </c>
      <c r="F4268" t="s">
        <v>4331</v>
      </c>
      <c r="G4268">
        <v>2088</v>
      </c>
      <c r="H4268">
        <v>3</v>
      </c>
      <c r="I4268" t="s">
        <v>3966</v>
      </c>
      <c r="J4268" t="s">
        <v>3469</v>
      </c>
      <c r="K4268" t="s">
        <v>3772</v>
      </c>
      <c r="L4268">
        <v>0</v>
      </c>
      <c r="M4268" s="453">
        <v>-693593</v>
      </c>
      <c r="N4268">
        <v>0</v>
      </c>
      <c r="O4268">
        <v>109.4</v>
      </c>
      <c r="P4268">
        <v>328.2</v>
      </c>
    </row>
    <row r="4269" spans="1:16" x14ac:dyDescent="0.3">
      <c r="A4269">
        <v>5797</v>
      </c>
      <c r="B4269">
        <v>116</v>
      </c>
      <c r="C4269" t="s">
        <v>568</v>
      </c>
      <c r="D4269" s="453">
        <v>45597</v>
      </c>
      <c r="E4269">
        <v>21047</v>
      </c>
      <c r="F4269" t="s">
        <v>4522</v>
      </c>
      <c r="G4269">
        <v>1999</v>
      </c>
      <c r="H4269">
        <v>2</v>
      </c>
      <c r="I4269" t="s">
        <v>3978</v>
      </c>
      <c r="J4269" t="s">
        <v>3469</v>
      </c>
      <c r="K4269" t="s">
        <v>3772</v>
      </c>
      <c r="L4269">
        <v>0</v>
      </c>
      <c r="M4269" s="453">
        <v>-693593</v>
      </c>
      <c r="N4269">
        <v>0</v>
      </c>
      <c r="O4269">
        <v>161.15</v>
      </c>
      <c r="P4269">
        <v>322.3</v>
      </c>
    </row>
    <row r="4270" spans="1:16" x14ac:dyDescent="0.3">
      <c r="A4270">
        <v>5889</v>
      </c>
      <c r="B4270">
        <v>116</v>
      </c>
      <c r="C4270" t="s">
        <v>568</v>
      </c>
      <c r="D4270" s="453">
        <v>45597</v>
      </c>
      <c r="E4270">
        <v>19324</v>
      </c>
      <c r="F4270" t="s">
        <v>3937</v>
      </c>
      <c r="G4270">
        <v>2773</v>
      </c>
      <c r="H4270">
        <v>7.2</v>
      </c>
      <c r="I4270" t="s">
        <v>3892</v>
      </c>
      <c r="J4270" t="s">
        <v>3469</v>
      </c>
      <c r="K4270" t="s">
        <v>3772</v>
      </c>
      <c r="L4270">
        <v>43.65</v>
      </c>
      <c r="M4270" s="453">
        <v>45594</v>
      </c>
      <c r="N4270">
        <v>42.43</v>
      </c>
      <c r="O4270">
        <v>45.43</v>
      </c>
      <c r="P4270">
        <v>314.27999999999997</v>
      </c>
    </row>
    <row r="4271" spans="1:16" x14ac:dyDescent="0.3">
      <c r="A4271">
        <v>5895</v>
      </c>
      <c r="B4271">
        <v>116</v>
      </c>
      <c r="C4271" t="s">
        <v>568</v>
      </c>
      <c r="D4271" s="453">
        <v>45597</v>
      </c>
      <c r="E4271">
        <v>24654</v>
      </c>
      <c r="F4271" t="s">
        <v>4527</v>
      </c>
      <c r="G4271">
        <v>5699</v>
      </c>
      <c r="H4271">
        <v>6.8</v>
      </c>
      <c r="I4271" t="s">
        <v>3892</v>
      </c>
      <c r="J4271" t="s">
        <v>3469</v>
      </c>
      <c r="K4271" t="s">
        <v>3772</v>
      </c>
      <c r="L4271">
        <v>0</v>
      </c>
      <c r="M4271" s="453">
        <v>-693593</v>
      </c>
      <c r="N4271">
        <v>0</v>
      </c>
      <c r="O4271">
        <v>42.8</v>
      </c>
      <c r="P4271">
        <v>291.04000000000002</v>
      </c>
    </row>
    <row r="4272" spans="1:16" x14ac:dyDescent="0.3">
      <c r="A4272">
        <v>5820</v>
      </c>
      <c r="B4272">
        <v>116</v>
      </c>
      <c r="C4272" t="s">
        <v>568</v>
      </c>
      <c r="D4272" s="453">
        <v>45597</v>
      </c>
      <c r="E4272">
        <v>24351</v>
      </c>
      <c r="F4272" t="s">
        <v>3912</v>
      </c>
      <c r="G4272">
        <v>2287</v>
      </c>
      <c r="H4272">
        <v>24</v>
      </c>
      <c r="I4272" t="s">
        <v>3872</v>
      </c>
      <c r="J4272" t="s">
        <v>3469</v>
      </c>
      <c r="K4272" t="s">
        <v>3772</v>
      </c>
      <c r="L4272">
        <v>0</v>
      </c>
      <c r="M4272" s="453">
        <v>-693593</v>
      </c>
      <c r="N4272">
        <v>0</v>
      </c>
      <c r="O4272">
        <v>12</v>
      </c>
      <c r="P4272">
        <v>288</v>
      </c>
    </row>
    <row r="4273" spans="1:16" x14ac:dyDescent="0.3">
      <c r="A4273">
        <v>5890</v>
      </c>
      <c r="B4273">
        <v>116</v>
      </c>
      <c r="C4273" t="s">
        <v>568</v>
      </c>
      <c r="D4273" s="453">
        <v>45597</v>
      </c>
      <c r="E4273">
        <v>19287</v>
      </c>
      <c r="F4273" t="s">
        <v>3974</v>
      </c>
      <c r="G4273">
        <v>2778</v>
      </c>
      <c r="H4273">
        <v>6.1</v>
      </c>
      <c r="I4273" t="s">
        <v>3892</v>
      </c>
      <c r="J4273" t="s">
        <v>3469</v>
      </c>
      <c r="K4273" t="s">
        <v>3772</v>
      </c>
      <c r="L4273">
        <v>46.61</v>
      </c>
      <c r="M4273" s="453">
        <v>45594</v>
      </c>
      <c r="N4273">
        <v>45.92</v>
      </c>
      <c r="O4273">
        <v>47.9</v>
      </c>
      <c r="P4273">
        <v>284.32</v>
      </c>
    </row>
    <row r="4274" spans="1:16" x14ac:dyDescent="0.3">
      <c r="A4274">
        <v>5907</v>
      </c>
      <c r="B4274">
        <v>116</v>
      </c>
      <c r="C4274" t="s">
        <v>568</v>
      </c>
      <c r="D4274" s="453">
        <v>45597</v>
      </c>
      <c r="E4274">
        <v>18817</v>
      </c>
      <c r="F4274" t="s">
        <v>4523</v>
      </c>
      <c r="G4274">
        <v>2957</v>
      </c>
      <c r="H4274">
        <v>12.5</v>
      </c>
      <c r="I4274" t="s">
        <v>3892</v>
      </c>
      <c r="J4274" t="s">
        <v>3469</v>
      </c>
      <c r="K4274" t="s">
        <v>3772</v>
      </c>
      <c r="L4274">
        <v>0</v>
      </c>
      <c r="M4274" s="453">
        <v>-693593</v>
      </c>
      <c r="N4274">
        <v>0</v>
      </c>
      <c r="O4274">
        <v>22</v>
      </c>
      <c r="P4274">
        <v>275</v>
      </c>
    </row>
    <row r="4275" spans="1:16" x14ac:dyDescent="0.3">
      <c r="A4275">
        <v>6691</v>
      </c>
      <c r="B4275">
        <v>116</v>
      </c>
      <c r="C4275" t="s">
        <v>568</v>
      </c>
      <c r="D4275" s="453">
        <v>45597</v>
      </c>
      <c r="E4275">
        <v>20555</v>
      </c>
      <c r="F4275" t="s">
        <v>3959</v>
      </c>
      <c r="G4275">
        <v>2139</v>
      </c>
      <c r="H4275">
        <v>3.4</v>
      </c>
      <c r="I4275" t="s">
        <v>3892</v>
      </c>
      <c r="J4275" t="s">
        <v>3469</v>
      </c>
      <c r="K4275" t="s">
        <v>3772</v>
      </c>
      <c r="L4275">
        <v>79</v>
      </c>
      <c r="M4275" s="453">
        <v>45595</v>
      </c>
      <c r="N4275">
        <v>79</v>
      </c>
      <c r="O4275">
        <v>79</v>
      </c>
      <c r="P4275">
        <v>268.60000000000002</v>
      </c>
    </row>
    <row r="4276" spans="1:16" x14ac:dyDescent="0.3">
      <c r="A4276">
        <v>6688</v>
      </c>
      <c r="B4276">
        <v>116</v>
      </c>
      <c r="C4276" t="s">
        <v>568</v>
      </c>
      <c r="D4276" s="453">
        <v>45597</v>
      </c>
      <c r="E4276">
        <v>18948</v>
      </c>
      <c r="F4276" t="s">
        <v>3961</v>
      </c>
      <c r="G4276">
        <v>2927</v>
      </c>
      <c r="H4276">
        <v>5.0999999999999996</v>
      </c>
      <c r="I4276" t="s">
        <v>3892</v>
      </c>
      <c r="J4276" t="s">
        <v>3469</v>
      </c>
      <c r="K4276" t="s">
        <v>3772</v>
      </c>
      <c r="L4276">
        <v>0</v>
      </c>
      <c r="M4276" s="453">
        <v>-693593</v>
      </c>
      <c r="N4276">
        <v>0</v>
      </c>
      <c r="O4276">
        <v>52.6</v>
      </c>
      <c r="P4276">
        <v>268.26</v>
      </c>
    </row>
    <row r="4277" spans="1:16" x14ac:dyDescent="0.3">
      <c r="A4277">
        <v>6733</v>
      </c>
      <c r="B4277">
        <v>116</v>
      </c>
      <c r="C4277" t="s">
        <v>568</v>
      </c>
      <c r="D4277" s="453">
        <v>45597</v>
      </c>
      <c r="E4277">
        <v>17620</v>
      </c>
      <c r="F4277" t="s">
        <v>4551</v>
      </c>
      <c r="G4277">
        <v>3906</v>
      </c>
      <c r="H4277">
        <v>14</v>
      </c>
      <c r="I4277" t="s">
        <v>3878</v>
      </c>
      <c r="J4277" t="s">
        <v>3497</v>
      </c>
      <c r="K4277" t="s">
        <v>3772</v>
      </c>
      <c r="L4277">
        <v>18.899999999999999</v>
      </c>
      <c r="M4277" s="453">
        <v>45573</v>
      </c>
      <c r="N4277">
        <v>18.899999999999999</v>
      </c>
      <c r="O4277">
        <v>18.899999999999999</v>
      </c>
      <c r="P4277">
        <v>264.60000000000002</v>
      </c>
    </row>
    <row r="4278" spans="1:16" x14ac:dyDescent="0.3">
      <c r="A4278">
        <v>5779</v>
      </c>
      <c r="B4278">
        <v>116</v>
      </c>
      <c r="C4278" t="s">
        <v>568</v>
      </c>
      <c r="D4278" s="453">
        <v>45597</v>
      </c>
      <c r="E4278">
        <v>18295</v>
      </c>
      <c r="F4278" t="s">
        <v>4030</v>
      </c>
      <c r="G4278">
        <v>3334</v>
      </c>
      <c r="H4278">
        <v>2.2999999999999998</v>
      </c>
      <c r="I4278" t="s">
        <v>3878</v>
      </c>
      <c r="J4278" t="s">
        <v>3497</v>
      </c>
      <c r="K4278" t="s">
        <v>3772</v>
      </c>
      <c r="L4278">
        <v>111.69</v>
      </c>
      <c r="M4278" s="453">
        <v>45594</v>
      </c>
      <c r="N4278">
        <v>122.55</v>
      </c>
      <c r="O4278">
        <v>122.55</v>
      </c>
      <c r="P4278">
        <v>256.89</v>
      </c>
    </row>
    <row r="4279" spans="1:16" x14ac:dyDescent="0.3">
      <c r="A4279">
        <v>5764</v>
      </c>
      <c r="B4279">
        <v>116</v>
      </c>
      <c r="C4279" t="s">
        <v>568</v>
      </c>
      <c r="D4279" s="453">
        <v>45597</v>
      </c>
      <c r="E4279">
        <v>18538</v>
      </c>
      <c r="F4279" t="s">
        <v>4026</v>
      </c>
      <c r="G4279">
        <v>3139</v>
      </c>
      <c r="H4279">
        <v>2.5</v>
      </c>
      <c r="I4279" t="s">
        <v>3878</v>
      </c>
      <c r="J4279" t="s">
        <v>3497</v>
      </c>
      <c r="K4279" t="s">
        <v>3772</v>
      </c>
      <c r="L4279">
        <v>101.73</v>
      </c>
      <c r="M4279" s="453">
        <v>45594</v>
      </c>
      <c r="N4279">
        <v>98.9</v>
      </c>
      <c r="O4279">
        <v>98.9</v>
      </c>
      <c r="P4279">
        <v>254.32</v>
      </c>
    </row>
    <row r="4280" spans="1:16" x14ac:dyDescent="0.3">
      <c r="A4280">
        <v>5912</v>
      </c>
      <c r="B4280">
        <v>116</v>
      </c>
      <c r="C4280" t="s">
        <v>568</v>
      </c>
      <c r="D4280" s="453">
        <v>45597</v>
      </c>
      <c r="E4280">
        <v>24019</v>
      </c>
      <c r="F4280" t="s">
        <v>4471</v>
      </c>
      <c r="G4280">
        <v>3617</v>
      </c>
      <c r="H4280">
        <v>156</v>
      </c>
      <c r="I4280" t="s">
        <v>3872</v>
      </c>
      <c r="J4280" t="s">
        <v>3497</v>
      </c>
      <c r="K4280" t="s">
        <v>3772</v>
      </c>
      <c r="L4280">
        <v>0</v>
      </c>
      <c r="M4280" s="453">
        <v>45545</v>
      </c>
      <c r="N4280">
        <v>1.62</v>
      </c>
      <c r="O4280">
        <v>1.63</v>
      </c>
      <c r="P4280">
        <v>253.5</v>
      </c>
    </row>
    <row r="4281" spans="1:16" x14ac:dyDescent="0.3">
      <c r="A4281">
        <v>5888</v>
      </c>
      <c r="B4281">
        <v>116</v>
      </c>
      <c r="C4281" t="s">
        <v>568</v>
      </c>
      <c r="D4281" s="453">
        <v>45597</v>
      </c>
      <c r="E4281">
        <v>19346</v>
      </c>
      <c r="F4281" t="s">
        <v>3948</v>
      </c>
      <c r="G4281">
        <v>2770</v>
      </c>
      <c r="H4281">
        <v>4.7300000000000004</v>
      </c>
      <c r="I4281" t="s">
        <v>3892</v>
      </c>
      <c r="J4281" t="s">
        <v>3469</v>
      </c>
      <c r="K4281" t="s">
        <v>3772</v>
      </c>
      <c r="L4281">
        <v>50.73</v>
      </c>
      <c r="M4281" s="453">
        <v>45586</v>
      </c>
      <c r="N4281">
        <v>51.35</v>
      </c>
      <c r="O4281">
        <v>51.35</v>
      </c>
      <c r="P4281">
        <v>239.95</v>
      </c>
    </row>
    <row r="4282" spans="1:16" x14ac:dyDescent="0.3">
      <c r="A4282">
        <v>5777</v>
      </c>
      <c r="B4282">
        <v>116</v>
      </c>
      <c r="C4282" t="s">
        <v>568</v>
      </c>
      <c r="D4282" s="453">
        <v>45597</v>
      </c>
      <c r="E4282">
        <v>18315</v>
      </c>
      <c r="F4282" t="s">
        <v>4088</v>
      </c>
      <c r="G4282">
        <v>3318</v>
      </c>
      <c r="H4282">
        <v>2</v>
      </c>
      <c r="I4282" t="s">
        <v>3878</v>
      </c>
      <c r="J4282" t="s">
        <v>3497</v>
      </c>
      <c r="K4282" t="s">
        <v>3772</v>
      </c>
      <c r="L4282">
        <v>115.44</v>
      </c>
      <c r="M4282" s="453">
        <v>45594</v>
      </c>
      <c r="N4282">
        <v>116.88</v>
      </c>
      <c r="O4282">
        <v>122.98</v>
      </c>
      <c r="P4282">
        <v>230.88</v>
      </c>
    </row>
    <row r="4283" spans="1:16" x14ac:dyDescent="0.3">
      <c r="A4283">
        <v>5812</v>
      </c>
      <c r="B4283">
        <v>116</v>
      </c>
      <c r="C4283" t="s">
        <v>568</v>
      </c>
      <c r="D4283" s="453">
        <v>45597</v>
      </c>
      <c r="E4283">
        <v>20225</v>
      </c>
      <c r="F4283" t="s">
        <v>4530</v>
      </c>
      <c r="G4283">
        <v>2248</v>
      </c>
      <c r="H4283">
        <v>26</v>
      </c>
      <c r="I4283" t="s">
        <v>3888</v>
      </c>
      <c r="J4283" t="s">
        <v>3469</v>
      </c>
      <c r="K4283" t="s">
        <v>3772</v>
      </c>
      <c r="L4283">
        <v>8.7899999999999991</v>
      </c>
      <c r="M4283" s="453">
        <v>45572</v>
      </c>
      <c r="N4283">
        <v>8.7899999999999991</v>
      </c>
      <c r="O4283">
        <v>8.7100000000000009</v>
      </c>
      <c r="P4283">
        <v>228.54</v>
      </c>
    </row>
    <row r="4284" spans="1:16" x14ac:dyDescent="0.3">
      <c r="A4284">
        <v>6734</v>
      </c>
      <c r="B4284">
        <v>116</v>
      </c>
      <c r="C4284" t="s">
        <v>568</v>
      </c>
      <c r="D4284" s="453">
        <v>45597</v>
      </c>
      <c r="E4284">
        <v>17609</v>
      </c>
      <c r="F4284" t="s">
        <v>4038</v>
      </c>
      <c r="G4284">
        <v>3917</v>
      </c>
      <c r="H4284">
        <v>12</v>
      </c>
      <c r="I4284" t="s">
        <v>3878</v>
      </c>
      <c r="J4284" t="s">
        <v>3497</v>
      </c>
      <c r="K4284" t="s">
        <v>3772</v>
      </c>
      <c r="L4284">
        <v>18.899999999999999</v>
      </c>
      <c r="M4284" s="453">
        <v>45573</v>
      </c>
      <c r="N4284">
        <v>18.899999999999999</v>
      </c>
      <c r="O4284">
        <v>18.899999999999999</v>
      </c>
      <c r="P4284">
        <v>226.8</v>
      </c>
    </row>
    <row r="4285" spans="1:16" x14ac:dyDescent="0.3">
      <c r="A4285">
        <v>6681</v>
      </c>
      <c r="B4285">
        <v>116</v>
      </c>
      <c r="C4285" t="s">
        <v>568</v>
      </c>
      <c r="D4285" s="453">
        <v>45597</v>
      </c>
      <c r="E4285">
        <v>23982</v>
      </c>
      <c r="F4285" t="s">
        <v>3977</v>
      </c>
      <c r="G4285">
        <v>1999</v>
      </c>
      <c r="H4285">
        <v>1</v>
      </c>
      <c r="I4285" t="s">
        <v>3978</v>
      </c>
      <c r="J4285" t="s">
        <v>3469</v>
      </c>
      <c r="K4285" t="s">
        <v>3772</v>
      </c>
      <c r="L4285">
        <v>221.72</v>
      </c>
      <c r="M4285" s="453">
        <v>45594</v>
      </c>
      <c r="N4285">
        <v>252</v>
      </c>
      <c r="O4285">
        <v>184.9</v>
      </c>
      <c r="P4285">
        <v>221.72</v>
      </c>
    </row>
    <row r="4286" spans="1:16" x14ac:dyDescent="0.3">
      <c r="A4286">
        <v>5775</v>
      </c>
      <c r="B4286">
        <v>116</v>
      </c>
      <c r="C4286" t="s">
        <v>568</v>
      </c>
      <c r="D4286" s="453">
        <v>45597</v>
      </c>
      <c r="E4286">
        <v>18359</v>
      </c>
      <c r="F4286" t="s">
        <v>4029</v>
      </c>
      <c r="G4286">
        <v>3278</v>
      </c>
      <c r="H4286">
        <v>2.2000000000000002</v>
      </c>
      <c r="I4286" t="s">
        <v>3878</v>
      </c>
      <c r="J4286" t="s">
        <v>3497</v>
      </c>
      <c r="K4286" t="s">
        <v>3772</v>
      </c>
      <c r="L4286">
        <v>0</v>
      </c>
      <c r="M4286" s="453">
        <v>45530</v>
      </c>
      <c r="N4286">
        <v>95.85</v>
      </c>
      <c r="O4286">
        <v>99.9</v>
      </c>
      <c r="P4286">
        <v>210.87</v>
      </c>
    </row>
    <row r="4287" spans="1:16" x14ac:dyDescent="0.3">
      <c r="A4287">
        <v>6700</v>
      </c>
      <c r="B4287">
        <v>116</v>
      </c>
      <c r="C4287" t="s">
        <v>568</v>
      </c>
      <c r="D4287" s="453">
        <v>45597</v>
      </c>
      <c r="E4287">
        <v>17006</v>
      </c>
      <c r="F4287" t="s">
        <v>4128</v>
      </c>
      <c r="G4287">
        <v>2902</v>
      </c>
      <c r="H4287">
        <v>15</v>
      </c>
      <c r="I4287" t="s">
        <v>3892</v>
      </c>
      <c r="J4287" t="s">
        <v>3469</v>
      </c>
      <c r="K4287" t="s">
        <v>3772</v>
      </c>
      <c r="L4287">
        <v>0</v>
      </c>
      <c r="M4287" s="453">
        <v>-693593</v>
      </c>
      <c r="N4287">
        <v>0</v>
      </c>
      <c r="O4287">
        <v>0</v>
      </c>
      <c r="P4287">
        <v>209.4</v>
      </c>
    </row>
    <row r="4288" spans="1:16" x14ac:dyDescent="0.3">
      <c r="A4288">
        <v>5799</v>
      </c>
      <c r="B4288">
        <v>116</v>
      </c>
      <c r="C4288" t="s">
        <v>568</v>
      </c>
      <c r="D4288" s="453">
        <v>45597</v>
      </c>
      <c r="E4288">
        <v>20724</v>
      </c>
      <c r="F4288" t="s">
        <v>4423</v>
      </c>
      <c r="G4288">
        <v>2094</v>
      </c>
      <c r="H4288">
        <v>4</v>
      </c>
      <c r="I4288" t="s">
        <v>3966</v>
      </c>
      <c r="J4288" t="s">
        <v>3469</v>
      </c>
      <c r="K4288" t="s">
        <v>3772</v>
      </c>
      <c r="L4288">
        <v>0</v>
      </c>
      <c r="M4288" s="453">
        <v>-693593</v>
      </c>
      <c r="N4288">
        <v>0</v>
      </c>
      <c r="O4288">
        <v>51.72</v>
      </c>
      <c r="P4288">
        <v>206.88</v>
      </c>
    </row>
    <row r="4289" spans="1:16" x14ac:dyDescent="0.3">
      <c r="A4289">
        <v>6707</v>
      </c>
      <c r="B4289">
        <v>116</v>
      </c>
      <c r="C4289" t="s">
        <v>568</v>
      </c>
      <c r="D4289" s="453">
        <v>45597</v>
      </c>
      <c r="E4289">
        <v>19984</v>
      </c>
      <c r="F4289" t="s">
        <v>3904</v>
      </c>
      <c r="G4289">
        <v>2351</v>
      </c>
      <c r="H4289">
        <v>13</v>
      </c>
      <c r="I4289" t="s">
        <v>3872</v>
      </c>
      <c r="J4289" t="s">
        <v>3469</v>
      </c>
      <c r="K4289" t="s">
        <v>3772</v>
      </c>
      <c r="L4289">
        <v>15.5</v>
      </c>
      <c r="M4289" s="453">
        <v>45594</v>
      </c>
      <c r="N4289">
        <v>15.5</v>
      </c>
      <c r="O4289">
        <v>15.5</v>
      </c>
      <c r="P4289">
        <v>201.5</v>
      </c>
    </row>
    <row r="4290" spans="1:16" x14ac:dyDescent="0.3">
      <c r="A4290">
        <v>5813</v>
      </c>
      <c r="B4290">
        <v>116</v>
      </c>
      <c r="C4290" t="s">
        <v>568</v>
      </c>
      <c r="D4290" s="453">
        <v>45597</v>
      </c>
      <c r="E4290">
        <v>20213</v>
      </c>
      <c r="F4290" t="s">
        <v>4059</v>
      </c>
      <c r="G4290">
        <v>2251</v>
      </c>
      <c r="H4290">
        <v>5.3</v>
      </c>
      <c r="I4290" t="s">
        <v>3888</v>
      </c>
      <c r="J4290" t="s">
        <v>3469</v>
      </c>
      <c r="K4290" t="s">
        <v>3772</v>
      </c>
      <c r="L4290">
        <v>37.15</v>
      </c>
      <c r="M4290" s="453">
        <v>45595</v>
      </c>
      <c r="N4290">
        <v>37.15</v>
      </c>
      <c r="O4290">
        <v>37.15</v>
      </c>
      <c r="P4290">
        <v>196.9</v>
      </c>
    </row>
    <row r="4291" spans="1:16" x14ac:dyDescent="0.3">
      <c r="A4291">
        <v>5921</v>
      </c>
      <c r="B4291">
        <v>116</v>
      </c>
      <c r="C4291" t="s">
        <v>568</v>
      </c>
      <c r="D4291" s="453">
        <v>45597</v>
      </c>
      <c r="E4291">
        <v>24409</v>
      </c>
      <c r="F4291" t="s">
        <v>4036</v>
      </c>
      <c r="G4291">
        <v>3665</v>
      </c>
      <c r="H4291">
        <v>84</v>
      </c>
      <c r="I4291" t="s">
        <v>3872</v>
      </c>
      <c r="J4291" t="s">
        <v>3497</v>
      </c>
      <c r="K4291" t="s">
        <v>3772</v>
      </c>
      <c r="L4291">
        <v>0</v>
      </c>
      <c r="M4291" s="453">
        <v>45551</v>
      </c>
      <c r="N4291">
        <v>2.19</v>
      </c>
      <c r="O4291">
        <v>2.19</v>
      </c>
      <c r="P4291">
        <v>183.96</v>
      </c>
    </row>
    <row r="4292" spans="1:16" x14ac:dyDescent="0.3">
      <c r="A4292">
        <v>5770</v>
      </c>
      <c r="B4292">
        <v>116</v>
      </c>
      <c r="C4292" t="s">
        <v>568</v>
      </c>
      <c r="D4292" s="453">
        <v>45597</v>
      </c>
      <c r="E4292">
        <v>18467</v>
      </c>
      <c r="F4292" t="s">
        <v>4028</v>
      </c>
      <c r="G4292">
        <v>3189</v>
      </c>
      <c r="H4292">
        <v>2.5</v>
      </c>
      <c r="I4292" t="s">
        <v>3878</v>
      </c>
      <c r="J4292" t="s">
        <v>3497</v>
      </c>
      <c r="K4292" t="s">
        <v>3772</v>
      </c>
      <c r="L4292">
        <v>73.099999999999994</v>
      </c>
      <c r="M4292" s="453">
        <v>45594</v>
      </c>
      <c r="N4292">
        <v>75.2</v>
      </c>
      <c r="O4292">
        <v>75.2</v>
      </c>
      <c r="P4292">
        <v>182.75</v>
      </c>
    </row>
    <row r="4293" spans="1:16" x14ac:dyDescent="0.3">
      <c r="A4293">
        <v>5755</v>
      </c>
      <c r="B4293">
        <v>116</v>
      </c>
      <c r="C4293" t="s">
        <v>568</v>
      </c>
      <c r="D4293" s="453">
        <v>45597</v>
      </c>
      <c r="E4293">
        <v>23974</v>
      </c>
      <c r="F4293" t="s">
        <v>4536</v>
      </c>
      <c r="G4293">
        <v>4163</v>
      </c>
      <c r="H4293">
        <v>4</v>
      </c>
      <c r="I4293" t="s">
        <v>3872</v>
      </c>
      <c r="J4293" t="s">
        <v>3497</v>
      </c>
      <c r="K4293" t="s">
        <v>3772</v>
      </c>
      <c r="L4293">
        <v>0</v>
      </c>
      <c r="M4293" s="453">
        <v>-693593</v>
      </c>
      <c r="N4293">
        <v>0</v>
      </c>
      <c r="O4293">
        <v>45.6</v>
      </c>
      <c r="P4293">
        <v>182.4</v>
      </c>
    </row>
    <row r="4294" spans="1:16" x14ac:dyDescent="0.3">
      <c r="A4294">
        <v>5772</v>
      </c>
      <c r="B4294">
        <v>116</v>
      </c>
      <c r="C4294" t="s">
        <v>568</v>
      </c>
      <c r="D4294" s="453">
        <v>45597</v>
      </c>
      <c r="E4294">
        <v>18394</v>
      </c>
      <c r="F4294" t="s">
        <v>4044</v>
      </c>
      <c r="G4294">
        <v>3246</v>
      </c>
      <c r="H4294">
        <v>1</v>
      </c>
      <c r="I4294" t="s">
        <v>3878</v>
      </c>
      <c r="J4294" t="s">
        <v>3497</v>
      </c>
      <c r="K4294" t="s">
        <v>3772</v>
      </c>
      <c r="L4294">
        <v>0</v>
      </c>
      <c r="M4294" s="453">
        <v>45516</v>
      </c>
      <c r="N4294">
        <v>0</v>
      </c>
      <c r="O4294">
        <v>179.9</v>
      </c>
      <c r="P4294">
        <v>179.9</v>
      </c>
    </row>
    <row r="4295" spans="1:16" x14ac:dyDescent="0.3">
      <c r="A4295">
        <v>5786</v>
      </c>
      <c r="B4295">
        <v>116</v>
      </c>
      <c r="C4295" t="s">
        <v>568</v>
      </c>
      <c r="D4295" s="453">
        <v>45597</v>
      </c>
      <c r="E4295">
        <v>18194</v>
      </c>
      <c r="F4295" t="s">
        <v>4490</v>
      </c>
      <c r="G4295">
        <v>3430</v>
      </c>
      <c r="H4295">
        <v>2.6</v>
      </c>
      <c r="I4295" t="s">
        <v>3878</v>
      </c>
      <c r="J4295" t="s">
        <v>3497</v>
      </c>
      <c r="K4295" t="s">
        <v>3772</v>
      </c>
      <c r="L4295">
        <v>67.27</v>
      </c>
      <c r="M4295" s="453">
        <v>45586</v>
      </c>
      <c r="N4295">
        <v>68.900000000000006</v>
      </c>
      <c r="O4295">
        <v>68.900000000000006</v>
      </c>
      <c r="P4295">
        <v>174.9</v>
      </c>
    </row>
    <row r="4296" spans="1:16" x14ac:dyDescent="0.3">
      <c r="A4296">
        <v>5904</v>
      </c>
      <c r="B4296">
        <v>116</v>
      </c>
      <c r="C4296" t="s">
        <v>568</v>
      </c>
      <c r="D4296" s="453">
        <v>45597</v>
      </c>
      <c r="E4296">
        <v>24517</v>
      </c>
      <c r="F4296" t="s">
        <v>3991</v>
      </c>
      <c r="G4296">
        <v>3047</v>
      </c>
      <c r="H4296">
        <v>6.2</v>
      </c>
      <c r="I4296" t="s">
        <v>3892</v>
      </c>
      <c r="J4296" t="s">
        <v>3469</v>
      </c>
      <c r="K4296" t="s">
        <v>3772</v>
      </c>
      <c r="L4296">
        <v>27.19</v>
      </c>
      <c r="M4296" s="453">
        <v>45567</v>
      </c>
      <c r="N4296">
        <v>27.19</v>
      </c>
      <c r="O4296">
        <v>29.8</v>
      </c>
      <c r="P4296">
        <v>168.58</v>
      </c>
    </row>
    <row r="4297" spans="1:16" x14ac:dyDescent="0.3">
      <c r="A4297">
        <v>5834</v>
      </c>
      <c r="B4297">
        <v>116</v>
      </c>
      <c r="C4297" t="s">
        <v>568</v>
      </c>
      <c r="D4297" s="453">
        <v>45597</v>
      </c>
      <c r="E4297">
        <v>20627</v>
      </c>
      <c r="F4297" t="s">
        <v>4513</v>
      </c>
      <c r="G4297">
        <v>2116</v>
      </c>
      <c r="H4297">
        <v>2</v>
      </c>
      <c r="I4297" t="s">
        <v>3886</v>
      </c>
      <c r="J4297" t="s">
        <v>3469</v>
      </c>
      <c r="K4297" t="s">
        <v>3772</v>
      </c>
      <c r="L4297">
        <v>0</v>
      </c>
      <c r="M4297" s="453">
        <v>45370</v>
      </c>
      <c r="N4297">
        <v>82</v>
      </c>
      <c r="O4297">
        <v>82</v>
      </c>
      <c r="P4297">
        <v>164</v>
      </c>
    </row>
    <row r="4298" spans="1:16" x14ac:dyDescent="0.3">
      <c r="A4298">
        <v>5919</v>
      </c>
      <c r="B4298">
        <v>116</v>
      </c>
      <c r="C4298" t="s">
        <v>568</v>
      </c>
      <c r="D4298" s="453">
        <v>45597</v>
      </c>
      <c r="E4298">
        <v>17903</v>
      </c>
      <c r="F4298" t="s">
        <v>3971</v>
      </c>
      <c r="G4298">
        <v>3658</v>
      </c>
      <c r="H4298">
        <v>82</v>
      </c>
      <c r="I4298" t="s">
        <v>3888</v>
      </c>
      <c r="J4298" t="s">
        <v>3497</v>
      </c>
      <c r="K4298" t="s">
        <v>3772</v>
      </c>
      <c r="L4298">
        <v>0</v>
      </c>
      <c r="M4298" s="453">
        <v>45369</v>
      </c>
      <c r="N4298">
        <v>1.99</v>
      </c>
      <c r="O4298">
        <v>26.28</v>
      </c>
      <c r="P4298">
        <v>163.18</v>
      </c>
    </row>
    <row r="4299" spans="1:16" x14ac:dyDescent="0.3">
      <c r="A4299">
        <v>5785</v>
      </c>
      <c r="B4299">
        <v>116</v>
      </c>
      <c r="C4299" t="s">
        <v>568</v>
      </c>
      <c r="D4299" s="453">
        <v>45597</v>
      </c>
      <c r="E4299">
        <v>18220</v>
      </c>
      <c r="F4299" t="s">
        <v>4479</v>
      </c>
      <c r="G4299">
        <v>3408</v>
      </c>
      <c r="H4299">
        <v>1</v>
      </c>
      <c r="I4299" t="s">
        <v>3878</v>
      </c>
      <c r="J4299" t="s">
        <v>3497</v>
      </c>
      <c r="K4299" t="s">
        <v>3772</v>
      </c>
      <c r="L4299">
        <v>0</v>
      </c>
      <c r="M4299" s="453">
        <v>-693593</v>
      </c>
      <c r="N4299">
        <v>0</v>
      </c>
      <c r="O4299">
        <v>159.9</v>
      </c>
      <c r="P4299">
        <v>159.9</v>
      </c>
    </row>
    <row r="4300" spans="1:16" x14ac:dyDescent="0.3">
      <c r="A4300">
        <v>5892</v>
      </c>
      <c r="B4300">
        <v>116</v>
      </c>
      <c r="C4300" t="s">
        <v>568</v>
      </c>
      <c r="D4300" s="453">
        <v>45597</v>
      </c>
      <c r="E4300">
        <v>19139</v>
      </c>
      <c r="F4300" t="s">
        <v>3887</v>
      </c>
      <c r="G4300">
        <v>2836</v>
      </c>
      <c r="H4300">
        <v>17</v>
      </c>
      <c r="I4300" t="s">
        <v>3888</v>
      </c>
      <c r="J4300" t="s">
        <v>3469</v>
      </c>
      <c r="K4300" t="s">
        <v>3772</v>
      </c>
      <c r="L4300">
        <v>9.1</v>
      </c>
      <c r="M4300" s="453">
        <v>45595</v>
      </c>
      <c r="N4300">
        <v>9.1</v>
      </c>
      <c r="O4300">
        <v>9.1</v>
      </c>
      <c r="P4300">
        <v>154.69999999999999</v>
      </c>
    </row>
    <row r="4301" spans="1:16" x14ac:dyDescent="0.3">
      <c r="A4301">
        <v>5782</v>
      </c>
      <c r="B4301">
        <v>116</v>
      </c>
      <c r="C4301" t="s">
        <v>568</v>
      </c>
      <c r="D4301" s="453">
        <v>45597</v>
      </c>
      <c r="E4301">
        <v>18253</v>
      </c>
      <c r="F4301" t="s">
        <v>3947</v>
      </c>
      <c r="G4301">
        <v>3376</v>
      </c>
      <c r="H4301">
        <v>5.0999999999999996</v>
      </c>
      <c r="I4301" t="s">
        <v>3878</v>
      </c>
      <c r="J4301" t="s">
        <v>3497</v>
      </c>
      <c r="K4301" t="s">
        <v>3772</v>
      </c>
      <c r="L4301">
        <v>28.89</v>
      </c>
      <c r="M4301" s="453">
        <v>45594</v>
      </c>
      <c r="N4301">
        <v>28.89</v>
      </c>
      <c r="O4301">
        <v>28.9</v>
      </c>
      <c r="P4301">
        <v>147.34</v>
      </c>
    </row>
    <row r="4302" spans="1:16" x14ac:dyDescent="0.3">
      <c r="A4302">
        <v>5768</v>
      </c>
      <c r="B4302">
        <v>116</v>
      </c>
      <c r="C4302" t="s">
        <v>568</v>
      </c>
      <c r="D4302" s="453">
        <v>45597</v>
      </c>
      <c r="E4302">
        <v>18491</v>
      </c>
      <c r="F4302" t="s">
        <v>3934</v>
      </c>
      <c r="G4302">
        <v>3166</v>
      </c>
      <c r="H4302">
        <v>4</v>
      </c>
      <c r="I4302" t="s">
        <v>3878</v>
      </c>
      <c r="J4302" t="s">
        <v>3497</v>
      </c>
      <c r="K4302" t="s">
        <v>3772</v>
      </c>
      <c r="L4302">
        <v>35.9</v>
      </c>
      <c r="M4302" s="453">
        <v>45573</v>
      </c>
      <c r="N4302">
        <v>35.9</v>
      </c>
      <c r="O4302">
        <v>35.9</v>
      </c>
      <c r="P4302">
        <v>143.6</v>
      </c>
    </row>
    <row r="4303" spans="1:16" x14ac:dyDescent="0.3">
      <c r="A4303">
        <v>5784</v>
      </c>
      <c r="B4303">
        <v>116</v>
      </c>
      <c r="C4303" t="s">
        <v>568</v>
      </c>
      <c r="D4303" s="453">
        <v>45597</v>
      </c>
      <c r="E4303">
        <v>18232</v>
      </c>
      <c r="F4303" t="s">
        <v>4091</v>
      </c>
      <c r="G4303">
        <v>3396</v>
      </c>
      <c r="H4303">
        <v>1.6</v>
      </c>
      <c r="I4303" t="s">
        <v>3878</v>
      </c>
      <c r="J4303" t="s">
        <v>3497</v>
      </c>
      <c r="K4303" t="s">
        <v>3772</v>
      </c>
      <c r="L4303">
        <v>0</v>
      </c>
      <c r="M4303" s="453">
        <v>45434</v>
      </c>
      <c r="N4303">
        <v>88.9</v>
      </c>
      <c r="O4303">
        <v>86.25</v>
      </c>
      <c r="P4303">
        <v>142.24</v>
      </c>
    </row>
    <row r="4304" spans="1:16" x14ac:dyDescent="0.3">
      <c r="A4304">
        <v>5801</v>
      </c>
      <c r="B4304">
        <v>116</v>
      </c>
      <c r="C4304" t="s">
        <v>568</v>
      </c>
      <c r="D4304" s="453">
        <v>45597</v>
      </c>
      <c r="E4304">
        <v>20284</v>
      </c>
      <c r="F4304" t="s">
        <v>4512</v>
      </c>
      <c r="G4304">
        <v>2230</v>
      </c>
      <c r="H4304">
        <v>3.5</v>
      </c>
      <c r="I4304" t="s">
        <v>3888</v>
      </c>
      <c r="J4304" t="s">
        <v>3469</v>
      </c>
      <c r="K4304" t="s">
        <v>3772</v>
      </c>
      <c r="L4304">
        <v>0</v>
      </c>
      <c r="M4304" s="453">
        <v>45496</v>
      </c>
      <c r="N4304">
        <v>40.28</v>
      </c>
      <c r="O4304">
        <v>40.28</v>
      </c>
      <c r="P4304">
        <v>140.96</v>
      </c>
    </row>
    <row r="4305" spans="1:16" x14ac:dyDescent="0.3">
      <c r="A4305">
        <v>5760</v>
      </c>
      <c r="B4305">
        <v>116</v>
      </c>
      <c r="C4305" t="s">
        <v>568</v>
      </c>
      <c r="D4305" s="453">
        <v>45597</v>
      </c>
      <c r="E4305">
        <v>18550</v>
      </c>
      <c r="F4305" t="s">
        <v>4083</v>
      </c>
      <c r="G4305">
        <v>3130</v>
      </c>
      <c r="H4305">
        <v>1</v>
      </c>
      <c r="I4305" t="s">
        <v>3878</v>
      </c>
      <c r="J4305" t="s">
        <v>3497</v>
      </c>
      <c r="K4305" t="s">
        <v>3772</v>
      </c>
      <c r="L4305">
        <v>0</v>
      </c>
      <c r="M4305" s="453">
        <v>-693593</v>
      </c>
      <c r="N4305">
        <v>0</v>
      </c>
      <c r="O4305">
        <v>140.1</v>
      </c>
      <c r="P4305">
        <v>140.1</v>
      </c>
    </row>
    <row r="4306" spans="1:16" x14ac:dyDescent="0.3">
      <c r="A4306">
        <v>5902</v>
      </c>
      <c r="B4306">
        <v>116</v>
      </c>
      <c r="C4306" t="s">
        <v>568</v>
      </c>
      <c r="D4306" s="453">
        <v>45597</v>
      </c>
      <c r="E4306">
        <v>18685</v>
      </c>
      <c r="F4306" t="s">
        <v>3945</v>
      </c>
      <c r="G4306">
        <v>3040</v>
      </c>
      <c r="H4306">
        <v>4</v>
      </c>
      <c r="I4306" t="s">
        <v>3892</v>
      </c>
      <c r="J4306" t="s">
        <v>3469</v>
      </c>
      <c r="K4306" t="s">
        <v>3772</v>
      </c>
      <c r="L4306">
        <v>35</v>
      </c>
      <c r="M4306" s="453">
        <v>45587</v>
      </c>
      <c r="N4306">
        <v>35</v>
      </c>
      <c r="O4306">
        <v>35</v>
      </c>
      <c r="P4306">
        <v>140</v>
      </c>
    </row>
    <row r="4307" spans="1:16" x14ac:dyDescent="0.3">
      <c r="A4307">
        <v>5893</v>
      </c>
      <c r="B4307">
        <v>116</v>
      </c>
      <c r="C4307" t="s">
        <v>568</v>
      </c>
      <c r="D4307" s="453">
        <v>45597</v>
      </c>
      <c r="E4307">
        <v>18708</v>
      </c>
      <c r="F4307" t="s">
        <v>4504</v>
      </c>
      <c r="G4307">
        <v>3033</v>
      </c>
      <c r="H4307">
        <v>4.3899999999999997</v>
      </c>
      <c r="I4307" t="s">
        <v>3892</v>
      </c>
      <c r="J4307" t="s">
        <v>3469</v>
      </c>
      <c r="K4307" t="s">
        <v>3772</v>
      </c>
      <c r="L4307">
        <v>0</v>
      </c>
      <c r="M4307" s="453">
        <v>45462</v>
      </c>
      <c r="N4307">
        <v>29.9</v>
      </c>
      <c r="O4307">
        <v>27.8</v>
      </c>
      <c r="P4307">
        <v>131.26</v>
      </c>
    </row>
    <row r="4308" spans="1:16" x14ac:dyDescent="0.3">
      <c r="A4308">
        <v>5899</v>
      </c>
      <c r="B4308">
        <v>116</v>
      </c>
      <c r="C4308" t="s">
        <v>568</v>
      </c>
      <c r="D4308" s="453">
        <v>45597</v>
      </c>
      <c r="E4308">
        <v>19023</v>
      </c>
      <c r="F4308" t="s">
        <v>4510</v>
      </c>
      <c r="G4308">
        <v>2893</v>
      </c>
      <c r="H4308">
        <v>6.6</v>
      </c>
      <c r="I4308" t="s">
        <v>3892</v>
      </c>
      <c r="J4308" t="s">
        <v>3469</v>
      </c>
      <c r="K4308" t="s">
        <v>3772</v>
      </c>
      <c r="L4308">
        <v>0</v>
      </c>
      <c r="M4308" s="453">
        <v>-693593</v>
      </c>
      <c r="N4308">
        <v>0</v>
      </c>
      <c r="O4308">
        <v>19.88</v>
      </c>
      <c r="P4308">
        <v>131.21</v>
      </c>
    </row>
    <row r="4309" spans="1:16" x14ac:dyDescent="0.3">
      <c r="A4309">
        <v>5783</v>
      </c>
      <c r="B4309">
        <v>116</v>
      </c>
      <c r="C4309" t="s">
        <v>568</v>
      </c>
      <c r="D4309" s="453">
        <v>45597</v>
      </c>
      <c r="E4309">
        <v>18233</v>
      </c>
      <c r="F4309" t="s">
        <v>4090</v>
      </c>
      <c r="G4309">
        <v>3395</v>
      </c>
      <c r="H4309">
        <v>1.5</v>
      </c>
      <c r="I4309" t="s">
        <v>3878</v>
      </c>
      <c r="J4309" t="s">
        <v>3497</v>
      </c>
      <c r="K4309" t="s">
        <v>3772</v>
      </c>
      <c r="L4309">
        <v>0</v>
      </c>
      <c r="M4309" s="453">
        <v>45497</v>
      </c>
      <c r="N4309">
        <v>85.86</v>
      </c>
      <c r="O4309">
        <v>86.25</v>
      </c>
      <c r="P4309">
        <v>128.79</v>
      </c>
    </row>
    <row r="4310" spans="1:16" x14ac:dyDescent="0.3">
      <c r="A4310">
        <v>6692</v>
      </c>
      <c r="B4310">
        <v>116</v>
      </c>
      <c r="C4310" t="s">
        <v>568</v>
      </c>
      <c r="D4310" s="453">
        <v>45597</v>
      </c>
      <c r="E4310">
        <v>22844</v>
      </c>
      <c r="F4310" t="s">
        <v>4488</v>
      </c>
      <c r="G4310">
        <v>2935</v>
      </c>
      <c r="H4310">
        <v>3</v>
      </c>
      <c r="I4310" t="s">
        <v>3892</v>
      </c>
      <c r="J4310" t="s">
        <v>3469</v>
      </c>
      <c r="K4310" t="s">
        <v>3772</v>
      </c>
      <c r="L4310">
        <v>0</v>
      </c>
      <c r="M4310" s="453">
        <v>-693593</v>
      </c>
      <c r="N4310">
        <v>0</v>
      </c>
      <c r="O4310">
        <v>0</v>
      </c>
      <c r="P4310">
        <v>119.97</v>
      </c>
    </row>
    <row r="4311" spans="1:16" x14ac:dyDescent="0.3">
      <c r="A4311">
        <v>6730</v>
      </c>
      <c r="B4311">
        <v>116</v>
      </c>
      <c r="C4311" t="s">
        <v>568</v>
      </c>
      <c r="D4311" s="453">
        <v>45597</v>
      </c>
      <c r="E4311">
        <v>21166</v>
      </c>
      <c r="F4311" t="s">
        <v>4001</v>
      </c>
      <c r="G4311">
        <v>1940</v>
      </c>
      <c r="H4311">
        <v>2</v>
      </c>
      <c r="I4311" t="s">
        <v>3872</v>
      </c>
      <c r="J4311" t="s">
        <v>3469</v>
      </c>
      <c r="K4311" t="s">
        <v>3772</v>
      </c>
      <c r="L4311">
        <v>0</v>
      </c>
      <c r="M4311" s="453">
        <v>-693593</v>
      </c>
      <c r="N4311">
        <v>0</v>
      </c>
      <c r="O4311">
        <v>0</v>
      </c>
      <c r="P4311">
        <v>119.8</v>
      </c>
    </row>
    <row r="4312" spans="1:16" x14ac:dyDescent="0.3">
      <c r="A4312">
        <v>5819</v>
      </c>
      <c r="B4312">
        <v>116</v>
      </c>
      <c r="C4312" t="s">
        <v>568</v>
      </c>
      <c r="D4312" s="453">
        <v>45597</v>
      </c>
      <c r="E4312">
        <v>20007</v>
      </c>
      <c r="F4312" t="s">
        <v>4009</v>
      </c>
      <c r="G4312">
        <v>2343</v>
      </c>
      <c r="H4312">
        <v>2.5</v>
      </c>
      <c r="I4312" t="s">
        <v>3966</v>
      </c>
      <c r="J4312" t="s">
        <v>3469</v>
      </c>
      <c r="K4312" t="s">
        <v>3772</v>
      </c>
      <c r="L4312">
        <v>47.81</v>
      </c>
      <c r="M4312" s="453">
        <v>45590</v>
      </c>
      <c r="N4312">
        <v>47.59</v>
      </c>
      <c r="O4312">
        <v>46.79</v>
      </c>
      <c r="P4312">
        <v>119.52</v>
      </c>
    </row>
    <row r="4313" spans="1:16" x14ac:dyDescent="0.3">
      <c r="A4313">
        <v>5778</v>
      </c>
      <c r="B4313">
        <v>116</v>
      </c>
      <c r="C4313" t="s">
        <v>568</v>
      </c>
      <c r="D4313" s="453">
        <v>45597</v>
      </c>
      <c r="E4313">
        <v>18312</v>
      </c>
      <c r="F4313" t="s">
        <v>4089</v>
      </c>
      <c r="G4313">
        <v>3321</v>
      </c>
      <c r="H4313">
        <v>1</v>
      </c>
      <c r="I4313" t="s">
        <v>3878</v>
      </c>
      <c r="J4313" t="s">
        <v>3497</v>
      </c>
      <c r="K4313" t="s">
        <v>3772</v>
      </c>
      <c r="L4313">
        <v>116.89</v>
      </c>
      <c r="M4313" s="453">
        <v>45573</v>
      </c>
      <c r="N4313">
        <v>116.89</v>
      </c>
      <c r="O4313">
        <v>116.89</v>
      </c>
      <c r="P4313">
        <v>116.89</v>
      </c>
    </row>
    <row r="4314" spans="1:16" x14ac:dyDescent="0.3">
      <c r="A4314">
        <v>5910</v>
      </c>
      <c r="B4314">
        <v>116</v>
      </c>
      <c r="C4314" t="s">
        <v>568</v>
      </c>
      <c r="D4314" s="453">
        <v>45597</v>
      </c>
      <c r="E4314">
        <v>17929</v>
      </c>
      <c r="F4314" t="s">
        <v>4552</v>
      </c>
      <c r="G4314">
        <v>3639</v>
      </c>
      <c r="H4314">
        <v>6</v>
      </c>
      <c r="I4314" t="s">
        <v>3872</v>
      </c>
      <c r="J4314" t="s">
        <v>3497</v>
      </c>
      <c r="K4314" t="s">
        <v>3772</v>
      </c>
      <c r="L4314">
        <v>0</v>
      </c>
      <c r="M4314" s="453">
        <v>-693593</v>
      </c>
      <c r="N4314">
        <v>0</v>
      </c>
      <c r="O4314">
        <v>18.899999999999999</v>
      </c>
      <c r="P4314">
        <v>113.4</v>
      </c>
    </row>
    <row r="4315" spans="1:16" x14ac:dyDescent="0.3">
      <c r="A4315">
        <v>5911</v>
      </c>
      <c r="B4315">
        <v>116</v>
      </c>
      <c r="C4315" t="s">
        <v>568</v>
      </c>
      <c r="D4315" s="453">
        <v>45597</v>
      </c>
      <c r="E4315">
        <v>22108</v>
      </c>
      <c r="F4315" t="s">
        <v>3871</v>
      </c>
      <c r="G4315">
        <v>3609</v>
      </c>
      <c r="H4315">
        <v>85</v>
      </c>
      <c r="I4315" t="s">
        <v>3872</v>
      </c>
      <c r="J4315" t="s">
        <v>3497</v>
      </c>
      <c r="K4315" t="s">
        <v>3772</v>
      </c>
      <c r="L4315">
        <v>1.33</v>
      </c>
      <c r="M4315" s="453">
        <v>45594</v>
      </c>
      <c r="N4315">
        <v>1.33</v>
      </c>
      <c r="O4315">
        <v>1.68</v>
      </c>
      <c r="P4315">
        <v>113.05</v>
      </c>
    </row>
    <row r="4316" spans="1:16" x14ac:dyDescent="0.3">
      <c r="A4316">
        <v>5903</v>
      </c>
      <c r="B4316">
        <v>116</v>
      </c>
      <c r="C4316" t="s">
        <v>568</v>
      </c>
      <c r="D4316" s="453">
        <v>45597</v>
      </c>
      <c r="E4316">
        <v>24389</v>
      </c>
      <c r="F4316" t="s">
        <v>4305</v>
      </c>
      <c r="G4316">
        <v>2946</v>
      </c>
      <c r="H4316">
        <v>4.7</v>
      </c>
      <c r="I4316" t="s">
        <v>3892</v>
      </c>
      <c r="J4316" t="s">
        <v>3469</v>
      </c>
      <c r="K4316" t="s">
        <v>3772</v>
      </c>
      <c r="L4316">
        <v>0</v>
      </c>
      <c r="M4316" s="453">
        <v>-693593</v>
      </c>
      <c r="N4316">
        <v>0</v>
      </c>
      <c r="O4316">
        <v>23.9</v>
      </c>
      <c r="P4316">
        <v>112.32</v>
      </c>
    </row>
    <row r="4317" spans="1:16" x14ac:dyDescent="0.3">
      <c r="A4317">
        <v>5922</v>
      </c>
      <c r="B4317">
        <v>116</v>
      </c>
      <c r="C4317" t="s">
        <v>568</v>
      </c>
      <c r="D4317" s="453">
        <v>45597</v>
      </c>
      <c r="E4317">
        <v>24414</v>
      </c>
      <c r="F4317" t="s">
        <v>3943</v>
      </c>
      <c r="G4317">
        <v>3670</v>
      </c>
      <c r="H4317">
        <v>49</v>
      </c>
      <c r="I4317" t="s">
        <v>3872</v>
      </c>
      <c r="J4317" t="s">
        <v>3497</v>
      </c>
      <c r="K4317" t="s">
        <v>3772</v>
      </c>
      <c r="L4317">
        <v>0</v>
      </c>
      <c r="M4317" s="453">
        <v>45544</v>
      </c>
      <c r="N4317">
        <v>2.19</v>
      </c>
      <c r="O4317">
        <v>2.19</v>
      </c>
      <c r="P4317">
        <v>107.31</v>
      </c>
    </row>
    <row r="4318" spans="1:16" x14ac:dyDescent="0.3">
      <c r="A4318">
        <v>5898</v>
      </c>
      <c r="B4318">
        <v>116</v>
      </c>
      <c r="C4318" t="s">
        <v>568</v>
      </c>
      <c r="D4318" s="453">
        <v>45597</v>
      </c>
      <c r="E4318">
        <v>22843</v>
      </c>
      <c r="F4318" t="s">
        <v>4525</v>
      </c>
      <c r="G4318">
        <v>2936</v>
      </c>
      <c r="H4318">
        <v>2.8</v>
      </c>
      <c r="I4318" t="s">
        <v>3892</v>
      </c>
      <c r="J4318" t="s">
        <v>3469</v>
      </c>
      <c r="K4318" t="s">
        <v>3772</v>
      </c>
      <c r="L4318">
        <v>0</v>
      </c>
      <c r="M4318" s="453">
        <v>-693593</v>
      </c>
      <c r="N4318">
        <v>0</v>
      </c>
      <c r="O4318">
        <v>37.9</v>
      </c>
      <c r="P4318">
        <v>106.12</v>
      </c>
    </row>
    <row r="4319" spans="1:16" x14ac:dyDescent="0.3">
      <c r="A4319">
        <v>5776</v>
      </c>
      <c r="B4319">
        <v>116</v>
      </c>
      <c r="C4319" t="s">
        <v>568</v>
      </c>
      <c r="D4319" s="453">
        <v>45597</v>
      </c>
      <c r="E4319">
        <v>18325</v>
      </c>
      <c r="F4319" t="s">
        <v>4459</v>
      </c>
      <c r="G4319">
        <v>3308</v>
      </c>
      <c r="H4319">
        <v>3</v>
      </c>
      <c r="I4319" t="s">
        <v>3878</v>
      </c>
      <c r="J4319" t="s">
        <v>3497</v>
      </c>
      <c r="K4319" t="s">
        <v>3772</v>
      </c>
      <c r="L4319">
        <v>0</v>
      </c>
      <c r="M4319" s="453">
        <v>-693593</v>
      </c>
      <c r="N4319">
        <v>0</v>
      </c>
      <c r="O4319">
        <v>34.479999999999997</v>
      </c>
      <c r="P4319">
        <v>103.44</v>
      </c>
    </row>
    <row r="4320" spans="1:16" x14ac:dyDescent="0.3">
      <c r="A4320">
        <v>6729</v>
      </c>
      <c r="B4320">
        <v>116</v>
      </c>
      <c r="C4320" t="s">
        <v>568</v>
      </c>
      <c r="D4320" s="453">
        <v>45597</v>
      </c>
      <c r="E4320">
        <v>20456</v>
      </c>
      <c r="F4320" t="s">
        <v>4000</v>
      </c>
      <c r="G4320">
        <v>2166</v>
      </c>
      <c r="H4320">
        <v>2.85</v>
      </c>
      <c r="I4320" t="s">
        <v>3892</v>
      </c>
      <c r="J4320" t="s">
        <v>3469</v>
      </c>
      <c r="K4320" t="s">
        <v>3772</v>
      </c>
      <c r="L4320">
        <v>36</v>
      </c>
      <c r="M4320" s="453">
        <v>45595</v>
      </c>
      <c r="N4320">
        <v>36</v>
      </c>
      <c r="O4320">
        <v>36</v>
      </c>
      <c r="P4320">
        <v>102.6</v>
      </c>
    </row>
    <row r="4321" spans="1:16" x14ac:dyDescent="0.3">
      <c r="A4321">
        <v>5803</v>
      </c>
      <c r="B4321">
        <v>116</v>
      </c>
      <c r="C4321" t="s">
        <v>568</v>
      </c>
      <c r="D4321" s="453">
        <v>45597</v>
      </c>
      <c r="E4321">
        <v>20057</v>
      </c>
      <c r="F4321" t="s">
        <v>3967</v>
      </c>
      <c r="G4321">
        <v>2324</v>
      </c>
      <c r="H4321">
        <v>2.5</v>
      </c>
      <c r="I4321" t="s">
        <v>3872</v>
      </c>
      <c r="J4321" t="s">
        <v>3469</v>
      </c>
      <c r="K4321" t="s">
        <v>3772</v>
      </c>
      <c r="L4321">
        <v>0</v>
      </c>
      <c r="M4321" s="453">
        <v>45476</v>
      </c>
      <c r="N4321">
        <v>0</v>
      </c>
      <c r="O4321">
        <v>40.75</v>
      </c>
      <c r="P4321">
        <v>101.88</v>
      </c>
    </row>
    <row r="4322" spans="1:16" x14ac:dyDescent="0.3">
      <c r="A4322">
        <v>5818</v>
      </c>
      <c r="B4322">
        <v>116</v>
      </c>
      <c r="C4322" t="s">
        <v>568</v>
      </c>
      <c r="D4322" s="453">
        <v>45597</v>
      </c>
      <c r="E4322">
        <v>20501</v>
      </c>
      <c r="F4322" t="s">
        <v>4219</v>
      </c>
      <c r="G4322">
        <v>2154</v>
      </c>
      <c r="H4322">
        <v>5.0999999999999996</v>
      </c>
      <c r="I4322" t="s">
        <v>3892</v>
      </c>
      <c r="J4322" t="s">
        <v>3469</v>
      </c>
      <c r="K4322" t="s">
        <v>3772</v>
      </c>
      <c r="L4322">
        <v>0</v>
      </c>
      <c r="M4322" s="453">
        <v>45510</v>
      </c>
      <c r="N4322">
        <v>19.8</v>
      </c>
      <c r="O4322">
        <v>19.989999999999998</v>
      </c>
      <c r="P4322">
        <v>100.98</v>
      </c>
    </row>
    <row r="4323" spans="1:16" x14ac:dyDescent="0.3">
      <c r="A4323">
        <v>5788</v>
      </c>
      <c r="B4323">
        <v>116</v>
      </c>
      <c r="C4323" t="s">
        <v>568</v>
      </c>
      <c r="D4323" s="453">
        <v>45597</v>
      </c>
      <c r="E4323">
        <v>18146</v>
      </c>
      <c r="F4323" t="s">
        <v>4100</v>
      </c>
      <c r="G4323">
        <v>3471</v>
      </c>
      <c r="H4323">
        <v>0.9</v>
      </c>
      <c r="I4323" t="s">
        <v>3878</v>
      </c>
      <c r="J4323" t="s">
        <v>3497</v>
      </c>
      <c r="K4323" t="s">
        <v>3772</v>
      </c>
      <c r="L4323">
        <v>0</v>
      </c>
      <c r="M4323" s="453">
        <v>45546</v>
      </c>
      <c r="N4323">
        <v>111.05</v>
      </c>
      <c r="O4323">
        <v>109.9</v>
      </c>
      <c r="P4323">
        <v>99.94</v>
      </c>
    </row>
    <row r="4324" spans="1:16" x14ac:dyDescent="0.3">
      <c r="A4324">
        <v>5781</v>
      </c>
      <c r="B4324">
        <v>116</v>
      </c>
      <c r="C4324" t="s">
        <v>568</v>
      </c>
      <c r="D4324" s="453">
        <v>45597</v>
      </c>
      <c r="E4324">
        <v>18272</v>
      </c>
      <c r="F4324" t="s">
        <v>4046</v>
      </c>
      <c r="G4324">
        <v>3358</v>
      </c>
      <c r="H4324">
        <v>2.8</v>
      </c>
      <c r="I4324" t="s">
        <v>3878</v>
      </c>
      <c r="J4324" t="s">
        <v>3497</v>
      </c>
      <c r="K4324" t="s">
        <v>3772</v>
      </c>
      <c r="L4324">
        <v>35.5</v>
      </c>
      <c r="M4324" s="453">
        <v>45586</v>
      </c>
      <c r="N4324">
        <v>35.5</v>
      </c>
      <c r="O4324">
        <v>35.9</v>
      </c>
      <c r="P4324">
        <v>99.4</v>
      </c>
    </row>
    <row r="4325" spans="1:16" x14ac:dyDescent="0.3">
      <c r="A4325">
        <v>5762</v>
      </c>
      <c r="B4325">
        <v>116</v>
      </c>
      <c r="C4325" t="s">
        <v>568</v>
      </c>
      <c r="D4325" s="453">
        <v>45597</v>
      </c>
      <c r="E4325">
        <v>18528</v>
      </c>
      <c r="F4325" t="s">
        <v>4108</v>
      </c>
      <c r="G4325">
        <v>3147</v>
      </c>
      <c r="H4325">
        <v>1.7</v>
      </c>
      <c r="I4325" t="s">
        <v>3878</v>
      </c>
      <c r="J4325" t="s">
        <v>3497</v>
      </c>
      <c r="K4325" t="s">
        <v>3772</v>
      </c>
      <c r="L4325">
        <v>0</v>
      </c>
      <c r="M4325" s="453">
        <v>45503</v>
      </c>
      <c r="N4325">
        <v>55.9</v>
      </c>
      <c r="O4325">
        <v>55.9</v>
      </c>
      <c r="P4325">
        <v>95.03</v>
      </c>
    </row>
    <row r="4326" spans="1:16" x14ac:dyDescent="0.3">
      <c r="A4326">
        <v>5829</v>
      </c>
      <c r="B4326">
        <v>116</v>
      </c>
      <c r="C4326" t="s">
        <v>568</v>
      </c>
      <c r="D4326" s="453">
        <v>45597</v>
      </c>
      <c r="E4326">
        <v>19967</v>
      </c>
      <c r="F4326" t="s">
        <v>3930</v>
      </c>
      <c r="G4326">
        <v>2356</v>
      </c>
      <c r="H4326">
        <v>2</v>
      </c>
      <c r="I4326" t="s">
        <v>3931</v>
      </c>
      <c r="J4326" t="s">
        <v>3469</v>
      </c>
      <c r="K4326" t="s">
        <v>3772</v>
      </c>
      <c r="L4326">
        <v>46.81</v>
      </c>
      <c r="M4326" s="453">
        <v>45594</v>
      </c>
      <c r="N4326">
        <v>46.71</v>
      </c>
      <c r="O4326">
        <v>47.46</v>
      </c>
      <c r="P4326">
        <v>93.62</v>
      </c>
    </row>
    <row r="4327" spans="1:16" x14ac:dyDescent="0.3">
      <c r="A4327">
        <v>6728</v>
      </c>
      <c r="B4327">
        <v>116</v>
      </c>
      <c r="C4327" t="s">
        <v>568</v>
      </c>
      <c r="D4327" s="453">
        <v>45597</v>
      </c>
      <c r="E4327">
        <v>20457</v>
      </c>
      <c r="F4327" t="s">
        <v>3999</v>
      </c>
      <c r="G4327">
        <v>2165</v>
      </c>
      <c r="H4327">
        <v>3.2</v>
      </c>
      <c r="I4327" t="s">
        <v>3892</v>
      </c>
      <c r="J4327" t="s">
        <v>3469</v>
      </c>
      <c r="K4327" t="s">
        <v>3772</v>
      </c>
      <c r="L4327">
        <v>29</v>
      </c>
      <c r="M4327" s="453">
        <v>45573</v>
      </c>
      <c r="N4327">
        <v>29</v>
      </c>
      <c r="O4327">
        <v>29</v>
      </c>
      <c r="P4327">
        <v>92.8</v>
      </c>
    </row>
    <row r="4328" spans="1:16" x14ac:dyDescent="0.3">
      <c r="A4328">
        <v>6720</v>
      </c>
      <c r="B4328">
        <v>116</v>
      </c>
      <c r="C4328" t="s">
        <v>568</v>
      </c>
      <c r="D4328" s="453">
        <v>45597</v>
      </c>
      <c r="E4328">
        <v>20487</v>
      </c>
      <c r="F4328" t="s">
        <v>4310</v>
      </c>
      <c r="G4328">
        <v>2157</v>
      </c>
      <c r="H4328">
        <v>4.0999999999999996</v>
      </c>
      <c r="I4328" t="s">
        <v>3892</v>
      </c>
      <c r="J4328" t="s">
        <v>3469</v>
      </c>
      <c r="K4328" t="s">
        <v>3772</v>
      </c>
      <c r="L4328">
        <v>22</v>
      </c>
      <c r="M4328" s="453">
        <v>45595</v>
      </c>
      <c r="N4328">
        <v>22</v>
      </c>
      <c r="O4328">
        <v>22</v>
      </c>
      <c r="P4328">
        <v>90.2</v>
      </c>
    </row>
    <row r="4329" spans="1:16" x14ac:dyDescent="0.3">
      <c r="A4329">
        <v>5817</v>
      </c>
      <c r="B4329">
        <v>116</v>
      </c>
      <c r="C4329" t="s">
        <v>568</v>
      </c>
      <c r="D4329" s="453">
        <v>45597</v>
      </c>
      <c r="E4329">
        <v>20508</v>
      </c>
      <c r="F4329" t="s">
        <v>4449</v>
      </c>
      <c r="G4329">
        <v>2153</v>
      </c>
      <c r="H4329">
        <v>3.2</v>
      </c>
      <c r="I4329" t="s">
        <v>3892</v>
      </c>
      <c r="J4329" t="s">
        <v>3469</v>
      </c>
      <c r="K4329" t="s">
        <v>3772</v>
      </c>
      <c r="L4329">
        <v>28</v>
      </c>
      <c r="M4329" s="453">
        <v>45595</v>
      </c>
      <c r="N4329">
        <v>28</v>
      </c>
      <c r="O4329">
        <v>28</v>
      </c>
      <c r="P4329">
        <v>89.6</v>
      </c>
    </row>
    <row r="4330" spans="1:16" x14ac:dyDescent="0.3">
      <c r="A4330">
        <v>5897</v>
      </c>
      <c r="B4330">
        <v>116</v>
      </c>
      <c r="C4330" t="s">
        <v>568</v>
      </c>
      <c r="D4330" s="453">
        <v>45597</v>
      </c>
      <c r="E4330">
        <v>24194</v>
      </c>
      <c r="F4330" t="s">
        <v>4181</v>
      </c>
      <c r="G4330">
        <v>3038</v>
      </c>
      <c r="H4330">
        <v>3.1</v>
      </c>
      <c r="I4330" t="s">
        <v>3892</v>
      </c>
      <c r="J4330" t="s">
        <v>3469</v>
      </c>
      <c r="K4330" t="s">
        <v>3772</v>
      </c>
      <c r="L4330">
        <v>28.9</v>
      </c>
      <c r="M4330" s="453">
        <v>45595</v>
      </c>
      <c r="N4330">
        <v>28.9</v>
      </c>
      <c r="O4330">
        <v>42</v>
      </c>
      <c r="P4330">
        <v>89.59</v>
      </c>
    </row>
    <row r="4331" spans="1:16" x14ac:dyDescent="0.3">
      <c r="A4331">
        <v>5832</v>
      </c>
      <c r="B4331">
        <v>116</v>
      </c>
      <c r="C4331" t="s">
        <v>568</v>
      </c>
      <c r="D4331" s="453">
        <v>45597</v>
      </c>
      <c r="E4331">
        <v>20985</v>
      </c>
      <c r="F4331" t="s">
        <v>3914</v>
      </c>
      <c r="G4331">
        <v>2011</v>
      </c>
      <c r="H4331">
        <v>13</v>
      </c>
      <c r="I4331" t="s">
        <v>3872</v>
      </c>
      <c r="J4331" t="s">
        <v>3469</v>
      </c>
      <c r="K4331" t="s">
        <v>3772</v>
      </c>
      <c r="L4331">
        <v>0</v>
      </c>
      <c r="M4331" s="453">
        <v>45559</v>
      </c>
      <c r="N4331">
        <v>6.89</v>
      </c>
      <c r="O4331">
        <v>7.27</v>
      </c>
      <c r="P4331">
        <v>89.57</v>
      </c>
    </row>
    <row r="4332" spans="1:16" x14ac:dyDescent="0.3">
      <c r="A4332">
        <v>5913</v>
      </c>
      <c r="B4332">
        <v>116</v>
      </c>
      <c r="C4332" t="s">
        <v>568</v>
      </c>
      <c r="D4332" s="453">
        <v>45597</v>
      </c>
      <c r="E4332">
        <v>24029</v>
      </c>
      <c r="F4332" t="s">
        <v>3875</v>
      </c>
      <c r="G4332">
        <v>3591</v>
      </c>
      <c r="H4332">
        <v>44</v>
      </c>
      <c r="I4332" t="s">
        <v>3872</v>
      </c>
      <c r="J4332" t="s">
        <v>3497</v>
      </c>
      <c r="K4332" t="s">
        <v>3772</v>
      </c>
      <c r="L4332">
        <v>0</v>
      </c>
      <c r="M4332" s="453">
        <v>45537</v>
      </c>
      <c r="N4332">
        <v>1.99</v>
      </c>
      <c r="O4332">
        <v>2.19</v>
      </c>
      <c r="P4332">
        <v>87.56</v>
      </c>
    </row>
    <row r="4333" spans="1:16" x14ac:dyDescent="0.3">
      <c r="A4333">
        <v>5810</v>
      </c>
      <c r="B4333">
        <v>116</v>
      </c>
      <c r="C4333" t="s">
        <v>568</v>
      </c>
      <c r="D4333" s="453">
        <v>45597</v>
      </c>
      <c r="E4333">
        <v>20241</v>
      </c>
      <c r="F4333" t="s">
        <v>4538</v>
      </c>
      <c r="G4333">
        <v>2242</v>
      </c>
      <c r="H4333">
        <v>6</v>
      </c>
      <c r="I4333" t="s">
        <v>3872</v>
      </c>
      <c r="J4333" t="s">
        <v>3469</v>
      </c>
      <c r="K4333" t="s">
        <v>3772</v>
      </c>
      <c r="L4333">
        <v>0</v>
      </c>
      <c r="M4333" s="453">
        <v>-693593</v>
      </c>
      <c r="N4333">
        <v>0</v>
      </c>
      <c r="O4333">
        <v>14.44</v>
      </c>
      <c r="P4333">
        <v>86.64</v>
      </c>
    </row>
    <row r="4334" spans="1:16" x14ac:dyDescent="0.3">
      <c r="A4334">
        <v>5806</v>
      </c>
      <c r="B4334">
        <v>116</v>
      </c>
      <c r="C4334" t="s">
        <v>568</v>
      </c>
      <c r="D4334" s="453">
        <v>45597</v>
      </c>
      <c r="E4334">
        <v>20402</v>
      </c>
      <c r="F4334" t="s">
        <v>4507</v>
      </c>
      <c r="G4334">
        <v>2191</v>
      </c>
      <c r="H4334">
        <v>7</v>
      </c>
      <c r="I4334" t="s">
        <v>3872</v>
      </c>
      <c r="J4334" t="s">
        <v>3469</v>
      </c>
      <c r="K4334" t="s">
        <v>3772</v>
      </c>
      <c r="L4334">
        <v>0</v>
      </c>
      <c r="M4334" s="453">
        <v>-693593</v>
      </c>
      <c r="N4334">
        <v>0</v>
      </c>
      <c r="O4334">
        <v>12.3</v>
      </c>
      <c r="P4334">
        <v>86.1</v>
      </c>
    </row>
    <row r="4335" spans="1:16" x14ac:dyDescent="0.3">
      <c r="A4335">
        <v>5894</v>
      </c>
      <c r="B4335">
        <v>116</v>
      </c>
      <c r="C4335" t="s">
        <v>568</v>
      </c>
      <c r="D4335" s="453">
        <v>45597</v>
      </c>
      <c r="E4335">
        <v>18696</v>
      </c>
      <c r="F4335" t="s">
        <v>3956</v>
      </c>
      <c r="G4335">
        <v>3035</v>
      </c>
      <c r="H4335">
        <v>4.7</v>
      </c>
      <c r="I4335" t="s">
        <v>3892</v>
      </c>
      <c r="J4335" t="s">
        <v>3469</v>
      </c>
      <c r="K4335" t="s">
        <v>3772</v>
      </c>
      <c r="L4335">
        <v>0</v>
      </c>
      <c r="M4335" s="453">
        <v>45531</v>
      </c>
      <c r="N4335">
        <v>17.8</v>
      </c>
      <c r="O4335">
        <v>18.989999999999998</v>
      </c>
      <c r="P4335">
        <v>83.66</v>
      </c>
    </row>
    <row r="4336" spans="1:16" x14ac:dyDescent="0.3">
      <c r="A4336">
        <v>5795</v>
      </c>
      <c r="B4336">
        <v>116</v>
      </c>
      <c r="C4336" t="s">
        <v>568</v>
      </c>
      <c r="D4336" s="453">
        <v>45597</v>
      </c>
      <c r="E4336">
        <v>20757</v>
      </c>
      <c r="F4336" t="s">
        <v>4050</v>
      </c>
      <c r="G4336">
        <v>2086</v>
      </c>
      <c r="H4336">
        <v>1.1000000000000001</v>
      </c>
      <c r="I4336" t="s">
        <v>3966</v>
      </c>
      <c r="J4336" t="s">
        <v>3469</v>
      </c>
      <c r="K4336" t="s">
        <v>3772</v>
      </c>
      <c r="L4336">
        <v>75.2</v>
      </c>
      <c r="M4336" s="453">
        <v>45589</v>
      </c>
      <c r="N4336">
        <v>75.2</v>
      </c>
      <c r="O4336">
        <v>75.2</v>
      </c>
      <c r="P4336">
        <v>82.72</v>
      </c>
    </row>
    <row r="4337" spans="1:16" x14ac:dyDescent="0.3">
      <c r="A4337">
        <v>5805</v>
      </c>
      <c r="B4337">
        <v>116</v>
      </c>
      <c r="C4337" t="s">
        <v>568</v>
      </c>
      <c r="D4337" s="453">
        <v>45597</v>
      </c>
      <c r="E4337">
        <v>20702</v>
      </c>
      <c r="F4337" t="s">
        <v>4006</v>
      </c>
      <c r="G4337">
        <v>2101</v>
      </c>
      <c r="H4337">
        <v>2</v>
      </c>
      <c r="I4337" t="s">
        <v>3966</v>
      </c>
      <c r="J4337" t="s">
        <v>3469</v>
      </c>
      <c r="K4337" t="s">
        <v>3772</v>
      </c>
      <c r="L4337">
        <v>41.23</v>
      </c>
      <c r="M4337" s="453">
        <v>45594</v>
      </c>
      <c r="N4337">
        <v>36.549999999999997</v>
      </c>
      <c r="O4337">
        <v>47.73</v>
      </c>
      <c r="P4337">
        <v>82.46</v>
      </c>
    </row>
    <row r="4338" spans="1:16" x14ac:dyDescent="0.3">
      <c r="A4338">
        <v>5814</v>
      </c>
      <c r="B4338">
        <v>116</v>
      </c>
      <c r="C4338" t="s">
        <v>568</v>
      </c>
      <c r="D4338" s="453">
        <v>45597</v>
      </c>
      <c r="E4338">
        <v>20053</v>
      </c>
      <c r="F4338" t="s">
        <v>4457</v>
      </c>
      <c r="G4338">
        <v>2326</v>
      </c>
      <c r="H4338">
        <v>2</v>
      </c>
      <c r="I4338" t="s">
        <v>3888</v>
      </c>
      <c r="J4338" t="s">
        <v>3469</v>
      </c>
      <c r="K4338" t="s">
        <v>3772</v>
      </c>
      <c r="L4338">
        <v>40.369999999999997</v>
      </c>
      <c r="M4338" s="453">
        <v>45594</v>
      </c>
      <c r="N4338">
        <v>40.799999999999997</v>
      </c>
      <c r="O4338">
        <v>40.799999999999997</v>
      </c>
      <c r="P4338">
        <v>80.739999999999995</v>
      </c>
    </row>
    <row r="4339" spans="1:16" x14ac:dyDescent="0.3">
      <c r="A4339">
        <v>5790</v>
      </c>
      <c r="B4339">
        <v>116</v>
      </c>
      <c r="C4339" t="s">
        <v>568</v>
      </c>
      <c r="D4339" s="453">
        <v>45597</v>
      </c>
      <c r="E4339">
        <v>18030</v>
      </c>
      <c r="F4339" t="s">
        <v>4033</v>
      </c>
      <c r="G4339">
        <v>3568</v>
      </c>
      <c r="H4339">
        <v>3</v>
      </c>
      <c r="I4339" t="s">
        <v>3878</v>
      </c>
      <c r="J4339" t="s">
        <v>3497</v>
      </c>
      <c r="K4339" t="s">
        <v>3772</v>
      </c>
      <c r="L4339">
        <v>26.9</v>
      </c>
      <c r="M4339" s="453">
        <v>45573</v>
      </c>
      <c r="N4339">
        <v>26.9</v>
      </c>
      <c r="O4339">
        <v>26.5</v>
      </c>
      <c r="P4339">
        <v>80.7</v>
      </c>
    </row>
    <row r="4340" spans="1:16" x14ac:dyDescent="0.3">
      <c r="A4340">
        <v>6695</v>
      </c>
      <c r="B4340">
        <v>116</v>
      </c>
      <c r="C4340" t="s">
        <v>568</v>
      </c>
      <c r="D4340" s="453">
        <v>45597</v>
      </c>
      <c r="E4340">
        <v>25167</v>
      </c>
      <c r="F4340" t="s">
        <v>3951</v>
      </c>
      <c r="G4340">
        <v>5930</v>
      </c>
      <c r="H4340">
        <v>4</v>
      </c>
      <c r="I4340" t="s">
        <v>3892</v>
      </c>
      <c r="J4340" t="s">
        <v>3469</v>
      </c>
      <c r="K4340" t="s">
        <v>3772</v>
      </c>
      <c r="L4340">
        <v>19.95</v>
      </c>
      <c r="M4340" s="453">
        <v>45594</v>
      </c>
      <c r="N4340">
        <v>19.899999999999999</v>
      </c>
      <c r="O4340">
        <v>19.5</v>
      </c>
      <c r="P4340">
        <v>79.8</v>
      </c>
    </row>
    <row r="4341" spans="1:16" x14ac:dyDescent="0.3">
      <c r="A4341">
        <v>5891</v>
      </c>
      <c r="B4341">
        <v>116</v>
      </c>
      <c r="C4341" t="s">
        <v>568</v>
      </c>
      <c r="D4341" s="453">
        <v>45597</v>
      </c>
      <c r="E4341">
        <v>19264</v>
      </c>
      <c r="F4341" t="s">
        <v>4082</v>
      </c>
      <c r="G4341">
        <v>2781</v>
      </c>
      <c r="H4341">
        <v>1.3</v>
      </c>
      <c r="I4341" t="s">
        <v>3888</v>
      </c>
      <c r="J4341" t="s">
        <v>3469</v>
      </c>
      <c r="K4341" t="s">
        <v>3772</v>
      </c>
      <c r="L4341">
        <v>60.9</v>
      </c>
      <c r="M4341" s="453">
        <v>45573</v>
      </c>
      <c r="N4341">
        <v>60.9</v>
      </c>
      <c r="O4341">
        <v>54.79</v>
      </c>
      <c r="P4341">
        <v>79.17</v>
      </c>
    </row>
    <row r="4342" spans="1:16" x14ac:dyDescent="0.3">
      <c r="A4342">
        <v>6712</v>
      </c>
      <c r="B4342">
        <v>116</v>
      </c>
      <c r="C4342" t="s">
        <v>568</v>
      </c>
      <c r="D4342" s="453">
        <v>45597</v>
      </c>
      <c r="E4342">
        <v>20976</v>
      </c>
      <c r="F4342" t="s">
        <v>4062</v>
      </c>
      <c r="G4342">
        <v>2011</v>
      </c>
      <c r="H4342">
        <v>0.5</v>
      </c>
      <c r="I4342" t="s">
        <v>3884</v>
      </c>
      <c r="J4342" t="s">
        <v>3469</v>
      </c>
      <c r="K4342" t="s">
        <v>3772</v>
      </c>
      <c r="L4342">
        <v>157.16</v>
      </c>
      <c r="M4342" s="453">
        <v>45586</v>
      </c>
      <c r="N4342">
        <v>139.80000000000001</v>
      </c>
      <c r="O4342">
        <v>139.80000000000001</v>
      </c>
      <c r="P4342">
        <v>78.58</v>
      </c>
    </row>
    <row r="4343" spans="1:16" x14ac:dyDescent="0.3">
      <c r="A4343">
        <v>5765</v>
      </c>
      <c r="B4343">
        <v>116</v>
      </c>
      <c r="C4343" t="s">
        <v>568</v>
      </c>
      <c r="D4343" s="453">
        <v>45597</v>
      </c>
      <c r="E4343">
        <v>18534</v>
      </c>
      <c r="F4343" t="s">
        <v>4084</v>
      </c>
      <c r="G4343">
        <v>3143</v>
      </c>
      <c r="H4343">
        <v>1</v>
      </c>
      <c r="I4343" t="s">
        <v>3878</v>
      </c>
      <c r="J4343" t="s">
        <v>3497</v>
      </c>
      <c r="K4343" t="s">
        <v>3772</v>
      </c>
      <c r="L4343">
        <v>0</v>
      </c>
      <c r="M4343" s="453">
        <v>-693593</v>
      </c>
      <c r="N4343">
        <v>0</v>
      </c>
      <c r="O4343">
        <v>78.569999999999993</v>
      </c>
      <c r="P4343">
        <v>78.569999999999993</v>
      </c>
    </row>
    <row r="4344" spans="1:16" x14ac:dyDescent="0.3">
      <c r="A4344">
        <v>5838</v>
      </c>
      <c r="B4344">
        <v>116</v>
      </c>
      <c r="C4344" t="s">
        <v>568</v>
      </c>
      <c r="D4344" s="453">
        <v>45597</v>
      </c>
      <c r="E4344">
        <v>19922</v>
      </c>
      <c r="F4344" t="s">
        <v>4480</v>
      </c>
      <c r="G4344">
        <v>2375</v>
      </c>
      <c r="H4344">
        <v>1</v>
      </c>
      <c r="I4344" t="s">
        <v>3888</v>
      </c>
      <c r="J4344" t="s">
        <v>3469</v>
      </c>
      <c r="K4344" t="s">
        <v>3772</v>
      </c>
      <c r="L4344">
        <v>0</v>
      </c>
      <c r="M4344" s="453">
        <v>-693593</v>
      </c>
      <c r="N4344">
        <v>0</v>
      </c>
      <c r="O4344">
        <v>78</v>
      </c>
      <c r="P4344">
        <v>78</v>
      </c>
    </row>
    <row r="4345" spans="1:16" x14ac:dyDescent="0.3">
      <c r="A4345">
        <v>5828</v>
      </c>
      <c r="B4345">
        <v>116</v>
      </c>
      <c r="C4345" t="s">
        <v>568</v>
      </c>
      <c r="D4345" s="453">
        <v>45597</v>
      </c>
      <c r="E4345">
        <v>19961</v>
      </c>
      <c r="F4345" t="s">
        <v>4465</v>
      </c>
      <c r="G4345">
        <v>2357</v>
      </c>
      <c r="H4345">
        <v>9</v>
      </c>
      <c r="I4345" t="s">
        <v>3886</v>
      </c>
      <c r="J4345" t="s">
        <v>3469</v>
      </c>
      <c r="K4345" t="s">
        <v>3772</v>
      </c>
      <c r="L4345">
        <v>0</v>
      </c>
      <c r="M4345" s="453">
        <v>45517</v>
      </c>
      <c r="N4345">
        <v>8.5500000000000007</v>
      </c>
      <c r="O4345">
        <v>13.4</v>
      </c>
      <c r="P4345">
        <v>76.95</v>
      </c>
    </row>
    <row r="4346" spans="1:16" x14ac:dyDescent="0.3">
      <c r="A4346">
        <v>5774</v>
      </c>
      <c r="B4346">
        <v>116</v>
      </c>
      <c r="C4346" t="s">
        <v>568</v>
      </c>
      <c r="D4346" s="453">
        <v>45597</v>
      </c>
      <c r="E4346">
        <v>18341</v>
      </c>
      <c r="F4346" t="s">
        <v>4086</v>
      </c>
      <c r="G4346">
        <v>3293</v>
      </c>
      <c r="H4346">
        <v>2</v>
      </c>
      <c r="I4346" t="s">
        <v>3878</v>
      </c>
      <c r="J4346" t="s">
        <v>3497</v>
      </c>
      <c r="K4346" t="s">
        <v>3772</v>
      </c>
      <c r="L4346">
        <v>0</v>
      </c>
      <c r="M4346" s="453">
        <v>-693593</v>
      </c>
      <c r="N4346">
        <v>0</v>
      </c>
      <c r="O4346">
        <v>38</v>
      </c>
      <c r="P4346">
        <v>76</v>
      </c>
    </row>
    <row r="4347" spans="1:16" x14ac:dyDescent="0.3">
      <c r="A4347">
        <v>6709</v>
      </c>
      <c r="B4347">
        <v>116</v>
      </c>
      <c r="C4347" t="s">
        <v>568</v>
      </c>
      <c r="D4347" s="453">
        <v>45597</v>
      </c>
      <c r="E4347">
        <v>25766</v>
      </c>
      <c r="F4347" t="s">
        <v>4553</v>
      </c>
      <c r="G4347">
        <v>2363</v>
      </c>
      <c r="H4347">
        <v>0.5</v>
      </c>
      <c r="I4347" t="s">
        <v>3978</v>
      </c>
      <c r="J4347" t="s">
        <v>3469</v>
      </c>
      <c r="K4347" t="s">
        <v>3772</v>
      </c>
      <c r="L4347">
        <v>0</v>
      </c>
      <c r="M4347" s="453">
        <v>-693593</v>
      </c>
      <c r="N4347">
        <v>0</v>
      </c>
      <c r="O4347">
        <v>0</v>
      </c>
      <c r="P4347">
        <v>75</v>
      </c>
    </row>
    <row r="4348" spans="1:16" x14ac:dyDescent="0.3">
      <c r="A4348">
        <v>5816</v>
      </c>
      <c r="B4348">
        <v>116</v>
      </c>
      <c r="C4348" t="s">
        <v>568</v>
      </c>
      <c r="D4348" s="453">
        <v>45597</v>
      </c>
      <c r="E4348">
        <v>24328</v>
      </c>
      <c r="F4348" t="s">
        <v>4456</v>
      </c>
      <c r="G4348">
        <v>2146</v>
      </c>
      <c r="H4348">
        <v>3.5</v>
      </c>
      <c r="I4348" t="s">
        <v>3892</v>
      </c>
      <c r="J4348" t="s">
        <v>3469</v>
      </c>
      <c r="K4348" t="s">
        <v>3772</v>
      </c>
      <c r="L4348">
        <v>0</v>
      </c>
      <c r="M4348" s="453">
        <v>-693593</v>
      </c>
      <c r="N4348">
        <v>0</v>
      </c>
      <c r="O4348">
        <v>20.9</v>
      </c>
      <c r="P4348">
        <v>73.150000000000006</v>
      </c>
    </row>
    <row r="4349" spans="1:16" x14ac:dyDescent="0.3">
      <c r="A4349">
        <v>5821</v>
      </c>
      <c r="B4349">
        <v>116</v>
      </c>
      <c r="C4349" t="s">
        <v>568</v>
      </c>
      <c r="D4349" s="453">
        <v>45597</v>
      </c>
      <c r="E4349">
        <v>20117</v>
      </c>
      <c r="F4349" t="s">
        <v>4010</v>
      </c>
      <c r="G4349">
        <v>2291</v>
      </c>
      <c r="H4349">
        <v>1.7</v>
      </c>
      <c r="I4349" t="s">
        <v>3872</v>
      </c>
      <c r="J4349" t="s">
        <v>3469</v>
      </c>
      <c r="K4349" t="s">
        <v>3772</v>
      </c>
      <c r="L4349">
        <v>42.18</v>
      </c>
      <c r="M4349" s="453">
        <v>45586</v>
      </c>
      <c r="N4349">
        <v>41.9</v>
      </c>
      <c r="O4349">
        <v>41.5</v>
      </c>
      <c r="P4349">
        <v>71.709999999999994</v>
      </c>
    </row>
    <row r="4350" spans="1:16" x14ac:dyDescent="0.3">
      <c r="A4350">
        <v>5865</v>
      </c>
      <c r="B4350">
        <v>116</v>
      </c>
      <c r="C4350" t="s">
        <v>568</v>
      </c>
      <c r="D4350" s="453">
        <v>45597</v>
      </c>
      <c r="E4350">
        <v>19756</v>
      </c>
      <c r="F4350" t="s">
        <v>4220</v>
      </c>
      <c r="G4350">
        <v>2497</v>
      </c>
      <c r="H4350">
        <v>13</v>
      </c>
      <c r="I4350" t="s">
        <v>3892</v>
      </c>
      <c r="J4350" t="s">
        <v>3469</v>
      </c>
      <c r="K4350" t="s">
        <v>3772</v>
      </c>
      <c r="L4350">
        <v>5.3</v>
      </c>
      <c r="M4350" s="453">
        <v>45596</v>
      </c>
      <c r="N4350">
        <v>5.2</v>
      </c>
      <c r="O4350">
        <v>5.57</v>
      </c>
      <c r="P4350">
        <v>68.900000000000006</v>
      </c>
    </row>
    <row r="4351" spans="1:16" x14ac:dyDescent="0.3">
      <c r="A4351">
        <v>5802</v>
      </c>
      <c r="B4351">
        <v>116</v>
      </c>
      <c r="C4351" t="s">
        <v>568</v>
      </c>
      <c r="D4351" s="453">
        <v>45597</v>
      </c>
      <c r="E4351">
        <v>20809</v>
      </c>
      <c r="F4351" t="s">
        <v>4005</v>
      </c>
      <c r="G4351">
        <v>2074</v>
      </c>
      <c r="H4351">
        <v>3.2</v>
      </c>
      <c r="I4351" t="s">
        <v>3888</v>
      </c>
      <c r="J4351" t="s">
        <v>3469</v>
      </c>
      <c r="K4351" t="s">
        <v>3772</v>
      </c>
      <c r="L4351">
        <v>21.52</v>
      </c>
      <c r="M4351" s="453">
        <v>45594</v>
      </c>
      <c r="N4351">
        <v>21.96</v>
      </c>
      <c r="O4351">
        <v>21.96</v>
      </c>
      <c r="P4351">
        <v>68.86</v>
      </c>
    </row>
    <row r="4352" spans="1:16" x14ac:dyDescent="0.3">
      <c r="A4352">
        <v>6724</v>
      </c>
      <c r="B4352">
        <v>116</v>
      </c>
      <c r="C4352" t="s">
        <v>568</v>
      </c>
      <c r="D4352" s="453">
        <v>45597</v>
      </c>
      <c r="E4352">
        <v>24456</v>
      </c>
      <c r="F4352" t="s">
        <v>4048</v>
      </c>
      <c r="G4352">
        <v>1965</v>
      </c>
      <c r="H4352">
        <v>3</v>
      </c>
      <c r="I4352" t="s">
        <v>3892</v>
      </c>
      <c r="J4352" t="s">
        <v>3469</v>
      </c>
      <c r="K4352" t="s">
        <v>3772</v>
      </c>
      <c r="L4352">
        <v>0</v>
      </c>
      <c r="M4352" s="453">
        <v>45547</v>
      </c>
      <c r="N4352">
        <v>22.95</v>
      </c>
      <c r="O4352">
        <v>22.95</v>
      </c>
      <c r="P4352">
        <v>68.849999999999994</v>
      </c>
    </row>
    <row r="4353" spans="1:16" x14ac:dyDescent="0.3">
      <c r="A4353">
        <v>5909</v>
      </c>
      <c r="B4353">
        <v>116</v>
      </c>
      <c r="C4353" t="s">
        <v>568</v>
      </c>
      <c r="D4353" s="453">
        <v>45597</v>
      </c>
      <c r="E4353">
        <v>24002</v>
      </c>
      <c r="F4353" t="s">
        <v>3924</v>
      </c>
      <c r="G4353">
        <v>3614</v>
      </c>
      <c r="H4353">
        <v>11</v>
      </c>
      <c r="I4353" t="s">
        <v>3872</v>
      </c>
      <c r="J4353" t="s">
        <v>3497</v>
      </c>
      <c r="K4353" t="s">
        <v>3772</v>
      </c>
      <c r="L4353">
        <v>0</v>
      </c>
      <c r="M4353" s="453">
        <v>45391</v>
      </c>
      <c r="N4353">
        <v>6</v>
      </c>
      <c r="O4353">
        <v>7.3</v>
      </c>
      <c r="P4353">
        <v>66</v>
      </c>
    </row>
    <row r="4354" spans="1:16" x14ac:dyDescent="0.3">
      <c r="A4354">
        <v>5771</v>
      </c>
      <c r="B4354">
        <v>116</v>
      </c>
      <c r="C4354" t="s">
        <v>568</v>
      </c>
      <c r="D4354" s="453">
        <v>45597</v>
      </c>
      <c r="E4354">
        <v>18395</v>
      </c>
      <c r="F4354" t="s">
        <v>4085</v>
      </c>
      <c r="G4354">
        <v>3245</v>
      </c>
      <c r="H4354">
        <v>2</v>
      </c>
      <c r="I4354" t="s">
        <v>3878</v>
      </c>
      <c r="J4354" t="s">
        <v>3497</v>
      </c>
      <c r="K4354" t="s">
        <v>3772</v>
      </c>
      <c r="L4354">
        <v>32.43</v>
      </c>
      <c r="M4354" s="453">
        <v>45569</v>
      </c>
      <c r="N4354">
        <v>32.43</v>
      </c>
      <c r="O4354">
        <v>32.43</v>
      </c>
      <c r="P4354">
        <v>64.86</v>
      </c>
    </row>
    <row r="4355" spans="1:16" x14ac:dyDescent="0.3">
      <c r="A4355">
        <v>5789</v>
      </c>
      <c r="B4355">
        <v>116</v>
      </c>
      <c r="C4355" t="s">
        <v>568</v>
      </c>
      <c r="D4355" s="453">
        <v>45597</v>
      </c>
      <c r="E4355">
        <v>18111</v>
      </c>
      <c r="F4355" t="s">
        <v>4047</v>
      </c>
      <c r="G4355">
        <v>3500</v>
      </c>
      <c r="H4355">
        <v>0.7</v>
      </c>
      <c r="I4355" t="s">
        <v>3878</v>
      </c>
      <c r="J4355" t="s">
        <v>3497</v>
      </c>
      <c r="K4355" t="s">
        <v>3772</v>
      </c>
      <c r="L4355">
        <v>0</v>
      </c>
      <c r="M4355" s="453">
        <v>45559</v>
      </c>
      <c r="N4355">
        <v>92.47</v>
      </c>
      <c r="O4355">
        <v>92.47</v>
      </c>
      <c r="P4355">
        <v>64.73</v>
      </c>
    </row>
    <row r="4356" spans="1:16" x14ac:dyDescent="0.3">
      <c r="A4356">
        <v>6718</v>
      </c>
      <c r="B4356">
        <v>116</v>
      </c>
      <c r="C4356" t="s">
        <v>568</v>
      </c>
      <c r="D4356" s="453">
        <v>45597</v>
      </c>
      <c r="E4356">
        <v>19566</v>
      </c>
      <c r="F4356" t="s">
        <v>3986</v>
      </c>
      <c r="G4356">
        <v>2651</v>
      </c>
      <c r="H4356">
        <v>2</v>
      </c>
      <c r="I4356" t="s">
        <v>3892</v>
      </c>
      <c r="J4356" t="s">
        <v>3469</v>
      </c>
      <c r="K4356" t="s">
        <v>3772</v>
      </c>
      <c r="L4356">
        <v>0</v>
      </c>
      <c r="M4356" s="453">
        <v>45512</v>
      </c>
      <c r="N4356">
        <v>32</v>
      </c>
      <c r="O4356">
        <v>32</v>
      </c>
      <c r="P4356">
        <v>64</v>
      </c>
    </row>
    <row r="4357" spans="1:16" x14ac:dyDescent="0.3">
      <c r="A4357">
        <v>5885</v>
      </c>
      <c r="B4357">
        <v>116</v>
      </c>
      <c r="C4357" t="s">
        <v>568</v>
      </c>
      <c r="D4357" s="453">
        <v>45597</v>
      </c>
      <c r="E4357">
        <v>19420</v>
      </c>
      <c r="F4357" t="s">
        <v>3899</v>
      </c>
      <c r="G4357">
        <v>2758</v>
      </c>
      <c r="H4357">
        <v>10</v>
      </c>
      <c r="I4357" t="s">
        <v>3872</v>
      </c>
      <c r="J4357" t="s">
        <v>3469</v>
      </c>
      <c r="K4357" t="s">
        <v>3772</v>
      </c>
      <c r="L4357">
        <v>0</v>
      </c>
      <c r="M4357" s="453">
        <v>45503</v>
      </c>
      <c r="N4357">
        <v>6.05</v>
      </c>
      <c r="O4357">
        <v>6.1</v>
      </c>
      <c r="P4357">
        <v>60.5</v>
      </c>
    </row>
    <row r="4358" spans="1:16" x14ac:dyDescent="0.3">
      <c r="A4358">
        <v>6683</v>
      </c>
      <c r="B4358">
        <v>116</v>
      </c>
      <c r="C4358" t="s">
        <v>568</v>
      </c>
      <c r="D4358" s="453">
        <v>45597</v>
      </c>
      <c r="E4358">
        <v>20755</v>
      </c>
      <c r="F4358" t="s">
        <v>4052</v>
      </c>
      <c r="G4358">
        <v>2087</v>
      </c>
      <c r="H4358">
        <v>1</v>
      </c>
      <c r="I4358" t="s">
        <v>3966</v>
      </c>
      <c r="J4358" t="s">
        <v>3469</v>
      </c>
      <c r="K4358" t="s">
        <v>3772</v>
      </c>
      <c r="L4358">
        <v>0</v>
      </c>
      <c r="M4358" s="453">
        <v>45497</v>
      </c>
      <c r="N4358">
        <v>60</v>
      </c>
      <c r="O4358">
        <v>60</v>
      </c>
      <c r="P4358">
        <v>60</v>
      </c>
    </row>
    <row r="4359" spans="1:16" x14ac:dyDescent="0.3">
      <c r="A4359">
        <v>5763</v>
      </c>
      <c r="B4359">
        <v>116</v>
      </c>
      <c r="C4359" t="s">
        <v>568</v>
      </c>
      <c r="D4359" s="453">
        <v>45597</v>
      </c>
      <c r="E4359">
        <v>18545</v>
      </c>
      <c r="F4359" t="s">
        <v>4099</v>
      </c>
      <c r="G4359">
        <v>3134</v>
      </c>
      <c r="H4359">
        <v>1.2</v>
      </c>
      <c r="I4359" t="s">
        <v>3878</v>
      </c>
      <c r="J4359" t="s">
        <v>3497</v>
      </c>
      <c r="K4359" t="s">
        <v>3772</v>
      </c>
      <c r="L4359">
        <v>0</v>
      </c>
      <c r="M4359" s="453">
        <v>45559</v>
      </c>
      <c r="N4359">
        <v>49.99</v>
      </c>
      <c r="O4359">
        <v>49.9</v>
      </c>
      <c r="P4359">
        <v>59.99</v>
      </c>
    </row>
    <row r="4360" spans="1:16" x14ac:dyDescent="0.3">
      <c r="A4360">
        <v>5761</v>
      </c>
      <c r="B4360">
        <v>116</v>
      </c>
      <c r="C4360" t="s">
        <v>568</v>
      </c>
      <c r="D4360" s="453">
        <v>45597</v>
      </c>
      <c r="E4360">
        <v>18547</v>
      </c>
      <c r="F4360" t="s">
        <v>3962</v>
      </c>
      <c r="G4360">
        <v>3132</v>
      </c>
      <c r="H4360">
        <v>1.5</v>
      </c>
      <c r="I4360" t="s">
        <v>3878</v>
      </c>
      <c r="J4360" t="s">
        <v>3497</v>
      </c>
      <c r="K4360" t="s">
        <v>3772</v>
      </c>
      <c r="L4360">
        <v>0</v>
      </c>
      <c r="M4360" s="453">
        <v>-693593</v>
      </c>
      <c r="N4360">
        <v>0</v>
      </c>
      <c r="O4360">
        <v>37.5</v>
      </c>
      <c r="P4360">
        <v>56.25</v>
      </c>
    </row>
    <row r="4361" spans="1:16" x14ac:dyDescent="0.3">
      <c r="A4361">
        <v>6725</v>
      </c>
      <c r="B4361">
        <v>116</v>
      </c>
      <c r="C4361" t="s">
        <v>568</v>
      </c>
      <c r="D4361" s="453">
        <v>45597</v>
      </c>
      <c r="E4361">
        <v>24458</v>
      </c>
      <c r="F4361" t="s">
        <v>4506</v>
      </c>
      <c r="G4361">
        <v>2160</v>
      </c>
      <c r="H4361">
        <v>0.9</v>
      </c>
      <c r="I4361" t="s">
        <v>3892</v>
      </c>
      <c r="J4361" t="s">
        <v>3469</v>
      </c>
      <c r="K4361" t="s">
        <v>3772</v>
      </c>
      <c r="L4361">
        <v>0</v>
      </c>
      <c r="M4361" s="453">
        <v>45370</v>
      </c>
      <c r="N4361">
        <v>62</v>
      </c>
      <c r="O4361">
        <v>62</v>
      </c>
      <c r="P4361">
        <v>55.8</v>
      </c>
    </row>
    <row r="4362" spans="1:16" x14ac:dyDescent="0.3">
      <c r="A4362">
        <v>5808</v>
      </c>
      <c r="B4362">
        <v>116</v>
      </c>
      <c r="C4362" t="s">
        <v>568</v>
      </c>
      <c r="D4362" s="453">
        <v>45597</v>
      </c>
      <c r="E4362">
        <v>20358</v>
      </c>
      <c r="F4362" t="s">
        <v>3952</v>
      </c>
      <c r="G4362">
        <v>2200</v>
      </c>
      <c r="H4362">
        <v>3.8</v>
      </c>
      <c r="I4362" t="s">
        <v>3888</v>
      </c>
      <c r="J4362" t="s">
        <v>3469</v>
      </c>
      <c r="K4362" t="s">
        <v>3772</v>
      </c>
      <c r="L4362">
        <v>14.45</v>
      </c>
      <c r="M4362" s="453">
        <v>45594</v>
      </c>
      <c r="N4362">
        <v>14.45</v>
      </c>
      <c r="O4362">
        <v>14.41</v>
      </c>
      <c r="P4362">
        <v>54.91</v>
      </c>
    </row>
    <row r="4363" spans="1:16" x14ac:dyDescent="0.3">
      <c r="A4363">
        <v>5908</v>
      </c>
      <c r="B4363">
        <v>116</v>
      </c>
      <c r="C4363" t="s">
        <v>568</v>
      </c>
      <c r="D4363" s="453">
        <v>45597</v>
      </c>
      <c r="E4363">
        <v>18666</v>
      </c>
      <c r="F4363" t="s">
        <v>4003</v>
      </c>
      <c r="G4363">
        <v>3053</v>
      </c>
      <c r="H4363">
        <v>2.4</v>
      </c>
      <c r="I4363" t="s">
        <v>3892</v>
      </c>
      <c r="J4363" t="s">
        <v>3469</v>
      </c>
      <c r="K4363" t="s">
        <v>3772</v>
      </c>
      <c r="L4363">
        <v>22</v>
      </c>
      <c r="M4363" s="453">
        <v>45595</v>
      </c>
      <c r="N4363">
        <v>22</v>
      </c>
      <c r="O4363">
        <v>22</v>
      </c>
      <c r="P4363">
        <v>52.8</v>
      </c>
    </row>
    <row r="4364" spans="1:16" x14ac:dyDescent="0.3">
      <c r="A4364">
        <v>5877</v>
      </c>
      <c r="B4364">
        <v>116</v>
      </c>
      <c r="C4364" t="s">
        <v>568</v>
      </c>
      <c r="D4364" s="453">
        <v>45597</v>
      </c>
      <c r="E4364">
        <v>19571</v>
      </c>
      <c r="F4364" t="s">
        <v>4422</v>
      </c>
      <c r="G4364">
        <v>2647</v>
      </c>
      <c r="H4364">
        <v>1</v>
      </c>
      <c r="I4364" t="s">
        <v>3892</v>
      </c>
      <c r="J4364" t="s">
        <v>3469</v>
      </c>
      <c r="K4364" t="s">
        <v>3772</v>
      </c>
      <c r="L4364">
        <v>0</v>
      </c>
      <c r="M4364" s="453">
        <v>45454</v>
      </c>
      <c r="N4364">
        <v>51.94</v>
      </c>
      <c r="O4364">
        <v>26</v>
      </c>
      <c r="P4364">
        <v>51.94</v>
      </c>
    </row>
    <row r="4365" spans="1:16" x14ac:dyDescent="0.3">
      <c r="A4365">
        <v>6693</v>
      </c>
      <c r="B4365">
        <v>116</v>
      </c>
      <c r="C4365" t="s">
        <v>568</v>
      </c>
      <c r="D4365" s="453">
        <v>45597</v>
      </c>
      <c r="E4365">
        <v>20682</v>
      </c>
      <c r="F4365" t="s">
        <v>3929</v>
      </c>
      <c r="G4365">
        <v>2106</v>
      </c>
      <c r="H4365">
        <v>6</v>
      </c>
      <c r="I4365" t="s">
        <v>3872</v>
      </c>
      <c r="J4365" t="s">
        <v>3469</v>
      </c>
      <c r="K4365" t="s">
        <v>3772</v>
      </c>
      <c r="L4365">
        <v>8.58</v>
      </c>
      <c r="M4365" s="453">
        <v>45594</v>
      </c>
      <c r="N4365">
        <v>8.5</v>
      </c>
      <c r="O4365">
        <v>8.56</v>
      </c>
      <c r="P4365">
        <v>51.48</v>
      </c>
    </row>
    <row r="4366" spans="1:16" x14ac:dyDescent="0.3">
      <c r="A4366">
        <v>5916</v>
      </c>
      <c r="B4366">
        <v>116</v>
      </c>
      <c r="C4366" t="s">
        <v>568</v>
      </c>
      <c r="D4366" s="453">
        <v>45597</v>
      </c>
      <c r="E4366">
        <v>24226</v>
      </c>
      <c r="F4366" t="s">
        <v>3998</v>
      </c>
      <c r="G4366">
        <v>3647</v>
      </c>
      <c r="H4366">
        <v>8</v>
      </c>
      <c r="I4366" t="s">
        <v>3872</v>
      </c>
      <c r="J4366" t="s">
        <v>3497</v>
      </c>
      <c r="K4366" t="s">
        <v>3772</v>
      </c>
      <c r="L4366">
        <v>0</v>
      </c>
      <c r="M4366" s="453">
        <v>45355</v>
      </c>
      <c r="N4366">
        <v>6.42</v>
      </c>
      <c r="O4366">
        <v>6.82</v>
      </c>
      <c r="P4366">
        <v>51.33</v>
      </c>
    </row>
    <row r="4367" spans="1:16" x14ac:dyDescent="0.3">
      <c r="A4367">
        <v>5780</v>
      </c>
      <c r="B4367">
        <v>116</v>
      </c>
      <c r="C4367" t="s">
        <v>568</v>
      </c>
      <c r="D4367" s="453">
        <v>45597</v>
      </c>
      <c r="E4367">
        <v>18273</v>
      </c>
      <c r="F4367" t="s">
        <v>4031</v>
      </c>
      <c r="G4367">
        <v>3357</v>
      </c>
      <c r="H4367">
        <v>1.3</v>
      </c>
      <c r="I4367" t="s">
        <v>3878</v>
      </c>
      <c r="J4367" t="s">
        <v>3497</v>
      </c>
      <c r="K4367" t="s">
        <v>3772</v>
      </c>
      <c r="L4367">
        <v>0</v>
      </c>
      <c r="M4367" s="453">
        <v>-693593</v>
      </c>
      <c r="N4367">
        <v>0</v>
      </c>
      <c r="O4367">
        <v>39.18</v>
      </c>
      <c r="P4367">
        <v>50.93</v>
      </c>
    </row>
    <row r="4368" spans="1:16" x14ac:dyDescent="0.3">
      <c r="A4368">
        <v>6696</v>
      </c>
      <c r="B4368">
        <v>116</v>
      </c>
      <c r="C4368" t="s">
        <v>568</v>
      </c>
      <c r="D4368" s="453">
        <v>45597</v>
      </c>
      <c r="E4368">
        <v>25720</v>
      </c>
      <c r="F4368" t="s">
        <v>3926</v>
      </c>
      <c r="G4368">
        <v>2197</v>
      </c>
      <c r="H4368">
        <v>3</v>
      </c>
      <c r="I4368" t="s">
        <v>3892</v>
      </c>
      <c r="J4368" t="s">
        <v>3469</v>
      </c>
      <c r="K4368" t="s">
        <v>3772</v>
      </c>
      <c r="L4368">
        <v>0</v>
      </c>
      <c r="M4368" s="453">
        <v>-693593</v>
      </c>
      <c r="N4368">
        <v>0</v>
      </c>
      <c r="O4368">
        <v>0</v>
      </c>
      <c r="P4368">
        <v>50.7</v>
      </c>
    </row>
    <row r="4369" spans="1:16" x14ac:dyDescent="0.3">
      <c r="A4369">
        <v>6698</v>
      </c>
      <c r="B4369">
        <v>116</v>
      </c>
      <c r="C4369" t="s">
        <v>568</v>
      </c>
      <c r="D4369" s="453">
        <v>45597</v>
      </c>
      <c r="E4369">
        <v>20328</v>
      </c>
      <c r="F4369" t="s">
        <v>4554</v>
      </c>
      <c r="G4369">
        <v>2211</v>
      </c>
      <c r="H4369">
        <v>7.3</v>
      </c>
      <c r="I4369" t="s">
        <v>3872</v>
      </c>
      <c r="J4369" t="s">
        <v>3469</v>
      </c>
      <c r="K4369" t="s">
        <v>3772</v>
      </c>
      <c r="L4369">
        <v>0</v>
      </c>
      <c r="M4369" s="453">
        <v>45545</v>
      </c>
      <c r="N4369">
        <v>6.75</v>
      </c>
      <c r="O4369">
        <v>6.75</v>
      </c>
      <c r="P4369">
        <v>49.28</v>
      </c>
    </row>
    <row r="4370" spans="1:16" x14ac:dyDescent="0.3">
      <c r="A4370">
        <v>5800</v>
      </c>
      <c r="B4370">
        <v>116</v>
      </c>
      <c r="C4370" t="s">
        <v>568</v>
      </c>
      <c r="D4370" s="453">
        <v>45597</v>
      </c>
      <c r="E4370">
        <v>20287</v>
      </c>
      <c r="F4370" t="s">
        <v>4053</v>
      </c>
      <c r="G4370">
        <v>2229</v>
      </c>
      <c r="H4370">
        <v>1.5</v>
      </c>
      <c r="I4370" t="s">
        <v>3888</v>
      </c>
      <c r="J4370" t="s">
        <v>3469</v>
      </c>
      <c r="K4370" t="s">
        <v>3772</v>
      </c>
      <c r="L4370">
        <v>32.4</v>
      </c>
      <c r="M4370" s="453">
        <v>45574</v>
      </c>
      <c r="N4370">
        <v>32.4</v>
      </c>
      <c r="O4370">
        <v>24.65</v>
      </c>
      <c r="P4370">
        <v>48.6</v>
      </c>
    </row>
    <row r="4371" spans="1:16" x14ac:dyDescent="0.3">
      <c r="A4371">
        <v>6719</v>
      </c>
      <c r="B4371">
        <v>116</v>
      </c>
      <c r="C4371" t="s">
        <v>568</v>
      </c>
      <c r="D4371" s="453">
        <v>45597</v>
      </c>
      <c r="E4371">
        <v>19565</v>
      </c>
      <c r="F4371" t="s">
        <v>3987</v>
      </c>
      <c r="G4371">
        <v>2652</v>
      </c>
      <c r="H4371">
        <v>2</v>
      </c>
      <c r="I4371" t="s">
        <v>3892</v>
      </c>
      <c r="J4371" t="s">
        <v>3469</v>
      </c>
      <c r="K4371" t="s">
        <v>3772</v>
      </c>
      <c r="L4371">
        <v>0</v>
      </c>
      <c r="M4371" s="453">
        <v>45512</v>
      </c>
      <c r="N4371">
        <v>24</v>
      </c>
      <c r="O4371">
        <v>58.81</v>
      </c>
      <c r="P4371">
        <v>48</v>
      </c>
    </row>
    <row r="4372" spans="1:16" x14ac:dyDescent="0.3">
      <c r="A4372">
        <v>5917</v>
      </c>
      <c r="B4372">
        <v>116</v>
      </c>
      <c r="C4372" t="s">
        <v>568</v>
      </c>
      <c r="D4372" s="453">
        <v>45597</v>
      </c>
      <c r="E4372">
        <v>24227</v>
      </c>
      <c r="F4372" t="s">
        <v>3970</v>
      </c>
      <c r="G4372">
        <v>3648</v>
      </c>
      <c r="H4372">
        <v>7</v>
      </c>
      <c r="I4372" t="s">
        <v>3872</v>
      </c>
      <c r="J4372" t="s">
        <v>3497</v>
      </c>
      <c r="K4372" t="s">
        <v>3772</v>
      </c>
      <c r="L4372">
        <v>0</v>
      </c>
      <c r="M4372" s="453">
        <v>-693593</v>
      </c>
      <c r="N4372">
        <v>0</v>
      </c>
      <c r="O4372">
        <v>6.82</v>
      </c>
      <c r="P4372">
        <v>47.74</v>
      </c>
    </row>
    <row r="4373" spans="1:16" x14ac:dyDescent="0.3">
      <c r="A4373">
        <v>5787</v>
      </c>
      <c r="B4373">
        <v>116</v>
      </c>
      <c r="C4373" t="s">
        <v>568</v>
      </c>
      <c r="D4373" s="453">
        <v>45597</v>
      </c>
      <c r="E4373">
        <v>18172</v>
      </c>
      <c r="F4373" t="s">
        <v>3923</v>
      </c>
      <c r="G4373">
        <v>3450</v>
      </c>
      <c r="H4373">
        <v>1.5</v>
      </c>
      <c r="I4373" t="s">
        <v>3878</v>
      </c>
      <c r="J4373" t="s">
        <v>3497</v>
      </c>
      <c r="K4373" t="s">
        <v>3772</v>
      </c>
      <c r="L4373">
        <v>30.86</v>
      </c>
      <c r="M4373" s="453">
        <v>45594</v>
      </c>
      <c r="N4373">
        <v>29.9</v>
      </c>
      <c r="O4373">
        <v>33.57</v>
      </c>
      <c r="P4373">
        <v>46.29</v>
      </c>
    </row>
    <row r="4374" spans="1:16" x14ac:dyDescent="0.3">
      <c r="A4374">
        <v>6708</v>
      </c>
      <c r="B4374">
        <v>116</v>
      </c>
      <c r="C4374" t="s">
        <v>568</v>
      </c>
      <c r="D4374" s="453">
        <v>45597</v>
      </c>
      <c r="E4374">
        <v>19986</v>
      </c>
      <c r="F4374" t="s">
        <v>4484</v>
      </c>
      <c r="G4374">
        <v>2351</v>
      </c>
      <c r="H4374">
        <v>2</v>
      </c>
      <c r="I4374" t="s">
        <v>3931</v>
      </c>
      <c r="J4374" t="s">
        <v>3469</v>
      </c>
      <c r="K4374" t="s">
        <v>3772</v>
      </c>
      <c r="L4374">
        <v>22.95</v>
      </c>
      <c r="M4374" s="453">
        <v>45594</v>
      </c>
      <c r="N4374">
        <v>22.95</v>
      </c>
      <c r="O4374">
        <v>22.95</v>
      </c>
      <c r="P4374">
        <v>45.9</v>
      </c>
    </row>
    <row r="4375" spans="1:16" x14ac:dyDescent="0.3">
      <c r="A4375">
        <v>5793</v>
      </c>
      <c r="B4375">
        <v>116</v>
      </c>
      <c r="C4375" t="s">
        <v>568</v>
      </c>
      <c r="D4375" s="453">
        <v>45597</v>
      </c>
      <c r="E4375">
        <v>21085</v>
      </c>
      <c r="F4375" t="s">
        <v>4114</v>
      </c>
      <c r="G4375">
        <v>1989</v>
      </c>
      <c r="H4375">
        <v>1</v>
      </c>
      <c r="I4375" t="s">
        <v>3881</v>
      </c>
      <c r="J4375" t="s">
        <v>3469</v>
      </c>
      <c r="K4375" t="s">
        <v>3772</v>
      </c>
      <c r="L4375">
        <v>0</v>
      </c>
      <c r="M4375" s="453">
        <v>45524</v>
      </c>
      <c r="N4375">
        <v>44.8</v>
      </c>
      <c r="O4375">
        <v>18.87</v>
      </c>
      <c r="P4375">
        <v>44.8</v>
      </c>
    </row>
    <row r="4376" spans="1:16" x14ac:dyDescent="0.3">
      <c r="A4376">
        <v>5842</v>
      </c>
      <c r="B4376">
        <v>116</v>
      </c>
      <c r="C4376" t="s">
        <v>568</v>
      </c>
      <c r="D4376" s="453">
        <v>45597</v>
      </c>
      <c r="E4376">
        <v>20607</v>
      </c>
      <c r="F4376" t="s">
        <v>4537</v>
      </c>
      <c r="G4376">
        <v>2120</v>
      </c>
      <c r="H4376">
        <v>1</v>
      </c>
      <c r="I4376" t="s">
        <v>3884</v>
      </c>
      <c r="J4376" t="s">
        <v>3469</v>
      </c>
      <c r="K4376" t="s">
        <v>3772</v>
      </c>
      <c r="L4376">
        <v>0</v>
      </c>
      <c r="M4376" s="453">
        <v>-693593</v>
      </c>
      <c r="N4376">
        <v>0</v>
      </c>
      <c r="O4376">
        <v>44.5</v>
      </c>
      <c r="P4376">
        <v>44.5</v>
      </c>
    </row>
    <row r="4377" spans="1:16" x14ac:dyDescent="0.3">
      <c r="A4377">
        <v>5844</v>
      </c>
      <c r="B4377">
        <v>116</v>
      </c>
      <c r="C4377" t="s">
        <v>568</v>
      </c>
      <c r="D4377" s="453">
        <v>45597</v>
      </c>
      <c r="E4377">
        <v>20954</v>
      </c>
      <c r="F4377" t="s">
        <v>4452</v>
      </c>
      <c r="G4377">
        <v>2021</v>
      </c>
      <c r="H4377">
        <v>1</v>
      </c>
      <c r="I4377" t="s">
        <v>3878</v>
      </c>
      <c r="J4377" t="s">
        <v>3469</v>
      </c>
      <c r="K4377" t="s">
        <v>3772</v>
      </c>
      <c r="L4377">
        <v>0</v>
      </c>
      <c r="M4377" s="453">
        <v>-693593</v>
      </c>
      <c r="N4377">
        <v>0</v>
      </c>
      <c r="O4377">
        <v>43.99</v>
      </c>
      <c r="P4377">
        <v>43.99</v>
      </c>
    </row>
    <row r="4378" spans="1:16" x14ac:dyDescent="0.3">
      <c r="A4378">
        <v>6699</v>
      </c>
      <c r="B4378">
        <v>116</v>
      </c>
      <c r="C4378" t="s">
        <v>568</v>
      </c>
      <c r="D4378" s="453">
        <v>45597</v>
      </c>
      <c r="E4378">
        <v>17942</v>
      </c>
      <c r="F4378" t="s">
        <v>4035</v>
      </c>
      <c r="G4378">
        <v>3630</v>
      </c>
      <c r="H4378">
        <v>3</v>
      </c>
      <c r="I4378" t="s">
        <v>3872</v>
      </c>
      <c r="J4378" t="s">
        <v>3497</v>
      </c>
      <c r="K4378" t="s">
        <v>3772</v>
      </c>
      <c r="L4378">
        <v>13</v>
      </c>
      <c r="M4378" s="453">
        <v>45567</v>
      </c>
      <c r="N4378">
        <v>13</v>
      </c>
      <c r="O4378">
        <v>13</v>
      </c>
      <c r="P4378">
        <v>39</v>
      </c>
    </row>
    <row r="4379" spans="1:16" x14ac:dyDescent="0.3">
      <c r="A4379">
        <v>5792</v>
      </c>
      <c r="B4379">
        <v>116</v>
      </c>
      <c r="C4379" t="s">
        <v>568</v>
      </c>
      <c r="D4379" s="453">
        <v>45597</v>
      </c>
      <c r="E4379">
        <v>21093</v>
      </c>
      <c r="F4379" t="s">
        <v>3903</v>
      </c>
      <c r="G4379">
        <v>1988</v>
      </c>
      <c r="H4379">
        <v>8</v>
      </c>
      <c r="I4379" t="s">
        <v>3892</v>
      </c>
      <c r="J4379" t="s">
        <v>3469</v>
      </c>
      <c r="K4379" t="s">
        <v>3772</v>
      </c>
      <c r="L4379">
        <v>4.71</v>
      </c>
      <c r="M4379" s="453">
        <v>45586</v>
      </c>
      <c r="N4379">
        <v>4.75</v>
      </c>
      <c r="O4379">
        <v>4.75</v>
      </c>
      <c r="P4379">
        <v>37.68</v>
      </c>
    </row>
    <row r="4380" spans="1:16" x14ac:dyDescent="0.3">
      <c r="A4380">
        <v>5807</v>
      </c>
      <c r="B4380">
        <v>116</v>
      </c>
      <c r="C4380" t="s">
        <v>568</v>
      </c>
      <c r="D4380" s="453">
        <v>45597</v>
      </c>
      <c r="E4380">
        <v>20359</v>
      </c>
      <c r="F4380" t="s">
        <v>3917</v>
      </c>
      <c r="G4380">
        <v>2199</v>
      </c>
      <c r="H4380">
        <v>8.5</v>
      </c>
      <c r="I4380" t="s">
        <v>3872</v>
      </c>
      <c r="J4380" t="s">
        <v>3469</v>
      </c>
      <c r="K4380" t="s">
        <v>3772</v>
      </c>
      <c r="L4380">
        <v>0</v>
      </c>
      <c r="M4380" s="453">
        <v>45559</v>
      </c>
      <c r="N4380">
        <v>4.3499999999999996</v>
      </c>
      <c r="O4380">
        <v>4.32</v>
      </c>
      <c r="P4380">
        <v>36.97</v>
      </c>
    </row>
    <row r="4381" spans="1:16" x14ac:dyDescent="0.3">
      <c r="A4381">
        <v>5849</v>
      </c>
      <c r="B4381">
        <v>116</v>
      </c>
      <c r="C4381" t="s">
        <v>568</v>
      </c>
      <c r="D4381" s="453">
        <v>45597</v>
      </c>
      <c r="E4381">
        <v>19649</v>
      </c>
      <c r="F4381" t="s">
        <v>4015</v>
      </c>
      <c r="G4381">
        <v>2589</v>
      </c>
      <c r="H4381">
        <v>1.5</v>
      </c>
      <c r="I4381" t="s">
        <v>3892</v>
      </c>
      <c r="J4381" t="s">
        <v>3469</v>
      </c>
      <c r="K4381" t="s">
        <v>3772</v>
      </c>
      <c r="L4381">
        <v>24.65</v>
      </c>
      <c r="M4381" s="453">
        <v>45596</v>
      </c>
      <c r="N4381">
        <v>25</v>
      </c>
      <c r="O4381">
        <v>24.79</v>
      </c>
      <c r="P4381">
        <v>36.97</v>
      </c>
    </row>
    <row r="4382" spans="1:16" x14ac:dyDescent="0.3">
      <c r="A4382">
        <v>6713</v>
      </c>
      <c r="B4382">
        <v>116</v>
      </c>
      <c r="C4382" t="s">
        <v>568</v>
      </c>
      <c r="D4382" s="453">
        <v>45597</v>
      </c>
      <c r="E4382">
        <v>19578</v>
      </c>
      <c r="F4382" t="s">
        <v>3985</v>
      </c>
      <c r="G4382">
        <v>2640</v>
      </c>
      <c r="H4382">
        <v>1</v>
      </c>
      <c r="I4382" t="s">
        <v>3892</v>
      </c>
      <c r="J4382" t="s">
        <v>3469</v>
      </c>
      <c r="K4382" t="s">
        <v>3772</v>
      </c>
      <c r="L4382">
        <v>0</v>
      </c>
      <c r="M4382" s="453">
        <v>45512</v>
      </c>
      <c r="N4382">
        <v>36</v>
      </c>
      <c r="O4382">
        <v>36</v>
      </c>
      <c r="P4382">
        <v>36</v>
      </c>
    </row>
    <row r="4383" spans="1:16" x14ac:dyDescent="0.3">
      <c r="A4383">
        <v>5811</v>
      </c>
      <c r="B4383">
        <v>116</v>
      </c>
      <c r="C4383" t="s">
        <v>568</v>
      </c>
      <c r="D4383" s="453">
        <v>45597</v>
      </c>
      <c r="E4383">
        <v>20231</v>
      </c>
      <c r="F4383" t="s">
        <v>4123</v>
      </c>
      <c r="G4383">
        <v>2247</v>
      </c>
      <c r="H4383">
        <v>2</v>
      </c>
      <c r="I4383" t="s">
        <v>3888</v>
      </c>
      <c r="J4383" t="s">
        <v>3469</v>
      </c>
      <c r="K4383" t="s">
        <v>3772</v>
      </c>
      <c r="L4383">
        <v>0</v>
      </c>
      <c r="M4383" s="453">
        <v>45545</v>
      </c>
      <c r="N4383">
        <v>17.7</v>
      </c>
      <c r="O4383">
        <v>18.88</v>
      </c>
      <c r="P4383">
        <v>35.4</v>
      </c>
    </row>
    <row r="4384" spans="1:16" x14ac:dyDescent="0.3">
      <c r="A4384">
        <v>5827</v>
      </c>
      <c r="B4384">
        <v>116</v>
      </c>
      <c r="C4384" t="s">
        <v>568</v>
      </c>
      <c r="D4384" s="453">
        <v>45597</v>
      </c>
      <c r="E4384">
        <v>19973</v>
      </c>
      <c r="F4384" t="s">
        <v>3981</v>
      </c>
      <c r="G4384">
        <v>2354</v>
      </c>
      <c r="H4384">
        <v>2</v>
      </c>
      <c r="I4384" t="s">
        <v>3872</v>
      </c>
      <c r="J4384" t="s">
        <v>3469</v>
      </c>
      <c r="K4384" t="s">
        <v>3772</v>
      </c>
      <c r="L4384">
        <v>0</v>
      </c>
      <c r="M4384" s="453">
        <v>45545</v>
      </c>
      <c r="N4384">
        <v>17.489999999999998</v>
      </c>
      <c r="O4384">
        <v>16.8</v>
      </c>
      <c r="P4384">
        <v>34.979999999999997</v>
      </c>
    </row>
    <row r="4385" spans="1:16" x14ac:dyDescent="0.3">
      <c r="A4385">
        <v>5826</v>
      </c>
      <c r="B4385">
        <v>116</v>
      </c>
      <c r="C4385" t="s">
        <v>568</v>
      </c>
      <c r="D4385" s="453">
        <v>45597</v>
      </c>
      <c r="E4385">
        <v>19983</v>
      </c>
      <c r="F4385" t="s">
        <v>4548</v>
      </c>
      <c r="G4385">
        <v>2351</v>
      </c>
      <c r="H4385">
        <v>5</v>
      </c>
      <c r="I4385" t="s">
        <v>3931</v>
      </c>
      <c r="J4385" t="s">
        <v>3469</v>
      </c>
      <c r="K4385" t="s">
        <v>3772</v>
      </c>
      <c r="L4385">
        <v>0</v>
      </c>
      <c r="M4385" s="453">
        <v>45533</v>
      </c>
      <c r="N4385">
        <v>6.93</v>
      </c>
      <c r="O4385">
        <v>7.9</v>
      </c>
      <c r="P4385">
        <v>34.65</v>
      </c>
    </row>
    <row r="4386" spans="1:16" x14ac:dyDescent="0.3">
      <c r="A4386">
        <v>5830</v>
      </c>
      <c r="B4386">
        <v>116</v>
      </c>
      <c r="C4386" t="s">
        <v>568</v>
      </c>
      <c r="D4386" s="453">
        <v>45597</v>
      </c>
      <c r="E4386">
        <v>19941</v>
      </c>
      <c r="F4386" t="s">
        <v>4505</v>
      </c>
      <c r="G4386">
        <v>2363</v>
      </c>
      <c r="H4386">
        <v>8</v>
      </c>
      <c r="I4386" t="s">
        <v>3872</v>
      </c>
      <c r="J4386" t="s">
        <v>3469</v>
      </c>
      <c r="K4386" t="s">
        <v>3772</v>
      </c>
      <c r="L4386">
        <v>0</v>
      </c>
      <c r="M4386" s="453">
        <v>45523</v>
      </c>
      <c r="N4386">
        <v>4.3</v>
      </c>
      <c r="O4386">
        <v>15.2</v>
      </c>
      <c r="P4386">
        <v>34.4</v>
      </c>
    </row>
    <row r="4387" spans="1:16" x14ac:dyDescent="0.3">
      <c r="A4387">
        <v>5815</v>
      </c>
      <c r="B4387">
        <v>116</v>
      </c>
      <c r="C4387" t="s">
        <v>568</v>
      </c>
      <c r="D4387" s="453">
        <v>45597</v>
      </c>
      <c r="E4387">
        <v>20661</v>
      </c>
      <c r="F4387" t="s">
        <v>3919</v>
      </c>
      <c r="G4387">
        <v>2110</v>
      </c>
      <c r="H4387">
        <v>4</v>
      </c>
      <c r="I4387" t="s">
        <v>3872</v>
      </c>
      <c r="J4387" t="s">
        <v>3469</v>
      </c>
      <c r="K4387" t="s">
        <v>3772</v>
      </c>
      <c r="L4387">
        <v>8.4700000000000006</v>
      </c>
      <c r="M4387" s="453">
        <v>45590</v>
      </c>
      <c r="N4387">
        <v>8.49</v>
      </c>
      <c r="O4387">
        <v>8.51</v>
      </c>
      <c r="P4387">
        <v>33.880000000000003</v>
      </c>
    </row>
    <row r="4388" spans="1:16" x14ac:dyDescent="0.3">
      <c r="A4388">
        <v>5923</v>
      </c>
      <c r="B4388">
        <v>116</v>
      </c>
      <c r="C4388" t="s">
        <v>568</v>
      </c>
      <c r="D4388" s="453">
        <v>45597</v>
      </c>
      <c r="E4388">
        <v>24467</v>
      </c>
      <c r="F4388" t="s">
        <v>3944</v>
      </c>
      <c r="G4388">
        <v>3673</v>
      </c>
      <c r="H4388">
        <v>17</v>
      </c>
      <c r="I4388" t="s">
        <v>3872</v>
      </c>
      <c r="J4388" t="s">
        <v>3497</v>
      </c>
      <c r="K4388" t="s">
        <v>3772</v>
      </c>
      <c r="L4388">
        <v>0</v>
      </c>
      <c r="M4388" s="453">
        <v>45510</v>
      </c>
      <c r="N4388">
        <v>1.99</v>
      </c>
      <c r="O4388">
        <v>2.19</v>
      </c>
      <c r="P4388">
        <v>33.83</v>
      </c>
    </row>
    <row r="4389" spans="1:16" x14ac:dyDescent="0.3">
      <c r="A4389">
        <v>5822</v>
      </c>
      <c r="B4389">
        <v>116</v>
      </c>
      <c r="C4389" t="s">
        <v>568</v>
      </c>
      <c r="D4389" s="453">
        <v>45597</v>
      </c>
      <c r="E4389">
        <v>20832</v>
      </c>
      <c r="F4389" t="s">
        <v>4060</v>
      </c>
      <c r="G4389">
        <v>2065</v>
      </c>
      <c r="H4389">
        <v>1</v>
      </c>
      <c r="I4389" t="s">
        <v>3886</v>
      </c>
      <c r="J4389" t="s">
        <v>3469</v>
      </c>
      <c r="K4389" t="s">
        <v>3772</v>
      </c>
      <c r="L4389">
        <v>0</v>
      </c>
      <c r="M4389" s="453">
        <v>45496</v>
      </c>
      <c r="N4389">
        <v>32.9</v>
      </c>
      <c r="O4389">
        <v>32.9</v>
      </c>
      <c r="P4389">
        <v>32.9</v>
      </c>
    </row>
    <row r="4390" spans="1:16" x14ac:dyDescent="0.3">
      <c r="A4390">
        <v>6716</v>
      </c>
      <c r="B4390">
        <v>116</v>
      </c>
      <c r="C4390" t="s">
        <v>568</v>
      </c>
      <c r="D4390" s="453">
        <v>45597</v>
      </c>
      <c r="E4390">
        <v>25767</v>
      </c>
      <c r="F4390" t="s">
        <v>3976</v>
      </c>
      <c r="G4390">
        <v>6316</v>
      </c>
      <c r="H4390">
        <v>0.5</v>
      </c>
      <c r="I4390" t="s">
        <v>3892</v>
      </c>
      <c r="J4390" t="s">
        <v>3469</v>
      </c>
      <c r="K4390" t="s">
        <v>3772</v>
      </c>
      <c r="L4390">
        <v>0</v>
      </c>
      <c r="M4390" s="453">
        <v>-693593</v>
      </c>
      <c r="N4390">
        <v>0</v>
      </c>
      <c r="O4390">
        <v>0</v>
      </c>
      <c r="P4390">
        <v>32.5</v>
      </c>
    </row>
    <row r="4391" spans="1:16" x14ac:dyDescent="0.3">
      <c r="A4391">
        <v>6694</v>
      </c>
      <c r="B4391">
        <v>116</v>
      </c>
      <c r="C4391" t="s">
        <v>568</v>
      </c>
      <c r="D4391" s="453">
        <v>45597</v>
      </c>
      <c r="E4391">
        <v>24230</v>
      </c>
      <c r="F4391" t="s">
        <v>4018</v>
      </c>
      <c r="G4391">
        <v>2622</v>
      </c>
      <c r="H4391">
        <v>1.5</v>
      </c>
      <c r="I4391" t="s">
        <v>3892</v>
      </c>
      <c r="J4391" t="s">
        <v>3469</v>
      </c>
      <c r="K4391" t="s">
        <v>3772</v>
      </c>
      <c r="L4391">
        <v>0</v>
      </c>
      <c r="M4391" s="453">
        <v>45530</v>
      </c>
      <c r="N4391">
        <v>21.5</v>
      </c>
      <c r="O4391">
        <v>21.5</v>
      </c>
      <c r="P4391">
        <v>32.25</v>
      </c>
    </row>
    <row r="4392" spans="1:16" x14ac:dyDescent="0.3">
      <c r="A4392">
        <v>5870</v>
      </c>
      <c r="B4392">
        <v>116</v>
      </c>
      <c r="C4392" t="s">
        <v>568</v>
      </c>
      <c r="D4392" s="453">
        <v>45597</v>
      </c>
      <c r="E4392">
        <v>19740</v>
      </c>
      <c r="F4392" t="s">
        <v>3933</v>
      </c>
      <c r="G4392">
        <v>2513</v>
      </c>
      <c r="H4392">
        <v>3.5</v>
      </c>
      <c r="I4392" t="s">
        <v>3892</v>
      </c>
      <c r="J4392" t="s">
        <v>3469</v>
      </c>
      <c r="K4392" t="s">
        <v>3772</v>
      </c>
      <c r="L4392">
        <v>8.8800000000000008</v>
      </c>
      <c r="M4392" s="453">
        <v>45596</v>
      </c>
      <c r="N4392">
        <v>7.5</v>
      </c>
      <c r="O4392">
        <v>7.64</v>
      </c>
      <c r="P4392">
        <v>31.08</v>
      </c>
    </row>
    <row r="4393" spans="1:16" x14ac:dyDescent="0.3">
      <c r="A4393">
        <v>6714</v>
      </c>
      <c r="B4393">
        <v>116</v>
      </c>
      <c r="C4393" t="s">
        <v>568</v>
      </c>
      <c r="D4393" s="453">
        <v>45597</v>
      </c>
      <c r="E4393">
        <v>19579</v>
      </c>
      <c r="F4393" t="s">
        <v>4020</v>
      </c>
      <c r="G4393">
        <v>2640</v>
      </c>
      <c r="H4393">
        <v>1</v>
      </c>
      <c r="I4393" t="s">
        <v>3892</v>
      </c>
      <c r="J4393" t="s">
        <v>3469</v>
      </c>
      <c r="K4393" t="s">
        <v>3772</v>
      </c>
      <c r="L4393">
        <v>0</v>
      </c>
      <c r="M4393" s="453">
        <v>45512</v>
      </c>
      <c r="N4393">
        <v>31</v>
      </c>
      <c r="O4393">
        <v>31</v>
      </c>
      <c r="P4393">
        <v>31</v>
      </c>
    </row>
    <row r="4394" spans="1:16" x14ac:dyDescent="0.3">
      <c r="A4394">
        <v>5824</v>
      </c>
      <c r="B4394">
        <v>116</v>
      </c>
      <c r="C4394" t="s">
        <v>568</v>
      </c>
      <c r="D4394" s="453">
        <v>45597</v>
      </c>
      <c r="E4394">
        <v>19979</v>
      </c>
      <c r="F4394" t="s">
        <v>4295</v>
      </c>
      <c r="G4394">
        <v>2353</v>
      </c>
      <c r="H4394">
        <v>2</v>
      </c>
      <c r="I4394" t="s">
        <v>3931</v>
      </c>
      <c r="J4394" t="s">
        <v>3469</v>
      </c>
      <c r="K4394" t="s">
        <v>3772</v>
      </c>
      <c r="L4394">
        <v>15.15</v>
      </c>
      <c r="M4394" s="453">
        <v>45594</v>
      </c>
      <c r="N4394">
        <v>15.15</v>
      </c>
      <c r="O4394">
        <v>15.15</v>
      </c>
      <c r="P4394">
        <v>30.3</v>
      </c>
    </row>
    <row r="4395" spans="1:16" x14ac:dyDescent="0.3">
      <c r="A4395">
        <v>5794</v>
      </c>
      <c r="B4395">
        <v>116</v>
      </c>
      <c r="C4395" t="s">
        <v>568</v>
      </c>
      <c r="D4395" s="453">
        <v>45597</v>
      </c>
      <c r="E4395">
        <v>21078</v>
      </c>
      <c r="F4395" t="s">
        <v>4049</v>
      </c>
      <c r="G4395">
        <v>1991</v>
      </c>
      <c r="H4395">
        <v>1</v>
      </c>
      <c r="I4395" t="s">
        <v>3881</v>
      </c>
      <c r="J4395" t="s">
        <v>3469</v>
      </c>
      <c r="K4395" t="s">
        <v>3772</v>
      </c>
      <c r="L4395">
        <v>0</v>
      </c>
      <c r="M4395" s="453">
        <v>-693593</v>
      </c>
      <c r="N4395">
        <v>0</v>
      </c>
      <c r="O4395">
        <v>29.9</v>
      </c>
      <c r="P4395">
        <v>29.9</v>
      </c>
    </row>
    <row r="4396" spans="1:16" x14ac:dyDescent="0.3">
      <c r="A4396">
        <v>5853</v>
      </c>
      <c r="B4396">
        <v>116</v>
      </c>
      <c r="C4396" t="s">
        <v>568</v>
      </c>
      <c r="D4396" s="453">
        <v>45597</v>
      </c>
      <c r="E4396">
        <v>19639</v>
      </c>
      <c r="F4396" t="s">
        <v>4494</v>
      </c>
      <c r="G4396">
        <v>2597</v>
      </c>
      <c r="H4396">
        <v>5.2</v>
      </c>
      <c r="I4396" t="s">
        <v>3892</v>
      </c>
      <c r="J4396" t="s">
        <v>3469</v>
      </c>
      <c r="K4396" t="s">
        <v>3772</v>
      </c>
      <c r="L4396">
        <v>5.72</v>
      </c>
      <c r="M4396" s="453">
        <v>45596</v>
      </c>
      <c r="N4396">
        <v>5.2</v>
      </c>
      <c r="O4396">
        <v>4.68</v>
      </c>
      <c r="P4396">
        <v>29.74</v>
      </c>
    </row>
    <row r="4397" spans="1:16" x14ac:dyDescent="0.3">
      <c r="A4397">
        <v>5859</v>
      </c>
      <c r="B4397">
        <v>116</v>
      </c>
      <c r="C4397" t="s">
        <v>568</v>
      </c>
      <c r="D4397" s="453">
        <v>45597</v>
      </c>
      <c r="E4397">
        <v>19486</v>
      </c>
      <c r="F4397" t="s">
        <v>4472</v>
      </c>
      <c r="G4397">
        <v>7790</v>
      </c>
      <c r="H4397">
        <v>0.8</v>
      </c>
      <c r="I4397" t="s">
        <v>3966</v>
      </c>
      <c r="J4397" t="s">
        <v>3469</v>
      </c>
      <c r="K4397" t="s">
        <v>3772</v>
      </c>
      <c r="L4397">
        <v>0</v>
      </c>
      <c r="M4397" s="453">
        <v>45560</v>
      </c>
      <c r="N4397">
        <v>36.5</v>
      </c>
      <c r="O4397">
        <v>36.5</v>
      </c>
      <c r="P4397">
        <v>29.2</v>
      </c>
    </row>
    <row r="4398" spans="1:16" x14ac:dyDescent="0.3">
      <c r="A4398">
        <v>5791</v>
      </c>
      <c r="B4398">
        <v>116</v>
      </c>
      <c r="C4398" t="s">
        <v>568</v>
      </c>
      <c r="D4398" s="453">
        <v>45597</v>
      </c>
      <c r="E4398">
        <v>21062</v>
      </c>
      <c r="F4398" t="s">
        <v>4481</v>
      </c>
      <c r="G4398">
        <v>1997</v>
      </c>
      <c r="H4398">
        <v>2</v>
      </c>
      <c r="I4398" t="s">
        <v>3878</v>
      </c>
      <c r="J4398" t="s">
        <v>3469</v>
      </c>
      <c r="K4398" t="s">
        <v>3772</v>
      </c>
      <c r="L4398">
        <v>0</v>
      </c>
      <c r="M4398" s="453">
        <v>-693593</v>
      </c>
      <c r="N4398">
        <v>0</v>
      </c>
      <c r="O4398">
        <v>14.59</v>
      </c>
      <c r="P4398">
        <v>29.18</v>
      </c>
    </row>
    <row r="4399" spans="1:16" x14ac:dyDescent="0.3">
      <c r="A4399">
        <v>5843</v>
      </c>
      <c r="B4399">
        <v>116</v>
      </c>
      <c r="C4399" t="s">
        <v>568</v>
      </c>
      <c r="D4399" s="453">
        <v>45597</v>
      </c>
      <c r="E4399">
        <v>20949</v>
      </c>
      <c r="F4399" t="s">
        <v>3983</v>
      </c>
      <c r="G4399">
        <v>2023</v>
      </c>
      <c r="H4399">
        <v>4</v>
      </c>
      <c r="I4399" t="s">
        <v>3878</v>
      </c>
      <c r="J4399" t="s">
        <v>3469</v>
      </c>
      <c r="K4399" t="s">
        <v>3772</v>
      </c>
      <c r="L4399">
        <v>0</v>
      </c>
      <c r="M4399" s="453">
        <v>45516</v>
      </c>
      <c r="N4399">
        <v>6.77</v>
      </c>
      <c r="O4399">
        <v>6.45</v>
      </c>
      <c r="P4399">
        <v>27.08</v>
      </c>
    </row>
    <row r="4400" spans="1:16" x14ac:dyDescent="0.3">
      <c r="A4400">
        <v>5906</v>
      </c>
      <c r="B4400">
        <v>116</v>
      </c>
      <c r="C4400" t="s">
        <v>568</v>
      </c>
      <c r="D4400" s="453">
        <v>45597</v>
      </c>
      <c r="E4400">
        <v>24403</v>
      </c>
      <c r="F4400" t="s">
        <v>3992</v>
      </c>
      <c r="G4400">
        <v>3049</v>
      </c>
      <c r="H4400">
        <v>2.2000000000000002</v>
      </c>
      <c r="I4400" t="s">
        <v>3892</v>
      </c>
      <c r="J4400" t="s">
        <v>3469</v>
      </c>
      <c r="K4400" t="s">
        <v>3772</v>
      </c>
      <c r="L4400">
        <v>0</v>
      </c>
      <c r="M4400" s="453">
        <v>45538</v>
      </c>
      <c r="N4400">
        <v>12</v>
      </c>
      <c r="O4400">
        <v>12</v>
      </c>
      <c r="P4400">
        <v>26.4</v>
      </c>
    </row>
    <row r="4401" spans="1:16" x14ac:dyDescent="0.3">
      <c r="A4401">
        <v>5918</v>
      </c>
      <c r="B4401">
        <v>116</v>
      </c>
      <c r="C4401" t="s">
        <v>568</v>
      </c>
      <c r="D4401" s="453">
        <v>45597</v>
      </c>
      <c r="E4401">
        <v>17905</v>
      </c>
      <c r="F4401" t="s">
        <v>4139</v>
      </c>
      <c r="G4401">
        <v>3656</v>
      </c>
      <c r="H4401">
        <v>1</v>
      </c>
      <c r="I4401" t="s">
        <v>3888</v>
      </c>
      <c r="J4401" t="s">
        <v>3497</v>
      </c>
      <c r="K4401" t="s">
        <v>3772</v>
      </c>
      <c r="L4401">
        <v>0</v>
      </c>
      <c r="M4401" s="453">
        <v>-693593</v>
      </c>
      <c r="N4401">
        <v>0</v>
      </c>
      <c r="O4401">
        <v>26.28</v>
      </c>
      <c r="P4401">
        <v>26.28</v>
      </c>
    </row>
    <row r="4402" spans="1:16" x14ac:dyDescent="0.3">
      <c r="A4402">
        <v>5868</v>
      </c>
      <c r="B4402">
        <v>116</v>
      </c>
      <c r="C4402" t="s">
        <v>568</v>
      </c>
      <c r="D4402" s="453">
        <v>45597</v>
      </c>
      <c r="E4402">
        <v>19478</v>
      </c>
      <c r="F4402" t="s">
        <v>4072</v>
      </c>
      <c r="G4402">
        <v>2728</v>
      </c>
      <c r="H4402">
        <v>1</v>
      </c>
      <c r="I4402" t="s">
        <v>3892</v>
      </c>
      <c r="J4402" t="s">
        <v>3469</v>
      </c>
      <c r="K4402" t="s">
        <v>3772</v>
      </c>
      <c r="L4402">
        <v>0</v>
      </c>
      <c r="M4402" s="453">
        <v>45478</v>
      </c>
      <c r="N4402">
        <v>26</v>
      </c>
      <c r="O4402">
        <v>54.25</v>
      </c>
      <c r="P4402">
        <v>26</v>
      </c>
    </row>
    <row r="4403" spans="1:16" x14ac:dyDescent="0.3">
      <c r="A4403">
        <v>5845</v>
      </c>
      <c r="B4403">
        <v>116</v>
      </c>
      <c r="C4403" t="s">
        <v>568</v>
      </c>
      <c r="D4403" s="453">
        <v>45597</v>
      </c>
      <c r="E4403">
        <v>19787</v>
      </c>
      <c r="F4403" t="s">
        <v>3940</v>
      </c>
      <c r="G4403">
        <v>2471</v>
      </c>
      <c r="H4403">
        <v>4.5</v>
      </c>
      <c r="I4403" t="s">
        <v>3892</v>
      </c>
      <c r="J4403" t="s">
        <v>3469</v>
      </c>
      <c r="K4403" t="s">
        <v>3772</v>
      </c>
      <c r="L4403">
        <v>5.67</v>
      </c>
      <c r="M4403" s="453">
        <v>45596</v>
      </c>
      <c r="N4403">
        <v>5.9</v>
      </c>
      <c r="O4403">
        <v>4.93</v>
      </c>
      <c r="P4403">
        <v>25.52</v>
      </c>
    </row>
    <row r="4404" spans="1:16" x14ac:dyDescent="0.3">
      <c r="A4404">
        <v>5848</v>
      </c>
      <c r="B4404">
        <v>116</v>
      </c>
      <c r="C4404" t="s">
        <v>568</v>
      </c>
      <c r="D4404" s="453">
        <v>45597</v>
      </c>
      <c r="E4404">
        <v>19652</v>
      </c>
      <c r="F4404" t="s">
        <v>4014</v>
      </c>
      <c r="G4404">
        <v>2587</v>
      </c>
      <c r="H4404">
        <v>0.8</v>
      </c>
      <c r="I4404" t="s">
        <v>3892</v>
      </c>
      <c r="J4404" t="s">
        <v>3469</v>
      </c>
      <c r="K4404" t="s">
        <v>3772</v>
      </c>
      <c r="L4404">
        <v>30.92</v>
      </c>
      <c r="M4404" s="453">
        <v>45596</v>
      </c>
      <c r="N4404">
        <v>30</v>
      </c>
      <c r="O4404">
        <v>30</v>
      </c>
      <c r="P4404">
        <v>24.74</v>
      </c>
    </row>
    <row r="4405" spans="1:16" x14ac:dyDescent="0.3">
      <c r="A4405">
        <v>6711</v>
      </c>
      <c r="B4405">
        <v>116</v>
      </c>
      <c r="C4405" t="s">
        <v>568</v>
      </c>
      <c r="D4405" s="453">
        <v>45597</v>
      </c>
      <c r="E4405">
        <v>20996</v>
      </c>
      <c r="F4405" t="s">
        <v>4555</v>
      </c>
      <c r="G4405">
        <v>2009</v>
      </c>
      <c r="H4405">
        <v>2</v>
      </c>
      <c r="I4405" t="s">
        <v>3931</v>
      </c>
      <c r="J4405" t="s">
        <v>3469</v>
      </c>
      <c r="K4405" t="s">
        <v>3772</v>
      </c>
      <c r="L4405">
        <v>0</v>
      </c>
      <c r="M4405" s="453">
        <v>-693593</v>
      </c>
      <c r="N4405">
        <v>0</v>
      </c>
      <c r="O4405">
        <v>12.02</v>
      </c>
      <c r="P4405">
        <v>24.04</v>
      </c>
    </row>
    <row r="4406" spans="1:16" x14ac:dyDescent="0.3">
      <c r="A4406">
        <v>5841</v>
      </c>
      <c r="B4406">
        <v>116</v>
      </c>
      <c r="C4406" t="s">
        <v>568</v>
      </c>
      <c r="D4406" s="453">
        <v>45597</v>
      </c>
      <c r="E4406">
        <v>19902</v>
      </c>
      <c r="F4406" t="s">
        <v>3909</v>
      </c>
      <c r="G4406">
        <v>2382</v>
      </c>
      <c r="H4406">
        <v>1</v>
      </c>
      <c r="I4406" t="s">
        <v>3881</v>
      </c>
      <c r="J4406" t="s">
        <v>3469</v>
      </c>
      <c r="K4406" t="s">
        <v>3772</v>
      </c>
      <c r="L4406">
        <v>0</v>
      </c>
      <c r="M4406" s="453">
        <v>45560</v>
      </c>
      <c r="N4406">
        <v>23.8</v>
      </c>
      <c r="O4406">
        <v>23.38</v>
      </c>
      <c r="P4406">
        <v>23.8</v>
      </c>
    </row>
    <row r="4407" spans="1:16" x14ac:dyDescent="0.3">
      <c r="A4407">
        <v>5825</v>
      </c>
      <c r="B4407">
        <v>116</v>
      </c>
      <c r="C4407" t="s">
        <v>568</v>
      </c>
      <c r="D4407" s="453">
        <v>45597</v>
      </c>
      <c r="E4407">
        <v>19982</v>
      </c>
      <c r="F4407" t="s">
        <v>4534</v>
      </c>
      <c r="G4407">
        <v>2351</v>
      </c>
      <c r="H4407">
        <v>4</v>
      </c>
      <c r="I4407" t="s">
        <v>3931</v>
      </c>
      <c r="J4407" t="s">
        <v>3469</v>
      </c>
      <c r="K4407" t="s">
        <v>3772</v>
      </c>
      <c r="L4407">
        <v>0</v>
      </c>
      <c r="M4407" s="453">
        <v>-693593</v>
      </c>
      <c r="N4407">
        <v>0</v>
      </c>
      <c r="O4407">
        <v>5.7</v>
      </c>
      <c r="P4407">
        <v>22.8</v>
      </c>
    </row>
    <row r="4408" spans="1:16" x14ac:dyDescent="0.3">
      <c r="A4408">
        <v>5840</v>
      </c>
      <c r="B4408">
        <v>116</v>
      </c>
      <c r="C4408" t="s">
        <v>568</v>
      </c>
      <c r="D4408" s="453">
        <v>45597</v>
      </c>
      <c r="E4408">
        <v>19907</v>
      </c>
      <c r="F4408" t="s">
        <v>4467</v>
      </c>
      <c r="G4408">
        <v>2381</v>
      </c>
      <c r="H4408">
        <v>7.4</v>
      </c>
      <c r="I4408" t="s">
        <v>3872</v>
      </c>
      <c r="J4408" t="s">
        <v>3469</v>
      </c>
      <c r="K4408" t="s">
        <v>3772</v>
      </c>
      <c r="L4408">
        <v>3.05</v>
      </c>
      <c r="M4408" s="453">
        <v>45581</v>
      </c>
      <c r="N4408">
        <v>3.05</v>
      </c>
      <c r="O4408">
        <v>2.96</v>
      </c>
      <c r="P4408">
        <v>22.57</v>
      </c>
    </row>
    <row r="4409" spans="1:16" x14ac:dyDescent="0.3">
      <c r="A4409">
        <v>5833</v>
      </c>
      <c r="B4409">
        <v>116</v>
      </c>
      <c r="C4409" t="s">
        <v>568</v>
      </c>
      <c r="D4409" s="453">
        <v>45597</v>
      </c>
      <c r="E4409">
        <v>24392</v>
      </c>
      <c r="F4409" t="s">
        <v>4041</v>
      </c>
      <c r="G4409">
        <v>2366</v>
      </c>
      <c r="H4409">
        <v>1</v>
      </c>
      <c r="I4409" t="s">
        <v>3892</v>
      </c>
      <c r="J4409" t="s">
        <v>3469</v>
      </c>
      <c r="K4409" t="s">
        <v>3772</v>
      </c>
      <c r="L4409">
        <v>0</v>
      </c>
      <c r="M4409" s="453">
        <v>45524</v>
      </c>
      <c r="N4409">
        <v>21.9</v>
      </c>
      <c r="O4409">
        <v>22.9</v>
      </c>
      <c r="P4409">
        <v>21.9</v>
      </c>
    </row>
    <row r="4410" spans="1:16" x14ac:dyDescent="0.3">
      <c r="A4410">
        <v>5839</v>
      </c>
      <c r="B4410">
        <v>116</v>
      </c>
      <c r="C4410" t="s">
        <v>568</v>
      </c>
      <c r="D4410" s="453">
        <v>45597</v>
      </c>
      <c r="E4410">
        <v>19917</v>
      </c>
      <c r="F4410" t="s">
        <v>3920</v>
      </c>
      <c r="G4410">
        <v>2379</v>
      </c>
      <c r="H4410">
        <v>5.7</v>
      </c>
      <c r="I4410" t="s">
        <v>3888</v>
      </c>
      <c r="J4410" t="s">
        <v>3469</v>
      </c>
      <c r="K4410" t="s">
        <v>3772</v>
      </c>
      <c r="L4410">
        <v>3.09</v>
      </c>
      <c r="M4410" s="453">
        <v>45581</v>
      </c>
      <c r="N4410">
        <v>3.09</v>
      </c>
      <c r="O4410">
        <v>2.96</v>
      </c>
      <c r="P4410">
        <v>17.61</v>
      </c>
    </row>
    <row r="4411" spans="1:16" x14ac:dyDescent="0.3">
      <c r="A4411">
        <v>5882</v>
      </c>
      <c r="B4411">
        <v>116</v>
      </c>
      <c r="C4411" t="s">
        <v>568</v>
      </c>
      <c r="D4411" s="453">
        <v>45597</v>
      </c>
      <c r="E4411">
        <v>19539</v>
      </c>
      <c r="F4411" t="s">
        <v>4133</v>
      </c>
      <c r="G4411">
        <v>2677</v>
      </c>
      <c r="H4411">
        <v>4</v>
      </c>
      <c r="I4411" t="s">
        <v>3892</v>
      </c>
      <c r="J4411" t="s">
        <v>3469</v>
      </c>
      <c r="K4411" t="s">
        <v>3772</v>
      </c>
      <c r="L4411">
        <v>0</v>
      </c>
      <c r="M4411" s="453">
        <v>-693593</v>
      </c>
      <c r="N4411">
        <v>0</v>
      </c>
      <c r="O4411">
        <v>4.4000000000000004</v>
      </c>
      <c r="P4411">
        <v>17.600000000000001</v>
      </c>
    </row>
    <row r="4412" spans="1:16" x14ac:dyDescent="0.3">
      <c r="A4412">
        <v>5773</v>
      </c>
      <c r="B4412">
        <v>116</v>
      </c>
      <c r="C4412" t="s">
        <v>568</v>
      </c>
      <c r="D4412" s="453">
        <v>45597</v>
      </c>
      <c r="E4412">
        <v>18390</v>
      </c>
      <c r="F4412" t="s">
        <v>4556</v>
      </c>
      <c r="G4412">
        <v>3250</v>
      </c>
      <c r="H4412">
        <v>0.2</v>
      </c>
      <c r="I4412" t="s">
        <v>3878</v>
      </c>
      <c r="J4412" t="s">
        <v>3497</v>
      </c>
      <c r="K4412" t="s">
        <v>3772</v>
      </c>
      <c r="L4412">
        <v>0</v>
      </c>
      <c r="M4412" s="453">
        <v>45378</v>
      </c>
      <c r="N4412">
        <v>85</v>
      </c>
      <c r="O4412">
        <v>85</v>
      </c>
      <c r="P4412">
        <v>17</v>
      </c>
    </row>
    <row r="4413" spans="1:16" x14ac:dyDescent="0.3">
      <c r="A4413">
        <v>5871</v>
      </c>
      <c r="B4413">
        <v>116</v>
      </c>
      <c r="C4413" t="s">
        <v>568</v>
      </c>
      <c r="D4413" s="453">
        <v>45597</v>
      </c>
      <c r="E4413">
        <v>19734</v>
      </c>
      <c r="F4413" t="s">
        <v>4533</v>
      </c>
      <c r="G4413">
        <v>2519</v>
      </c>
      <c r="H4413">
        <v>1.3</v>
      </c>
      <c r="I4413" t="s">
        <v>3892</v>
      </c>
      <c r="J4413" t="s">
        <v>3469</v>
      </c>
      <c r="K4413" t="s">
        <v>3772</v>
      </c>
      <c r="L4413">
        <v>0</v>
      </c>
      <c r="M4413" s="453">
        <v>-693593</v>
      </c>
      <c r="N4413">
        <v>0</v>
      </c>
      <c r="O4413">
        <v>13</v>
      </c>
      <c r="P4413">
        <v>16.899999999999999</v>
      </c>
    </row>
    <row r="4414" spans="1:16" x14ac:dyDescent="0.3">
      <c r="A4414">
        <v>6706</v>
      </c>
      <c r="B4414">
        <v>116</v>
      </c>
      <c r="C4414" t="s">
        <v>568</v>
      </c>
      <c r="D4414" s="453">
        <v>45597</v>
      </c>
      <c r="E4414">
        <v>20133</v>
      </c>
      <c r="F4414" t="s">
        <v>4461</v>
      </c>
      <c r="G4414">
        <v>2286</v>
      </c>
      <c r="H4414">
        <v>2</v>
      </c>
      <c r="I4414" t="s">
        <v>3888</v>
      </c>
      <c r="J4414" t="s">
        <v>3469</v>
      </c>
      <c r="K4414" t="s">
        <v>3772</v>
      </c>
      <c r="L4414">
        <v>8.1999999999999993</v>
      </c>
      <c r="M4414" s="453">
        <v>45586</v>
      </c>
      <c r="N4414">
        <v>8.1999999999999993</v>
      </c>
      <c r="O4414">
        <v>8.1999999999999993</v>
      </c>
      <c r="P4414">
        <v>16.399999999999999</v>
      </c>
    </row>
    <row r="4415" spans="1:16" x14ac:dyDescent="0.3">
      <c r="A4415">
        <v>5887</v>
      </c>
      <c r="B4415">
        <v>116</v>
      </c>
      <c r="C4415" t="s">
        <v>568</v>
      </c>
      <c r="D4415" s="453">
        <v>45597</v>
      </c>
      <c r="E4415">
        <v>19415</v>
      </c>
      <c r="F4415" t="s">
        <v>3941</v>
      </c>
      <c r="G4415">
        <v>2759</v>
      </c>
      <c r="H4415">
        <v>2</v>
      </c>
      <c r="I4415" t="s">
        <v>3872</v>
      </c>
      <c r="J4415" t="s">
        <v>3469</v>
      </c>
      <c r="K4415" t="s">
        <v>3772</v>
      </c>
      <c r="L4415">
        <v>7.91</v>
      </c>
      <c r="M4415" s="453">
        <v>45586</v>
      </c>
      <c r="N4415">
        <v>7.61</v>
      </c>
      <c r="O4415">
        <v>7.8</v>
      </c>
      <c r="P4415">
        <v>15.82</v>
      </c>
    </row>
    <row r="4416" spans="1:16" x14ac:dyDescent="0.3">
      <c r="A4416">
        <v>6686</v>
      </c>
      <c r="B4416">
        <v>116</v>
      </c>
      <c r="C4416" t="s">
        <v>568</v>
      </c>
      <c r="D4416" s="453">
        <v>45597</v>
      </c>
      <c r="E4416">
        <v>20077</v>
      </c>
      <c r="F4416" t="s">
        <v>4054</v>
      </c>
      <c r="G4416">
        <v>2317</v>
      </c>
      <c r="H4416">
        <v>1</v>
      </c>
      <c r="I4416" t="s">
        <v>3888</v>
      </c>
      <c r="J4416" t="s">
        <v>3469</v>
      </c>
      <c r="K4416" t="s">
        <v>3772</v>
      </c>
      <c r="L4416">
        <v>15.68</v>
      </c>
      <c r="M4416" s="453">
        <v>45594</v>
      </c>
      <c r="N4416">
        <v>15.59</v>
      </c>
      <c r="O4416">
        <v>15.59</v>
      </c>
      <c r="P4416">
        <v>15.68</v>
      </c>
    </row>
    <row r="4417" spans="1:16" x14ac:dyDescent="0.3">
      <c r="A4417">
        <v>5823</v>
      </c>
      <c r="B4417">
        <v>116</v>
      </c>
      <c r="C4417" t="s">
        <v>568</v>
      </c>
      <c r="D4417" s="453">
        <v>45597</v>
      </c>
      <c r="E4417">
        <v>20871</v>
      </c>
      <c r="F4417" t="s">
        <v>4475</v>
      </c>
      <c r="G4417">
        <v>2043</v>
      </c>
      <c r="H4417">
        <v>0.5</v>
      </c>
      <c r="I4417" t="s">
        <v>3886</v>
      </c>
      <c r="J4417" t="s">
        <v>3469</v>
      </c>
      <c r="K4417" t="s">
        <v>3772</v>
      </c>
      <c r="L4417">
        <v>0</v>
      </c>
      <c r="M4417" s="453">
        <v>-693593</v>
      </c>
      <c r="N4417">
        <v>0</v>
      </c>
      <c r="O4417">
        <v>30.9</v>
      </c>
      <c r="P4417">
        <v>15.45</v>
      </c>
    </row>
    <row r="4418" spans="1:16" x14ac:dyDescent="0.3">
      <c r="A4418">
        <v>5872</v>
      </c>
      <c r="B4418">
        <v>116</v>
      </c>
      <c r="C4418" t="s">
        <v>568</v>
      </c>
      <c r="D4418" s="453">
        <v>45597</v>
      </c>
      <c r="E4418">
        <v>24394</v>
      </c>
      <c r="F4418" t="s">
        <v>3876</v>
      </c>
      <c r="G4418">
        <v>2753</v>
      </c>
      <c r="H4418">
        <v>32</v>
      </c>
      <c r="I4418" t="s">
        <v>3872</v>
      </c>
      <c r="J4418" t="s">
        <v>3469</v>
      </c>
      <c r="K4418" t="s">
        <v>3772</v>
      </c>
      <c r="L4418">
        <v>0</v>
      </c>
      <c r="M4418" s="453">
        <v>45544</v>
      </c>
      <c r="N4418">
        <v>0.48</v>
      </c>
      <c r="O4418">
        <v>0.6</v>
      </c>
      <c r="P4418">
        <v>15.36</v>
      </c>
    </row>
    <row r="4419" spans="1:16" x14ac:dyDescent="0.3">
      <c r="A4419">
        <v>5809</v>
      </c>
      <c r="B4419">
        <v>116</v>
      </c>
      <c r="C4419" t="s">
        <v>568</v>
      </c>
      <c r="D4419" s="453">
        <v>45597</v>
      </c>
      <c r="E4419">
        <v>20250</v>
      </c>
      <c r="F4419" t="s">
        <v>4008</v>
      </c>
      <c r="G4419">
        <v>2241</v>
      </c>
      <c r="H4419">
        <v>1</v>
      </c>
      <c r="I4419" t="s">
        <v>3888</v>
      </c>
      <c r="J4419" t="s">
        <v>3469</v>
      </c>
      <c r="K4419" t="s">
        <v>3772</v>
      </c>
      <c r="L4419">
        <v>0</v>
      </c>
      <c r="M4419" s="453">
        <v>45545</v>
      </c>
      <c r="N4419">
        <v>14.45</v>
      </c>
      <c r="O4419">
        <v>14.45</v>
      </c>
      <c r="P4419">
        <v>14.45</v>
      </c>
    </row>
    <row r="4420" spans="1:16" x14ac:dyDescent="0.3">
      <c r="A4420">
        <v>6735</v>
      </c>
      <c r="B4420">
        <v>116</v>
      </c>
      <c r="C4420" t="s">
        <v>568</v>
      </c>
      <c r="D4420" s="453">
        <v>45597</v>
      </c>
      <c r="E4420">
        <v>19897</v>
      </c>
      <c r="F4420" t="s">
        <v>4557</v>
      </c>
      <c r="G4420">
        <v>2384</v>
      </c>
      <c r="H4420">
        <v>0.2</v>
      </c>
      <c r="I4420" t="s">
        <v>3892</v>
      </c>
      <c r="J4420" t="s">
        <v>3469</v>
      </c>
      <c r="K4420" t="s">
        <v>3772</v>
      </c>
      <c r="L4420">
        <v>0</v>
      </c>
      <c r="M4420" s="453">
        <v>-693593</v>
      </c>
      <c r="N4420">
        <v>0</v>
      </c>
      <c r="O4420">
        <v>65</v>
      </c>
      <c r="P4420">
        <v>13</v>
      </c>
    </row>
    <row r="4421" spans="1:16" x14ac:dyDescent="0.3">
      <c r="A4421">
        <v>5873</v>
      </c>
      <c r="B4421">
        <v>116</v>
      </c>
      <c r="C4421" t="s">
        <v>568</v>
      </c>
      <c r="D4421" s="453">
        <v>45597</v>
      </c>
      <c r="E4421">
        <v>23095</v>
      </c>
      <c r="F4421" t="s">
        <v>3882</v>
      </c>
      <c r="G4421">
        <v>2754</v>
      </c>
      <c r="H4421">
        <v>14</v>
      </c>
      <c r="I4421" t="s">
        <v>3872</v>
      </c>
      <c r="J4421" t="s">
        <v>3469</v>
      </c>
      <c r="K4421" t="s">
        <v>3772</v>
      </c>
      <c r="L4421">
        <v>0.91</v>
      </c>
      <c r="M4421" s="453">
        <v>45596</v>
      </c>
      <c r="N4421">
        <v>0.9</v>
      </c>
      <c r="O4421">
        <v>0.9</v>
      </c>
      <c r="P4421">
        <v>12.74</v>
      </c>
    </row>
    <row r="4422" spans="1:16" x14ac:dyDescent="0.3">
      <c r="A4422">
        <v>5875</v>
      </c>
      <c r="B4422">
        <v>116</v>
      </c>
      <c r="C4422" t="s">
        <v>568</v>
      </c>
      <c r="D4422" s="453">
        <v>45597</v>
      </c>
      <c r="E4422">
        <v>19585</v>
      </c>
      <c r="F4422" t="s">
        <v>4531</v>
      </c>
      <c r="G4422">
        <v>2639</v>
      </c>
      <c r="H4422">
        <v>0.2</v>
      </c>
      <c r="I4422" t="s">
        <v>3966</v>
      </c>
      <c r="J4422" t="s">
        <v>3469</v>
      </c>
      <c r="K4422" t="s">
        <v>3772</v>
      </c>
      <c r="L4422">
        <v>0</v>
      </c>
      <c r="M4422" s="453">
        <v>-693593</v>
      </c>
      <c r="N4422">
        <v>0</v>
      </c>
      <c r="O4422">
        <v>55.9</v>
      </c>
      <c r="P4422">
        <v>11.18</v>
      </c>
    </row>
    <row r="4423" spans="1:16" x14ac:dyDescent="0.3">
      <c r="A4423">
        <v>5851</v>
      </c>
      <c r="B4423">
        <v>116</v>
      </c>
      <c r="C4423" t="s">
        <v>568</v>
      </c>
      <c r="D4423" s="453">
        <v>45597</v>
      </c>
      <c r="E4423">
        <v>19783</v>
      </c>
      <c r="F4423" t="s">
        <v>4016</v>
      </c>
      <c r="G4423">
        <v>2475</v>
      </c>
      <c r="H4423">
        <v>2</v>
      </c>
      <c r="I4423" t="s">
        <v>3892</v>
      </c>
      <c r="J4423" t="s">
        <v>3469</v>
      </c>
      <c r="K4423" t="s">
        <v>3772</v>
      </c>
      <c r="L4423">
        <v>5.58</v>
      </c>
      <c r="M4423" s="453">
        <v>45596</v>
      </c>
      <c r="N4423">
        <v>5.2</v>
      </c>
      <c r="O4423">
        <v>5.98</v>
      </c>
      <c r="P4423">
        <v>11.16</v>
      </c>
    </row>
    <row r="4424" spans="1:16" x14ac:dyDescent="0.3">
      <c r="A4424">
        <v>6722</v>
      </c>
      <c r="B4424">
        <v>116</v>
      </c>
      <c r="C4424" t="s">
        <v>568</v>
      </c>
      <c r="D4424" s="453">
        <v>45597</v>
      </c>
      <c r="E4424">
        <v>25768</v>
      </c>
      <c r="F4424" t="s">
        <v>4012</v>
      </c>
      <c r="G4424">
        <v>6317</v>
      </c>
      <c r="H4424">
        <v>1.6</v>
      </c>
      <c r="I4424" t="s">
        <v>3892</v>
      </c>
      <c r="J4424" t="s">
        <v>3469</v>
      </c>
      <c r="K4424" t="s">
        <v>3772</v>
      </c>
      <c r="L4424">
        <v>0</v>
      </c>
      <c r="M4424" s="453">
        <v>-693593</v>
      </c>
      <c r="N4424">
        <v>0</v>
      </c>
      <c r="O4424">
        <v>0</v>
      </c>
      <c r="P4424">
        <v>11.04</v>
      </c>
    </row>
    <row r="4425" spans="1:16" x14ac:dyDescent="0.3">
      <c r="A4425">
        <v>5852</v>
      </c>
      <c r="B4425">
        <v>116</v>
      </c>
      <c r="C4425" t="s">
        <v>568</v>
      </c>
      <c r="D4425" s="453">
        <v>45597</v>
      </c>
      <c r="E4425">
        <v>24083</v>
      </c>
      <c r="F4425" t="s">
        <v>3898</v>
      </c>
      <c r="G4425">
        <v>2592</v>
      </c>
      <c r="H4425">
        <v>2</v>
      </c>
      <c r="I4425" t="s">
        <v>3892</v>
      </c>
      <c r="J4425" t="s">
        <v>3469</v>
      </c>
      <c r="K4425" t="s">
        <v>3772</v>
      </c>
      <c r="L4425">
        <v>5</v>
      </c>
      <c r="M4425" s="453">
        <v>45568</v>
      </c>
      <c r="N4425">
        <v>5</v>
      </c>
      <c r="O4425">
        <v>5.8</v>
      </c>
      <c r="P4425">
        <v>10</v>
      </c>
    </row>
    <row r="4426" spans="1:16" x14ac:dyDescent="0.3">
      <c r="A4426">
        <v>5881</v>
      </c>
      <c r="B4426">
        <v>116</v>
      </c>
      <c r="C4426" t="s">
        <v>568</v>
      </c>
      <c r="D4426" s="453">
        <v>45597</v>
      </c>
      <c r="E4426">
        <v>19544</v>
      </c>
      <c r="F4426" t="s">
        <v>4473</v>
      </c>
      <c r="G4426">
        <v>2672</v>
      </c>
      <c r="H4426">
        <v>2</v>
      </c>
      <c r="I4426" t="s">
        <v>3892</v>
      </c>
      <c r="J4426" t="s">
        <v>3469</v>
      </c>
      <c r="K4426" t="s">
        <v>3772</v>
      </c>
      <c r="L4426">
        <v>0</v>
      </c>
      <c r="M4426" s="453">
        <v>45509</v>
      </c>
      <c r="N4426">
        <v>4.5</v>
      </c>
      <c r="O4426">
        <v>4.4000000000000004</v>
      </c>
      <c r="P4426">
        <v>9</v>
      </c>
    </row>
    <row r="4427" spans="1:16" x14ac:dyDescent="0.3">
      <c r="A4427">
        <v>6689</v>
      </c>
      <c r="B4427">
        <v>116</v>
      </c>
      <c r="C4427" t="s">
        <v>568</v>
      </c>
      <c r="D4427" s="453">
        <v>45597</v>
      </c>
      <c r="E4427">
        <v>20039</v>
      </c>
      <c r="F4427" t="s">
        <v>4558</v>
      </c>
      <c r="G4427">
        <v>2331</v>
      </c>
      <c r="H4427">
        <v>1</v>
      </c>
      <c r="I4427" t="s">
        <v>3872</v>
      </c>
      <c r="J4427" t="s">
        <v>3469</v>
      </c>
      <c r="K4427" t="s">
        <v>3772</v>
      </c>
      <c r="L4427">
        <v>0</v>
      </c>
      <c r="M4427" s="453">
        <v>-693593</v>
      </c>
      <c r="N4427">
        <v>0</v>
      </c>
      <c r="O4427">
        <v>0</v>
      </c>
      <c r="P4427">
        <v>8.75</v>
      </c>
    </row>
    <row r="4428" spans="1:16" x14ac:dyDescent="0.3">
      <c r="A4428">
        <v>5866</v>
      </c>
      <c r="B4428">
        <v>116</v>
      </c>
      <c r="C4428" t="s">
        <v>568</v>
      </c>
      <c r="D4428" s="453">
        <v>45597</v>
      </c>
      <c r="E4428">
        <v>19751</v>
      </c>
      <c r="F4428" t="s">
        <v>4019</v>
      </c>
      <c r="G4428">
        <v>2502</v>
      </c>
      <c r="H4428">
        <v>1</v>
      </c>
      <c r="I4428" t="s">
        <v>3892</v>
      </c>
      <c r="J4428" t="s">
        <v>3469</v>
      </c>
      <c r="K4428" t="s">
        <v>3772</v>
      </c>
      <c r="L4428">
        <v>8.6</v>
      </c>
      <c r="M4428" s="453">
        <v>45596</v>
      </c>
      <c r="N4428">
        <v>8.5</v>
      </c>
      <c r="O4428">
        <v>8.5399999999999991</v>
      </c>
      <c r="P4428">
        <v>8.6</v>
      </c>
    </row>
    <row r="4429" spans="1:16" x14ac:dyDescent="0.3">
      <c r="A4429">
        <v>5857</v>
      </c>
      <c r="B4429">
        <v>116</v>
      </c>
      <c r="C4429" t="s">
        <v>568</v>
      </c>
      <c r="D4429" s="453">
        <v>45597</v>
      </c>
      <c r="E4429">
        <v>19628</v>
      </c>
      <c r="F4429" t="s">
        <v>4515</v>
      </c>
      <c r="G4429">
        <v>2606</v>
      </c>
      <c r="H4429">
        <v>4.2</v>
      </c>
      <c r="I4429" t="s">
        <v>3892</v>
      </c>
      <c r="J4429" t="s">
        <v>3469</v>
      </c>
      <c r="K4429" t="s">
        <v>3772</v>
      </c>
      <c r="L4429">
        <v>1.97</v>
      </c>
      <c r="M4429" s="453">
        <v>45596</v>
      </c>
      <c r="N4429">
        <v>1.7</v>
      </c>
      <c r="O4429">
        <v>1.95</v>
      </c>
      <c r="P4429">
        <v>8.27</v>
      </c>
    </row>
    <row r="4430" spans="1:16" x14ac:dyDescent="0.3">
      <c r="A4430">
        <v>5874</v>
      </c>
      <c r="B4430">
        <v>116</v>
      </c>
      <c r="C4430" t="s">
        <v>568</v>
      </c>
      <c r="D4430" s="453">
        <v>45597</v>
      </c>
      <c r="E4430">
        <v>19589</v>
      </c>
      <c r="F4430" t="s">
        <v>4153</v>
      </c>
      <c r="G4430">
        <v>2637</v>
      </c>
      <c r="H4430">
        <v>1</v>
      </c>
      <c r="I4430" t="s">
        <v>3892</v>
      </c>
      <c r="J4430" t="s">
        <v>3469</v>
      </c>
      <c r="K4430" t="s">
        <v>3772</v>
      </c>
      <c r="L4430">
        <v>7.4</v>
      </c>
      <c r="M4430" s="453">
        <v>45583</v>
      </c>
      <c r="N4430">
        <v>8.4</v>
      </c>
      <c r="O4430">
        <v>5.21</v>
      </c>
      <c r="P4430">
        <v>7.4</v>
      </c>
    </row>
    <row r="4431" spans="1:16" x14ac:dyDescent="0.3">
      <c r="A4431">
        <v>5835</v>
      </c>
      <c r="B4431">
        <v>116</v>
      </c>
      <c r="C4431" t="s">
        <v>568</v>
      </c>
      <c r="D4431" s="453">
        <v>45597</v>
      </c>
      <c r="E4431">
        <v>19935</v>
      </c>
      <c r="F4431" t="s">
        <v>4469</v>
      </c>
      <c r="G4431">
        <v>2368</v>
      </c>
      <c r="H4431">
        <v>1</v>
      </c>
      <c r="I4431" t="s">
        <v>3888</v>
      </c>
      <c r="J4431" t="s">
        <v>3469</v>
      </c>
      <c r="K4431" t="s">
        <v>3772</v>
      </c>
      <c r="L4431">
        <v>6.9</v>
      </c>
      <c r="M4431" s="453">
        <v>45587</v>
      </c>
      <c r="N4431">
        <v>6.9</v>
      </c>
      <c r="O4431">
        <v>6.9</v>
      </c>
      <c r="P4431">
        <v>6.9</v>
      </c>
    </row>
    <row r="4432" spans="1:16" x14ac:dyDescent="0.3">
      <c r="A4432">
        <v>5836</v>
      </c>
      <c r="B4432">
        <v>116</v>
      </c>
      <c r="C4432" t="s">
        <v>568</v>
      </c>
      <c r="D4432" s="453">
        <v>45597</v>
      </c>
      <c r="E4432">
        <v>19931</v>
      </c>
      <c r="F4432" t="s">
        <v>4470</v>
      </c>
      <c r="G4432">
        <v>2369</v>
      </c>
      <c r="H4432">
        <v>1</v>
      </c>
      <c r="I4432" t="s">
        <v>3888</v>
      </c>
      <c r="J4432" t="s">
        <v>3469</v>
      </c>
      <c r="K4432" t="s">
        <v>3772</v>
      </c>
      <c r="L4432">
        <v>6.9</v>
      </c>
      <c r="M4432" s="453">
        <v>45587</v>
      </c>
      <c r="N4432">
        <v>6.9</v>
      </c>
      <c r="O4432">
        <v>6.9</v>
      </c>
      <c r="P4432">
        <v>6.9</v>
      </c>
    </row>
    <row r="4433" spans="1:16" x14ac:dyDescent="0.3">
      <c r="A4433">
        <v>5756</v>
      </c>
      <c r="B4433">
        <v>116</v>
      </c>
      <c r="C4433" t="s">
        <v>568</v>
      </c>
      <c r="D4433" s="453">
        <v>45597</v>
      </c>
      <c r="E4433">
        <v>24599</v>
      </c>
      <c r="F4433" t="s">
        <v>3897</v>
      </c>
      <c r="G4433">
        <v>5676</v>
      </c>
      <c r="H4433">
        <v>1.5</v>
      </c>
      <c r="I4433" t="s">
        <v>3888</v>
      </c>
      <c r="J4433" t="s">
        <v>3497</v>
      </c>
      <c r="K4433" t="s">
        <v>3772</v>
      </c>
      <c r="L4433">
        <v>0</v>
      </c>
      <c r="M4433" s="453">
        <v>45559</v>
      </c>
      <c r="N4433">
        <v>4.53</v>
      </c>
      <c r="O4433">
        <v>0</v>
      </c>
      <c r="P4433">
        <v>6.8</v>
      </c>
    </row>
    <row r="4434" spans="1:16" x14ac:dyDescent="0.3">
      <c r="A4434">
        <v>6685</v>
      </c>
      <c r="B4434">
        <v>116</v>
      </c>
      <c r="C4434" t="s">
        <v>568</v>
      </c>
      <c r="D4434" s="453">
        <v>45597</v>
      </c>
      <c r="E4434">
        <v>19642</v>
      </c>
      <c r="F4434" t="s">
        <v>4067</v>
      </c>
      <c r="G4434">
        <v>2596</v>
      </c>
      <c r="H4434">
        <v>1</v>
      </c>
      <c r="I4434" t="s">
        <v>3892</v>
      </c>
      <c r="J4434" t="s">
        <v>3469</v>
      </c>
      <c r="K4434" t="s">
        <v>3772</v>
      </c>
      <c r="L4434">
        <v>6.71</v>
      </c>
      <c r="M4434" s="453">
        <v>45586</v>
      </c>
      <c r="N4434">
        <v>6.4</v>
      </c>
      <c r="O4434">
        <v>5.97</v>
      </c>
      <c r="P4434">
        <v>6.71</v>
      </c>
    </row>
    <row r="4435" spans="1:16" x14ac:dyDescent="0.3">
      <c r="A4435">
        <v>6732</v>
      </c>
      <c r="B4435">
        <v>116</v>
      </c>
      <c r="C4435" t="s">
        <v>568</v>
      </c>
      <c r="D4435" s="453">
        <v>45597</v>
      </c>
      <c r="E4435">
        <v>25769</v>
      </c>
      <c r="F4435" t="s">
        <v>4013</v>
      </c>
      <c r="G4435">
        <v>6318</v>
      </c>
      <c r="H4435">
        <v>0.6</v>
      </c>
      <c r="I4435" t="s">
        <v>3892</v>
      </c>
      <c r="J4435" t="s">
        <v>3469</v>
      </c>
      <c r="K4435" t="s">
        <v>3772</v>
      </c>
      <c r="L4435">
        <v>0</v>
      </c>
      <c r="M4435" s="453">
        <v>-693593</v>
      </c>
      <c r="N4435">
        <v>0</v>
      </c>
      <c r="O4435">
        <v>0</v>
      </c>
      <c r="P4435">
        <v>6.51</v>
      </c>
    </row>
    <row r="4436" spans="1:16" x14ac:dyDescent="0.3">
      <c r="A4436">
        <v>5855</v>
      </c>
      <c r="B4436">
        <v>116</v>
      </c>
      <c r="C4436" t="s">
        <v>568</v>
      </c>
      <c r="D4436" s="453">
        <v>45597</v>
      </c>
      <c r="E4436">
        <v>19634</v>
      </c>
      <c r="F4436" t="s">
        <v>4068</v>
      </c>
      <c r="G4436">
        <v>2602</v>
      </c>
      <c r="H4436">
        <v>1</v>
      </c>
      <c r="I4436" t="s">
        <v>3892</v>
      </c>
      <c r="J4436" t="s">
        <v>3469</v>
      </c>
      <c r="K4436" t="s">
        <v>3772</v>
      </c>
      <c r="L4436">
        <v>6.48</v>
      </c>
      <c r="M4436" s="453">
        <v>45596</v>
      </c>
      <c r="N4436">
        <v>5.6</v>
      </c>
      <c r="O4436">
        <v>5.68</v>
      </c>
      <c r="P4436">
        <v>6.48</v>
      </c>
    </row>
    <row r="4437" spans="1:16" x14ac:dyDescent="0.3">
      <c r="A4437">
        <v>5884</v>
      </c>
      <c r="B4437">
        <v>116</v>
      </c>
      <c r="C4437" t="s">
        <v>568</v>
      </c>
      <c r="D4437" s="453">
        <v>45597</v>
      </c>
      <c r="E4437">
        <v>19710</v>
      </c>
      <c r="F4437" t="s">
        <v>4106</v>
      </c>
      <c r="G4437">
        <v>2540</v>
      </c>
      <c r="H4437">
        <v>0.3</v>
      </c>
      <c r="I4437" t="s">
        <v>3888</v>
      </c>
      <c r="J4437" t="s">
        <v>3469</v>
      </c>
      <c r="K4437" t="s">
        <v>3772</v>
      </c>
      <c r="L4437">
        <v>0</v>
      </c>
      <c r="M4437" s="453">
        <v>-693593</v>
      </c>
      <c r="N4437">
        <v>0</v>
      </c>
      <c r="O4437">
        <v>19.899999999999999</v>
      </c>
      <c r="P4437">
        <v>5.97</v>
      </c>
    </row>
    <row r="4438" spans="1:16" x14ac:dyDescent="0.3">
      <c r="A4438">
        <v>5846</v>
      </c>
      <c r="B4438">
        <v>116</v>
      </c>
      <c r="C4438" t="s">
        <v>568</v>
      </c>
      <c r="D4438" s="453">
        <v>45597</v>
      </c>
      <c r="E4438">
        <v>19506</v>
      </c>
      <c r="F4438" t="s">
        <v>4112</v>
      </c>
      <c r="G4438">
        <v>2705</v>
      </c>
      <c r="H4438">
        <v>0.1</v>
      </c>
      <c r="I4438" t="s">
        <v>3892</v>
      </c>
      <c r="J4438" t="s">
        <v>3469</v>
      </c>
      <c r="K4438" t="s">
        <v>3772</v>
      </c>
      <c r="L4438">
        <v>55.5</v>
      </c>
      <c r="M4438" s="453">
        <v>45596</v>
      </c>
      <c r="N4438">
        <v>64</v>
      </c>
      <c r="O4438">
        <v>50.78</v>
      </c>
      <c r="P4438">
        <v>5.55</v>
      </c>
    </row>
    <row r="4439" spans="1:16" x14ac:dyDescent="0.3">
      <c r="A4439">
        <v>5862</v>
      </c>
      <c r="B4439">
        <v>116</v>
      </c>
      <c r="C4439" t="s">
        <v>568</v>
      </c>
      <c r="D4439" s="453">
        <v>45597</v>
      </c>
      <c r="E4439">
        <v>19613</v>
      </c>
      <c r="F4439" t="s">
        <v>4017</v>
      </c>
      <c r="G4439">
        <v>2620</v>
      </c>
      <c r="H4439">
        <v>0.9</v>
      </c>
      <c r="I4439" t="s">
        <v>3892</v>
      </c>
      <c r="J4439" t="s">
        <v>3469</v>
      </c>
      <c r="K4439" t="s">
        <v>3772</v>
      </c>
      <c r="L4439">
        <v>5.55</v>
      </c>
      <c r="M4439" s="453">
        <v>45596</v>
      </c>
      <c r="N4439">
        <v>6.4</v>
      </c>
      <c r="O4439">
        <v>4.49</v>
      </c>
      <c r="P4439">
        <v>5</v>
      </c>
    </row>
    <row r="4440" spans="1:16" x14ac:dyDescent="0.3">
      <c r="A4440">
        <v>5867</v>
      </c>
      <c r="B4440">
        <v>116</v>
      </c>
      <c r="C4440" t="s">
        <v>568</v>
      </c>
      <c r="D4440" s="453">
        <v>45597</v>
      </c>
      <c r="E4440">
        <v>24326</v>
      </c>
      <c r="F4440" t="s">
        <v>3932</v>
      </c>
      <c r="G4440">
        <v>2499</v>
      </c>
      <c r="H4440">
        <v>1</v>
      </c>
      <c r="I4440" t="s">
        <v>3892</v>
      </c>
      <c r="J4440" t="s">
        <v>3469</v>
      </c>
      <c r="K4440" t="s">
        <v>3772</v>
      </c>
      <c r="L4440">
        <v>0</v>
      </c>
      <c r="M4440" s="453">
        <v>45547</v>
      </c>
      <c r="N4440">
        <v>5</v>
      </c>
      <c r="O4440">
        <v>6.87</v>
      </c>
      <c r="P4440">
        <v>5</v>
      </c>
    </row>
    <row r="4441" spans="1:16" x14ac:dyDescent="0.3">
      <c r="A4441">
        <v>5869</v>
      </c>
      <c r="B4441">
        <v>116</v>
      </c>
      <c r="C4441" t="s">
        <v>568</v>
      </c>
      <c r="D4441" s="453">
        <v>45597</v>
      </c>
      <c r="E4441">
        <v>19475</v>
      </c>
      <c r="F4441" t="s">
        <v>4111</v>
      </c>
      <c r="G4441">
        <v>2730</v>
      </c>
      <c r="H4441">
        <v>0.15</v>
      </c>
      <c r="I4441" t="s">
        <v>3892</v>
      </c>
      <c r="J4441" t="s">
        <v>3469</v>
      </c>
      <c r="K4441" t="s">
        <v>3772</v>
      </c>
      <c r="L4441">
        <v>32.42</v>
      </c>
      <c r="M4441" s="453">
        <v>45596</v>
      </c>
      <c r="N4441">
        <v>4.5999999999999996</v>
      </c>
      <c r="O4441">
        <v>32.43</v>
      </c>
      <c r="P4441">
        <v>4.8600000000000003</v>
      </c>
    </row>
    <row r="4442" spans="1:16" x14ac:dyDescent="0.3">
      <c r="A4442">
        <v>5878</v>
      </c>
      <c r="B4442">
        <v>116</v>
      </c>
      <c r="C4442" t="s">
        <v>568</v>
      </c>
      <c r="D4442" s="453">
        <v>45597</v>
      </c>
      <c r="E4442">
        <v>19552</v>
      </c>
      <c r="F4442" t="s">
        <v>4540</v>
      </c>
      <c r="G4442">
        <v>2664</v>
      </c>
      <c r="H4442">
        <v>1</v>
      </c>
      <c r="I4442" t="s">
        <v>3892</v>
      </c>
      <c r="J4442" t="s">
        <v>3469</v>
      </c>
      <c r="K4442" t="s">
        <v>3772</v>
      </c>
      <c r="L4442">
        <v>4.8499999999999996</v>
      </c>
      <c r="M4442" s="453">
        <v>45596</v>
      </c>
      <c r="N4442">
        <v>6.4</v>
      </c>
      <c r="O4442">
        <v>3.41</v>
      </c>
      <c r="P4442">
        <v>4.8499999999999996</v>
      </c>
    </row>
    <row r="4443" spans="1:16" x14ac:dyDescent="0.3">
      <c r="A4443">
        <v>5883</v>
      </c>
      <c r="B4443">
        <v>116</v>
      </c>
      <c r="C4443" t="s">
        <v>568</v>
      </c>
      <c r="D4443" s="453">
        <v>45597</v>
      </c>
      <c r="E4443">
        <v>24484</v>
      </c>
      <c r="F4443" t="s">
        <v>4154</v>
      </c>
      <c r="G4443">
        <v>2684</v>
      </c>
      <c r="H4443">
        <v>0.5</v>
      </c>
      <c r="I4443" t="s">
        <v>3892</v>
      </c>
      <c r="J4443" t="s">
        <v>3469</v>
      </c>
      <c r="K4443" t="s">
        <v>3772</v>
      </c>
      <c r="L4443">
        <v>9.6999999999999993</v>
      </c>
      <c r="M4443" s="453">
        <v>45596</v>
      </c>
      <c r="N4443">
        <v>10.3</v>
      </c>
      <c r="O4443">
        <v>10.3</v>
      </c>
      <c r="P4443">
        <v>4.8499999999999996</v>
      </c>
    </row>
    <row r="4444" spans="1:16" x14ac:dyDescent="0.3">
      <c r="A4444">
        <v>5880</v>
      </c>
      <c r="B4444">
        <v>116</v>
      </c>
      <c r="C4444" t="s">
        <v>568</v>
      </c>
      <c r="D4444" s="453">
        <v>45597</v>
      </c>
      <c r="E4444">
        <v>19465</v>
      </c>
      <c r="F4444" t="s">
        <v>4080</v>
      </c>
      <c r="G4444">
        <v>2737</v>
      </c>
      <c r="H4444">
        <v>0.6</v>
      </c>
      <c r="I4444" t="s">
        <v>3892</v>
      </c>
      <c r="J4444" t="s">
        <v>3469</v>
      </c>
      <c r="K4444" t="s">
        <v>3772</v>
      </c>
      <c r="L4444">
        <v>7.04</v>
      </c>
      <c r="M4444" s="453">
        <v>45596</v>
      </c>
      <c r="N4444">
        <v>8</v>
      </c>
      <c r="O4444">
        <v>4.76</v>
      </c>
      <c r="P4444">
        <v>4.22</v>
      </c>
    </row>
    <row r="4445" spans="1:16" x14ac:dyDescent="0.3">
      <c r="A4445">
        <v>5854</v>
      </c>
      <c r="B4445">
        <v>116</v>
      </c>
      <c r="C4445" t="s">
        <v>568</v>
      </c>
      <c r="D4445" s="453">
        <v>45597</v>
      </c>
      <c r="E4445">
        <v>19638</v>
      </c>
      <c r="F4445" t="s">
        <v>4497</v>
      </c>
      <c r="G4445">
        <v>2598</v>
      </c>
      <c r="H4445">
        <v>1.5</v>
      </c>
      <c r="I4445" t="s">
        <v>3892</v>
      </c>
      <c r="J4445" t="s">
        <v>3469</v>
      </c>
      <c r="K4445" t="s">
        <v>3772</v>
      </c>
      <c r="L4445">
        <v>2.58</v>
      </c>
      <c r="M4445" s="453">
        <v>45596</v>
      </c>
      <c r="N4445">
        <v>2.1</v>
      </c>
      <c r="O4445">
        <v>3.29</v>
      </c>
      <c r="P4445">
        <v>3.87</v>
      </c>
    </row>
    <row r="4446" spans="1:16" x14ac:dyDescent="0.3">
      <c r="A4446">
        <v>5850</v>
      </c>
      <c r="B4446">
        <v>116</v>
      </c>
      <c r="C4446" t="s">
        <v>568</v>
      </c>
      <c r="D4446" s="453">
        <v>45597</v>
      </c>
      <c r="E4446">
        <v>19647</v>
      </c>
      <c r="F4446" t="s">
        <v>4066</v>
      </c>
      <c r="G4446">
        <v>2591</v>
      </c>
      <c r="H4446">
        <v>0.5</v>
      </c>
      <c r="I4446" t="s">
        <v>3892</v>
      </c>
      <c r="J4446" t="s">
        <v>3469</v>
      </c>
      <c r="K4446" t="s">
        <v>3772</v>
      </c>
      <c r="L4446">
        <v>7.6</v>
      </c>
      <c r="M4446" s="453">
        <v>45596</v>
      </c>
      <c r="N4446">
        <v>8</v>
      </c>
      <c r="O4446">
        <v>5.21</v>
      </c>
      <c r="P4446">
        <v>3.8</v>
      </c>
    </row>
    <row r="4447" spans="1:16" x14ac:dyDescent="0.3">
      <c r="A4447">
        <v>5856</v>
      </c>
      <c r="B4447">
        <v>116</v>
      </c>
      <c r="C4447" t="s">
        <v>568</v>
      </c>
      <c r="D4447" s="453">
        <v>45597</v>
      </c>
      <c r="E4447">
        <v>24099</v>
      </c>
      <c r="F4447" t="s">
        <v>4321</v>
      </c>
      <c r="G4447">
        <v>2716</v>
      </c>
      <c r="H4447">
        <v>0.5</v>
      </c>
      <c r="I4447" t="s">
        <v>3892</v>
      </c>
      <c r="J4447" t="s">
        <v>3469</v>
      </c>
      <c r="K4447" t="s">
        <v>3772</v>
      </c>
      <c r="L4447">
        <v>0</v>
      </c>
      <c r="M4447" s="453">
        <v>-693593</v>
      </c>
      <c r="N4447">
        <v>0</v>
      </c>
      <c r="O4447">
        <v>7.2</v>
      </c>
      <c r="P4447">
        <v>3.6</v>
      </c>
    </row>
    <row r="4448" spans="1:16" x14ac:dyDescent="0.3">
      <c r="A4448">
        <v>5858</v>
      </c>
      <c r="B4448">
        <v>116</v>
      </c>
      <c r="C4448" t="s">
        <v>568</v>
      </c>
      <c r="D4448" s="453">
        <v>45597</v>
      </c>
      <c r="E4448">
        <v>19623</v>
      </c>
      <c r="F4448" t="s">
        <v>3984</v>
      </c>
      <c r="G4448">
        <v>2611</v>
      </c>
      <c r="H4448">
        <v>1</v>
      </c>
      <c r="I4448" t="s">
        <v>3892</v>
      </c>
      <c r="J4448" t="s">
        <v>3469</v>
      </c>
      <c r="K4448" t="s">
        <v>3772</v>
      </c>
      <c r="L4448">
        <v>3.18</v>
      </c>
      <c r="M4448" s="453">
        <v>45589</v>
      </c>
      <c r="N4448">
        <v>3.2</v>
      </c>
      <c r="O4448">
        <v>3.05</v>
      </c>
      <c r="P4448">
        <v>3.18</v>
      </c>
    </row>
    <row r="4449" spans="1:16" x14ac:dyDescent="0.3">
      <c r="A4449">
        <v>5876</v>
      </c>
      <c r="B4449">
        <v>116</v>
      </c>
      <c r="C4449" t="s">
        <v>568</v>
      </c>
      <c r="D4449" s="453">
        <v>45597</v>
      </c>
      <c r="E4449">
        <v>19572</v>
      </c>
      <c r="F4449" t="s">
        <v>4023</v>
      </c>
      <c r="G4449">
        <v>2646</v>
      </c>
      <c r="H4449">
        <v>0.2</v>
      </c>
      <c r="I4449" t="s">
        <v>3892</v>
      </c>
      <c r="J4449" t="s">
        <v>3469</v>
      </c>
      <c r="K4449" t="s">
        <v>3772</v>
      </c>
      <c r="L4449">
        <v>15.84</v>
      </c>
      <c r="M4449" s="453">
        <v>45589</v>
      </c>
      <c r="N4449">
        <v>12.5</v>
      </c>
      <c r="O4449">
        <v>17.77</v>
      </c>
      <c r="P4449">
        <v>3.17</v>
      </c>
    </row>
    <row r="4450" spans="1:16" x14ac:dyDescent="0.3">
      <c r="A4450">
        <v>5879</v>
      </c>
      <c r="B4450">
        <v>116</v>
      </c>
      <c r="C4450" t="s">
        <v>568</v>
      </c>
      <c r="D4450" s="453">
        <v>45597</v>
      </c>
      <c r="E4450">
        <v>19468</v>
      </c>
      <c r="F4450" t="s">
        <v>4079</v>
      </c>
      <c r="G4450">
        <v>2736</v>
      </c>
      <c r="H4450">
        <v>0.4</v>
      </c>
      <c r="I4450" t="s">
        <v>3892</v>
      </c>
      <c r="J4450" t="s">
        <v>3469</v>
      </c>
      <c r="K4450" t="s">
        <v>3772</v>
      </c>
      <c r="L4450">
        <v>6.49</v>
      </c>
      <c r="M4450" s="453">
        <v>45596</v>
      </c>
      <c r="N4450">
        <v>6.4</v>
      </c>
      <c r="O4450">
        <v>6.52</v>
      </c>
      <c r="P4450">
        <v>2.6</v>
      </c>
    </row>
    <row r="4451" spans="1:16" x14ac:dyDescent="0.3">
      <c r="A4451">
        <v>5920</v>
      </c>
      <c r="B4451">
        <v>116</v>
      </c>
      <c r="C4451" t="s">
        <v>568</v>
      </c>
      <c r="D4451" s="453">
        <v>45597</v>
      </c>
      <c r="E4451">
        <v>17896</v>
      </c>
      <c r="F4451" t="s">
        <v>3972</v>
      </c>
      <c r="G4451">
        <v>3664</v>
      </c>
      <c r="H4451">
        <v>1</v>
      </c>
      <c r="I4451" t="s">
        <v>3888</v>
      </c>
      <c r="J4451" t="s">
        <v>3497</v>
      </c>
      <c r="K4451" t="s">
        <v>3772</v>
      </c>
      <c r="L4451">
        <v>0</v>
      </c>
      <c r="M4451" s="453">
        <v>-693593</v>
      </c>
      <c r="N4451">
        <v>0</v>
      </c>
      <c r="O4451">
        <v>0</v>
      </c>
      <c r="P4451">
        <v>2.56</v>
      </c>
    </row>
    <row r="4452" spans="1:16" x14ac:dyDescent="0.3">
      <c r="A4452">
        <v>5861</v>
      </c>
      <c r="B4452">
        <v>116</v>
      </c>
      <c r="C4452" t="s">
        <v>568</v>
      </c>
      <c r="D4452" s="453">
        <v>45597</v>
      </c>
      <c r="E4452">
        <v>19621</v>
      </c>
      <c r="F4452" t="s">
        <v>4125</v>
      </c>
      <c r="G4452">
        <v>2613</v>
      </c>
      <c r="H4452">
        <v>1</v>
      </c>
      <c r="I4452" t="s">
        <v>3892</v>
      </c>
      <c r="J4452" t="s">
        <v>3469</v>
      </c>
      <c r="K4452" t="s">
        <v>3772</v>
      </c>
      <c r="L4452">
        <v>2.39</v>
      </c>
      <c r="M4452" s="453">
        <v>45596</v>
      </c>
      <c r="N4452">
        <v>2.4500000000000002</v>
      </c>
      <c r="O4452">
        <v>2.4300000000000002</v>
      </c>
      <c r="P4452">
        <v>2.39</v>
      </c>
    </row>
    <row r="4453" spans="1:16" x14ac:dyDescent="0.3">
      <c r="A4453">
        <v>6710</v>
      </c>
      <c r="B4453">
        <v>116</v>
      </c>
      <c r="C4453" t="s">
        <v>568</v>
      </c>
      <c r="D4453" s="453">
        <v>45597</v>
      </c>
      <c r="E4453">
        <v>19939</v>
      </c>
      <c r="F4453" t="s">
        <v>4311</v>
      </c>
      <c r="G4453">
        <v>2365</v>
      </c>
      <c r="H4453">
        <v>0.1</v>
      </c>
      <c r="I4453" t="s">
        <v>3892</v>
      </c>
      <c r="J4453" t="s">
        <v>3469</v>
      </c>
      <c r="K4453" t="s">
        <v>3772</v>
      </c>
      <c r="L4453">
        <v>0</v>
      </c>
      <c r="M4453" s="453">
        <v>-693593</v>
      </c>
      <c r="N4453">
        <v>0</v>
      </c>
      <c r="O4453">
        <v>22</v>
      </c>
      <c r="P4453">
        <v>2.2000000000000002</v>
      </c>
    </row>
    <row r="4454" spans="1:16" x14ac:dyDescent="0.3">
      <c r="A4454">
        <v>5914</v>
      </c>
      <c r="B4454">
        <v>116</v>
      </c>
      <c r="C4454" t="s">
        <v>568</v>
      </c>
      <c r="D4454" s="453">
        <v>45597</v>
      </c>
      <c r="E4454">
        <v>17996</v>
      </c>
      <c r="F4454" t="s">
        <v>3880</v>
      </c>
      <c r="G4454">
        <v>3600</v>
      </c>
      <c r="H4454">
        <v>1</v>
      </c>
      <c r="I4454" t="s">
        <v>3888</v>
      </c>
      <c r="J4454" t="s">
        <v>3497</v>
      </c>
      <c r="K4454" t="s">
        <v>3772</v>
      </c>
      <c r="L4454">
        <v>0</v>
      </c>
      <c r="M4454" s="453">
        <v>-693593</v>
      </c>
      <c r="N4454">
        <v>0</v>
      </c>
      <c r="O4454">
        <v>2.19</v>
      </c>
      <c r="P4454">
        <v>2.19</v>
      </c>
    </row>
    <row r="4455" spans="1:16" x14ac:dyDescent="0.3">
      <c r="A4455">
        <v>5847</v>
      </c>
      <c r="B4455">
        <v>116</v>
      </c>
      <c r="C4455" t="s">
        <v>568</v>
      </c>
      <c r="D4455" s="453">
        <v>45597</v>
      </c>
      <c r="E4455">
        <v>19505</v>
      </c>
      <c r="F4455" t="s">
        <v>4101</v>
      </c>
      <c r="G4455">
        <v>2706</v>
      </c>
      <c r="H4455">
        <v>0.3</v>
      </c>
      <c r="I4455" t="s">
        <v>3892</v>
      </c>
      <c r="J4455" t="s">
        <v>3469</v>
      </c>
      <c r="K4455" t="s">
        <v>3772</v>
      </c>
      <c r="L4455">
        <v>6.27</v>
      </c>
      <c r="M4455" s="453">
        <v>45596</v>
      </c>
      <c r="N4455">
        <v>6.4</v>
      </c>
      <c r="O4455">
        <v>5.52</v>
      </c>
      <c r="P4455">
        <v>1.88</v>
      </c>
    </row>
    <row r="4456" spans="1:16" x14ac:dyDescent="0.3">
      <c r="A4456">
        <v>5864</v>
      </c>
      <c r="B4456">
        <v>116</v>
      </c>
      <c r="C4456" t="s">
        <v>568</v>
      </c>
      <c r="D4456" s="453">
        <v>45597</v>
      </c>
      <c r="E4456">
        <v>19480</v>
      </c>
      <c r="F4456" t="s">
        <v>4113</v>
      </c>
      <c r="G4456">
        <v>2726</v>
      </c>
      <c r="H4456">
        <v>0.1</v>
      </c>
      <c r="I4456" t="s">
        <v>3892</v>
      </c>
      <c r="J4456" t="s">
        <v>3469</v>
      </c>
      <c r="K4456" t="s">
        <v>3772</v>
      </c>
      <c r="L4456">
        <v>14</v>
      </c>
      <c r="M4456" s="453">
        <v>45583</v>
      </c>
      <c r="N4456">
        <v>14</v>
      </c>
      <c r="O4456">
        <v>14.48</v>
      </c>
      <c r="P4456">
        <v>1.4</v>
      </c>
    </row>
    <row r="4457" spans="1:16" x14ac:dyDescent="0.3">
      <c r="A4457">
        <v>5860</v>
      </c>
      <c r="B4457">
        <v>116</v>
      </c>
      <c r="C4457" t="s">
        <v>568</v>
      </c>
      <c r="D4457" s="453">
        <v>45597</v>
      </c>
      <c r="E4457">
        <v>19488</v>
      </c>
      <c r="F4457" t="s">
        <v>4070</v>
      </c>
      <c r="G4457">
        <v>2720</v>
      </c>
      <c r="H4457">
        <v>0.1</v>
      </c>
      <c r="I4457" t="s">
        <v>3892</v>
      </c>
      <c r="J4457" t="s">
        <v>3469</v>
      </c>
      <c r="K4457" t="s">
        <v>3772</v>
      </c>
      <c r="L4457">
        <v>10.199999999999999</v>
      </c>
      <c r="M4457" s="453">
        <v>45596</v>
      </c>
      <c r="N4457">
        <v>11.4</v>
      </c>
      <c r="O4457">
        <v>8.84</v>
      </c>
      <c r="P4457">
        <v>1.02</v>
      </c>
    </row>
    <row r="4458" spans="1:16" x14ac:dyDescent="0.3">
      <c r="A4458">
        <v>6703</v>
      </c>
      <c r="B4458">
        <v>116</v>
      </c>
      <c r="C4458" t="s">
        <v>568</v>
      </c>
      <c r="D4458" s="453">
        <v>45597</v>
      </c>
      <c r="E4458">
        <v>19752</v>
      </c>
      <c r="F4458" t="s">
        <v>4042</v>
      </c>
      <c r="G4458">
        <v>2501</v>
      </c>
      <c r="H4458">
        <v>0.1</v>
      </c>
      <c r="I4458" t="s">
        <v>3892</v>
      </c>
      <c r="J4458" t="s">
        <v>3469</v>
      </c>
      <c r="K4458" t="s">
        <v>3772</v>
      </c>
      <c r="L4458">
        <v>8.77</v>
      </c>
      <c r="M4458" s="453">
        <v>45596</v>
      </c>
      <c r="N4458">
        <v>6.4</v>
      </c>
      <c r="O4458">
        <v>6.4</v>
      </c>
      <c r="P4458">
        <v>0.88</v>
      </c>
    </row>
    <row r="4459" spans="1:16" x14ac:dyDescent="0.3">
      <c r="A4459">
        <v>5757</v>
      </c>
      <c r="B4459">
        <v>116</v>
      </c>
      <c r="C4459" t="s">
        <v>568</v>
      </c>
      <c r="D4459" s="453">
        <v>45597</v>
      </c>
      <c r="E4459">
        <v>22635</v>
      </c>
      <c r="F4459" t="s">
        <v>4559</v>
      </c>
      <c r="G4459">
        <v>3100</v>
      </c>
      <c r="H4459">
        <v>0.5</v>
      </c>
      <c r="I4459" t="s">
        <v>3888</v>
      </c>
      <c r="J4459" t="s">
        <v>3497</v>
      </c>
      <c r="K4459" t="s">
        <v>3772</v>
      </c>
      <c r="L4459">
        <v>0</v>
      </c>
      <c r="M4459" s="453">
        <v>-693593</v>
      </c>
      <c r="N4459">
        <v>0</v>
      </c>
      <c r="O4459">
        <v>0</v>
      </c>
      <c r="P4459">
        <v>0.81</v>
      </c>
    </row>
    <row r="4460" spans="1:16" x14ac:dyDescent="0.3">
      <c r="A4460">
        <v>5863</v>
      </c>
      <c r="B4460">
        <v>116</v>
      </c>
      <c r="C4460" t="s">
        <v>568</v>
      </c>
      <c r="D4460" s="453">
        <v>45597</v>
      </c>
      <c r="E4460">
        <v>19607</v>
      </c>
      <c r="F4460" t="s">
        <v>4105</v>
      </c>
      <c r="G4460">
        <v>2623</v>
      </c>
      <c r="H4460">
        <v>0.1</v>
      </c>
      <c r="I4460" t="s">
        <v>3892</v>
      </c>
      <c r="J4460" t="s">
        <v>3469</v>
      </c>
      <c r="K4460" t="s">
        <v>3772</v>
      </c>
      <c r="L4460">
        <v>7.79</v>
      </c>
      <c r="M4460" s="453">
        <v>45596</v>
      </c>
      <c r="N4460">
        <v>8.5</v>
      </c>
      <c r="O4460">
        <v>14.4</v>
      </c>
      <c r="P4460">
        <v>0.78</v>
      </c>
    </row>
    <row r="4461" spans="1:16" x14ac:dyDescent="0.3">
      <c r="A4461">
        <v>6715</v>
      </c>
      <c r="B4461">
        <v>116</v>
      </c>
      <c r="C4461" t="s">
        <v>568</v>
      </c>
      <c r="D4461" s="453">
        <v>45597</v>
      </c>
      <c r="E4461">
        <v>19574</v>
      </c>
      <c r="F4461" t="s">
        <v>4077</v>
      </c>
      <c r="G4461">
        <v>2644</v>
      </c>
      <c r="H4461">
        <v>0.5</v>
      </c>
      <c r="I4461" t="s">
        <v>3892</v>
      </c>
      <c r="J4461" t="s">
        <v>3469</v>
      </c>
      <c r="K4461" t="s">
        <v>3772</v>
      </c>
      <c r="L4461">
        <v>0</v>
      </c>
      <c r="M4461" s="453">
        <v>-693593</v>
      </c>
      <c r="N4461">
        <v>0</v>
      </c>
      <c r="O4461">
        <v>0</v>
      </c>
      <c r="P446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61"/>
  <sheetViews>
    <sheetView workbookViewId="0"/>
  </sheetViews>
  <sheetFormatPr defaultRowHeight="14.4" x14ac:dyDescent="0.3"/>
  <sheetData>
    <row r="1" spans="1:7" x14ac:dyDescent="0.3">
      <c r="A1" t="s">
        <v>2249</v>
      </c>
      <c r="B1" t="s">
        <v>4192</v>
      </c>
      <c r="C1" t="s">
        <v>4193</v>
      </c>
      <c r="D1" t="s">
        <v>566</v>
      </c>
      <c r="E1" t="s">
        <v>4560</v>
      </c>
      <c r="F1" t="s">
        <v>4561</v>
      </c>
      <c r="G1" t="s">
        <v>4441</v>
      </c>
    </row>
    <row r="2" spans="1:7" x14ac:dyDescent="0.3">
      <c r="A2" t="s">
        <v>568</v>
      </c>
      <c r="B2">
        <v>17942</v>
      </c>
      <c r="C2" t="s">
        <v>4035</v>
      </c>
      <c r="D2" t="s">
        <v>472</v>
      </c>
      <c r="E2">
        <v>6</v>
      </c>
      <c r="F2">
        <v>78</v>
      </c>
      <c r="G2">
        <v>13</v>
      </c>
    </row>
    <row r="3" spans="1:7" x14ac:dyDescent="0.3">
      <c r="A3" t="s">
        <v>568</v>
      </c>
      <c r="B3">
        <v>17093</v>
      </c>
      <c r="C3" t="s">
        <v>3993</v>
      </c>
      <c r="D3" t="s">
        <v>472</v>
      </c>
      <c r="E3">
        <v>58</v>
      </c>
      <c r="F3">
        <v>464</v>
      </c>
      <c r="G3">
        <v>8</v>
      </c>
    </row>
    <row r="4" spans="1:7" x14ac:dyDescent="0.3">
      <c r="A4" t="s">
        <v>568</v>
      </c>
      <c r="B4">
        <v>19787</v>
      </c>
      <c r="C4" t="s">
        <v>3940</v>
      </c>
      <c r="D4" t="s">
        <v>460</v>
      </c>
      <c r="E4">
        <v>37.5</v>
      </c>
      <c r="F4">
        <v>180.15</v>
      </c>
      <c r="G4">
        <v>4.8</v>
      </c>
    </row>
    <row r="5" spans="1:7" x14ac:dyDescent="0.3">
      <c r="A5" t="s">
        <v>568</v>
      </c>
      <c r="B5">
        <v>21093</v>
      </c>
      <c r="C5" t="s">
        <v>3903</v>
      </c>
      <c r="D5" t="s">
        <v>460</v>
      </c>
      <c r="E5">
        <v>30</v>
      </c>
      <c r="F5">
        <v>142.80000000000001</v>
      </c>
      <c r="G5">
        <v>4.76</v>
      </c>
    </row>
    <row r="6" spans="1:7" x14ac:dyDescent="0.3">
      <c r="A6" t="s">
        <v>568</v>
      </c>
      <c r="B6">
        <v>21085</v>
      </c>
      <c r="C6" t="s">
        <v>4114</v>
      </c>
      <c r="D6" t="s">
        <v>460</v>
      </c>
      <c r="E6">
        <v>1</v>
      </c>
      <c r="F6">
        <v>45.31</v>
      </c>
      <c r="G6">
        <v>45.31</v>
      </c>
    </row>
    <row r="7" spans="1:7" x14ac:dyDescent="0.3">
      <c r="A7" t="s">
        <v>568</v>
      </c>
      <c r="B7">
        <v>21078</v>
      </c>
      <c r="C7" t="s">
        <v>4049</v>
      </c>
      <c r="D7" t="s">
        <v>460</v>
      </c>
      <c r="E7">
        <v>1</v>
      </c>
      <c r="F7">
        <v>49.89</v>
      </c>
      <c r="G7">
        <v>49.89</v>
      </c>
    </row>
    <row r="8" spans="1:7" x14ac:dyDescent="0.3">
      <c r="A8" t="s">
        <v>568</v>
      </c>
      <c r="B8">
        <v>19458</v>
      </c>
      <c r="C8" t="s">
        <v>4212</v>
      </c>
      <c r="D8" t="s">
        <v>460</v>
      </c>
      <c r="E8">
        <v>5.45</v>
      </c>
      <c r="F8">
        <v>43.89</v>
      </c>
      <c r="G8">
        <v>8.0500000000000007</v>
      </c>
    </row>
    <row r="9" spans="1:7" x14ac:dyDescent="0.3">
      <c r="A9" t="s">
        <v>568</v>
      </c>
      <c r="B9">
        <v>24002</v>
      </c>
      <c r="C9" t="s">
        <v>3924</v>
      </c>
      <c r="D9" t="s">
        <v>460</v>
      </c>
      <c r="E9">
        <v>12</v>
      </c>
      <c r="F9">
        <v>929.04</v>
      </c>
      <c r="G9">
        <v>77.42</v>
      </c>
    </row>
    <row r="10" spans="1:7" x14ac:dyDescent="0.3">
      <c r="A10" t="s">
        <v>568</v>
      </c>
      <c r="B10">
        <v>17950</v>
      </c>
      <c r="C10" t="s">
        <v>4170</v>
      </c>
      <c r="D10" t="s">
        <v>460</v>
      </c>
      <c r="E10">
        <v>45</v>
      </c>
      <c r="F10">
        <v>757.5</v>
      </c>
      <c r="G10">
        <v>16.829999999999998</v>
      </c>
    </row>
    <row r="11" spans="1:7" x14ac:dyDescent="0.3">
      <c r="A11" t="s">
        <v>568</v>
      </c>
      <c r="B11">
        <v>17958</v>
      </c>
      <c r="C11" t="s">
        <v>4141</v>
      </c>
      <c r="D11" t="s">
        <v>460</v>
      </c>
      <c r="E11">
        <v>70</v>
      </c>
      <c r="F11">
        <v>1113</v>
      </c>
      <c r="G11">
        <v>15.9</v>
      </c>
    </row>
    <row r="12" spans="1:7" x14ac:dyDescent="0.3">
      <c r="A12" t="s">
        <v>568</v>
      </c>
      <c r="B12">
        <v>17314</v>
      </c>
      <c r="C12" t="s">
        <v>4204</v>
      </c>
      <c r="D12" t="s">
        <v>460</v>
      </c>
      <c r="E12">
        <v>10</v>
      </c>
      <c r="F12">
        <v>61.4</v>
      </c>
      <c r="G12">
        <v>6.14</v>
      </c>
    </row>
    <row r="13" spans="1:7" x14ac:dyDescent="0.3">
      <c r="A13" t="s">
        <v>568</v>
      </c>
      <c r="B13">
        <v>18006</v>
      </c>
      <c r="C13" t="s">
        <v>4138</v>
      </c>
      <c r="D13" t="s">
        <v>460</v>
      </c>
      <c r="E13">
        <v>4</v>
      </c>
      <c r="F13">
        <v>118.56</v>
      </c>
      <c r="G13">
        <v>29.64</v>
      </c>
    </row>
    <row r="14" spans="1:7" x14ac:dyDescent="0.3">
      <c r="A14" t="s">
        <v>568</v>
      </c>
      <c r="B14">
        <v>18004</v>
      </c>
      <c r="C14" t="s">
        <v>4140</v>
      </c>
      <c r="D14" t="s">
        <v>460</v>
      </c>
      <c r="E14">
        <v>4</v>
      </c>
      <c r="F14">
        <v>118.56</v>
      </c>
      <c r="G14">
        <v>29.64</v>
      </c>
    </row>
    <row r="15" spans="1:7" x14ac:dyDescent="0.3">
      <c r="A15" t="s">
        <v>568</v>
      </c>
      <c r="B15">
        <v>17266</v>
      </c>
      <c r="C15" t="s">
        <v>4229</v>
      </c>
      <c r="D15" t="s">
        <v>460</v>
      </c>
      <c r="E15">
        <v>60</v>
      </c>
      <c r="F15">
        <v>305.16000000000003</v>
      </c>
      <c r="G15">
        <v>5.09</v>
      </c>
    </row>
    <row r="16" spans="1:7" x14ac:dyDescent="0.3">
      <c r="A16" t="s">
        <v>568</v>
      </c>
      <c r="B16">
        <v>19506</v>
      </c>
      <c r="C16" t="s">
        <v>4112</v>
      </c>
      <c r="D16" t="s">
        <v>460</v>
      </c>
      <c r="E16">
        <v>2.1</v>
      </c>
      <c r="F16">
        <v>89.33</v>
      </c>
      <c r="G16">
        <v>42.54</v>
      </c>
    </row>
    <row r="17" spans="1:7" x14ac:dyDescent="0.3">
      <c r="A17" t="s">
        <v>568</v>
      </c>
      <c r="B17">
        <v>19505</v>
      </c>
      <c r="C17" t="s">
        <v>4101</v>
      </c>
      <c r="D17" t="s">
        <v>460</v>
      </c>
      <c r="E17">
        <v>13</v>
      </c>
      <c r="F17">
        <v>75.349999999999994</v>
      </c>
      <c r="G17">
        <v>5.8</v>
      </c>
    </row>
    <row r="18" spans="1:7" x14ac:dyDescent="0.3">
      <c r="A18" t="s">
        <v>568</v>
      </c>
      <c r="B18">
        <v>19498</v>
      </c>
      <c r="C18" t="s">
        <v>4065</v>
      </c>
      <c r="D18" t="s">
        <v>460</v>
      </c>
      <c r="E18">
        <v>10</v>
      </c>
      <c r="F18">
        <v>79</v>
      </c>
      <c r="G18">
        <v>7.9</v>
      </c>
    </row>
    <row r="19" spans="1:7" x14ac:dyDescent="0.3">
      <c r="A19" t="s">
        <v>568</v>
      </c>
      <c r="B19">
        <v>19652</v>
      </c>
      <c r="C19" t="s">
        <v>4014</v>
      </c>
      <c r="D19" t="s">
        <v>460</v>
      </c>
      <c r="E19">
        <v>1.1000000000000001</v>
      </c>
      <c r="F19">
        <v>25.28</v>
      </c>
      <c r="G19">
        <v>22.98</v>
      </c>
    </row>
    <row r="20" spans="1:7" x14ac:dyDescent="0.3">
      <c r="A20" t="s">
        <v>568</v>
      </c>
      <c r="B20">
        <v>23270</v>
      </c>
      <c r="C20" t="s">
        <v>4103</v>
      </c>
      <c r="D20" t="s">
        <v>460</v>
      </c>
      <c r="E20">
        <v>1</v>
      </c>
      <c r="F20">
        <v>26.66</v>
      </c>
      <c r="G20">
        <v>26.66</v>
      </c>
    </row>
    <row r="21" spans="1:7" x14ac:dyDescent="0.3">
      <c r="A21" t="s">
        <v>568</v>
      </c>
      <c r="B21">
        <v>19647</v>
      </c>
      <c r="C21" t="s">
        <v>4066</v>
      </c>
      <c r="D21" t="s">
        <v>460</v>
      </c>
      <c r="E21">
        <v>3</v>
      </c>
      <c r="F21">
        <v>19</v>
      </c>
      <c r="G21">
        <v>6.33</v>
      </c>
    </row>
    <row r="22" spans="1:7" x14ac:dyDescent="0.3">
      <c r="A22" t="s">
        <v>568</v>
      </c>
      <c r="B22">
        <v>24037</v>
      </c>
      <c r="C22" t="s">
        <v>4104</v>
      </c>
      <c r="D22" t="s">
        <v>460</v>
      </c>
      <c r="E22">
        <v>18</v>
      </c>
      <c r="F22">
        <v>364</v>
      </c>
      <c r="G22">
        <v>20.22</v>
      </c>
    </row>
    <row r="23" spans="1:7" x14ac:dyDescent="0.3">
      <c r="A23" t="s">
        <v>568</v>
      </c>
      <c r="B23">
        <v>18528</v>
      </c>
      <c r="C23" t="s">
        <v>4108</v>
      </c>
      <c r="D23" t="s">
        <v>460</v>
      </c>
      <c r="E23">
        <v>1</v>
      </c>
      <c r="F23">
        <v>55.48</v>
      </c>
      <c r="G23">
        <v>55.48</v>
      </c>
    </row>
    <row r="24" spans="1:7" x14ac:dyDescent="0.3">
      <c r="A24" t="s">
        <v>568</v>
      </c>
      <c r="B24">
        <v>18545</v>
      </c>
      <c r="C24" t="s">
        <v>4099</v>
      </c>
      <c r="D24" t="s">
        <v>460</v>
      </c>
      <c r="E24">
        <v>1</v>
      </c>
      <c r="F24">
        <v>45.77</v>
      </c>
      <c r="G24">
        <v>45.77</v>
      </c>
    </row>
    <row r="25" spans="1:7" x14ac:dyDescent="0.3">
      <c r="A25" t="s">
        <v>568</v>
      </c>
      <c r="B25">
        <v>18538</v>
      </c>
      <c r="C25" t="s">
        <v>4026</v>
      </c>
      <c r="D25" t="s">
        <v>460</v>
      </c>
      <c r="E25">
        <v>3</v>
      </c>
      <c r="F25">
        <v>305.99</v>
      </c>
      <c r="G25">
        <v>102</v>
      </c>
    </row>
    <row r="26" spans="1:7" x14ac:dyDescent="0.3">
      <c r="A26" t="s">
        <v>568</v>
      </c>
      <c r="B26">
        <v>20304</v>
      </c>
      <c r="C26" t="s">
        <v>3938</v>
      </c>
      <c r="D26" t="s">
        <v>460</v>
      </c>
      <c r="E26">
        <v>24</v>
      </c>
      <c r="F26">
        <v>830.16</v>
      </c>
      <c r="G26">
        <v>34.590000000000003</v>
      </c>
    </row>
    <row r="27" spans="1:7" x14ac:dyDescent="0.3">
      <c r="A27" t="s">
        <v>568</v>
      </c>
      <c r="B27">
        <v>21783</v>
      </c>
      <c r="C27" t="s">
        <v>4228</v>
      </c>
      <c r="D27" t="s">
        <v>460</v>
      </c>
      <c r="E27">
        <v>6</v>
      </c>
      <c r="F27">
        <v>67.3</v>
      </c>
      <c r="G27">
        <v>11.22</v>
      </c>
    </row>
    <row r="28" spans="1:7" x14ac:dyDescent="0.3">
      <c r="A28" t="s">
        <v>568</v>
      </c>
      <c r="B28">
        <v>21030</v>
      </c>
      <c r="C28" t="s">
        <v>3890</v>
      </c>
      <c r="D28" t="s">
        <v>460</v>
      </c>
      <c r="E28">
        <v>24</v>
      </c>
      <c r="F28">
        <v>464.4</v>
      </c>
      <c r="G28">
        <v>19.350000000000001</v>
      </c>
    </row>
    <row r="29" spans="1:7" x14ac:dyDescent="0.3">
      <c r="A29" t="s">
        <v>568</v>
      </c>
      <c r="B29">
        <v>23982</v>
      </c>
      <c r="C29" t="s">
        <v>3977</v>
      </c>
      <c r="D29" t="s">
        <v>460</v>
      </c>
      <c r="E29">
        <v>1</v>
      </c>
      <c r="F29">
        <v>240.5</v>
      </c>
      <c r="G29">
        <v>240.5</v>
      </c>
    </row>
    <row r="30" spans="1:7" x14ac:dyDescent="0.3">
      <c r="A30" t="s">
        <v>568</v>
      </c>
      <c r="B30">
        <v>20752</v>
      </c>
      <c r="C30" t="s">
        <v>3964</v>
      </c>
      <c r="D30" t="s">
        <v>460</v>
      </c>
      <c r="E30">
        <v>10</v>
      </c>
      <c r="F30">
        <v>1088.3</v>
      </c>
      <c r="G30">
        <v>108.83</v>
      </c>
    </row>
    <row r="31" spans="1:7" x14ac:dyDescent="0.3">
      <c r="A31" t="s">
        <v>568</v>
      </c>
      <c r="B31">
        <v>20729</v>
      </c>
      <c r="C31" t="s">
        <v>3965</v>
      </c>
      <c r="D31" t="s">
        <v>460</v>
      </c>
      <c r="E31">
        <v>10</v>
      </c>
      <c r="F31">
        <v>644.6</v>
      </c>
      <c r="G31">
        <v>64.459999999999994</v>
      </c>
    </row>
    <row r="32" spans="1:7" x14ac:dyDescent="0.3">
      <c r="A32" t="s">
        <v>568</v>
      </c>
      <c r="B32">
        <v>20724</v>
      </c>
      <c r="C32" t="s">
        <v>4423</v>
      </c>
      <c r="D32" t="s">
        <v>460</v>
      </c>
      <c r="E32">
        <v>2</v>
      </c>
      <c r="F32">
        <v>131.80000000000001</v>
      </c>
      <c r="G32">
        <v>65.900000000000006</v>
      </c>
    </row>
    <row r="33" spans="1:7" x14ac:dyDescent="0.3">
      <c r="A33" t="s">
        <v>568</v>
      </c>
      <c r="B33">
        <v>22734</v>
      </c>
      <c r="C33" t="s">
        <v>3955</v>
      </c>
      <c r="D33" t="s">
        <v>460</v>
      </c>
      <c r="E33">
        <v>50.5</v>
      </c>
      <c r="F33">
        <v>4889.5</v>
      </c>
      <c r="G33">
        <v>96.82</v>
      </c>
    </row>
    <row r="34" spans="1:7" x14ac:dyDescent="0.3">
      <c r="A34" t="s">
        <v>568</v>
      </c>
      <c r="B34">
        <v>24072</v>
      </c>
      <c r="C34" t="s">
        <v>4002</v>
      </c>
      <c r="D34" t="s">
        <v>460</v>
      </c>
      <c r="E34">
        <v>9.3000000000000007</v>
      </c>
      <c r="F34">
        <v>1980.9</v>
      </c>
      <c r="G34">
        <v>213</v>
      </c>
    </row>
    <row r="35" spans="1:7" x14ac:dyDescent="0.3">
      <c r="A35" t="s">
        <v>568</v>
      </c>
      <c r="B35">
        <v>22721</v>
      </c>
      <c r="C35" t="s">
        <v>4221</v>
      </c>
      <c r="D35" t="s">
        <v>460</v>
      </c>
      <c r="E35">
        <v>20.38</v>
      </c>
      <c r="F35">
        <v>574.59</v>
      </c>
      <c r="G35">
        <v>28.19</v>
      </c>
    </row>
    <row r="36" spans="1:7" x14ac:dyDescent="0.3">
      <c r="A36" t="s">
        <v>568</v>
      </c>
      <c r="B36">
        <v>23389</v>
      </c>
      <c r="C36" t="s">
        <v>4016</v>
      </c>
      <c r="D36" t="s">
        <v>460</v>
      </c>
      <c r="E36">
        <v>50.6</v>
      </c>
      <c r="F36">
        <v>290.74</v>
      </c>
      <c r="G36">
        <v>5.75</v>
      </c>
    </row>
    <row r="37" spans="1:7" x14ac:dyDescent="0.3">
      <c r="A37" t="s">
        <v>568</v>
      </c>
      <c r="B37">
        <v>24083</v>
      </c>
      <c r="C37" t="s">
        <v>3898</v>
      </c>
      <c r="D37" t="s">
        <v>460</v>
      </c>
      <c r="E37">
        <v>170</v>
      </c>
      <c r="F37">
        <v>594.20000000000005</v>
      </c>
      <c r="G37">
        <v>3.5</v>
      </c>
    </row>
    <row r="38" spans="1:7" x14ac:dyDescent="0.3">
      <c r="A38" t="s">
        <v>568</v>
      </c>
      <c r="B38">
        <v>20278</v>
      </c>
      <c r="C38" t="s">
        <v>3939</v>
      </c>
      <c r="D38" t="s">
        <v>460</v>
      </c>
      <c r="E38">
        <v>20</v>
      </c>
      <c r="F38">
        <v>665.4</v>
      </c>
      <c r="G38">
        <v>33.270000000000003</v>
      </c>
    </row>
    <row r="39" spans="1:7" x14ac:dyDescent="0.3">
      <c r="A39" t="s">
        <v>568</v>
      </c>
      <c r="B39">
        <v>19642</v>
      </c>
      <c r="C39" t="s">
        <v>4067</v>
      </c>
      <c r="D39" t="s">
        <v>460</v>
      </c>
      <c r="E39">
        <v>3.2</v>
      </c>
      <c r="F39">
        <v>14.63</v>
      </c>
      <c r="G39">
        <v>4.57</v>
      </c>
    </row>
    <row r="40" spans="1:7" x14ac:dyDescent="0.3">
      <c r="A40" t="s">
        <v>568</v>
      </c>
      <c r="B40">
        <v>20287</v>
      </c>
      <c r="C40" t="s">
        <v>4053</v>
      </c>
      <c r="D40" t="s">
        <v>460</v>
      </c>
      <c r="E40">
        <v>3</v>
      </c>
      <c r="F40">
        <v>74.55</v>
      </c>
      <c r="G40">
        <v>24.85</v>
      </c>
    </row>
    <row r="41" spans="1:7" x14ac:dyDescent="0.3">
      <c r="A41" t="s">
        <v>568</v>
      </c>
      <c r="B41">
        <v>19634</v>
      </c>
      <c r="C41" t="s">
        <v>4068</v>
      </c>
      <c r="D41" t="s">
        <v>460</v>
      </c>
      <c r="E41">
        <v>12</v>
      </c>
      <c r="F41">
        <v>59.2</v>
      </c>
      <c r="G41">
        <v>4.93</v>
      </c>
    </row>
    <row r="42" spans="1:7" x14ac:dyDescent="0.3">
      <c r="A42" t="s">
        <v>568</v>
      </c>
      <c r="B42">
        <v>18696</v>
      </c>
      <c r="C42" t="s">
        <v>3956</v>
      </c>
      <c r="D42" t="s">
        <v>460</v>
      </c>
      <c r="E42">
        <v>5</v>
      </c>
      <c r="F42">
        <v>89.95</v>
      </c>
      <c r="G42">
        <v>17.989999999999998</v>
      </c>
    </row>
    <row r="43" spans="1:7" x14ac:dyDescent="0.3">
      <c r="A43" t="s">
        <v>568</v>
      </c>
      <c r="B43">
        <v>17381</v>
      </c>
      <c r="C43" t="s">
        <v>4247</v>
      </c>
      <c r="D43" t="s">
        <v>460</v>
      </c>
      <c r="E43">
        <v>4</v>
      </c>
      <c r="F43">
        <v>158.9</v>
      </c>
      <c r="G43">
        <v>39.729999999999997</v>
      </c>
    </row>
    <row r="44" spans="1:7" x14ac:dyDescent="0.3">
      <c r="A44" t="s">
        <v>568</v>
      </c>
      <c r="B44">
        <v>17573</v>
      </c>
      <c r="C44" t="s">
        <v>4306</v>
      </c>
      <c r="D44" t="s">
        <v>460</v>
      </c>
      <c r="E44">
        <v>1</v>
      </c>
      <c r="F44">
        <v>78</v>
      </c>
      <c r="G44">
        <v>78</v>
      </c>
    </row>
    <row r="45" spans="1:7" x14ac:dyDescent="0.3">
      <c r="A45" t="s">
        <v>568</v>
      </c>
      <c r="B45">
        <v>19494</v>
      </c>
      <c r="C45" t="s">
        <v>4126</v>
      </c>
      <c r="D45" t="s">
        <v>460</v>
      </c>
      <c r="E45">
        <v>8.8000000000000007</v>
      </c>
      <c r="F45">
        <v>100.95</v>
      </c>
      <c r="G45">
        <v>11.47</v>
      </c>
    </row>
    <row r="46" spans="1:7" x14ac:dyDescent="0.3">
      <c r="A46" t="s">
        <v>568</v>
      </c>
      <c r="B46">
        <v>24599</v>
      </c>
      <c r="C46" t="s">
        <v>3897</v>
      </c>
      <c r="D46" t="s">
        <v>460</v>
      </c>
      <c r="E46">
        <v>1</v>
      </c>
      <c r="F46">
        <v>103.1</v>
      </c>
      <c r="G46">
        <v>103.1</v>
      </c>
    </row>
    <row r="47" spans="1:7" x14ac:dyDescent="0.3">
      <c r="A47" t="s">
        <v>568</v>
      </c>
      <c r="B47">
        <v>18450</v>
      </c>
      <c r="C47" t="s">
        <v>4253</v>
      </c>
      <c r="D47" t="s">
        <v>460</v>
      </c>
      <c r="E47">
        <v>60</v>
      </c>
      <c r="F47">
        <v>2280</v>
      </c>
      <c r="G47">
        <v>38</v>
      </c>
    </row>
    <row r="48" spans="1:7" x14ac:dyDescent="0.3">
      <c r="A48" t="s">
        <v>568</v>
      </c>
      <c r="B48">
        <v>18493</v>
      </c>
      <c r="C48" t="s">
        <v>3958</v>
      </c>
      <c r="D48" t="s">
        <v>460</v>
      </c>
      <c r="E48">
        <v>4</v>
      </c>
      <c r="F48">
        <v>279.60000000000002</v>
      </c>
      <c r="G48">
        <v>69.900000000000006</v>
      </c>
    </row>
    <row r="49" spans="1:7" x14ac:dyDescent="0.3">
      <c r="A49" t="s">
        <v>568</v>
      </c>
      <c r="B49">
        <v>18475</v>
      </c>
      <c r="C49" t="s">
        <v>3918</v>
      </c>
      <c r="D49" t="s">
        <v>460</v>
      </c>
      <c r="E49">
        <v>36</v>
      </c>
      <c r="F49">
        <v>1184.4000000000001</v>
      </c>
      <c r="G49">
        <v>32.9</v>
      </c>
    </row>
    <row r="50" spans="1:7" x14ac:dyDescent="0.3">
      <c r="A50" t="s">
        <v>568</v>
      </c>
      <c r="B50">
        <v>18467</v>
      </c>
      <c r="C50" t="s">
        <v>4028</v>
      </c>
      <c r="D50" t="s">
        <v>460</v>
      </c>
      <c r="E50">
        <v>4</v>
      </c>
      <c r="F50">
        <v>300.32</v>
      </c>
      <c r="G50">
        <v>75.08</v>
      </c>
    </row>
    <row r="51" spans="1:7" x14ac:dyDescent="0.3">
      <c r="A51" t="s">
        <v>568</v>
      </c>
      <c r="B51">
        <v>20809</v>
      </c>
      <c r="C51" t="s">
        <v>4005</v>
      </c>
      <c r="D51" t="s">
        <v>460</v>
      </c>
      <c r="E51">
        <v>15</v>
      </c>
      <c r="F51">
        <v>515.82000000000005</v>
      </c>
      <c r="G51">
        <v>34.39</v>
      </c>
    </row>
    <row r="52" spans="1:7" x14ac:dyDescent="0.3">
      <c r="A52" t="s">
        <v>568</v>
      </c>
      <c r="B52">
        <v>23385</v>
      </c>
      <c r="C52" t="s">
        <v>4069</v>
      </c>
      <c r="D52" t="s">
        <v>460</v>
      </c>
      <c r="E52">
        <v>2.4</v>
      </c>
      <c r="F52">
        <v>74.819999999999993</v>
      </c>
      <c r="G52">
        <v>31.18</v>
      </c>
    </row>
    <row r="53" spans="1:7" x14ac:dyDescent="0.3">
      <c r="A53" t="s">
        <v>568</v>
      </c>
      <c r="B53">
        <v>20077</v>
      </c>
      <c r="C53" t="s">
        <v>4054</v>
      </c>
      <c r="D53" t="s">
        <v>460</v>
      </c>
      <c r="E53">
        <v>4</v>
      </c>
      <c r="F53">
        <v>65.28</v>
      </c>
      <c r="G53">
        <v>16.32</v>
      </c>
    </row>
    <row r="54" spans="1:7" x14ac:dyDescent="0.3">
      <c r="A54" t="s">
        <v>568</v>
      </c>
      <c r="B54">
        <v>24116</v>
      </c>
      <c r="C54" t="s">
        <v>3963</v>
      </c>
      <c r="D54" t="s">
        <v>460</v>
      </c>
      <c r="E54">
        <v>25</v>
      </c>
      <c r="F54">
        <v>1047.5</v>
      </c>
      <c r="G54">
        <v>41.9</v>
      </c>
    </row>
    <row r="55" spans="1:7" x14ac:dyDescent="0.3">
      <c r="A55" t="s">
        <v>568</v>
      </c>
      <c r="B55">
        <v>26193</v>
      </c>
      <c r="C55" t="s">
        <v>3950</v>
      </c>
      <c r="D55" t="s">
        <v>460</v>
      </c>
      <c r="E55">
        <v>4</v>
      </c>
      <c r="F55">
        <v>55.8</v>
      </c>
      <c r="G55">
        <v>13.95</v>
      </c>
    </row>
    <row r="56" spans="1:7" x14ac:dyDescent="0.3">
      <c r="A56" t="s">
        <v>568</v>
      </c>
      <c r="B56">
        <v>24509</v>
      </c>
      <c r="C56" t="s">
        <v>3906</v>
      </c>
      <c r="D56" t="s">
        <v>460</v>
      </c>
      <c r="E56">
        <v>110.2</v>
      </c>
      <c r="F56">
        <v>213.65</v>
      </c>
      <c r="G56">
        <v>1.94</v>
      </c>
    </row>
    <row r="57" spans="1:7" x14ac:dyDescent="0.3">
      <c r="A57" t="s">
        <v>568</v>
      </c>
      <c r="B57">
        <v>19623</v>
      </c>
      <c r="C57" t="s">
        <v>3984</v>
      </c>
      <c r="D57" t="s">
        <v>460</v>
      </c>
      <c r="E57">
        <v>18</v>
      </c>
      <c r="F57">
        <v>90.99</v>
      </c>
      <c r="G57">
        <v>5.0599999999999996</v>
      </c>
    </row>
    <row r="58" spans="1:7" x14ac:dyDescent="0.3">
      <c r="A58" t="s">
        <v>568</v>
      </c>
      <c r="B58">
        <v>19621</v>
      </c>
      <c r="C58" t="s">
        <v>4125</v>
      </c>
      <c r="D58" t="s">
        <v>460</v>
      </c>
      <c r="E58">
        <v>4</v>
      </c>
      <c r="F58">
        <v>9.8000000000000007</v>
      </c>
      <c r="G58">
        <v>2.4500000000000002</v>
      </c>
    </row>
    <row r="59" spans="1:7" x14ac:dyDescent="0.3">
      <c r="A59" t="s">
        <v>568</v>
      </c>
      <c r="B59">
        <v>18640</v>
      </c>
      <c r="C59" t="s">
        <v>3994</v>
      </c>
      <c r="D59" t="s">
        <v>460</v>
      </c>
      <c r="E59">
        <v>8</v>
      </c>
      <c r="F59">
        <v>2448</v>
      </c>
      <c r="G59">
        <v>306</v>
      </c>
    </row>
    <row r="60" spans="1:7" x14ac:dyDescent="0.3">
      <c r="A60" t="s">
        <v>568</v>
      </c>
      <c r="B60">
        <v>18636</v>
      </c>
      <c r="C60" t="s">
        <v>3921</v>
      </c>
      <c r="D60" t="s">
        <v>460</v>
      </c>
      <c r="E60">
        <v>140</v>
      </c>
      <c r="F60">
        <v>67592</v>
      </c>
      <c r="G60">
        <v>482.8</v>
      </c>
    </row>
    <row r="61" spans="1:7" x14ac:dyDescent="0.3">
      <c r="A61" t="s">
        <v>568</v>
      </c>
      <c r="B61">
        <v>18948</v>
      </c>
      <c r="C61" t="s">
        <v>3961</v>
      </c>
      <c r="D61" t="s">
        <v>460</v>
      </c>
      <c r="E61">
        <v>33.130000000000003</v>
      </c>
      <c r="F61">
        <v>2214.96</v>
      </c>
      <c r="G61">
        <v>66.86</v>
      </c>
    </row>
    <row r="62" spans="1:7" x14ac:dyDescent="0.3">
      <c r="A62" t="s">
        <v>568</v>
      </c>
      <c r="B62">
        <v>22857</v>
      </c>
      <c r="C62" t="s">
        <v>4130</v>
      </c>
      <c r="D62" t="s">
        <v>460</v>
      </c>
      <c r="E62">
        <v>54.66</v>
      </c>
      <c r="F62">
        <v>3251.68</v>
      </c>
      <c r="G62">
        <v>59.49</v>
      </c>
    </row>
    <row r="63" spans="1:7" x14ac:dyDescent="0.3">
      <c r="A63" t="s">
        <v>568</v>
      </c>
      <c r="B63">
        <v>19617</v>
      </c>
      <c r="C63" t="s">
        <v>4110</v>
      </c>
      <c r="D63" t="s">
        <v>460</v>
      </c>
      <c r="E63">
        <v>1.5</v>
      </c>
      <c r="F63">
        <v>23.5</v>
      </c>
      <c r="G63">
        <v>15.67</v>
      </c>
    </row>
    <row r="64" spans="1:7" x14ac:dyDescent="0.3">
      <c r="A64" t="s">
        <v>568</v>
      </c>
      <c r="B64">
        <v>20702</v>
      </c>
      <c r="C64" t="s">
        <v>4006</v>
      </c>
      <c r="D64" t="s">
        <v>460</v>
      </c>
      <c r="E64">
        <v>2</v>
      </c>
      <c r="F64">
        <v>103.89</v>
      </c>
      <c r="G64">
        <v>51.95</v>
      </c>
    </row>
    <row r="65" spans="1:7" x14ac:dyDescent="0.3">
      <c r="A65" t="s">
        <v>568</v>
      </c>
      <c r="B65">
        <v>24185</v>
      </c>
      <c r="C65" t="s">
        <v>4040</v>
      </c>
      <c r="D65" t="s">
        <v>460</v>
      </c>
      <c r="E65">
        <v>4</v>
      </c>
      <c r="F65">
        <v>92.4</v>
      </c>
      <c r="G65">
        <v>23.1</v>
      </c>
    </row>
    <row r="66" spans="1:7" x14ac:dyDescent="0.3">
      <c r="A66" t="s">
        <v>568</v>
      </c>
      <c r="B66">
        <v>28392</v>
      </c>
      <c r="C66" t="s">
        <v>4431</v>
      </c>
      <c r="D66" t="s">
        <v>460</v>
      </c>
      <c r="E66">
        <v>1</v>
      </c>
      <c r="F66">
        <v>1365</v>
      </c>
      <c r="G66">
        <v>1365</v>
      </c>
    </row>
    <row r="67" spans="1:7" x14ac:dyDescent="0.3">
      <c r="A67" t="s">
        <v>568</v>
      </c>
      <c r="B67">
        <v>28486</v>
      </c>
      <c r="C67" t="s">
        <v>4429</v>
      </c>
      <c r="D67" t="s">
        <v>460</v>
      </c>
      <c r="E67">
        <v>1</v>
      </c>
      <c r="F67">
        <v>2040</v>
      </c>
      <c r="G67">
        <v>2040</v>
      </c>
    </row>
    <row r="68" spans="1:7" x14ac:dyDescent="0.3">
      <c r="A68" t="s">
        <v>568</v>
      </c>
      <c r="B68">
        <v>20555</v>
      </c>
      <c r="C68" t="s">
        <v>3959</v>
      </c>
      <c r="D68" t="s">
        <v>460</v>
      </c>
      <c r="E68">
        <v>26.2</v>
      </c>
      <c r="F68">
        <v>2069.8000000000002</v>
      </c>
      <c r="G68">
        <v>79</v>
      </c>
    </row>
    <row r="69" spans="1:7" x14ac:dyDescent="0.3">
      <c r="A69" t="s">
        <v>568</v>
      </c>
      <c r="B69">
        <v>20549</v>
      </c>
      <c r="C69" t="s">
        <v>4007</v>
      </c>
      <c r="D69" t="s">
        <v>460</v>
      </c>
      <c r="E69">
        <v>43.18</v>
      </c>
      <c r="F69">
        <v>863.07</v>
      </c>
      <c r="G69">
        <v>19.989999999999998</v>
      </c>
    </row>
    <row r="70" spans="1:7" x14ac:dyDescent="0.3">
      <c r="A70" t="s">
        <v>568</v>
      </c>
      <c r="B70">
        <v>24550</v>
      </c>
      <c r="C70" t="s">
        <v>4270</v>
      </c>
      <c r="D70" t="s">
        <v>460</v>
      </c>
      <c r="E70">
        <v>360</v>
      </c>
      <c r="F70">
        <v>1616.4</v>
      </c>
      <c r="G70">
        <v>4.49</v>
      </c>
    </row>
    <row r="71" spans="1:7" x14ac:dyDescent="0.3">
      <c r="A71" t="s">
        <v>568</v>
      </c>
      <c r="B71">
        <v>24933</v>
      </c>
      <c r="C71" t="s">
        <v>4436</v>
      </c>
      <c r="D71" t="s">
        <v>460</v>
      </c>
      <c r="E71">
        <v>24</v>
      </c>
      <c r="F71">
        <v>648</v>
      </c>
      <c r="G71">
        <v>27</v>
      </c>
    </row>
    <row r="72" spans="1:7" x14ac:dyDescent="0.3">
      <c r="A72" t="s">
        <v>568</v>
      </c>
      <c r="B72">
        <v>18933</v>
      </c>
      <c r="C72" t="s">
        <v>3957</v>
      </c>
      <c r="D72" t="s">
        <v>460</v>
      </c>
      <c r="E72">
        <v>5.2</v>
      </c>
      <c r="F72">
        <v>127.4</v>
      </c>
      <c r="G72">
        <v>24.5</v>
      </c>
    </row>
    <row r="73" spans="1:7" x14ac:dyDescent="0.3">
      <c r="A73" t="s">
        <v>568</v>
      </c>
      <c r="B73">
        <v>24200</v>
      </c>
      <c r="C73" t="s">
        <v>3975</v>
      </c>
      <c r="D73" t="s">
        <v>460</v>
      </c>
      <c r="E73">
        <v>11.7</v>
      </c>
      <c r="F73">
        <v>384.93</v>
      </c>
      <c r="G73">
        <v>32.9</v>
      </c>
    </row>
    <row r="74" spans="1:7" x14ac:dyDescent="0.3">
      <c r="A74" t="s">
        <v>568</v>
      </c>
      <c r="B74">
        <v>23236</v>
      </c>
      <c r="C74" t="s">
        <v>4017</v>
      </c>
      <c r="D74" t="s">
        <v>460</v>
      </c>
      <c r="E74">
        <v>30</v>
      </c>
      <c r="F74">
        <v>160.80000000000001</v>
      </c>
      <c r="G74">
        <v>5.36</v>
      </c>
    </row>
    <row r="75" spans="1:7" x14ac:dyDescent="0.3">
      <c r="A75" t="s">
        <v>568</v>
      </c>
      <c r="B75">
        <v>19034</v>
      </c>
      <c r="C75" t="s">
        <v>3989</v>
      </c>
      <c r="D75" t="s">
        <v>460</v>
      </c>
      <c r="E75">
        <v>10.65</v>
      </c>
      <c r="F75">
        <v>115.54</v>
      </c>
      <c r="G75">
        <v>10.85</v>
      </c>
    </row>
    <row r="76" spans="1:7" x14ac:dyDescent="0.3">
      <c r="A76" t="s">
        <v>568</v>
      </c>
      <c r="B76">
        <v>24212</v>
      </c>
      <c r="C76" t="s">
        <v>4056</v>
      </c>
      <c r="D76" t="s">
        <v>460</v>
      </c>
      <c r="E76">
        <v>2</v>
      </c>
      <c r="F76">
        <v>25</v>
      </c>
      <c r="G76">
        <v>12.5</v>
      </c>
    </row>
    <row r="77" spans="1:7" x14ac:dyDescent="0.3">
      <c r="A77" t="s">
        <v>568</v>
      </c>
      <c r="B77">
        <v>20682</v>
      </c>
      <c r="C77" t="s">
        <v>3929</v>
      </c>
      <c r="D77" t="s">
        <v>460</v>
      </c>
      <c r="E77">
        <v>24</v>
      </c>
      <c r="F77">
        <v>239.64</v>
      </c>
      <c r="G77">
        <v>9.99</v>
      </c>
    </row>
    <row r="78" spans="1:7" x14ac:dyDescent="0.3">
      <c r="A78" t="s">
        <v>568</v>
      </c>
      <c r="B78">
        <v>20685</v>
      </c>
      <c r="C78" t="s">
        <v>4122</v>
      </c>
      <c r="D78" t="s">
        <v>460</v>
      </c>
      <c r="E78">
        <v>29</v>
      </c>
      <c r="F78">
        <v>94.09</v>
      </c>
      <c r="G78">
        <v>3.24</v>
      </c>
    </row>
    <row r="79" spans="1:7" x14ac:dyDescent="0.3">
      <c r="A79" t="s">
        <v>568</v>
      </c>
      <c r="B79">
        <v>24495</v>
      </c>
      <c r="C79" t="s">
        <v>4274</v>
      </c>
      <c r="D79" t="s">
        <v>460</v>
      </c>
      <c r="E79">
        <v>1</v>
      </c>
      <c r="F79">
        <v>42</v>
      </c>
      <c r="G79">
        <v>42</v>
      </c>
    </row>
    <row r="80" spans="1:7" x14ac:dyDescent="0.3">
      <c r="A80" t="s">
        <v>568</v>
      </c>
      <c r="B80">
        <v>17230</v>
      </c>
      <c r="C80" t="s">
        <v>4281</v>
      </c>
      <c r="D80" t="s">
        <v>460</v>
      </c>
      <c r="E80">
        <v>1</v>
      </c>
      <c r="F80">
        <v>42</v>
      </c>
      <c r="G80">
        <v>42</v>
      </c>
    </row>
    <row r="81" spans="1:7" x14ac:dyDescent="0.3">
      <c r="A81" t="s">
        <v>568</v>
      </c>
      <c r="B81">
        <v>17215</v>
      </c>
      <c r="C81" t="s">
        <v>4283</v>
      </c>
      <c r="D81" t="s">
        <v>460</v>
      </c>
      <c r="E81">
        <v>26</v>
      </c>
      <c r="F81">
        <v>530</v>
      </c>
      <c r="G81">
        <v>20.38</v>
      </c>
    </row>
    <row r="82" spans="1:7" x14ac:dyDescent="0.3">
      <c r="A82" t="s">
        <v>568</v>
      </c>
      <c r="B82">
        <v>28401</v>
      </c>
      <c r="C82" t="s">
        <v>4434</v>
      </c>
      <c r="D82" t="s">
        <v>460</v>
      </c>
      <c r="E82">
        <v>1</v>
      </c>
      <c r="F82">
        <v>95.2</v>
      </c>
      <c r="G82">
        <v>95.2</v>
      </c>
    </row>
    <row r="83" spans="1:7" x14ac:dyDescent="0.3">
      <c r="A83" t="s">
        <v>568</v>
      </c>
      <c r="B83">
        <v>17918</v>
      </c>
      <c r="C83" t="s">
        <v>4034</v>
      </c>
      <c r="D83" t="s">
        <v>460</v>
      </c>
      <c r="E83">
        <v>4</v>
      </c>
      <c r="F83">
        <v>165.08</v>
      </c>
      <c r="G83">
        <v>41.27</v>
      </c>
    </row>
    <row r="84" spans="1:7" x14ac:dyDescent="0.3">
      <c r="A84" t="s">
        <v>568</v>
      </c>
      <c r="B84">
        <v>17916</v>
      </c>
      <c r="C84" t="s">
        <v>4191</v>
      </c>
      <c r="D84" t="s">
        <v>460</v>
      </c>
      <c r="E84">
        <v>1</v>
      </c>
      <c r="F84">
        <v>30.42</v>
      </c>
      <c r="G84">
        <v>30.42</v>
      </c>
    </row>
    <row r="85" spans="1:7" x14ac:dyDescent="0.3">
      <c r="A85" t="s">
        <v>568</v>
      </c>
      <c r="B85">
        <v>23234</v>
      </c>
      <c r="C85" t="s">
        <v>4018</v>
      </c>
      <c r="D85" t="s">
        <v>460</v>
      </c>
      <c r="E85">
        <v>3</v>
      </c>
      <c r="F85">
        <v>71</v>
      </c>
      <c r="G85">
        <v>23.67</v>
      </c>
    </row>
    <row r="86" spans="1:7" x14ac:dyDescent="0.3">
      <c r="A86" t="s">
        <v>568</v>
      </c>
      <c r="B86">
        <v>25162</v>
      </c>
      <c r="C86" t="s">
        <v>4288</v>
      </c>
      <c r="D86" t="s">
        <v>460</v>
      </c>
      <c r="E86">
        <v>2</v>
      </c>
      <c r="F86">
        <v>13.2</v>
      </c>
      <c r="G86">
        <v>6.6</v>
      </c>
    </row>
    <row r="87" spans="1:7" x14ac:dyDescent="0.3">
      <c r="A87" t="s">
        <v>568</v>
      </c>
      <c r="B87">
        <v>24598</v>
      </c>
      <c r="C87" t="s">
        <v>4166</v>
      </c>
      <c r="D87" t="s">
        <v>460</v>
      </c>
      <c r="E87">
        <v>4.9000000000000004</v>
      </c>
      <c r="F87">
        <v>39.049999999999997</v>
      </c>
      <c r="G87">
        <v>7.97</v>
      </c>
    </row>
    <row r="88" spans="1:7" x14ac:dyDescent="0.3">
      <c r="A88" t="s">
        <v>568</v>
      </c>
      <c r="B88">
        <v>17196</v>
      </c>
      <c r="C88" t="s">
        <v>4415</v>
      </c>
      <c r="D88" t="s">
        <v>460</v>
      </c>
      <c r="E88">
        <v>3</v>
      </c>
      <c r="F88">
        <v>19.05</v>
      </c>
      <c r="G88">
        <v>6.35</v>
      </c>
    </row>
    <row r="89" spans="1:7" x14ac:dyDescent="0.3">
      <c r="A89" t="s">
        <v>568</v>
      </c>
      <c r="B89">
        <v>17190</v>
      </c>
      <c r="C89" t="s">
        <v>4271</v>
      </c>
      <c r="D89" t="s">
        <v>460</v>
      </c>
      <c r="E89">
        <v>5</v>
      </c>
      <c r="F89">
        <v>40.299999999999997</v>
      </c>
      <c r="G89">
        <v>8.06</v>
      </c>
    </row>
    <row r="90" spans="1:7" x14ac:dyDescent="0.3">
      <c r="A90" t="s">
        <v>568</v>
      </c>
      <c r="B90">
        <v>17455</v>
      </c>
      <c r="C90" t="s">
        <v>4231</v>
      </c>
      <c r="D90" t="s">
        <v>460</v>
      </c>
      <c r="E90">
        <v>4</v>
      </c>
      <c r="F90">
        <v>155.6</v>
      </c>
      <c r="G90">
        <v>38.9</v>
      </c>
    </row>
    <row r="91" spans="1:7" x14ac:dyDescent="0.3">
      <c r="A91" t="s">
        <v>568</v>
      </c>
      <c r="B91">
        <v>26627</v>
      </c>
      <c r="C91" t="s">
        <v>4237</v>
      </c>
      <c r="D91" t="s">
        <v>460</v>
      </c>
      <c r="E91">
        <v>40</v>
      </c>
      <c r="F91">
        <v>316</v>
      </c>
      <c r="G91">
        <v>7.9</v>
      </c>
    </row>
    <row r="92" spans="1:7" x14ac:dyDescent="0.3">
      <c r="A92" t="s">
        <v>568</v>
      </c>
      <c r="B92">
        <v>23687</v>
      </c>
      <c r="C92" t="s">
        <v>4285</v>
      </c>
      <c r="D92" t="s">
        <v>460</v>
      </c>
      <c r="E92">
        <v>28.9</v>
      </c>
      <c r="F92">
        <v>372.81</v>
      </c>
      <c r="G92">
        <v>12.9</v>
      </c>
    </row>
    <row r="93" spans="1:7" x14ac:dyDescent="0.3">
      <c r="A93" t="s">
        <v>568</v>
      </c>
      <c r="B93">
        <v>25237</v>
      </c>
      <c r="C93" t="s">
        <v>4164</v>
      </c>
      <c r="D93" t="s">
        <v>460</v>
      </c>
      <c r="E93">
        <v>10</v>
      </c>
      <c r="F93">
        <v>55.9</v>
      </c>
      <c r="G93">
        <v>5.59</v>
      </c>
    </row>
    <row r="94" spans="1:7" x14ac:dyDescent="0.3">
      <c r="A94" t="s">
        <v>568</v>
      </c>
      <c r="B94">
        <v>20365</v>
      </c>
      <c r="C94" t="s">
        <v>4312</v>
      </c>
      <c r="D94" t="s">
        <v>460</v>
      </c>
      <c r="E94">
        <v>10</v>
      </c>
      <c r="F94">
        <v>47</v>
      </c>
      <c r="G94">
        <v>4.7</v>
      </c>
    </row>
    <row r="95" spans="1:7" x14ac:dyDescent="0.3">
      <c r="A95" t="s">
        <v>568</v>
      </c>
      <c r="B95">
        <v>20358</v>
      </c>
      <c r="C95" t="s">
        <v>3952</v>
      </c>
      <c r="D95" t="s">
        <v>460</v>
      </c>
      <c r="E95">
        <v>8</v>
      </c>
      <c r="F95">
        <v>114.4</v>
      </c>
      <c r="G95">
        <v>14.3</v>
      </c>
    </row>
    <row r="96" spans="1:7" x14ac:dyDescent="0.3">
      <c r="A96" t="s">
        <v>568</v>
      </c>
      <c r="B96">
        <v>20250</v>
      </c>
      <c r="C96" t="s">
        <v>4008</v>
      </c>
      <c r="D96" t="s">
        <v>460</v>
      </c>
      <c r="E96">
        <v>2</v>
      </c>
      <c r="F96">
        <v>81.48</v>
      </c>
      <c r="G96">
        <v>40.74</v>
      </c>
    </row>
    <row r="97" spans="1:7" x14ac:dyDescent="0.3">
      <c r="A97" t="s">
        <v>568</v>
      </c>
      <c r="B97">
        <v>20242</v>
      </c>
      <c r="C97" t="s">
        <v>4120</v>
      </c>
      <c r="D97" t="s">
        <v>460</v>
      </c>
      <c r="E97">
        <v>15</v>
      </c>
      <c r="F97">
        <v>212.9</v>
      </c>
      <c r="G97">
        <v>14.19</v>
      </c>
    </row>
    <row r="98" spans="1:7" x14ac:dyDescent="0.3">
      <c r="A98" t="s">
        <v>568</v>
      </c>
      <c r="B98">
        <v>20233</v>
      </c>
      <c r="C98" t="s">
        <v>4329</v>
      </c>
      <c r="D98" t="s">
        <v>460</v>
      </c>
      <c r="E98">
        <v>2</v>
      </c>
      <c r="F98">
        <v>13.98</v>
      </c>
      <c r="G98">
        <v>6.99</v>
      </c>
    </row>
    <row r="99" spans="1:7" x14ac:dyDescent="0.3">
      <c r="A99" t="s">
        <v>568</v>
      </c>
      <c r="B99">
        <v>20231</v>
      </c>
      <c r="C99" t="s">
        <v>4123</v>
      </c>
      <c r="D99" t="s">
        <v>460</v>
      </c>
      <c r="E99">
        <v>2</v>
      </c>
      <c r="F99">
        <v>32.56</v>
      </c>
      <c r="G99">
        <v>16.28</v>
      </c>
    </row>
    <row r="100" spans="1:7" x14ac:dyDescent="0.3">
      <c r="A100" t="s">
        <v>568</v>
      </c>
      <c r="B100">
        <v>20227</v>
      </c>
      <c r="C100" t="s">
        <v>3968</v>
      </c>
      <c r="D100" t="s">
        <v>460</v>
      </c>
      <c r="E100">
        <v>15</v>
      </c>
      <c r="F100">
        <v>149.85</v>
      </c>
      <c r="G100">
        <v>9.99</v>
      </c>
    </row>
    <row r="101" spans="1:7" x14ac:dyDescent="0.3">
      <c r="A101" t="s">
        <v>568</v>
      </c>
      <c r="B101">
        <v>20234</v>
      </c>
      <c r="C101" t="s">
        <v>3979</v>
      </c>
      <c r="D101" t="s">
        <v>460</v>
      </c>
      <c r="E101">
        <v>8</v>
      </c>
      <c r="F101">
        <v>119.2</v>
      </c>
      <c r="G101">
        <v>14.9</v>
      </c>
    </row>
    <row r="102" spans="1:7" x14ac:dyDescent="0.3">
      <c r="A102" t="s">
        <v>568</v>
      </c>
      <c r="B102">
        <v>18764</v>
      </c>
      <c r="C102" t="s">
        <v>3907</v>
      </c>
      <c r="D102" t="s">
        <v>460</v>
      </c>
      <c r="E102">
        <v>12</v>
      </c>
      <c r="F102">
        <v>959.88</v>
      </c>
      <c r="G102">
        <v>79.989999999999995</v>
      </c>
    </row>
    <row r="103" spans="1:7" x14ac:dyDescent="0.3">
      <c r="A103" t="s">
        <v>568</v>
      </c>
      <c r="B103">
        <v>24259</v>
      </c>
      <c r="C103" t="s">
        <v>3895</v>
      </c>
      <c r="D103" t="s">
        <v>460</v>
      </c>
      <c r="E103">
        <v>65.349999999999994</v>
      </c>
      <c r="F103">
        <v>5455.06</v>
      </c>
      <c r="G103">
        <v>83.47</v>
      </c>
    </row>
    <row r="104" spans="1:7" x14ac:dyDescent="0.3">
      <c r="A104" t="s">
        <v>568</v>
      </c>
      <c r="B104">
        <v>27432</v>
      </c>
      <c r="C104" t="s">
        <v>4430</v>
      </c>
      <c r="D104" t="s">
        <v>460</v>
      </c>
      <c r="E104">
        <v>10.5</v>
      </c>
      <c r="F104">
        <v>1323</v>
      </c>
      <c r="G104">
        <v>126</v>
      </c>
    </row>
    <row r="105" spans="1:7" x14ac:dyDescent="0.3">
      <c r="A105" t="s">
        <v>568</v>
      </c>
      <c r="B105">
        <v>27901</v>
      </c>
      <c r="C105" t="s">
        <v>3942</v>
      </c>
      <c r="D105" t="s">
        <v>460</v>
      </c>
      <c r="E105">
        <v>10.1</v>
      </c>
      <c r="F105">
        <v>999.9</v>
      </c>
      <c r="G105">
        <v>99</v>
      </c>
    </row>
    <row r="106" spans="1:7" x14ac:dyDescent="0.3">
      <c r="A106" t="s">
        <v>568</v>
      </c>
      <c r="B106">
        <v>17006</v>
      </c>
      <c r="C106" t="s">
        <v>4128</v>
      </c>
      <c r="D106" t="s">
        <v>460</v>
      </c>
      <c r="E106">
        <v>12.9</v>
      </c>
      <c r="F106">
        <v>167.7</v>
      </c>
      <c r="G106">
        <v>13</v>
      </c>
    </row>
    <row r="107" spans="1:7" x14ac:dyDescent="0.3">
      <c r="A107" t="s">
        <v>568</v>
      </c>
      <c r="B107">
        <v>24497</v>
      </c>
      <c r="C107" t="s">
        <v>4214</v>
      </c>
      <c r="D107" t="s">
        <v>460</v>
      </c>
      <c r="E107">
        <v>9</v>
      </c>
      <c r="F107">
        <v>1211.25</v>
      </c>
      <c r="G107">
        <v>134.58000000000001</v>
      </c>
    </row>
    <row r="108" spans="1:7" x14ac:dyDescent="0.3">
      <c r="A108" t="s">
        <v>568</v>
      </c>
      <c r="B108">
        <v>26895</v>
      </c>
      <c r="C108" t="s">
        <v>4427</v>
      </c>
      <c r="D108" t="s">
        <v>460</v>
      </c>
      <c r="E108">
        <v>13.62</v>
      </c>
      <c r="F108">
        <v>1017.14</v>
      </c>
      <c r="G108">
        <v>74.680000000000007</v>
      </c>
    </row>
    <row r="109" spans="1:7" x14ac:dyDescent="0.3">
      <c r="A109" t="s">
        <v>568</v>
      </c>
      <c r="B109">
        <v>19607</v>
      </c>
      <c r="C109" t="s">
        <v>4105</v>
      </c>
      <c r="D109" t="s">
        <v>460</v>
      </c>
      <c r="E109">
        <v>1.1000000000000001</v>
      </c>
      <c r="F109">
        <v>6.78</v>
      </c>
      <c r="G109">
        <v>6.16</v>
      </c>
    </row>
    <row r="110" spans="1:7" x14ac:dyDescent="0.3">
      <c r="A110" t="s">
        <v>568</v>
      </c>
      <c r="B110">
        <v>18359</v>
      </c>
      <c r="C110" t="s">
        <v>4029</v>
      </c>
      <c r="D110" t="s">
        <v>460</v>
      </c>
      <c r="E110">
        <v>1</v>
      </c>
      <c r="F110">
        <v>99.9</v>
      </c>
      <c r="G110">
        <v>99.9</v>
      </c>
    </row>
    <row r="111" spans="1:7" x14ac:dyDescent="0.3">
      <c r="A111" t="s">
        <v>568</v>
      </c>
      <c r="B111">
        <v>21024</v>
      </c>
      <c r="C111" t="s">
        <v>4180</v>
      </c>
      <c r="D111" t="s">
        <v>460</v>
      </c>
      <c r="E111">
        <v>4</v>
      </c>
      <c r="F111">
        <v>704.8</v>
      </c>
      <c r="G111">
        <v>176.2</v>
      </c>
    </row>
    <row r="112" spans="1:7" x14ac:dyDescent="0.3">
      <c r="A112" t="s">
        <v>568</v>
      </c>
      <c r="B112">
        <v>23897</v>
      </c>
      <c r="C112" t="s">
        <v>4058</v>
      </c>
      <c r="D112" t="s">
        <v>460</v>
      </c>
      <c r="E112">
        <v>6</v>
      </c>
      <c r="F112">
        <v>1056.5999999999999</v>
      </c>
      <c r="G112">
        <v>176.1</v>
      </c>
    </row>
    <row r="113" spans="1:7" x14ac:dyDescent="0.3">
      <c r="A113" t="s">
        <v>568</v>
      </c>
      <c r="B113">
        <v>24302</v>
      </c>
      <c r="C113" t="s">
        <v>4399</v>
      </c>
      <c r="D113" t="s">
        <v>460</v>
      </c>
      <c r="E113">
        <v>2</v>
      </c>
      <c r="F113">
        <v>20.56</v>
      </c>
      <c r="G113">
        <v>10.28</v>
      </c>
    </row>
    <row r="114" spans="1:7" x14ac:dyDescent="0.3">
      <c r="A114" t="s">
        <v>568</v>
      </c>
      <c r="B114">
        <v>17905</v>
      </c>
      <c r="C114" t="s">
        <v>4139</v>
      </c>
      <c r="D114" t="s">
        <v>460</v>
      </c>
      <c r="E114">
        <v>20</v>
      </c>
      <c r="F114">
        <v>592.79999999999995</v>
      </c>
      <c r="G114">
        <v>29.64</v>
      </c>
    </row>
    <row r="115" spans="1:7" x14ac:dyDescent="0.3">
      <c r="A115" t="s">
        <v>568</v>
      </c>
      <c r="B115">
        <v>17903</v>
      </c>
      <c r="C115" t="s">
        <v>3971</v>
      </c>
      <c r="D115" t="s">
        <v>460</v>
      </c>
      <c r="E115">
        <v>22</v>
      </c>
      <c r="F115">
        <v>652.08000000000004</v>
      </c>
      <c r="G115">
        <v>29.64</v>
      </c>
    </row>
    <row r="116" spans="1:7" x14ac:dyDescent="0.3">
      <c r="A116" t="s">
        <v>568</v>
      </c>
      <c r="B116">
        <v>27080</v>
      </c>
      <c r="C116" t="s">
        <v>4250</v>
      </c>
      <c r="D116" t="s">
        <v>460</v>
      </c>
      <c r="E116">
        <v>5</v>
      </c>
      <c r="F116">
        <v>64.95</v>
      </c>
      <c r="G116">
        <v>12.99</v>
      </c>
    </row>
    <row r="117" spans="1:7" x14ac:dyDescent="0.3">
      <c r="A117" t="s">
        <v>568</v>
      </c>
      <c r="B117">
        <v>17896</v>
      </c>
      <c r="C117" t="s">
        <v>3972</v>
      </c>
      <c r="D117" t="s">
        <v>460</v>
      </c>
      <c r="E117">
        <v>6</v>
      </c>
      <c r="F117">
        <v>231.98</v>
      </c>
      <c r="G117">
        <v>38.659999999999997</v>
      </c>
    </row>
    <row r="118" spans="1:7" x14ac:dyDescent="0.3">
      <c r="A118" t="s">
        <v>568</v>
      </c>
      <c r="B118">
        <v>17897</v>
      </c>
      <c r="C118" t="s">
        <v>4094</v>
      </c>
      <c r="D118" t="s">
        <v>460</v>
      </c>
      <c r="E118">
        <v>3</v>
      </c>
      <c r="F118">
        <v>120.87</v>
      </c>
      <c r="G118">
        <v>40.29</v>
      </c>
    </row>
    <row r="119" spans="1:7" x14ac:dyDescent="0.3">
      <c r="A119" t="s">
        <v>568</v>
      </c>
      <c r="B119">
        <v>19480</v>
      </c>
      <c r="C119" t="s">
        <v>4113</v>
      </c>
      <c r="D119" t="s">
        <v>460</v>
      </c>
      <c r="E119">
        <v>1</v>
      </c>
      <c r="F119">
        <v>12.3</v>
      </c>
      <c r="G119">
        <v>12.3</v>
      </c>
    </row>
    <row r="120" spans="1:7" x14ac:dyDescent="0.3">
      <c r="A120" t="s">
        <v>568</v>
      </c>
      <c r="B120">
        <v>18685</v>
      </c>
      <c r="C120" t="s">
        <v>3945</v>
      </c>
      <c r="D120" t="s">
        <v>460</v>
      </c>
      <c r="E120">
        <v>23.5</v>
      </c>
      <c r="F120">
        <v>916.5</v>
      </c>
      <c r="G120">
        <v>39</v>
      </c>
    </row>
    <row r="121" spans="1:7" x14ac:dyDescent="0.3">
      <c r="A121" t="s">
        <v>568</v>
      </c>
      <c r="B121">
        <v>18684</v>
      </c>
      <c r="C121" t="s">
        <v>3925</v>
      </c>
      <c r="D121" t="s">
        <v>460</v>
      </c>
      <c r="E121">
        <v>29</v>
      </c>
      <c r="F121">
        <v>1063.8</v>
      </c>
      <c r="G121">
        <v>36.68</v>
      </c>
    </row>
    <row r="122" spans="1:7" x14ac:dyDescent="0.3">
      <c r="A122" t="s">
        <v>568</v>
      </c>
      <c r="B122">
        <v>28468</v>
      </c>
      <c r="C122" t="s">
        <v>4158</v>
      </c>
      <c r="D122" t="s">
        <v>460</v>
      </c>
      <c r="E122">
        <v>75.8</v>
      </c>
      <c r="F122">
        <v>1058.01</v>
      </c>
      <c r="G122">
        <v>13.96</v>
      </c>
    </row>
    <row r="123" spans="1:7" x14ac:dyDescent="0.3">
      <c r="A123" t="s">
        <v>568</v>
      </c>
      <c r="B123">
        <v>24320</v>
      </c>
      <c r="C123" t="s">
        <v>4160</v>
      </c>
      <c r="D123" t="s">
        <v>460</v>
      </c>
      <c r="E123">
        <v>27.96</v>
      </c>
      <c r="F123">
        <v>1277.48</v>
      </c>
      <c r="G123">
        <v>45.69</v>
      </c>
    </row>
    <row r="124" spans="1:7" x14ac:dyDescent="0.3">
      <c r="A124" t="s">
        <v>568</v>
      </c>
      <c r="B124">
        <v>27312</v>
      </c>
      <c r="C124" t="s">
        <v>3927</v>
      </c>
      <c r="D124" t="s">
        <v>460</v>
      </c>
      <c r="E124">
        <v>83.89</v>
      </c>
      <c r="F124">
        <v>4178.49</v>
      </c>
      <c r="G124">
        <v>49.81</v>
      </c>
    </row>
    <row r="125" spans="1:7" x14ac:dyDescent="0.3">
      <c r="A125" t="s">
        <v>568</v>
      </c>
      <c r="B125">
        <v>23361</v>
      </c>
      <c r="C125" t="s">
        <v>4220</v>
      </c>
      <c r="D125" t="s">
        <v>460</v>
      </c>
      <c r="E125">
        <v>182</v>
      </c>
      <c r="F125">
        <v>558.6</v>
      </c>
      <c r="G125">
        <v>3.07</v>
      </c>
    </row>
    <row r="126" spans="1:7" x14ac:dyDescent="0.3">
      <c r="A126" t="s">
        <v>568</v>
      </c>
      <c r="B126">
        <v>20661</v>
      </c>
      <c r="C126" t="s">
        <v>3919</v>
      </c>
      <c r="D126" t="s">
        <v>460</v>
      </c>
      <c r="E126">
        <v>24</v>
      </c>
      <c r="F126">
        <v>209.76</v>
      </c>
      <c r="G126">
        <v>8.74</v>
      </c>
    </row>
    <row r="127" spans="1:7" x14ac:dyDescent="0.3">
      <c r="A127" t="s">
        <v>568</v>
      </c>
      <c r="B127">
        <v>19421</v>
      </c>
      <c r="C127" t="s">
        <v>4275</v>
      </c>
      <c r="D127" t="s">
        <v>460</v>
      </c>
      <c r="E127">
        <v>2</v>
      </c>
      <c r="F127">
        <v>115.36</v>
      </c>
      <c r="G127">
        <v>57.68</v>
      </c>
    </row>
    <row r="128" spans="1:7" x14ac:dyDescent="0.3">
      <c r="A128" t="s">
        <v>568</v>
      </c>
      <c r="B128">
        <v>18295</v>
      </c>
      <c r="C128" t="s">
        <v>4030</v>
      </c>
      <c r="D128" t="s">
        <v>460</v>
      </c>
      <c r="E128">
        <v>4</v>
      </c>
      <c r="F128">
        <v>498.16</v>
      </c>
      <c r="G128">
        <v>124.54</v>
      </c>
    </row>
    <row r="129" spans="1:7" x14ac:dyDescent="0.3">
      <c r="A129" t="s">
        <v>568</v>
      </c>
      <c r="B129">
        <v>19752</v>
      </c>
      <c r="C129" t="s">
        <v>4042</v>
      </c>
      <c r="D129" t="s">
        <v>460</v>
      </c>
      <c r="E129">
        <v>9</v>
      </c>
      <c r="F129">
        <v>108.1</v>
      </c>
      <c r="G129">
        <v>12.01</v>
      </c>
    </row>
    <row r="130" spans="1:7" x14ac:dyDescent="0.3">
      <c r="A130" t="s">
        <v>568</v>
      </c>
      <c r="B130">
        <v>19751</v>
      </c>
      <c r="C130" t="s">
        <v>4019</v>
      </c>
      <c r="D130" t="s">
        <v>460</v>
      </c>
      <c r="E130">
        <v>10.1</v>
      </c>
      <c r="F130">
        <v>99.27</v>
      </c>
      <c r="G130">
        <v>9.83</v>
      </c>
    </row>
    <row r="131" spans="1:7" x14ac:dyDescent="0.3">
      <c r="A131" t="s">
        <v>568</v>
      </c>
      <c r="B131">
        <v>23359</v>
      </c>
      <c r="C131" t="s">
        <v>3932</v>
      </c>
      <c r="D131" t="s">
        <v>460</v>
      </c>
      <c r="E131">
        <v>92</v>
      </c>
      <c r="F131">
        <v>332.68</v>
      </c>
      <c r="G131">
        <v>3.62</v>
      </c>
    </row>
    <row r="132" spans="1:7" x14ac:dyDescent="0.3">
      <c r="A132" t="s">
        <v>568</v>
      </c>
      <c r="B132">
        <v>17185</v>
      </c>
      <c r="C132" t="s">
        <v>4210</v>
      </c>
      <c r="D132" t="s">
        <v>460</v>
      </c>
      <c r="E132">
        <v>3</v>
      </c>
      <c r="F132">
        <v>53</v>
      </c>
      <c r="G132">
        <v>17.670000000000002</v>
      </c>
    </row>
    <row r="133" spans="1:7" x14ac:dyDescent="0.3">
      <c r="A133" t="s">
        <v>568</v>
      </c>
      <c r="B133">
        <v>17182</v>
      </c>
      <c r="C133" t="s">
        <v>4207</v>
      </c>
      <c r="D133" t="s">
        <v>460</v>
      </c>
      <c r="E133">
        <v>1</v>
      </c>
      <c r="F133">
        <v>42</v>
      </c>
      <c r="G133">
        <v>42</v>
      </c>
    </row>
    <row r="134" spans="1:7" x14ac:dyDescent="0.3">
      <c r="A134" t="s">
        <v>568</v>
      </c>
      <c r="B134">
        <v>24331</v>
      </c>
      <c r="C134" t="s">
        <v>3960</v>
      </c>
      <c r="D134" t="s">
        <v>460</v>
      </c>
      <c r="E134">
        <v>10</v>
      </c>
      <c r="F134">
        <v>228</v>
      </c>
      <c r="G134">
        <v>22.8</v>
      </c>
    </row>
    <row r="135" spans="1:7" x14ac:dyDescent="0.3">
      <c r="A135" t="s">
        <v>568</v>
      </c>
      <c r="B135">
        <v>20519</v>
      </c>
      <c r="C135" t="s">
        <v>3902</v>
      </c>
      <c r="D135" t="s">
        <v>460</v>
      </c>
      <c r="E135">
        <v>20.46</v>
      </c>
      <c r="F135">
        <v>1017.88</v>
      </c>
      <c r="G135">
        <v>49.75</v>
      </c>
    </row>
    <row r="136" spans="1:7" x14ac:dyDescent="0.3">
      <c r="A136" t="s">
        <v>568</v>
      </c>
      <c r="B136">
        <v>27884</v>
      </c>
      <c r="C136" t="s">
        <v>3910</v>
      </c>
      <c r="D136" t="s">
        <v>460</v>
      </c>
      <c r="E136">
        <v>49.7</v>
      </c>
      <c r="F136">
        <v>3230.5</v>
      </c>
      <c r="G136">
        <v>65</v>
      </c>
    </row>
    <row r="137" spans="1:7" x14ac:dyDescent="0.3">
      <c r="A137" t="s">
        <v>568</v>
      </c>
      <c r="B137">
        <v>24339</v>
      </c>
      <c r="C137" t="s">
        <v>4119</v>
      </c>
      <c r="D137" t="s">
        <v>460</v>
      </c>
      <c r="E137">
        <v>15</v>
      </c>
      <c r="F137">
        <v>540</v>
      </c>
      <c r="G137">
        <v>36</v>
      </c>
    </row>
    <row r="138" spans="1:7" x14ac:dyDescent="0.3">
      <c r="A138" t="s">
        <v>568</v>
      </c>
      <c r="B138">
        <v>20501</v>
      </c>
      <c r="C138" t="s">
        <v>4219</v>
      </c>
      <c r="D138" t="s">
        <v>460</v>
      </c>
      <c r="E138">
        <v>10</v>
      </c>
      <c r="F138">
        <v>229</v>
      </c>
      <c r="G138">
        <v>22.9</v>
      </c>
    </row>
    <row r="139" spans="1:7" x14ac:dyDescent="0.3">
      <c r="A139" t="s">
        <v>568</v>
      </c>
      <c r="B139">
        <v>24343</v>
      </c>
      <c r="C139" t="s">
        <v>3990</v>
      </c>
      <c r="D139" t="s">
        <v>460</v>
      </c>
      <c r="E139">
        <v>26.9</v>
      </c>
      <c r="F139">
        <v>683.94</v>
      </c>
      <c r="G139">
        <v>25.43</v>
      </c>
    </row>
    <row r="140" spans="1:7" x14ac:dyDescent="0.3">
      <c r="A140" t="s">
        <v>568</v>
      </c>
      <c r="B140">
        <v>17017</v>
      </c>
      <c r="C140" t="s">
        <v>4230</v>
      </c>
      <c r="D140" t="s">
        <v>460</v>
      </c>
      <c r="E140">
        <v>6</v>
      </c>
      <c r="F140">
        <v>19.899999999999999</v>
      </c>
      <c r="G140">
        <v>3.32</v>
      </c>
    </row>
    <row r="141" spans="1:7" x14ac:dyDescent="0.3">
      <c r="A141" t="s">
        <v>568</v>
      </c>
      <c r="B141">
        <v>17498</v>
      </c>
      <c r="C141" t="s">
        <v>4243</v>
      </c>
      <c r="D141" t="s">
        <v>460</v>
      </c>
      <c r="E141">
        <v>8</v>
      </c>
      <c r="F141">
        <v>185</v>
      </c>
      <c r="G141">
        <v>23.13</v>
      </c>
    </row>
    <row r="142" spans="1:7" x14ac:dyDescent="0.3">
      <c r="A142" t="s">
        <v>568</v>
      </c>
      <c r="B142">
        <v>23349</v>
      </c>
      <c r="C142" t="s">
        <v>4173</v>
      </c>
      <c r="D142" t="s">
        <v>460</v>
      </c>
      <c r="E142">
        <v>3</v>
      </c>
      <c r="F142">
        <v>30.6</v>
      </c>
      <c r="G142">
        <v>10.199999999999999</v>
      </c>
    </row>
    <row r="143" spans="1:7" x14ac:dyDescent="0.3">
      <c r="A143" t="s">
        <v>568</v>
      </c>
      <c r="B143">
        <v>19743</v>
      </c>
      <c r="C143" t="s">
        <v>4152</v>
      </c>
      <c r="D143" t="s">
        <v>460</v>
      </c>
      <c r="E143">
        <v>6</v>
      </c>
      <c r="F143">
        <v>86.7</v>
      </c>
      <c r="G143">
        <v>14.45</v>
      </c>
    </row>
    <row r="144" spans="1:7" x14ac:dyDescent="0.3">
      <c r="A144" t="s">
        <v>568</v>
      </c>
      <c r="B144">
        <v>20007</v>
      </c>
      <c r="C144" t="s">
        <v>4009</v>
      </c>
      <c r="D144" t="s">
        <v>460</v>
      </c>
      <c r="E144">
        <v>11</v>
      </c>
      <c r="F144">
        <v>534.9</v>
      </c>
      <c r="G144">
        <v>48.63</v>
      </c>
    </row>
    <row r="145" spans="1:7" x14ac:dyDescent="0.3">
      <c r="A145" t="s">
        <v>568</v>
      </c>
      <c r="B145">
        <v>19689</v>
      </c>
      <c r="C145" t="s">
        <v>4073</v>
      </c>
      <c r="D145" t="s">
        <v>460</v>
      </c>
      <c r="E145">
        <v>2.9</v>
      </c>
      <c r="F145">
        <v>29</v>
      </c>
      <c r="G145">
        <v>10</v>
      </c>
    </row>
    <row r="146" spans="1:7" x14ac:dyDescent="0.3">
      <c r="A146" t="s">
        <v>568</v>
      </c>
      <c r="B146">
        <v>19742</v>
      </c>
      <c r="C146" t="s">
        <v>4074</v>
      </c>
      <c r="D146" t="s">
        <v>460</v>
      </c>
      <c r="E146">
        <v>6.6</v>
      </c>
      <c r="F146">
        <v>58.54</v>
      </c>
      <c r="G146">
        <v>8.8699999999999992</v>
      </c>
    </row>
    <row r="147" spans="1:7" x14ac:dyDescent="0.3">
      <c r="A147" t="s">
        <v>568</v>
      </c>
      <c r="B147">
        <v>23120</v>
      </c>
      <c r="C147" t="s">
        <v>4111</v>
      </c>
      <c r="D147" t="s">
        <v>460</v>
      </c>
      <c r="E147">
        <v>3.92</v>
      </c>
      <c r="F147">
        <v>263.32</v>
      </c>
      <c r="G147">
        <v>67.17</v>
      </c>
    </row>
    <row r="148" spans="1:7" x14ac:dyDescent="0.3">
      <c r="A148" t="s">
        <v>568</v>
      </c>
      <c r="B148">
        <v>19740</v>
      </c>
      <c r="C148" t="s">
        <v>3933</v>
      </c>
      <c r="D148" t="s">
        <v>460</v>
      </c>
      <c r="E148">
        <v>34</v>
      </c>
      <c r="F148">
        <v>520.75</v>
      </c>
      <c r="G148">
        <v>15.32</v>
      </c>
    </row>
    <row r="149" spans="1:7" x14ac:dyDescent="0.3">
      <c r="A149" t="s">
        <v>568</v>
      </c>
      <c r="B149">
        <v>19415</v>
      </c>
      <c r="C149" t="s">
        <v>3941</v>
      </c>
      <c r="D149" t="s">
        <v>460</v>
      </c>
      <c r="E149">
        <v>18</v>
      </c>
      <c r="F149">
        <v>142.19999999999999</v>
      </c>
      <c r="G149">
        <v>7.9</v>
      </c>
    </row>
    <row r="150" spans="1:7" x14ac:dyDescent="0.3">
      <c r="A150" t="s">
        <v>568</v>
      </c>
      <c r="B150">
        <v>19416</v>
      </c>
      <c r="C150" t="s">
        <v>4411</v>
      </c>
      <c r="D150" t="s">
        <v>460</v>
      </c>
      <c r="E150">
        <v>1</v>
      </c>
      <c r="F150">
        <v>7.9</v>
      </c>
      <c r="G150">
        <v>7.9</v>
      </c>
    </row>
    <row r="151" spans="1:7" x14ac:dyDescent="0.3">
      <c r="A151" t="s">
        <v>568</v>
      </c>
      <c r="B151">
        <v>17475</v>
      </c>
      <c r="C151" t="s">
        <v>4426</v>
      </c>
      <c r="D151" t="s">
        <v>460</v>
      </c>
      <c r="E151">
        <v>2</v>
      </c>
      <c r="F151">
        <v>220</v>
      </c>
      <c r="G151">
        <v>110</v>
      </c>
    </row>
    <row r="152" spans="1:7" x14ac:dyDescent="0.3">
      <c r="A152" t="s">
        <v>568</v>
      </c>
      <c r="B152">
        <v>17474</v>
      </c>
      <c r="C152" t="s">
        <v>4273</v>
      </c>
      <c r="D152" t="s">
        <v>460</v>
      </c>
      <c r="E152">
        <v>1</v>
      </c>
      <c r="F152">
        <v>68</v>
      </c>
      <c r="G152">
        <v>68</v>
      </c>
    </row>
    <row r="153" spans="1:7" x14ac:dyDescent="0.3">
      <c r="A153" t="s">
        <v>568</v>
      </c>
      <c r="B153">
        <v>24351</v>
      </c>
      <c r="C153" t="s">
        <v>3912</v>
      </c>
      <c r="D153" t="s">
        <v>460</v>
      </c>
      <c r="E153">
        <v>70</v>
      </c>
      <c r="F153">
        <v>840</v>
      </c>
      <c r="G153">
        <v>12</v>
      </c>
    </row>
    <row r="154" spans="1:7" x14ac:dyDescent="0.3">
      <c r="A154" t="s">
        <v>568</v>
      </c>
      <c r="B154">
        <v>20117</v>
      </c>
      <c r="C154" t="s">
        <v>4010</v>
      </c>
      <c r="D154" t="s">
        <v>460</v>
      </c>
      <c r="E154">
        <v>2</v>
      </c>
      <c r="F154">
        <v>77.599999999999994</v>
      </c>
      <c r="G154">
        <v>38.799999999999997</v>
      </c>
    </row>
    <row r="155" spans="1:7" x14ac:dyDescent="0.3">
      <c r="A155" t="s">
        <v>568</v>
      </c>
      <c r="B155">
        <v>19984</v>
      </c>
      <c r="C155" t="s">
        <v>3904</v>
      </c>
      <c r="D155" t="s">
        <v>460</v>
      </c>
      <c r="E155">
        <v>12</v>
      </c>
      <c r="F155">
        <v>237.6</v>
      </c>
      <c r="G155">
        <v>19.8</v>
      </c>
    </row>
    <row r="156" spans="1:7" x14ac:dyDescent="0.3">
      <c r="A156" t="s">
        <v>568</v>
      </c>
      <c r="B156">
        <v>19973</v>
      </c>
      <c r="C156" t="s">
        <v>3981</v>
      </c>
      <c r="D156" t="s">
        <v>460</v>
      </c>
      <c r="E156">
        <v>4</v>
      </c>
      <c r="F156">
        <v>60.8</v>
      </c>
      <c r="G156">
        <v>15.2</v>
      </c>
    </row>
    <row r="157" spans="1:7" x14ac:dyDescent="0.3">
      <c r="A157" t="s">
        <v>568</v>
      </c>
      <c r="B157">
        <v>23335</v>
      </c>
      <c r="C157" t="s">
        <v>4075</v>
      </c>
      <c r="D157" t="s">
        <v>460</v>
      </c>
      <c r="E157">
        <v>3.6</v>
      </c>
      <c r="F157">
        <v>91.56</v>
      </c>
      <c r="G157">
        <v>25.43</v>
      </c>
    </row>
    <row r="158" spans="1:7" x14ac:dyDescent="0.3">
      <c r="A158" t="s">
        <v>568</v>
      </c>
      <c r="B158">
        <v>24388</v>
      </c>
      <c r="C158" t="s">
        <v>3915</v>
      </c>
      <c r="D158" t="s">
        <v>460</v>
      </c>
      <c r="E158">
        <v>7.2</v>
      </c>
      <c r="F158">
        <v>236.16</v>
      </c>
      <c r="G158">
        <v>32.799999999999997</v>
      </c>
    </row>
    <row r="159" spans="1:7" x14ac:dyDescent="0.3">
      <c r="A159" t="s">
        <v>568</v>
      </c>
      <c r="B159">
        <v>24389</v>
      </c>
      <c r="C159" t="s">
        <v>4305</v>
      </c>
      <c r="D159" t="s">
        <v>460</v>
      </c>
      <c r="E159">
        <v>10.9</v>
      </c>
      <c r="F159">
        <v>341.76</v>
      </c>
      <c r="G159">
        <v>31.35</v>
      </c>
    </row>
    <row r="160" spans="1:7" x14ac:dyDescent="0.3">
      <c r="A160" t="s">
        <v>568</v>
      </c>
      <c r="B160">
        <v>19940</v>
      </c>
      <c r="C160" t="s">
        <v>4124</v>
      </c>
      <c r="D160" t="s">
        <v>460</v>
      </c>
      <c r="E160">
        <v>0.25</v>
      </c>
      <c r="F160">
        <v>14.9</v>
      </c>
      <c r="G160">
        <v>59.6</v>
      </c>
    </row>
    <row r="161" spans="1:7" x14ac:dyDescent="0.3">
      <c r="A161" t="s">
        <v>568</v>
      </c>
      <c r="B161">
        <v>20984</v>
      </c>
      <c r="C161" t="s">
        <v>4235</v>
      </c>
      <c r="D161" t="s">
        <v>460</v>
      </c>
      <c r="E161">
        <v>52</v>
      </c>
      <c r="F161">
        <v>466.24</v>
      </c>
      <c r="G161">
        <v>8.9700000000000006</v>
      </c>
    </row>
    <row r="162" spans="1:7" x14ac:dyDescent="0.3">
      <c r="A162" t="s">
        <v>568</v>
      </c>
      <c r="B162">
        <v>20988</v>
      </c>
      <c r="C162" t="s">
        <v>4117</v>
      </c>
      <c r="D162" t="s">
        <v>460</v>
      </c>
      <c r="E162">
        <v>60</v>
      </c>
      <c r="F162">
        <v>515.79999999999995</v>
      </c>
      <c r="G162">
        <v>8.6</v>
      </c>
    </row>
    <row r="163" spans="1:7" x14ac:dyDescent="0.3">
      <c r="A163" t="s">
        <v>568</v>
      </c>
      <c r="B163">
        <v>24393</v>
      </c>
      <c r="C163" t="s">
        <v>4039</v>
      </c>
      <c r="D163" t="s">
        <v>460</v>
      </c>
      <c r="E163">
        <v>6.5</v>
      </c>
      <c r="F163">
        <v>90.94</v>
      </c>
      <c r="G163">
        <v>13.99</v>
      </c>
    </row>
    <row r="164" spans="1:7" x14ac:dyDescent="0.3">
      <c r="A164" t="s">
        <v>568</v>
      </c>
      <c r="B164">
        <v>23096</v>
      </c>
      <c r="C164" t="s">
        <v>3876</v>
      </c>
      <c r="D164" t="s">
        <v>460</v>
      </c>
      <c r="E164">
        <v>360</v>
      </c>
      <c r="F164">
        <v>207.6</v>
      </c>
      <c r="G164">
        <v>0.57999999999999996</v>
      </c>
    </row>
    <row r="165" spans="1:7" x14ac:dyDescent="0.3">
      <c r="A165" t="s">
        <v>568</v>
      </c>
      <c r="B165">
        <v>23095</v>
      </c>
      <c r="C165" t="s">
        <v>3882</v>
      </c>
      <c r="D165" t="s">
        <v>460</v>
      </c>
      <c r="E165">
        <v>500</v>
      </c>
      <c r="F165">
        <v>474.8</v>
      </c>
      <c r="G165">
        <v>0.95</v>
      </c>
    </row>
    <row r="166" spans="1:7" x14ac:dyDescent="0.3">
      <c r="A166" t="s">
        <v>568</v>
      </c>
      <c r="B166">
        <v>17444</v>
      </c>
      <c r="C166" t="s">
        <v>4211</v>
      </c>
      <c r="D166" t="s">
        <v>460</v>
      </c>
      <c r="E166">
        <v>2</v>
      </c>
      <c r="F166">
        <v>21</v>
      </c>
      <c r="G166">
        <v>10.5</v>
      </c>
    </row>
    <row r="167" spans="1:7" x14ac:dyDescent="0.3">
      <c r="A167" t="s">
        <v>568</v>
      </c>
      <c r="B167">
        <v>20624</v>
      </c>
      <c r="C167" t="s">
        <v>3982</v>
      </c>
      <c r="D167" t="s">
        <v>460</v>
      </c>
      <c r="E167">
        <v>7</v>
      </c>
      <c r="F167">
        <v>479.5</v>
      </c>
      <c r="G167">
        <v>68.5</v>
      </c>
    </row>
    <row r="168" spans="1:7" x14ac:dyDescent="0.3">
      <c r="A168" t="s">
        <v>568</v>
      </c>
      <c r="B168">
        <v>24517</v>
      </c>
      <c r="C168" t="s">
        <v>3991</v>
      </c>
      <c r="D168" t="s">
        <v>460</v>
      </c>
      <c r="E168">
        <v>48.4</v>
      </c>
      <c r="F168">
        <v>1354.71</v>
      </c>
      <c r="G168">
        <v>27.99</v>
      </c>
    </row>
    <row r="169" spans="1:7" x14ac:dyDescent="0.3">
      <c r="A169" t="s">
        <v>568</v>
      </c>
      <c r="B169">
        <v>17162</v>
      </c>
      <c r="C169" t="s">
        <v>4209</v>
      </c>
      <c r="D169" t="s">
        <v>460</v>
      </c>
      <c r="E169">
        <v>1</v>
      </c>
      <c r="F169">
        <v>59.9</v>
      </c>
      <c r="G169">
        <v>59.9</v>
      </c>
    </row>
    <row r="170" spans="1:7" x14ac:dyDescent="0.3">
      <c r="A170" t="s">
        <v>568</v>
      </c>
      <c r="B170">
        <v>19130</v>
      </c>
      <c r="C170" t="s">
        <v>4284</v>
      </c>
      <c r="D170" t="s">
        <v>460</v>
      </c>
      <c r="E170">
        <v>912</v>
      </c>
      <c r="F170">
        <v>957.6</v>
      </c>
      <c r="G170">
        <v>1.05</v>
      </c>
    </row>
    <row r="171" spans="1:7" x14ac:dyDescent="0.3">
      <c r="A171" t="s">
        <v>568</v>
      </c>
      <c r="B171">
        <v>19139</v>
      </c>
      <c r="C171" t="s">
        <v>3887</v>
      </c>
      <c r="D171" t="s">
        <v>460</v>
      </c>
      <c r="E171">
        <v>109</v>
      </c>
      <c r="F171">
        <v>991.9</v>
      </c>
      <c r="G171">
        <v>9.1</v>
      </c>
    </row>
    <row r="172" spans="1:7" x14ac:dyDescent="0.3">
      <c r="A172" t="s">
        <v>568</v>
      </c>
      <c r="B172">
        <v>17046</v>
      </c>
      <c r="C172" t="s">
        <v>4246</v>
      </c>
      <c r="D172" t="s">
        <v>460</v>
      </c>
      <c r="E172">
        <v>1</v>
      </c>
      <c r="F172">
        <v>39.9</v>
      </c>
      <c r="G172">
        <v>39.9</v>
      </c>
    </row>
    <row r="173" spans="1:7" x14ac:dyDescent="0.3">
      <c r="A173" t="s">
        <v>568</v>
      </c>
      <c r="B173">
        <v>17341</v>
      </c>
      <c r="C173" t="s">
        <v>4232</v>
      </c>
      <c r="D173" t="s">
        <v>460</v>
      </c>
      <c r="E173">
        <v>3</v>
      </c>
      <c r="F173">
        <v>255</v>
      </c>
      <c r="G173">
        <v>85</v>
      </c>
    </row>
    <row r="174" spans="1:7" x14ac:dyDescent="0.3">
      <c r="A174" t="s">
        <v>568</v>
      </c>
      <c r="B174">
        <v>24843</v>
      </c>
      <c r="C174" t="s">
        <v>4392</v>
      </c>
      <c r="D174" t="s">
        <v>460</v>
      </c>
      <c r="E174">
        <v>3</v>
      </c>
      <c r="F174">
        <v>186</v>
      </c>
      <c r="G174">
        <v>62</v>
      </c>
    </row>
    <row r="175" spans="1:7" x14ac:dyDescent="0.3">
      <c r="A175" t="s">
        <v>568</v>
      </c>
      <c r="B175">
        <v>17425</v>
      </c>
      <c r="C175" t="s">
        <v>4421</v>
      </c>
      <c r="D175" t="s">
        <v>460</v>
      </c>
      <c r="E175">
        <v>20</v>
      </c>
      <c r="F175">
        <v>1103.4000000000001</v>
      </c>
      <c r="G175">
        <v>55.17</v>
      </c>
    </row>
    <row r="176" spans="1:7" x14ac:dyDescent="0.3">
      <c r="A176" t="s">
        <v>568</v>
      </c>
      <c r="B176">
        <v>19932</v>
      </c>
      <c r="C176" t="s">
        <v>4011</v>
      </c>
      <c r="D176" t="s">
        <v>460</v>
      </c>
      <c r="E176">
        <v>1</v>
      </c>
      <c r="F176">
        <v>7.3</v>
      </c>
      <c r="G176">
        <v>7.3</v>
      </c>
    </row>
    <row r="177" spans="1:7" x14ac:dyDescent="0.3">
      <c r="A177" t="s">
        <v>568</v>
      </c>
      <c r="B177">
        <v>24401</v>
      </c>
      <c r="C177" t="s">
        <v>4063</v>
      </c>
      <c r="D177" t="s">
        <v>460</v>
      </c>
      <c r="E177">
        <v>1</v>
      </c>
      <c r="F177">
        <v>14</v>
      </c>
      <c r="G177">
        <v>14</v>
      </c>
    </row>
    <row r="178" spans="1:7" x14ac:dyDescent="0.3">
      <c r="A178" t="s">
        <v>568</v>
      </c>
      <c r="B178">
        <v>24402</v>
      </c>
      <c r="C178" t="s">
        <v>3896</v>
      </c>
      <c r="D178" t="s">
        <v>460</v>
      </c>
      <c r="E178">
        <v>120.1</v>
      </c>
      <c r="F178">
        <v>4519.1000000000004</v>
      </c>
      <c r="G178">
        <v>37.630000000000003</v>
      </c>
    </row>
    <row r="179" spans="1:7" x14ac:dyDescent="0.3">
      <c r="A179" t="s">
        <v>568</v>
      </c>
      <c r="B179">
        <v>18832</v>
      </c>
      <c r="C179" t="s">
        <v>3900</v>
      </c>
      <c r="D179" t="s">
        <v>460</v>
      </c>
      <c r="E179">
        <v>124.4</v>
      </c>
      <c r="F179">
        <v>4999.4799999999996</v>
      </c>
      <c r="G179">
        <v>40.19</v>
      </c>
    </row>
    <row r="180" spans="1:7" x14ac:dyDescent="0.3">
      <c r="A180" t="s">
        <v>568</v>
      </c>
      <c r="B180">
        <v>24403</v>
      </c>
      <c r="C180" t="s">
        <v>3992</v>
      </c>
      <c r="D180" t="s">
        <v>460</v>
      </c>
      <c r="E180">
        <v>3</v>
      </c>
      <c r="F180">
        <v>36</v>
      </c>
      <c r="G180">
        <v>12</v>
      </c>
    </row>
    <row r="181" spans="1:7" x14ac:dyDescent="0.3">
      <c r="A181" t="s">
        <v>568</v>
      </c>
      <c r="B181">
        <v>18996</v>
      </c>
      <c r="C181" t="s">
        <v>3946</v>
      </c>
      <c r="D181" t="s">
        <v>460</v>
      </c>
      <c r="E181">
        <v>10.8</v>
      </c>
      <c r="F181">
        <v>199.8</v>
      </c>
      <c r="G181">
        <v>18.5</v>
      </c>
    </row>
    <row r="182" spans="1:7" x14ac:dyDescent="0.3">
      <c r="A182" t="s">
        <v>568</v>
      </c>
      <c r="B182">
        <v>19589</v>
      </c>
      <c r="C182" t="s">
        <v>4153</v>
      </c>
      <c r="D182" t="s">
        <v>460</v>
      </c>
      <c r="E182">
        <v>2</v>
      </c>
      <c r="F182">
        <v>7.7</v>
      </c>
      <c r="G182">
        <v>3.85</v>
      </c>
    </row>
    <row r="183" spans="1:7" x14ac:dyDescent="0.3">
      <c r="A183" t="s">
        <v>568</v>
      </c>
      <c r="B183">
        <v>17895</v>
      </c>
      <c r="C183" t="s">
        <v>4137</v>
      </c>
      <c r="D183" t="s">
        <v>460</v>
      </c>
      <c r="E183">
        <v>25</v>
      </c>
      <c r="F183">
        <v>708</v>
      </c>
      <c r="G183">
        <v>28.32</v>
      </c>
    </row>
    <row r="184" spans="1:7" x14ac:dyDescent="0.3">
      <c r="A184" t="s">
        <v>568</v>
      </c>
      <c r="B184">
        <v>17886</v>
      </c>
      <c r="C184" t="s">
        <v>3935</v>
      </c>
      <c r="D184" t="s">
        <v>460</v>
      </c>
      <c r="E184">
        <v>16</v>
      </c>
      <c r="F184">
        <v>396.32</v>
      </c>
      <c r="G184">
        <v>24.77</v>
      </c>
    </row>
    <row r="185" spans="1:7" x14ac:dyDescent="0.3">
      <c r="A185" t="s">
        <v>568</v>
      </c>
      <c r="B185">
        <v>19572</v>
      </c>
      <c r="C185" t="s">
        <v>4023</v>
      </c>
      <c r="D185" t="s">
        <v>460</v>
      </c>
      <c r="E185">
        <v>6.1</v>
      </c>
      <c r="F185">
        <v>103.94</v>
      </c>
      <c r="G185">
        <v>17.04</v>
      </c>
    </row>
    <row r="186" spans="1:7" x14ac:dyDescent="0.3">
      <c r="A186" t="s">
        <v>568</v>
      </c>
      <c r="B186">
        <v>19571</v>
      </c>
      <c r="C186" t="s">
        <v>4422</v>
      </c>
      <c r="D186" t="s">
        <v>460</v>
      </c>
      <c r="E186">
        <v>1</v>
      </c>
      <c r="F186">
        <v>85</v>
      </c>
      <c r="G186">
        <v>85</v>
      </c>
    </row>
    <row r="187" spans="1:7" x14ac:dyDescent="0.3">
      <c r="A187" t="s">
        <v>568</v>
      </c>
      <c r="B187">
        <v>23198</v>
      </c>
      <c r="C187" t="s">
        <v>4167</v>
      </c>
      <c r="D187" t="s">
        <v>460</v>
      </c>
      <c r="E187">
        <v>8.5</v>
      </c>
      <c r="F187">
        <v>118.5</v>
      </c>
      <c r="G187">
        <v>13.94</v>
      </c>
    </row>
    <row r="188" spans="1:7" x14ac:dyDescent="0.3">
      <c r="A188" t="s">
        <v>568</v>
      </c>
      <c r="B188">
        <v>21400</v>
      </c>
      <c r="C188" t="s">
        <v>4165</v>
      </c>
      <c r="D188" t="s">
        <v>460</v>
      </c>
      <c r="E188">
        <v>7.1</v>
      </c>
      <c r="F188">
        <v>204.13</v>
      </c>
      <c r="G188">
        <v>28.75</v>
      </c>
    </row>
    <row r="189" spans="1:7" x14ac:dyDescent="0.3">
      <c r="A189" t="s">
        <v>568</v>
      </c>
      <c r="B189">
        <v>18682</v>
      </c>
      <c r="C189" t="s">
        <v>4025</v>
      </c>
      <c r="D189" t="s">
        <v>460</v>
      </c>
      <c r="E189">
        <v>24.8</v>
      </c>
      <c r="F189">
        <v>694.16</v>
      </c>
      <c r="G189">
        <v>27.99</v>
      </c>
    </row>
    <row r="190" spans="1:7" x14ac:dyDescent="0.3">
      <c r="A190" t="s">
        <v>568</v>
      </c>
      <c r="B190">
        <v>19346</v>
      </c>
      <c r="C190" t="s">
        <v>3948</v>
      </c>
      <c r="D190" t="s">
        <v>460</v>
      </c>
      <c r="E190">
        <v>15.58</v>
      </c>
      <c r="F190">
        <v>777.44</v>
      </c>
      <c r="G190">
        <v>49.9</v>
      </c>
    </row>
    <row r="191" spans="1:7" x14ac:dyDescent="0.3">
      <c r="A191" t="s">
        <v>568</v>
      </c>
      <c r="B191">
        <v>19324</v>
      </c>
      <c r="C191" t="s">
        <v>3937</v>
      </c>
      <c r="D191" t="s">
        <v>460</v>
      </c>
      <c r="E191">
        <v>40.86</v>
      </c>
      <c r="F191">
        <v>1355.97</v>
      </c>
      <c r="G191">
        <v>33.19</v>
      </c>
    </row>
    <row r="192" spans="1:7" x14ac:dyDescent="0.3">
      <c r="A192" t="s">
        <v>568</v>
      </c>
      <c r="B192">
        <v>19297</v>
      </c>
      <c r="C192" t="s">
        <v>3949</v>
      </c>
      <c r="D192" t="s">
        <v>460</v>
      </c>
      <c r="E192">
        <v>37.9</v>
      </c>
      <c r="F192">
        <v>3212.31</v>
      </c>
      <c r="G192">
        <v>84.76</v>
      </c>
    </row>
    <row r="193" spans="1:7" x14ac:dyDescent="0.3">
      <c r="A193" t="s">
        <v>568</v>
      </c>
      <c r="B193">
        <v>19287</v>
      </c>
      <c r="C193" t="s">
        <v>3974</v>
      </c>
      <c r="D193" t="s">
        <v>460</v>
      </c>
      <c r="E193">
        <v>16.5</v>
      </c>
      <c r="F193">
        <v>627.34</v>
      </c>
      <c r="G193">
        <v>38.020000000000003</v>
      </c>
    </row>
    <row r="194" spans="1:7" x14ac:dyDescent="0.3">
      <c r="A194" t="s">
        <v>568</v>
      </c>
      <c r="B194">
        <v>19558</v>
      </c>
      <c r="C194" t="s">
        <v>4183</v>
      </c>
      <c r="D194" t="s">
        <v>460</v>
      </c>
      <c r="E194">
        <v>4.2</v>
      </c>
      <c r="F194">
        <v>54.97</v>
      </c>
      <c r="G194">
        <v>13.09</v>
      </c>
    </row>
    <row r="195" spans="1:7" x14ac:dyDescent="0.3">
      <c r="A195" t="s">
        <v>568</v>
      </c>
      <c r="B195">
        <v>25768</v>
      </c>
      <c r="C195" t="s">
        <v>4012</v>
      </c>
      <c r="D195" t="s">
        <v>460</v>
      </c>
      <c r="E195">
        <v>4</v>
      </c>
      <c r="F195">
        <v>30</v>
      </c>
      <c r="G195">
        <v>7.5</v>
      </c>
    </row>
    <row r="196" spans="1:7" x14ac:dyDescent="0.3">
      <c r="A196" t="s">
        <v>568</v>
      </c>
      <c r="B196">
        <v>27313</v>
      </c>
      <c r="C196" t="s">
        <v>4131</v>
      </c>
      <c r="D196" t="s">
        <v>460</v>
      </c>
      <c r="E196">
        <v>10.85</v>
      </c>
      <c r="F196">
        <v>355.88</v>
      </c>
      <c r="G196">
        <v>32.799999999999997</v>
      </c>
    </row>
    <row r="197" spans="1:7" x14ac:dyDescent="0.3">
      <c r="A197" t="s">
        <v>568</v>
      </c>
      <c r="B197">
        <v>18818</v>
      </c>
      <c r="C197" t="s">
        <v>3916</v>
      </c>
      <c r="D197" t="s">
        <v>460</v>
      </c>
      <c r="E197">
        <v>32.1</v>
      </c>
      <c r="F197">
        <v>807.25</v>
      </c>
      <c r="G197">
        <v>25.15</v>
      </c>
    </row>
    <row r="198" spans="1:7" x14ac:dyDescent="0.3">
      <c r="A198" t="s">
        <v>568</v>
      </c>
      <c r="B198">
        <v>18666</v>
      </c>
      <c r="C198" t="s">
        <v>4003</v>
      </c>
      <c r="D198" t="s">
        <v>460</v>
      </c>
      <c r="E198">
        <v>3</v>
      </c>
      <c r="F198">
        <v>71.97</v>
      </c>
      <c r="G198">
        <v>23.99</v>
      </c>
    </row>
    <row r="199" spans="1:7" x14ac:dyDescent="0.3">
      <c r="A199" t="s">
        <v>568</v>
      </c>
      <c r="B199">
        <v>19555</v>
      </c>
      <c r="C199" t="s">
        <v>4109</v>
      </c>
      <c r="D199" t="s">
        <v>460</v>
      </c>
      <c r="E199">
        <v>5.9</v>
      </c>
      <c r="F199">
        <v>105.96</v>
      </c>
      <c r="G199">
        <v>17.96</v>
      </c>
    </row>
    <row r="200" spans="1:7" x14ac:dyDescent="0.3">
      <c r="A200" t="s">
        <v>568</v>
      </c>
      <c r="B200">
        <v>21123</v>
      </c>
      <c r="C200" t="s">
        <v>4115</v>
      </c>
      <c r="D200" t="s">
        <v>460</v>
      </c>
      <c r="E200">
        <v>3</v>
      </c>
      <c r="F200">
        <v>18</v>
      </c>
      <c r="G200">
        <v>6</v>
      </c>
    </row>
    <row r="201" spans="1:7" x14ac:dyDescent="0.3">
      <c r="A201" t="s">
        <v>568</v>
      </c>
      <c r="B201">
        <v>28011</v>
      </c>
      <c r="C201" t="s">
        <v>4432</v>
      </c>
      <c r="D201" t="s">
        <v>460</v>
      </c>
      <c r="E201">
        <v>2</v>
      </c>
      <c r="F201">
        <v>19.8</v>
      </c>
      <c r="G201">
        <v>9.9</v>
      </c>
    </row>
    <row r="202" spans="1:7" x14ac:dyDescent="0.3">
      <c r="A202" t="s">
        <v>568</v>
      </c>
      <c r="B202">
        <v>19553</v>
      </c>
      <c r="C202" t="s">
        <v>4078</v>
      </c>
      <c r="D202" t="s">
        <v>460</v>
      </c>
      <c r="E202">
        <v>6.3</v>
      </c>
      <c r="F202">
        <v>16.77</v>
      </c>
      <c r="G202">
        <v>2.66</v>
      </c>
    </row>
    <row r="203" spans="1:7" x14ac:dyDescent="0.3">
      <c r="A203" t="s">
        <v>568</v>
      </c>
      <c r="B203">
        <v>19264</v>
      </c>
      <c r="C203" t="s">
        <v>4082</v>
      </c>
      <c r="D203" t="s">
        <v>460</v>
      </c>
      <c r="E203">
        <v>4</v>
      </c>
      <c r="F203">
        <v>268.77999999999997</v>
      </c>
      <c r="G203">
        <v>67.2</v>
      </c>
    </row>
    <row r="204" spans="1:7" x14ac:dyDescent="0.3">
      <c r="A204" t="s">
        <v>568</v>
      </c>
      <c r="B204">
        <v>18273</v>
      </c>
      <c r="C204" t="s">
        <v>4031</v>
      </c>
      <c r="D204" t="s">
        <v>460</v>
      </c>
      <c r="E204">
        <v>2</v>
      </c>
      <c r="F204">
        <v>74</v>
      </c>
      <c r="G204">
        <v>37</v>
      </c>
    </row>
    <row r="205" spans="1:7" x14ac:dyDescent="0.3">
      <c r="A205" t="s">
        <v>568</v>
      </c>
      <c r="B205">
        <v>18272</v>
      </c>
      <c r="C205" t="s">
        <v>4046</v>
      </c>
      <c r="D205" t="s">
        <v>460</v>
      </c>
      <c r="E205">
        <v>2</v>
      </c>
      <c r="F205">
        <v>72.62</v>
      </c>
      <c r="G205">
        <v>36.31</v>
      </c>
    </row>
    <row r="206" spans="1:7" x14ac:dyDescent="0.3">
      <c r="A206" t="s">
        <v>568</v>
      </c>
      <c r="B206">
        <v>17129</v>
      </c>
      <c r="C206" t="s">
        <v>4200</v>
      </c>
      <c r="D206" t="s">
        <v>460</v>
      </c>
      <c r="E206">
        <v>5</v>
      </c>
      <c r="F206">
        <v>147.69999999999999</v>
      </c>
      <c r="G206">
        <v>29.54</v>
      </c>
    </row>
    <row r="207" spans="1:7" x14ac:dyDescent="0.3">
      <c r="A207" t="s">
        <v>568</v>
      </c>
      <c r="B207">
        <v>17437</v>
      </c>
      <c r="C207" t="s">
        <v>4198</v>
      </c>
      <c r="D207" t="s">
        <v>460</v>
      </c>
      <c r="E207">
        <v>50</v>
      </c>
      <c r="F207">
        <v>125</v>
      </c>
      <c r="G207">
        <v>2.5</v>
      </c>
    </row>
    <row r="208" spans="1:7" x14ac:dyDescent="0.3">
      <c r="A208" t="s">
        <v>568</v>
      </c>
      <c r="B208">
        <v>21423</v>
      </c>
      <c r="C208" t="s">
        <v>4225</v>
      </c>
      <c r="D208" t="s">
        <v>460</v>
      </c>
      <c r="E208">
        <v>4</v>
      </c>
      <c r="F208">
        <v>128.96</v>
      </c>
      <c r="G208">
        <v>32.24</v>
      </c>
    </row>
    <row r="209" spans="1:7" x14ac:dyDescent="0.3">
      <c r="A209" t="s">
        <v>568</v>
      </c>
      <c r="B209">
        <v>17405</v>
      </c>
      <c r="C209" t="s">
        <v>4251</v>
      </c>
      <c r="D209" t="s">
        <v>460</v>
      </c>
      <c r="E209">
        <v>1</v>
      </c>
      <c r="F209">
        <v>10</v>
      </c>
      <c r="G209">
        <v>10</v>
      </c>
    </row>
    <row r="210" spans="1:7" x14ac:dyDescent="0.3">
      <c r="A210" t="s">
        <v>568</v>
      </c>
      <c r="B210">
        <v>17404</v>
      </c>
      <c r="C210" t="s">
        <v>4282</v>
      </c>
      <c r="D210" t="s">
        <v>460</v>
      </c>
      <c r="E210">
        <v>3</v>
      </c>
      <c r="F210">
        <v>61.7</v>
      </c>
      <c r="G210">
        <v>20.57</v>
      </c>
    </row>
    <row r="211" spans="1:7" x14ac:dyDescent="0.3">
      <c r="A211" t="s">
        <v>568</v>
      </c>
      <c r="B211">
        <v>19916</v>
      </c>
      <c r="C211" t="s">
        <v>4118</v>
      </c>
      <c r="D211" t="s">
        <v>460</v>
      </c>
      <c r="E211">
        <v>1</v>
      </c>
      <c r="F211">
        <v>33.9</v>
      </c>
      <c r="G211">
        <v>33.9</v>
      </c>
    </row>
    <row r="212" spans="1:7" x14ac:dyDescent="0.3">
      <c r="A212" t="s">
        <v>568</v>
      </c>
      <c r="B212">
        <v>19906</v>
      </c>
      <c r="C212" t="s">
        <v>4171</v>
      </c>
      <c r="D212" t="s">
        <v>460</v>
      </c>
      <c r="E212">
        <v>1</v>
      </c>
      <c r="F212">
        <v>26</v>
      </c>
      <c r="G212">
        <v>26</v>
      </c>
    </row>
    <row r="213" spans="1:7" x14ac:dyDescent="0.3">
      <c r="A213" t="s">
        <v>568</v>
      </c>
      <c r="B213">
        <v>19902</v>
      </c>
      <c r="C213" t="s">
        <v>3909</v>
      </c>
      <c r="D213" t="s">
        <v>460</v>
      </c>
      <c r="E213">
        <v>1</v>
      </c>
      <c r="F213">
        <v>23.9</v>
      </c>
      <c r="G213">
        <v>23.9</v>
      </c>
    </row>
    <row r="214" spans="1:7" x14ac:dyDescent="0.3">
      <c r="A214" t="s">
        <v>568</v>
      </c>
      <c r="B214">
        <v>20466</v>
      </c>
      <c r="C214" t="s">
        <v>4098</v>
      </c>
      <c r="D214" t="s">
        <v>460</v>
      </c>
      <c r="E214">
        <v>1.4</v>
      </c>
      <c r="F214">
        <v>95.2</v>
      </c>
      <c r="G214">
        <v>68</v>
      </c>
    </row>
    <row r="215" spans="1:7" x14ac:dyDescent="0.3">
      <c r="A215" t="s">
        <v>568</v>
      </c>
      <c r="B215">
        <v>23113</v>
      </c>
      <c r="C215" t="s">
        <v>4079</v>
      </c>
      <c r="D215" t="s">
        <v>460</v>
      </c>
      <c r="E215">
        <v>16.7</v>
      </c>
      <c r="F215">
        <v>150.96</v>
      </c>
      <c r="G215">
        <v>9.0399999999999991</v>
      </c>
    </row>
    <row r="216" spans="1:7" x14ac:dyDescent="0.3">
      <c r="A216" t="s">
        <v>568</v>
      </c>
      <c r="B216">
        <v>19465</v>
      </c>
      <c r="C216" t="s">
        <v>4080</v>
      </c>
      <c r="D216" t="s">
        <v>460</v>
      </c>
      <c r="E216">
        <v>5</v>
      </c>
      <c r="F216">
        <v>24.2</v>
      </c>
      <c r="G216">
        <v>4.84</v>
      </c>
    </row>
    <row r="217" spans="1:7" x14ac:dyDescent="0.3">
      <c r="A217" t="s">
        <v>568</v>
      </c>
      <c r="B217">
        <v>20458</v>
      </c>
      <c r="C217" t="s">
        <v>4121</v>
      </c>
      <c r="D217" t="s">
        <v>460</v>
      </c>
      <c r="E217">
        <v>3.3</v>
      </c>
      <c r="F217">
        <v>108.57</v>
      </c>
      <c r="G217">
        <v>32.9</v>
      </c>
    </row>
    <row r="218" spans="1:7" x14ac:dyDescent="0.3">
      <c r="A218" t="s">
        <v>568</v>
      </c>
      <c r="B218">
        <v>20456</v>
      </c>
      <c r="C218" t="s">
        <v>4000</v>
      </c>
      <c r="D218" t="s">
        <v>460</v>
      </c>
      <c r="E218">
        <v>2.8</v>
      </c>
      <c r="F218">
        <v>109.2</v>
      </c>
      <c r="G218">
        <v>39</v>
      </c>
    </row>
    <row r="219" spans="1:7" x14ac:dyDescent="0.3">
      <c r="A219" t="s">
        <v>568</v>
      </c>
      <c r="B219">
        <v>17883</v>
      </c>
      <c r="C219" t="s">
        <v>4136</v>
      </c>
      <c r="D219" t="s">
        <v>460</v>
      </c>
      <c r="E219">
        <v>2</v>
      </c>
      <c r="F219">
        <v>56.64</v>
      </c>
      <c r="G219">
        <v>28.32</v>
      </c>
    </row>
    <row r="220" spans="1:7" x14ac:dyDescent="0.3">
      <c r="A220" t="s">
        <v>568</v>
      </c>
      <c r="B220">
        <v>17881</v>
      </c>
      <c r="C220" t="s">
        <v>4095</v>
      </c>
      <c r="D220" t="s">
        <v>460</v>
      </c>
      <c r="E220">
        <v>7</v>
      </c>
      <c r="F220">
        <v>157.74</v>
      </c>
      <c r="G220">
        <v>22.53</v>
      </c>
    </row>
    <row r="221" spans="1:7" x14ac:dyDescent="0.3">
      <c r="A221" t="s">
        <v>568</v>
      </c>
      <c r="B221">
        <v>18586</v>
      </c>
      <c r="C221" t="s">
        <v>4107</v>
      </c>
      <c r="D221" t="s">
        <v>460</v>
      </c>
      <c r="E221">
        <v>2</v>
      </c>
      <c r="F221">
        <v>264.14</v>
      </c>
      <c r="G221">
        <v>132.07</v>
      </c>
    </row>
    <row r="222" spans="1:7" x14ac:dyDescent="0.3">
      <c r="A222" t="s">
        <v>568</v>
      </c>
      <c r="B222">
        <v>19672</v>
      </c>
      <c r="C222" t="s">
        <v>4024</v>
      </c>
      <c r="D222" t="s">
        <v>460</v>
      </c>
      <c r="E222">
        <v>13</v>
      </c>
      <c r="F222">
        <v>177.2</v>
      </c>
      <c r="G222">
        <v>13.63</v>
      </c>
    </row>
    <row r="223" spans="1:7" x14ac:dyDescent="0.3">
      <c r="A223" t="s">
        <v>568</v>
      </c>
      <c r="B223">
        <v>25769</v>
      </c>
      <c r="C223" t="s">
        <v>4013</v>
      </c>
      <c r="D223" t="s">
        <v>460</v>
      </c>
      <c r="E223">
        <v>2</v>
      </c>
      <c r="F223">
        <v>22.1</v>
      </c>
      <c r="G223">
        <v>11.05</v>
      </c>
    </row>
    <row r="224" spans="1:7" x14ac:dyDescent="0.3">
      <c r="A224" t="s">
        <v>568</v>
      </c>
      <c r="B224">
        <v>23184</v>
      </c>
      <c r="C224" t="s">
        <v>3894</v>
      </c>
      <c r="D224" t="s">
        <v>460</v>
      </c>
      <c r="E224">
        <v>1.5</v>
      </c>
      <c r="F224">
        <v>12.33</v>
      </c>
      <c r="G224">
        <v>8.2200000000000006</v>
      </c>
    </row>
    <row r="225" spans="1:7" x14ac:dyDescent="0.3">
      <c r="A225" t="s">
        <v>568</v>
      </c>
      <c r="B225">
        <v>19539</v>
      </c>
      <c r="C225" t="s">
        <v>4133</v>
      </c>
      <c r="D225" t="s">
        <v>460</v>
      </c>
      <c r="E225">
        <v>54</v>
      </c>
      <c r="F225">
        <v>286.2</v>
      </c>
      <c r="G225">
        <v>5.3</v>
      </c>
    </row>
    <row r="226" spans="1:7" x14ac:dyDescent="0.3">
      <c r="A226" t="s">
        <v>568</v>
      </c>
      <c r="B226">
        <v>20597</v>
      </c>
      <c r="C226" t="s">
        <v>4157</v>
      </c>
      <c r="D226" t="s">
        <v>460</v>
      </c>
      <c r="E226">
        <v>2</v>
      </c>
      <c r="F226">
        <v>49.6</v>
      </c>
      <c r="G226">
        <v>24.8</v>
      </c>
    </row>
    <row r="227" spans="1:7" x14ac:dyDescent="0.3">
      <c r="A227" t="s">
        <v>568</v>
      </c>
      <c r="B227">
        <v>23171</v>
      </c>
      <c r="C227" t="s">
        <v>4132</v>
      </c>
      <c r="D227" t="s">
        <v>460</v>
      </c>
      <c r="E227">
        <v>31.5</v>
      </c>
      <c r="F227">
        <v>157.27000000000001</v>
      </c>
      <c r="G227">
        <v>4.99</v>
      </c>
    </row>
    <row r="228" spans="1:7" x14ac:dyDescent="0.3">
      <c r="A228" t="s">
        <v>568</v>
      </c>
      <c r="B228">
        <v>17361</v>
      </c>
      <c r="C228" t="s">
        <v>4437</v>
      </c>
      <c r="D228" t="s">
        <v>460</v>
      </c>
      <c r="E228">
        <v>1</v>
      </c>
      <c r="F228">
        <v>7.64</v>
      </c>
      <c r="G228">
        <v>7.64</v>
      </c>
    </row>
    <row r="229" spans="1:7" x14ac:dyDescent="0.3">
      <c r="A229" t="s">
        <v>568</v>
      </c>
      <c r="B229">
        <v>19717</v>
      </c>
      <c r="C229" t="s">
        <v>4135</v>
      </c>
      <c r="D229" t="s">
        <v>460</v>
      </c>
      <c r="E229">
        <v>1</v>
      </c>
      <c r="F229">
        <v>19.43</v>
      </c>
      <c r="G229">
        <v>19.43</v>
      </c>
    </row>
    <row r="230" spans="1:7" x14ac:dyDescent="0.3">
      <c r="A230" t="s">
        <v>568</v>
      </c>
      <c r="B230">
        <v>17066</v>
      </c>
      <c r="C230" t="s">
        <v>4155</v>
      </c>
      <c r="D230" t="s">
        <v>460</v>
      </c>
      <c r="E230">
        <v>2</v>
      </c>
      <c r="F230">
        <v>38.380000000000003</v>
      </c>
      <c r="G230">
        <v>19.190000000000001</v>
      </c>
    </row>
    <row r="231" spans="1:7" x14ac:dyDescent="0.3">
      <c r="A231" t="s">
        <v>568</v>
      </c>
      <c r="B231">
        <v>20949</v>
      </c>
      <c r="C231" t="s">
        <v>3983</v>
      </c>
      <c r="D231" t="s">
        <v>460</v>
      </c>
      <c r="E231">
        <v>6</v>
      </c>
      <c r="F231">
        <v>50.1</v>
      </c>
      <c r="G231">
        <v>8.35</v>
      </c>
    </row>
    <row r="232" spans="1:7" x14ac:dyDescent="0.3">
      <c r="A232" t="s">
        <v>568</v>
      </c>
      <c r="B232">
        <v>18172</v>
      </c>
      <c r="C232" t="s">
        <v>3923</v>
      </c>
      <c r="D232" t="s">
        <v>460</v>
      </c>
      <c r="E232">
        <v>12</v>
      </c>
      <c r="F232">
        <v>362.1</v>
      </c>
      <c r="G232">
        <v>30.18</v>
      </c>
    </row>
    <row r="233" spans="1:7" x14ac:dyDescent="0.3">
      <c r="A233" t="s">
        <v>568</v>
      </c>
      <c r="B233">
        <v>17314</v>
      </c>
      <c r="C233" t="s">
        <v>4204</v>
      </c>
      <c r="D233" t="s">
        <v>467</v>
      </c>
      <c r="E233">
        <v>3</v>
      </c>
      <c r="F233">
        <v>17.670000000000002</v>
      </c>
      <c r="G233">
        <v>5.89</v>
      </c>
    </row>
    <row r="234" spans="1:7" x14ac:dyDescent="0.3">
      <c r="A234" t="s">
        <v>568</v>
      </c>
      <c r="B234">
        <v>21030</v>
      </c>
      <c r="C234" t="s">
        <v>3890</v>
      </c>
      <c r="D234" t="s">
        <v>467</v>
      </c>
      <c r="E234">
        <v>6</v>
      </c>
      <c r="F234">
        <v>104.4</v>
      </c>
      <c r="G234">
        <v>17.399999999999999</v>
      </c>
    </row>
    <row r="235" spans="1:7" x14ac:dyDescent="0.3">
      <c r="A235" t="s">
        <v>568</v>
      </c>
      <c r="B235">
        <v>23982</v>
      </c>
      <c r="C235" t="s">
        <v>3977</v>
      </c>
      <c r="D235" t="s">
        <v>467</v>
      </c>
      <c r="E235">
        <v>1</v>
      </c>
      <c r="F235">
        <v>240.56</v>
      </c>
      <c r="G235">
        <v>240.56</v>
      </c>
    </row>
    <row r="236" spans="1:7" x14ac:dyDescent="0.3">
      <c r="A236" t="s">
        <v>568</v>
      </c>
      <c r="B236">
        <v>20752</v>
      </c>
      <c r="C236" t="s">
        <v>3964</v>
      </c>
      <c r="D236" t="s">
        <v>467</v>
      </c>
      <c r="E236">
        <v>2</v>
      </c>
      <c r="F236">
        <v>231.8</v>
      </c>
      <c r="G236">
        <v>115.9</v>
      </c>
    </row>
    <row r="237" spans="1:7" x14ac:dyDescent="0.3">
      <c r="A237" t="s">
        <v>568</v>
      </c>
      <c r="B237">
        <v>20729</v>
      </c>
      <c r="C237" t="s">
        <v>3965</v>
      </c>
      <c r="D237" t="s">
        <v>467</v>
      </c>
      <c r="E237">
        <v>2</v>
      </c>
      <c r="F237">
        <v>135.76</v>
      </c>
      <c r="G237">
        <v>67.88</v>
      </c>
    </row>
    <row r="238" spans="1:7" x14ac:dyDescent="0.3">
      <c r="A238" t="s">
        <v>568</v>
      </c>
      <c r="B238">
        <v>20809</v>
      </c>
      <c r="C238" t="s">
        <v>4005</v>
      </c>
      <c r="D238" t="s">
        <v>467</v>
      </c>
      <c r="E238">
        <v>3</v>
      </c>
      <c r="F238">
        <v>89.97</v>
      </c>
      <c r="G238">
        <v>29.99</v>
      </c>
    </row>
    <row r="239" spans="1:7" x14ac:dyDescent="0.3">
      <c r="A239" t="s">
        <v>568</v>
      </c>
      <c r="B239">
        <v>18933</v>
      </c>
      <c r="C239" t="s">
        <v>3957</v>
      </c>
      <c r="D239" t="s">
        <v>467</v>
      </c>
      <c r="E239">
        <v>5.2</v>
      </c>
      <c r="F239">
        <v>149.76</v>
      </c>
      <c r="G239">
        <v>28.8</v>
      </c>
    </row>
    <row r="240" spans="1:7" x14ac:dyDescent="0.3">
      <c r="A240" t="s">
        <v>568</v>
      </c>
      <c r="B240">
        <v>24212</v>
      </c>
      <c r="C240" t="s">
        <v>4056</v>
      </c>
      <c r="D240" t="s">
        <v>467</v>
      </c>
      <c r="E240">
        <v>2</v>
      </c>
      <c r="F240">
        <v>23.8</v>
      </c>
      <c r="G240">
        <v>11.9</v>
      </c>
    </row>
    <row r="241" spans="1:7" x14ac:dyDescent="0.3">
      <c r="A241" t="s">
        <v>568</v>
      </c>
      <c r="B241">
        <v>17304</v>
      </c>
      <c r="C241" t="s">
        <v>4206</v>
      </c>
      <c r="D241" t="s">
        <v>467</v>
      </c>
      <c r="E241">
        <v>1</v>
      </c>
      <c r="F241">
        <v>6.59</v>
      </c>
      <c r="G241">
        <v>6.59</v>
      </c>
    </row>
    <row r="242" spans="1:7" x14ac:dyDescent="0.3">
      <c r="A242" t="s">
        <v>568</v>
      </c>
      <c r="B242">
        <v>20358</v>
      </c>
      <c r="C242" t="s">
        <v>3952</v>
      </c>
      <c r="D242" t="s">
        <v>467</v>
      </c>
      <c r="E242">
        <v>2</v>
      </c>
      <c r="F242">
        <v>29.6</v>
      </c>
      <c r="G242">
        <v>14.8</v>
      </c>
    </row>
    <row r="243" spans="1:7" x14ac:dyDescent="0.3">
      <c r="A243" t="s">
        <v>568</v>
      </c>
      <c r="B243">
        <v>20246</v>
      </c>
      <c r="C243" t="s">
        <v>3911</v>
      </c>
      <c r="D243" t="s">
        <v>467</v>
      </c>
      <c r="E243">
        <v>10</v>
      </c>
      <c r="F243">
        <v>108.9</v>
      </c>
      <c r="G243">
        <v>10.89</v>
      </c>
    </row>
    <row r="244" spans="1:7" x14ac:dyDescent="0.3">
      <c r="A244" t="s">
        <v>568</v>
      </c>
      <c r="B244">
        <v>20227</v>
      </c>
      <c r="C244" t="s">
        <v>3968</v>
      </c>
      <c r="D244" t="s">
        <v>467</v>
      </c>
      <c r="E244">
        <v>5</v>
      </c>
      <c r="F244">
        <v>75.599999999999994</v>
      </c>
      <c r="G244">
        <v>15.12</v>
      </c>
    </row>
    <row r="245" spans="1:7" x14ac:dyDescent="0.3">
      <c r="A245" t="s">
        <v>568</v>
      </c>
      <c r="B245">
        <v>17006</v>
      </c>
      <c r="C245" t="s">
        <v>4128</v>
      </c>
      <c r="D245" t="s">
        <v>467</v>
      </c>
      <c r="E245">
        <v>13.77</v>
      </c>
      <c r="F245">
        <v>179.01</v>
      </c>
      <c r="G245">
        <v>13</v>
      </c>
    </row>
    <row r="246" spans="1:7" x14ac:dyDescent="0.3">
      <c r="A246" t="s">
        <v>568</v>
      </c>
      <c r="B246">
        <v>21024</v>
      </c>
      <c r="C246" t="s">
        <v>4180</v>
      </c>
      <c r="D246" t="s">
        <v>467</v>
      </c>
      <c r="E246">
        <v>2</v>
      </c>
      <c r="F246">
        <v>358</v>
      </c>
      <c r="G246">
        <v>179</v>
      </c>
    </row>
    <row r="247" spans="1:7" x14ac:dyDescent="0.3">
      <c r="A247" t="s">
        <v>568</v>
      </c>
      <c r="B247">
        <v>24320</v>
      </c>
      <c r="C247" t="s">
        <v>4160</v>
      </c>
      <c r="D247" t="s">
        <v>467</v>
      </c>
      <c r="E247">
        <v>17.100000000000001</v>
      </c>
      <c r="F247">
        <v>612.17999999999995</v>
      </c>
      <c r="G247">
        <v>35.799999999999997</v>
      </c>
    </row>
    <row r="248" spans="1:7" x14ac:dyDescent="0.3">
      <c r="A248" t="s">
        <v>568</v>
      </c>
      <c r="B248">
        <v>20661</v>
      </c>
      <c r="C248" t="s">
        <v>3919</v>
      </c>
      <c r="D248" t="s">
        <v>467</v>
      </c>
      <c r="E248">
        <v>6</v>
      </c>
      <c r="F248">
        <v>51.54</v>
      </c>
      <c r="G248">
        <v>8.59</v>
      </c>
    </row>
    <row r="249" spans="1:7" x14ac:dyDescent="0.3">
      <c r="A249" t="s">
        <v>568</v>
      </c>
      <c r="B249">
        <v>17185</v>
      </c>
      <c r="C249" t="s">
        <v>4210</v>
      </c>
      <c r="D249" t="s">
        <v>467</v>
      </c>
      <c r="E249">
        <v>1</v>
      </c>
      <c r="F249">
        <v>15.95</v>
      </c>
      <c r="G249">
        <v>15.95</v>
      </c>
    </row>
    <row r="250" spans="1:7" x14ac:dyDescent="0.3">
      <c r="A250" t="s">
        <v>568</v>
      </c>
      <c r="B250">
        <v>17182</v>
      </c>
      <c r="C250" t="s">
        <v>4207</v>
      </c>
      <c r="D250" t="s">
        <v>467</v>
      </c>
      <c r="E250">
        <v>1</v>
      </c>
      <c r="F250">
        <v>38.89</v>
      </c>
      <c r="G250">
        <v>38.89</v>
      </c>
    </row>
    <row r="251" spans="1:7" x14ac:dyDescent="0.3">
      <c r="A251" t="s">
        <v>568</v>
      </c>
      <c r="B251">
        <v>24331</v>
      </c>
      <c r="C251" t="s">
        <v>3960</v>
      </c>
      <c r="D251" t="s">
        <v>467</v>
      </c>
      <c r="E251">
        <v>5</v>
      </c>
      <c r="F251">
        <v>108.75</v>
      </c>
      <c r="G251">
        <v>21.75</v>
      </c>
    </row>
    <row r="252" spans="1:7" x14ac:dyDescent="0.3">
      <c r="A252" t="s">
        <v>568</v>
      </c>
      <c r="B252">
        <v>24388</v>
      </c>
      <c r="C252" t="s">
        <v>3915</v>
      </c>
      <c r="D252" t="s">
        <v>467</v>
      </c>
      <c r="E252">
        <v>8.5</v>
      </c>
      <c r="F252">
        <v>253.3</v>
      </c>
      <c r="G252">
        <v>29.8</v>
      </c>
    </row>
    <row r="253" spans="1:7" x14ac:dyDescent="0.3">
      <c r="A253" t="s">
        <v>568</v>
      </c>
      <c r="B253">
        <v>28246</v>
      </c>
      <c r="C253" t="s">
        <v>4201</v>
      </c>
      <c r="D253" t="s">
        <v>467</v>
      </c>
      <c r="E253">
        <v>1</v>
      </c>
      <c r="F253">
        <v>39.72</v>
      </c>
      <c r="G253">
        <v>39.72</v>
      </c>
    </row>
    <row r="254" spans="1:7" x14ac:dyDescent="0.3">
      <c r="A254" t="s">
        <v>568</v>
      </c>
      <c r="B254">
        <v>17444</v>
      </c>
      <c r="C254" t="s">
        <v>4211</v>
      </c>
      <c r="D254" t="s">
        <v>467</v>
      </c>
      <c r="E254">
        <v>1</v>
      </c>
      <c r="F254">
        <v>12.59</v>
      </c>
      <c r="G254">
        <v>12.59</v>
      </c>
    </row>
    <row r="255" spans="1:7" x14ac:dyDescent="0.3">
      <c r="A255" t="s">
        <v>568</v>
      </c>
      <c r="B255">
        <v>20624</v>
      </c>
      <c r="C255" t="s">
        <v>3982</v>
      </c>
      <c r="D255" t="s">
        <v>467</v>
      </c>
      <c r="E255">
        <v>2</v>
      </c>
      <c r="F255">
        <v>141.72</v>
      </c>
      <c r="G255">
        <v>70.86</v>
      </c>
    </row>
    <row r="256" spans="1:7" x14ac:dyDescent="0.3">
      <c r="A256" t="s">
        <v>568</v>
      </c>
      <c r="B256">
        <v>17162</v>
      </c>
      <c r="C256" t="s">
        <v>4209</v>
      </c>
      <c r="D256" t="s">
        <v>467</v>
      </c>
      <c r="E256">
        <v>1</v>
      </c>
      <c r="F256">
        <v>54</v>
      </c>
      <c r="G256">
        <v>54</v>
      </c>
    </row>
    <row r="257" spans="1:7" x14ac:dyDescent="0.3">
      <c r="A257" t="s">
        <v>568</v>
      </c>
      <c r="B257">
        <v>17342</v>
      </c>
      <c r="C257" t="s">
        <v>4208</v>
      </c>
      <c r="D257" t="s">
        <v>467</v>
      </c>
      <c r="E257">
        <v>1</v>
      </c>
      <c r="F257">
        <v>34.229999999999997</v>
      </c>
      <c r="G257">
        <v>34.229999999999997</v>
      </c>
    </row>
    <row r="258" spans="1:7" x14ac:dyDescent="0.3">
      <c r="A258" t="s">
        <v>568</v>
      </c>
      <c r="B258">
        <v>17416</v>
      </c>
      <c r="C258" t="s">
        <v>4205</v>
      </c>
      <c r="D258" t="s">
        <v>467</v>
      </c>
      <c r="E258">
        <v>3</v>
      </c>
      <c r="F258">
        <v>145.74</v>
      </c>
      <c r="G258">
        <v>48.58</v>
      </c>
    </row>
    <row r="259" spans="1:7" x14ac:dyDescent="0.3">
      <c r="A259" t="s">
        <v>568</v>
      </c>
      <c r="B259">
        <v>24402</v>
      </c>
      <c r="C259" t="s">
        <v>3896</v>
      </c>
      <c r="D259" t="s">
        <v>467</v>
      </c>
      <c r="E259">
        <v>8.6999999999999993</v>
      </c>
      <c r="F259">
        <v>341.04</v>
      </c>
      <c r="G259">
        <v>39.200000000000003</v>
      </c>
    </row>
    <row r="260" spans="1:7" x14ac:dyDescent="0.3">
      <c r="A260" t="s">
        <v>568</v>
      </c>
      <c r="B260">
        <v>18832</v>
      </c>
      <c r="C260" t="s">
        <v>3900</v>
      </c>
      <c r="D260" t="s">
        <v>467</v>
      </c>
      <c r="E260">
        <v>6.3</v>
      </c>
      <c r="F260">
        <v>251.37</v>
      </c>
      <c r="G260">
        <v>39.9</v>
      </c>
    </row>
    <row r="261" spans="1:7" x14ac:dyDescent="0.3">
      <c r="A261" t="s">
        <v>568</v>
      </c>
      <c r="B261">
        <v>17129</v>
      </c>
      <c r="C261" t="s">
        <v>4200</v>
      </c>
      <c r="D261" t="s">
        <v>467</v>
      </c>
      <c r="E261">
        <v>1</v>
      </c>
      <c r="F261">
        <v>26.61</v>
      </c>
      <c r="G261">
        <v>26.61</v>
      </c>
    </row>
    <row r="262" spans="1:7" x14ac:dyDescent="0.3">
      <c r="A262" t="s">
        <v>568</v>
      </c>
      <c r="B262">
        <v>17437</v>
      </c>
      <c r="C262" t="s">
        <v>4198</v>
      </c>
      <c r="D262" t="s">
        <v>467</v>
      </c>
      <c r="E262">
        <v>10</v>
      </c>
      <c r="F262">
        <v>23</v>
      </c>
      <c r="G262">
        <v>2.2999999999999998</v>
      </c>
    </row>
    <row r="263" spans="1:7" x14ac:dyDescent="0.3">
      <c r="A263" t="s">
        <v>568</v>
      </c>
      <c r="B263">
        <v>19906</v>
      </c>
      <c r="C263" t="s">
        <v>4171</v>
      </c>
      <c r="D263" t="s">
        <v>467</v>
      </c>
      <c r="E263">
        <v>1</v>
      </c>
      <c r="F263">
        <v>35</v>
      </c>
      <c r="G263">
        <v>35</v>
      </c>
    </row>
    <row r="264" spans="1:7" x14ac:dyDescent="0.3">
      <c r="A264" t="s">
        <v>568</v>
      </c>
      <c r="B264">
        <v>29797</v>
      </c>
      <c r="C264" t="s">
        <v>4260</v>
      </c>
      <c r="D264" t="s">
        <v>466</v>
      </c>
      <c r="E264">
        <v>10</v>
      </c>
      <c r="F264">
        <v>164.2</v>
      </c>
      <c r="G264">
        <v>16.420000000000002</v>
      </c>
    </row>
    <row r="265" spans="1:7" x14ac:dyDescent="0.3">
      <c r="A265" t="s">
        <v>568</v>
      </c>
      <c r="B265">
        <v>19787</v>
      </c>
      <c r="C265" t="s">
        <v>3940</v>
      </c>
      <c r="D265" t="s">
        <v>466</v>
      </c>
      <c r="E265">
        <v>36</v>
      </c>
      <c r="F265">
        <v>206.4</v>
      </c>
      <c r="G265">
        <v>5.73</v>
      </c>
    </row>
    <row r="266" spans="1:7" x14ac:dyDescent="0.3">
      <c r="A266" t="s">
        <v>568</v>
      </c>
      <c r="B266">
        <v>27475</v>
      </c>
      <c r="C266" t="s">
        <v>4162</v>
      </c>
      <c r="D266" t="s">
        <v>466</v>
      </c>
      <c r="E266">
        <v>2</v>
      </c>
      <c r="F266">
        <v>33.6</v>
      </c>
      <c r="G266">
        <v>16.8</v>
      </c>
    </row>
    <row r="267" spans="1:7" x14ac:dyDescent="0.3">
      <c r="A267" t="s">
        <v>568</v>
      </c>
      <c r="B267">
        <v>21102</v>
      </c>
      <c r="C267" t="s">
        <v>4269</v>
      </c>
      <c r="D267" t="s">
        <v>466</v>
      </c>
      <c r="E267">
        <v>5</v>
      </c>
      <c r="F267">
        <v>17.5</v>
      </c>
      <c r="G267">
        <v>3.5</v>
      </c>
    </row>
    <row r="268" spans="1:7" x14ac:dyDescent="0.3">
      <c r="A268" t="s">
        <v>568</v>
      </c>
      <c r="B268">
        <v>21093</v>
      </c>
      <c r="C268" t="s">
        <v>3903</v>
      </c>
      <c r="D268" t="s">
        <v>466</v>
      </c>
      <c r="E268">
        <v>40</v>
      </c>
      <c r="F268">
        <v>171.2</v>
      </c>
      <c r="G268">
        <v>4.28</v>
      </c>
    </row>
    <row r="269" spans="1:7" x14ac:dyDescent="0.3">
      <c r="A269" t="s">
        <v>568</v>
      </c>
      <c r="B269">
        <v>19458</v>
      </c>
      <c r="C269" t="s">
        <v>4212</v>
      </c>
      <c r="D269" t="s">
        <v>466</v>
      </c>
      <c r="E269">
        <v>4</v>
      </c>
      <c r="F269">
        <v>72.02</v>
      </c>
      <c r="G269">
        <v>18.010000000000002</v>
      </c>
    </row>
    <row r="270" spans="1:7" x14ac:dyDescent="0.3">
      <c r="A270" t="s">
        <v>568</v>
      </c>
      <c r="B270">
        <v>24006</v>
      </c>
      <c r="C270" t="s">
        <v>4177</v>
      </c>
      <c r="D270" t="s">
        <v>466</v>
      </c>
      <c r="E270">
        <v>30</v>
      </c>
      <c r="F270">
        <v>717</v>
      </c>
      <c r="G270">
        <v>23.9</v>
      </c>
    </row>
    <row r="271" spans="1:7" x14ac:dyDescent="0.3">
      <c r="A271" t="s">
        <v>568</v>
      </c>
      <c r="B271">
        <v>17969</v>
      </c>
      <c r="C271" t="s">
        <v>4175</v>
      </c>
      <c r="D271" t="s">
        <v>466</v>
      </c>
      <c r="E271">
        <v>50</v>
      </c>
      <c r="F271">
        <v>1135</v>
      </c>
      <c r="G271">
        <v>22.7</v>
      </c>
    </row>
    <row r="272" spans="1:7" x14ac:dyDescent="0.3">
      <c r="A272" t="s">
        <v>568</v>
      </c>
      <c r="B272">
        <v>17314</v>
      </c>
      <c r="C272" t="s">
        <v>4204</v>
      </c>
      <c r="D272" t="s">
        <v>466</v>
      </c>
      <c r="E272">
        <v>10</v>
      </c>
      <c r="F272">
        <v>58.9</v>
      </c>
      <c r="G272">
        <v>5.89</v>
      </c>
    </row>
    <row r="273" spans="1:7" x14ac:dyDescent="0.3">
      <c r="A273" t="s">
        <v>568</v>
      </c>
      <c r="B273">
        <v>17266</v>
      </c>
      <c r="C273" t="s">
        <v>4229</v>
      </c>
      <c r="D273" t="s">
        <v>466</v>
      </c>
      <c r="E273">
        <v>12</v>
      </c>
      <c r="F273">
        <v>62.4</v>
      </c>
      <c r="G273">
        <v>5.2</v>
      </c>
    </row>
    <row r="274" spans="1:7" x14ac:dyDescent="0.3">
      <c r="A274" t="s">
        <v>568</v>
      </c>
      <c r="B274">
        <v>17264</v>
      </c>
      <c r="C274" t="s">
        <v>4248</v>
      </c>
      <c r="D274" t="s">
        <v>466</v>
      </c>
      <c r="E274">
        <v>24</v>
      </c>
      <c r="F274">
        <v>133.19999999999999</v>
      </c>
      <c r="G274">
        <v>5.55</v>
      </c>
    </row>
    <row r="275" spans="1:7" x14ac:dyDescent="0.3">
      <c r="A275" t="s">
        <v>568</v>
      </c>
      <c r="B275">
        <v>19506</v>
      </c>
      <c r="C275" t="s">
        <v>4112</v>
      </c>
      <c r="D275" t="s">
        <v>466</v>
      </c>
      <c r="E275">
        <v>3.7</v>
      </c>
      <c r="F275">
        <v>187.4</v>
      </c>
      <c r="G275">
        <v>50.65</v>
      </c>
    </row>
    <row r="276" spans="1:7" x14ac:dyDescent="0.3">
      <c r="A276" t="s">
        <v>568</v>
      </c>
      <c r="B276">
        <v>19505</v>
      </c>
      <c r="C276" t="s">
        <v>4101</v>
      </c>
      <c r="D276" t="s">
        <v>466</v>
      </c>
      <c r="E276">
        <v>12</v>
      </c>
      <c r="F276">
        <v>131.5</v>
      </c>
      <c r="G276">
        <v>10.96</v>
      </c>
    </row>
    <row r="277" spans="1:7" x14ac:dyDescent="0.3">
      <c r="A277" t="s">
        <v>568</v>
      </c>
      <c r="B277">
        <v>23142</v>
      </c>
      <c r="C277" t="s">
        <v>4151</v>
      </c>
      <c r="D277" t="s">
        <v>466</v>
      </c>
      <c r="E277">
        <v>9</v>
      </c>
      <c r="F277">
        <v>181.26</v>
      </c>
      <c r="G277">
        <v>20.14</v>
      </c>
    </row>
    <row r="278" spans="1:7" x14ac:dyDescent="0.3">
      <c r="A278" t="s">
        <v>568</v>
      </c>
      <c r="B278">
        <v>19498</v>
      </c>
      <c r="C278" t="s">
        <v>4065</v>
      </c>
      <c r="D278" t="s">
        <v>466</v>
      </c>
      <c r="E278">
        <v>9.6</v>
      </c>
      <c r="F278">
        <v>134.93</v>
      </c>
      <c r="G278">
        <v>14.06</v>
      </c>
    </row>
    <row r="279" spans="1:7" x14ac:dyDescent="0.3">
      <c r="A279" t="s">
        <v>568</v>
      </c>
      <c r="B279">
        <v>19652</v>
      </c>
      <c r="C279" t="s">
        <v>4014</v>
      </c>
      <c r="D279" t="s">
        <v>466</v>
      </c>
      <c r="E279">
        <v>1</v>
      </c>
      <c r="F279">
        <v>27</v>
      </c>
      <c r="G279">
        <v>27</v>
      </c>
    </row>
    <row r="280" spans="1:7" x14ac:dyDescent="0.3">
      <c r="A280" t="s">
        <v>568</v>
      </c>
      <c r="B280">
        <v>23270</v>
      </c>
      <c r="C280" t="s">
        <v>4103</v>
      </c>
      <c r="D280" t="s">
        <v>466</v>
      </c>
      <c r="E280">
        <v>1</v>
      </c>
      <c r="F280">
        <v>19.899999999999999</v>
      </c>
      <c r="G280">
        <v>19.899999999999999</v>
      </c>
    </row>
    <row r="281" spans="1:7" x14ac:dyDescent="0.3">
      <c r="A281" t="s">
        <v>568</v>
      </c>
      <c r="B281">
        <v>19647</v>
      </c>
      <c r="C281" t="s">
        <v>4066</v>
      </c>
      <c r="D281" t="s">
        <v>466</v>
      </c>
      <c r="E281">
        <v>3</v>
      </c>
      <c r="F281">
        <v>39</v>
      </c>
      <c r="G281">
        <v>13</v>
      </c>
    </row>
    <row r="282" spans="1:7" x14ac:dyDescent="0.3">
      <c r="A282" t="s">
        <v>568</v>
      </c>
      <c r="B282">
        <v>24037</v>
      </c>
      <c r="C282" t="s">
        <v>4104</v>
      </c>
      <c r="D282" t="s">
        <v>466</v>
      </c>
      <c r="E282">
        <v>18</v>
      </c>
      <c r="F282">
        <v>315.08</v>
      </c>
      <c r="G282">
        <v>17.5</v>
      </c>
    </row>
    <row r="283" spans="1:7" x14ac:dyDescent="0.3">
      <c r="A283" t="s">
        <v>568</v>
      </c>
      <c r="B283">
        <v>18528</v>
      </c>
      <c r="C283" t="s">
        <v>4108</v>
      </c>
      <c r="D283" t="s">
        <v>466</v>
      </c>
      <c r="E283">
        <v>2</v>
      </c>
      <c r="F283">
        <v>101.92</v>
      </c>
      <c r="G283">
        <v>50.96</v>
      </c>
    </row>
    <row r="284" spans="1:7" x14ac:dyDescent="0.3">
      <c r="A284" t="s">
        <v>568</v>
      </c>
      <c r="B284">
        <v>18538</v>
      </c>
      <c r="C284" t="s">
        <v>4026</v>
      </c>
      <c r="D284" t="s">
        <v>466</v>
      </c>
      <c r="E284">
        <v>5</v>
      </c>
      <c r="F284">
        <v>514.79999999999995</v>
      </c>
      <c r="G284">
        <v>102.96</v>
      </c>
    </row>
    <row r="285" spans="1:7" x14ac:dyDescent="0.3">
      <c r="A285" t="s">
        <v>568</v>
      </c>
      <c r="B285">
        <v>20301</v>
      </c>
      <c r="C285" t="s">
        <v>4161</v>
      </c>
      <c r="D285" t="s">
        <v>466</v>
      </c>
      <c r="E285">
        <v>30</v>
      </c>
      <c r="F285">
        <v>630</v>
      </c>
      <c r="G285">
        <v>21</v>
      </c>
    </row>
    <row r="286" spans="1:7" x14ac:dyDescent="0.3">
      <c r="A286" t="s">
        <v>568</v>
      </c>
      <c r="B286">
        <v>21783</v>
      </c>
      <c r="C286" t="s">
        <v>4228</v>
      </c>
      <c r="D286" t="s">
        <v>466</v>
      </c>
      <c r="E286">
        <v>6</v>
      </c>
      <c r="F286">
        <v>96</v>
      </c>
      <c r="G286">
        <v>16</v>
      </c>
    </row>
    <row r="287" spans="1:7" x14ac:dyDescent="0.3">
      <c r="A287" t="s">
        <v>568</v>
      </c>
      <c r="B287">
        <v>21030</v>
      </c>
      <c r="C287" t="s">
        <v>3890</v>
      </c>
      <c r="D287" t="s">
        <v>466</v>
      </c>
      <c r="E287">
        <v>12</v>
      </c>
      <c r="F287">
        <v>238.8</v>
      </c>
      <c r="G287">
        <v>19.899999999999999</v>
      </c>
    </row>
    <row r="288" spans="1:7" x14ac:dyDescent="0.3">
      <c r="A288" t="s">
        <v>568</v>
      </c>
      <c r="B288">
        <v>23982</v>
      </c>
      <c r="C288" t="s">
        <v>3977</v>
      </c>
      <c r="D288" t="s">
        <v>466</v>
      </c>
      <c r="E288">
        <v>3</v>
      </c>
      <c r="F288">
        <v>721.68</v>
      </c>
      <c r="G288">
        <v>240.56</v>
      </c>
    </row>
    <row r="289" spans="1:7" x14ac:dyDescent="0.3">
      <c r="A289" t="s">
        <v>568</v>
      </c>
      <c r="B289">
        <v>20752</v>
      </c>
      <c r="C289" t="s">
        <v>3964</v>
      </c>
      <c r="D289" t="s">
        <v>466</v>
      </c>
      <c r="E289">
        <v>11</v>
      </c>
      <c r="F289">
        <v>1226.17</v>
      </c>
      <c r="G289">
        <v>111.47</v>
      </c>
    </row>
    <row r="290" spans="1:7" x14ac:dyDescent="0.3">
      <c r="A290" t="s">
        <v>568</v>
      </c>
      <c r="B290">
        <v>20729</v>
      </c>
      <c r="C290" t="s">
        <v>3965</v>
      </c>
      <c r="D290" t="s">
        <v>466</v>
      </c>
      <c r="E290">
        <v>8</v>
      </c>
      <c r="F290">
        <v>543.04</v>
      </c>
      <c r="G290">
        <v>67.88</v>
      </c>
    </row>
    <row r="291" spans="1:7" x14ac:dyDescent="0.3">
      <c r="A291" t="s">
        <v>568</v>
      </c>
      <c r="B291">
        <v>22734</v>
      </c>
      <c r="C291" t="s">
        <v>3955</v>
      </c>
      <c r="D291" t="s">
        <v>466</v>
      </c>
      <c r="E291">
        <v>46.4</v>
      </c>
      <c r="F291">
        <v>4593.6000000000004</v>
      </c>
      <c r="G291">
        <v>99</v>
      </c>
    </row>
    <row r="292" spans="1:7" x14ac:dyDescent="0.3">
      <c r="A292" t="s">
        <v>568</v>
      </c>
      <c r="B292">
        <v>24072</v>
      </c>
      <c r="C292" t="s">
        <v>4002</v>
      </c>
      <c r="D292" t="s">
        <v>466</v>
      </c>
      <c r="E292">
        <v>9.1999999999999993</v>
      </c>
      <c r="F292">
        <v>2054</v>
      </c>
      <c r="G292">
        <v>223.26</v>
      </c>
    </row>
    <row r="293" spans="1:7" x14ac:dyDescent="0.3">
      <c r="A293" t="s">
        <v>568</v>
      </c>
      <c r="B293">
        <v>22721</v>
      </c>
      <c r="C293" t="s">
        <v>4221</v>
      </c>
      <c r="D293" t="s">
        <v>466</v>
      </c>
      <c r="E293">
        <v>19.04</v>
      </c>
      <c r="F293">
        <v>561.67999999999995</v>
      </c>
      <c r="G293">
        <v>29.5</v>
      </c>
    </row>
    <row r="294" spans="1:7" x14ac:dyDescent="0.3">
      <c r="A294" t="s">
        <v>568</v>
      </c>
      <c r="B294">
        <v>23389</v>
      </c>
      <c r="C294" t="s">
        <v>4016</v>
      </c>
      <c r="D294" t="s">
        <v>466</v>
      </c>
      <c r="E294">
        <v>36.799999999999997</v>
      </c>
      <c r="F294">
        <v>179.95</v>
      </c>
      <c r="G294">
        <v>4.8899999999999997</v>
      </c>
    </row>
    <row r="295" spans="1:7" x14ac:dyDescent="0.3">
      <c r="A295" t="s">
        <v>568</v>
      </c>
      <c r="B295">
        <v>29798</v>
      </c>
      <c r="C295" t="s">
        <v>4265</v>
      </c>
      <c r="D295" t="s">
        <v>466</v>
      </c>
      <c r="E295">
        <v>5</v>
      </c>
      <c r="F295">
        <v>71.05</v>
      </c>
      <c r="G295">
        <v>14.21</v>
      </c>
    </row>
    <row r="296" spans="1:7" x14ac:dyDescent="0.3">
      <c r="A296" t="s">
        <v>568</v>
      </c>
      <c r="B296">
        <v>24083</v>
      </c>
      <c r="C296" t="s">
        <v>3898</v>
      </c>
      <c r="D296" t="s">
        <v>466</v>
      </c>
      <c r="E296">
        <v>140.01</v>
      </c>
      <c r="F296">
        <v>1341.49</v>
      </c>
      <c r="G296">
        <v>9.58</v>
      </c>
    </row>
    <row r="297" spans="1:7" x14ac:dyDescent="0.3">
      <c r="A297" t="s">
        <v>568</v>
      </c>
      <c r="B297">
        <v>20278</v>
      </c>
      <c r="C297" t="s">
        <v>3939</v>
      </c>
      <c r="D297" t="s">
        <v>466</v>
      </c>
      <c r="E297">
        <v>24</v>
      </c>
      <c r="F297">
        <v>710.16</v>
      </c>
      <c r="G297">
        <v>29.59</v>
      </c>
    </row>
    <row r="298" spans="1:7" x14ac:dyDescent="0.3">
      <c r="A298" t="s">
        <v>568</v>
      </c>
      <c r="B298">
        <v>19642</v>
      </c>
      <c r="C298" t="s">
        <v>4067</v>
      </c>
      <c r="D298" t="s">
        <v>466</v>
      </c>
      <c r="E298">
        <v>6</v>
      </c>
      <c r="F298">
        <v>32.71</v>
      </c>
      <c r="G298">
        <v>5.45</v>
      </c>
    </row>
    <row r="299" spans="1:7" x14ac:dyDescent="0.3">
      <c r="A299" t="s">
        <v>568</v>
      </c>
      <c r="B299">
        <v>20287</v>
      </c>
      <c r="C299" t="s">
        <v>4053</v>
      </c>
      <c r="D299" t="s">
        <v>466</v>
      </c>
      <c r="E299">
        <v>1</v>
      </c>
      <c r="F299">
        <v>24.99</v>
      </c>
      <c r="G299">
        <v>24.99</v>
      </c>
    </row>
    <row r="300" spans="1:7" x14ac:dyDescent="0.3">
      <c r="A300" t="s">
        <v>568</v>
      </c>
      <c r="B300">
        <v>19634</v>
      </c>
      <c r="C300" t="s">
        <v>4068</v>
      </c>
      <c r="D300" t="s">
        <v>466</v>
      </c>
      <c r="E300">
        <v>8</v>
      </c>
      <c r="F300">
        <v>53.84</v>
      </c>
      <c r="G300">
        <v>6.73</v>
      </c>
    </row>
    <row r="301" spans="1:7" x14ac:dyDescent="0.3">
      <c r="A301" t="s">
        <v>568</v>
      </c>
      <c r="B301">
        <v>18696</v>
      </c>
      <c r="C301" t="s">
        <v>3956</v>
      </c>
      <c r="D301" t="s">
        <v>466</v>
      </c>
      <c r="E301">
        <v>23.6</v>
      </c>
      <c r="F301">
        <v>424.56</v>
      </c>
      <c r="G301">
        <v>17.989999999999998</v>
      </c>
    </row>
    <row r="302" spans="1:7" x14ac:dyDescent="0.3">
      <c r="A302" t="s">
        <v>568</v>
      </c>
      <c r="B302">
        <v>17381</v>
      </c>
      <c r="C302" t="s">
        <v>4247</v>
      </c>
      <c r="D302" t="s">
        <v>466</v>
      </c>
      <c r="E302">
        <v>1</v>
      </c>
      <c r="F302">
        <v>45</v>
      </c>
      <c r="G302">
        <v>45</v>
      </c>
    </row>
    <row r="303" spans="1:7" x14ac:dyDescent="0.3">
      <c r="A303" t="s">
        <v>568</v>
      </c>
      <c r="B303">
        <v>21587</v>
      </c>
      <c r="C303" t="s">
        <v>4249</v>
      </c>
      <c r="D303" t="s">
        <v>466</v>
      </c>
      <c r="E303">
        <v>6</v>
      </c>
      <c r="F303">
        <v>39</v>
      </c>
      <c r="G303">
        <v>6.5</v>
      </c>
    </row>
    <row r="304" spans="1:7" x14ac:dyDescent="0.3">
      <c r="A304" t="s">
        <v>568</v>
      </c>
      <c r="B304">
        <v>19494</v>
      </c>
      <c r="C304" t="s">
        <v>4126</v>
      </c>
      <c r="D304" t="s">
        <v>466</v>
      </c>
      <c r="E304">
        <v>9</v>
      </c>
      <c r="F304">
        <v>129.30000000000001</v>
      </c>
      <c r="G304">
        <v>14.37</v>
      </c>
    </row>
    <row r="305" spans="1:7" x14ac:dyDescent="0.3">
      <c r="A305" t="s">
        <v>568</v>
      </c>
      <c r="B305">
        <v>18450</v>
      </c>
      <c r="C305" t="s">
        <v>4253</v>
      </c>
      <c r="D305" t="s">
        <v>466</v>
      </c>
      <c r="E305">
        <v>60</v>
      </c>
      <c r="F305">
        <v>1827</v>
      </c>
      <c r="G305">
        <v>30.45</v>
      </c>
    </row>
    <row r="306" spans="1:7" x14ac:dyDescent="0.3">
      <c r="A306" t="s">
        <v>568</v>
      </c>
      <c r="B306">
        <v>18493</v>
      </c>
      <c r="C306" t="s">
        <v>3958</v>
      </c>
      <c r="D306" t="s">
        <v>466</v>
      </c>
      <c r="E306">
        <v>10</v>
      </c>
      <c r="F306">
        <v>699</v>
      </c>
      <c r="G306">
        <v>69.900000000000006</v>
      </c>
    </row>
    <row r="307" spans="1:7" x14ac:dyDescent="0.3">
      <c r="A307" t="s">
        <v>568</v>
      </c>
      <c r="B307">
        <v>18475</v>
      </c>
      <c r="C307" t="s">
        <v>3918</v>
      </c>
      <c r="D307" t="s">
        <v>466</v>
      </c>
      <c r="E307">
        <v>12</v>
      </c>
      <c r="F307">
        <v>394.8</v>
      </c>
      <c r="G307">
        <v>32.9</v>
      </c>
    </row>
    <row r="308" spans="1:7" x14ac:dyDescent="0.3">
      <c r="A308" t="s">
        <v>568</v>
      </c>
      <c r="B308">
        <v>18467</v>
      </c>
      <c r="C308" t="s">
        <v>4028</v>
      </c>
      <c r="D308" t="s">
        <v>466</v>
      </c>
      <c r="E308">
        <v>8</v>
      </c>
      <c r="F308">
        <v>614.4</v>
      </c>
      <c r="G308">
        <v>76.8</v>
      </c>
    </row>
    <row r="309" spans="1:7" x14ac:dyDescent="0.3">
      <c r="A309" t="s">
        <v>568</v>
      </c>
      <c r="B309">
        <v>16974</v>
      </c>
      <c r="C309" t="s">
        <v>3996</v>
      </c>
      <c r="D309" t="s">
        <v>466</v>
      </c>
      <c r="E309">
        <v>450</v>
      </c>
      <c r="F309">
        <v>1215</v>
      </c>
      <c r="G309">
        <v>2.7</v>
      </c>
    </row>
    <row r="310" spans="1:7" x14ac:dyDescent="0.3">
      <c r="A310" t="s">
        <v>568</v>
      </c>
      <c r="B310">
        <v>20809</v>
      </c>
      <c r="C310" t="s">
        <v>4005</v>
      </c>
      <c r="D310" t="s">
        <v>466</v>
      </c>
      <c r="E310">
        <v>12</v>
      </c>
      <c r="F310">
        <v>358.8</v>
      </c>
      <c r="G310">
        <v>29.9</v>
      </c>
    </row>
    <row r="311" spans="1:7" x14ac:dyDescent="0.3">
      <c r="A311" t="s">
        <v>568</v>
      </c>
      <c r="B311">
        <v>20077</v>
      </c>
      <c r="C311" t="s">
        <v>4054</v>
      </c>
      <c r="D311" t="s">
        <v>466</v>
      </c>
      <c r="E311">
        <v>1</v>
      </c>
      <c r="F311">
        <v>17.600000000000001</v>
      </c>
      <c r="G311">
        <v>17.600000000000001</v>
      </c>
    </row>
    <row r="312" spans="1:7" x14ac:dyDescent="0.3">
      <c r="A312" t="s">
        <v>568</v>
      </c>
      <c r="B312">
        <v>26949</v>
      </c>
      <c r="C312" t="s">
        <v>4226</v>
      </c>
      <c r="D312" t="s">
        <v>466</v>
      </c>
      <c r="E312">
        <v>20</v>
      </c>
      <c r="F312">
        <v>1678</v>
      </c>
      <c r="G312">
        <v>83.9</v>
      </c>
    </row>
    <row r="313" spans="1:7" x14ac:dyDescent="0.3">
      <c r="A313" t="s">
        <v>568</v>
      </c>
      <c r="B313">
        <v>28212</v>
      </c>
      <c r="C313" t="s">
        <v>4156</v>
      </c>
      <c r="D313" t="s">
        <v>466</v>
      </c>
      <c r="E313">
        <v>5.3</v>
      </c>
      <c r="F313">
        <v>254.4</v>
      </c>
      <c r="G313">
        <v>48</v>
      </c>
    </row>
    <row r="314" spans="1:7" x14ac:dyDescent="0.3">
      <c r="A314" t="s">
        <v>568</v>
      </c>
      <c r="B314">
        <v>24116</v>
      </c>
      <c r="C314" t="s">
        <v>3963</v>
      </c>
      <c r="D314" t="s">
        <v>466</v>
      </c>
      <c r="E314">
        <v>10</v>
      </c>
      <c r="F314">
        <v>444</v>
      </c>
      <c r="G314">
        <v>44.4</v>
      </c>
    </row>
    <row r="315" spans="1:7" x14ac:dyDescent="0.3">
      <c r="A315" t="s">
        <v>568</v>
      </c>
      <c r="B315">
        <v>24509</v>
      </c>
      <c r="C315" t="s">
        <v>3906</v>
      </c>
      <c r="D315" t="s">
        <v>466</v>
      </c>
      <c r="E315">
        <v>106.45</v>
      </c>
      <c r="F315">
        <v>510.23</v>
      </c>
      <c r="G315">
        <v>4.79</v>
      </c>
    </row>
    <row r="316" spans="1:7" x14ac:dyDescent="0.3">
      <c r="A316" t="s">
        <v>568</v>
      </c>
      <c r="B316">
        <v>19623</v>
      </c>
      <c r="C316" t="s">
        <v>3984</v>
      </c>
      <c r="D316" t="s">
        <v>466</v>
      </c>
      <c r="E316">
        <v>9</v>
      </c>
      <c r="F316">
        <v>53.01</v>
      </c>
      <c r="G316">
        <v>5.89</v>
      </c>
    </row>
    <row r="317" spans="1:7" x14ac:dyDescent="0.3">
      <c r="A317" t="s">
        <v>568</v>
      </c>
      <c r="B317">
        <v>20717</v>
      </c>
      <c r="C317" t="s">
        <v>4055</v>
      </c>
      <c r="D317" t="s">
        <v>466</v>
      </c>
      <c r="E317">
        <v>2</v>
      </c>
      <c r="F317">
        <v>88.6</v>
      </c>
      <c r="G317">
        <v>44.3</v>
      </c>
    </row>
    <row r="318" spans="1:7" x14ac:dyDescent="0.3">
      <c r="A318" t="s">
        <v>568</v>
      </c>
      <c r="B318">
        <v>19488</v>
      </c>
      <c r="C318" t="s">
        <v>4070</v>
      </c>
      <c r="D318" t="s">
        <v>466</v>
      </c>
      <c r="E318">
        <v>1.33</v>
      </c>
      <c r="F318">
        <v>19.29</v>
      </c>
      <c r="G318">
        <v>14.5</v>
      </c>
    </row>
    <row r="319" spans="1:7" x14ac:dyDescent="0.3">
      <c r="A319" t="s">
        <v>568</v>
      </c>
      <c r="B319">
        <v>19621</v>
      </c>
      <c r="C319" t="s">
        <v>4125</v>
      </c>
      <c r="D319" t="s">
        <v>466</v>
      </c>
      <c r="E319">
        <v>4</v>
      </c>
      <c r="F319">
        <v>25.6</v>
      </c>
      <c r="G319">
        <v>6.4</v>
      </c>
    </row>
    <row r="320" spans="1:7" x14ac:dyDescent="0.3">
      <c r="A320" t="s">
        <v>568</v>
      </c>
      <c r="B320">
        <v>18640</v>
      </c>
      <c r="C320" t="s">
        <v>3994</v>
      </c>
      <c r="D320" t="s">
        <v>466</v>
      </c>
      <c r="E320">
        <v>11</v>
      </c>
      <c r="F320">
        <v>3366</v>
      </c>
      <c r="G320">
        <v>306</v>
      </c>
    </row>
    <row r="321" spans="1:7" x14ac:dyDescent="0.3">
      <c r="A321" t="s">
        <v>568</v>
      </c>
      <c r="B321">
        <v>18636</v>
      </c>
      <c r="C321" t="s">
        <v>3921</v>
      </c>
      <c r="D321" t="s">
        <v>466</v>
      </c>
      <c r="E321">
        <v>54</v>
      </c>
      <c r="F321">
        <v>26071.200000000001</v>
      </c>
      <c r="G321">
        <v>482.8</v>
      </c>
    </row>
    <row r="322" spans="1:7" x14ac:dyDescent="0.3">
      <c r="A322" t="s">
        <v>568</v>
      </c>
      <c r="B322">
        <v>22857</v>
      </c>
      <c r="C322" t="s">
        <v>4130</v>
      </c>
      <c r="D322" t="s">
        <v>466</v>
      </c>
      <c r="E322">
        <v>66.56</v>
      </c>
      <c r="F322">
        <v>4065.82</v>
      </c>
      <c r="G322">
        <v>61.09</v>
      </c>
    </row>
    <row r="323" spans="1:7" x14ac:dyDescent="0.3">
      <c r="A323" t="s">
        <v>568</v>
      </c>
      <c r="B323">
        <v>19617</v>
      </c>
      <c r="C323" t="s">
        <v>4110</v>
      </c>
      <c r="D323" t="s">
        <v>466</v>
      </c>
      <c r="E323">
        <v>2.5</v>
      </c>
      <c r="F323">
        <v>83</v>
      </c>
      <c r="G323">
        <v>33.200000000000003</v>
      </c>
    </row>
    <row r="324" spans="1:7" x14ac:dyDescent="0.3">
      <c r="A324" t="s">
        <v>568</v>
      </c>
      <c r="B324">
        <v>20702</v>
      </c>
      <c r="C324" t="s">
        <v>4006</v>
      </c>
      <c r="D324" t="s">
        <v>466</v>
      </c>
      <c r="E324">
        <v>2</v>
      </c>
      <c r="F324">
        <v>85.8</v>
      </c>
      <c r="G324">
        <v>42.9</v>
      </c>
    </row>
    <row r="325" spans="1:7" x14ac:dyDescent="0.3">
      <c r="A325" t="s">
        <v>568</v>
      </c>
      <c r="B325">
        <v>24185</v>
      </c>
      <c r="C325" t="s">
        <v>4040</v>
      </c>
      <c r="D325" t="s">
        <v>466</v>
      </c>
      <c r="E325">
        <v>7</v>
      </c>
      <c r="F325">
        <v>162.4</v>
      </c>
      <c r="G325">
        <v>23.2</v>
      </c>
    </row>
    <row r="326" spans="1:7" x14ac:dyDescent="0.3">
      <c r="A326" t="s">
        <v>568</v>
      </c>
      <c r="B326">
        <v>18395</v>
      </c>
      <c r="C326" t="s">
        <v>4085</v>
      </c>
      <c r="D326" t="s">
        <v>466</v>
      </c>
      <c r="E326">
        <v>2</v>
      </c>
      <c r="F326">
        <v>59</v>
      </c>
      <c r="G326">
        <v>29.5</v>
      </c>
    </row>
    <row r="327" spans="1:7" x14ac:dyDescent="0.3">
      <c r="A327" t="s">
        <v>568</v>
      </c>
      <c r="B327">
        <v>18394</v>
      </c>
      <c r="C327" t="s">
        <v>4044</v>
      </c>
      <c r="D327" t="s">
        <v>466</v>
      </c>
      <c r="E327">
        <v>2</v>
      </c>
      <c r="F327">
        <v>219.46</v>
      </c>
      <c r="G327">
        <v>109.73</v>
      </c>
    </row>
    <row r="328" spans="1:7" x14ac:dyDescent="0.3">
      <c r="A328" t="s">
        <v>568</v>
      </c>
      <c r="B328">
        <v>20555</v>
      </c>
      <c r="C328" t="s">
        <v>3959</v>
      </c>
      <c r="D328" t="s">
        <v>466</v>
      </c>
      <c r="E328">
        <v>13.9</v>
      </c>
      <c r="F328">
        <v>1098.0999999999999</v>
      </c>
      <c r="G328">
        <v>79</v>
      </c>
    </row>
    <row r="329" spans="1:7" x14ac:dyDescent="0.3">
      <c r="A329" t="s">
        <v>568</v>
      </c>
      <c r="B329">
        <v>20549</v>
      </c>
      <c r="C329" t="s">
        <v>4007</v>
      </c>
      <c r="D329" t="s">
        <v>466</v>
      </c>
      <c r="E329">
        <v>23.9</v>
      </c>
      <c r="F329">
        <v>477.76</v>
      </c>
      <c r="G329">
        <v>19.989999999999998</v>
      </c>
    </row>
    <row r="330" spans="1:7" x14ac:dyDescent="0.3">
      <c r="A330" t="s">
        <v>568</v>
      </c>
      <c r="B330">
        <v>24550</v>
      </c>
      <c r="C330" t="s">
        <v>4270</v>
      </c>
      <c r="D330" t="s">
        <v>466</v>
      </c>
      <c r="E330">
        <v>120</v>
      </c>
      <c r="F330">
        <v>692.4</v>
      </c>
      <c r="G330">
        <v>5.77</v>
      </c>
    </row>
    <row r="331" spans="1:7" x14ac:dyDescent="0.3">
      <c r="A331" t="s">
        <v>568</v>
      </c>
      <c r="B331">
        <v>18933</v>
      </c>
      <c r="C331" t="s">
        <v>3957</v>
      </c>
      <c r="D331" t="s">
        <v>466</v>
      </c>
      <c r="E331">
        <v>6.7</v>
      </c>
      <c r="F331">
        <v>166.83</v>
      </c>
      <c r="G331">
        <v>24.9</v>
      </c>
    </row>
    <row r="332" spans="1:7" x14ac:dyDescent="0.3">
      <c r="A332" t="s">
        <v>568</v>
      </c>
      <c r="B332">
        <v>24194</v>
      </c>
      <c r="C332" t="s">
        <v>4181</v>
      </c>
      <c r="D332" t="s">
        <v>466</v>
      </c>
      <c r="E332">
        <v>13.3</v>
      </c>
      <c r="F332">
        <v>558.6</v>
      </c>
      <c r="G332">
        <v>42</v>
      </c>
    </row>
    <row r="333" spans="1:7" x14ac:dyDescent="0.3">
      <c r="A333" t="s">
        <v>568</v>
      </c>
      <c r="B333">
        <v>24200</v>
      </c>
      <c r="C333" t="s">
        <v>3975</v>
      </c>
      <c r="D333" t="s">
        <v>466</v>
      </c>
      <c r="E333">
        <v>6.3</v>
      </c>
      <c r="F333">
        <v>207.27</v>
      </c>
      <c r="G333">
        <v>32.9</v>
      </c>
    </row>
    <row r="334" spans="1:7" x14ac:dyDescent="0.3">
      <c r="A334" t="s">
        <v>568</v>
      </c>
      <c r="B334">
        <v>23236</v>
      </c>
      <c r="C334" t="s">
        <v>4017</v>
      </c>
      <c r="D334" t="s">
        <v>466</v>
      </c>
      <c r="E334">
        <v>26</v>
      </c>
      <c r="F334">
        <v>272</v>
      </c>
      <c r="G334">
        <v>10.46</v>
      </c>
    </row>
    <row r="335" spans="1:7" x14ac:dyDescent="0.3">
      <c r="A335" t="s">
        <v>568</v>
      </c>
      <c r="B335">
        <v>19034</v>
      </c>
      <c r="C335" t="s">
        <v>3989</v>
      </c>
      <c r="D335" t="s">
        <v>466</v>
      </c>
      <c r="E335">
        <v>10.9</v>
      </c>
      <c r="F335">
        <v>98.1</v>
      </c>
      <c r="G335">
        <v>9</v>
      </c>
    </row>
    <row r="336" spans="1:7" x14ac:dyDescent="0.3">
      <c r="A336" t="s">
        <v>568</v>
      </c>
      <c r="B336">
        <v>24212</v>
      </c>
      <c r="C336" t="s">
        <v>4056</v>
      </c>
      <c r="D336" t="s">
        <v>466</v>
      </c>
      <c r="E336">
        <v>4</v>
      </c>
      <c r="F336">
        <v>50.02</v>
      </c>
      <c r="G336">
        <v>12.51</v>
      </c>
    </row>
    <row r="337" spans="1:7" x14ac:dyDescent="0.3">
      <c r="A337" t="s">
        <v>568</v>
      </c>
      <c r="B337">
        <v>20682</v>
      </c>
      <c r="C337" t="s">
        <v>3929</v>
      </c>
      <c r="D337" t="s">
        <v>466</v>
      </c>
      <c r="E337">
        <v>12</v>
      </c>
      <c r="F337">
        <v>107.76</v>
      </c>
      <c r="G337">
        <v>8.98</v>
      </c>
    </row>
    <row r="338" spans="1:7" x14ac:dyDescent="0.3">
      <c r="A338" t="s">
        <v>568</v>
      </c>
      <c r="B338">
        <v>20685</v>
      </c>
      <c r="C338" t="s">
        <v>4122</v>
      </c>
      <c r="D338" t="s">
        <v>466</v>
      </c>
      <c r="E338">
        <v>16</v>
      </c>
      <c r="F338">
        <v>53.1</v>
      </c>
      <c r="G338">
        <v>3.32</v>
      </c>
    </row>
    <row r="339" spans="1:7" x14ac:dyDescent="0.3">
      <c r="A339" t="s">
        <v>568</v>
      </c>
      <c r="B339">
        <v>24495</v>
      </c>
      <c r="C339" t="s">
        <v>4274</v>
      </c>
      <c r="D339" t="s">
        <v>466</v>
      </c>
      <c r="E339">
        <v>2</v>
      </c>
      <c r="F339">
        <v>77.78</v>
      </c>
      <c r="G339">
        <v>38.89</v>
      </c>
    </row>
    <row r="340" spans="1:7" x14ac:dyDescent="0.3">
      <c r="A340" t="s">
        <v>568</v>
      </c>
      <c r="B340">
        <v>17304</v>
      </c>
      <c r="C340" t="s">
        <v>4206</v>
      </c>
      <c r="D340" t="s">
        <v>466</v>
      </c>
      <c r="E340">
        <v>3</v>
      </c>
      <c r="F340">
        <v>19.77</v>
      </c>
      <c r="G340">
        <v>6.59</v>
      </c>
    </row>
    <row r="341" spans="1:7" x14ac:dyDescent="0.3">
      <c r="A341" t="s">
        <v>568</v>
      </c>
      <c r="B341">
        <v>17230</v>
      </c>
      <c r="C341" t="s">
        <v>4281</v>
      </c>
      <c r="D341" t="s">
        <v>466</v>
      </c>
      <c r="E341">
        <v>1</v>
      </c>
      <c r="F341">
        <v>38.89</v>
      </c>
      <c r="G341">
        <v>38.89</v>
      </c>
    </row>
    <row r="342" spans="1:7" x14ac:dyDescent="0.3">
      <c r="A342" t="s">
        <v>568</v>
      </c>
      <c r="B342">
        <v>21618</v>
      </c>
      <c r="C342" t="s">
        <v>4233</v>
      </c>
      <c r="D342" t="s">
        <v>466</v>
      </c>
      <c r="E342">
        <v>20</v>
      </c>
      <c r="F342">
        <v>514.20000000000005</v>
      </c>
      <c r="G342">
        <v>25.71</v>
      </c>
    </row>
    <row r="343" spans="1:7" x14ac:dyDescent="0.3">
      <c r="A343" t="s">
        <v>568</v>
      </c>
      <c r="B343">
        <v>17215</v>
      </c>
      <c r="C343" t="s">
        <v>4283</v>
      </c>
      <c r="D343" t="s">
        <v>466</v>
      </c>
      <c r="E343">
        <v>5</v>
      </c>
      <c r="F343">
        <v>129.5</v>
      </c>
      <c r="G343">
        <v>25.9</v>
      </c>
    </row>
    <row r="344" spans="1:7" x14ac:dyDescent="0.3">
      <c r="A344" t="s">
        <v>568</v>
      </c>
      <c r="B344">
        <v>17914</v>
      </c>
      <c r="C344" t="s">
        <v>3997</v>
      </c>
      <c r="D344" t="s">
        <v>466</v>
      </c>
      <c r="E344">
        <v>2</v>
      </c>
      <c r="F344">
        <v>64.48</v>
      </c>
      <c r="G344">
        <v>32.24</v>
      </c>
    </row>
    <row r="345" spans="1:7" x14ac:dyDescent="0.3">
      <c r="A345" t="s">
        <v>568</v>
      </c>
      <c r="B345">
        <v>17918</v>
      </c>
      <c r="C345" t="s">
        <v>4034</v>
      </c>
      <c r="D345" t="s">
        <v>466</v>
      </c>
      <c r="E345">
        <v>2</v>
      </c>
      <c r="F345">
        <v>86.4</v>
      </c>
      <c r="G345">
        <v>43.2</v>
      </c>
    </row>
    <row r="346" spans="1:7" x14ac:dyDescent="0.3">
      <c r="A346" t="s">
        <v>568</v>
      </c>
      <c r="B346">
        <v>17916</v>
      </c>
      <c r="C346" t="s">
        <v>4191</v>
      </c>
      <c r="D346" t="s">
        <v>466</v>
      </c>
      <c r="E346">
        <v>2</v>
      </c>
      <c r="F346">
        <v>57.6</v>
      </c>
      <c r="G346">
        <v>28.8</v>
      </c>
    </row>
    <row r="347" spans="1:7" x14ac:dyDescent="0.3">
      <c r="A347" t="s">
        <v>568</v>
      </c>
      <c r="B347">
        <v>28386</v>
      </c>
      <c r="C347" t="s">
        <v>4245</v>
      </c>
      <c r="D347" t="s">
        <v>466</v>
      </c>
      <c r="E347">
        <v>2</v>
      </c>
      <c r="F347">
        <v>83.34</v>
      </c>
      <c r="G347">
        <v>41.67</v>
      </c>
    </row>
    <row r="348" spans="1:7" x14ac:dyDescent="0.3">
      <c r="A348" t="s">
        <v>568</v>
      </c>
      <c r="B348">
        <v>23127</v>
      </c>
      <c r="C348" t="s">
        <v>4213</v>
      </c>
      <c r="D348" t="s">
        <v>466</v>
      </c>
      <c r="E348">
        <v>3</v>
      </c>
      <c r="F348">
        <v>22.74</v>
      </c>
      <c r="G348">
        <v>7.58</v>
      </c>
    </row>
    <row r="349" spans="1:7" x14ac:dyDescent="0.3">
      <c r="A349" t="s">
        <v>568</v>
      </c>
      <c r="B349">
        <v>24598</v>
      </c>
      <c r="C349" t="s">
        <v>4166</v>
      </c>
      <c r="D349" t="s">
        <v>466</v>
      </c>
      <c r="E349">
        <v>4</v>
      </c>
      <c r="F349">
        <v>51</v>
      </c>
      <c r="G349">
        <v>12.75</v>
      </c>
    </row>
    <row r="350" spans="1:7" x14ac:dyDescent="0.3">
      <c r="A350" t="s">
        <v>568</v>
      </c>
      <c r="B350">
        <v>17190</v>
      </c>
      <c r="C350" t="s">
        <v>4271</v>
      </c>
      <c r="D350" t="s">
        <v>466</v>
      </c>
      <c r="E350">
        <v>8</v>
      </c>
      <c r="F350">
        <v>64.8</v>
      </c>
      <c r="G350">
        <v>8.1</v>
      </c>
    </row>
    <row r="351" spans="1:7" x14ac:dyDescent="0.3">
      <c r="A351" t="s">
        <v>568</v>
      </c>
      <c r="B351">
        <v>28777</v>
      </c>
      <c r="C351" t="s">
        <v>4279</v>
      </c>
      <c r="D351" t="s">
        <v>466</v>
      </c>
      <c r="E351">
        <v>20</v>
      </c>
      <c r="F351">
        <v>158</v>
      </c>
      <c r="G351">
        <v>7.9</v>
      </c>
    </row>
    <row r="352" spans="1:7" x14ac:dyDescent="0.3">
      <c r="A352" t="s">
        <v>568</v>
      </c>
      <c r="B352">
        <v>18030</v>
      </c>
      <c r="C352" t="s">
        <v>4033</v>
      </c>
      <c r="D352" t="s">
        <v>466</v>
      </c>
      <c r="E352">
        <v>2</v>
      </c>
      <c r="F352">
        <v>55</v>
      </c>
      <c r="G352">
        <v>27.5</v>
      </c>
    </row>
    <row r="353" spans="1:7" x14ac:dyDescent="0.3">
      <c r="A353" t="s">
        <v>568</v>
      </c>
      <c r="B353">
        <v>17455</v>
      </c>
      <c r="C353" t="s">
        <v>4231</v>
      </c>
      <c r="D353" t="s">
        <v>466</v>
      </c>
      <c r="E353">
        <v>4</v>
      </c>
      <c r="F353">
        <v>141.08000000000001</v>
      </c>
      <c r="G353">
        <v>35.270000000000003</v>
      </c>
    </row>
    <row r="354" spans="1:7" x14ac:dyDescent="0.3">
      <c r="A354" t="s">
        <v>568</v>
      </c>
      <c r="B354">
        <v>26627</v>
      </c>
      <c r="C354" t="s">
        <v>4237</v>
      </c>
      <c r="D354" t="s">
        <v>466</v>
      </c>
      <c r="E354">
        <v>40</v>
      </c>
      <c r="F354">
        <v>316</v>
      </c>
      <c r="G354">
        <v>7.9</v>
      </c>
    </row>
    <row r="355" spans="1:7" x14ac:dyDescent="0.3">
      <c r="A355" t="s">
        <v>568</v>
      </c>
      <c r="B355">
        <v>20395</v>
      </c>
      <c r="C355" t="s">
        <v>4057</v>
      </c>
      <c r="D355" t="s">
        <v>466</v>
      </c>
      <c r="E355">
        <v>1</v>
      </c>
      <c r="F355">
        <v>27.09</v>
      </c>
      <c r="G355">
        <v>27.09</v>
      </c>
    </row>
    <row r="356" spans="1:7" x14ac:dyDescent="0.3">
      <c r="A356" t="s">
        <v>568</v>
      </c>
      <c r="B356">
        <v>23687</v>
      </c>
      <c r="C356" t="s">
        <v>4285</v>
      </c>
      <c r="D356" t="s">
        <v>466</v>
      </c>
      <c r="E356">
        <v>23.24</v>
      </c>
      <c r="F356">
        <v>299.8</v>
      </c>
      <c r="G356">
        <v>12.9</v>
      </c>
    </row>
    <row r="357" spans="1:7" x14ac:dyDescent="0.3">
      <c r="A357" t="s">
        <v>568</v>
      </c>
      <c r="B357">
        <v>25237</v>
      </c>
      <c r="C357" t="s">
        <v>4164</v>
      </c>
      <c r="D357" t="s">
        <v>466</v>
      </c>
      <c r="E357">
        <v>20</v>
      </c>
      <c r="F357">
        <v>106.1</v>
      </c>
      <c r="G357">
        <v>5.31</v>
      </c>
    </row>
    <row r="358" spans="1:7" x14ac:dyDescent="0.3">
      <c r="A358" t="s">
        <v>568</v>
      </c>
      <c r="B358">
        <v>20358</v>
      </c>
      <c r="C358" t="s">
        <v>3952</v>
      </c>
      <c r="D358" t="s">
        <v>466</v>
      </c>
      <c r="E358">
        <v>2</v>
      </c>
      <c r="F358">
        <v>28.5</v>
      </c>
      <c r="G358">
        <v>14.25</v>
      </c>
    </row>
    <row r="359" spans="1:7" x14ac:dyDescent="0.3">
      <c r="A359" t="s">
        <v>568</v>
      </c>
      <c r="B359">
        <v>20250</v>
      </c>
      <c r="C359" t="s">
        <v>4008</v>
      </c>
      <c r="D359" t="s">
        <v>466</v>
      </c>
      <c r="E359">
        <v>2</v>
      </c>
      <c r="F359">
        <v>85</v>
      </c>
      <c r="G359">
        <v>42.5</v>
      </c>
    </row>
    <row r="360" spans="1:7" x14ac:dyDescent="0.3">
      <c r="A360" t="s">
        <v>568</v>
      </c>
      <c r="B360">
        <v>20246</v>
      </c>
      <c r="C360" t="s">
        <v>3911</v>
      </c>
      <c r="D360" t="s">
        <v>466</v>
      </c>
      <c r="E360">
        <v>20</v>
      </c>
      <c r="F360">
        <v>219.2</v>
      </c>
      <c r="G360">
        <v>10.96</v>
      </c>
    </row>
    <row r="361" spans="1:7" x14ac:dyDescent="0.3">
      <c r="A361" t="s">
        <v>568</v>
      </c>
      <c r="B361">
        <v>20234</v>
      </c>
      <c r="C361" t="s">
        <v>3979</v>
      </c>
      <c r="D361" t="s">
        <v>466</v>
      </c>
      <c r="E361">
        <v>5</v>
      </c>
      <c r="F361">
        <v>109.5</v>
      </c>
      <c r="G361">
        <v>21.9</v>
      </c>
    </row>
    <row r="362" spans="1:7" x14ac:dyDescent="0.3">
      <c r="A362" t="s">
        <v>568</v>
      </c>
      <c r="B362">
        <v>19017</v>
      </c>
      <c r="C362" t="s">
        <v>4172</v>
      </c>
      <c r="D362" t="s">
        <v>466</v>
      </c>
      <c r="E362">
        <v>16.8</v>
      </c>
      <c r="F362">
        <v>260.56</v>
      </c>
      <c r="G362">
        <v>15.51</v>
      </c>
    </row>
    <row r="363" spans="1:7" x14ac:dyDescent="0.3">
      <c r="A363" t="s">
        <v>568</v>
      </c>
      <c r="B363">
        <v>18764</v>
      </c>
      <c r="C363" t="s">
        <v>3907</v>
      </c>
      <c r="D363" t="s">
        <v>466</v>
      </c>
      <c r="E363">
        <v>24</v>
      </c>
      <c r="F363">
        <v>1938.86</v>
      </c>
      <c r="G363">
        <v>80.790000000000006</v>
      </c>
    </row>
    <row r="364" spans="1:7" x14ac:dyDescent="0.3">
      <c r="A364" t="s">
        <v>568</v>
      </c>
      <c r="B364">
        <v>24259</v>
      </c>
      <c r="C364" t="s">
        <v>3895</v>
      </c>
      <c r="D364" t="s">
        <v>466</v>
      </c>
      <c r="E364">
        <v>65.400000000000006</v>
      </c>
      <c r="F364">
        <v>5245.81</v>
      </c>
      <c r="G364">
        <v>80.209999999999994</v>
      </c>
    </row>
    <row r="365" spans="1:7" x14ac:dyDescent="0.3">
      <c r="A365" t="s">
        <v>568</v>
      </c>
      <c r="B365">
        <v>19765</v>
      </c>
      <c r="C365" t="s">
        <v>4071</v>
      </c>
      <c r="D365" t="s">
        <v>466</v>
      </c>
      <c r="E365">
        <v>1</v>
      </c>
      <c r="F365">
        <v>35.9</v>
      </c>
      <c r="G365">
        <v>35.9</v>
      </c>
    </row>
    <row r="366" spans="1:7" x14ac:dyDescent="0.3">
      <c r="A366" t="s">
        <v>568</v>
      </c>
      <c r="B366">
        <v>20327</v>
      </c>
      <c r="C366" t="s">
        <v>4179</v>
      </c>
      <c r="D366" t="s">
        <v>466</v>
      </c>
      <c r="E366">
        <v>6</v>
      </c>
      <c r="F366">
        <v>43.2</v>
      </c>
      <c r="G366">
        <v>7.2</v>
      </c>
    </row>
    <row r="367" spans="1:7" x14ac:dyDescent="0.3">
      <c r="A367" t="s">
        <v>568</v>
      </c>
      <c r="B367">
        <v>17006</v>
      </c>
      <c r="C367" t="s">
        <v>4128</v>
      </c>
      <c r="D367" t="s">
        <v>466</v>
      </c>
      <c r="E367">
        <v>56.75</v>
      </c>
      <c r="F367">
        <v>737.75</v>
      </c>
      <c r="G367">
        <v>13</v>
      </c>
    </row>
    <row r="368" spans="1:7" x14ac:dyDescent="0.3">
      <c r="A368" t="s">
        <v>568</v>
      </c>
      <c r="B368">
        <v>24497</v>
      </c>
      <c r="C368" t="s">
        <v>4214</v>
      </c>
      <c r="D368" t="s">
        <v>466</v>
      </c>
      <c r="E368">
        <v>7</v>
      </c>
      <c r="F368">
        <v>941.85</v>
      </c>
      <c r="G368">
        <v>134.55000000000001</v>
      </c>
    </row>
    <row r="369" spans="1:7" x14ac:dyDescent="0.3">
      <c r="A369" t="s">
        <v>568</v>
      </c>
      <c r="B369">
        <v>25518</v>
      </c>
      <c r="C369" t="s">
        <v>4238</v>
      </c>
      <c r="D369" t="s">
        <v>466</v>
      </c>
      <c r="E369">
        <v>2</v>
      </c>
      <c r="F369">
        <v>220.8</v>
      </c>
      <c r="G369">
        <v>110.4</v>
      </c>
    </row>
    <row r="370" spans="1:7" x14ac:dyDescent="0.3">
      <c r="A370" t="s">
        <v>568</v>
      </c>
      <c r="B370">
        <v>18359</v>
      </c>
      <c r="C370" t="s">
        <v>4029</v>
      </c>
      <c r="D370" t="s">
        <v>466</v>
      </c>
      <c r="E370">
        <v>3</v>
      </c>
      <c r="F370">
        <v>268.7</v>
      </c>
      <c r="G370">
        <v>89.57</v>
      </c>
    </row>
    <row r="371" spans="1:7" x14ac:dyDescent="0.3">
      <c r="A371" t="s">
        <v>568</v>
      </c>
      <c r="B371">
        <v>19763</v>
      </c>
      <c r="C371" t="s">
        <v>4187</v>
      </c>
      <c r="D371" t="s">
        <v>466</v>
      </c>
      <c r="E371">
        <v>9.1999999999999993</v>
      </c>
      <c r="F371">
        <v>105.52</v>
      </c>
      <c r="G371">
        <v>11.47</v>
      </c>
    </row>
    <row r="372" spans="1:7" x14ac:dyDescent="0.3">
      <c r="A372" t="s">
        <v>568</v>
      </c>
      <c r="B372">
        <v>21126</v>
      </c>
      <c r="C372" t="s">
        <v>4004</v>
      </c>
      <c r="D372" t="s">
        <v>466</v>
      </c>
      <c r="E372">
        <v>2</v>
      </c>
      <c r="F372">
        <v>15.6</v>
      </c>
      <c r="G372">
        <v>7.8</v>
      </c>
    </row>
    <row r="373" spans="1:7" x14ac:dyDescent="0.3">
      <c r="A373" t="s">
        <v>568</v>
      </c>
      <c r="B373">
        <v>21021</v>
      </c>
      <c r="C373" t="s">
        <v>4242</v>
      </c>
      <c r="D373" t="s">
        <v>466</v>
      </c>
      <c r="E373">
        <v>2</v>
      </c>
      <c r="F373">
        <v>375.52</v>
      </c>
      <c r="G373">
        <v>187.76</v>
      </c>
    </row>
    <row r="374" spans="1:7" x14ac:dyDescent="0.3">
      <c r="A374" t="s">
        <v>568</v>
      </c>
      <c r="B374">
        <v>21024</v>
      </c>
      <c r="C374" t="s">
        <v>4180</v>
      </c>
      <c r="D374" t="s">
        <v>466</v>
      </c>
      <c r="E374">
        <v>6</v>
      </c>
      <c r="F374">
        <v>1074</v>
      </c>
      <c r="G374">
        <v>179</v>
      </c>
    </row>
    <row r="375" spans="1:7" x14ac:dyDescent="0.3">
      <c r="A375" t="s">
        <v>568</v>
      </c>
      <c r="B375">
        <v>17905</v>
      </c>
      <c r="C375" t="s">
        <v>4139</v>
      </c>
      <c r="D375" t="s">
        <v>466</v>
      </c>
      <c r="E375">
        <v>6</v>
      </c>
      <c r="F375">
        <v>153.18</v>
      </c>
      <c r="G375">
        <v>25.53</v>
      </c>
    </row>
    <row r="376" spans="1:7" x14ac:dyDescent="0.3">
      <c r="A376" t="s">
        <v>568</v>
      </c>
      <c r="B376">
        <v>17903</v>
      </c>
      <c r="C376" t="s">
        <v>3971</v>
      </c>
      <c r="D376" t="s">
        <v>466</v>
      </c>
      <c r="E376">
        <v>10</v>
      </c>
      <c r="F376">
        <v>199.6</v>
      </c>
      <c r="G376">
        <v>19.96</v>
      </c>
    </row>
    <row r="377" spans="1:7" x14ac:dyDescent="0.3">
      <c r="A377" t="s">
        <v>568</v>
      </c>
      <c r="B377">
        <v>28659</v>
      </c>
      <c r="C377" t="s">
        <v>4266</v>
      </c>
      <c r="D377" t="s">
        <v>466</v>
      </c>
      <c r="E377">
        <v>4</v>
      </c>
      <c r="F377">
        <v>988</v>
      </c>
      <c r="G377">
        <v>247</v>
      </c>
    </row>
    <row r="378" spans="1:7" x14ac:dyDescent="0.3">
      <c r="A378" t="s">
        <v>568</v>
      </c>
      <c r="B378">
        <v>27080</v>
      </c>
      <c r="C378" t="s">
        <v>4250</v>
      </c>
      <c r="D378" t="s">
        <v>466</v>
      </c>
      <c r="E378">
        <v>5</v>
      </c>
      <c r="F378">
        <v>74.5</v>
      </c>
      <c r="G378">
        <v>14.9</v>
      </c>
    </row>
    <row r="379" spans="1:7" x14ac:dyDescent="0.3">
      <c r="A379" t="s">
        <v>568</v>
      </c>
      <c r="B379">
        <v>17896</v>
      </c>
      <c r="C379" t="s">
        <v>3972</v>
      </c>
      <c r="D379" t="s">
        <v>466</v>
      </c>
      <c r="E379">
        <v>2</v>
      </c>
      <c r="F379">
        <v>80.58</v>
      </c>
      <c r="G379">
        <v>40.29</v>
      </c>
    </row>
    <row r="380" spans="1:7" x14ac:dyDescent="0.3">
      <c r="A380" t="s">
        <v>568</v>
      </c>
      <c r="B380">
        <v>17897</v>
      </c>
      <c r="C380" t="s">
        <v>4094</v>
      </c>
      <c r="D380" t="s">
        <v>466</v>
      </c>
      <c r="E380">
        <v>2</v>
      </c>
      <c r="F380">
        <v>80.58</v>
      </c>
      <c r="G380">
        <v>40.29</v>
      </c>
    </row>
    <row r="381" spans="1:7" x14ac:dyDescent="0.3">
      <c r="A381" t="s">
        <v>568</v>
      </c>
      <c r="B381">
        <v>19480</v>
      </c>
      <c r="C381" t="s">
        <v>4113</v>
      </c>
      <c r="D381" t="s">
        <v>466</v>
      </c>
      <c r="E381">
        <v>0.8</v>
      </c>
      <c r="F381">
        <v>16.920000000000002</v>
      </c>
      <c r="G381">
        <v>21.15</v>
      </c>
    </row>
    <row r="382" spans="1:7" x14ac:dyDescent="0.3">
      <c r="A382" t="s">
        <v>568</v>
      </c>
      <c r="B382">
        <v>18685</v>
      </c>
      <c r="C382" t="s">
        <v>3945</v>
      </c>
      <c r="D382" t="s">
        <v>466</v>
      </c>
      <c r="E382">
        <v>43.8</v>
      </c>
      <c r="F382">
        <v>1708.2</v>
      </c>
      <c r="G382">
        <v>39</v>
      </c>
    </row>
    <row r="383" spans="1:7" x14ac:dyDescent="0.3">
      <c r="A383" t="s">
        <v>568</v>
      </c>
      <c r="B383">
        <v>18684</v>
      </c>
      <c r="C383" t="s">
        <v>3925</v>
      </c>
      <c r="D383" t="s">
        <v>466</v>
      </c>
      <c r="E383">
        <v>27.6</v>
      </c>
      <c r="F383">
        <v>993.6</v>
      </c>
      <c r="G383">
        <v>36</v>
      </c>
    </row>
    <row r="384" spans="1:7" x14ac:dyDescent="0.3">
      <c r="A384" t="s">
        <v>568</v>
      </c>
      <c r="B384">
        <v>20057</v>
      </c>
      <c r="C384" t="s">
        <v>3967</v>
      </c>
      <c r="D384" t="s">
        <v>466</v>
      </c>
      <c r="E384">
        <v>4</v>
      </c>
      <c r="F384">
        <v>168.72</v>
      </c>
      <c r="G384">
        <v>42.18</v>
      </c>
    </row>
    <row r="385" spans="1:7" x14ac:dyDescent="0.3">
      <c r="A385" t="s">
        <v>568</v>
      </c>
      <c r="B385">
        <v>23365</v>
      </c>
      <c r="C385" t="s">
        <v>4236</v>
      </c>
      <c r="D385" t="s">
        <v>466</v>
      </c>
      <c r="E385">
        <v>4</v>
      </c>
      <c r="F385">
        <v>83</v>
      </c>
      <c r="G385">
        <v>20.75</v>
      </c>
    </row>
    <row r="386" spans="1:7" x14ac:dyDescent="0.3">
      <c r="A386" t="s">
        <v>568</v>
      </c>
      <c r="B386">
        <v>24320</v>
      </c>
      <c r="C386" t="s">
        <v>4160</v>
      </c>
      <c r="D386" t="s">
        <v>466</v>
      </c>
      <c r="E386">
        <v>23.2</v>
      </c>
      <c r="F386">
        <v>941.16</v>
      </c>
      <c r="G386">
        <v>40.57</v>
      </c>
    </row>
    <row r="387" spans="1:7" x14ac:dyDescent="0.3">
      <c r="A387" t="s">
        <v>568</v>
      </c>
      <c r="B387">
        <v>27312</v>
      </c>
      <c r="C387" t="s">
        <v>3927</v>
      </c>
      <c r="D387" t="s">
        <v>466</v>
      </c>
      <c r="E387">
        <v>52.9</v>
      </c>
      <c r="F387">
        <v>2798.41</v>
      </c>
      <c r="G387">
        <v>52.9</v>
      </c>
    </row>
    <row r="388" spans="1:7" x14ac:dyDescent="0.3">
      <c r="A388" t="s">
        <v>568</v>
      </c>
      <c r="B388">
        <v>23361</v>
      </c>
      <c r="C388" t="s">
        <v>4220</v>
      </c>
      <c r="D388" t="s">
        <v>466</v>
      </c>
      <c r="E388">
        <v>208</v>
      </c>
      <c r="F388">
        <v>553.79999999999995</v>
      </c>
      <c r="G388">
        <v>2.66</v>
      </c>
    </row>
    <row r="389" spans="1:7" x14ac:dyDescent="0.3">
      <c r="A389" t="s">
        <v>568</v>
      </c>
      <c r="B389">
        <v>29802</v>
      </c>
      <c r="C389" t="s">
        <v>4259</v>
      </c>
      <c r="D389" t="s">
        <v>466</v>
      </c>
      <c r="E389">
        <v>1</v>
      </c>
      <c r="F389">
        <v>326.94</v>
      </c>
      <c r="G389">
        <v>326.94</v>
      </c>
    </row>
    <row r="390" spans="1:7" x14ac:dyDescent="0.3">
      <c r="A390" t="s">
        <v>568</v>
      </c>
      <c r="B390">
        <v>29800</v>
      </c>
      <c r="C390" t="s">
        <v>4264</v>
      </c>
      <c r="D390" t="s">
        <v>466</v>
      </c>
      <c r="E390">
        <v>1</v>
      </c>
      <c r="F390">
        <v>326.94</v>
      </c>
      <c r="G390">
        <v>326.94</v>
      </c>
    </row>
    <row r="391" spans="1:7" x14ac:dyDescent="0.3">
      <c r="A391" t="s">
        <v>568</v>
      </c>
      <c r="B391">
        <v>29803</v>
      </c>
      <c r="C391" t="s">
        <v>4262</v>
      </c>
      <c r="D391" t="s">
        <v>466</v>
      </c>
      <c r="E391">
        <v>1</v>
      </c>
      <c r="F391">
        <v>326.94</v>
      </c>
      <c r="G391">
        <v>326.94</v>
      </c>
    </row>
    <row r="392" spans="1:7" x14ac:dyDescent="0.3">
      <c r="A392" t="s">
        <v>568</v>
      </c>
      <c r="B392">
        <v>29799</v>
      </c>
      <c r="C392" t="s">
        <v>4257</v>
      </c>
      <c r="D392" t="s">
        <v>466</v>
      </c>
      <c r="E392">
        <v>2</v>
      </c>
      <c r="F392">
        <v>155.44</v>
      </c>
      <c r="G392">
        <v>77.72</v>
      </c>
    </row>
    <row r="393" spans="1:7" x14ac:dyDescent="0.3">
      <c r="A393" t="s">
        <v>568</v>
      </c>
      <c r="B393">
        <v>29804</v>
      </c>
      <c r="C393" t="s">
        <v>4258</v>
      </c>
      <c r="D393" t="s">
        <v>466</v>
      </c>
      <c r="E393">
        <v>1</v>
      </c>
      <c r="F393">
        <v>142.80000000000001</v>
      </c>
      <c r="G393">
        <v>142.80000000000001</v>
      </c>
    </row>
    <row r="394" spans="1:7" x14ac:dyDescent="0.3">
      <c r="A394" t="s">
        <v>568</v>
      </c>
      <c r="B394">
        <v>20661</v>
      </c>
      <c r="C394" t="s">
        <v>3919</v>
      </c>
      <c r="D394" t="s">
        <v>466</v>
      </c>
      <c r="E394">
        <v>12</v>
      </c>
      <c r="F394">
        <v>103.08</v>
      </c>
      <c r="G394">
        <v>8.59</v>
      </c>
    </row>
    <row r="395" spans="1:7" x14ac:dyDescent="0.3">
      <c r="A395" t="s">
        <v>568</v>
      </c>
      <c r="B395">
        <v>19421</v>
      </c>
      <c r="C395" t="s">
        <v>4275</v>
      </c>
      <c r="D395" t="s">
        <v>466</v>
      </c>
      <c r="E395">
        <v>2</v>
      </c>
      <c r="F395">
        <v>0</v>
      </c>
      <c r="G395">
        <v>0</v>
      </c>
    </row>
    <row r="396" spans="1:7" x14ac:dyDescent="0.3">
      <c r="A396" t="s">
        <v>568</v>
      </c>
      <c r="B396">
        <v>19428</v>
      </c>
      <c r="C396" t="s">
        <v>4169</v>
      </c>
      <c r="D396" t="s">
        <v>466</v>
      </c>
      <c r="E396">
        <v>24</v>
      </c>
      <c r="F396">
        <v>129.6</v>
      </c>
      <c r="G396">
        <v>5.4</v>
      </c>
    </row>
    <row r="397" spans="1:7" x14ac:dyDescent="0.3">
      <c r="A397" t="s">
        <v>568</v>
      </c>
      <c r="B397">
        <v>18315</v>
      </c>
      <c r="C397" t="s">
        <v>4088</v>
      </c>
      <c r="D397" t="s">
        <v>466</v>
      </c>
      <c r="E397">
        <v>1</v>
      </c>
      <c r="F397">
        <v>124</v>
      </c>
      <c r="G397">
        <v>124</v>
      </c>
    </row>
    <row r="398" spans="1:7" x14ac:dyDescent="0.3">
      <c r="A398" t="s">
        <v>568</v>
      </c>
      <c r="B398">
        <v>18295</v>
      </c>
      <c r="C398" t="s">
        <v>4030</v>
      </c>
      <c r="D398" t="s">
        <v>466</v>
      </c>
      <c r="E398">
        <v>5</v>
      </c>
      <c r="F398">
        <v>675</v>
      </c>
      <c r="G398">
        <v>135</v>
      </c>
    </row>
    <row r="399" spans="1:7" x14ac:dyDescent="0.3">
      <c r="A399" t="s">
        <v>568</v>
      </c>
      <c r="B399">
        <v>19752</v>
      </c>
      <c r="C399" t="s">
        <v>4042</v>
      </c>
      <c r="D399" t="s">
        <v>466</v>
      </c>
      <c r="E399">
        <v>8</v>
      </c>
      <c r="F399">
        <v>46.5</v>
      </c>
      <c r="G399">
        <v>5.81</v>
      </c>
    </row>
    <row r="400" spans="1:7" x14ac:dyDescent="0.3">
      <c r="A400" t="s">
        <v>568</v>
      </c>
      <c r="B400">
        <v>19751</v>
      </c>
      <c r="C400" t="s">
        <v>4019</v>
      </c>
      <c r="D400" t="s">
        <v>466</v>
      </c>
      <c r="E400">
        <v>11</v>
      </c>
      <c r="F400">
        <v>94.8</v>
      </c>
      <c r="G400">
        <v>8.6199999999999992</v>
      </c>
    </row>
    <row r="401" spans="1:7" x14ac:dyDescent="0.3">
      <c r="A401" t="s">
        <v>568</v>
      </c>
      <c r="B401">
        <v>23359</v>
      </c>
      <c r="C401" t="s">
        <v>3932</v>
      </c>
      <c r="D401" t="s">
        <v>466</v>
      </c>
      <c r="E401">
        <v>86.1</v>
      </c>
      <c r="F401">
        <v>233.59</v>
      </c>
      <c r="G401">
        <v>2.71</v>
      </c>
    </row>
    <row r="402" spans="1:7" x14ac:dyDescent="0.3">
      <c r="A402" t="s">
        <v>568</v>
      </c>
      <c r="B402">
        <v>20539</v>
      </c>
      <c r="C402" t="s">
        <v>3908</v>
      </c>
      <c r="D402" t="s">
        <v>466</v>
      </c>
      <c r="E402">
        <v>10.89</v>
      </c>
      <c r="F402">
        <v>707.85</v>
      </c>
      <c r="G402">
        <v>65</v>
      </c>
    </row>
    <row r="403" spans="1:7" x14ac:dyDescent="0.3">
      <c r="A403" t="s">
        <v>568</v>
      </c>
      <c r="B403">
        <v>24331</v>
      </c>
      <c r="C403" t="s">
        <v>3960</v>
      </c>
      <c r="D403" t="s">
        <v>466</v>
      </c>
      <c r="E403">
        <v>15</v>
      </c>
      <c r="F403">
        <v>308.8</v>
      </c>
      <c r="G403">
        <v>20.59</v>
      </c>
    </row>
    <row r="404" spans="1:7" x14ac:dyDescent="0.3">
      <c r="A404" t="s">
        <v>568</v>
      </c>
      <c r="B404">
        <v>27884</v>
      </c>
      <c r="C404" t="s">
        <v>3910</v>
      </c>
      <c r="D404" t="s">
        <v>466</v>
      </c>
      <c r="E404">
        <v>23.4</v>
      </c>
      <c r="F404">
        <v>1614.6</v>
      </c>
      <c r="G404">
        <v>69</v>
      </c>
    </row>
    <row r="405" spans="1:7" x14ac:dyDescent="0.3">
      <c r="A405" t="s">
        <v>568</v>
      </c>
      <c r="B405">
        <v>24339</v>
      </c>
      <c r="C405" t="s">
        <v>4119</v>
      </c>
      <c r="D405" t="s">
        <v>466</v>
      </c>
      <c r="E405">
        <v>12.5</v>
      </c>
      <c r="F405">
        <v>389.35</v>
      </c>
      <c r="G405">
        <v>31.15</v>
      </c>
    </row>
    <row r="406" spans="1:7" x14ac:dyDescent="0.3">
      <c r="A406" t="s">
        <v>568</v>
      </c>
      <c r="B406">
        <v>20501</v>
      </c>
      <c r="C406" t="s">
        <v>4219</v>
      </c>
      <c r="D406" t="s">
        <v>466</v>
      </c>
      <c r="E406">
        <v>10</v>
      </c>
      <c r="F406">
        <v>219</v>
      </c>
      <c r="G406">
        <v>21.9</v>
      </c>
    </row>
    <row r="407" spans="1:7" x14ac:dyDescent="0.3">
      <c r="A407" t="s">
        <v>568</v>
      </c>
      <c r="B407">
        <v>24343</v>
      </c>
      <c r="C407" t="s">
        <v>3990</v>
      </c>
      <c r="D407" t="s">
        <v>466</v>
      </c>
      <c r="E407">
        <v>19.64</v>
      </c>
      <c r="F407">
        <v>432.01</v>
      </c>
      <c r="G407">
        <v>22</v>
      </c>
    </row>
    <row r="408" spans="1:7" x14ac:dyDescent="0.3">
      <c r="A408" t="s">
        <v>568</v>
      </c>
      <c r="B408">
        <v>19478</v>
      </c>
      <c r="C408" t="s">
        <v>4072</v>
      </c>
      <c r="D408" t="s">
        <v>466</v>
      </c>
      <c r="E408">
        <v>1</v>
      </c>
      <c r="F408">
        <v>56.33</v>
      </c>
      <c r="G408">
        <v>56.33</v>
      </c>
    </row>
    <row r="409" spans="1:7" x14ac:dyDescent="0.3">
      <c r="A409" t="s">
        <v>568</v>
      </c>
      <c r="B409">
        <v>17017</v>
      </c>
      <c r="C409" t="s">
        <v>4230</v>
      </c>
      <c r="D409" t="s">
        <v>466</v>
      </c>
      <c r="E409">
        <v>8</v>
      </c>
      <c r="F409">
        <v>24</v>
      </c>
      <c r="G409">
        <v>3</v>
      </c>
    </row>
    <row r="410" spans="1:7" x14ac:dyDescent="0.3">
      <c r="A410" t="s">
        <v>568</v>
      </c>
      <c r="B410">
        <v>17498</v>
      </c>
      <c r="C410" t="s">
        <v>4243</v>
      </c>
      <c r="D410" t="s">
        <v>466</v>
      </c>
      <c r="E410">
        <v>3</v>
      </c>
      <c r="F410">
        <v>81</v>
      </c>
      <c r="G410">
        <v>27</v>
      </c>
    </row>
    <row r="411" spans="1:7" x14ac:dyDescent="0.3">
      <c r="A411" t="s">
        <v>568</v>
      </c>
      <c r="B411">
        <v>17496</v>
      </c>
      <c r="C411" t="s">
        <v>4227</v>
      </c>
      <c r="D411" t="s">
        <v>466</v>
      </c>
      <c r="E411">
        <v>4</v>
      </c>
      <c r="F411">
        <v>108</v>
      </c>
      <c r="G411">
        <v>27</v>
      </c>
    </row>
    <row r="412" spans="1:7" x14ac:dyDescent="0.3">
      <c r="A412" t="s">
        <v>568</v>
      </c>
      <c r="B412">
        <v>19743</v>
      </c>
      <c r="C412" t="s">
        <v>4152</v>
      </c>
      <c r="D412" t="s">
        <v>466</v>
      </c>
      <c r="E412">
        <v>3</v>
      </c>
      <c r="F412">
        <v>45.9</v>
      </c>
      <c r="G412">
        <v>15.3</v>
      </c>
    </row>
    <row r="413" spans="1:7" x14ac:dyDescent="0.3">
      <c r="A413" t="s">
        <v>568</v>
      </c>
      <c r="B413">
        <v>20007</v>
      </c>
      <c r="C413" t="s">
        <v>4009</v>
      </c>
      <c r="D413" t="s">
        <v>466</v>
      </c>
      <c r="E413">
        <v>10</v>
      </c>
      <c r="F413">
        <v>511.2</v>
      </c>
      <c r="G413">
        <v>51.12</v>
      </c>
    </row>
    <row r="414" spans="1:7" x14ac:dyDescent="0.3">
      <c r="A414" t="s">
        <v>568</v>
      </c>
      <c r="B414">
        <v>19742</v>
      </c>
      <c r="C414" t="s">
        <v>4074</v>
      </c>
      <c r="D414" t="s">
        <v>466</v>
      </c>
      <c r="E414">
        <v>3.2</v>
      </c>
      <c r="F414">
        <v>36.479999999999997</v>
      </c>
      <c r="G414">
        <v>11.4</v>
      </c>
    </row>
    <row r="415" spans="1:7" x14ac:dyDescent="0.3">
      <c r="A415" t="s">
        <v>568</v>
      </c>
      <c r="B415">
        <v>25565</v>
      </c>
      <c r="C415" t="s">
        <v>4222</v>
      </c>
      <c r="D415" t="s">
        <v>466</v>
      </c>
      <c r="E415">
        <v>9.1</v>
      </c>
      <c r="F415">
        <v>100.02</v>
      </c>
      <c r="G415">
        <v>10.99</v>
      </c>
    </row>
    <row r="416" spans="1:7" x14ac:dyDescent="0.3">
      <c r="A416" t="s">
        <v>568</v>
      </c>
      <c r="B416">
        <v>23120</v>
      </c>
      <c r="C416" t="s">
        <v>4111</v>
      </c>
      <c r="D416" t="s">
        <v>466</v>
      </c>
      <c r="E416">
        <v>1.7</v>
      </c>
      <c r="F416">
        <v>107.5</v>
      </c>
      <c r="G416">
        <v>63.24</v>
      </c>
    </row>
    <row r="417" spans="1:7" x14ac:dyDescent="0.3">
      <c r="A417" t="s">
        <v>568</v>
      </c>
      <c r="B417">
        <v>19405</v>
      </c>
      <c r="C417" t="s">
        <v>4097</v>
      </c>
      <c r="D417" t="s">
        <v>466</v>
      </c>
      <c r="E417">
        <v>1</v>
      </c>
      <c r="F417">
        <v>154.9</v>
      </c>
      <c r="G417">
        <v>154.9</v>
      </c>
    </row>
    <row r="418" spans="1:7" x14ac:dyDescent="0.3">
      <c r="A418" t="s">
        <v>568</v>
      </c>
      <c r="B418">
        <v>19740</v>
      </c>
      <c r="C418" t="s">
        <v>3933</v>
      </c>
      <c r="D418" t="s">
        <v>466</v>
      </c>
      <c r="E418">
        <v>48.35</v>
      </c>
      <c r="F418">
        <v>449.19</v>
      </c>
      <c r="G418">
        <v>9.2899999999999991</v>
      </c>
    </row>
    <row r="419" spans="1:7" x14ac:dyDescent="0.3">
      <c r="A419" t="s">
        <v>568</v>
      </c>
      <c r="B419">
        <v>19415</v>
      </c>
      <c r="C419" t="s">
        <v>3941</v>
      </c>
      <c r="D419" t="s">
        <v>466</v>
      </c>
      <c r="E419">
        <v>6</v>
      </c>
      <c r="F419">
        <v>50.16</v>
      </c>
      <c r="G419">
        <v>8.36</v>
      </c>
    </row>
    <row r="420" spans="1:7" x14ac:dyDescent="0.3">
      <c r="A420" t="s">
        <v>568</v>
      </c>
      <c r="B420">
        <v>17474</v>
      </c>
      <c r="C420" t="s">
        <v>4273</v>
      </c>
      <c r="D420" t="s">
        <v>466</v>
      </c>
      <c r="E420">
        <v>1</v>
      </c>
      <c r="F420">
        <v>75</v>
      </c>
      <c r="G420">
        <v>75</v>
      </c>
    </row>
    <row r="421" spans="1:7" x14ac:dyDescent="0.3">
      <c r="A421" t="s">
        <v>568</v>
      </c>
      <c r="B421">
        <v>24351</v>
      </c>
      <c r="C421" t="s">
        <v>3912</v>
      </c>
      <c r="D421" t="s">
        <v>466</v>
      </c>
      <c r="E421">
        <v>20</v>
      </c>
      <c r="F421">
        <v>650</v>
      </c>
      <c r="G421">
        <v>32.5</v>
      </c>
    </row>
    <row r="422" spans="1:7" x14ac:dyDescent="0.3">
      <c r="A422" t="s">
        <v>568</v>
      </c>
      <c r="B422">
        <v>20117</v>
      </c>
      <c r="C422" t="s">
        <v>4010</v>
      </c>
      <c r="D422" t="s">
        <v>466</v>
      </c>
      <c r="E422">
        <v>4</v>
      </c>
      <c r="F422">
        <v>161.6</v>
      </c>
      <c r="G422">
        <v>40.4</v>
      </c>
    </row>
    <row r="423" spans="1:7" x14ac:dyDescent="0.3">
      <c r="A423" t="s">
        <v>568</v>
      </c>
      <c r="B423">
        <v>20832</v>
      </c>
      <c r="C423" t="s">
        <v>4060</v>
      </c>
      <c r="D423" t="s">
        <v>466</v>
      </c>
      <c r="E423">
        <v>1</v>
      </c>
      <c r="F423">
        <v>34</v>
      </c>
      <c r="G423">
        <v>34</v>
      </c>
    </row>
    <row r="424" spans="1:7" x14ac:dyDescent="0.3">
      <c r="A424" t="s">
        <v>568</v>
      </c>
      <c r="B424">
        <v>19984</v>
      </c>
      <c r="C424" t="s">
        <v>3904</v>
      </c>
      <c r="D424" t="s">
        <v>466</v>
      </c>
      <c r="E424">
        <v>12</v>
      </c>
      <c r="F424">
        <v>237.6</v>
      </c>
      <c r="G424">
        <v>19.8</v>
      </c>
    </row>
    <row r="425" spans="1:7" x14ac:dyDescent="0.3">
      <c r="A425" t="s">
        <v>568</v>
      </c>
      <c r="B425">
        <v>19973</v>
      </c>
      <c r="C425" t="s">
        <v>3981</v>
      </c>
      <c r="D425" t="s">
        <v>466</v>
      </c>
      <c r="E425">
        <v>6</v>
      </c>
      <c r="F425">
        <v>90.66</v>
      </c>
      <c r="G425">
        <v>15.11</v>
      </c>
    </row>
    <row r="426" spans="1:7" x14ac:dyDescent="0.3">
      <c r="A426" t="s">
        <v>568</v>
      </c>
      <c r="B426">
        <v>24385</v>
      </c>
      <c r="C426" t="s">
        <v>4182</v>
      </c>
      <c r="D426" t="s">
        <v>466</v>
      </c>
      <c r="E426">
        <v>2</v>
      </c>
      <c r="F426">
        <v>30.44</v>
      </c>
      <c r="G426">
        <v>15.22</v>
      </c>
    </row>
    <row r="427" spans="1:7" x14ac:dyDescent="0.3">
      <c r="A427" t="s">
        <v>568</v>
      </c>
      <c r="B427">
        <v>23335</v>
      </c>
      <c r="C427" t="s">
        <v>4075</v>
      </c>
      <c r="D427" t="s">
        <v>466</v>
      </c>
      <c r="E427">
        <v>2.2000000000000002</v>
      </c>
      <c r="F427">
        <v>74.319999999999993</v>
      </c>
      <c r="G427">
        <v>33.78</v>
      </c>
    </row>
    <row r="428" spans="1:7" x14ac:dyDescent="0.3">
      <c r="A428" t="s">
        <v>568</v>
      </c>
      <c r="B428">
        <v>24388</v>
      </c>
      <c r="C428" t="s">
        <v>3915</v>
      </c>
      <c r="D428" t="s">
        <v>466</v>
      </c>
      <c r="E428">
        <v>18</v>
      </c>
      <c r="F428">
        <v>550.20000000000005</v>
      </c>
      <c r="G428">
        <v>30.57</v>
      </c>
    </row>
    <row r="429" spans="1:7" x14ac:dyDescent="0.3">
      <c r="A429" t="s">
        <v>568</v>
      </c>
      <c r="B429">
        <v>20984</v>
      </c>
      <c r="C429" t="s">
        <v>4235</v>
      </c>
      <c r="D429" t="s">
        <v>466</v>
      </c>
      <c r="E429">
        <v>144</v>
      </c>
      <c r="F429">
        <v>1173.5999999999999</v>
      </c>
      <c r="G429">
        <v>8.15</v>
      </c>
    </row>
    <row r="430" spans="1:7" x14ac:dyDescent="0.3">
      <c r="A430" t="s">
        <v>568</v>
      </c>
      <c r="B430">
        <v>24393</v>
      </c>
      <c r="C430" t="s">
        <v>4039</v>
      </c>
      <c r="D430" t="s">
        <v>466</v>
      </c>
      <c r="E430">
        <v>3</v>
      </c>
      <c r="F430">
        <v>41.97</v>
      </c>
      <c r="G430">
        <v>13.99</v>
      </c>
    </row>
    <row r="431" spans="1:7" x14ac:dyDescent="0.3">
      <c r="A431" t="s">
        <v>568</v>
      </c>
      <c r="B431">
        <v>23096</v>
      </c>
      <c r="C431" t="s">
        <v>3876</v>
      </c>
      <c r="D431" t="s">
        <v>466</v>
      </c>
      <c r="E431">
        <v>300</v>
      </c>
      <c r="F431">
        <v>190.5</v>
      </c>
      <c r="G431">
        <v>0.64</v>
      </c>
    </row>
    <row r="432" spans="1:7" x14ac:dyDescent="0.3">
      <c r="A432" t="s">
        <v>568</v>
      </c>
      <c r="B432">
        <v>23095</v>
      </c>
      <c r="C432" t="s">
        <v>3882</v>
      </c>
      <c r="D432" t="s">
        <v>466</v>
      </c>
      <c r="E432">
        <v>320</v>
      </c>
      <c r="F432">
        <v>305</v>
      </c>
      <c r="G432">
        <v>0.95</v>
      </c>
    </row>
    <row r="433" spans="1:7" x14ac:dyDescent="0.3">
      <c r="A433" t="s">
        <v>568</v>
      </c>
      <c r="B433">
        <v>21703</v>
      </c>
      <c r="C433" t="s">
        <v>4272</v>
      </c>
      <c r="D433" t="s">
        <v>466</v>
      </c>
      <c r="E433">
        <v>1</v>
      </c>
      <c r="F433">
        <v>9</v>
      </c>
      <c r="G433">
        <v>9</v>
      </c>
    </row>
    <row r="434" spans="1:7" x14ac:dyDescent="0.3">
      <c r="A434" t="s">
        <v>568</v>
      </c>
      <c r="B434">
        <v>17444</v>
      </c>
      <c r="C434" t="s">
        <v>4211</v>
      </c>
      <c r="D434" t="s">
        <v>466</v>
      </c>
      <c r="E434">
        <v>1</v>
      </c>
      <c r="F434">
        <v>12.59</v>
      </c>
      <c r="G434">
        <v>12.59</v>
      </c>
    </row>
    <row r="435" spans="1:7" x14ac:dyDescent="0.3">
      <c r="A435" t="s">
        <v>568</v>
      </c>
      <c r="B435">
        <v>20624</v>
      </c>
      <c r="C435" t="s">
        <v>3982</v>
      </c>
      <c r="D435" t="s">
        <v>466</v>
      </c>
      <c r="E435">
        <v>4</v>
      </c>
      <c r="F435">
        <v>283.60000000000002</v>
      </c>
      <c r="G435">
        <v>70.900000000000006</v>
      </c>
    </row>
    <row r="436" spans="1:7" x14ac:dyDescent="0.3">
      <c r="A436" t="s">
        <v>568</v>
      </c>
      <c r="B436">
        <v>24517</v>
      </c>
      <c r="C436" t="s">
        <v>3991</v>
      </c>
      <c r="D436" t="s">
        <v>466</v>
      </c>
      <c r="E436">
        <v>47.9</v>
      </c>
      <c r="F436">
        <v>1278.93</v>
      </c>
      <c r="G436">
        <v>26.7</v>
      </c>
    </row>
    <row r="437" spans="1:7" x14ac:dyDescent="0.3">
      <c r="A437" t="s">
        <v>568</v>
      </c>
      <c r="B437">
        <v>17162</v>
      </c>
      <c r="C437" t="s">
        <v>4209</v>
      </c>
      <c r="D437" t="s">
        <v>466</v>
      </c>
      <c r="E437">
        <v>1</v>
      </c>
      <c r="F437">
        <v>54</v>
      </c>
      <c r="G437">
        <v>54</v>
      </c>
    </row>
    <row r="438" spans="1:7" x14ac:dyDescent="0.3">
      <c r="A438" t="s">
        <v>568</v>
      </c>
      <c r="B438">
        <v>29129</v>
      </c>
      <c r="C438" t="s">
        <v>4176</v>
      </c>
      <c r="D438" t="s">
        <v>466</v>
      </c>
      <c r="E438">
        <v>63</v>
      </c>
      <c r="F438">
        <v>722.61</v>
      </c>
      <c r="G438">
        <v>11.47</v>
      </c>
    </row>
    <row r="439" spans="1:7" x14ac:dyDescent="0.3">
      <c r="A439" t="s">
        <v>568</v>
      </c>
      <c r="B439">
        <v>19130</v>
      </c>
      <c r="C439" t="s">
        <v>4284</v>
      </c>
      <c r="D439" t="s">
        <v>466</v>
      </c>
      <c r="E439">
        <v>54.4</v>
      </c>
      <c r="F439">
        <v>2095.4899999999998</v>
      </c>
      <c r="G439">
        <v>38.520000000000003</v>
      </c>
    </row>
    <row r="440" spans="1:7" x14ac:dyDescent="0.3">
      <c r="A440" t="s">
        <v>568</v>
      </c>
      <c r="B440">
        <v>17046</v>
      </c>
      <c r="C440" t="s">
        <v>4246</v>
      </c>
      <c r="D440" t="s">
        <v>466</v>
      </c>
      <c r="E440">
        <v>3</v>
      </c>
      <c r="F440">
        <v>103.5</v>
      </c>
      <c r="G440">
        <v>34.5</v>
      </c>
    </row>
    <row r="441" spans="1:7" x14ac:dyDescent="0.3">
      <c r="A441" t="s">
        <v>568</v>
      </c>
      <c r="B441">
        <v>17341</v>
      </c>
      <c r="C441" t="s">
        <v>4232</v>
      </c>
      <c r="D441" t="s">
        <v>466</v>
      </c>
      <c r="E441">
        <v>2</v>
      </c>
      <c r="F441">
        <v>149.6</v>
      </c>
      <c r="G441">
        <v>74.8</v>
      </c>
    </row>
    <row r="442" spans="1:7" x14ac:dyDescent="0.3">
      <c r="A442" t="s">
        <v>568</v>
      </c>
      <c r="B442">
        <v>17342</v>
      </c>
      <c r="C442" t="s">
        <v>4208</v>
      </c>
      <c r="D442" t="s">
        <v>466</v>
      </c>
      <c r="E442">
        <v>1</v>
      </c>
      <c r="F442">
        <v>34.229999999999997</v>
      </c>
      <c r="G442">
        <v>34.229999999999997</v>
      </c>
    </row>
    <row r="443" spans="1:7" x14ac:dyDescent="0.3">
      <c r="A443" t="s">
        <v>568</v>
      </c>
      <c r="B443">
        <v>17418</v>
      </c>
      <c r="C443" t="s">
        <v>4280</v>
      </c>
      <c r="D443" t="s">
        <v>466</v>
      </c>
      <c r="E443">
        <v>1</v>
      </c>
      <c r="F443">
        <v>58.9</v>
      </c>
      <c r="G443">
        <v>58.9</v>
      </c>
    </row>
    <row r="444" spans="1:7" x14ac:dyDescent="0.3">
      <c r="A444" t="s">
        <v>568</v>
      </c>
      <c r="B444">
        <v>17416</v>
      </c>
      <c r="C444" t="s">
        <v>4205</v>
      </c>
      <c r="D444" t="s">
        <v>466</v>
      </c>
      <c r="E444">
        <v>14</v>
      </c>
      <c r="F444">
        <v>680.12</v>
      </c>
      <c r="G444">
        <v>48.58</v>
      </c>
    </row>
    <row r="445" spans="1:7" x14ac:dyDescent="0.3">
      <c r="A445" t="s">
        <v>568</v>
      </c>
      <c r="B445">
        <v>19932</v>
      </c>
      <c r="C445" t="s">
        <v>4011</v>
      </c>
      <c r="D445" t="s">
        <v>466</v>
      </c>
      <c r="E445">
        <v>1</v>
      </c>
      <c r="F445">
        <v>7.5</v>
      </c>
      <c r="G445">
        <v>7.5</v>
      </c>
    </row>
    <row r="446" spans="1:7" x14ac:dyDescent="0.3">
      <c r="A446" t="s">
        <v>568</v>
      </c>
      <c r="B446">
        <v>24401</v>
      </c>
      <c r="C446" t="s">
        <v>4063</v>
      </c>
      <c r="D446" t="s">
        <v>466</v>
      </c>
      <c r="E446">
        <v>1</v>
      </c>
      <c r="F446">
        <v>15</v>
      </c>
      <c r="G446">
        <v>15</v>
      </c>
    </row>
    <row r="447" spans="1:7" x14ac:dyDescent="0.3">
      <c r="A447" t="s">
        <v>568</v>
      </c>
      <c r="B447">
        <v>24402</v>
      </c>
      <c r="C447" t="s">
        <v>3896</v>
      </c>
      <c r="D447" t="s">
        <v>466</v>
      </c>
      <c r="E447">
        <v>62</v>
      </c>
      <c r="F447">
        <v>2387.38</v>
      </c>
      <c r="G447">
        <v>38.51</v>
      </c>
    </row>
    <row r="448" spans="1:7" x14ac:dyDescent="0.3">
      <c r="A448" t="s">
        <v>568</v>
      </c>
      <c r="B448">
        <v>18832</v>
      </c>
      <c r="C448" t="s">
        <v>3900</v>
      </c>
      <c r="D448" t="s">
        <v>466</v>
      </c>
      <c r="E448">
        <v>101.6</v>
      </c>
      <c r="F448">
        <v>4104.24</v>
      </c>
      <c r="G448">
        <v>40.4</v>
      </c>
    </row>
    <row r="449" spans="1:7" x14ac:dyDescent="0.3">
      <c r="A449" t="s">
        <v>568</v>
      </c>
      <c r="B449">
        <v>24403</v>
      </c>
      <c r="C449" t="s">
        <v>3992</v>
      </c>
      <c r="D449" t="s">
        <v>466</v>
      </c>
      <c r="E449">
        <v>7.2</v>
      </c>
      <c r="F449">
        <v>93.53</v>
      </c>
      <c r="G449">
        <v>12.99</v>
      </c>
    </row>
    <row r="450" spans="1:7" x14ac:dyDescent="0.3">
      <c r="A450" t="s">
        <v>568</v>
      </c>
      <c r="B450">
        <v>19589</v>
      </c>
      <c r="C450" t="s">
        <v>4153</v>
      </c>
      <c r="D450" t="s">
        <v>466</v>
      </c>
      <c r="E450">
        <v>4</v>
      </c>
      <c r="F450">
        <v>33.6</v>
      </c>
      <c r="G450">
        <v>8.4</v>
      </c>
    </row>
    <row r="451" spans="1:7" x14ac:dyDescent="0.3">
      <c r="A451" t="s">
        <v>568</v>
      </c>
      <c r="B451">
        <v>17895</v>
      </c>
      <c r="C451" t="s">
        <v>4137</v>
      </c>
      <c r="D451" t="s">
        <v>466</v>
      </c>
      <c r="E451">
        <v>10</v>
      </c>
      <c r="F451">
        <v>283.2</v>
      </c>
      <c r="G451">
        <v>28.32</v>
      </c>
    </row>
    <row r="452" spans="1:7" x14ac:dyDescent="0.3">
      <c r="A452" t="s">
        <v>568</v>
      </c>
      <c r="B452">
        <v>17886</v>
      </c>
      <c r="C452" t="s">
        <v>3935</v>
      </c>
      <c r="D452" t="s">
        <v>466</v>
      </c>
      <c r="E452">
        <v>40</v>
      </c>
      <c r="F452">
        <v>974.7</v>
      </c>
      <c r="G452">
        <v>24.37</v>
      </c>
    </row>
    <row r="453" spans="1:7" x14ac:dyDescent="0.3">
      <c r="A453" t="s">
        <v>568</v>
      </c>
      <c r="B453">
        <v>19583</v>
      </c>
      <c r="C453" t="s">
        <v>4076</v>
      </c>
      <c r="D453" t="s">
        <v>466</v>
      </c>
      <c r="E453">
        <v>1</v>
      </c>
      <c r="F453">
        <v>58.5</v>
      </c>
      <c r="G453">
        <v>58.5</v>
      </c>
    </row>
    <row r="454" spans="1:7" x14ac:dyDescent="0.3">
      <c r="A454" t="s">
        <v>568</v>
      </c>
      <c r="B454">
        <v>19572</v>
      </c>
      <c r="C454" t="s">
        <v>4023</v>
      </c>
      <c r="D454" t="s">
        <v>466</v>
      </c>
      <c r="E454">
        <v>4.4800000000000004</v>
      </c>
      <c r="F454">
        <v>43.62</v>
      </c>
      <c r="G454">
        <v>9.74</v>
      </c>
    </row>
    <row r="455" spans="1:7" x14ac:dyDescent="0.3">
      <c r="A455" t="s">
        <v>568</v>
      </c>
      <c r="B455">
        <v>23198</v>
      </c>
      <c r="C455" t="s">
        <v>4167</v>
      </c>
      <c r="D455" t="s">
        <v>466</v>
      </c>
      <c r="E455">
        <v>4.5</v>
      </c>
      <c r="F455">
        <v>66.95</v>
      </c>
      <c r="G455">
        <v>14.88</v>
      </c>
    </row>
    <row r="456" spans="1:7" x14ac:dyDescent="0.3">
      <c r="A456" t="s">
        <v>568</v>
      </c>
      <c r="B456">
        <v>21400</v>
      </c>
      <c r="C456" t="s">
        <v>4165</v>
      </c>
      <c r="D456" t="s">
        <v>466</v>
      </c>
      <c r="E456">
        <v>7</v>
      </c>
      <c r="F456">
        <v>202.66</v>
      </c>
      <c r="G456">
        <v>28.95</v>
      </c>
    </row>
    <row r="457" spans="1:7" x14ac:dyDescent="0.3">
      <c r="A457" t="s">
        <v>568</v>
      </c>
      <c r="B457">
        <v>18682</v>
      </c>
      <c r="C457" t="s">
        <v>4025</v>
      </c>
      <c r="D457" t="s">
        <v>466</v>
      </c>
      <c r="E457">
        <v>31.6</v>
      </c>
      <c r="F457">
        <v>884.5</v>
      </c>
      <c r="G457">
        <v>27.99</v>
      </c>
    </row>
    <row r="458" spans="1:7" x14ac:dyDescent="0.3">
      <c r="A458" t="s">
        <v>568</v>
      </c>
      <c r="B458">
        <v>19346</v>
      </c>
      <c r="C458" t="s">
        <v>3948</v>
      </c>
      <c r="D458" t="s">
        <v>466</v>
      </c>
      <c r="E458">
        <v>5.35</v>
      </c>
      <c r="F458">
        <v>336.84</v>
      </c>
      <c r="G458">
        <v>62.96</v>
      </c>
    </row>
    <row r="459" spans="1:7" x14ac:dyDescent="0.3">
      <c r="A459" t="s">
        <v>568</v>
      </c>
      <c r="B459">
        <v>19324</v>
      </c>
      <c r="C459" t="s">
        <v>3937</v>
      </c>
      <c r="D459" t="s">
        <v>466</v>
      </c>
      <c r="E459">
        <v>37.18</v>
      </c>
      <c r="F459">
        <v>1502.96</v>
      </c>
      <c r="G459">
        <v>40.42</v>
      </c>
    </row>
    <row r="460" spans="1:7" x14ac:dyDescent="0.3">
      <c r="A460" t="s">
        <v>568</v>
      </c>
      <c r="B460">
        <v>19291</v>
      </c>
      <c r="C460" t="s">
        <v>4254</v>
      </c>
      <c r="D460" t="s">
        <v>466</v>
      </c>
      <c r="E460">
        <v>30.41</v>
      </c>
      <c r="F460">
        <v>1824.6</v>
      </c>
      <c r="G460">
        <v>60</v>
      </c>
    </row>
    <row r="461" spans="1:7" x14ac:dyDescent="0.3">
      <c r="A461" t="s">
        <v>568</v>
      </c>
      <c r="B461">
        <v>19287</v>
      </c>
      <c r="C461" t="s">
        <v>3974</v>
      </c>
      <c r="D461" t="s">
        <v>466</v>
      </c>
      <c r="E461">
        <v>3.32</v>
      </c>
      <c r="F461">
        <v>151.06</v>
      </c>
      <c r="G461">
        <v>45.5</v>
      </c>
    </row>
    <row r="462" spans="1:7" x14ac:dyDescent="0.3">
      <c r="A462" t="s">
        <v>568</v>
      </c>
      <c r="B462">
        <v>19558</v>
      </c>
      <c r="C462" t="s">
        <v>4183</v>
      </c>
      <c r="D462" t="s">
        <v>466</v>
      </c>
      <c r="E462">
        <v>5.25</v>
      </c>
      <c r="F462">
        <v>111.92</v>
      </c>
      <c r="G462">
        <v>21.32</v>
      </c>
    </row>
    <row r="463" spans="1:7" x14ac:dyDescent="0.3">
      <c r="A463" t="s">
        <v>568</v>
      </c>
      <c r="B463">
        <v>25768</v>
      </c>
      <c r="C463" t="s">
        <v>4012</v>
      </c>
      <c r="D463" t="s">
        <v>466</v>
      </c>
      <c r="E463">
        <v>4</v>
      </c>
      <c r="F463">
        <v>39.6</v>
      </c>
      <c r="G463">
        <v>9.9</v>
      </c>
    </row>
    <row r="464" spans="1:7" x14ac:dyDescent="0.3">
      <c r="A464" t="s">
        <v>568</v>
      </c>
      <c r="B464">
        <v>27313</v>
      </c>
      <c r="C464" t="s">
        <v>4131</v>
      </c>
      <c r="D464" t="s">
        <v>466</v>
      </c>
      <c r="E464">
        <v>42.3</v>
      </c>
      <c r="F464">
        <v>1622</v>
      </c>
      <c r="G464">
        <v>38.35</v>
      </c>
    </row>
    <row r="465" spans="1:7" x14ac:dyDescent="0.3">
      <c r="A465" t="s">
        <v>568</v>
      </c>
      <c r="B465">
        <v>23195</v>
      </c>
      <c r="C465" t="s">
        <v>4184</v>
      </c>
      <c r="D465" t="s">
        <v>466</v>
      </c>
      <c r="E465">
        <v>5</v>
      </c>
      <c r="F465">
        <v>48</v>
      </c>
      <c r="G465">
        <v>9.6</v>
      </c>
    </row>
    <row r="466" spans="1:7" x14ac:dyDescent="0.3">
      <c r="A466" t="s">
        <v>568</v>
      </c>
      <c r="B466">
        <v>18666</v>
      </c>
      <c r="C466" t="s">
        <v>4003</v>
      </c>
      <c r="D466" t="s">
        <v>466</v>
      </c>
      <c r="E466">
        <v>3</v>
      </c>
      <c r="F466">
        <v>71.97</v>
      </c>
      <c r="G466">
        <v>23.99</v>
      </c>
    </row>
    <row r="467" spans="1:7" x14ac:dyDescent="0.3">
      <c r="A467" t="s">
        <v>568</v>
      </c>
      <c r="B467">
        <v>19555</v>
      </c>
      <c r="C467" t="s">
        <v>4109</v>
      </c>
      <c r="D467" t="s">
        <v>466</v>
      </c>
      <c r="E467">
        <v>4</v>
      </c>
      <c r="F467">
        <v>60</v>
      </c>
      <c r="G467">
        <v>15</v>
      </c>
    </row>
    <row r="468" spans="1:7" x14ac:dyDescent="0.3">
      <c r="A468" t="s">
        <v>568</v>
      </c>
      <c r="B468">
        <v>21123</v>
      </c>
      <c r="C468" t="s">
        <v>4115</v>
      </c>
      <c r="D468" t="s">
        <v>466</v>
      </c>
      <c r="E468">
        <v>14</v>
      </c>
      <c r="F468">
        <v>203</v>
      </c>
      <c r="G468">
        <v>14.5</v>
      </c>
    </row>
    <row r="469" spans="1:7" x14ac:dyDescent="0.3">
      <c r="A469" t="s">
        <v>568</v>
      </c>
      <c r="B469">
        <v>19553</v>
      </c>
      <c r="C469" t="s">
        <v>4078</v>
      </c>
      <c r="D469" t="s">
        <v>466</v>
      </c>
      <c r="E469">
        <v>2.5</v>
      </c>
      <c r="F469">
        <v>11.7</v>
      </c>
      <c r="G469">
        <v>4.68</v>
      </c>
    </row>
    <row r="470" spans="1:7" x14ac:dyDescent="0.3">
      <c r="A470" t="s">
        <v>568</v>
      </c>
      <c r="B470">
        <v>19264</v>
      </c>
      <c r="C470" t="s">
        <v>4082</v>
      </c>
      <c r="D470" t="s">
        <v>466</v>
      </c>
      <c r="E470">
        <v>2</v>
      </c>
      <c r="F470">
        <v>135.80000000000001</v>
      </c>
      <c r="G470">
        <v>67.900000000000006</v>
      </c>
    </row>
    <row r="471" spans="1:7" x14ac:dyDescent="0.3">
      <c r="A471" t="s">
        <v>568</v>
      </c>
      <c r="B471">
        <v>29796</v>
      </c>
      <c r="C471" t="s">
        <v>4255</v>
      </c>
      <c r="D471" t="s">
        <v>466</v>
      </c>
      <c r="E471">
        <v>10</v>
      </c>
      <c r="F471">
        <v>231.2</v>
      </c>
      <c r="G471">
        <v>23.12</v>
      </c>
    </row>
    <row r="472" spans="1:7" x14ac:dyDescent="0.3">
      <c r="A472" t="s">
        <v>568</v>
      </c>
      <c r="B472">
        <v>29795</v>
      </c>
      <c r="C472" t="s">
        <v>4263</v>
      </c>
      <c r="D472" t="s">
        <v>466</v>
      </c>
      <c r="E472">
        <v>10</v>
      </c>
      <c r="F472">
        <v>250</v>
      </c>
      <c r="G472">
        <v>25</v>
      </c>
    </row>
    <row r="473" spans="1:7" x14ac:dyDescent="0.3">
      <c r="A473" t="s">
        <v>568</v>
      </c>
      <c r="B473">
        <v>17129</v>
      </c>
      <c r="C473" t="s">
        <v>4200</v>
      </c>
      <c r="D473" t="s">
        <v>466</v>
      </c>
      <c r="E473">
        <v>4</v>
      </c>
      <c r="F473">
        <v>106.44</v>
      </c>
      <c r="G473">
        <v>26.61</v>
      </c>
    </row>
    <row r="474" spans="1:7" x14ac:dyDescent="0.3">
      <c r="A474" t="s">
        <v>568</v>
      </c>
      <c r="B474">
        <v>17437</v>
      </c>
      <c r="C474" t="s">
        <v>4198</v>
      </c>
      <c r="D474" t="s">
        <v>466</v>
      </c>
      <c r="E474">
        <v>60</v>
      </c>
      <c r="F474">
        <v>138</v>
      </c>
      <c r="G474">
        <v>2.2999999999999998</v>
      </c>
    </row>
    <row r="475" spans="1:7" x14ac:dyDescent="0.3">
      <c r="A475" t="s">
        <v>568</v>
      </c>
      <c r="B475">
        <v>21423</v>
      </c>
      <c r="C475" t="s">
        <v>4225</v>
      </c>
      <c r="D475" t="s">
        <v>466</v>
      </c>
      <c r="E475">
        <v>5</v>
      </c>
      <c r="F475">
        <v>165.5</v>
      </c>
      <c r="G475">
        <v>33.1</v>
      </c>
    </row>
    <row r="476" spans="1:7" x14ac:dyDescent="0.3">
      <c r="A476" t="s">
        <v>568</v>
      </c>
      <c r="B476">
        <v>17399</v>
      </c>
      <c r="C476" t="s">
        <v>4277</v>
      </c>
      <c r="D476" t="s">
        <v>466</v>
      </c>
      <c r="E476">
        <v>1</v>
      </c>
      <c r="F476">
        <v>19.670000000000002</v>
      </c>
      <c r="G476">
        <v>19.670000000000002</v>
      </c>
    </row>
    <row r="477" spans="1:7" x14ac:dyDescent="0.3">
      <c r="A477" t="s">
        <v>568</v>
      </c>
      <c r="B477">
        <v>17397</v>
      </c>
      <c r="C477" t="s">
        <v>4223</v>
      </c>
      <c r="D477" t="s">
        <v>466</v>
      </c>
      <c r="E477">
        <v>4</v>
      </c>
      <c r="F477">
        <v>132.4</v>
      </c>
      <c r="G477">
        <v>33.1</v>
      </c>
    </row>
    <row r="478" spans="1:7" x14ac:dyDescent="0.3">
      <c r="A478" t="s">
        <v>568</v>
      </c>
      <c r="B478">
        <v>17405</v>
      </c>
      <c r="C478" t="s">
        <v>4251</v>
      </c>
      <c r="D478" t="s">
        <v>466</v>
      </c>
      <c r="E478">
        <v>1</v>
      </c>
      <c r="F478">
        <v>14</v>
      </c>
      <c r="G478">
        <v>14</v>
      </c>
    </row>
    <row r="479" spans="1:7" x14ac:dyDescent="0.3">
      <c r="A479" t="s">
        <v>568</v>
      </c>
      <c r="B479">
        <v>17404</v>
      </c>
      <c r="C479" t="s">
        <v>4282</v>
      </c>
      <c r="D479" t="s">
        <v>466</v>
      </c>
      <c r="E479">
        <v>1</v>
      </c>
      <c r="F479">
        <v>27</v>
      </c>
      <c r="G479">
        <v>27</v>
      </c>
    </row>
    <row r="480" spans="1:7" x14ac:dyDescent="0.3">
      <c r="A480" t="s">
        <v>568</v>
      </c>
      <c r="B480">
        <v>17383</v>
      </c>
      <c r="C480" t="s">
        <v>4252</v>
      </c>
      <c r="D480" t="s">
        <v>466</v>
      </c>
      <c r="E480">
        <v>1</v>
      </c>
      <c r="F480">
        <v>45</v>
      </c>
      <c r="G480">
        <v>45</v>
      </c>
    </row>
    <row r="481" spans="1:7" x14ac:dyDescent="0.3">
      <c r="A481" t="s">
        <v>568</v>
      </c>
      <c r="B481">
        <v>19916</v>
      </c>
      <c r="C481" t="s">
        <v>4118</v>
      </c>
      <c r="D481" t="s">
        <v>466</v>
      </c>
      <c r="E481">
        <v>1</v>
      </c>
      <c r="F481">
        <v>38</v>
      </c>
      <c r="G481">
        <v>38</v>
      </c>
    </row>
    <row r="482" spans="1:7" x14ac:dyDescent="0.3">
      <c r="A482" t="s">
        <v>568</v>
      </c>
      <c r="B482">
        <v>19906</v>
      </c>
      <c r="C482" t="s">
        <v>4171</v>
      </c>
      <c r="D482" t="s">
        <v>466</v>
      </c>
      <c r="E482">
        <v>1</v>
      </c>
      <c r="F482">
        <v>36.9</v>
      </c>
      <c r="G482">
        <v>36.9</v>
      </c>
    </row>
    <row r="483" spans="1:7" x14ac:dyDescent="0.3">
      <c r="A483" t="s">
        <v>568</v>
      </c>
      <c r="B483">
        <v>20466</v>
      </c>
      <c r="C483" t="s">
        <v>4098</v>
      </c>
      <c r="D483" t="s">
        <v>466</v>
      </c>
      <c r="E483">
        <v>1.5</v>
      </c>
      <c r="F483">
        <v>102</v>
      </c>
      <c r="G483">
        <v>68</v>
      </c>
    </row>
    <row r="484" spans="1:7" x14ac:dyDescent="0.3">
      <c r="A484" t="s">
        <v>568</v>
      </c>
      <c r="B484">
        <v>23113</v>
      </c>
      <c r="C484" t="s">
        <v>4079</v>
      </c>
      <c r="D484" t="s">
        <v>466</v>
      </c>
      <c r="E484">
        <v>12.8</v>
      </c>
      <c r="F484">
        <v>122.77</v>
      </c>
      <c r="G484">
        <v>9.59</v>
      </c>
    </row>
    <row r="485" spans="1:7" x14ac:dyDescent="0.3">
      <c r="A485" t="s">
        <v>568</v>
      </c>
      <c r="B485">
        <v>19465</v>
      </c>
      <c r="C485" t="s">
        <v>4080</v>
      </c>
      <c r="D485" t="s">
        <v>466</v>
      </c>
      <c r="E485">
        <v>3.3</v>
      </c>
      <c r="F485">
        <v>23.49</v>
      </c>
      <c r="G485">
        <v>7.12</v>
      </c>
    </row>
    <row r="486" spans="1:7" x14ac:dyDescent="0.3">
      <c r="A486" t="s">
        <v>568</v>
      </c>
      <c r="B486">
        <v>20458</v>
      </c>
      <c r="C486" t="s">
        <v>4121</v>
      </c>
      <c r="D486" t="s">
        <v>466</v>
      </c>
      <c r="E486">
        <v>4</v>
      </c>
      <c r="F486">
        <v>131.6</v>
      </c>
      <c r="G486">
        <v>32.9</v>
      </c>
    </row>
    <row r="487" spans="1:7" x14ac:dyDescent="0.3">
      <c r="A487" t="s">
        <v>568</v>
      </c>
      <c r="B487">
        <v>20456</v>
      </c>
      <c r="C487" t="s">
        <v>4000</v>
      </c>
      <c r="D487" t="s">
        <v>466</v>
      </c>
      <c r="E487">
        <v>2.9</v>
      </c>
      <c r="F487">
        <v>113.1</v>
      </c>
      <c r="G487">
        <v>39</v>
      </c>
    </row>
    <row r="488" spans="1:7" x14ac:dyDescent="0.3">
      <c r="A488" t="s">
        <v>568</v>
      </c>
      <c r="B488">
        <v>17883</v>
      </c>
      <c r="C488" t="s">
        <v>4136</v>
      </c>
      <c r="D488" t="s">
        <v>466</v>
      </c>
      <c r="E488">
        <v>5</v>
      </c>
      <c r="F488">
        <v>117.25</v>
      </c>
      <c r="G488">
        <v>23.45</v>
      </c>
    </row>
    <row r="489" spans="1:7" x14ac:dyDescent="0.3">
      <c r="A489" t="s">
        <v>568</v>
      </c>
      <c r="B489">
        <v>17881</v>
      </c>
      <c r="C489" t="s">
        <v>4095</v>
      </c>
      <c r="D489" t="s">
        <v>466</v>
      </c>
      <c r="E489">
        <v>10</v>
      </c>
      <c r="F489">
        <v>201</v>
      </c>
      <c r="G489">
        <v>20.100000000000001</v>
      </c>
    </row>
    <row r="490" spans="1:7" x14ac:dyDescent="0.3">
      <c r="A490" t="s">
        <v>568</v>
      </c>
      <c r="B490">
        <v>18589</v>
      </c>
      <c r="C490" t="s">
        <v>4234</v>
      </c>
      <c r="D490" t="s">
        <v>466</v>
      </c>
      <c r="E490">
        <v>10</v>
      </c>
      <c r="F490">
        <v>1075.4000000000001</v>
      </c>
      <c r="G490">
        <v>107.54</v>
      </c>
    </row>
    <row r="491" spans="1:7" x14ac:dyDescent="0.3">
      <c r="A491" t="s">
        <v>568</v>
      </c>
      <c r="B491">
        <v>17878</v>
      </c>
      <c r="C491" t="s">
        <v>4096</v>
      </c>
      <c r="D491" t="s">
        <v>466</v>
      </c>
      <c r="E491">
        <v>5</v>
      </c>
      <c r="F491">
        <v>150</v>
      </c>
      <c r="G491">
        <v>30</v>
      </c>
    </row>
    <row r="492" spans="1:7" x14ac:dyDescent="0.3">
      <c r="A492" t="s">
        <v>568</v>
      </c>
      <c r="B492">
        <v>28720</v>
      </c>
      <c r="C492" t="s">
        <v>4216</v>
      </c>
      <c r="D492" t="s">
        <v>466</v>
      </c>
      <c r="E492">
        <v>2</v>
      </c>
      <c r="F492">
        <v>468.56</v>
      </c>
      <c r="G492">
        <v>234.28</v>
      </c>
    </row>
    <row r="493" spans="1:7" x14ac:dyDescent="0.3">
      <c r="A493" t="s">
        <v>568</v>
      </c>
      <c r="B493">
        <v>19672</v>
      </c>
      <c r="C493" t="s">
        <v>4024</v>
      </c>
      <c r="D493" t="s">
        <v>466</v>
      </c>
      <c r="E493">
        <v>17.3</v>
      </c>
      <c r="F493">
        <v>234.38</v>
      </c>
      <c r="G493">
        <v>13.55</v>
      </c>
    </row>
    <row r="494" spans="1:7" x14ac:dyDescent="0.3">
      <c r="A494" t="s">
        <v>568</v>
      </c>
      <c r="B494">
        <v>25769</v>
      </c>
      <c r="C494" t="s">
        <v>4013</v>
      </c>
      <c r="D494" t="s">
        <v>466</v>
      </c>
      <c r="E494">
        <v>5</v>
      </c>
      <c r="F494">
        <v>27.25</v>
      </c>
      <c r="G494">
        <v>5.45</v>
      </c>
    </row>
    <row r="495" spans="1:7" x14ac:dyDescent="0.3">
      <c r="A495" t="s">
        <v>568</v>
      </c>
      <c r="B495">
        <v>18233</v>
      </c>
      <c r="C495" t="s">
        <v>4090</v>
      </c>
      <c r="D495" t="s">
        <v>466</v>
      </c>
      <c r="E495">
        <v>2</v>
      </c>
      <c r="F495">
        <v>203.8</v>
      </c>
      <c r="G495">
        <v>101.9</v>
      </c>
    </row>
    <row r="496" spans="1:7" x14ac:dyDescent="0.3">
      <c r="A496" t="s">
        <v>568</v>
      </c>
      <c r="B496">
        <v>19539</v>
      </c>
      <c r="C496" t="s">
        <v>4133</v>
      </c>
      <c r="D496" t="s">
        <v>466</v>
      </c>
      <c r="E496">
        <v>54</v>
      </c>
      <c r="F496">
        <v>554.4</v>
      </c>
      <c r="G496">
        <v>10.27</v>
      </c>
    </row>
    <row r="497" spans="1:7" x14ac:dyDescent="0.3">
      <c r="A497" t="s">
        <v>568</v>
      </c>
      <c r="B497">
        <v>23171</v>
      </c>
      <c r="C497" t="s">
        <v>4132</v>
      </c>
      <c r="D497" t="s">
        <v>466</v>
      </c>
      <c r="E497">
        <v>29.7</v>
      </c>
      <c r="F497">
        <v>314.3</v>
      </c>
      <c r="G497">
        <v>10.58</v>
      </c>
    </row>
    <row r="498" spans="1:7" x14ac:dyDescent="0.3">
      <c r="A498" t="s">
        <v>568</v>
      </c>
      <c r="B498">
        <v>24484</v>
      </c>
      <c r="C498" t="s">
        <v>4154</v>
      </c>
      <c r="D498" t="s">
        <v>466</v>
      </c>
      <c r="E498">
        <v>2.5</v>
      </c>
      <c r="F498">
        <v>45.5</v>
      </c>
      <c r="G498">
        <v>18.2</v>
      </c>
    </row>
    <row r="499" spans="1:7" x14ac:dyDescent="0.3">
      <c r="A499" t="s">
        <v>568</v>
      </c>
      <c r="B499">
        <v>17362</v>
      </c>
      <c r="C499" t="s">
        <v>4278</v>
      </c>
      <c r="D499" t="s">
        <v>466</v>
      </c>
      <c r="E499">
        <v>1</v>
      </c>
      <c r="F499">
        <v>49.97</v>
      </c>
      <c r="G499">
        <v>49.97</v>
      </c>
    </row>
    <row r="500" spans="1:7" x14ac:dyDescent="0.3">
      <c r="A500" t="s">
        <v>568</v>
      </c>
      <c r="B500">
        <v>29806</v>
      </c>
      <c r="C500" t="s">
        <v>4261</v>
      </c>
      <c r="D500" t="s">
        <v>466</v>
      </c>
      <c r="E500">
        <v>10</v>
      </c>
      <c r="F500">
        <v>164.2</v>
      </c>
      <c r="G500">
        <v>16.420000000000002</v>
      </c>
    </row>
    <row r="501" spans="1:7" x14ac:dyDescent="0.3">
      <c r="A501" t="s">
        <v>568</v>
      </c>
      <c r="B501">
        <v>23622</v>
      </c>
      <c r="C501" t="s">
        <v>4150</v>
      </c>
      <c r="D501" t="s">
        <v>466</v>
      </c>
      <c r="E501">
        <v>1</v>
      </c>
      <c r="F501">
        <v>21.5</v>
      </c>
      <c r="G501">
        <v>21.5</v>
      </c>
    </row>
    <row r="502" spans="1:7" x14ac:dyDescent="0.3">
      <c r="A502" t="s">
        <v>568</v>
      </c>
      <c r="B502">
        <v>17066</v>
      </c>
      <c r="C502" t="s">
        <v>4155</v>
      </c>
      <c r="D502" t="s">
        <v>466</v>
      </c>
      <c r="E502">
        <v>2</v>
      </c>
      <c r="F502">
        <v>47.56</v>
      </c>
      <c r="G502">
        <v>23.78</v>
      </c>
    </row>
    <row r="503" spans="1:7" x14ac:dyDescent="0.3">
      <c r="A503" t="s">
        <v>568</v>
      </c>
      <c r="B503">
        <v>17119</v>
      </c>
      <c r="C503" t="s">
        <v>4244</v>
      </c>
      <c r="D503" t="s">
        <v>466</v>
      </c>
      <c r="E503">
        <v>2</v>
      </c>
      <c r="F503">
        <v>19.079999999999998</v>
      </c>
      <c r="G503">
        <v>9.5399999999999991</v>
      </c>
    </row>
    <row r="504" spans="1:7" x14ac:dyDescent="0.3">
      <c r="A504" t="s">
        <v>568</v>
      </c>
      <c r="B504">
        <v>18179</v>
      </c>
      <c r="C504" t="s">
        <v>3995</v>
      </c>
      <c r="D504" t="s">
        <v>466</v>
      </c>
      <c r="E504">
        <v>4</v>
      </c>
      <c r="F504">
        <v>465.64</v>
      </c>
      <c r="G504">
        <v>116.41</v>
      </c>
    </row>
    <row r="505" spans="1:7" x14ac:dyDescent="0.3">
      <c r="A505" t="s">
        <v>568</v>
      </c>
      <c r="B505">
        <v>18172</v>
      </c>
      <c r="C505" t="s">
        <v>3923</v>
      </c>
      <c r="D505" t="s">
        <v>466</v>
      </c>
      <c r="E505">
        <v>24</v>
      </c>
      <c r="F505">
        <v>578.58000000000004</v>
      </c>
      <c r="G505">
        <v>24.11</v>
      </c>
    </row>
    <row r="506" spans="1:7" x14ac:dyDescent="0.3">
      <c r="A506" t="s">
        <v>568</v>
      </c>
      <c r="B506">
        <v>27281</v>
      </c>
      <c r="C506" t="s">
        <v>4298</v>
      </c>
      <c r="D506" t="s">
        <v>465</v>
      </c>
      <c r="E506">
        <v>10</v>
      </c>
      <c r="F506">
        <v>600</v>
      </c>
      <c r="G506">
        <v>60</v>
      </c>
    </row>
    <row r="507" spans="1:7" x14ac:dyDescent="0.3">
      <c r="A507" t="s">
        <v>568</v>
      </c>
      <c r="B507">
        <v>19787</v>
      </c>
      <c r="C507" t="s">
        <v>3940</v>
      </c>
      <c r="D507" t="s">
        <v>465</v>
      </c>
      <c r="E507">
        <v>37.700000000000003</v>
      </c>
      <c r="F507">
        <v>224.19</v>
      </c>
      <c r="G507">
        <v>5.95</v>
      </c>
    </row>
    <row r="508" spans="1:7" x14ac:dyDescent="0.3">
      <c r="A508" t="s">
        <v>568</v>
      </c>
      <c r="B508">
        <v>27475</v>
      </c>
      <c r="C508" t="s">
        <v>4162</v>
      </c>
      <c r="D508" t="s">
        <v>465</v>
      </c>
      <c r="E508">
        <v>2</v>
      </c>
      <c r="F508">
        <v>33.799999999999997</v>
      </c>
      <c r="G508">
        <v>16.899999999999999</v>
      </c>
    </row>
    <row r="509" spans="1:7" x14ac:dyDescent="0.3">
      <c r="A509" t="s">
        <v>568</v>
      </c>
      <c r="B509">
        <v>21093</v>
      </c>
      <c r="C509" t="s">
        <v>3903</v>
      </c>
      <c r="D509" t="s">
        <v>465</v>
      </c>
      <c r="E509">
        <v>20</v>
      </c>
      <c r="F509">
        <v>87.8</v>
      </c>
      <c r="G509">
        <v>4.3899999999999997</v>
      </c>
    </row>
    <row r="510" spans="1:7" x14ac:dyDescent="0.3">
      <c r="A510" t="s">
        <v>568</v>
      </c>
      <c r="B510">
        <v>19458</v>
      </c>
      <c r="C510" t="s">
        <v>4212</v>
      </c>
      <c r="D510" t="s">
        <v>465</v>
      </c>
      <c r="E510">
        <v>3.25</v>
      </c>
      <c r="F510">
        <v>53.3</v>
      </c>
      <c r="G510">
        <v>16.399999999999999</v>
      </c>
    </row>
    <row r="511" spans="1:7" x14ac:dyDescent="0.3">
      <c r="A511" t="s">
        <v>568</v>
      </c>
      <c r="B511">
        <v>24006</v>
      </c>
      <c r="C511" t="s">
        <v>4177</v>
      </c>
      <c r="D511" t="s">
        <v>465</v>
      </c>
      <c r="E511">
        <v>31</v>
      </c>
      <c r="F511">
        <v>740.9</v>
      </c>
      <c r="G511">
        <v>23.9</v>
      </c>
    </row>
    <row r="512" spans="1:7" x14ac:dyDescent="0.3">
      <c r="A512" t="s">
        <v>568</v>
      </c>
      <c r="B512">
        <v>17955</v>
      </c>
      <c r="C512" t="s">
        <v>4190</v>
      </c>
      <c r="D512" t="s">
        <v>465</v>
      </c>
      <c r="E512">
        <v>6</v>
      </c>
      <c r="F512">
        <v>90</v>
      </c>
      <c r="G512">
        <v>15</v>
      </c>
    </row>
    <row r="513" spans="1:7" x14ac:dyDescent="0.3">
      <c r="A513" t="s">
        <v>568</v>
      </c>
      <c r="B513">
        <v>17969</v>
      </c>
      <c r="C513" t="s">
        <v>4175</v>
      </c>
      <c r="D513" t="s">
        <v>465</v>
      </c>
      <c r="E513">
        <v>40</v>
      </c>
      <c r="F513">
        <v>908</v>
      </c>
      <c r="G513">
        <v>22.7</v>
      </c>
    </row>
    <row r="514" spans="1:7" x14ac:dyDescent="0.3">
      <c r="A514" t="s">
        <v>568</v>
      </c>
      <c r="B514">
        <v>17314</v>
      </c>
      <c r="C514" t="s">
        <v>4204</v>
      </c>
      <c r="D514" t="s">
        <v>465</v>
      </c>
      <c r="E514">
        <v>9</v>
      </c>
      <c r="F514">
        <v>53.01</v>
      </c>
      <c r="G514">
        <v>5.89</v>
      </c>
    </row>
    <row r="515" spans="1:7" x14ac:dyDescent="0.3">
      <c r="A515" t="s">
        <v>568</v>
      </c>
      <c r="B515">
        <v>18006</v>
      </c>
      <c r="C515" t="s">
        <v>4138</v>
      </c>
      <c r="D515" t="s">
        <v>465</v>
      </c>
      <c r="E515">
        <v>20</v>
      </c>
      <c r="F515">
        <v>592.79999999999995</v>
      </c>
      <c r="G515">
        <v>29.64</v>
      </c>
    </row>
    <row r="516" spans="1:7" x14ac:dyDescent="0.3">
      <c r="A516" t="s">
        <v>568</v>
      </c>
      <c r="B516">
        <v>18004</v>
      </c>
      <c r="C516" t="s">
        <v>4140</v>
      </c>
      <c r="D516" t="s">
        <v>465</v>
      </c>
      <c r="E516">
        <v>2</v>
      </c>
      <c r="F516">
        <v>59.28</v>
      </c>
      <c r="G516">
        <v>29.64</v>
      </c>
    </row>
    <row r="517" spans="1:7" x14ac:dyDescent="0.3">
      <c r="A517" t="s">
        <v>568</v>
      </c>
      <c r="B517">
        <v>20757</v>
      </c>
      <c r="C517" t="s">
        <v>4050</v>
      </c>
      <c r="D517" t="s">
        <v>465</v>
      </c>
      <c r="E517">
        <v>1</v>
      </c>
      <c r="F517">
        <v>77.8</v>
      </c>
      <c r="G517">
        <v>77.8</v>
      </c>
    </row>
    <row r="518" spans="1:7" x14ac:dyDescent="0.3">
      <c r="A518" t="s">
        <v>568</v>
      </c>
      <c r="B518">
        <v>17266</v>
      </c>
      <c r="C518" t="s">
        <v>4229</v>
      </c>
      <c r="D518" t="s">
        <v>465</v>
      </c>
      <c r="E518">
        <v>24</v>
      </c>
      <c r="F518">
        <v>114.48</v>
      </c>
      <c r="G518">
        <v>4.7699999999999996</v>
      </c>
    </row>
    <row r="519" spans="1:7" x14ac:dyDescent="0.3">
      <c r="A519" t="s">
        <v>568</v>
      </c>
      <c r="B519">
        <v>19506</v>
      </c>
      <c r="C519" t="s">
        <v>4112</v>
      </c>
      <c r="D519" t="s">
        <v>465</v>
      </c>
      <c r="E519">
        <v>1.9</v>
      </c>
      <c r="F519">
        <v>98.15</v>
      </c>
      <c r="G519">
        <v>51.66</v>
      </c>
    </row>
    <row r="520" spans="1:7" x14ac:dyDescent="0.3">
      <c r="A520" t="s">
        <v>568</v>
      </c>
      <c r="B520">
        <v>19505</v>
      </c>
      <c r="C520" t="s">
        <v>4101</v>
      </c>
      <c r="D520" t="s">
        <v>465</v>
      </c>
      <c r="E520">
        <v>9</v>
      </c>
      <c r="F520">
        <v>91.45</v>
      </c>
      <c r="G520">
        <v>10.16</v>
      </c>
    </row>
    <row r="521" spans="1:7" x14ac:dyDescent="0.3">
      <c r="A521" t="s">
        <v>568</v>
      </c>
      <c r="B521">
        <v>23142</v>
      </c>
      <c r="C521" t="s">
        <v>4151</v>
      </c>
      <c r="D521" t="s">
        <v>465</v>
      </c>
      <c r="E521">
        <v>9</v>
      </c>
      <c r="F521">
        <v>185.17</v>
      </c>
      <c r="G521">
        <v>20.57</v>
      </c>
    </row>
    <row r="522" spans="1:7" x14ac:dyDescent="0.3">
      <c r="A522" t="s">
        <v>568</v>
      </c>
      <c r="B522">
        <v>19498</v>
      </c>
      <c r="C522" t="s">
        <v>4065</v>
      </c>
      <c r="D522" t="s">
        <v>465</v>
      </c>
      <c r="E522">
        <v>9.3000000000000007</v>
      </c>
      <c r="F522">
        <v>121.17</v>
      </c>
      <c r="G522">
        <v>13.03</v>
      </c>
    </row>
    <row r="523" spans="1:7" x14ac:dyDescent="0.3">
      <c r="A523" t="s">
        <v>568</v>
      </c>
      <c r="B523">
        <v>19652</v>
      </c>
      <c r="C523" t="s">
        <v>4014</v>
      </c>
      <c r="D523" t="s">
        <v>465</v>
      </c>
      <c r="E523">
        <v>5.0999999999999996</v>
      </c>
      <c r="F523">
        <v>102.68</v>
      </c>
      <c r="G523">
        <v>20.13</v>
      </c>
    </row>
    <row r="524" spans="1:7" x14ac:dyDescent="0.3">
      <c r="A524" t="s">
        <v>568</v>
      </c>
      <c r="B524">
        <v>19647</v>
      </c>
      <c r="C524" t="s">
        <v>4066</v>
      </c>
      <c r="D524" t="s">
        <v>465</v>
      </c>
      <c r="E524">
        <v>6.04</v>
      </c>
      <c r="F524">
        <v>94.7</v>
      </c>
      <c r="G524">
        <v>15.68</v>
      </c>
    </row>
    <row r="525" spans="1:7" x14ac:dyDescent="0.3">
      <c r="A525" t="s">
        <v>568</v>
      </c>
      <c r="B525">
        <v>24037</v>
      </c>
      <c r="C525" t="s">
        <v>4104</v>
      </c>
      <c r="D525" t="s">
        <v>465</v>
      </c>
      <c r="E525">
        <v>18</v>
      </c>
      <c r="F525">
        <v>319.94</v>
      </c>
      <c r="G525">
        <v>17.77</v>
      </c>
    </row>
    <row r="526" spans="1:7" x14ac:dyDescent="0.3">
      <c r="A526" t="s">
        <v>568</v>
      </c>
      <c r="B526">
        <v>18538</v>
      </c>
      <c r="C526" t="s">
        <v>4026</v>
      </c>
      <c r="D526" t="s">
        <v>465</v>
      </c>
      <c r="E526">
        <v>7</v>
      </c>
      <c r="F526">
        <v>727.16</v>
      </c>
      <c r="G526">
        <v>103.88</v>
      </c>
    </row>
    <row r="527" spans="1:7" x14ac:dyDescent="0.3">
      <c r="A527" t="s">
        <v>568</v>
      </c>
      <c r="B527">
        <v>27210</v>
      </c>
      <c r="C527" t="s">
        <v>4189</v>
      </c>
      <c r="D527" t="s">
        <v>465</v>
      </c>
      <c r="E527">
        <v>7</v>
      </c>
      <c r="F527">
        <v>293.3</v>
      </c>
      <c r="G527">
        <v>41.9</v>
      </c>
    </row>
    <row r="528" spans="1:7" x14ac:dyDescent="0.3">
      <c r="A528" t="s">
        <v>568</v>
      </c>
      <c r="B528">
        <v>20301</v>
      </c>
      <c r="C528" t="s">
        <v>4161</v>
      </c>
      <c r="D528" t="s">
        <v>465</v>
      </c>
      <c r="E528">
        <v>18</v>
      </c>
      <c r="F528">
        <v>378</v>
      </c>
      <c r="G528">
        <v>21</v>
      </c>
    </row>
    <row r="529" spans="1:7" x14ac:dyDescent="0.3">
      <c r="A529" t="s">
        <v>568</v>
      </c>
      <c r="B529">
        <v>21783</v>
      </c>
      <c r="C529" t="s">
        <v>4228</v>
      </c>
      <c r="D529" t="s">
        <v>465</v>
      </c>
      <c r="E529">
        <v>8</v>
      </c>
      <c r="F529">
        <v>128</v>
      </c>
      <c r="G529">
        <v>16</v>
      </c>
    </row>
    <row r="530" spans="1:7" x14ac:dyDescent="0.3">
      <c r="A530" t="s">
        <v>568</v>
      </c>
      <c r="B530">
        <v>21030</v>
      </c>
      <c r="C530" t="s">
        <v>3890</v>
      </c>
      <c r="D530" t="s">
        <v>465</v>
      </c>
      <c r="E530">
        <v>6</v>
      </c>
      <c r="F530">
        <v>119.4</v>
      </c>
      <c r="G530">
        <v>19.899999999999999</v>
      </c>
    </row>
    <row r="531" spans="1:7" x14ac:dyDescent="0.3">
      <c r="A531" t="s">
        <v>568</v>
      </c>
      <c r="B531">
        <v>20752</v>
      </c>
      <c r="C531" t="s">
        <v>3964</v>
      </c>
      <c r="D531" t="s">
        <v>465</v>
      </c>
      <c r="E531">
        <v>6</v>
      </c>
      <c r="F531">
        <v>653.26</v>
      </c>
      <c r="G531">
        <v>108.88</v>
      </c>
    </row>
    <row r="532" spans="1:7" x14ac:dyDescent="0.3">
      <c r="A532" t="s">
        <v>568</v>
      </c>
      <c r="B532">
        <v>20729</v>
      </c>
      <c r="C532" t="s">
        <v>3965</v>
      </c>
      <c r="D532" t="s">
        <v>465</v>
      </c>
      <c r="E532">
        <v>16</v>
      </c>
      <c r="F532">
        <v>1086.08</v>
      </c>
      <c r="G532">
        <v>67.88</v>
      </c>
    </row>
    <row r="533" spans="1:7" x14ac:dyDescent="0.3">
      <c r="A533" t="s">
        <v>568</v>
      </c>
      <c r="B533">
        <v>22734</v>
      </c>
      <c r="C533" t="s">
        <v>3955</v>
      </c>
      <c r="D533" t="s">
        <v>465</v>
      </c>
      <c r="E533">
        <v>41</v>
      </c>
      <c r="F533">
        <v>4059</v>
      </c>
      <c r="G533">
        <v>99</v>
      </c>
    </row>
    <row r="534" spans="1:7" x14ac:dyDescent="0.3">
      <c r="A534" t="s">
        <v>568</v>
      </c>
      <c r="B534">
        <v>24072</v>
      </c>
      <c r="C534" t="s">
        <v>4002</v>
      </c>
      <c r="D534" t="s">
        <v>465</v>
      </c>
      <c r="E534">
        <v>9.5</v>
      </c>
      <c r="F534">
        <v>2090</v>
      </c>
      <c r="G534">
        <v>220</v>
      </c>
    </row>
    <row r="535" spans="1:7" x14ac:dyDescent="0.3">
      <c r="A535" t="s">
        <v>568</v>
      </c>
      <c r="B535">
        <v>22721</v>
      </c>
      <c r="C535" t="s">
        <v>4221</v>
      </c>
      <c r="D535" t="s">
        <v>465</v>
      </c>
      <c r="E535">
        <v>8.68</v>
      </c>
      <c r="F535">
        <v>256.06</v>
      </c>
      <c r="G535">
        <v>29.5</v>
      </c>
    </row>
    <row r="536" spans="1:7" x14ac:dyDescent="0.3">
      <c r="A536" t="s">
        <v>568</v>
      </c>
      <c r="B536">
        <v>23389</v>
      </c>
      <c r="C536" t="s">
        <v>4016</v>
      </c>
      <c r="D536" t="s">
        <v>465</v>
      </c>
      <c r="E536">
        <v>42.7</v>
      </c>
      <c r="F536">
        <v>214.69</v>
      </c>
      <c r="G536">
        <v>5.03</v>
      </c>
    </row>
    <row r="537" spans="1:7" x14ac:dyDescent="0.3">
      <c r="A537" t="s">
        <v>568</v>
      </c>
      <c r="B537">
        <v>28559</v>
      </c>
      <c r="C537" t="s">
        <v>4301</v>
      </c>
      <c r="D537" t="s">
        <v>465</v>
      </c>
      <c r="E537">
        <v>2</v>
      </c>
      <c r="F537">
        <v>431.88</v>
      </c>
      <c r="G537">
        <v>215.94</v>
      </c>
    </row>
    <row r="538" spans="1:7" x14ac:dyDescent="0.3">
      <c r="A538" t="s">
        <v>568</v>
      </c>
      <c r="B538">
        <v>28226</v>
      </c>
      <c r="C538" t="s">
        <v>4300</v>
      </c>
      <c r="D538" t="s">
        <v>465</v>
      </c>
      <c r="E538">
        <v>15</v>
      </c>
      <c r="F538">
        <v>134.85</v>
      </c>
      <c r="G538">
        <v>8.99</v>
      </c>
    </row>
    <row r="539" spans="1:7" x14ac:dyDescent="0.3">
      <c r="A539" t="s">
        <v>568</v>
      </c>
      <c r="B539">
        <v>24083</v>
      </c>
      <c r="C539" t="s">
        <v>3898</v>
      </c>
      <c r="D539" t="s">
        <v>465</v>
      </c>
      <c r="E539">
        <v>160.44999999999999</v>
      </c>
      <c r="F539">
        <v>1187.8499999999999</v>
      </c>
      <c r="G539">
        <v>7.4</v>
      </c>
    </row>
    <row r="540" spans="1:7" x14ac:dyDescent="0.3">
      <c r="A540" t="s">
        <v>568</v>
      </c>
      <c r="B540">
        <v>20278</v>
      </c>
      <c r="C540" t="s">
        <v>3939</v>
      </c>
      <c r="D540" t="s">
        <v>465</v>
      </c>
      <c r="E540">
        <v>24</v>
      </c>
      <c r="F540">
        <v>627.6</v>
      </c>
      <c r="G540">
        <v>26.15</v>
      </c>
    </row>
    <row r="541" spans="1:7" x14ac:dyDescent="0.3">
      <c r="A541" t="s">
        <v>568</v>
      </c>
      <c r="B541">
        <v>19642</v>
      </c>
      <c r="C541" t="s">
        <v>4067</v>
      </c>
      <c r="D541" t="s">
        <v>465</v>
      </c>
      <c r="E541">
        <v>5.45</v>
      </c>
      <c r="F541">
        <v>30.3</v>
      </c>
      <c r="G541">
        <v>5.56</v>
      </c>
    </row>
    <row r="542" spans="1:7" x14ac:dyDescent="0.3">
      <c r="A542" t="s">
        <v>568</v>
      </c>
      <c r="B542">
        <v>20287</v>
      </c>
      <c r="C542" t="s">
        <v>4053</v>
      </c>
      <c r="D542" t="s">
        <v>465</v>
      </c>
      <c r="E542">
        <v>2</v>
      </c>
      <c r="F542">
        <v>49.98</v>
      </c>
      <c r="G542">
        <v>24.99</v>
      </c>
    </row>
    <row r="543" spans="1:7" x14ac:dyDescent="0.3">
      <c r="A543" t="s">
        <v>568</v>
      </c>
      <c r="B543">
        <v>19634</v>
      </c>
      <c r="C543" t="s">
        <v>4068</v>
      </c>
      <c r="D543" t="s">
        <v>465</v>
      </c>
      <c r="E543">
        <v>6</v>
      </c>
      <c r="F543">
        <v>46.04</v>
      </c>
      <c r="G543">
        <v>7.67</v>
      </c>
    </row>
    <row r="544" spans="1:7" x14ac:dyDescent="0.3">
      <c r="A544" t="s">
        <v>568</v>
      </c>
      <c r="B544">
        <v>18696</v>
      </c>
      <c r="C544" t="s">
        <v>3956</v>
      </c>
      <c r="D544" t="s">
        <v>465</v>
      </c>
      <c r="E544">
        <v>5.7</v>
      </c>
      <c r="F544">
        <v>113.94</v>
      </c>
      <c r="G544">
        <v>19.989999999999998</v>
      </c>
    </row>
    <row r="545" spans="1:7" x14ac:dyDescent="0.3">
      <c r="A545" t="s">
        <v>568</v>
      </c>
      <c r="B545">
        <v>17381</v>
      </c>
      <c r="C545" t="s">
        <v>4247</v>
      </c>
      <c r="D545" t="s">
        <v>465</v>
      </c>
      <c r="E545">
        <v>4</v>
      </c>
      <c r="F545">
        <v>155.56</v>
      </c>
      <c r="G545">
        <v>38.89</v>
      </c>
    </row>
    <row r="546" spans="1:7" x14ac:dyDescent="0.3">
      <c r="A546" t="s">
        <v>568</v>
      </c>
      <c r="B546">
        <v>17573</v>
      </c>
      <c r="C546" t="s">
        <v>4306</v>
      </c>
      <c r="D546" t="s">
        <v>465</v>
      </c>
      <c r="E546">
        <v>3</v>
      </c>
      <c r="F546">
        <v>224.7</v>
      </c>
      <c r="G546">
        <v>74.900000000000006</v>
      </c>
    </row>
    <row r="547" spans="1:7" x14ac:dyDescent="0.3">
      <c r="A547" t="s">
        <v>568</v>
      </c>
      <c r="B547">
        <v>19494</v>
      </c>
      <c r="C547" t="s">
        <v>4126</v>
      </c>
      <c r="D547" t="s">
        <v>465</v>
      </c>
      <c r="E547">
        <v>9</v>
      </c>
      <c r="F547">
        <v>151</v>
      </c>
      <c r="G547">
        <v>16.78</v>
      </c>
    </row>
    <row r="548" spans="1:7" x14ac:dyDescent="0.3">
      <c r="A548" t="s">
        <v>568</v>
      </c>
      <c r="B548">
        <v>18475</v>
      </c>
      <c r="C548" t="s">
        <v>3918</v>
      </c>
      <c r="D548" t="s">
        <v>465</v>
      </c>
      <c r="E548">
        <v>12</v>
      </c>
      <c r="F548">
        <v>394.8</v>
      </c>
      <c r="G548">
        <v>32.9</v>
      </c>
    </row>
    <row r="549" spans="1:7" x14ac:dyDescent="0.3">
      <c r="A549" t="s">
        <v>568</v>
      </c>
      <c r="B549">
        <v>18467</v>
      </c>
      <c r="C549" t="s">
        <v>4028</v>
      </c>
      <c r="D549" t="s">
        <v>465</v>
      </c>
      <c r="E549">
        <v>2</v>
      </c>
      <c r="F549">
        <v>153.6</v>
      </c>
      <c r="G549">
        <v>76.8</v>
      </c>
    </row>
    <row r="550" spans="1:7" x14ac:dyDescent="0.3">
      <c r="A550" t="s">
        <v>568</v>
      </c>
      <c r="B550">
        <v>16974</v>
      </c>
      <c r="C550" t="s">
        <v>3996</v>
      </c>
      <c r="D550" t="s">
        <v>465</v>
      </c>
      <c r="E550">
        <v>24</v>
      </c>
      <c r="F550">
        <v>3240</v>
      </c>
      <c r="G550">
        <v>135</v>
      </c>
    </row>
    <row r="551" spans="1:7" x14ac:dyDescent="0.3">
      <c r="A551" t="s">
        <v>568</v>
      </c>
      <c r="B551">
        <v>20809</v>
      </c>
      <c r="C551" t="s">
        <v>4005</v>
      </c>
      <c r="D551" t="s">
        <v>465</v>
      </c>
      <c r="E551">
        <v>8</v>
      </c>
      <c r="F551">
        <v>239.2</v>
      </c>
      <c r="G551">
        <v>29.9</v>
      </c>
    </row>
    <row r="552" spans="1:7" x14ac:dyDescent="0.3">
      <c r="A552" t="s">
        <v>568</v>
      </c>
      <c r="B552">
        <v>20077</v>
      </c>
      <c r="C552" t="s">
        <v>4054</v>
      </c>
      <c r="D552" t="s">
        <v>465</v>
      </c>
      <c r="E552">
        <v>3</v>
      </c>
      <c r="F552">
        <v>52.8</v>
      </c>
      <c r="G552">
        <v>17.600000000000001</v>
      </c>
    </row>
    <row r="553" spans="1:7" x14ac:dyDescent="0.3">
      <c r="A553" t="s">
        <v>568</v>
      </c>
      <c r="B553">
        <v>19773</v>
      </c>
      <c r="C553" t="s">
        <v>4168</v>
      </c>
      <c r="D553" t="s">
        <v>465</v>
      </c>
      <c r="E553">
        <v>2</v>
      </c>
      <c r="F553">
        <v>30</v>
      </c>
      <c r="G553">
        <v>15</v>
      </c>
    </row>
    <row r="554" spans="1:7" x14ac:dyDescent="0.3">
      <c r="A554" t="s">
        <v>568</v>
      </c>
      <c r="B554">
        <v>24116</v>
      </c>
      <c r="C554" t="s">
        <v>3963</v>
      </c>
      <c r="D554" t="s">
        <v>465</v>
      </c>
      <c r="E554">
        <v>15</v>
      </c>
      <c r="F554">
        <v>638.5</v>
      </c>
      <c r="G554">
        <v>42.57</v>
      </c>
    </row>
    <row r="555" spans="1:7" x14ac:dyDescent="0.3">
      <c r="A555" t="s">
        <v>568</v>
      </c>
      <c r="B555">
        <v>24509</v>
      </c>
      <c r="C555" t="s">
        <v>3906</v>
      </c>
      <c r="D555" t="s">
        <v>465</v>
      </c>
      <c r="E555">
        <v>72.349999999999994</v>
      </c>
      <c r="F555">
        <v>346.4</v>
      </c>
      <c r="G555">
        <v>4.79</v>
      </c>
    </row>
    <row r="556" spans="1:7" x14ac:dyDescent="0.3">
      <c r="A556" t="s">
        <v>568</v>
      </c>
      <c r="B556">
        <v>19623</v>
      </c>
      <c r="C556" t="s">
        <v>3984</v>
      </c>
      <c r="D556" t="s">
        <v>465</v>
      </c>
      <c r="E556">
        <v>11</v>
      </c>
      <c r="F556">
        <v>63.85</v>
      </c>
      <c r="G556">
        <v>5.8</v>
      </c>
    </row>
    <row r="557" spans="1:7" x14ac:dyDescent="0.3">
      <c r="A557" t="s">
        <v>568</v>
      </c>
      <c r="B557">
        <v>20717</v>
      </c>
      <c r="C557" t="s">
        <v>4055</v>
      </c>
      <c r="D557" t="s">
        <v>465</v>
      </c>
      <c r="E557">
        <v>1</v>
      </c>
      <c r="F557">
        <v>44.98</v>
      </c>
      <c r="G557">
        <v>44.98</v>
      </c>
    </row>
    <row r="558" spans="1:7" x14ac:dyDescent="0.3">
      <c r="A558" t="s">
        <v>568</v>
      </c>
      <c r="B558">
        <v>19488</v>
      </c>
      <c r="C558" t="s">
        <v>4070</v>
      </c>
      <c r="D558" t="s">
        <v>465</v>
      </c>
      <c r="E558">
        <v>2.5</v>
      </c>
      <c r="F558">
        <v>34.450000000000003</v>
      </c>
      <c r="G558">
        <v>13.78</v>
      </c>
    </row>
    <row r="559" spans="1:7" x14ac:dyDescent="0.3">
      <c r="A559" t="s">
        <v>568</v>
      </c>
      <c r="B559">
        <v>19621</v>
      </c>
      <c r="C559" t="s">
        <v>4125</v>
      </c>
      <c r="D559" t="s">
        <v>465</v>
      </c>
      <c r="E559">
        <v>6.5</v>
      </c>
      <c r="F559">
        <v>52.83</v>
      </c>
      <c r="G559">
        <v>8.1300000000000008</v>
      </c>
    </row>
    <row r="560" spans="1:7" x14ac:dyDescent="0.3">
      <c r="A560" t="s">
        <v>568</v>
      </c>
      <c r="B560">
        <v>25561</v>
      </c>
      <c r="C560" t="s">
        <v>4296</v>
      </c>
      <c r="D560" t="s">
        <v>465</v>
      </c>
      <c r="E560">
        <v>22</v>
      </c>
      <c r="F560">
        <v>2904</v>
      </c>
      <c r="G560">
        <v>132</v>
      </c>
    </row>
    <row r="561" spans="1:7" x14ac:dyDescent="0.3">
      <c r="A561" t="s">
        <v>568</v>
      </c>
      <c r="B561">
        <v>18594</v>
      </c>
      <c r="C561" t="s">
        <v>4147</v>
      </c>
      <c r="D561" t="s">
        <v>465</v>
      </c>
      <c r="E561">
        <v>2</v>
      </c>
      <c r="F561">
        <v>207.98</v>
      </c>
      <c r="G561">
        <v>103.99</v>
      </c>
    </row>
    <row r="562" spans="1:7" x14ac:dyDescent="0.3">
      <c r="A562" t="s">
        <v>568</v>
      </c>
      <c r="B562">
        <v>18640</v>
      </c>
      <c r="C562" t="s">
        <v>3994</v>
      </c>
      <c r="D562" t="s">
        <v>465</v>
      </c>
      <c r="E562">
        <v>7</v>
      </c>
      <c r="F562">
        <v>2142</v>
      </c>
      <c r="G562">
        <v>306</v>
      </c>
    </row>
    <row r="563" spans="1:7" x14ac:dyDescent="0.3">
      <c r="A563" t="s">
        <v>568</v>
      </c>
      <c r="B563">
        <v>18636</v>
      </c>
      <c r="C563" t="s">
        <v>3921</v>
      </c>
      <c r="D563" t="s">
        <v>465</v>
      </c>
      <c r="E563">
        <v>54</v>
      </c>
      <c r="F563">
        <v>26071.200000000001</v>
      </c>
      <c r="G563">
        <v>482.8</v>
      </c>
    </row>
    <row r="564" spans="1:7" x14ac:dyDescent="0.3">
      <c r="A564" t="s">
        <v>568</v>
      </c>
      <c r="B564">
        <v>28760</v>
      </c>
      <c r="C564" t="s">
        <v>4188</v>
      </c>
      <c r="D564" t="s">
        <v>465</v>
      </c>
      <c r="E564">
        <v>14.8</v>
      </c>
      <c r="F564">
        <v>1021.2</v>
      </c>
      <c r="G564">
        <v>69</v>
      </c>
    </row>
    <row r="565" spans="1:7" x14ac:dyDescent="0.3">
      <c r="A565" t="s">
        <v>568</v>
      </c>
      <c r="B565">
        <v>22857</v>
      </c>
      <c r="C565" t="s">
        <v>4130</v>
      </c>
      <c r="D565" t="s">
        <v>465</v>
      </c>
      <c r="E565">
        <v>51.41</v>
      </c>
      <c r="F565">
        <v>3338.08</v>
      </c>
      <c r="G565">
        <v>64.930000000000007</v>
      </c>
    </row>
    <row r="566" spans="1:7" x14ac:dyDescent="0.3">
      <c r="A566" t="s">
        <v>568</v>
      </c>
      <c r="B566">
        <v>24602</v>
      </c>
      <c r="C566" t="s">
        <v>4186</v>
      </c>
      <c r="D566" t="s">
        <v>465</v>
      </c>
      <c r="E566">
        <v>45</v>
      </c>
      <c r="F566">
        <v>477</v>
      </c>
      <c r="G566">
        <v>10.6</v>
      </c>
    </row>
    <row r="567" spans="1:7" x14ac:dyDescent="0.3">
      <c r="A567" t="s">
        <v>568</v>
      </c>
      <c r="B567">
        <v>19617</v>
      </c>
      <c r="C567" t="s">
        <v>4110</v>
      </c>
      <c r="D567" t="s">
        <v>465</v>
      </c>
      <c r="E567">
        <v>2.2999999999999998</v>
      </c>
      <c r="F567">
        <v>66</v>
      </c>
      <c r="G567">
        <v>28.7</v>
      </c>
    </row>
    <row r="568" spans="1:7" x14ac:dyDescent="0.3">
      <c r="A568" t="s">
        <v>568</v>
      </c>
      <c r="B568">
        <v>20702</v>
      </c>
      <c r="C568" t="s">
        <v>4006</v>
      </c>
      <c r="D568" t="s">
        <v>465</v>
      </c>
      <c r="E568">
        <v>1</v>
      </c>
      <c r="F568">
        <v>42.9</v>
      </c>
      <c r="G568">
        <v>42.9</v>
      </c>
    </row>
    <row r="569" spans="1:7" x14ac:dyDescent="0.3">
      <c r="A569" t="s">
        <v>568</v>
      </c>
      <c r="B569">
        <v>24185</v>
      </c>
      <c r="C569" t="s">
        <v>4040</v>
      </c>
      <c r="D569" t="s">
        <v>465</v>
      </c>
      <c r="E569">
        <v>4</v>
      </c>
      <c r="F569">
        <v>92.8</v>
      </c>
      <c r="G569">
        <v>23.2</v>
      </c>
    </row>
    <row r="570" spans="1:7" x14ac:dyDescent="0.3">
      <c r="A570" t="s">
        <v>568</v>
      </c>
      <c r="B570">
        <v>20555</v>
      </c>
      <c r="C570" t="s">
        <v>3959</v>
      </c>
      <c r="D570" t="s">
        <v>465</v>
      </c>
      <c r="E570">
        <v>21.4</v>
      </c>
      <c r="F570">
        <v>1690.6</v>
      </c>
      <c r="G570">
        <v>79</v>
      </c>
    </row>
    <row r="571" spans="1:7" x14ac:dyDescent="0.3">
      <c r="A571" t="s">
        <v>568</v>
      </c>
      <c r="B571">
        <v>20549</v>
      </c>
      <c r="C571" t="s">
        <v>4007</v>
      </c>
      <c r="D571" t="s">
        <v>465</v>
      </c>
      <c r="E571">
        <v>26.19</v>
      </c>
      <c r="F571">
        <v>552.03</v>
      </c>
      <c r="G571">
        <v>21.08</v>
      </c>
    </row>
    <row r="572" spans="1:7" x14ac:dyDescent="0.3">
      <c r="A572" t="s">
        <v>568</v>
      </c>
      <c r="B572">
        <v>24550</v>
      </c>
      <c r="C572" t="s">
        <v>4270</v>
      </c>
      <c r="D572" t="s">
        <v>465</v>
      </c>
      <c r="E572">
        <v>120</v>
      </c>
      <c r="F572">
        <v>574.79999999999995</v>
      </c>
      <c r="G572">
        <v>4.79</v>
      </c>
    </row>
    <row r="573" spans="1:7" x14ac:dyDescent="0.3">
      <c r="A573" t="s">
        <v>568</v>
      </c>
      <c r="B573">
        <v>18595</v>
      </c>
      <c r="C573" t="s">
        <v>4297</v>
      </c>
      <c r="D573" t="s">
        <v>465</v>
      </c>
      <c r="E573">
        <v>40</v>
      </c>
      <c r="F573">
        <v>6019.2</v>
      </c>
      <c r="G573">
        <v>150.47999999999999</v>
      </c>
    </row>
    <row r="574" spans="1:7" x14ac:dyDescent="0.3">
      <c r="A574" t="s">
        <v>568</v>
      </c>
      <c r="B574">
        <v>18933</v>
      </c>
      <c r="C574" t="s">
        <v>3957</v>
      </c>
      <c r="D574" t="s">
        <v>465</v>
      </c>
      <c r="E574">
        <v>6.3</v>
      </c>
      <c r="F574">
        <v>182.07</v>
      </c>
      <c r="G574">
        <v>28.9</v>
      </c>
    </row>
    <row r="575" spans="1:7" x14ac:dyDescent="0.3">
      <c r="A575" t="s">
        <v>568</v>
      </c>
      <c r="B575">
        <v>24194</v>
      </c>
      <c r="C575" t="s">
        <v>4181</v>
      </c>
      <c r="D575" t="s">
        <v>465</v>
      </c>
      <c r="E575">
        <v>7.1</v>
      </c>
      <c r="F575">
        <v>298.2</v>
      </c>
      <c r="G575">
        <v>42</v>
      </c>
    </row>
    <row r="576" spans="1:7" x14ac:dyDescent="0.3">
      <c r="A576" t="s">
        <v>568</v>
      </c>
      <c r="B576">
        <v>24200</v>
      </c>
      <c r="C576" t="s">
        <v>3975</v>
      </c>
      <c r="D576" t="s">
        <v>465</v>
      </c>
      <c r="E576">
        <v>10.3</v>
      </c>
      <c r="F576">
        <v>338.87</v>
      </c>
      <c r="G576">
        <v>32.9</v>
      </c>
    </row>
    <row r="577" spans="1:7" x14ac:dyDescent="0.3">
      <c r="A577" t="s">
        <v>568</v>
      </c>
      <c r="B577">
        <v>23236</v>
      </c>
      <c r="C577" t="s">
        <v>4017</v>
      </c>
      <c r="D577" t="s">
        <v>465</v>
      </c>
      <c r="E577">
        <v>26</v>
      </c>
      <c r="F577">
        <v>259.47000000000003</v>
      </c>
      <c r="G577">
        <v>9.98</v>
      </c>
    </row>
    <row r="578" spans="1:7" x14ac:dyDescent="0.3">
      <c r="A578" t="s">
        <v>568</v>
      </c>
      <c r="B578">
        <v>19034</v>
      </c>
      <c r="C578" t="s">
        <v>3989</v>
      </c>
      <c r="D578" t="s">
        <v>465</v>
      </c>
      <c r="E578">
        <v>5.3</v>
      </c>
      <c r="F578">
        <v>47.7</v>
      </c>
      <c r="G578">
        <v>9</v>
      </c>
    </row>
    <row r="579" spans="1:7" x14ac:dyDescent="0.3">
      <c r="A579" t="s">
        <v>568</v>
      </c>
      <c r="B579">
        <v>24212</v>
      </c>
      <c r="C579" t="s">
        <v>4056</v>
      </c>
      <c r="D579" t="s">
        <v>465</v>
      </c>
      <c r="E579">
        <v>6</v>
      </c>
      <c r="F579">
        <v>77.2</v>
      </c>
      <c r="G579">
        <v>12.87</v>
      </c>
    </row>
    <row r="580" spans="1:7" x14ac:dyDescent="0.3">
      <c r="A580" t="s">
        <v>568</v>
      </c>
      <c r="B580">
        <v>20682</v>
      </c>
      <c r="C580" t="s">
        <v>3929</v>
      </c>
      <c r="D580" t="s">
        <v>465</v>
      </c>
      <c r="E580">
        <v>24</v>
      </c>
      <c r="F580">
        <v>225.6</v>
      </c>
      <c r="G580">
        <v>9.4</v>
      </c>
    </row>
    <row r="581" spans="1:7" x14ac:dyDescent="0.3">
      <c r="A581" t="s">
        <v>568</v>
      </c>
      <c r="B581">
        <v>20685</v>
      </c>
      <c r="C581" t="s">
        <v>4122</v>
      </c>
      <c r="D581" t="s">
        <v>465</v>
      </c>
      <c r="E581">
        <v>12</v>
      </c>
      <c r="F581">
        <v>42.96</v>
      </c>
      <c r="G581">
        <v>3.58</v>
      </c>
    </row>
    <row r="582" spans="1:7" x14ac:dyDescent="0.3">
      <c r="A582" t="s">
        <v>568</v>
      </c>
      <c r="B582">
        <v>17304</v>
      </c>
      <c r="C582" t="s">
        <v>4206</v>
      </c>
      <c r="D582" t="s">
        <v>465</v>
      </c>
      <c r="E582">
        <v>4</v>
      </c>
      <c r="F582">
        <v>26.36</v>
      </c>
      <c r="G582">
        <v>6.59</v>
      </c>
    </row>
    <row r="583" spans="1:7" x14ac:dyDescent="0.3">
      <c r="A583" t="s">
        <v>568</v>
      </c>
      <c r="B583">
        <v>17230</v>
      </c>
      <c r="C583" t="s">
        <v>4281</v>
      </c>
      <c r="D583" t="s">
        <v>465</v>
      </c>
      <c r="E583">
        <v>2</v>
      </c>
      <c r="F583">
        <v>77.78</v>
      </c>
      <c r="G583">
        <v>38.89</v>
      </c>
    </row>
    <row r="584" spans="1:7" x14ac:dyDescent="0.3">
      <c r="A584" t="s">
        <v>568</v>
      </c>
      <c r="B584">
        <v>17215</v>
      </c>
      <c r="C584" t="s">
        <v>4283</v>
      </c>
      <c r="D584" t="s">
        <v>465</v>
      </c>
      <c r="E584">
        <v>20</v>
      </c>
      <c r="F584">
        <v>379.9</v>
      </c>
      <c r="G584">
        <v>19</v>
      </c>
    </row>
    <row r="585" spans="1:7" x14ac:dyDescent="0.3">
      <c r="A585" t="s">
        <v>568</v>
      </c>
      <c r="B585">
        <v>17914</v>
      </c>
      <c r="C585" t="s">
        <v>3997</v>
      </c>
      <c r="D585" t="s">
        <v>465</v>
      </c>
      <c r="E585">
        <v>3</v>
      </c>
      <c r="F585">
        <v>96.72</v>
      </c>
      <c r="G585">
        <v>32.24</v>
      </c>
    </row>
    <row r="586" spans="1:7" x14ac:dyDescent="0.3">
      <c r="A586" t="s">
        <v>568</v>
      </c>
      <c r="B586">
        <v>17918</v>
      </c>
      <c r="C586" t="s">
        <v>4034</v>
      </c>
      <c r="D586" t="s">
        <v>465</v>
      </c>
      <c r="E586">
        <v>2</v>
      </c>
      <c r="F586">
        <v>86.4</v>
      </c>
      <c r="G586">
        <v>43.2</v>
      </c>
    </row>
    <row r="587" spans="1:7" x14ac:dyDescent="0.3">
      <c r="A587" t="s">
        <v>568</v>
      </c>
      <c r="B587">
        <v>17916</v>
      </c>
      <c r="C587" t="s">
        <v>4191</v>
      </c>
      <c r="D587" t="s">
        <v>465</v>
      </c>
      <c r="E587">
        <v>3</v>
      </c>
      <c r="F587">
        <v>86.4</v>
      </c>
      <c r="G587">
        <v>28.8</v>
      </c>
    </row>
    <row r="588" spans="1:7" x14ac:dyDescent="0.3">
      <c r="A588" t="s">
        <v>568</v>
      </c>
      <c r="B588">
        <v>28386</v>
      </c>
      <c r="C588" t="s">
        <v>4245</v>
      </c>
      <c r="D588" t="s">
        <v>465</v>
      </c>
      <c r="E588">
        <v>4</v>
      </c>
      <c r="F588">
        <v>166.68</v>
      </c>
      <c r="G588">
        <v>41.67</v>
      </c>
    </row>
    <row r="589" spans="1:7" x14ac:dyDescent="0.3">
      <c r="A589" t="s">
        <v>568</v>
      </c>
      <c r="B589">
        <v>23234</v>
      </c>
      <c r="C589" t="s">
        <v>4018</v>
      </c>
      <c r="D589" t="s">
        <v>465</v>
      </c>
      <c r="E589">
        <v>2</v>
      </c>
      <c r="F589">
        <v>50</v>
      </c>
      <c r="G589">
        <v>25</v>
      </c>
    </row>
    <row r="590" spans="1:7" x14ac:dyDescent="0.3">
      <c r="A590" t="s">
        <v>568</v>
      </c>
      <c r="B590">
        <v>25162</v>
      </c>
      <c r="C590" t="s">
        <v>4288</v>
      </c>
      <c r="D590" t="s">
        <v>465</v>
      </c>
      <c r="E590">
        <v>2</v>
      </c>
      <c r="F590">
        <v>13.6</v>
      </c>
      <c r="G590">
        <v>6.8</v>
      </c>
    </row>
    <row r="591" spans="1:7" x14ac:dyDescent="0.3">
      <c r="A591" t="s">
        <v>568</v>
      </c>
      <c r="B591">
        <v>24598</v>
      </c>
      <c r="C591" t="s">
        <v>4166</v>
      </c>
      <c r="D591" t="s">
        <v>465</v>
      </c>
      <c r="E591">
        <v>5</v>
      </c>
      <c r="F591">
        <v>72.510000000000005</v>
      </c>
      <c r="G591">
        <v>14.5</v>
      </c>
    </row>
    <row r="592" spans="1:7" x14ac:dyDescent="0.3">
      <c r="A592" t="s">
        <v>568</v>
      </c>
      <c r="B592">
        <v>17190</v>
      </c>
      <c r="C592" t="s">
        <v>4271</v>
      </c>
      <c r="D592" t="s">
        <v>465</v>
      </c>
      <c r="E592">
        <v>4</v>
      </c>
      <c r="F592">
        <v>32.4</v>
      </c>
      <c r="G592">
        <v>8.1</v>
      </c>
    </row>
    <row r="593" spans="1:7" x14ac:dyDescent="0.3">
      <c r="A593" t="s">
        <v>568</v>
      </c>
      <c r="B593">
        <v>18030</v>
      </c>
      <c r="C593" t="s">
        <v>4033</v>
      </c>
      <c r="D593" t="s">
        <v>465</v>
      </c>
      <c r="E593">
        <v>2</v>
      </c>
      <c r="F593">
        <v>56.1</v>
      </c>
      <c r="G593">
        <v>28.05</v>
      </c>
    </row>
    <row r="594" spans="1:7" x14ac:dyDescent="0.3">
      <c r="A594" t="s">
        <v>568</v>
      </c>
      <c r="B594">
        <v>17455</v>
      </c>
      <c r="C594" t="s">
        <v>4231</v>
      </c>
      <c r="D594" t="s">
        <v>465</v>
      </c>
      <c r="E594">
        <v>4</v>
      </c>
      <c r="F594">
        <v>141.08000000000001</v>
      </c>
      <c r="G594">
        <v>35.270000000000003</v>
      </c>
    </row>
    <row r="595" spans="1:7" x14ac:dyDescent="0.3">
      <c r="A595" t="s">
        <v>568</v>
      </c>
      <c r="B595">
        <v>26627</v>
      </c>
      <c r="C595" t="s">
        <v>4237</v>
      </c>
      <c r="D595" t="s">
        <v>465</v>
      </c>
      <c r="E595">
        <v>20</v>
      </c>
      <c r="F595">
        <v>158</v>
      </c>
      <c r="G595">
        <v>7.9</v>
      </c>
    </row>
    <row r="596" spans="1:7" x14ac:dyDescent="0.3">
      <c r="A596" t="s">
        <v>568</v>
      </c>
      <c r="B596">
        <v>20395</v>
      </c>
      <c r="C596" t="s">
        <v>4057</v>
      </c>
      <c r="D596" t="s">
        <v>465</v>
      </c>
      <c r="E596">
        <v>1</v>
      </c>
      <c r="F596">
        <v>27.1</v>
      </c>
      <c r="G596">
        <v>27.1</v>
      </c>
    </row>
    <row r="597" spans="1:7" x14ac:dyDescent="0.3">
      <c r="A597" t="s">
        <v>568</v>
      </c>
      <c r="B597">
        <v>25237</v>
      </c>
      <c r="C597" t="s">
        <v>4164</v>
      </c>
      <c r="D597" t="s">
        <v>465</v>
      </c>
      <c r="E597">
        <v>20</v>
      </c>
      <c r="F597">
        <v>105.8</v>
      </c>
      <c r="G597">
        <v>5.29</v>
      </c>
    </row>
    <row r="598" spans="1:7" x14ac:dyDescent="0.3">
      <c r="A598" t="s">
        <v>568</v>
      </c>
      <c r="B598">
        <v>20358</v>
      </c>
      <c r="C598" t="s">
        <v>3952</v>
      </c>
      <c r="D598" t="s">
        <v>465</v>
      </c>
      <c r="E598">
        <v>2</v>
      </c>
      <c r="F598">
        <v>28.5</v>
      </c>
      <c r="G598">
        <v>14.25</v>
      </c>
    </row>
    <row r="599" spans="1:7" x14ac:dyDescent="0.3">
      <c r="A599" t="s">
        <v>568</v>
      </c>
      <c r="B599">
        <v>20250</v>
      </c>
      <c r="C599" t="s">
        <v>4008</v>
      </c>
      <c r="D599" t="s">
        <v>465</v>
      </c>
      <c r="E599">
        <v>2</v>
      </c>
      <c r="F599">
        <v>85</v>
      </c>
      <c r="G599">
        <v>42.5</v>
      </c>
    </row>
    <row r="600" spans="1:7" x14ac:dyDescent="0.3">
      <c r="A600" t="s">
        <v>568</v>
      </c>
      <c r="B600">
        <v>20246</v>
      </c>
      <c r="C600" t="s">
        <v>3911</v>
      </c>
      <c r="D600" t="s">
        <v>465</v>
      </c>
      <c r="E600">
        <v>10</v>
      </c>
      <c r="F600">
        <v>97.9</v>
      </c>
      <c r="G600">
        <v>9.7899999999999991</v>
      </c>
    </row>
    <row r="601" spans="1:7" x14ac:dyDescent="0.3">
      <c r="A601" t="s">
        <v>568</v>
      </c>
      <c r="B601">
        <v>23635</v>
      </c>
      <c r="C601" t="s">
        <v>4102</v>
      </c>
      <c r="D601" t="s">
        <v>465</v>
      </c>
      <c r="E601">
        <v>2</v>
      </c>
      <c r="F601">
        <v>17</v>
      </c>
      <c r="G601">
        <v>8.5</v>
      </c>
    </row>
    <row r="602" spans="1:7" x14ac:dyDescent="0.3">
      <c r="A602" t="s">
        <v>568</v>
      </c>
      <c r="B602">
        <v>20227</v>
      </c>
      <c r="C602" t="s">
        <v>3968</v>
      </c>
      <c r="D602" t="s">
        <v>465</v>
      </c>
      <c r="E602">
        <v>20</v>
      </c>
      <c r="F602">
        <v>259</v>
      </c>
      <c r="G602">
        <v>12.95</v>
      </c>
    </row>
    <row r="603" spans="1:7" x14ac:dyDescent="0.3">
      <c r="A603" t="s">
        <v>568</v>
      </c>
      <c r="B603">
        <v>19017</v>
      </c>
      <c r="C603" t="s">
        <v>4172</v>
      </c>
      <c r="D603" t="s">
        <v>465</v>
      </c>
      <c r="E603">
        <v>12.1</v>
      </c>
      <c r="F603">
        <v>181.5</v>
      </c>
      <c r="G603">
        <v>15</v>
      </c>
    </row>
    <row r="604" spans="1:7" x14ac:dyDescent="0.3">
      <c r="A604" t="s">
        <v>568</v>
      </c>
      <c r="B604">
        <v>18764</v>
      </c>
      <c r="C604" t="s">
        <v>3907</v>
      </c>
      <c r="D604" t="s">
        <v>465</v>
      </c>
      <c r="E604">
        <v>13.7</v>
      </c>
      <c r="F604">
        <v>1095.8599999999999</v>
      </c>
      <c r="G604">
        <v>79.989999999999995</v>
      </c>
    </row>
    <row r="605" spans="1:7" x14ac:dyDescent="0.3">
      <c r="A605" t="s">
        <v>568</v>
      </c>
      <c r="B605">
        <v>24259</v>
      </c>
      <c r="C605" t="s">
        <v>3895</v>
      </c>
      <c r="D605" t="s">
        <v>465</v>
      </c>
      <c r="E605">
        <v>70.33</v>
      </c>
      <c r="F605">
        <v>5670.38</v>
      </c>
      <c r="G605">
        <v>80.63</v>
      </c>
    </row>
    <row r="606" spans="1:7" x14ac:dyDescent="0.3">
      <c r="A606" t="s">
        <v>568</v>
      </c>
      <c r="B606">
        <v>27901</v>
      </c>
      <c r="C606" t="s">
        <v>3942</v>
      </c>
      <c r="D606" t="s">
        <v>465</v>
      </c>
      <c r="E606">
        <v>10.199999999999999</v>
      </c>
      <c r="F606">
        <v>1213.8</v>
      </c>
      <c r="G606">
        <v>119</v>
      </c>
    </row>
    <row r="607" spans="1:7" x14ac:dyDescent="0.3">
      <c r="A607" t="s">
        <v>568</v>
      </c>
      <c r="B607">
        <v>17006</v>
      </c>
      <c r="C607" t="s">
        <v>4128</v>
      </c>
      <c r="D607" t="s">
        <v>465</v>
      </c>
      <c r="E607">
        <v>54.31</v>
      </c>
      <c r="F607">
        <v>706.03</v>
      </c>
      <c r="G607">
        <v>13</v>
      </c>
    </row>
    <row r="608" spans="1:7" x14ac:dyDescent="0.3">
      <c r="A608" t="s">
        <v>568</v>
      </c>
      <c r="B608">
        <v>24497</v>
      </c>
      <c r="C608" t="s">
        <v>4214</v>
      </c>
      <c r="D608" t="s">
        <v>465</v>
      </c>
      <c r="E608">
        <v>4</v>
      </c>
      <c r="F608">
        <v>538.20000000000005</v>
      </c>
      <c r="G608">
        <v>134.55000000000001</v>
      </c>
    </row>
    <row r="609" spans="1:7" x14ac:dyDescent="0.3">
      <c r="A609" t="s">
        <v>568</v>
      </c>
      <c r="B609">
        <v>25518</v>
      </c>
      <c r="C609" t="s">
        <v>4238</v>
      </c>
      <c r="D609" t="s">
        <v>465</v>
      </c>
      <c r="E609">
        <v>1</v>
      </c>
      <c r="F609">
        <v>110.4</v>
      </c>
      <c r="G609">
        <v>110.4</v>
      </c>
    </row>
    <row r="610" spans="1:7" x14ac:dyDescent="0.3">
      <c r="A610" t="s">
        <v>568</v>
      </c>
      <c r="B610">
        <v>17093</v>
      </c>
      <c r="C610" t="s">
        <v>3993</v>
      </c>
      <c r="D610" t="s">
        <v>465</v>
      </c>
      <c r="E610">
        <v>65</v>
      </c>
      <c r="F610">
        <v>650</v>
      </c>
      <c r="G610">
        <v>10</v>
      </c>
    </row>
    <row r="611" spans="1:7" x14ac:dyDescent="0.3">
      <c r="A611" t="s">
        <v>568</v>
      </c>
      <c r="B611">
        <v>19607</v>
      </c>
      <c r="C611" t="s">
        <v>4105</v>
      </c>
      <c r="D611" t="s">
        <v>465</v>
      </c>
      <c r="E611">
        <v>1</v>
      </c>
      <c r="F611">
        <v>11</v>
      </c>
      <c r="G611">
        <v>11</v>
      </c>
    </row>
    <row r="612" spans="1:7" x14ac:dyDescent="0.3">
      <c r="A612" t="s">
        <v>568</v>
      </c>
      <c r="B612">
        <v>19763</v>
      </c>
      <c r="C612" t="s">
        <v>4187</v>
      </c>
      <c r="D612" t="s">
        <v>465</v>
      </c>
      <c r="E612">
        <v>6.07</v>
      </c>
      <c r="F612">
        <v>67.709999999999994</v>
      </c>
      <c r="G612">
        <v>11.15</v>
      </c>
    </row>
    <row r="613" spans="1:7" x14ac:dyDescent="0.3">
      <c r="A613" t="s">
        <v>568</v>
      </c>
      <c r="B613">
        <v>21024</v>
      </c>
      <c r="C613" t="s">
        <v>4180</v>
      </c>
      <c r="D613" t="s">
        <v>465</v>
      </c>
      <c r="E613">
        <v>6</v>
      </c>
      <c r="F613">
        <v>1061.22</v>
      </c>
      <c r="G613">
        <v>176.87</v>
      </c>
    </row>
    <row r="614" spans="1:7" x14ac:dyDescent="0.3">
      <c r="A614" t="s">
        <v>568</v>
      </c>
      <c r="B614">
        <v>20213</v>
      </c>
      <c r="C614" t="s">
        <v>4059</v>
      </c>
      <c r="D614" t="s">
        <v>465</v>
      </c>
      <c r="E614">
        <v>2</v>
      </c>
      <c r="F614">
        <v>63.2</v>
      </c>
      <c r="G614">
        <v>31.6</v>
      </c>
    </row>
    <row r="615" spans="1:7" x14ac:dyDescent="0.3">
      <c r="A615" t="s">
        <v>568</v>
      </c>
      <c r="B615">
        <v>17905</v>
      </c>
      <c r="C615" t="s">
        <v>4139</v>
      </c>
      <c r="D615" t="s">
        <v>465</v>
      </c>
      <c r="E615">
        <v>46</v>
      </c>
      <c r="F615">
        <v>1174.3800000000001</v>
      </c>
      <c r="G615">
        <v>25.53</v>
      </c>
    </row>
    <row r="616" spans="1:7" x14ac:dyDescent="0.3">
      <c r="A616" t="s">
        <v>568</v>
      </c>
      <c r="B616">
        <v>17903</v>
      </c>
      <c r="C616" t="s">
        <v>3971</v>
      </c>
      <c r="D616" t="s">
        <v>465</v>
      </c>
      <c r="E616">
        <v>56</v>
      </c>
      <c r="F616">
        <v>1429.68</v>
      </c>
      <c r="G616">
        <v>25.53</v>
      </c>
    </row>
    <row r="617" spans="1:7" x14ac:dyDescent="0.3">
      <c r="A617" t="s">
        <v>568</v>
      </c>
      <c r="B617">
        <v>28659</v>
      </c>
      <c r="C617" t="s">
        <v>4266</v>
      </c>
      <c r="D617" t="s">
        <v>465</v>
      </c>
      <c r="E617">
        <v>4</v>
      </c>
      <c r="F617">
        <v>988</v>
      </c>
      <c r="G617">
        <v>247</v>
      </c>
    </row>
    <row r="618" spans="1:7" x14ac:dyDescent="0.3">
      <c r="A618" t="s">
        <v>568</v>
      </c>
      <c r="B618">
        <v>17896</v>
      </c>
      <c r="C618" t="s">
        <v>3972</v>
      </c>
      <c r="D618" t="s">
        <v>465</v>
      </c>
      <c r="E618">
        <v>20</v>
      </c>
      <c r="F618">
        <v>805.8</v>
      </c>
      <c r="G618">
        <v>40.29</v>
      </c>
    </row>
    <row r="619" spans="1:7" x14ac:dyDescent="0.3">
      <c r="A619" t="s">
        <v>568</v>
      </c>
      <c r="B619">
        <v>19480</v>
      </c>
      <c r="C619" t="s">
        <v>4113</v>
      </c>
      <c r="D619" t="s">
        <v>465</v>
      </c>
      <c r="E619">
        <v>0.8</v>
      </c>
      <c r="F619">
        <v>13.3</v>
      </c>
      <c r="G619">
        <v>16.63</v>
      </c>
    </row>
    <row r="620" spans="1:7" x14ac:dyDescent="0.3">
      <c r="A620" t="s">
        <v>568</v>
      </c>
      <c r="B620">
        <v>18685</v>
      </c>
      <c r="C620" t="s">
        <v>3945</v>
      </c>
      <c r="D620" t="s">
        <v>465</v>
      </c>
      <c r="E620">
        <v>28.5</v>
      </c>
      <c r="F620">
        <v>1111.5</v>
      </c>
      <c r="G620">
        <v>39</v>
      </c>
    </row>
    <row r="621" spans="1:7" x14ac:dyDescent="0.3">
      <c r="A621" t="s">
        <v>568</v>
      </c>
      <c r="B621">
        <v>18684</v>
      </c>
      <c r="C621" t="s">
        <v>3925</v>
      </c>
      <c r="D621" t="s">
        <v>465</v>
      </c>
      <c r="E621">
        <v>33.6</v>
      </c>
      <c r="F621">
        <v>1209.5999999999999</v>
      </c>
      <c r="G621">
        <v>36</v>
      </c>
    </row>
    <row r="622" spans="1:7" x14ac:dyDescent="0.3">
      <c r="A622" t="s">
        <v>568</v>
      </c>
      <c r="B622">
        <v>20057</v>
      </c>
      <c r="C622" t="s">
        <v>3967</v>
      </c>
      <c r="D622" t="s">
        <v>465</v>
      </c>
      <c r="E622">
        <v>2</v>
      </c>
      <c r="F622">
        <v>84.36</v>
      </c>
      <c r="G622">
        <v>42.18</v>
      </c>
    </row>
    <row r="623" spans="1:7" x14ac:dyDescent="0.3">
      <c r="A623" t="s">
        <v>568</v>
      </c>
      <c r="B623">
        <v>24320</v>
      </c>
      <c r="C623" t="s">
        <v>4160</v>
      </c>
      <c r="D623" t="s">
        <v>465</v>
      </c>
      <c r="E623">
        <v>13.8</v>
      </c>
      <c r="F623">
        <v>494.04</v>
      </c>
      <c r="G623">
        <v>35.799999999999997</v>
      </c>
    </row>
    <row r="624" spans="1:7" x14ac:dyDescent="0.3">
      <c r="A624" t="s">
        <v>568</v>
      </c>
      <c r="B624">
        <v>27312</v>
      </c>
      <c r="C624" t="s">
        <v>3927</v>
      </c>
      <c r="D624" t="s">
        <v>465</v>
      </c>
      <c r="E624">
        <v>59.33</v>
      </c>
      <c r="F624">
        <v>2947.5</v>
      </c>
      <c r="G624">
        <v>49.68</v>
      </c>
    </row>
    <row r="625" spans="1:7" x14ac:dyDescent="0.3">
      <c r="A625" t="s">
        <v>568</v>
      </c>
      <c r="B625">
        <v>23361</v>
      </c>
      <c r="C625" t="s">
        <v>4220</v>
      </c>
      <c r="D625" t="s">
        <v>465</v>
      </c>
      <c r="E625">
        <v>210</v>
      </c>
      <c r="F625">
        <v>599.9</v>
      </c>
      <c r="G625">
        <v>2.86</v>
      </c>
    </row>
    <row r="626" spans="1:7" x14ac:dyDescent="0.3">
      <c r="A626" t="s">
        <v>568</v>
      </c>
      <c r="B626">
        <v>20661</v>
      </c>
      <c r="C626" t="s">
        <v>3919</v>
      </c>
      <c r="D626" t="s">
        <v>465</v>
      </c>
      <c r="E626">
        <v>24</v>
      </c>
      <c r="F626">
        <v>206.16</v>
      </c>
      <c r="G626">
        <v>8.59</v>
      </c>
    </row>
    <row r="627" spans="1:7" x14ac:dyDescent="0.3">
      <c r="A627" t="s">
        <v>568</v>
      </c>
      <c r="B627">
        <v>19421</v>
      </c>
      <c r="C627" t="s">
        <v>4275</v>
      </c>
      <c r="D627" t="s">
        <v>465</v>
      </c>
      <c r="E627">
        <v>1</v>
      </c>
      <c r="F627">
        <v>81.84</v>
      </c>
      <c r="G627">
        <v>81.84</v>
      </c>
    </row>
    <row r="628" spans="1:7" x14ac:dyDescent="0.3">
      <c r="A628" t="s">
        <v>568</v>
      </c>
      <c r="B628">
        <v>18315</v>
      </c>
      <c r="C628" t="s">
        <v>4088</v>
      </c>
      <c r="D628" t="s">
        <v>465</v>
      </c>
      <c r="E628">
        <v>1</v>
      </c>
      <c r="F628">
        <v>129</v>
      </c>
      <c r="G628">
        <v>129</v>
      </c>
    </row>
    <row r="629" spans="1:7" x14ac:dyDescent="0.3">
      <c r="A629" t="s">
        <v>568</v>
      </c>
      <c r="B629">
        <v>18295</v>
      </c>
      <c r="C629" t="s">
        <v>4030</v>
      </c>
      <c r="D629" t="s">
        <v>465</v>
      </c>
      <c r="E629">
        <v>2</v>
      </c>
      <c r="F629">
        <v>260</v>
      </c>
      <c r="G629">
        <v>130</v>
      </c>
    </row>
    <row r="630" spans="1:7" x14ac:dyDescent="0.3">
      <c r="A630" t="s">
        <v>568</v>
      </c>
      <c r="B630">
        <v>19752</v>
      </c>
      <c r="C630" t="s">
        <v>4042</v>
      </c>
      <c r="D630" t="s">
        <v>465</v>
      </c>
      <c r="E630">
        <v>4</v>
      </c>
      <c r="F630">
        <v>28</v>
      </c>
      <c r="G630">
        <v>7</v>
      </c>
    </row>
    <row r="631" spans="1:7" x14ac:dyDescent="0.3">
      <c r="A631" t="s">
        <v>568</v>
      </c>
      <c r="B631">
        <v>19751</v>
      </c>
      <c r="C631" t="s">
        <v>4019</v>
      </c>
      <c r="D631" t="s">
        <v>465</v>
      </c>
      <c r="E631">
        <v>8</v>
      </c>
      <c r="F631">
        <v>73.400000000000006</v>
      </c>
      <c r="G631">
        <v>9.18</v>
      </c>
    </row>
    <row r="632" spans="1:7" x14ac:dyDescent="0.3">
      <c r="A632" t="s">
        <v>568</v>
      </c>
      <c r="B632">
        <v>23359</v>
      </c>
      <c r="C632" t="s">
        <v>3932</v>
      </c>
      <c r="D632" t="s">
        <v>465</v>
      </c>
      <c r="E632">
        <v>73</v>
      </c>
      <c r="F632">
        <v>166.85</v>
      </c>
      <c r="G632">
        <v>2.29</v>
      </c>
    </row>
    <row r="633" spans="1:7" x14ac:dyDescent="0.3">
      <c r="A633" t="s">
        <v>568</v>
      </c>
      <c r="B633">
        <v>17185</v>
      </c>
      <c r="C633" t="s">
        <v>4210</v>
      </c>
      <c r="D633" t="s">
        <v>465</v>
      </c>
      <c r="E633">
        <v>1</v>
      </c>
      <c r="F633">
        <v>38</v>
      </c>
      <c r="G633">
        <v>38</v>
      </c>
    </row>
    <row r="634" spans="1:7" x14ac:dyDescent="0.3">
      <c r="A634" t="s">
        <v>568</v>
      </c>
      <c r="B634">
        <v>24331</v>
      </c>
      <c r="C634" t="s">
        <v>3960</v>
      </c>
      <c r="D634" t="s">
        <v>465</v>
      </c>
      <c r="E634">
        <v>5</v>
      </c>
      <c r="F634">
        <v>104.45</v>
      </c>
      <c r="G634">
        <v>20.89</v>
      </c>
    </row>
    <row r="635" spans="1:7" x14ac:dyDescent="0.3">
      <c r="A635" t="s">
        <v>568</v>
      </c>
      <c r="B635">
        <v>20519</v>
      </c>
      <c r="C635" t="s">
        <v>3902</v>
      </c>
      <c r="D635" t="s">
        <v>465</v>
      </c>
      <c r="E635">
        <v>20.9</v>
      </c>
      <c r="F635">
        <v>1050.22</v>
      </c>
      <c r="G635">
        <v>50.25</v>
      </c>
    </row>
    <row r="636" spans="1:7" x14ac:dyDescent="0.3">
      <c r="A636" t="s">
        <v>568</v>
      </c>
      <c r="B636">
        <v>27884</v>
      </c>
      <c r="C636" t="s">
        <v>3910</v>
      </c>
      <c r="D636" t="s">
        <v>465</v>
      </c>
      <c r="E636">
        <v>42.9</v>
      </c>
      <c r="F636">
        <v>2960.1</v>
      </c>
      <c r="G636">
        <v>69</v>
      </c>
    </row>
    <row r="637" spans="1:7" x14ac:dyDescent="0.3">
      <c r="A637" t="s">
        <v>568</v>
      </c>
      <c r="B637">
        <v>24339</v>
      </c>
      <c r="C637" t="s">
        <v>4119</v>
      </c>
      <c r="D637" t="s">
        <v>465</v>
      </c>
      <c r="E637">
        <v>8</v>
      </c>
      <c r="F637">
        <v>213.9</v>
      </c>
      <c r="G637">
        <v>26.74</v>
      </c>
    </row>
    <row r="638" spans="1:7" x14ac:dyDescent="0.3">
      <c r="A638" t="s">
        <v>568</v>
      </c>
      <c r="B638">
        <v>20501</v>
      </c>
      <c r="C638" t="s">
        <v>4219</v>
      </c>
      <c r="D638" t="s">
        <v>465</v>
      </c>
      <c r="E638">
        <v>10</v>
      </c>
      <c r="F638">
        <v>220.5</v>
      </c>
      <c r="G638">
        <v>22.05</v>
      </c>
    </row>
    <row r="639" spans="1:7" x14ac:dyDescent="0.3">
      <c r="A639" t="s">
        <v>568</v>
      </c>
      <c r="B639">
        <v>24343</v>
      </c>
      <c r="C639" t="s">
        <v>3990</v>
      </c>
      <c r="D639" t="s">
        <v>465</v>
      </c>
      <c r="E639">
        <v>11.3</v>
      </c>
      <c r="F639">
        <v>254.38</v>
      </c>
      <c r="G639">
        <v>22.51</v>
      </c>
    </row>
    <row r="640" spans="1:7" x14ac:dyDescent="0.3">
      <c r="A640" t="s">
        <v>568</v>
      </c>
      <c r="B640">
        <v>19478</v>
      </c>
      <c r="C640" t="s">
        <v>4072</v>
      </c>
      <c r="D640" t="s">
        <v>465</v>
      </c>
      <c r="E640">
        <v>1</v>
      </c>
      <c r="F640">
        <v>45.5</v>
      </c>
      <c r="G640">
        <v>45.5</v>
      </c>
    </row>
    <row r="641" spans="1:7" x14ac:dyDescent="0.3">
      <c r="A641" t="s">
        <v>568</v>
      </c>
      <c r="B641">
        <v>17017</v>
      </c>
      <c r="C641" t="s">
        <v>4230</v>
      </c>
      <c r="D641" t="s">
        <v>465</v>
      </c>
      <c r="E641">
        <v>8</v>
      </c>
      <c r="F641">
        <v>24</v>
      </c>
      <c r="G641">
        <v>3</v>
      </c>
    </row>
    <row r="642" spans="1:7" x14ac:dyDescent="0.3">
      <c r="A642" t="s">
        <v>568</v>
      </c>
      <c r="B642">
        <v>17498</v>
      </c>
      <c r="C642" t="s">
        <v>4243</v>
      </c>
      <c r="D642" t="s">
        <v>465</v>
      </c>
      <c r="E642">
        <v>4</v>
      </c>
      <c r="F642">
        <v>96</v>
      </c>
      <c r="G642">
        <v>24</v>
      </c>
    </row>
    <row r="643" spans="1:7" x14ac:dyDescent="0.3">
      <c r="A643" t="s">
        <v>568</v>
      </c>
      <c r="B643">
        <v>17496</v>
      </c>
      <c r="C643" t="s">
        <v>4227</v>
      </c>
      <c r="D643" t="s">
        <v>465</v>
      </c>
      <c r="E643">
        <v>3</v>
      </c>
      <c r="F643">
        <v>75</v>
      </c>
      <c r="G643">
        <v>25</v>
      </c>
    </row>
    <row r="644" spans="1:7" x14ac:dyDescent="0.3">
      <c r="A644" t="s">
        <v>568</v>
      </c>
      <c r="B644">
        <v>23349</v>
      </c>
      <c r="C644" t="s">
        <v>4173</v>
      </c>
      <c r="D644" t="s">
        <v>465</v>
      </c>
      <c r="E644">
        <v>4.25</v>
      </c>
      <c r="F644">
        <v>32.14</v>
      </c>
      <c r="G644">
        <v>7.56</v>
      </c>
    </row>
    <row r="645" spans="1:7" x14ac:dyDescent="0.3">
      <c r="A645" t="s">
        <v>568</v>
      </c>
      <c r="B645">
        <v>19743</v>
      </c>
      <c r="C645" t="s">
        <v>4152</v>
      </c>
      <c r="D645" t="s">
        <v>465</v>
      </c>
      <c r="E645">
        <v>5</v>
      </c>
      <c r="F645">
        <v>73</v>
      </c>
      <c r="G645">
        <v>14.6</v>
      </c>
    </row>
    <row r="646" spans="1:7" x14ac:dyDescent="0.3">
      <c r="A646" t="s">
        <v>568</v>
      </c>
      <c r="B646">
        <v>20007</v>
      </c>
      <c r="C646" t="s">
        <v>4009</v>
      </c>
      <c r="D646" t="s">
        <v>465</v>
      </c>
      <c r="E646">
        <v>5</v>
      </c>
      <c r="F646">
        <v>267.39999999999998</v>
      </c>
      <c r="G646">
        <v>53.48</v>
      </c>
    </row>
    <row r="647" spans="1:7" x14ac:dyDescent="0.3">
      <c r="A647" t="s">
        <v>568</v>
      </c>
      <c r="B647">
        <v>19742</v>
      </c>
      <c r="C647" t="s">
        <v>4074</v>
      </c>
      <c r="D647" t="s">
        <v>465</v>
      </c>
      <c r="E647">
        <v>7.3</v>
      </c>
      <c r="F647">
        <v>91.79</v>
      </c>
      <c r="G647">
        <v>12.57</v>
      </c>
    </row>
    <row r="648" spans="1:7" x14ac:dyDescent="0.3">
      <c r="A648" t="s">
        <v>568</v>
      </c>
      <c r="B648">
        <v>23231</v>
      </c>
      <c r="C648" t="s">
        <v>4287</v>
      </c>
      <c r="D648" t="s">
        <v>465</v>
      </c>
      <c r="E648">
        <v>3</v>
      </c>
      <c r="F648">
        <v>13.5</v>
      </c>
      <c r="G648">
        <v>4.5</v>
      </c>
    </row>
    <row r="649" spans="1:7" x14ac:dyDescent="0.3">
      <c r="A649" t="s">
        <v>568</v>
      </c>
      <c r="B649">
        <v>23120</v>
      </c>
      <c r="C649" t="s">
        <v>4111</v>
      </c>
      <c r="D649" t="s">
        <v>465</v>
      </c>
      <c r="E649">
        <v>2.1</v>
      </c>
      <c r="F649">
        <v>133.86000000000001</v>
      </c>
      <c r="G649">
        <v>63.74</v>
      </c>
    </row>
    <row r="650" spans="1:7" x14ac:dyDescent="0.3">
      <c r="A650" t="s">
        <v>568</v>
      </c>
      <c r="B650">
        <v>19740</v>
      </c>
      <c r="C650" t="s">
        <v>3933</v>
      </c>
      <c r="D650" t="s">
        <v>465</v>
      </c>
      <c r="E650">
        <v>32.1</v>
      </c>
      <c r="F650">
        <v>292.73</v>
      </c>
      <c r="G650">
        <v>9.1199999999999992</v>
      </c>
    </row>
    <row r="651" spans="1:7" x14ac:dyDescent="0.3">
      <c r="A651" t="s">
        <v>568</v>
      </c>
      <c r="B651">
        <v>19415</v>
      </c>
      <c r="C651" t="s">
        <v>3941</v>
      </c>
      <c r="D651" t="s">
        <v>465</v>
      </c>
      <c r="E651">
        <v>6</v>
      </c>
      <c r="F651">
        <v>52.8</v>
      </c>
      <c r="G651">
        <v>8.8000000000000007</v>
      </c>
    </row>
    <row r="652" spans="1:7" x14ac:dyDescent="0.3">
      <c r="A652" t="s">
        <v>568</v>
      </c>
      <c r="B652">
        <v>17474</v>
      </c>
      <c r="C652" t="s">
        <v>4273</v>
      </c>
      <c r="D652" t="s">
        <v>465</v>
      </c>
      <c r="E652">
        <v>1</v>
      </c>
      <c r="F652">
        <v>75</v>
      </c>
      <c r="G652">
        <v>75</v>
      </c>
    </row>
    <row r="653" spans="1:7" x14ac:dyDescent="0.3">
      <c r="A653" t="s">
        <v>568</v>
      </c>
      <c r="B653">
        <v>24351</v>
      </c>
      <c r="C653" t="s">
        <v>3912</v>
      </c>
      <c r="D653" t="s">
        <v>465</v>
      </c>
      <c r="E653">
        <v>20</v>
      </c>
      <c r="F653">
        <v>240</v>
      </c>
      <c r="G653">
        <v>12</v>
      </c>
    </row>
    <row r="654" spans="1:7" x14ac:dyDescent="0.3">
      <c r="A654" t="s">
        <v>568</v>
      </c>
      <c r="B654">
        <v>20117</v>
      </c>
      <c r="C654" t="s">
        <v>4010</v>
      </c>
      <c r="D654" t="s">
        <v>465</v>
      </c>
      <c r="E654">
        <v>3</v>
      </c>
      <c r="F654">
        <v>117.4</v>
      </c>
      <c r="G654">
        <v>39.130000000000003</v>
      </c>
    </row>
    <row r="655" spans="1:7" x14ac:dyDescent="0.3">
      <c r="A655" t="s">
        <v>568</v>
      </c>
      <c r="B655">
        <v>20832</v>
      </c>
      <c r="C655" t="s">
        <v>4060</v>
      </c>
      <c r="D655" t="s">
        <v>465</v>
      </c>
      <c r="E655">
        <v>1</v>
      </c>
      <c r="F655">
        <v>34</v>
      </c>
      <c r="G655">
        <v>34</v>
      </c>
    </row>
    <row r="656" spans="1:7" x14ac:dyDescent="0.3">
      <c r="A656" t="s">
        <v>568</v>
      </c>
      <c r="B656">
        <v>24364</v>
      </c>
      <c r="C656" t="s">
        <v>4061</v>
      </c>
      <c r="D656" t="s">
        <v>465</v>
      </c>
      <c r="E656">
        <v>1</v>
      </c>
      <c r="F656">
        <v>13.1</v>
      </c>
      <c r="G656">
        <v>13.1</v>
      </c>
    </row>
    <row r="657" spans="1:7" x14ac:dyDescent="0.3">
      <c r="A657" t="s">
        <v>568</v>
      </c>
      <c r="B657">
        <v>19979</v>
      </c>
      <c r="C657" t="s">
        <v>4295</v>
      </c>
      <c r="D657" t="s">
        <v>465</v>
      </c>
      <c r="E657">
        <v>2</v>
      </c>
      <c r="F657">
        <v>42.9</v>
      </c>
      <c r="G657">
        <v>21.45</v>
      </c>
    </row>
    <row r="658" spans="1:7" x14ac:dyDescent="0.3">
      <c r="A658" t="s">
        <v>568</v>
      </c>
      <c r="B658">
        <v>19984</v>
      </c>
      <c r="C658" t="s">
        <v>3904</v>
      </c>
      <c r="D658" t="s">
        <v>465</v>
      </c>
      <c r="E658">
        <v>12</v>
      </c>
      <c r="F658">
        <v>238.8</v>
      </c>
      <c r="G658">
        <v>19.899999999999999</v>
      </c>
    </row>
    <row r="659" spans="1:7" x14ac:dyDescent="0.3">
      <c r="A659" t="s">
        <v>568</v>
      </c>
      <c r="B659">
        <v>19973</v>
      </c>
      <c r="C659" t="s">
        <v>3981</v>
      </c>
      <c r="D659" t="s">
        <v>465</v>
      </c>
      <c r="E659">
        <v>2</v>
      </c>
      <c r="F659">
        <v>32.4</v>
      </c>
      <c r="G659">
        <v>16.2</v>
      </c>
    </row>
    <row r="660" spans="1:7" x14ac:dyDescent="0.3">
      <c r="A660" t="s">
        <v>568</v>
      </c>
      <c r="B660">
        <v>24385</v>
      </c>
      <c r="C660" t="s">
        <v>4182</v>
      </c>
      <c r="D660" t="s">
        <v>465</v>
      </c>
      <c r="E660">
        <v>1</v>
      </c>
      <c r="F660">
        <v>15.22</v>
      </c>
      <c r="G660">
        <v>15.22</v>
      </c>
    </row>
    <row r="661" spans="1:7" x14ac:dyDescent="0.3">
      <c r="A661" t="s">
        <v>568</v>
      </c>
      <c r="B661">
        <v>19967</v>
      </c>
      <c r="C661" t="s">
        <v>3930</v>
      </c>
      <c r="D661" t="s">
        <v>465</v>
      </c>
      <c r="E661">
        <v>5</v>
      </c>
      <c r="F661">
        <v>249.49</v>
      </c>
      <c r="G661">
        <v>49.9</v>
      </c>
    </row>
    <row r="662" spans="1:7" x14ac:dyDescent="0.3">
      <c r="A662" t="s">
        <v>568</v>
      </c>
      <c r="B662">
        <v>25196</v>
      </c>
      <c r="C662" t="s">
        <v>3873</v>
      </c>
      <c r="D662" t="s">
        <v>465</v>
      </c>
      <c r="E662">
        <v>48</v>
      </c>
      <c r="F662">
        <v>198.24</v>
      </c>
      <c r="G662">
        <v>4.13</v>
      </c>
    </row>
    <row r="663" spans="1:7" x14ac:dyDescent="0.3">
      <c r="A663" t="s">
        <v>568</v>
      </c>
      <c r="B663">
        <v>27711</v>
      </c>
      <c r="C663" t="s">
        <v>3913</v>
      </c>
      <c r="D663" t="s">
        <v>465</v>
      </c>
      <c r="E663">
        <v>12</v>
      </c>
      <c r="F663">
        <v>410.4</v>
      </c>
      <c r="G663">
        <v>34.200000000000003</v>
      </c>
    </row>
    <row r="664" spans="1:7" x14ac:dyDescent="0.3">
      <c r="A664" t="s">
        <v>568</v>
      </c>
      <c r="B664">
        <v>25195</v>
      </c>
      <c r="C664" t="s">
        <v>3874</v>
      </c>
      <c r="D664" t="s">
        <v>465</v>
      </c>
      <c r="E664">
        <v>48</v>
      </c>
      <c r="F664">
        <v>230.88</v>
      </c>
      <c r="G664">
        <v>4.8099999999999996</v>
      </c>
    </row>
    <row r="665" spans="1:7" x14ac:dyDescent="0.3">
      <c r="A665" t="s">
        <v>568</v>
      </c>
      <c r="B665">
        <v>28537</v>
      </c>
      <c r="C665" t="s">
        <v>4159</v>
      </c>
      <c r="D665" t="s">
        <v>465</v>
      </c>
      <c r="E665">
        <v>6</v>
      </c>
      <c r="F665">
        <v>226.8</v>
      </c>
      <c r="G665">
        <v>37.799999999999997</v>
      </c>
    </row>
    <row r="666" spans="1:7" x14ac:dyDescent="0.3">
      <c r="A666" t="s">
        <v>568</v>
      </c>
      <c r="B666">
        <v>24388</v>
      </c>
      <c r="C666" t="s">
        <v>3915</v>
      </c>
      <c r="D666" t="s">
        <v>465</v>
      </c>
      <c r="E666">
        <v>22.4</v>
      </c>
      <c r="F666">
        <v>663.99</v>
      </c>
      <c r="G666">
        <v>29.64</v>
      </c>
    </row>
    <row r="667" spans="1:7" x14ac:dyDescent="0.3">
      <c r="A667" t="s">
        <v>568</v>
      </c>
      <c r="B667">
        <v>24389</v>
      </c>
      <c r="C667" t="s">
        <v>4305</v>
      </c>
      <c r="D667" t="s">
        <v>465</v>
      </c>
      <c r="E667">
        <v>5.5</v>
      </c>
      <c r="F667">
        <v>164.45</v>
      </c>
      <c r="G667">
        <v>29.9</v>
      </c>
    </row>
    <row r="668" spans="1:7" x14ac:dyDescent="0.3">
      <c r="A668" t="s">
        <v>568</v>
      </c>
      <c r="B668">
        <v>21017</v>
      </c>
      <c r="C668" t="s">
        <v>4290</v>
      </c>
      <c r="D668" t="s">
        <v>465</v>
      </c>
      <c r="E668">
        <v>4</v>
      </c>
      <c r="F668">
        <v>635.6</v>
      </c>
      <c r="G668">
        <v>158.9</v>
      </c>
    </row>
    <row r="669" spans="1:7" x14ac:dyDescent="0.3">
      <c r="A669" t="s">
        <v>568</v>
      </c>
      <c r="B669">
        <v>20984</v>
      </c>
      <c r="C669" t="s">
        <v>4235</v>
      </c>
      <c r="D669" t="s">
        <v>465</v>
      </c>
      <c r="E669">
        <v>72</v>
      </c>
      <c r="F669">
        <v>586.79999999999995</v>
      </c>
      <c r="G669">
        <v>8.15</v>
      </c>
    </row>
    <row r="670" spans="1:7" x14ac:dyDescent="0.3">
      <c r="A670" t="s">
        <v>568</v>
      </c>
      <c r="B670">
        <v>23096</v>
      </c>
      <c r="C670" t="s">
        <v>3876</v>
      </c>
      <c r="D670" t="s">
        <v>465</v>
      </c>
      <c r="E670">
        <v>330</v>
      </c>
      <c r="F670">
        <v>209.4</v>
      </c>
      <c r="G670">
        <v>0.63</v>
      </c>
    </row>
    <row r="671" spans="1:7" x14ac:dyDescent="0.3">
      <c r="A671" t="s">
        <v>568</v>
      </c>
      <c r="B671">
        <v>23095</v>
      </c>
      <c r="C671" t="s">
        <v>3882</v>
      </c>
      <c r="D671" t="s">
        <v>465</v>
      </c>
      <c r="E671">
        <v>340</v>
      </c>
      <c r="F671">
        <v>349.4</v>
      </c>
      <c r="G671">
        <v>1.03</v>
      </c>
    </row>
    <row r="672" spans="1:7" x14ac:dyDescent="0.3">
      <c r="A672" t="s">
        <v>568</v>
      </c>
      <c r="B672">
        <v>17444</v>
      </c>
      <c r="C672" t="s">
        <v>4211</v>
      </c>
      <c r="D672" t="s">
        <v>465</v>
      </c>
      <c r="E672">
        <v>2</v>
      </c>
      <c r="F672">
        <v>25.18</v>
      </c>
      <c r="G672">
        <v>12.59</v>
      </c>
    </row>
    <row r="673" spans="1:7" x14ac:dyDescent="0.3">
      <c r="A673" t="s">
        <v>568</v>
      </c>
      <c r="B673">
        <v>20624</v>
      </c>
      <c r="C673" t="s">
        <v>3982</v>
      </c>
      <c r="D673" t="s">
        <v>465</v>
      </c>
      <c r="E673">
        <v>3</v>
      </c>
      <c r="F673">
        <v>212.7</v>
      </c>
      <c r="G673">
        <v>70.900000000000006</v>
      </c>
    </row>
    <row r="674" spans="1:7" x14ac:dyDescent="0.3">
      <c r="A674" t="s">
        <v>568</v>
      </c>
      <c r="B674">
        <v>24517</v>
      </c>
      <c r="C674" t="s">
        <v>3991</v>
      </c>
      <c r="D674" t="s">
        <v>465</v>
      </c>
      <c r="E674">
        <v>39.299999999999997</v>
      </c>
      <c r="F674">
        <v>1100.01</v>
      </c>
      <c r="G674">
        <v>27.99</v>
      </c>
    </row>
    <row r="675" spans="1:7" x14ac:dyDescent="0.3">
      <c r="A675" t="s">
        <v>568</v>
      </c>
      <c r="B675">
        <v>17162</v>
      </c>
      <c r="C675" t="s">
        <v>4209</v>
      </c>
      <c r="D675" t="s">
        <v>465</v>
      </c>
      <c r="E675">
        <v>3</v>
      </c>
      <c r="F675">
        <v>162</v>
      </c>
      <c r="G675">
        <v>54</v>
      </c>
    </row>
    <row r="676" spans="1:7" x14ac:dyDescent="0.3">
      <c r="A676" t="s">
        <v>568</v>
      </c>
      <c r="B676">
        <v>29129</v>
      </c>
      <c r="C676" t="s">
        <v>4176</v>
      </c>
      <c r="D676" t="s">
        <v>465</v>
      </c>
      <c r="E676">
        <v>46</v>
      </c>
      <c r="F676">
        <v>527.62</v>
      </c>
      <c r="G676">
        <v>11.47</v>
      </c>
    </row>
    <row r="677" spans="1:7" x14ac:dyDescent="0.3">
      <c r="A677" t="s">
        <v>568</v>
      </c>
      <c r="B677">
        <v>19130</v>
      </c>
      <c r="C677" t="s">
        <v>4284</v>
      </c>
      <c r="D677" t="s">
        <v>465</v>
      </c>
      <c r="E677">
        <v>815</v>
      </c>
      <c r="F677">
        <v>937.25</v>
      </c>
      <c r="G677">
        <v>1.1499999999999999</v>
      </c>
    </row>
    <row r="678" spans="1:7" x14ac:dyDescent="0.3">
      <c r="A678" t="s">
        <v>568</v>
      </c>
      <c r="B678">
        <v>17341</v>
      </c>
      <c r="C678" t="s">
        <v>4232</v>
      </c>
      <c r="D678" t="s">
        <v>465</v>
      </c>
      <c r="E678">
        <v>2</v>
      </c>
      <c r="F678">
        <v>149.6</v>
      </c>
      <c r="G678">
        <v>74.8</v>
      </c>
    </row>
    <row r="679" spans="1:7" x14ac:dyDescent="0.3">
      <c r="A679" t="s">
        <v>568</v>
      </c>
      <c r="B679">
        <v>17342</v>
      </c>
      <c r="C679" t="s">
        <v>4208</v>
      </c>
      <c r="D679" t="s">
        <v>465</v>
      </c>
      <c r="E679">
        <v>1</v>
      </c>
      <c r="F679">
        <v>34.229999999999997</v>
      </c>
      <c r="G679">
        <v>34.229999999999997</v>
      </c>
    </row>
    <row r="680" spans="1:7" x14ac:dyDescent="0.3">
      <c r="A680" t="s">
        <v>568</v>
      </c>
      <c r="B680">
        <v>17418</v>
      </c>
      <c r="C680" t="s">
        <v>4280</v>
      </c>
      <c r="D680" t="s">
        <v>465</v>
      </c>
      <c r="E680">
        <v>3</v>
      </c>
      <c r="F680">
        <v>176.7</v>
      </c>
      <c r="G680">
        <v>58.9</v>
      </c>
    </row>
    <row r="681" spans="1:7" x14ac:dyDescent="0.3">
      <c r="A681" t="s">
        <v>568</v>
      </c>
      <c r="B681">
        <v>17416</v>
      </c>
      <c r="C681" t="s">
        <v>4205</v>
      </c>
      <c r="D681" t="s">
        <v>465</v>
      </c>
      <c r="E681">
        <v>15</v>
      </c>
      <c r="F681">
        <v>728.7</v>
      </c>
      <c r="G681">
        <v>48.58</v>
      </c>
    </row>
    <row r="682" spans="1:7" x14ac:dyDescent="0.3">
      <c r="A682" t="s">
        <v>568</v>
      </c>
      <c r="B682">
        <v>24402</v>
      </c>
      <c r="C682" t="s">
        <v>3896</v>
      </c>
      <c r="D682" t="s">
        <v>465</v>
      </c>
      <c r="E682">
        <v>71.88</v>
      </c>
      <c r="F682">
        <v>2742.06</v>
      </c>
      <c r="G682">
        <v>38.15</v>
      </c>
    </row>
    <row r="683" spans="1:7" x14ac:dyDescent="0.3">
      <c r="A683" t="s">
        <v>568</v>
      </c>
      <c r="B683">
        <v>18832</v>
      </c>
      <c r="C683" t="s">
        <v>3900</v>
      </c>
      <c r="D683" t="s">
        <v>465</v>
      </c>
      <c r="E683">
        <v>88.4</v>
      </c>
      <c r="F683">
        <v>3527.16</v>
      </c>
      <c r="G683">
        <v>39.9</v>
      </c>
    </row>
    <row r="684" spans="1:7" x14ac:dyDescent="0.3">
      <c r="A684" t="s">
        <v>568</v>
      </c>
      <c r="B684">
        <v>24403</v>
      </c>
      <c r="C684" t="s">
        <v>3992</v>
      </c>
      <c r="D684" t="s">
        <v>465</v>
      </c>
      <c r="E684">
        <v>3</v>
      </c>
      <c r="F684">
        <v>38.97</v>
      </c>
      <c r="G684">
        <v>12.99</v>
      </c>
    </row>
    <row r="685" spans="1:7" x14ac:dyDescent="0.3">
      <c r="A685" t="s">
        <v>568</v>
      </c>
      <c r="B685">
        <v>20621</v>
      </c>
      <c r="C685" t="s">
        <v>3885</v>
      </c>
      <c r="D685" t="s">
        <v>465</v>
      </c>
      <c r="E685">
        <v>18</v>
      </c>
      <c r="F685">
        <v>456</v>
      </c>
      <c r="G685">
        <v>25.33</v>
      </c>
    </row>
    <row r="686" spans="1:7" x14ac:dyDescent="0.3">
      <c r="A686" t="s">
        <v>568</v>
      </c>
      <c r="B686">
        <v>19589</v>
      </c>
      <c r="C686" t="s">
        <v>4153</v>
      </c>
      <c r="D686" t="s">
        <v>465</v>
      </c>
      <c r="E686">
        <v>4.0999999999999996</v>
      </c>
      <c r="F686">
        <v>36.39</v>
      </c>
      <c r="G686">
        <v>8.8800000000000008</v>
      </c>
    </row>
    <row r="687" spans="1:7" x14ac:dyDescent="0.3">
      <c r="A687" t="s">
        <v>568</v>
      </c>
      <c r="B687">
        <v>25197</v>
      </c>
      <c r="C687" t="s">
        <v>4143</v>
      </c>
      <c r="D687" t="s">
        <v>465</v>
      </c>
      <c r="E687">
        <v>90</v>
      </c>
      <c r="F687">
        <v>927</v>
      </c>
      <c r="G687">
        <v>10.3</v>
      </c>
    </row>
    <row r="688" spans="1:7" x14ac:dyDescent="0.3">
      <c r="A688" t="s">
        <v>568</v>
      </c>
      <c r="B688">
        <v>17895</v>
      </c>
      <c r="C688" t="s">
        <v>4137</v>
      </c>
      <c r="D688" t="s">
        <v>465</v>
      </c>
      <c r="E688">
        <v>6</v>
      </c>
      <c r="F688">
        <v>169.92</v>
      </c>
      <c r="G688">
        <v>28.32</v>
      </c>
    </row>
    <row r="689" spans="1:7" x14ac:dyDescent="0.3">
      <c r="A689" t="s">
        <v>568</v>
      </c>
      <c r="B689">
        <v>17886</v>
      </c>
      <c r="C689" t="s">
        <v>3935</v>
      </c>
      <c r="D689" t="s">
        <v>465</v>
      </c>
      <c r="E689">
        <v>60</v>
      </c>
      <c r="F689">
        <v>1699.2</v>
      </c>
      <c r="G689">
        <v>28.32</v>
      </c>
    </row>
    <row r="690" spans="1:7" x14ac:dyDescent="0.3">
      <c r="A690" t="s">
        <v>568</v>
      </c>
      <c r="B690">
        <v>19583</v>
      </c>
      <c r="C690" t="s">
        <v>4076</v>
      </c>
      <c r="D690" t="s">
        <v>465</v>
      </c>
      <c r="E690">
        <v>1</v>
      </c>
      <c r="F690">
        <v>53.65</v>
      </c>
      <c r="G690">
        <v>53.65</v>
      </c>
    </row>
    <row r="691" spans="1:7" x14ac:dyDescent="0.3">
      <c r="A691" t="s">
        <v>568</v>
      </c>
      <c r="B691">
        <v>19572</v>
      </c>
      <c r="C691" t="s">
        <v>4023</v>
      </c>
      <c r="D691" t="s">
        <v>465</v>
      </c>
      <c r="E691">
        <v>4.4000000000000004</v>
      </c>
      <c r="F691">
        <v>36.44</v>
      </c>
      <c r="G691">
        <v>8.2799999999999994</v>
      </c>
    </row>
    <row r="692" spans="1:7" x14ac:dyDescent="0.3">
      <c r="A692" t="s">
        <v>568</v>
      </c>
      <c r="B692">
        <v>23198</v>
      </c>
      <c r="C692" t="s">
        <v>4167</v>
      </c>
      <c r="D692" t="s">
        <v>465</v>
      </c>
      <c r="E692">
        <v>5</v>
      </c>
      <c r="F692">
        <v>74.099999999999994</v>
      </c>
      <c r="G692">
        <v>14.82</v>
      </c>
    </row>
    <row r="693" spans="1:7" x14ac:dyDescent="0.3">
      <c r="A693" t="s">
        <v>568</v>
      </c>
      <c r="B693">
        <v>21400</v>
      </c>
      <c r="C693" t="s">
        <v>4165</v>
      </c>
      <c r="D693" t="s">
        <v>465</v>
      </c>
      <c r="E693">
        <v>3</v>
      </c>
      <c r="F693">
        <v>86.85</v>
      </c>
      <c r="G693">
        <v>28.95</v>
      </c>
    </row>
    <row r="694" spans="1:7" x14ac:dyDescent="0.3">
      <c r="A694" t="s">
        <v>568</v>
      </c>
      <c r="B694">
        <v>18682</v>
      </c>
      <c r="C694" t="s">
        <v>4025</v>
      </c>
      <c r="D694" t="s">
        <v>465</v>
      </c>
      <c r="E694">
        <v>25.75</v>
      </c>
      <c r="F694">
        <v>720.75</v>
      </c>
      <c r="G694">
        <v>27.99</v>
      </c>
    </row>
    <row r="695" spans="1:7" x14ac:dyDescent="0.3">
      <c r="A695" t="s">
        <v>568</v>
      </c>
      <c r="B695">
        <v>19346</v>
      </c>
      <c r="C695" t="s">
        <v>3948</v>
      </c>
      <c r="D695" t="s">
        <v>465</v>
      </c>
      <c r="E695">
        <v>20.07</v>
      </c>
      <c r="F695">
        <v>1193.8499999999999</v>
      </c>
      <c r="G695">
        <v>59.48</v>
      </c>
    </row>
    <row r="696" spans="1:7" x14ac:dyDescent="0.3">
      <c r="A696" t="s">
        <v>568</v>
      </c>
      <c r="B696">
        <v>19324</v>
      </c>
      <c r="C696" t="s">
        <v>3937</v>
      </c>
      <c r="D696" t="s">
        <v>465</v>
      </c>
      <c r="E696">
        <v>37.4</v>
      </c>
      <c r="F696">
        <v>1483.46</v>
      </c>
      <c r="G696">
        <v>39.659999999999997</v>
      </c>
    </row>
    <row r="697" spans="1:7" x14ac:dyDescent="0.3">
      <c r="A697" t="s">
        <v>568</v>
      </c>
      <c r="B697">
        <v>19291</v>
      </c>
      <c r="C697" t="s">
        <v>4254</v>
      </c>
      <c r="D697" t="s">
        <v>465</v>
      </c>
      <c r="E697">
        <v>27.3</v>
      </c>
      <c r="F697">
        <v>1637.43</v>
      </c>
      <c r="G697">
        <v>59.98</v>
      </c>
    </row>
    <row r="698" spans="1:7" x14ac:dyDescent="0.3">
      <c r="A698" t="s">
        <v>568</v>
      </c>
      <c r="B698">
        <v>19287</v>
      </c>
      <c r="C698" t="s">
        <v>3974</v>
      </c>
      <c r="D698" t="s">
        <v>465</v>
      </c>
      <c r="E698">
        <v>19.72</v>
      </c>
      <c r="F698">
        <v>830.77</v>
      </c>
      <c r="G698">
        <v>42.13</v>
      </c>
    </row>
    <row r="699" spans="1:7" x14ac:dyDescent="0.3">
      <c r="A699" t="s">
        <v>568</v>
      </c>
      <c r="B699">
        <v>19558</v>
      </c>
      <c r="C699" t="s">
        <v>4183</v>
      </c>
      <c r="D699" t="s">
        <v>465</v>
      </c>
      <c r="E699">
        <v>3.25</v>
      </c>
      <c r="F699">
        <v>65.97</v>
      </c>
      <c r="G699">
        <v>20.3</v>
      </c>
    </row>
    <row r="700" spans="1:7" x14ac:dyDescent="0.3">
      <c r="A700" t="s">
        <v>568</v>
      </c>
      <c r="B700">
        <v>25768</v>
      </c>
      <c r="C700" t="s">
        <v>4012</v>
      </c>
      <c r="D700" t="s">
        <v>465</v>
      </c>
      <c r="E700">
        <v>4</v>
      </c>
      <c r="F700">
        <v>39.6</v>
      </c>
      <c r="G700">
        <v>9.9</v>
      </c>
    </row>
    <row r="701" spans="1:7" x14ac:dyDescent="0.3">
      <c r="A701" t="s">
        <v>568</v>
      </c>
      <c r="B701">
        <v>27313</v>
      </c>
      <c r="C701" t="s">
        <v>4131</v>
      </c>
      <c r="D701" t="s">
        <v>465</v>
      </c>
      <c r="E701">
        <v>23.15</v>
      </c>
      <c r="F701">
        <v>741.44</v>
      </c>
      <c r="G701">
        <v>32.03</v>
      </c>
    </row>
    <row r="702" spans="1:7" x14ac:dyDescent="0.3">
      <c r="A702" t="s">
        <v>568</v>
      </c>
      <c r="B702">
        <v>18818</v>
      </c>
      <c r="C702" t="s">
        <v>3916</v>
      </c>
      <c r="D702" t="s">
        <v>465</v>
      </c>
      <c r="E702">
        <v>32.5</v>
      </c>
      <c r="F702">
        <v>1087.7</v>
      </c>
      <c r="G702">
        <v>33.47</v>
      </c>
    </row>
    <row r="703" spans="1:7" x14ac:dyDescent="0.3">
      <c r="A703" t="s">
        <v>568</v>
      </c>
      <c r="B703">
        <v>23195</v>
      </c>
      <c r="C703" t="s">
        <v>4184</v>
      </c>
      <c r="D703" t="s">
        <v>465</v>
      </c>
      <c r="E703">
        <v>3</v>
      </c>
      <c r="F703">
        <v>36</v>
      </c>
      <c r="G703">
        <v>12</v>
      </c>
    </row>
    <row r="704" spans="1:7" x14ac:dyDescent="0.3">
      <c r="A704" t="s">
        <v>568</v>
      </c>
      <c r="B704">
        <v>18666</v>
      </c>
      <c r="C704" t="s">
        <v>4003</v>
      </c>
      <c r="D704" t="s">
        <v>465</v>
      </c>
      <c r="E704">
        <v>6.4</v>
      </c>
      <c r="F704">
        <v>153.54</v>
      </c>
      <c r="G704">
        <v>23.99</v>
      </c>
    </row>
    <row r="705" spans="1:7" x14ac:dyDescent="0.3">
      <c r="A705" t="s">
        <v>568</v>
      </c>
      <c r="B705">
        <v>19555</v>
      </c>
      <c r="C705" t="s">
        <v>4109</v>
      </c>
      <c r="D705" t="s">
        <v>465</v>
      </c>
      <c r="E705">
        <v>4.7</v>
      </c>
      <c r="F705">
        <v>69.239999999999995</v>
      </c>
      <c r="G705">
        <v>14.73</v>
      </c>
    </row>
    <row r="706" spans="1:7" x14ac:dyDescent="0.3">
      <c r="A706" t="s">
        <v>568</v>
      </c>
      <c r="B706">
        <v>21123</v>
      </c>
      <c r="C706" t="s">
        <v>4115</v>
      </c>
      <c r="D706" t="s">
        <v>465</v>
      </c>
      <c r="E706">
        <v>8</v>
      </c>
      <c r="F706">
        <v>48</v>
      </c>
      <c r="G706">
        <v>6</v>
      </c>
    </row>
    <row r="707" spans="1:7" x14ac:dyDescent="0.3">
      <c r="A707" t="s">
        <v>568</v>
      </c>
      <c r="B707">
        <v>19553</v>
      </c>
      <c r="C707" t="s">
        <v>4078</v>
      </c>
      <c r="D707" t="s">
        <v>465</v>
      </c>
      <c r="E707">
        <v>7.5</v>
      </c>
      <c r="F707">
        <v>42.65</v>
      </c>
      <c r="G707">
        <v>5.69</v>
      </c>
    </row>
    <row r="708" spans="1:7" x14ac:dyDescent="0.3">
      <c r="A708" t="s">
        <v>568</v>
      </c>
      <c r="B708">
        <v>18272</v>
      </c>
      <c r="C708" t="s">
        <v>4046</v>
      </c>
      <c r="D708" t="s">
        <v>465</v>
      </c>
      <c r="E708">
        <v>3</v>
      </c>
      <c r="F708">
        <v>116.7</v>
      </c>
      <c r="G708">
        <v>38.9</v>
      </c>
    </row>
    <row r="709" spans="1:7" x14ac:dyDescent="0.3">
      <c r="A709" t="s">
        <v>568</v>
      </c>
      <c r="B709">
        <v>17129</v>
      </c>
      <c r="C709" t="s">
        <v>4200</v>
      </c>
      <c r="D709" t="s">
        <v>465</v>
      </c>
      <c r="E709">
        <v>5</v>
      </c>
      <c r="F709">
        <v>133.05000000000001</v>
      </c>
      <c r="G709">
        <v>26.61</v>
      </c>
    </row>
    <row r="710" spans="1:7" x14ac:dyDescent="0.3">
      <c r="A710" t="s">
        <v>568</v>
      </c>
      <c r="B710">
        <v>17437</v>
      </c>
      <c r="C710" t="s">
        <v>4198</v>
      </c>
      <c r="D710" t="s">
        <v>465</v>
      </c>
      <c r="E710">
        <v>41</v>
      </c>
      <c r="F710">
        <v>94.3</v>
      </c>
      <c r="G710">
        <v>2.2999999999999998</v>
      </c>
    </row>
    <row r="711" spans="1:7" x14ac:dyDescent="0.3">
      <c r="A711" t="s">
        <v>568</v>
      </c>
      <c r="B711">
        <v>17405</v>
      </c>
      <c r="C711" t="s">
        <v>4251</v>
      </c>
      <c r="D711" t="s">
        <v>465</v>
      </c>
      <c r="E711">
        <v>1</v>
      </c>
      <c r="F711">
        <v>9.26</v>
      </c>
      <c r="G711">
        <v>9.26</v>
      </c>
    </row>
    <row r="712" spans="1:7" x14ac:dyDescent="0.3">
      <c r="A712" t="s">
        <v>568</v>
      </c>
      <c r="B712">
        <v>17404</v>
      </c>
      <c r="C712" t="s">
        <v>4282</v>
      </c>
      <c r="D712" t="s">
        <v>465</v>
      </c>
      <c r="E712">
        <v>1</v>
      </c>
      <c r="F712">
        <v>18.43</v>
      </c>
      <c r="G712">
        <v>18.43</v>
      </c>
    </row>
    <row r="713" spans="1:7" x14ac:dyDescent="0.3">
      <c r="A713" t="s">
        <v>568</v>
      </c>
      <c r="B713">
        <v>17383</v>
      </c>
      <c r="C713" t="s">
        <v>4252</v>
      </c>
      <c r="D713" t="s">
        <v>465</v>
      </c>
      <c r="E713">
        <v>1</v>
      </c>
      <c r="F713">
        <v>38.89</v>
      </c>
      <c r="G713">
        <v>38.89</v>
      </c>
    </row>
    <row r="714" spans="1:7" x14ac:dyDescent="0.3">
      <c r="A714" t="s">
        <v>568</v>
      </c>
      <c r="B714">
        <v>19906</v>
      </c>
      <c r="C714" t="s">
        <v>4171</v>
      </c>
      <c r="D714" t="s">
        <v>465</v>
      </c>
      <c r="E714">
        <v>10</v>
      </c>
      <c r="F714">
        <v>35.799999999999997</v>
      </c>
      <c r="G714">
        <v>3.58</v>
      </c>
    </row>
    <row r="715" spans="1:7" x14ac:dyDescent="0.3">
      <c r="A715" t="s">
        <v>568</v>
      </c>
      <c r="B715">
        <v>19902</v>
      </c>
      <c r="C715" t="s">
        <v>3909</v>
      </c>
      <c r="D715" t="s">
        <v>465</v>
      </c>
      <c r="E715">
        <v>1</v>
      </c>
      <c r="F715">
        <v>25.9</v>
      </c>
      <c r="G715">
        <v>25.9</v>
      </c>
    </row>
    <row r="716" spans="1:7" x14ac:dyDescent="0.3">
      <c r="A716" t="s">
        <v>568</v>
      </c>
      <c r="B716">
        <v>23113</v>
      </c>
      <c r="C716" t="s">
        <v>4079</v>
      </c>
      <c r="D716" t="s">
        <v>465</v>
      </c>
      <c r="E716">
        <v>12.71</v>
      </c>
      <c r="F716">
        <v>184.65</v>
      </c>
      <c r="G716">
        <v>14.53</v>
      </c>
    </row>
    <row r="717" spans="1:7" x14ac:dyDescent="0.3">
      <c r="A717" t="s">
        <v>568</v>
      </c>
      <c r="B717">
        <v>19465</v>
      </c>
      <c r="C717" t="s">
        <v>4080</v>
      </c>
      <c r="D717" t="s">
        <v>465</v>
      </c>
      <c r="E717">
        <v>5.65</v>
      </c>
      <c r="F717">
        <v>35.54</v>
      </c>
      <c r="G717">
        <v>6.29</v>
      </c>
    </row>
    <row r="718" spans="1:7" x14ac:dyDescent="0.3">
      <c r="A718" t="s">
        <v>568</v>
      </c>
      <c r="B718">
        <v>20458</v>
      </c>
      <c r="C718" t="s">
        <v>4121</v>
      </c>
      <c r="D718" t="s">
        <v>465</v>
      </c>
      <c r="E718">
        <v>3.4</v>
      </c>
      <c r="F718">
        <v>111.86</v>
      </c>
      <c r="G718">
        <v>32.9</v>
      </c>
    </row>
    <row r="719" spans="1:7" x14ac:dyDescent="0.3">
      <c r="A719" t="s">
        <v>568</v>
      </c>
      <c r="B719">
        <v>20457</v>
      </c>
      <c r="C719" t="s">
        <v>3999</v>
      </c>
      <c r="D719" t="s">
        <v>465</v>
      </c>
      <c r="E719">
        <v>2.6</v>
      </c>
      <c r="F719">
        <v>101.4</v>
      </c>
      <c r="G719">
        <v>39</v>
      </c>
    </row>
    <row r="720" spans="1:7" x14ac:dyDescent="0.3">
      <c r="A720" t="s">
        <v>568</v>
      </c>
      <c r="B720">
        <v>20456</v>
      </c>
      <c r="C720" t="s">
        <v>4000</v>
      </c>
      <c r="D720" t="s">
        <v>465</v>
      </c>
      <c r="E720">
        <v>2.8</v>
      </c>
      <c r="F720">
        <v>109.2</v>
      </c>
      <c r="G720">
        <v>39</v>
      </c>
    </row>
    <row r="721" spans="1:7" x14ac:dyDescent="0.3">
      <c r="A721" t="s">
        <v>568</v>
      </c>
      <c r="B721">
        <v>17881</v>
      </c>
      <c r="C721" t="s">
        <v>4095</v>
      </c>
      <c r="D721" t="s">
        <v>465</v>
      </c>
      <c r="E721">
        <v>6</v>
      </c>
      <c r="F721">
        <v>153.18</v>
      </c>
      <c r="G721">
        <v>25.53</v>
      </c>
    </row>
    <row r="722" spans="1:7" x14ac:dyDescent="0.3">
      <c r="A722" t="s">
        <v>568</v>
      </c>
      <c r="B722">
        <v>18586</v>
      </c>
      <c r="C722" t="s">
        <v>4107</v>
      </c>
      <c r="D722" t="s">
        <v>465</v>
      </c>
      <c r="E722">
        <v>20</v>
      </c>
      <c r="F722">
        <v>2641.4</v>
      </c>
      <c r="G722">
        <v>132.07</v>
      </c>
    </row>
    <row r="723" spans="1:7" x14ac:dyDescent="0.3">
      <c r="A723" t="s">
        <v>568</v>
      </c>
      <c r="B723">
        <v>17878</v>
      </c>
      <c r="C723" t="s">
        <v>4096</v>
      </c>
      <c r="D723" t="s">
        <v>465</v>
      </c>
      <c r="E723">
        <v>1</v>
      </c>
      <c r="F723">
        <v>35.9</v>
      </c>
      <c r="G723">
        <v>35.9</v>
      </c>
    </row>
    <row r="724" spans="1:7" x14ac:dyDescent="0.3">
      <c r="A724" t="s">
        <v>568</v>
      </c>
      <c r="B724">
        <v>28639</v>
      </c>
      <c r="C724" t="s">
        <v>4303</v>
      </c>
      <c r="D724" t="s">
        <v>465</v>
      </c>
      <c r="E724">
        <v>2</v>
      </c>
      <c r="F724">
        <v>569.91999999999996</v>
      </c>
      <c r="G724">
        <v>284.95999999999998</v>
      </c>
    </row>
    <row r="725" spans="1:7" x14ac:dyDescent="0.3">
      <c r="A725" t="s">
        <v>568</v>
      </c>
      <c r="B725">
        <v>19672</v>
      </c>
      <c r="C725" t="s">
        <v>4024</v>
      </c>
      <c r="D725" t="s">
        <v>465</v>
      </c>
      <c r="E725">
        <v>14.2</v>
      </c>
      <c r="F725">
        <v>184.6</v>
      </c>
      <c r="G725">
        <v>13</v>
      </c>
    </row>
    <row r="726" spans="1:7" x14ac:dyDescent="0.3">
      <c r="A726" t="s">
        <v>568</v>
      </c>
      <c r="B726">
        <v>25769</v>
      </c>
      <c r="C726" t="s">
        <v>4013</v>
      </c>
      <c r="D726" t="s">
        <v>465</v>
      </c>
      <c r="E726">
        <v>2</v>
      </c>
      <c r="F726">
        <v>27.8</v>
      </c>
      <c r="G726">
        <v>13.9</v>
      </c>
    </row>
    <row r="727" spans="1:7" x14ac:dyDescent="0.3">
      <c r="A727" t="s">
        <v>568</v>
      </c>
      <c r="B727">
        <v>18233</v>
      </c>
      <c r="C727" t="s">
        <v>4090</v>
      </c>
      <c r="D727" t="s">
        <v>465</v>
      </c>
      <c r="E727">
        <v>1</v>
      </c>
      <c r="F727">
        <v>103.9</v>
      </c>
      <c r="G727">
        <v>103.9</v>
      </c>
    </row>
    <row r="728" spans="1:7" x14ac:dyDescent="0.3">
      <c r="A728" t="s">
        <v>568</v>
      </c>
      <c r="B728">
        <v>19539</v>
      </c>
      <c r="C728" t="s">
        <v>4133</v>
      </c>
      <c r="D728" t="s">
        <v>465</v>
      </c>
      <c r="E728">
        <v>72</v>
      </c>
      <c r="F728">
        <v>836.46</v>
      </c>
      <c r="G728">
        <v>11.62</v>
      </c>
    </row>
    <row r="729" spans="1:7" x14ac:dyDescent="0.3">
      <c r="A729" t="s">
        <v>568</v>
      </c>
      <c r="B729">
        <v>23171</v>
      </c>
      <c r="C729" t="s">
        <v>4132</v>
      </c>
      <c r="D729" t="s">
        <v>465</v>
      </c>
      <c r="E729">
        <v>30.35</v>
      </c>
      <c r="F729">
        <v>347.27</v>
      </c>
      <c r="G729">
        <v>11.44</v>
      </c>
    </row>
    <row r="730" spans="1:7" x14ac:dyDescent="0.3">
      <c r="A730" t="s">
        <v>568</v>
      </c>
      <c r="B730">
        <v>24484</v>
      </c>
      <c r="C730" t="s">
        <v>4154</v>
      </c>
      <c r="D730" t="s">
        <v>465</v>
      </c>
      <c r="E730">
        <v>1.3</v>
      </c>
      <c r="F730">
        <v>17.920000000000002</v>
      </c>
      <c r="G730">
        <v>13.78</v>
      </c>
    </row>
    <row r="731" spans="1:7" x14ac:dyDescent="0.3">
      <c r="A731" t="s">
        <v>568</v>
      </c>
      <c r="B731">
        <v>17362</v>
      </c>
      <c r="C731" t="s">
        <v>4278</v>
      </c>
      <c r="D731" t="s">
        <v>465</v>
      </c>
      <c r="E731">
        <v>1</v>
      </c>
      <c r="F731">
        <v>49.97</v>
      </c>
      <c r="G731">
        <v>49.97</v>
      </c>
    </row>
    <row r="732" spans="1:7" x14ac:dyDescent="0.3">
      <c r="A732" t="s">
        <v>568</v>
      </c>
      <c r="B732">
        <v>17066</v>
      </c>
      <c r="C732" t="s">
        <v>4155</v>
      </c>
      <c r="D732" t="s">
        <v>465</v>
      </c>
      <c r="E732">
        <v>3</v>
      </c>
      <c r="F732">
        <v>72.260000000000005</v>
      </c>
      <c r="G732">
        <v>24.09</v>
      </c>
    </row>
    <row r="733" spans="1:7" x14ac:dyDescent="0.3">
      <c r="A733" t="s">
        <v>568</v>
      </c>
      <c r="B733">
        <v>20949</v>
      </c>
      <c r="C733" t="s">
        <v>3983</v>
      </c>
      <c r="D733" t="s">
        <v>465</v>
      </c>
      <c r="E733">
        <v>6</v>
      </c>
      <c r="F733">
        <v>47.76</v>
      </c>
      <c r="G733">
        <v>7.96</v>
      </c>
    </row>
    <row r="734" spans="1:7" x14ac:dyDescent="0.3">
      <c r="A734" t="s">
        <v>568</v>
      </c>
      <c r="B734">
        <v>18179</v>
      </c>
      <c r="C734" t="s">
        <v>3995</v>
      </c>
      <c r="D734" t="s">
        <v>465</v>
      </c>
      <c r="E734">
        <v>1</v>
      </c>
      <c r="F734">
        <v>116.41</v>
      </c>
      <c r="G734">
        <v>116.41</v>
      </c>
    </row>
    <row r="735" spans="1:7" x14ac:dyDescent="0.3">
      <c r="A735" t="s">
        <v>568</v>
      </c>
      <c r="B735">
        <v>18172</v>
      </c>
      <c r="C735" t="s">
        <v>3923</v>
      </c>
      <c r="D735" t="s">
        <v>465</v>
      </c>
      <c r="E735">
        <v>12</v>
      </c>
      <c r="F735">
        <v>292.8</v>
      </c>
      <c r="G735">
        <v>24.4</v>
      </c>
    </row>
    <row r="736" spans="1:7" x14ac:dyDescent="0.3">
      <c r="A736" t="s">
        <v>568</v>
      </c>
      <c r="B736">
        <v>19787</v>
      </c>
      <c r="C736" t="s">
        <v>3940</v>
      </c>
      <c r="D736" t="s">
        <v>464</v>
      </c>
      <c r="E736">
        <v>35.4</v>
      </c>
      <c r="F736">
        <v>208.14</v>
      </c>
      <c r="G736">
        <v>5.88</v>
      </c>
    </row>
    <row r="737" spans="1:7" x14ac:dyDescent="0.3">
      <c r="A737" t="s">
        <v>568</v>
      </c>
      <c r="B737">
        <v>21093</v>
      </c>
      <c r="C737" t="s">
        <v>3903</v>
      </c>
      <c r="D737" t="s">
        <v>464</v>
      </c>
      <c r="E737">
        <v>30</v>
      </c>
      <c r="F737">
        <v>131.69999999999999</v>
      </c>
      <c r="G737">
        <v>4.3899999999999997</v>
      </c>
    </row>
    <row r="738" spans="1:7" x14ac:dyDescent="0.3">
      <c r="A738" t="s">
        <v>568</v>
      </c>
      <c r="B738">
        <v>19458</v>
      </c>
      <c r="C738" t="s">
        <v>4212</v>
      </c>
      <c r="D738" t="s">
        <v>464</v>
      </c>
      <c r="E738">
        <v>1.5</v>
      </c>
      <c r="F738">
        <v>21</v>
      </c>
      <c r="G738">
        <v>14</v>
      </c>
    </row>
    <row r="739" spans="1:7" x14ac:dyDescent="0.3">
      <c r="A739" t="s">
        <v>568</v>
      </c>
      <c r="B739">
        <v>24006</v>
      </c>
      <c r="C739" t="s">
        <v>4177</v>
      </c>
      <c r="D739" t="s">
        <v>464</v>
      </c>
      <c r="E739">
        <v>25</v>
      </c>
      <c r="F739">
        <v>597.5</v>
      </c>
      <c r="G739">
        <v>23.9</v>
      </c>
    </row>
    <row r="740" spans="1:7" x14ac:dyDescent="0.3">
      <c r="A740" t="s">
        <v>568</v>
      </c>
      <c r="B740">
        <v>17969</v>
      </c>
      <c r="C740" t="s">
        <v>4175</v>
      </c>
      <c r="D740" t="s">
        <v>464</v>
      </c>
      <c r="E740">
        <v>25</v>
      </c>
      <c r="F740">
        <v>567.5</v>
      </c>
      <c r="G740">
        <v>22.7</v>
      </c>
    </row>
    <row r="741" spans="1:7" x14ac:dyDescent="0.3">
      <c r="A741" t="s">
        <v>568</v>
      </c>
      <c r="B741">
        <v>17314</v>
      </c>
      <c r="C741" t="s">
        <v>4204</v>
      </c>
      <c r="D741" t="s">
        <v>464</v>
      </c>
      <c r="E741">
        <v>4</v>
      </c>
      <c r="F741">
        <v>39.6</v>
      </c>
      <c r="G741">
        <v>9.9</v>
      </c>
    </row>
    <row r="742" spans="1:7" x14ac:dyDescent="0.3">
      <c r="A742" t="s">
        <v>568</v>
      </c>
      <c r="B742">
        <v>18006</v>
      </c>
      <c r="C742" t="s">
        <v>4138</v>
      </c>
      <c r="D742" t="s">
        <v>464</v>
      </c>
      <c r="E742">
        <v>4</v>
      </c>
      <c r="F742">
        <v>118.56</v>
      </c>
      <c r="G742">
        <v>29.64</v>
      </c>
    </row>
    <row r="743" spans="1:7" x14ac:dyDescent="0.3">
      <c r="A743" t="s">
        <v>568</v>
      </c>
      <c r="B743">
        <v>18004</v>
      </c>
      <c r="C743" t="s">
        <v>4140</v>
      </c>
      <c r="D743" t="s">
        <v>464</v>
      </c>
      <c r="E743">
        <v>4</v>
      </c>
      <c r="F743">
        <v>118.56</v>
      </c>
      <c r="G743">
        <v>29.64</v>
      </c>
    </row>
    <row r="744" spans="1:7" x14ac:dyDescent="0.3">
      <c r="A744" t="s">
        <v>568</v>
      </c>
      <c r="B744">
        <v>17266</v>
      </c>
      <c r="C744" t="s">
        <v>4229</v>
      </c>
      <c r="D744" t="s">
        <v>464</v>
      </c>
      <c r="E744">
        <v>1</v>
      </c>
      <c r="F744">
        <v>4.8899999999999997</v>
      </c>
      <c r="G744">
        <v>4.8899999999999997</v>
      </c>
    </row>
    <row r="745" spans="1:7" x14ac:dyDescent="0.3">
      <c r="A745" t="s">
        <v>568</v>
      </c>
      <c r="B745">
        <v>19506</v>
      </c>
      <c r="C745" t="s">
        <v>4112</v>
      </c>
      <c r="D745" t="s">
        <v>464</v>
      </c>
      <c r="E745">
        <v>1.4</v>
      </c>
      <c r="F745">
        <v>91</v>
      </c>
      <c r="G745">
        <v>65</v>
      </c>
    </row>
    <row r="746" spans="1:7" x14ac:dyDescent="0.3">
      <c r="A746" t="s">
        <v>568</v>
      </c>
      <c r="B746">
        <v>19505</v>
      </c>
      <c r="C746" t="s">
        <v>4101</v>
      </c>
      <c r="D746" t="s">
        <v>464</v>
      </c>
      <c r="E746">
        <v>11</v>
      </c>
      <c r="F746">
        <v>118.5</v>
      </c>
      <c r="G746">
        <v>10.77</v>
      </c>
    </row>
    <row r="747" spans="1:7" x14ac:dyDescent="0.3">
      <c r="A747" t="s">
        <v>568</v>
      </c>
      <c r="B747">
        <v>23142</v>
      </c>
      <c r="C747" t="s">
        <v>4151</v>
      </c>
      <c r="D747" t="s">
        <v>464</v>
      </c>
      <c r="E747">
        <v>8</v>
      </c>
      <c r="F747">
        <v>179.93</v>
      </c>
      <c r="G747">
        <v>22.49</v>
      </c>
    </row>
    <row r="748" spans="1:7" x14ac:dyDescent="0.3">
      <c r="A748" t="s">
        <v>568</v>
      </c>
      <c r="B748">
        <v>19498</v>
      </c>
      <c r="C748" t="s">
        <v>4065</v>
      </c>
      <c r="D748" t="s">
        <v>464</v>
      </c>
      <c r="E748">
        <v>8</v>
      </c>
      <c r="F748">
        <v>114</v>
      </c>
      <c r="G748">
        <v>14.25</v>
      </c>
    </row>
    <row r="749" spans="1:7" x14ac:dyDescent="0.3">
      <c r="A749" t="s">
        <v>568</v>
      </c>
      <c r="B749">
        <v>19652</v>
      </c>
      <c r="C749" t="s">
        <v>4014</v>
      </c>
      <c r="D749" t="s">
        <v>464</v>
      </c>
      <c r="E749">
        <v>1</v>
      </c>
      <c r="F749">
        <v>17.559999999999999</v>
      </c>
      <c r="G749">
        <v>17.559999999999999</v>
      </c>
    </row>
    <row r="750" spans="1:7" x14ac:dyDescent="0.3">
      <c r="A750" t="s">
        <v>568</v>
      </c>
      <c r="B750">
        <v>23270</v>
      </c>
      <c r="C750" t="s">
        <v>4103</v>
      </c>
      <c r="D750" t="s">
        <v>464</v>
      </c>
      <c r="E750">
        <v>1</v>
      </c>
      <c r="F750">
        <v>19.899999999999999</v>
      </c>
      <c r="G750">
        <v>19.899999999999999</v>
      </c>
    </row>
    <row r="751" spans="1:7" x14ac:dyDescent="0.3">
      <c r="A751" t="s">
        <v>568</v>
      </c>
      <c r="B751">
        <v>19647</v>
      </c>
      <c r="C751" t="s">
        <v>4066</v>
      </c>
      <c r="D751" t="s">
        <v>464</v>
      </c>
      <c r="E751">
        <v>5</v>
      </c>
      <c r="F751">
        <v>68.8</v>
      </c>
      <c r="G751">
        <v>13.76</v>
      </c>
    </row>
    <row r="752" spans="1:7" x14ac:dyDescent="0.3">
      <c r="A752" t="s">
        <v>568</v>
      </c>
      <c r="B752">
        <v>24037</v>
      </c>
      <c r="C752" t="s">
        <v>4104</v>
      </c>
      <c r="D752" t="s">
        <v>464</v>
      </c>
      <c r="E752">
        <v>18</v>
      </c>
      <c r="F752">
        <v>324.39999999999998</v>
      </c>
      <c r="G752">
        <v>18.02</v>
      </c>
    </row>
    <row r="753" spans="1:7" x14ac:dyDescent="0.3">
      <c r="A753" t="s">
        <v>568</v>
      </c>
      <c r="B753">
        <v>18528</v>
      </c>
      <c r="C753" t="s">
        <v>4108</v>
      </c>
      <c r="D753" t="s">
        <v>464</v>
      </c>
      <c r="E753">
        <v>2</v>
      </c>
      <c r="F753">
        <v>99.38</v>
      </c>
      <c r="G753">
        <v>49.69</v>
      </c>
    </row>
    <row r="754" spans="1:7" x14ac:dyDescent="0.3">
      <c r="A754" t="s">
        <v>568</v>
      </c>
      <c r="B754">
        <v>18538</v>
      </c>
      <c r="C754" t="s">
        <v>4026</v>
      </c>
      <c r="D754" t="s">
        <v>464</v>
      </c>
      <c r="E754">
        <v>6</v>
      </c>
      <c r="F754">
        <v>625.36</v>
      </c>
      <c r="G754">
        <v>104.23</v>
      </c>
    </row>
    <row r="755" spans="1:7" x14ac:dyDescent="0.3">
      <c r="A755" t="s">
        <v>568</v>
      </c>
      <c r="B755">
        <v>20301</v>
      </c>
      <c r="C755" t="s">
        <v>4161</v>
      </c>
      <c r="D755" t="s">
        <v>464</v>
      </c>
      <c r="E755">
        <v>22</v>
      </c>
      <c r="F755">
        <v>462</v>
      </c>
      <c r="G755">
        <v>21</v>
      </c>
    </row>
    <row r="756" spans="1:7" x14ac:dyDescent="0.3">
      <c r="A756" t="s">
        <v>568</v>
      </c>
      <c r="B756">
        <v>21783</v>
      </c>
      <c r="C756" t="s">
        <v>4228</v>
      </c>
      <c r="D756" t="s">
        <v>464</v>
      </c>
      <c r="E756">
        <v>2</v>
      </c>
      <c r="F756">
        <v>32</v>
      </c>
      <c r="G756">
        <v>16</v>
      </c>
    </row>
    <row r="757" spans="1:7" x14ac:dyDescent="0.3">
      <c r="A757" t="s">
        <v>568</v>
      </c>
      <c r="B757">
        <v>21030</v>
      </c>
      <c r="C757" t="s">
        <v>3890</v>
      </c>
      <c r="D757" t="s">
        <v>464</v>
      </c>
      <c r="E757">
        <v>6</v>
      </c>
      <c r="F757">
        <v>119.4</v>
      </c>
      <c r="G757">
        <v>19.899999999999999</v>
      </c>
    </row>
    <row r="758" spans="1:7" x14ac:dyDescent="0.3">
      <c r="A758" t="s">
        <v>568</v>
      </c>
      <c r="B758">
        <v>20752</v>
      </c>
      <c r="C758" t="s">
        <v>3964</v>
      </c>
      <c r="D758" t="s">
        <v>464</v>
      </c>
      <c r="E758">
        <v>10</v>
      </c>
      <c r="F758">
        <v>1021.22</v>
      </c>
      <c r="G758">
        <v>102.12</v>
      </c>
    </row>
    <row r="759" spans="1:7" x14ac:dyDescent="0.3">
      <c r="A759" t="s">
        <v>568</v>
      </c>
      <c r="B759">
        <v>20729</v>
      </c>
      <c r="C759" t="s">
        <v>3965</v>
      </c>
      <c r="D759" t="s">
        <v>464</v>
      </c>
      <c r="E759">
        <v>8</v>
      </c>
      <c r="F759">
        <v>536.1</v>
      </c>
      <c r="G759">
        <v>67.010000000000005</v>
      </c>
    </row>
    <row r="760" spans="1:7" x14ac:dyDescent="0.3">
      <c r="A760" t="s">
        <v>568</v>
      </c>
      <c r="B760">
        <v>22734</v>
      </c>
      <c r="C760" t="s">
        <v>3955</v>
      </c>
      <c r="D760" t="s">
        <v>464</v>
      </c>
      <c r="E760">
        <v>40.1</v>
      </c>
      <c r="F760">
        <v>3969.9</v>
      </c>
      <c r="G760">
        <v>99</v>
      </c>
    </row>
    <row r="761" spans="1:7" x14ac:dyDescent="0.3">
      <c r="A761" t="s">
        <v>568</v>
      </c>
      <c r="B761">
        <v>24072</v>
      </c>
      <c r="C761" t="s">
        <v>4002</v>
      </c>
      <c r="D761" t="s">
        <v>464</v>
      </c>
      <c r="E761">
        <v>9.5</v>
      </c>
      <c r="F761">
        <v>2090</v>
      </c>
      <c r="G761">
        <v>220</v>
      </c>
    </row>
    <row r="762" spans="1:7" x14ac:dyDescent="0.3">
      <c r="A762" t="s">
        <v>568</v>
      </c>
      <c r="B762">
        <v>22721</v>
      </c>
      <c r="C762" t="s">
        <v>4221</v>
      </c>
      <c r="D762" t="s">
        <v>464</v>
      </c>
      <c r="E762">
        <v>3.76</v>
      </c>
      <c r="F762">
        <v>110.92</v>
      </c>
      <c r="G762">
        <v>29.5</v>
      </c>
    </row>
    <row r="763" spans="1:7" x14ac:dyDescent="0.3">
      <c r="A763" t="s">
        <v>568</v>
      </c>
      <c r="B763">
        <v>23389</v>
      </c>
      <c r="C763" t="s">
        <v>4016</v>
      </c>
      <c r="D763" t="s">
        <v>464</v>
      </c>
      <c r="E763">
        <v>43</v>
      </c>
      <c r="F763">
        <v>219.9</v>
      </c>
      <c r="G763">
        <v>5.1100000000000003</v>
      </c>
    </row>
    <row r="764" spans="1:7" x14ac:dyDescent="0.3">
      <c r="A764" t="s">
        <v>568</v>
      </c>
      <c r="B764">
        <v>24083</v>
      </c>
      <c r="C764" t="s">
        <v>3898</v>
      </c>
      <c r="D764" t="s">
        <v>464</v>
      </c>
      <c r="E764">
        <v>145.18</v>
      </c>
      <c r="F764">
        <v>777.03</v>
      </c>
      <c r="G764">
        <v>5.35</v>
      </c>
    </row>
    <row r="765" spans="1:7" x14ac:dyDescent="0.3">
      <c r="A765" t="s">
        <v>568</v>
      </c>
      <c r="B765">
        <v>20278</v>
      </c>
      <c r="C765" t="s">
        <v>3939</v>
      </c>
      <c r="D765" t="s">
        <v>464</v>
      </c>
      <c r="E765">
        <v>12</v>
      </c>
      <c r="F765">
        <v>355.08</v>
      </c>
      <c r="G765">
        <v>29.59</v>
      </c>
    </row>
    <row r="766" spans="1:7" x14ac:dyDescent="0.3">
      <c r="A766" t="s">
        <v>568</v>
      </c>
      <c r="B766">
        <v>19642</v>
      </c>
      <c r="C766" t="s">
        <v>4067</v>
      </c>
      <c r="D766" t="s">
        <v>464</v>
      </c>
      <c r="E766">
        <v>4.25</v>
      </c>
      <c r="F766">
        <v>25.02</v>
      </c>
      <c r="G766">
        <v>5.89</v>
      </c>
    </row>
    <row r="767" spans="1:7" x14ac:dyDescent="0.3">
      <c r="A767" t="s">
        <v>568</v>
      </c>
      <c r="B767">
        <v>20287</v>
      </c>
      <c r="C767" t="s">
        <v>4053</v>
      </c>
      <c r="D767" t="s">
        <v>464</v>
      </c>
      <c r="E767">
        <v>1</v>
      </c>
      <c r="F767">
        <v>24.99</v>
      </c>
      <c r="G767">
        <v>24.99</v>
      </c>
    </row>
    <row r="768" spans="1:7" x14ac:dyDescent="0.3">
      <c r="A768" t="s">
        <v>568</v>
      </c>
      <c r="B768">
        <v>19634</v>
      </c>
      <c r="C768" t="s">
        <v>4068</v>
      </c>
      <c r="D768" t="s">
        <v>464</v>
      </c>
      <c r="E768">
        <v>6.2</v>
      </c>
      <c r="F768">
        <v>48.86</v>
      </c>
      <c r="G768">
        <v>7.88</v>
      </c>
    </row>
    <row r="769" spans="1:7" x14ac:dyDescent="0.3">
      <c r="A769" t="s">
        <v>568</v>
      </c>
      <c r="B769">
        <v>18696</v>
      </c>
      <c r="C769" t="s">
        <v>3956</v>
      </c>
      <c r="D769" t="s">
        <v>464</v>
      </c>
      <c r="E769">
        <v>17.07</v>
      </c>
      <c r="F769">
        <v>307.08999999999997</v>
      </c>
      <c r="G769">
        <v>17.989999999999998</v>
      </c>
    </row>
    <row r="770" spans="1:7" x14ac:dyDescent="0.3">
      <c r="A770" t="s">
        <v>568</v>
      </c>
      <c r="B770">
        <v>28717</v>
      </c>
      <c r="C770" t="s">
        <v>4323</v>
      </c>
      <c r="D770" t="s">
        <v>464</v>
      </c>
      <c r="E770">
        <v>1</v>
      </c>
      <c r="F770">
        <v>229.62</v>
      </c>
      <c r="G770">
        <v>229.62</v>
      </c>
    </row>
    <row r="771" spans="1:7" x14ac:dyDescent="0.3">
      <c r="A771" t="s">
        <v>568</v>
      </c>
      <c r="B771">
        <v>24099</v>
      </c>
      <c r="C771" t="s">
        <v>4321</v>
      </c>
      <c r="D771" t="s">
        <v>464</v>
      </c>
      <c r="E771">
        <v>2</v>
      </c>
      <c r="F771">
        <v>27.6</v>
      </c>
      <c r="G771">
        <v>13.8</v>
      </c>
    </row>
    <row r="772" spans="1:7" x14ac:dyDescent="0.3">
      <c r="A772" t="s">
        <v>568</v>
      </c>
      <c r="B772">
        <v>19494</v>
      </c>
      <c r="C772" t="s">
        <v>4126</v>
      </c>
      <c r="D772" t="s">
        <v>464</v>
      </c>
      <c r="E772">
        <v>7</v>
      </c>
      <c r="F772">
        <v>90.4</v>
      </c>
      <c r="G772">
        <v>12.91</v>
      </c>
    </row>
    <row r="773" spans="1:7" x14ac:dyDescent="0.3">
      <c r="A773" t="s">
        <v>568</v>
      </c>
      <c r="B773">
        <v>24599</v>
      </c>
      <c r="C773" t="s">
        <v>3897</v>
      </c>
      <c r="D773" t="s">
        <v>464</v>
      </c>
      <c r="E773">
        <v>1</v>
      </c>
      <c r="F773">
        <v>118.33</v>
      </c>
      <c r="G773">
        <v>118.33</v>
      </c>
    </row>
    <row r="774" spans="1:7" x14ac:dyDescent="0.3">
      <c r="A774" t="s">
        <v>568</v>
      </c>
      <c r="B774">
        <v>18493</v>
      </c>
      <c r="C774" t="s">
        <v>3958</v>
      </c>
      <c r="D774" t="s">
        <v>464</v>
      </c>
      <c r="E774">
        <v>4</v>
      </c>
      <c r="F774">
        <v>279.60000000000002</v>
      </c>
      <c r="G774">
        <v>69.900000000000006</v>
      </c>
    </row>
    <row r="775" spans="1:7" x14ac:dyDescent="0.3">
      <c r="A775" t="s">
        <v>568</v>
      </c>
      <c r="B775">
        <v>18491</v>
      </c>
      <c r="C775" t="s">
        <v>3934</v>
      </c>
      <c r="D775" t="s">
        <v>464</v>
      </c>
      <c r="E775">
        <v>2</v>
      </c>
      <c r="F775">
        <v>67.8</v>
      </c>
      <c r="G775">
        <v>33.9</v>
      </c>
    </row>
    <row r="776" spans="1:7" x14ac:dyDescent="0.3">
      <c r="A776" t="s">
        <v>568</v>
      </c>
      <c r="B776">
        <v>18475</v>
      </c>
      <c r="C776" t="s">
        <v>3918</v>
      </c>
      <c r="D776" t="s">
        <v>464</v>
      </c>
      <c r="E776">
        <v>24</v>
      </c>
      <c r="F776">
        <v>789.6</v>
      </c>
      <c r="G776">
        <v>32.9</v>
      </c>
    </row>
    <row r="777" spans="1:7" x14ac:dyDescent="0.3">
      <c r="A777" t="s">
        <v>568</v>
      </c>
      <c r="B777">
        <v>18467</v>
      </c>
      <c r="C777" t="s">
        <v>4028</v>
      </c>
      <c r="D777" t="s">
        <v>464</v>
      </c>
      <c r="E777">
        <v>2</v>
      </c>
      <c r="F777">
        <v>153.9</v>
      </c>
      <c r="G777">
        <v>76.95</v>
      </c>
    </row>
    <row r="778" spans="1:7" x14ac:dyDescent="0.3">
      <c r="A778" t="s">
        <v>568</v>
      </c>
      <c r="B778">
        <v>20809</v>
      </c>
      <c r="C778" t="s">
        <v>4005</v>
      </c>
      <c r="D778" t="s">
        <v>464</v>
      </c>
      <c r="E778">
        <v>12</v>
      </c>
      <c r="F778">
        <v>358.8</v>
      </c>
      <c r="G778">
        <v>29.9</v>
      </c>
    </row>
    <row r="779" spans="1:7" x14ac:dyDescent="0.3">
      <c r="A779" t="s">
        <v>568</v>
      </c>
      <c r="B779">
        <v>20077</v>
      </c>
      <c r="C779" t="s">
        <v>4054</v>
      </c>
      <c r="D779" t="s">
        <v>464</v>
      </c>
      <c r="E779">
        <v>2</v>
      </c>
      <c r="F779">
        <v>32.700000000000003</v>
      </c>
      <c r="G779">
        <v>16.350000000000001</v>
      </c>
    </row>
    <row r="780" spans="1:7" x14ac:dyDescent="0.3">
      <c r="A780" t="s">
        <v>568</v>
      </c>
      <c r="B780">
        <v>17554</v>
      </c>
      <c r="C780" t="s">
        <v>4315</v>
      </c>
      <c r="D780" t="s">
        <v>464</v>
      </c>
      <c r="E780">
        <v>1</v>
      </c>
      <c r="F780">
        <v>215</v>
      </c>
      <c r="G780">
        <v>215</v>
      </c>
    </row>
    <row r="781" spans="1:7" x14ac:dyDescent="0.3">
      <c r="A781" t="s">
        <v>568</v>
      </c>
      <c r="B781">
        <v>19773</v>
      </c>
      <c r="C781" t="s">
        <v>4168</v>
      </c>
      <c r="D781" t="s">
        <v>464</v>
      </c>
      <c r="E781">
        <v>2</v>
      </c>
      <c r="F781">
        <v>40</v>
      </c>
      <c r="G781">
        <v>20</v>
      </c>
    </row>
    <row r="782" spans="1:7" x14ac:dyDescent="0.3">
      <c r="A782" t="s">
        <v>568</v>
      </c>
      <c r="B782">
        <v>24116</v>
      </c>
      <c r="C782" t="s">
        <v>3963</v>
      </c>
      <c r="D782" t="s">
        <v>464</v>
      </c>
      <c r="E782">
        <v>20</v>
      </c>
      <c r="F782">
        <v>838</v>
      </c>
      <c r="G782">
        <v>41.9</v>
      </c>
    </row>
    <row r="783" spans="1:7" x14ac:dyDescent="0.3">
      <c r="A783" t="s">
        <v>568</v>
      </c>
      <c r="B783">
        <v>24509</v>
      </c>
      <c r="C783" t="s">
        <v>3906</v>
      </c>
      <c r="D783" t="s">
        <v>464</v>
      </c>
      <c r="E783">
        <v>80.2</v>
      </c>
      <c r="F783">
        <v>301.87</v>
      </c>
      <c r="G783">
        <v>3.76</v>
      </c>
    </row>
    <row r="784" spans="1:7" x14ac:dyDescent="0.3">
      <c r="A784" t="s">
        <v>568</v>
      </c>
      <c r="B784">
        <v>19623</v>
      </c>
      <c r="C784" t="s">
        <v>3984</v>
      </c>
      <c r="D784" t="s">
        <v>464</v>
      </c>
      <c r="E784">
        <v>15.15</v>
      </c>
      <c r="F784">
        <v>77.77</v>
      </c>
      <c r="G784">
        <v>5.13</v>
      </c>
    </row>
    <row r="785" spans="1:7" x14ac:dyDescent="0.3">
      <c r="A785" t="s">
        <v>568</v>
      </c>
      <c r="B785">
        <v>19488</v>
      </c>
      <c r="C785" t="s">
        <v>4070</v>
      </c>
      <c r="D785" t="s">
        <v>464</v>
      </c>
      <c r="E785">
        <v>1.8</v>
      </c>
      <c r="F785">
        <v>24.8</v>
      </c>
      <c r="G785">
        <v>13.78</v>
      </c>
    </row>
    <row r="786" spans="1:7" x14ac:dyDescent="0.3">
      <c r="A786" t="s">
        <v>568</v>
      </c>
      <c r="B786">
        <v>19621</v>
      </c>
      <c r="C786" t="s">
        <v>4125</v>
      </c>
      <c r="D786" t="s">
        <v>464</v>
      </c>
      <c r="E786">
        <v>8.5500000000000007</v>
      </c>
      <c r="F786">
        <v>63.48</v>
      </c>
      <c r="G786">
        <v>7.42</v>
      </c>
    </row>
    <row r="787" spans="1:7" x14ac:dyDescent="0.3">
      <c r="A787" t="s">
        <v>568</v>
      </c>
      <c r="B787">
        <v>18594</v>
      </c>
      <c r="C787" t="s">
        <v>4147</v>
      </c>
      <c r="D787" t="s">
        <v>464</v>
      </c>
      <c r="E787">
        <v>1</v>
      </c>
      <c r="F787">
        <v>82.76</v>
      </c>
      <c r="G787">
        <v>82.76</v>
      </c>
    </row>
    <row r="788" spans="1:7" x14ac:dyDescent="0.3">
      <c r="A788" t="s">
        <v>568</v>
      </c>
      <c r="B788">
        <v>18640</v>
      </c>
      <c r="C788" t="s">
        <v>3994</v>
      </c>
      <c r="D788" t="s">
        <v>464</v>
      </c>
      <c r="E788">
        <v>7</v>
      </c>
      <c r="F788">
        <v>2142</v>
      </c>
      <c r="G788">
        <v>306</v>
      </c>
    </row>
    <row r="789" spans="1:7" x14ac:dyDescent="0.3">
      <c r="A789" t="s">
        <v>568</v>
      </c>
      <c r="B789">
        <v>18636</v>
      </c>
      <c r="C789" t="s">
        <v>3921</v>
      </c>
      <c r="D789" t="s">
        <v>464</v>
      </c>
      <c r="E789">
        <v>73</v>
      </c>
      <c r="F789">
        <v>35244.400000000001</v>
      </c>
      <c r="G789">
        <v>482.8</v>
      </c>
    </row>
    <row r="790" spans="1:7" x14ac:dyDescent="0.3">
      <c r="A790" t="s">
        <v>568</v>
      </c>
      <c r="B790">
        <v>28760</v>
      </c>
      <c r="C790" t="s">
        <v>4188</v>
      </c>
      <c r="D790" t="s">
        <v>464</v>
      </c>
      <c r="E790">
        <v>51.78</v>
      </c>
      <c r="F790">
        <v>3158.58</v>
      </c>
      <c r="G790">
        <v>61</v>
      </c>
    </row>
    <row r="791" spans="1:7" x14ac:dyDescent="0.3">
      <c r="A791" t="s">
        <v>568</v>
      </c>
      <c r="B791">
        <v>19617</v>
      </c>
      <c r="C791" t="s">
        <v>4110</v>
      </c>
      <c r="D791" t="s">
        <v>464</v>
      </c>
      <c r="E791">
        <v>2.2999999999999998</v>
      </c>
      <c r="F791">
        <v>44</v>
      </c>
      <c r="G791">
        <v>19.13</v>
      </c>
    </row>
    <row r="792" spans="1:7" x14ac:dyDescent="0.3">
      <c r="A792" t="s">
        <v>568</v>
      </c>
      <c r="B792">
        <v>20702</v>
      </c>
      <c r="C792" t="s">
        <v>4006</v>
      </c>
      <c r="D792" t="s">
        <v>464</v>
      </c>
      <c r="E792">
        <v>2</v>
      </c>
      <c r="F792">
        <v>85.8</v>
      </c>
      <c r="G792">
        <v>42.9</v>
      </c>
    </row>
    <row r="793" spans="1:7" x14ac:dyDescent="0.3">
      <c r="A793" t="s">
        <v>568</v>
      </c>
      <c r="B793">
        <v>24185</v>
      </c>
      <c r="C793" t="s">
        <v>4040</v>
      </c>
      <c r="D793" t="s">
        <v>464</v>
      </c>
      <c r="E793">
        <v>2</v>
      </c>
      <c r="F793">
        <v>47</v>
      </c>
      <c r="G793">
        <v>23.5</v>
      </c>
    </row>
    <row r="794" spans="1:7" x14ac:dyDescent="0.3">
      <c r="A794" t="s">
        <v>568</v>
      </c>
      <c r="B794">
        <v>20555</v>
      </c>
      <c r="C794" t="s">
        <v>3959</v>
      </c>
      <c r="D794" t="s">
        <v>464</v>
      </c>
      <c r="E794">
        <v>13.7</v>
      </c>
      <c r="F794">
        <v>1082.3</v>
      </c>
      <c r="G794">
        <v>79</v>
      </c>
    </row>
    <row r="795" spans="1:7" x14ac:dyDescent="0.3">
      <c r="A795" t="s">
        <v>568</v>
      </c>
      <c r="B795">
        <v>20549</v>
      </c>
      <c r="C795" t="s">
        <v>4007</v>
      </c>
      <c r="D795" t="s">
        <v>464</v>
      </c>
      <c r="E795">
        <v>20.6</v>
      </c>
      <c r="F795">
        <v>411.79</v>
      </c>
      <c r="G795">
        <v>19.989999999999998</v>
      </c>
    </row>
    <row r="796" spans="1:7" x14ac:dyDescent="0.3">
      <c r="A796" t="s">
        <v>568</v>
      </c>
      <c r="B796">
        <v>18933</v>
      </c>
      <c r="C796" t="s">
        <v>3957</v>
      </c>
      <c r="D796" t="s">
        <v>464</v>
      </c>
      <c r="E796">
        <v>10.43</v>
      </c>
      <c r="F796">
        <v>290.45999999999998</v>
      </c>
      <c r="G796">
        <v>27.85</v>
      </c>
    </row>
    <row r="797" spans="1:7" x14ac:dyDescent="0.3">
      <c r="A797" t="s">
        <v>568</v>
      </c>
      <c r="B797">
        <v>24194</v>
      </c>
      <c r="C797" t="s">
        <v>4181</v>
      </c>
      <c r="D797" t="s">
        <v>464</v>
      </c>
      <c r="E797">
        <v>10</v>
      </c>
      <c r="F797">
        <v>420</v>
      </c>
      <c r="G797">
        <v>42</v>
      </c>
    </row>
    <row r="798" spans="1:7" x14ac:dyDescent="0.3">
      <c r="A798" t="s">
        <v>568</v>
      </c>
      <c r="B798">
        <v>24200</v>
      </c>
      <c r="C798" t="s">
        <v>3975</v>
      </c>
      <c r="D798" t="s">
        <v>464</v>
      </c>
      <c r="E798">
        <v>10.41</v>
      </c>
      <c r="F798">
        <v>342.49</v>
      </c>
      <c r="G798">
        <v>32.9</v>
      </c>
    </row>
    <row r="799" spans="1:7" x14ac:dyDescent="0.3">
      <c r="A799" t="s">
        <v>568</v>
      </c>
      <c r="B799">
        <v>23236</v>
      </c>
      <c r="C799" t="s">
        <v>4017</v>
      </c>
      <c r="D799" t="s">
        <v>464</v>
      </c>
      <c r="E799">
        <v>24</v>
      </c>
      <c r="F799">
        <v>241.17</v>
      </c>
      <c r="G799">
        <v>10.050000000000001</v>
      </c>
    </row>
    <row r="800" spans="1:7" x14ac:dyDescent="0.3">
      <c r="A800" t="s">
        <v>568</v>
      </c>
      <c r="B800">
        <v>19034</v>
      </c>
      <c r="C800" t="s">
        <v>3989</v>
      </c>
      <c r="D800" t="s">
        <v>464</v>
      </c>
      <c r="E800">
        <v>16.3</v>
      </c>
      <c r="F800">
        <v>146.54</v>
      </c>
      <c r="G800">
        <v>8.99</v>
      </c>
    </row>
    <row r="801" spans="1:7" x14ac:dyDescent="0.3">
      <c r="A801" t="s">
        <v>568</v>
      </c>
      <c r="B801">
        <v>24212</v>
      </c>
      <c r="C801" t="s">
        <v>4056</v>
      </c>
      <c r="D801" t="s">
        <v>464</v>
      </c>
      <c r="E801">
        <v>4</v>
      </c>
      <c r="F801">
        <v>51.8</v>
      </c>
      <c r="G801">
        <v>12.95</v>
      </c>
    </row>
    <row r="802" spans="1:7" x14ac:dyDescent="0.3">
      <c r="A802" t="s">
        <v>568</v>
      </c>
      <c r="B802">
        <v>20682</v>
      </c>
      <c r="C802" t="s">
        <v>3929</v>
      </c>
      <c r="D802" t="s">
        <v>464</v>
      </c>
      <c r="E802">
        <v>12</v>
      </c>
      <c r="F802">
        <v>153.36000000000001</v>
      </c>
      <c r="G802">
        <v>12.78</v>
      </c>
    </row>
    <row r="803" spans="1:7" x14ac:dyDescent="0.3">
      <c r="A803" t="s">
        <v>568</v>
      </c>
      <c r="B803">
        <v>20685</v>
      </c>
      <c r="C803" t="s">
        <v>4122</v>
      </c>
      <c r="D803" t="s">
        <v>464</v>
      </c>
      <c r="E803">
        <v>12</v>
      </c>
      <c r="F803">
        <v>42.72</v>
      </c>
      <c r="G803">
        <v>3.56</v>
      </c>
    </row>
    <row r="804" spans="1:7" x14ac:dyDescent="0.3">
      <c r="A804" t="s">
        <v>568</v>
      </c>
      <c r="B804">
        <v>17304</v>
      </c>
      <c r="C804" t="s">
        <v>4206</v>
      </c>
      <c r="D804" t="s">
        <v>464</v>
      </c>
      <c r="E804">
        <v>1</v>
      </c>
      <c r="F804">
        <v>6.59</v>
      </c>
      <c r="G804">
        <v>6.59</v>
      </c>
    </row>
    <row r="805" spans="1:7" x14ac:dyDescent="0.3">
      <c r="A805" t="s">
        <v>568</v>
      </c>
      <c r="B805">
        <v>17215</v>
      </c>
      <c r="C805" t="s">
        <v>4283</v>
      </c>
      <c r="D805" t="s">
        <v>464</v>
      </c>
      <c r="E805">
        <v>9</v>
      </c>
      <c r="F805">
        <v>179.91</v>
      </c>
      <c r="G805">
        <v>19.989999999999998</v>
      </c>
    </row>
    <row r="806" spans="1:7" x14ac:dyDescent="0.3">
      <c r="A806" t="s">
        <v>568</v>
      </c>
      <c r="B806">
        <v>17914</v>
      </c>
      <c r="C806" t="s">
        <v>3997</v>
      </c>
      <c r="D806" t="s">
        <v>464</v>
      </c>
      <c r="E806">
        <v>3</v>
      </c>
      <c r="F806">
        <v>96.72</v>
      </c>
      <c r="G806">
        <v>32.24</v>
      </c>
    </row>
    <row r="807" spans="1:7" x14ac:dyDescent="0.3">
      <c r="A807" t="s">
        <v>568</v>
      </c>
      <c r="B807">
        <v>17918</v>
      </c>
      <c r="C807" t="s">
        <v>4034</v>
      </c>
      <c r="D807" t="s">
        <v>464</v>
      </c>
      <c r="E807">
        <v>2</v>
      </c>
      <c r="F807">
        <v>86.4</v>
      </c>
      <c r="G807">
        <v>43.2</v>
      </c>
    </row>
    <row r="808" spans="1:7" x14ac:dyDescent="0.3">
      <c r="A808" t="s">
        <v>568</v>
      </c>
      <c r="B808">
        <v>17916</v>
      </c>
      <c r="C808" t="s">
        <v>4191</v>
      </c>
      <c r="D808" t="s">
        <v>464</v>
      </c>
      <c r="E808">
        <v>3</v>
      </c>
      <c r="F808">
        <v>86.4</v>
      </c>
      <c r="G808">
        <v>28.8</v>
      </c>
    </row>
    <row r="809" spans="1:7" x14ac:dyDescent="0.3">
      <c r="A809" t="s">
        <v>568</v>
      </c>
      <c r="B809">
        <v>23234</v>
      </c>
      <c r="C809" t="s">
        <v>4018</v>
      </c>
      <c r="D809" t="s">
        <v>464</v>
      </c>
      <c r="E809">
        <v>1</v>
      </c>
      <c r="F809">
        <v>26.82</v>
      </c>
      <c r="G809">
        <v>26.82</v>
      </c>
    </row>
    <row r="810" spans="1:7" x14ac:dyDescent="0.3">
      <c r="A810" t="s">
        <v>568</v>
      </c>
      <c r="B810">
        <v>24598</v>
      </c>
      <c r="C810" t="s">
        <v>4166</v>
      </c>
      <c r="D810" t="s">
        <v>464</v>
      </c>
      <c r="E810">
        <v>4.0999999999999996</v>
      </c>
      <c r="F810">
        <v>66.25</v>
      </c>
      <c r="G810">
        <v>16.16</v>
      </c>
    </row>
    <row r="811" spans="1:7" x14ac:dyDescent="0.3">
      <c r="A811" t="s">
        <v>568</v>
      </c>
      <c r="B811">
        <v>26627</v>
      </c>
      <c r="C811" t="s">
        <v>4237</v>
      </c>
      <c r="D811" t="s">
        <v>464</v>
      </c>
      <c r="E811">
        <v>20</v>
      </c>
      <c r="F811">
        <v>158</v>
      </c>
      <c r="G811">
        <v>7.9</v>
      </c>
    </row>
    <row r="812" spans="1:7" x14ac:dyDescent="0.3">
      <c r="A812" t="s">
        <v>568</v>
      </c>
      <c r="B812">
        <v>20395</v>
      </c>
      <c r="C812" t="s">
        <v>4057</v>
      </c>
      <c r="D812" t="s">
        <v>464</v>
      </c>
      <c r="E812">
        <v>2</v>
      </c>
      <c r="F812">
        <v>58.83</v>
      </c>
      <c r="G812">
        <v>29.42</v>
      </c>
    </row>
    <row r="813" spans="1:7" x14ac:dyDescent="0.3">
      <c r="A813" t="s">
        <v>568</v>
      </c>
      <c r="B813">
        <v>23687</v>
      </c>
      <c r="C813" t="s">
        <v>4285</v>
      </c>
      <c r="D813" t="s">
        <v>464</v>
      </c>
      <c r="E813">
        <v>8.4</v>
      </c>
      <c r="F813">
        <v>108.36</v>
      </c>
      <c r="G813">
        <v>12.9</v>
      </c>
    </row>
    <row r="814" spans="1:7" x14ac:dyDescent="0.3">
      <c r="A814" t="s">
        <v>568</v>
      </c>
      <c r="B814">
        <v>20365</v>
      </c>
      <c r="C814" t="s">
        <v>4312</v>
      </c>
      <c r="D814" t="s">
        <v>464</v>
      </c>
      <c r="E814">
        <v>10</v>
      </c>
      <c r="F814">
        <v>52.9</v>
      </c>
      <c r="G814">
        <v>5.29</v>
      </c>
    </row>
    <row r="815" spans="1:7" x14ac:dyDescent="0.3">
      <c r="A815" t="s">
        <v>568</v>
      </c>
      <c r="B815">
        <v>20358</v>
      </c>
      <c r="C815" t="s">
        <v>3952</v>
      </c>
      <c r="D815" t="s">
        <v>464</v>
      </c>
      <c r="E815">
        <v>4</v>
      </c>
      <c r="F815">
        <v>57</v>
      </c>
      <c r="G815">
        <v>14.25</v>
      </c>
    </row>
    <row r="816" spans="1:7" x14ac:dyDescent="0.3">
      <c r="A816" t="s">
        <v>568</v>
      </c>
      <c r="B816">
        <v>20250</v>
      </c>
      <c r="C816" t="s">
        <v>4008</v>
      </c>
      <c r="D816" t="s">
        <v>464</v>
      </c>
      <c r="E816">
        <v>2</v>
      </c>
      <c r="F816">
        <v>81.08</v>
      </c>
      <c r="G816">
        <v>40.54</v>
      </c>
    </row>
    <row r="817" spans="1:7" x14ac:dyDescent="0.3">
      <c r="A817" t="s">
        <v>568</v>
      </c>
      <c r="B817">
        <v>20246</v>
      </c>
      <c r="C817" t="s">
        <v>3911</v>
      </c>
      <c r="D817" t="s">
        <v>464</v>
      </c>
      <c r="E817">
        <v>30</v>
      </c>
      <c r="F817">
        <v>281.3</v>
      </c>
      <c r="G817">
        <v>9.3800000000000008</v>
      </c>
    </row>
    <row r="818" spans="1:7" x14ac:dyDescent="0.3">
      <c r="A818" t="s">
        <v>568</v>
      </c>
      <c r="B818">
        <v>20233</v>
      </c>
      <c r="C818" t="s">
        <v>4329</v>
      </c>
      <c r="D818" t="s">
        <v>464</v>
      </c>
      <c r="E818">
        <v>5</v>
      </c>
      <c r="F818">
        <v>34.950000000000003</v>
      </c>
      <c r="G818">
        <v>6.99</v>
      </c>
    </row>
    <row r="819" spans="1:7" x14ac:dyDescent="0.3">
      <c r="A819" t="s">
        <v>568</v>
      </c>
      <c r="B819">
        <v>20231</v>
      </c>
      <c r="C819" t="s">
        <v>4123</v>
      </c>
      <c r="D819" t="s">
        <v>464</v>
      </c>
      <c r="E819">
        <v>2</v>
      </c>
      <c r="F819">
        <v>32.4</v>
      </c>
      <c r="G819">
        <v>16.2</v>
      </c>
    </row>
    <row r="820" spans="1:7" x14ac:dyDescent="0.3">
      <c r="A820" t="s">
        <v>568</v>
      </c>
      <c r="B820">
        <v>20227</v>
      </c>
      <c r="C820" t="s">
        <v>3968</v>
      </c>
      <c r="D820" t="s">
        <v>464</v>
      </c>
      <c r="E820">
        <v>5</v>
      </c>
      <c r="F820">
        <v>63.5</v>
      </c>
      <c r="G820">
        <v>12.7</v>
      </c>
    </row>
    <row r="821" spans="1:7" x14ac:dyDescent="0.3">
      <c r="A821" t="s">
        <v>568</v>
      </c>
      <c r="B821">
        <v>19017</v>
      </c>
      <c r="C821" t="s">
        <v>4172</v>
      </c>
      <c r="D821" t="s">
        <v>464</v>
      </c>
      <c r="E821">
        <v>16.7</v>
      </c>
      <c r="F821">
        <v>249.39</v>
      </c>
      <c r="G821">
        <v>14.93</v>
      </c>
    </row>
    <row r="822" spans="1:7" x14ac:dyDescent="0.3">
      <c r="A822" t="s">
        <v>568</v>
      </c>
      <c r="B822">
        <v>18764</v>
      </c>
      <c r="C822" t="s">
        <v>3907</v>
      </c>
      <c r="D822" t="s">
        <v>464</v>
      </c>
      <c r="E822">
        <v>31.7</v>
      </c>
      <c r="F822">
        <v>2599.09</v>
      </c>
      <c r="G822">
        <v>81.99</v>
      </c>
    </row>
    <row r="823" spans="1:7" x14ac:dyDescent="0.3">
      <c r="A823" t="s">
        <v>568</v>
      </c>
      <c r="B823">
        <v>24259</v>
      </c>
      <c r="C823" t="s">
        <v>3895</v>
      </c>
      <c r="D823" t="s">
        <v>464</v>
      </c>
      <c r="E823">
        <v>75.83</v>
      </c>
      <c r="F823">
        <v>5957.9</v>
      </c>
      <c r="G823">
        <v>78.569999999999993</v>
      </c>
    </row>
    <row r="824" spans="1:7" x14ac:dyDescent="0.3">
      <c r="A824" t="s">
        <v>568</v>
      </c>
      <c r="B824">
        <v>27901</v>
      </c>
      <c r="C824" t="s">
        <v>3942</v>
      </c>
      <c r="D824" t="s">
        <v>464</v>
      </c>
      <c r="E824">
        <v>10.199999999999999</v>
      </c>
      <c r="F824">
        <v>1213.8</v>
      </c>
      <c r="G824">
        <v>119</v>
      </c>
    </row>
    <row r="825" spans="1:7" x14ac:dyDescent="0.3">
      <c r="A825" t="s">
        <v>568</v>
      </c>
      <c r="B825">
        <v>28916</v>
      </c>
      <c r="C825" t="s">
        <v>4337</v>
      </c>
      <c r="D825" t="s">
        <v>464</v>
      </c>
      <c r="E825">
        <v>2</v>
      </c>
      <c r="F825">
        <v>446.58</v>
      </c>
      <c r="G825">
        <v>223.29</v>
      </c>
    </row>
    <row r="826" spans="1:7" x14ac:dyDescent="0.3">
      <c r="A826" t="s">
        <v>568</v>
      </c>
      <c r="B826">
        <v>19765</v>
      </c>
      <c r="C826" t="s">
        <v>4071</v>
      </c>
      <c r="D826" t="s">
        <v>464</v>
      </c>
      <c r="E826">
        <v>3</v>
      </c>
      <c r="F826">
        <v>105</v>
      </c>
      <c r="G826">
        <v>35</v>
      </c>
    </row>
    <row r="827" spans="1:7" x14ac:dyDescent="0.3">
      <c r="A827" t="s">
        <v>568</v>
      </c>
      <c r="B827">
        <v>20327</v>
      </c>
      <c r="C827" t="s">
        <v>4179</v>
      </c>
      <c r="D827" t="s">
        <v>464</v>
      </c>
      <c r="E827">
        <v>4</v>
      </c>
      <c r="F827">
        <v>28.8</v>
      </c>
      <c r="G827">
        <v>7.2</v>
      </c>
    </row>
    <row r="828" spans="1:7" x14ac:dyDescent="0.3">
      <c r="A828" t="s">
        <v>568</v>
      </c>
      <c r="B828">
        <v>17006</v>
      </c>
      <c r="C828" t="s">
        <v>4128</v>
      </c>
      <c r="D828" t="s">
        <v>464</v>
      </c>
      <c r="E828">
        <v>40.58</v>
      </c>
      <c r="F828">
        <v>527.54</v>
      </c>
      <c r="G828">
        <v>13</v>
      </c>
    </row>
    <row r="829" spans="1:7" x14ac:dyDescent="0.3">
      <c r="A829" t="s">
        <v>568</v>
      </c>
      <c r="B829">
        <v>24497</v>
      </c>
      <c r="C829" t="s">
        <v>4214</v>
      </c>
      <c r="D829" t="s">
        <v>464</v>
      </c>
      <c r="E829">
        <v>1</v>
      </c>
      <c r="F829">
        <v>134.55000000000001</v>
      </c>
      <c r="G829">
        <v>134.55000000000001</v>
      </c>
    </row>
    <row r="830" spans="1:7" x14ac:dyDescent="0.3">
      <c r="A830" t="s">
        <v>568</v>
      </c>
      <c r="B830">
        <v>25518</v>
      </c>
      <c r="C830" t="s">
        <v>4238</v>
      </c>
      <c r="D830" t="s">
        <v>464</v>
      </c>
      <c r="E830">
        <v>1</v>
      </c>
      <c r="F830">
        <v>110.4</v>
      </c>
      <c r="G830">
        <v>110.4</v>
      </c>
    </row>
    <row r="831" spans="1:7" x14ac:dyDescent="0.3">
      <c r="A831" t="s">
        <v>568</v>
      </c>
      <c r="B831">
        <v>19607</v>
      </c>
      <c r="C831" t="s">
        <v>4105</v>
      </c>
      <c r="D831" t="s">
        <v>464</v>
      </c>
      <c r="E831">
        <v>1</v>
      </c>
      <c r="F831">
        <v>10.5</v>
      </c>
      <c r="G831">
        <v>10.5</v>
      </c>
    </row>
    <row r="832" spans="1:7" x14ac:dyDescent="0.3">
      <c r="A832" t="s">
        <v>568</v>
      </c>
      <c r="B832">
        <v>18359</v>
      </c>
      <c r="C832" t="s">
        <v>4029</v>
      </c>
      <c r="D832" t="s">
        <v>464</v>
      </c>
      <c r="E832">
        <v>2</v>
      </c>
      <c r="F832">
        <v>189.6</v>
      </c>
      <c r="G832">
        <v>94.8</v>
      </c>
    </row>
    <row r="833" spans="1:7" x14ac:dyDescent="0.3">
      <c r="A833" t="s">
        <v>568</v>
      </c>
      <c r="B833">
        <v>19763</v>
      </c>
      <c r="C833" t="s">
        <v>4187</v>
      </c>
      <c r="D833" t="s">
        <v>464</v>
      </c>
      <c r="E833">
        <v>4</v>
      </c>
      <c r="F833">
        <v>46.4</v>
      </c>
      <c r="G833">
        <v>11.6</v>
      </c>
    </row>
    <row r="834" spans="1:7" x14ac:dyDescent="0.3">
      <c r="A834" t="s">
        <v>568</v>
      </c>
      <c r="B834">
        <v>21126</v>
      </c>
      <c r="C834" t="s">
        <v>4004</v>
      </c>
      <c r="D834" t="s">
        <v>464</v>
      </c>
      <c r="E834">
        <v>2</v>
      </c>
      <c r="F834">
        <v>15.6</v>
      </c>
      <c r="G834">
        <v>7.8</v>
      </c>
    </row>
    <row r="835" spans="1:7" x14ac:dyDescent="0.3">
      <c r="A835" t="s">
        <v>568</v>
      </c>
      <c r="B835">
        <v>21024</v>
      </c>
      <c r="C835" t="s">
        <v>4180</v>
      </c>
      <c r="D835" t="s">
        <v>464</v>
      </c>
      <c r="E835">
        <v>8</v>
      </c>
      <c r="F835">
        <v>1436.74</v>
      </c>
      <c r="G835">
        <v>179.59</v>
      </c>
    </row>
    <row r="836" spans="1:7" x14ac:dyDescent="0.3">
      <c r="A836" t="s">
        <v>568</v>
      </c>
      <c r="B836">
        <v>17903</v>
      </c>
      <c r="C836" t="s">
        <v>3971</v>
      </c>
      <c r="D836" t="s">
        <v>464</v>
      </c>
      <c r="E836">
        <v>26</v>
      </c>
      <c r="F836">
        <v>663.78</v>
      </c>
      <c r="G836">
        <v>25.53</v>
      </c>
    </row>
    <row r="837" spans="1:7" x14ac:dyDescent="0.3">
      <c r="A837" t="s">
        <v>568</v>
      </c>
      <c r="B837">
        <v>17896</v>
      </c>
      <c r="C837" t="s">
        <v>3972</v>
      </c>
      <c r="D837" t="s">
        <v>464</v>
      </c>
      <c r="E837">
        <v>1</v>
      </c>
      <c r="F837">
        <v>40.29</v>
      </c>
      <c r="G837">
        <v>40.29</v>
      </c>
    </row>
    <row r="838" spans="1:7" x14ac:dyDescent="0.3">
      <c r="A838" t="s">
        <v>568</v>
      </c>
      <c r="B838">
        <v>17897</v>
      </c>
      <c r="C838" t="s">
        <v>4094</v>
      </c>
      <c r="D838" t="s">
        <v>464</v>
      </c>
      <c r="E838">
        <v>1</v>
      </c>
      <c r="F838">
        <v>40.29</v>
      </c>
      <c r="G838">
        <v>40.29</v>
      </c>
    </row>
    <row r="839" spans="1:7" x14ac:dyDescent="0.3">
      <c r="A839" t="s">
        <v>568</v>
      </c>
      <c r="B839">
        <v>19480</v>
      </c>
      <c r="C839" t="s">
        <v>4113</v>
      </c>
      <c r="D839" t="s">
        <v>464</v>
      </c>
      <c r="E839">
        <v>0.6</v>
      </c>
      <c r="F839">
        <v>10.8</v>
      </c>
      <c r="G839">
        <v>18</v>
      </c>
    </row>
    <row r="840" spans="1:7" x14ac:dyDescent="0.3">
      <c r="A840" t="s">
        <v>568</v>
      </c>
      <c r="B840">
        <v>18685</v>
      </c>
      <c r="C840" t="s">
        <v>3945</v>
      </c>
      <c r="D840" t="s">
        <v>464</v>
      </c>
      <c r="E840">
        <v>19.2</v>
      </c>
      <c r="F840">
        <v>748.8</v>
      </c>
      <c r="G840">
        <v>39</v>
      </c>
    </row>
    <row r="841" spans="1:7" x14ac:dyDescent="0.3">
      <c r="A841" t="s">
        <v>568</v>
      </c>
      <c r="B841">
        <v>18684</v>
      </c>
      <c r="C841" t="s">
        <v>3925</v>
      </c>
      <c r="D841" t="s">
        <v>464</v>
      </c>
      <c r="E841">
        <v>21.7</v>
      </c>
      <c r="F841">
        <v>781.2</v>
      </c>
      <c r="G841">
        <v>36</v>
      </c>
    </row>
    <row r="842" spans="1:7" x14ac:dyDescent="0.3">
      <c r="A842" t="s">
        <v>568</v>
      </c>
      <c r="B842">
        <v>27312</v>
      </c>
      <c r="C842" t="s">
        <v>3927</v>
      </c>
      <c r="D842" t="s">
        <v>464</v>
      </c>
      <c r="E842">
        <v>54.82</v>
      </c>
      <c r="F842">
        <v>2677.38</v>
      </c>
      <c r="G842">
        <v>48.84</v>
      </c>
    </row>
    <row r="843" spans="1:7" x14ac:dyDescent="0.3">
      <c r="A843" t="s">
        <v>568</v>
      </c>
      <c r="B843">
        <v>23361</v>
      </c>
      <c r="C843" t="s">
        <v>4220</v>
      </c>
      <c r="D843" t="s">
        <v>464</v>
      </c>
      <c r="E843">
        <v>156</v>
      </c>
      <c r="F843">
        <v>482.6</v>
      </c>
      <c r="G843">
        <v>3.09</v>
      </c>
    </row>
    <row r="844" spans="1:7" x14ac:dyDescent="0.3">
      <c r="A844" t="s">
        <v>568</v>
      </c>
      <c r="B844">
        <v>20661</v>
      </c>
      <c r="C844" t="s">
        <v>3919</v>
      </c>
      <c r="D844" t="s">
        <v>464</v>
      </c>
      <c r="E844">
        <v>18</v>
      </c>
      <c r="F844">
        <v>157.91999999999999</v>
      </c>
      <c r="G844">
        <v>8.77</v>
      </c>
    </row>
    <row r="845" spans="1:7" x14ac:dyDescent="0.3">
      <c r="A845" t="s">
        <v>568</v>
      </c>
      <c r="B845">
        <v>19421</v>
      </c>
      <c r="C845" t="s">
        <v>4275</v>
      </c>
      <c r="D845" t="s">
        <v>464</v>
      </c>
      <c r="E845">
        <v>1</v>
      </c>
      <c r="F845">
        <v>81.84</v>
      </c>
      <c r="G845">
        <v>81.84</v>
      </c>
    </row>
    <row r="846" spans="1:7" x14ac:dyDescent="0.3">
      <c r="A846" t="s">
        <v>568</v>
      </c>
      <c r="B846">
        <v>19428</v>
      </c>
      <c r="C846" t="s">
        <v>4169</v>
      </c>
      <c r="D846" t="s">
        <v>464</v>
      </c>
      <c r="E846">
        <v>12</v>
      </c>
      <c r="F846">
        <v>66</v>
      </c>
      <c r="G846">
        <v>5.5</v>
      </c>
    </row>
    <row r="847" spans="1:7" x14ac:dyDescent="0.3">
      <c r="A847" t="s">
        <v>568</v>
      </c>
      <c r="B847">
        <v>18295</v>
      </c>
      <c r="C847" t="s">
        <v>4030</v>
      </c>
      <c r="D847" t="s">
        <v>464</v>
      </c>
      <c r="E847">
        <v>2</v>
      </c>
      <c r="F847">
        <v>246</v>
      </c>
      <c r="G847">
        <v>123</v>
      </c>
    </row>
    <row r="848" spans="1:7" x14ac:dyDescent="0.3">
      <c r="A848" t="s">
        <v>568</v>
      </c>
      <c r="B848">
        <v>19752</v>
      </c>
      <c r="C848" t="s">
        <v>4042</v>
      </c>
      <c r="D848" t="s">
        <v>464</v>
      </c>
      <c r="E848">
        <v>5</v>
      </c>
      <c r="F848">
        <v>41.5</v>
      </c>
      <c r="G848">
        <v>8.3000000000000007</v>
      </c>
    </row>
    <row r="849" spans="1:7" x14ac:dyDescent="0.3">
      <c r="A849" t="s">
        <v>568</v>
      </c>
      <c r="B849">
        <v>19751</v>
      </c>
      <c r="C849" t="s">
        <v>4019</v>
      </c>
      <c r="D849" t="s">
        <v>464</v>
      </c>
      <c r="E849">
        <v>10</v>
      </c>
      <c r="F849">
        <v>99.96</v>
      </c>
      <c r="G849">
        <v>10</v>
      </c>
    </row>
    <row r="850" spans="1:7" x14ac:dyDescent="0.3">
      <c r="A850" t="s">
        <v>568</v>
      </c>
      <c r="B850">
        <v>23359</v>
      </c>
      <c r="C850" t="s">
        <v>3932</v>
      </c>
      <c r="D850" t="s">
        <v>464</v>
      </c>
      <c r="E850">
        <v>80</v>
      </c>
      <c r="F850">
        <v>179</v>
      </c>
      <c r="G850">
        <v>2.2400000000000002</v>
      </c>
    </row>
    <row r="851" spans="1:7" x14ac:dyDescent="0.3">
      <c r="A851" t="s">
        <v>568</v>
      </c>
      <c r="B851">
        <v>17185</v>
      </c>
      <c r="C851" t="s">
        <v>4210</v>
      </c>
      <c r="D851" t="s">
        <v>464</v>
      </c>
      <c r="E851">
        <v>2</v>
      </c>
      <c r="F851">
        <v>31.9</v>
      </c>
      <c r="G851">
        <v>15.95</v>
      </c>
    </row>
    <row r="852" spans="1:7" x14ac:dyDescent="0.3">
      <c r="A852" t="s">
        <v>568</v>
      </c>
      <c r="B852">
        <v>17182</v>
      </c>
      <c r="C852" t="s">
        <v>4207</v>
      </c>
      <c r="D852" t="s">
        <v>464</v>
      </c>
      <c r="E852">
        <v>1</v>
      </c>
      <c r="F852">
        <v>38.89</v>
      </c>
      <c r="G852">
        <v>38.89</v>
      </c>
    </row>
    <row r="853" spans="1:7" x14ac:dyDescent="0.3">
      <c r="A853" t="s">
        <v>568</v>
      </c>
      <c r="B853">
        <v>24331</v>
      </c>
      <c r="C853" t="s">
        <v>3960</v>
      </c>
      <c r="D853" t="s">
        <v>464</v>
      </c>
      <c r="E853">
        <v>5</v>
      </c>
      <c r="F853">
        <v>104.25</v>
      </c>
      <c r="G853">
        <v>20.85</v>
      </c>
    </row>
    <row r="854" spans="1:7" x14ac:dyDescent="0.3">
      <c r="A854" t="s">
        <v>568</v>
      </c>
      <c r="B854">
        <v>20519</v>
      </c>
      <c r="C854" t="s">
        <v>3902</v>
      </c>
      <c r="D854" t="s">
        <v>464</v>
      </c>
      <c r="E854">
        <v>19.760000000000002</v>
      </c>
      <c r="F854">
        <v>992.94</v>
      </c>
      <c r="G854">
        <v>50.25</v>
      </c>
    </row>
    <row r="855" spans="1:7" x14ac:dyDescent="0.3">
      <c r="A855" t="s">
        <v>568</v>
      </c>
      <c r="B855">
        <v>27884</v>
      </c>
      <c r="C855" t="s">
        <v>3910</v>
      </c>
      <c r="D855" t="s">
        <v>464</v>
      </c>
      <c r="E855">
        <v>30.4</v>
      </c>
      <c r="F855">
        <v>2124.8000000000002</v>
      </c>
      <c r="G855">
        <v>69.89</v>
      </c>
    </row>
    <row r="856" spans="1:7" x14ac:dyDescent="0.3">
      <c r="A856" t="s">
        <v>568</v>
      </c>
      <c r="B856">
        <v>24339</v>
      </c>
      <c r="C856" t="s">
        <v>4119</v>
      </c>
      <c r="D856" t="s">
        <v>464</v>
      </c>
      <c r="E856">
        <v>9.5500000000000007</v>
      </c>
      <c r="F856">
        <v>290.86</v>
      </c>
      <c r="G856">
        <v>30.46</v>
      </c>
    </row>
    <row r="857" spans="1:7" x14ac:dyDescent="0.3">
      <c r="A857" t="s">
        <v>568</v>
      </c>
      <c r="B857">
        <v>20501</v>
      </c>
      <c r="C857" t="s">
        <v>4219</v>
      </c>
      <c r="D857" t="s">
        <v>464</v>
      </c>
      <c r="E857">
        <v>10</v>
      </c>
      <c r="F857">
        <v>223.5</v>
      </c>
      <c r="G857">
        <v>22.35</v>
      </c>
    </row>
    <row r="858" spans="1:7" x14ac:dyDescent="0.3">
      <c r="A858" t="s">
        <v>568</v>
      </c>
      <c r="B858">
        <v>24343</v>
      </c>
      <c r="C858" t="s">
        <v>3990</v>
      </c>
      <c r="D858" t="s">
        <v>464</v>
      </c>
      <c r="E858">
        <v>16.600000000000001</v>
      </c>
      <c r="F858">
        <v>331.83</v>
      </c>
      <c r="G858">
        <v>19.989999999999998</v>
      </c>
    </row>
    <row r="859" spans="1:7" x14ac:dyDescent="0.3">
      <c r="A859" t="s">
        <v>568</v>
      </c>
      <c r="B859">
        <v>19478</v>
      </c>
      <c r="C859" t="s">
        <v>4072</v>
      </c>
      <c r="D859" t="s">
        <v>464</v>
      </c>
      <c r="E859">
        <v>1</v>
      </c>
      <c r="F859">
        <v>75</v>
      </c>
      <c r="G859">
        <v>75</v>
      </c>
    </row>
    <row r="860" spans="1:7" x14ac:dyDescent="0.3">
      <c r="A860" t="s">
        <v>568</v>
      </c>
      <c r="B860">
        <v>17017</v>
      </c>
      <c r="C860" t="s">
        <v>4230</v>
      </c>
      <c r="D860" t="s">
        <v>464</v>
      </c>
      <c r="E860">
        <v>4</v>
      </c>
      <c r="F860">
        <v>12</v>
      </c>
      <c r="G860">
        <v>3</v>
      </c>
    </row>
    <row r="861" spans="1:7" x14ac:dyDescent="0.3">
      <c r="A861" t="s">
        <v>568</v>
      </c>
      <c r="B861">
        <v>24503</v>
      </c>
      <c r="C861" t="s">
        <v>4320</v>
      </c>
      <c r="D861" t="s">
        <v>464</v>
      </c>
      <c r="E861">
        <v>1</v>
      </c>
      <c r="F861">
        <v>27</v>
      </c>
      <c r="G861">
        <v>27</v>
      </c>
    </row>
    <row r="862" spans="1:7" x14ac:dyDescent="0.3">
      <c r="A862" t="s">
        <v>568</v>
      </c>
      <c r="B862">
        <v>23349</v>
      </c>
      <c r="C862" t="s">
        <v>4173</v>
      </c>
      <c r="D862" t="s">
        <v>464</v>
      </c>
      <c r="E862">
        <v>2.2000000000000002</v>
      </c>
      <c r="F862">
        <v>20.39</v>
      </c>
      <c r="G862">
        <v>9.27</v>
      </c>
    </row>
    <row r="863" spans="1:7" x14ac:dyDescent="0.3">
      <c r="A863" t="s">
        <v>568</v>
      </c>
      <c r="B863">
        <v>19743</v>
      </c>
      <c r="C863" t="s">
        <v>4152</v>
      </c>
      <c r="D863" t="s">
        <v>464</v>
      </c>
      <c r="E863">
        <v>3</v>
      </c>
      <c r="F863">
        <v>49.5</v>
      </c>
      <c r="G863">
        <v>16.5</v>
      </c>
    </row>
    <row r="864" spans="1:7" x14ac:dyDescent="0.3">
      <c r="A864" t="s">
        <v>568</v>
      </c>
      <c r="B864">
        <v>20007</v>
      </c>
      <c r="C864" t="s">
        <v>4009</v>
      </c>
      <c r="D864" t="s">
        <v>464</v>
      </c>
      <c r="E864">
        <v>6</v>
      </c>
      <c r="F864">
        <v>316.39999999999998</v>
      </c>
      <c r="G864">
        <v>52.73</v>
      </c>
    </row>
    <row r="865" spans="1:7" x14ac:dyDescent="0.3">
      <c r="A865" t="s">
        <v>568</v>
      </c>
      <c r="B865">
        <v>19689</v>
      </c>
      <c r="C865" t="s">
        <v>4073</v>
      </c>
      <c r="D865" t="s">
        <v>464</v>
      </c>
      <c r="E865">
        <v>2.2999999999999998</v>
      </c>
      <c r="F865">
        <v>16.170000000000002</v>
      </c>
      <c r="G865">
        <v>7.03</v>
      </c>
    </row>
    <row r="866" spans="1:7" x14ac:dyDescent="0.3">
      <c r="A866" t="s">
        <v>568</v>
      </c>
      <c r="B866">
        <v>19742</v>
      </c>
      <c r="C866" t="s">
        <v>4074</v>
      </c>
      <c r="D866" t="s">
        <v>464</v>
      </c>
      <c r="E866">
        <v>5.5</v>
      </c>
      <c r="F866">
        <v>54.73</v>
      </c>
      <c r="G866">
        <v>9.9499999999999993</v>
      </c>
    </row>
    <row r="867" spans="1:7" x14ac:dyDescent="0.3">
      <c r="A867" t="s">
        <v>568</v>
      </c>
      <c r="B867">
        <v>23120</v>
      </c>
      <c r="C867" t="s">
        <v>4111</v>
      </c>
      <c r="D867" t="s">
        <v>464</v>
      </c>
      <c r="E867">
        <v>1.74</v>
      </c>
      <c r="F867">
        <v>115.46</v>
      </c>
      <c r="G867">
        <v>66.36</v>
      </c>
    </row>
    <row r="868" spans="1:7" x14ac:dyDescent="0.3">
      <c r="A868" t="s">
        <v>568</v>
      </c>
      <c r="B868">
        <v>19740</v>
      </c>
      <c r="C868" t="s">
        <v>3933</v>
      </c>
      <c r="D868" t="s">
        <v>464</v>
      </c>
      <c r="E868">
        <v>35.299999999999997</v>
      </c>
      <c r="F868">
        <v>306.8</v>
      </c>
      <c r="G868">
        <v>8.69</v>
      </c>
    </row>
    <row r="869" spans="1:7" x14ac:dyDescent="0.3">
      <c r="A869" t="s">
        <v>568</v>
      </c>
      <c r="B869">
        <v>19415</v>
      </c>
      <c r="C869" t="s">
        <v>3941</v>
      </c>
      <c r="D869" t="s">
        <v>464</v>
      </c>
      <c r="E869">
        <v>24</v>
      </c>
      <c r="F869">
        <v>211.2</v>
      </c>
      <c r="G869">
        <v>8.8000000000000007</v>
      </c>
    </row>
    <row r="870" spans="1:7" x14ac:dyDescent="0.3">
      <c r="A870" t="s">
        <v>568</v>
      </c>
      <c r="B870">
        <v>24351</v>
      </c>
      <c r="C870" t="s">
        <v>3912</v>
      </c>
      <c r="D870" t="s">
        <v>464</v>
      </c>
      <c r="E870">
        <v>60</v>
      </c>
      <c r="F870">
        <v>720</v>
      </c>
      <c r="G870">
        <v>12</v>
      </c>
    </row>
    <row r="871" spans="1:7" x14ac:dyDescent="0.3">
      <c r="A871" t="s">
        <v>568</v>
      </c>
      <c r="B871">
        <v>20117</v>
      </c>
      <c r="C871" t="s">
        <v>4010</v>
      </c>
      <c r="D871" t="s">
        <v>464</v>
      </c>
      <c r="E871">
        <v>2</v>
      </c>
      <c r="F871">
        <v>75.8</v>
      </c>
      <c r="G871">
        <v>37.9</v>
      </c>
    </row>
    <row r="872" spans="1:7" x14ac:dyDescent="0.3">
      <c r="A872" t="s">
        <v>568</v>
      </c>
      <c r="B872">
        <v>20832</v>
      </c>
      <c r="C872" t="s">
        <v>4060</v>
      </c>
      <c r="D872" t="s">
        <v>464</v>
      </c>
      <c r="E872">
        <v>1</v>
      </c>
      <c r="F872">
        <v>39.880000000000003</v>
      </c>
      <c r="G872">
        <v>39.880000000000003</v>
      </c>
    </row>
    <row r="873" spans="1:7" x14ac:dyDescent="0.3">
      <c r="A873" t="s">
        <v>568</v>
      </c>
      <c r="B873">
        <v>19984</v>
      </c>
      <c r="C873" t="s">
        <v>3904</v>
      </c>
      <c r="D873" t="s">
        <v>464</v>
      </c>
      <c r="E873">
        <v>12</v>
      </c>
      <c r="F873">
        <v>238.8</v>
      </c>
      <c r="G873">
        <v>19.899999999999999</v>
      </c>
    </row>
    <row r="874" spans="1:7" x14ac:dyDescent="0.3">
      <c r="A874" t="s">
        <v>568</v>
      </c>
      <c r="B874">
        <v>19973</v>
      </c>
      <c r="C874" t="s">
        <v>3981</v>
      </c>
      <c r="D874" t="s">
        <v>464</v>
      </c>
      <c r="E874">
        <v>6</v>
      </c>
      <c r="F874">
        <v>91.8</v>
      </c>
      <c r="G874">
        <v>15.3</v>
      </c>
    </row>
    <row r="875" spans="1:7" x14ac:dyDescent="0.3">
      <c r="A875" t="s">
        <v>568</v>
      </c>
      <c r="B875">
        <v>24385</v>
      </c>
      <c r="C875" t="s">
        <v>4182</v>
      </c>
      <c r="D875" t="s">
        <v>464</v>
      </c>
      <c r="E875">
        <v>1</v>
      </c>
      <c r="F875">
        <v>15.22</v>
      </c>
      <c r="G875">
        <v>15.22</v>
      </c>
    </row>
    <row r="876" spans="1:7" x14ac:dyDescent="0.3">
      <c r="A876" t="s">
        <v>568</v>
      </c>
      <c r="B876">
        <v>19967</v>
      </c>
      <c r="C876" t="s">
        <v>3930</v>
      </c>
      <c r="D876" t="s">
        <v>464</v>
      </c>
      <c r="E876">
        <v>2</v>
      </c>
      <c r="F876">
        <v>98.56</v>
      </c>
      <c r="G876">
        <v>49.28</v>
      </c>
    </row>
    <row r="877" spans="1:7" x14ac:dyDescent="0.3">
      <c r="A877" t="s">
        <v>568</v>
      </c>
      <c r="B877">
        <v>24388</v>
      </c>
      <c r="C877" t="s">
        <v>3915</v>
      </c>
      <c r="D877" t="s">
        <v>464</v>
      </c>
      <c r="E877">
        <v>18.399999999999999</v>
      </c>
      <c r="F877">
        <v>550.16</v>
      </c>
      <c r="G877">
        <v>29.9</v>
      </c>
    </row>
    <row r="878" spans="1:7" x14ac:dyDescent="0.3">
      <c r="A878" t="s">
        <v>568</v>
      </c>
      <c r="B878">
        <v>19939</v>
      </c>
      <c r="C878" t="s">
        <v>4311</v>
      </c>
      <c r="D878" t="s">
        <v>464</v>
      </c>
      <c r="E878">
        <v>0.5</v>
      </c>
      <c r="F878">
        <v>45</v>
      </c>
      <c r="G878">
        <v>90</v>
      </c>
    </row>
    <row r="879" spans="1:7" x14ac:dyDescent="0.3">
      <c r="A879" t="s">
        <v>568</v>
      </c>
      <c r="B879">
        <v>20984</v>
      </c>
      <c r="C879" t="s">
        <v>4235</v>
      </c>
      <c r="D879" t="s">
        <v>464</v>
      </c>
      <c r="E879">
        <v>120</v>
      </c>
      <c r="F879">
        <v>978</v>
      </c>
      <c r="G879">
        <v>8.15</v>
      </c>
    </row>
    <row r="880" spans="1:7" x14ac:dyDescent="0.3">
      <c r="A880" t="s">
        <v>568</v>
      </c>
      <c r="B880">
        <v>24393</v>
      </c>
      <c r="C880" t="s">
        <v>4039</v>
      </c>
      <c r="D880" t="s">
        <v>464</v>
      </c>
      <c r="E880">
        <v>9</v>
      </c>
      <c r="F880">
        <v>125.91</v>
      </c>
      <c r="G880">
        <v>13.99</v>
      </c>
    </row>
    <row r="881" spans="1:7" x14ac:dyDescent="0.3">
      <c r="A881" t="s">
        <v>568</v>
      </c>
      <c r="B881">
        <v>24114</v>
      </c>
      <c r="C881" t="s">
        <v>4313</v>
      </c>
      <c r="D881" t="s">
        <v>464</v>
      </c>
      <c r="E881">
        <v>5.2</v>
      </c>
      <c r="F881">
        <v>197.08</v>
      </c>
      <c r="G881">
        <v>37.9</v>
      </c>
    </row>
    <row r="882" spans="1:7" x14ac:dyDescent="0.3">
      <c r="A882" t="s">
        <v>568</v>
      </c>
      <c r="B882">
        <v>23096</v>
      </c>
      <c r="C882" t="s">
        <v>3876</v>
      </c>
      <c r="D882" t="s">
        <v>464</v>
      </c>
      <c r="E882">
        <v>300</v>
      </c>
      <c r="F882">
        <v>224.7</v>
      </c>
      <c r="G882">
        <v>0.75</v>
      </c>
    </row>
    <row r="883" spans="1:7" x14ac:dyDescent="0.3">
      <c r="A883" t="s">
        <v>568</v>
      </c>
      <c r="B883">
        <v>23095</v>
      </c>
      <c r="C883" t="s">
        <v>3882</v>
      </c>
      <c r="D883" t="s">
        <v>464</v>
      </c>
      <c r="E883">
        <v>300</v>
      </c>
      <c r="F883">
        <v>368.8</v>
      </c>
      <c r="G883">
        <v>1.23</v>
      </c>
    </row>
    <row r="884" spans="1:7" x14ac:dyDescent="0.3">
      <c r="A884" t="s">
        <v>568</v>
      </c>
      <c r="B884">
        <v>20624</v>
      </c>
      <c r="C884" t="s">
        <v>3982</v>
      </c>
      <c r="D884" t="s">
        <v>464</v>
      </c>
      <c r="E884">
        <v>5</v>
      </c>
      <c r="F884">
        <v>359.5</v>
      </c>
      <c r="G884">
        <v>71.900000000000006</v>
      </c>
    </row>
    <row r="885" spans="1:7" x14ac:dyDescent="0.3">
      <c r="A885" t="s">
        <v>568</v>
      </c>
      <c r="B885">
        <v>24517</v>
      </c>
      <c r="C885" t="s">
        <v>3991</v>
      </c>
      <c r="D885" t="s">
        <v>464</v>
      </c>
      <c r="E885">
        <v>42.4</v>
      </c>
      <c r="F885">
        <v>1186.78</v>
      </c>
      <c r="G885">
        <v>27.99</v>
      </c>
    </row>
    <row r="886" spans="1:7" x14ac:dyDescent="0.3">
      <c r="A886" t="s">
        <v>568</v>
      </c>
      <c r="B886">
        <v>29129</v>
      </c>
      <c r="C886" t="s">
        <v>4176</v>
      </c>
      <c r="D886" t="s">
        <v>464</v>
      </c>
      <c r="E886">
        <v>70</v>
      </c>
      <c r="F886">
        <v>802.9</v>
      </c>
      <c r="G886">
        <v>11.47</v>
      </c>
    </row>
    <row r="887" spans="1:7" x14ac:dyDescent="0.3">
      <c r="A887" t="s">
        <v>568</v>
      </c>
      <c r="B887">
        <v>19130</v>
      </c>
      <c r="C887" t="s">
        <v>4284</v>
      </c>
      <c r="D887" t="s">
        <v>464</v>
      </c>
      <c r="E887">
        <v>946</v>
      </c>
      <c r="F887">
        <v>1087.9000000000001</v>
      </c>
      <c r="G887">
        <v>1.1499999999999999</v>
      </c>
    </row>
    <row r="888" spans="1:7" x14ac:dyDescent="0.3">
      <c r="A888" t="s">
        <v>568</v>
      </c>
      <c r="B888">
        <v>17046</v>
      </c>
      <c r="C888" t="s">
        <v>4246</v>
      </c>
      <c r="D888" t="s">
        <v>464</v>
      </c>
      <c r="E888">
        <v>1</v>
      </c>
      <c r="F888">
        <v>45</v>
      </c>
      <c r="G888">
        <v>45</v>
      </c>
    </row>
    <row r="889" spans="1:7" x14ac:dyDescent="0.3">
      <c r="A889" t="s">
        <v>568</v>
      </c>
      <c r="B889">
        <v>28947</v>
      </c>
      <c r="C889" t="s">
        <v>4326</v>
      </c>
      <c r="D889" t="s">
        <v>464</v>
      </c>
      <c r="E889">
        <v>8</v>
      </c>
      <c r="F889">
        <v>1400</v>
      </c>
      <c r="G889">
        <v>175</v>
      </c>
    </row>
    <row r="890" spans="1:7" x14ac:dyDescent="0.3">
      <c r="A890" t="s">
        <v>568</v>
      </c>
      <c r="B890">
        <v>17416</v>
      </c>
      <c r="C890" t="s">
        <v>4205</v>
      </c>
      <c r="D890" t="s">
        <v>464</v>
      </c>
      <c r="E890">
        <v>4</v>
      </c>
      <c r="F890">
        <v>194.32</v>
      </c>
      <c r="G890">
        <v>48.58</v>
      </c>
    </row>
    <row r="891" spans="1:7" x14ac:dyDescent="0.3">
      <c r="A891" t="s">
        <v>568</v>
      </c>
      <c r="B891">
        <v>24402</v>
      </c>
      <c r="C891" t="s">
        <v>3896</v>
      </c>
      <c r="D891" t="s">
        <v>464</v>
      </c>
      <c r="E891">
        <v>47.1</v>
      </c>
      <c r="F891">
        <v>1764.32</v>
      </c>
      <c r="G891">
        <v>37.46</v>
      </c>
    </row>
    <row r="892" spans="1:7" x14ac:dyDescent="0.3">
      <c r="A892" t="s">
        <v>568</v>
      </c>
      <c r="B892">
        <v>18832</v>
      </c>
      <c r="C892" t="s">
        <v>3900</v>
      </c>
      <c r="D892" t="s">
        <v>464</v>
      </c>
      <c r="E892">
        <v>83.5</v>
      </c>
      <c r="F892">
        <v>3331.65</v>
      </c>
      <c r="G892">
        <v>39.9</v>
      </c>
    </row>
    <row r="893" spans="1:7" x14ac:dyDescent="0.3">
      <c r="A893" t="s">
        <v>568</v>
      </c>
      <c r="B893">
        <v>24403</v>
      </c>
      <c r="C893" t="s">
        <v>3992</v>
      </c>
      <c r="D893" t="s">
        <v>464</v>
      </c>
      <c r="E893">
        <v>3</v>
      </c>
      <c r="F893">
        <v>38.700000000000003</v>
      </c>
      <c r="G893">
        <v>12.9</v>
      </c>
    </row>
    <row r="894" spans="1:7" x14ac:dyDescent="0.3">
      <c r="A894" t="s">
        <v>568</v>
      </c>
      <c r="B894">
        <v>20621</v>
      </c>
      <c r="C894" t="s">
        <v>3885</v>
      </c>
      <c r="D894" t="s">
        <v>464</v>
      </c>
      <c r="E894">
        <v>6</v>
      </c>
      <c r="F894">
        <v>156</v>
      </c>
      <c r="G894">
        <v>26</v>
      </c>
    </row>
    <row r="895" spans="1:7" x14ac:dyDescent="0.3">
      <c r="A895" t="s">
        <v>568</v>
      </c>
      <c r="B895">
        <v>19589</v>
      </c>
      <c r="C895" t="s">
        <v>4153</v>
      </c>
      <c r="D895" t="s">
        <v>464</v>
      </c>
      <c r="E895">
        <v>6</v>
      </c>
      <c r="F895">
        <v>42.36</v>
      </c>
      <c r="G895">
        <v>7.06</v>
      </c>
    </row>
    <row r="896" spans="1:7" x14ac:dyDescent="0.3">
      <c r="A896" t="s">
        <v>568</v>
      </c>
      <c r="B896">
        <v>17895</v>
      </c>
      <c r="C896" t="s">
        <v>4137</v>
      </c>
      <c r="D896" t="s">
        <v>464</v>
      </c>
      <c r="E896">
        <v>30</v>
      </c>
      <c r="F896">
        <v>849.6</v>
      </c>
      <c r="G896">
        <v>28.32</v>
      </c>
    </row>
    <row r="897" spans="1:7" x14ac:dyDescent="0.3">
      <c r="A897" t="s">
        <v>568</v>
      </c>
      <c r="B897">
        <v>17886</v>
      </c>
      <c r="C897" t="s">
        <v>3935</v>
      </c>
      <c r="D897" t="s">
        <v>464</v>
      </c>
      <c r="E897">
        <v>10</v>
      </c>
      <c r="F897">
        <v>352.8</v>
      </c>
      <c r="G897">
        <v>35.28</v>
      </c>
    </row>
    <row r="898" spans="1:7" x14ac:dyDescent="0.3">
      <c r="A898" t="s">
        <v>568</v>
      </c>
      <c r="B898">
        <v>19583</v>
      </c>
      <c r="C898" t="s">
        <v>4076</v>
      </c>
      <c r="D898" t="s">
        <v>464</v>
      </c>
      <c r="E898">
        <v>1</v>
      </c>
      <c r="F898">
        <v>53.65</v>
      </c>
      <c r="G898">
        <v>53.65</v>
      </c>
    </row>
    <row r="899" spans="1:7" x14ac:dyDescent="0.3">
      <c r="A899" t="s">
        <v>568</v>
      </c>
      <c r="B899">
        <v>19572</v>
      </c>
      <c r="C899" t="s">
        <v>4023</v>
      </c>
      <c r="D899" t="s">
        <v>464</v>
      </c>
      <c r="E899">
        <v>4.55</v>
      </c>
      <c r="F899">
        <v>54.29</v>
      </c>
      <c r="G899">
        <v>11.93</v>
      </c>
    </row>
    <row r="900" spans="1:7" x14ac:dyDescent="0.3">
      <c r="A900" t="s">
        <v>568</v>
      </c>
      <c r="B900">
        <v>23198</v>
      </c>
      <c r="C900" t="s">
        <v>4167</v>
      </c>
      <c r="D900" t="s">
        <v>464</v>
      </c>
      <c r="E900">
        <v>4</v>
      </c>
      <c r="F900">
        <v>62.93</v>
      </c>
      <c r="G900">
        <v>15.73</v>
      </c>
    </row>
    <row r="901" spans="1:7" x14ac:dyDescent="0.3">
      <c r="A901" t="s">
        <v>568</v>
      </c>
      <c r="B901">
        <v>20487</v>
      </c>
      <c r="C901" t="s">
        <v>4310</v>
      </c>
      <c r="D901" t="s">
        <v>464</v>
      </c>
      <c r="E901">
        <v>3.6</v>
      </c>
      <c r="F901">
        <v>104.22</v>
      </c>
      <c r="G901">
        <v>28.95</v>
      </c>
    </row>
    <row r="902" spans="1:7" x14ac:dyDescent="0.3">
      <c r="A902" t="s">
        <v>568</v>
      </c>
      <c r="B902">
        <v>21400</v>
      </c>
      <c r="C902" t="s">
        <v>4165</v>
      </c>
      <c r="D902" t="s">
        <v>464</v>
      </c>
      <c r="E902">
        <v>3.52</v>
      </c>
      <c r="F902">
        <v>101.9</v>
      </c>
      <c r="G902">
        <v>28.95</v>
      </c>
    </row>
    <row r="903" spans="1:7" x14ac:dyDescent="0.3">
      <c r="A903" t="s">
        <v>568</v>
      </c>
      <c r="B903">
        <v>18682</v>
      </c>
      <c r="C903" t="s">
        <v>4025</v>
      </c>
      <c r="D903" t="s">
        <v>464</v>
      </c>
      <c r="E903">
        <v>14.9</v>
      </c>
      <c r="F903">
        <v>417.05</v>
      </c>
      <c r="G903">
        <v>27.99</v>
      </c>
    </row>
    <row r="904" spans="1:7" x14ac:dyDescent="0.3">
      <c r="A904" t="s">
        <v>568</v>
      </c>
      <c r="B904">
        <v>25312</v>
      </c>
      <c r="C904" t="s">
        <v>4318</v>
      </c>
      <c r="D904" t="s">
        <v>464</v>
      </c>
      <c r="E904">
        <v>1</v>
      </c>
      <c r="F904">
        <v>68.900000000000006</v>
      </c>
      <c r="G904">
        <v>68.900000000000006</v>
      </c>
    </row>
    <row r="905" spans="1:7" x14ac:dyDescent="0.3">
      <c r="A905" t="s">
        <v>568</v>
      </c>
      <c r="B905">
        <v>19346</v>
      </c>
      <c r="C905" t="s">
        <v>3948</v>
      </c>
      <c r="D905" t="s">
        <v>464</v>
      </c>
      <c r="E905">
        <v>14.53</v>
      </c>
      <c r="F905">
        <v>854.9</v>
      </c>
      <c r="G905">
        <v>58.84</v>
      </c>
    </row>
    <row r="906" spans="1:7" x14ac:dyDescent="0.3">
      <c r="A906" t="s">
        <v>568</v>
      </c>
      <c r="B906">
        <v>19324</v>
      </c>
      <c r="C906" t="s">
        <v>3937</v>
      </c>
      <c r="D906" t="s">
        <v>464</v>
      </c>
      <c r="E906">
        <v>33.17</v>
      </c>
      <c r="F906">
        <v>1358.73</v>
      </c>
      <c r="G906">
        <v>40.96</v>
      </c>
    </row>
    <row r="907" spans="1:7" x14ac:dyDescent="0.3">
      <c r="A907" t="s">
        <v>568</v>
      </c>
      <c r="B907">
        <v>19291</v>
      </c>
      <c r="C907" t="s">
        <v>4254</v>
      </c>
      <c r="D907" t="s">
        <v>464</v>
      </c>
      <c r="E907">
        <v>49.86</v>
      </c>
      <c r="F907">
        <v>3276.47</v>
      </c>
      <c r="G907">
        <v>65.709999999999994</v>
      </c>
    </row>
    <row r="908" spans="1:7" x14ac:dyDescent="0.3">
      <c r="A908" t="s">
        <v>568</v>
      </c>
      <c r="B908">
        <v>19287</v>
      </c>
      <c r="C908" t="s">
        <v>3974</v>
      </c>
      <c r="D908" t="s">
        <v>464</v>
      </c>
      <c r="E908">
        <v>10.01</v>
      </c>
      <c r="F908">
        <v>426.69</v>
      </c>
      <c r="G908">
        <v>42.63</v>
      </c>
    </row>
    <row r="909" spans="1:7" x14ac:dyDescent="0.3">
      <c r="A909" t="s">
        <v>568</v>
      </c>
      <c r="B909">
        <v>19558</v>
      </c>
      <c r="C909" t="s">
        <v>4183</v>
      </c>
      <c r="D909" t="s">
        <v>464</v>
      </c>
      <c r="E909">
        <v>3</v>
      </c>
      <c r="F909">
        <v>48.5</v>
      </c>
      <c r="G909">
        <v>16.170000000000002</v>
      </c>
    </row>
    <row r="910" spans="1:7" x14ac:dyDescent="0.3">
      <c r="A910" t="s">
        <v>568</v>
      </c>
      <c r="B910">
        <v>25768</v>
      </c>
      <c r="C910" t="s">
        <v>4012</v>
      </c>
      <c r="D910" t="s">
        <v>464</v>
      </c>
      <c r="E910">
        <v>3</v>
      </c>
      <c r="F910">
        <v>29.7</v>
      </c>
      <c r="G910">
        <v>9.9</v>
      </c>
    </row>
    <row r="911" spans="1:7" x14ac:dyDescent="0.3">
      <c r="A911" t="s">
        <v>568</v>
      </c>
      <c r="B911">
        <v>27313</v>
      </c>
      <c r="C911" t="s">
        <v>4131</v>
      </c>
      <c r="D911" t="s">
        <v>464</v>
      </c>
      <c r="E911">
        <v>10.199999999999999</v>
      </c>
      <c r="F911">
        <v>344.76</v>
      </c>
      <c r="G911">
        <v>33.799999999999997</v>
      </c>
    </row>
    <row r="912" spans="1:7" x14ac:dyDescent="0.3">
      <c r="A912" t="s">
        <v>568</v>
      </c>
      <c r="B912">
        <v>18818</v>
      </c>
      <c r="C912" t="s">
        <v>3916</v>
      </c>
      <c r="D912" t="s">
        <v>464</v>
      </c>
      <c r="E912">
        <v>10.199999999999999</v>
      </c>
      <c r="F912">
        <v>274.38</v>
      </c>
      <c r="G912">
        <v>26.9</v>
      </c>
    </row>
    <row r="913" spans="1:7" x14ac:dyDescent="0.3">
      <c r="A913" t="s">
        <v>568</v>
      </c>
      <c r="B913">
        <v>23195</v>
      </c>
      <c r="C913" t="s">
        <v>4184</v>
      </c>
      <c r="D913" t="s">
        <v>464</v>
      </c>
      <c r="E913">
        <v>4</v>
      </c>
      <c r="F913">
        <v>54</v>
      </c>
      <c r="G913">
        <v>13.5</v>
      </c>
    </row>
    <row r="914" spans="1:7" x14ac:dyDescent="0.3">
      <c r="A914" t="s">
        <v>568</v>
      </c>
      <c r="B914">
        <v>18666</v>
      </c>
      <c r="C914" t="s">
        <v>4003</v>
      </c>
      <c r="D914" t="s">
        <v>464</v>
      </c>
      <c r="E914">
        <v>6.4</v>
      </c>
      <c r="F914">
        <v>153.54</v>
      </c>
      <c r="G914">
        <v>23.99</v>
      </c>
    </row>
    <row r="915" spans="1:7" x14ac:dyDescent="0.3">
      <c r="A915" t="s">
        <v>568</v>
      </c>
      <c r="B915">
        <v>19555</v>
      </c>
      <c r="C915" t="s">
        <v>4109</v>
      </c>
      <c r="D915" t="s">
        <v>464</v>
      </c>
      <c r="E915">
        <v>4</v>
      </c>
      <c r="F915">
        <v>78.709999999999994</v>
      </c>
      <c r="G915">
        <v>19.68</v>
      </c>
    </row>
    <row r="916" spans="1:7" x14ac:dyDescent="0.3">
      <c r="A916" t="s">
        <v>568</v>
      </c>
      <c r="B916">
        <v>19553</v>
      </c>
      <c r="C916" t="s">
        <v>4078</v>
      </c>
      <c r="D916" t="s">
        <v>464</v>
      </c>
      <c r="E916">
        <v>4.5</v>
      </c>
      <c r="F916">
        <v>26.95</v>
      </c>
      <c r="G916">
        <v>5.99</v>
      </c>
    </row>
    <row r="917" spans="1:7" x14ac:dyDescent="0.3">
      <c r="A917" t="s">
        <v>568</v>
      </c>
      <c r="B917">
        <v>19264</v>
      </c>
      <c r="C917" t="s">
        <v>4082</v>
      </c>
      <c r="D917" t="s">
        <v>464</v>
      </c>
      <c r="E917">
        <v>13</v>
      </c>
      <c r="F917">
        <v>683.16</v>
      </c>
      <c r="G917">
        <v>52.55</v>
      </c>
    </row>
    <row r="918" spans="1:7" x14ac:dyDescent="0.3">
      <c r="A918" t="s">
        <v>568</v>
      </c>
      <c r="B918">
        <v>17138</v>
      </c>
      <c r="C918" t="s">
        <v>4319</v>
      </c>
      <c r="D918" t="s">
        <v>464</v>
      </c>
      <c r="E918">
        <v>2</v>
      </c>
      <c r="F918">
        <v>17.2</v>
      </c>
      <c r="G918">
        <v>8.6</v>
      </c>
    </row>
    <row r="919" spans="1:7" x14ac:dyDescent="0.3">
      <c r="A919" t="s">
        <v>568</v>
      </c>
      <c r="B919">
        <v>17129</v>
      </c>
      <c r="C919" t="s">
        <v>4200</v>
      </c>
      <c r="D919" t="s">
        <v>464</v>
      </c>
      <c r="E919">
        <v>1</v>
      </c>
      <c r="F919">
        <v>26.61</v>
      </c>
      <c r="G919">
        <v>26.61</v>
      </c>
    </row>
    <row r="920" spans="1:7" x14ac:dyDescent="0.3">
      <c r="A920" t="s">
        <v>568</v>
      </c>
      <c r="B920">
        <v>17322</v>
      </c>
      <c r="C920" t="s">
        <v>4316</v>
      </c>
      <c r="D920" t="s">
        <v>464</v>
      </c>
      <c r="E920">
        <v>1</v>
      </c>
      <c r="F920">
        <v>15.05</v>
      </c>
      <c r="G920">
        <v>15.05</v>
      </c>
    </row>
    <row r="921" spans="1:7" x14ac:dyDescent="0.3">
      <c r="A921" t="s">
        <v>568</v>
      </c>
      <c r="B921">
        <v>25425</v>
      </c>
      <c r="C921" t="s">
        <v>4314</v>
      </c>
      <c r="D921" t="s">
        <v>464</v>
      </c>
      <c r="E921">
        <v>1</v>
      </c>
      <c r="F921">
        <v>50</v>
      </c>
      <c r="G921">
        <v>50</v>
      </c>
    </row>
    <row r="922" spans="1:7" x14ac:dyDescent="0.3">
      <c r="A922" t="s">
        <v>568</v>
      </c>
      <c r="B922">
        <v>17437</v>
      </c>
      <c r="C922" t="s">
        <v>4198</v>
      </c>
      <c r="D922" t="s">
        <v>464</v>
      </c>
      <c r="E922">
        <v>20</v>
      </c>
      <c r="F922">
        <v>46</v>
      </c>
      <c r="G922">
        <v>2.2999999999999998</v>
      </c>
    </row>
    <row r="923" spans="1:7" x14ac:dyDescent="0.3">
      <c r="A923" t="s">
        <v>568</v>
      </c>
      <c r="B923">
        <v>21423</v>
      </c>
      <c r="C923" t="s">
        <v>4225</v>
      </c>
      <c r="D923" t="s">
        <v>464</v>
      </c>
      <c r="E923">
        <v>4</v>
      </c>
      <c r="F923">
        <v>127.28</v>
      </c>
      <c r="G923">
        <v>31.82</v>
      </c>
    </row>
    <row r="924" spans="1:7" x14ac:dyDescent="0.3">
      <c r="A924" t="s">
        <v>568</v>
      </c>
      <c r="B924">
        <v>17397</v>
      </c>
      <c r="C924" t="s">
        <v>4223</v>
      </c>
      <c r="D924" t="s">
        <v>464</v>
      </c>
      <c r="E924">
        <v>3</v>
      </c>
      <c r="F924">
        <v>95.46</v>
      </c>
      <c r="G924">
        <v>31.82</v>
      </c>
    </row>
    <row r="925" spans="1:7" x14ac:dyDescent="0.3">
      <c r="A925" t="s">
        <v>568</v>
      </c>
      <c r="B925">
        <v>17404</v>
      </c>
      <c r="C925" t="s">
        <v>4282</v>
      </c>
      <c r="D925" t="s">
        <v>464</v>
      </c>
      <c r="E925">
        <v>1</v>
      </c>
      <c r="F925">
        <v>27</v>
      </c>
      <c r="G925">
        <v>27</v>
      </c>
    </row>
    <row r="926" spans="1:7" x14ac:dyDescent="0.3">
      <c r="A926" t="s">
        <v>568</v>
      </c>
      <c r="B926">
        <v>17383</v>
      </c>
      <c r="C926" t="s">
        <v>4252</v>
      </c>
      <c r="D926" t="s">
        <v>464</v>
      </c>
      <c r="E926">
        <v>1</v>
      </c>
      <c r="F926">
        <v>45</v>
      </c>
      <c r="G926">
        <v>45</v>
      </c>
    </row>
    <row r="927" spans="1:7" x14ac:dyDescent="0.3">
      <c r="A927" t="s">
        <v>568</v>
      </c>
      <c r="B927">
        <v>19916</v>
      </c>
      <c r="C927" t="s">
        <v>4118</v>
      </c>
      <c r="D927" t="s">
        <v>464</v>
      </c>
      <c r="E927">
        <v>1</v>
      </c>
      <c r="F927">
        <v>35.299999999999997</v>
      </c>
      <c r="G927">
        <v>35.299999999999997</v>
      </c>
    </row>
    <row r="928" spans="1:7" x14ac:dyDescent="0.3">
      <c r="A928" t="s">
        <v>568</v>
      </c>
      <c r="B928">
        <v>20466</v>
      </c>
      <c r="C928" t="s">
        <v>4098</v>
      </c>
      <c r="D928" t="s">
        <v>464</v>
      </c>
      <c r="E928">
        <v>1.4</v>
      </c>
      <c r="F928">
        <v>95.2</v>
      </c>
      <c r="G928">
        <v>68</v>
      </c>
    </row>
    <row r="929" spans="1:7" x14ac:dyDescent="0.3">
      <c r="A929" t="s">
        <v>568</v>
      </c>
      <c r="B929">
        <v>23113</v>
      </c>
      <c r="C929" t="s">
        <v>4079</v>
      </c>
      <c r="D929" t="s">
        <v>464</v>
      </c>
      <c r="E929">
        <v>14</v>
      </c>
      <c r="F929">
        <v>174.48</v>
      </c>
      <c r="G929">
        <v>12.46</v>
      </c>
    </row>
    <row r="930" spans="1:7" x14ac:dyDescent="0.3">
      <c r="A930" t="s">
        <v>568</v>
      </c>
      <c r="B930">
        <v>19465</v>
      </c>
      <c r="C930" t="s">
        <v>4080</v>
      </c>
      <c r="D930" t="s">
        <v>464</v>
      </c>
      <c r="E930">
        <v>5.3</v>
      </c>
      <c r="F930">
        <v>30.74</v>
      </c>
      <c r="G930">
        <v>5.8</v>
      </c>
    </row>
    <row r="931" spans="1:7" x14ac:dyDescent="0.3">
      <c r="A931" t="s">
        <v>568</v>
      </c>
      <c r="B931">
        <v>20458</v>
      </c>
      <c r="C931" t="s">
        <v>4121</v>
      </c>
      <c r="D931" t="s">
        <v>464</v>
      </c>
      <c r="E931">
        <v>2.5</v>
      </c>
      <c r="F931">
        <v>82.25</v>
      </c>
      <c r="G931">
        <v>32.9</v>
      </c>
    </row>
    <row r="932" spans="1:7" x14ac:dyDescent="0.3">
      <c r="A932" t="s">
        <v>568</v>
      </c>
      <c r="B932">
        <v>17881</v>
      </c>
      <c r="C932" t="s">
        <v>4095</v>
      </c>
      <c r="D932" t="s">
        <v>464</v>
      </c>
      <c r="E932">
        <v>5</v>
      </c>
      <c r="F932">
        <v>127.65</v>
      </c>
      <c r="G932">
        <v>25.53</v>
      </c>
    </row>
    <row r="933" spans="1:7" x14ac:dyDescent="0.3">
      <c r="A933" t="s">
        <v>568</v>
      </c>
      <c r="B933">
        <v>18586</v>
      </c>
      <c r="C933" t="s">
        <v>4107</v>
      </c>
      <c r="D933" t="s">
        <v>464</v>
      </c>
      <c r="E933">
        <v>1</v>
      </c>
      <c r="F933">
        <v>132.07</v>
      </c>
      <c r="G933">
        <v>132.07</v>
      </c>
    </row>
    <row r="934" spans="1:7" x14ac:dyDescent="0.3">
      <c r="A934" t="s">
        <v>568</v>
      </c>
      <c r="B934">
        <v>28917</v>
      </c>
      <c r="C934" t="s">
        <v>4339</v>
      </c>
      <c r="D934" t="s">
        <v>464</v>
      </c>
      <c r="E934">
        <v>12</v>
      </c>
      <c r="F934">
        <v>576.72</v>
      </c>
      <c r="G934">
        <v>48.06</v>
      </c>
    </row>
    <row r="935" spans="1:7" x14ac:dyDescent="0.3">
      <c r="A935" t="s">
        <v>568</v>
      </c>
      <c r="B935">
        <v>28718</v>
      </c>
      <c r="C935" t="s">
        <v>4325</v>
      </c>
      <c r="D935" t="s">
        <v>464</v>
      </c>
      <c r="E935">
        <v>1</v>
      </c>
      <c r="F935">
        <v>151.43</v>
      </c>
      <c r="G935">
        <v>151.43</v>
      </c>
    </row>
    <row r="936" spans="1:7" x14ac:dyDescent="0.3">
      <c r="A936" t="s">
        <v>568</v>
      </c>
      <c r="B936">
        <v>19672</v>
      </c>
      <c r="C936" t="s">
        <v>4024</v>
      </c>
      <c r="D936" t="s">
        <v>464</v>
      </c>
      <c r="E936">
        <v>17.29</v>
      </c>
      <c r="F936">
        <v>215.38</v>
      </c>
      <c r="G936">
        <v>12.46</v>
      </c>
    </row>
    <row r="937" spans="1:7" x14ac:dyDescent="0.3">
      <c r="A937" t="s">
        <v>568</v>
      </c>
      <c r="B937">
        <v>25769</v>
      </c>
      <c r="C937" t="s">
        <v>4013</v>
      </c>
      <c r="D937" t="s">
        <v>464</v>
      </c>
      <c r="E937">
        <v>4</v>
      </c>
      <c r="F937">
        <v>52</v>
      </c>
      <c r="G937">
        <v>13</v>
      </c>
    </row>
    <row r="938" spans="1:7" x14ac:dyDescent="0.3">
      <c r="A938" t="s">
        <v>568</v>
      </c>
      <c r="B938">
        <v>19539</v>
      </c>
      <c r="C938" t="s">
        <v>4133</v>
      </c>
      <c r="D938" t="s">
        <v>464</v>
      </c>
      <c r="E938">
        <v>72.8</v>
      </c>
      <c r="F938">
        <v>635.41</v>
      </c>
      <c r="G938">
        <v>8.73</v>
      </c>
    </row>
    <row r="939" spans="1:7" x14ac:dyDescent="0.3">
      <c r="A939" t="s">
        <v>568</v>
      </c>
      <c r="B939">
        <v>23171</v>
      </c>
      <c r="C939" t="s">
        <v>4132</v>
      </c>
      <c r="D939" t="s">
        <v>464</v>
      </c>
      <c r="E939">
        <v>24.6</v>
      </c>
      <c r="F939">
        <v>241.93</v>
      </c>
      <c r="G939">
        <v>9.83</v>
      </c>
    </row>
    <row r="940" spans="1:7" x14ac:dyDescent="0.3">
      <c r="A940" t="s">
        <v>568</v>
      </c>
      <c r="B940">
        <v>24484</v>
      </c>
      <c r="C940" t="s">
        <v>4154</v>
      </c>
      <c r="D940" t="s">
        <v>464</v>
      </c>
      <c r="E940">
        <v>2.5</v>
      </c>
      <c r="F940">
        <v>32.53</v>
      </c>
      <c r="G940">
        <v>13.01</v>
      </c>
    </row>
    <row r="941" spans="1:7" x14ac:dyDescent="0.3">
      <c r="A941" t="s">
        <v>568</v>
      </c>
      <c r="B941">
        <v>23622</v>
      </c>
      <c r="C941" t="s">
        <v>4150</v>
      </c>
      <c r="D941" t="s">
        <v>464</v>
      </c>
      <c r="E941">
        <v>1</v>
      </c>
      <c r="F941">
        <v>21.5</v>
      </c>
      <c r="G941">
        <v>21.5</v>
      </c>
    </row>
    <row r="942" spans="1:7" x14ac:dyDescent="0.3">
      <c r="A942" t="s">
        <v>568</v>
      </c>
      <c r="B942">
        <v>17066</v>
      </c>
      <c r="C942" t="s">
        <v>4155</v>
      </c>
      <c r="D942" t="s">
        <v>464</v>
      </c>
      <c r="E942">
        <v>1</v>
      </c>
      <c r="F942">
        <v>22.33</v>
      </c>
      <c r="G942">
        <v>22.33</v>
      </c>
    </row>
    <row r="943" spans="1:7" x14ac:dyDescent="0.3">
      <c r="A943" t="s">
        <v>568</v>
      </c>
      <c r="B943">
        <v>18172</v>
      </c>
      <c r="C943" t="s">
        <v>3923</v>
      </c>
      <c r="D943" t="s">
        <v>464</v>
      </c>
      <c r="E943">
        <v>13</v>
      </c>
      <c r="F943">
        <v>382.46</v>
      </c>
      <c r="G943">
        <v>29.42</v>
      </c>
    </row>
    <row r="944" spans="1:7" x14ac:dyDescent="0.3">
      <c r="A944" t="s">
        <v>568</v>
      </c>
      <c r="B944">
        <v>18119</v>
      </c>
      <c r="C944" t="s">
        <v>4093</v>
      </c>
      <c r="D944" t="s">
        <v>464</v>
      </c>
      <c r="E944">
        <v>1</v>
      </c>
      <c r="F944">
        <v>162.16</v>
      </c>
      <c r="G944">
        <v>162.16</v>
      </c>
    </row>
    <row r="945" spans="1:7" x14ac:dyDescent="0.3">
      <c r="A945" t="s">
        <v>568</v>
      </c>
      <c r="B945">
        <v>19787</v>
      </c>
      <c r="C945" t="s">
        <v>3940</v>
      </c>
      <c r="D945" t="s">
        <v>463</v>
      </c>
      <c r="E945">
        <v>39.799999999999997</v>
      </c>
      <c r="F945">
        <v>209.41</v>
      </c>
      <c r="G945">
        <v>5.26</v>
      </c>
    </row>
    <row r="946" spans="1:7" x14ac:dyDescent="0.3">
      <c r="A946" t="s">
        <v>568</v>
      </c>
      <c r="B946">
        <v>27475</v>
      </c>
      <c r="C946" t="s">
        <v>4162</v>
      </c>
      <c r="D946" t="s">
        <v>463</v>
      </c>
      <c r="E946">
        <v>2</v>
      </c>
      <c r="F946">
        <v>33.799999999999997</v>
      </c>
      <c r="G946">
        <v>16.899999999999999</v>
      </c>
    </row>
    <row r="947" spans="1:7" x14ac:dyDescent="0.3">
      <c r="A947" t="s">
        <v>568</v>
      </c>
      <c r="B947">
        <v>21093</v>
      </c>
      <c r="C947" t="s">
        <v>3903</v>
      </c>
      <c r="D947" t="s">
        <v>463</v>
      </c>
      <c r="E947">
        <v>40</v>
      </c>
      <c r="F947">
        <v>174.6</v>
      </c>
      <c r="G947">
        <v>4.37</v>
      </c>
    </row>
    <row r="948" spans="1:7" x14ac:dyDescent="0.3">
      <c r="A948" t="s">
        <v>568</v>
      </c>
      <c r="B948">
        <v>19507</v>
      </c>
      <c r="C948" t="s">
        <v>4328</v>
      </c>
      <c r="D948" t="s">
        <v>463</v>
      </c>
      <c r="E948">
        <v>1</v>
      </c>
      <c r="F948">
        <v>15.3</v>
      </c>
      <c r="G948">
        <v>15.3</v>
      </c>
    </row>
    <row r="949" spans="1:7" x14ac:dyDescent="0.3">
      <c r="A949" t="s">
        <v>568</v>
      </c>
      <c r="B949">
        <v>19458</v>
      </c>
      <c r="C949" t="s">
        <v>4212</v>
      </c>
      <c r="D949" t="s">
        <v>463</v>
      </c>
      <c r="E949">
        <v>3</v>
      </c>
      <c r="F949">
        <v>48.26</v>
      </c>
      <c r="G949">
        <v>16.09</v>
      </c>
    </row>
    <row r="950" spans="1:7" x14ac:dyDescent="0.3">
      <c r="A950" t="s">
        <v>568</v>
      </c>
      <c r="B950">
        <v>24006</v>
      </c>
      <c r="C950" t="s">
        <v>4177</v>
      </c>
      <c r="D950" t="s">
        <v>463</v>
      </c>
      <c r="E950">
        <v>15</v>
      </c>
      <c r="F950">
        <v>358.5</v>
      </c>
      <c r="G950">
        <v>23.9</v>
      </c>
    </row>
    <row r="951" spans="1:7" x14ac:dyDescent="0.3">
      <c r="A951" t="s">
        <v>568</v>
      </c>
      <c r="B951">
        <v>17950</v>
      </c>
      <c r="C951" t="s">
        <v>4170</v>
      </c>
      <c r="D951" t="s">
        <v>463</v>
      </c>
      <c r="E951">
        <v>15</v>
      </c>
      <c r="F951">
        <v>254.85</v>
      </c>
      <c r="G951">
        <v>16.989999999999998</v>
      </c>
    </row>
    <row r="952" spans="1:7" x14ac:dyDescent="0.3">
      <c r="A952" t="s">
        <v>568</v>
      </c>
      <c r="B952">
        <v>17969</v>
      </c>
      <c r="C952" t="s">
        <v>4175</v>
      </c>
      <c r="D952" t="s">
        <v>463</v>
      </c>
      <c r="E952">
        <v>15</v>
      </c>
      <c r="F952">
        <v>340.5</v>
      </c>
      <c r="G952">
        <v>22.7</v>
      </c>
    </row>
    <row r="953" spans="1:7" x14ac:dyDescent="0.3">
      <c r="A953" t="s">
        <v>568</v>
      </c>
      <c r="B953">
        <v>17958</v>
      </c>
      <c r="C953" t="s">
        <v>4141</v>
      </c>
      <c r="D953" t="s">
        <v>463</v>
      </c>
      <c r="E953">
        <v>15</v>
      </c>
      <c r="F953">
        <v>244.35</v>
      </c>
      <c r="G953">
        <v>16.29</v>
      </c>
    </row>
    <row r="954" spans="1:7" x14ac:dyDescent="0.3">
      <c r="A954" t="s">
        <v>568</v>
      </c>
      <c r="B954">
        <v>17314</v>
      </c>
      <c r="C954" t="s">
        <v>4204</v>
      </c>
      <c r="D954" t="s">
        <v>463</v>
      </c>
      <c r="E954">
        <v>14</v>
      </c>
      <c r="F954">
        <v>82.46</v>
      </c>
      <c r="G954">
        <v>5.89</v>
      </c>
    </row>
    <row r="955" spans="1:7" x14ac:dyDescent="0.3">
      <c r="A955" t="s">
        <v>568</v>
      </c>
      <c r="B955">
        <v>20757</v>
      </c>
      <c r="C955" t="s">
        <v>4050</v>
      </c>
      <c r="D955" t="s">
        <v>463</v>
      </c>
      <c r="E955">
        <v>1</v>
      </c>
      <c r="F955">
        <v>76.900000000000006</v>
      </c>
      <c r="G955">
        <v>76.900000000000006</v>
      </c>
    </row>
    <row r="956" spans="1:7" x14ac:dyDescent="0.3">
      <c r="A956" t="s">
        <v>568</v>
      </c>
      <c r="B956">
        <v>17266</v>
      </c>
      <c r="C956" t="s">
        <v>4229</v>
      </c>
      <c r="D956" t="s">
        <v>463</v>
      </c>
      <c r="E956">
        <v>48</v>
      </c>
      <c r="F956">
        <v>223.2</v>
      </c>
      <c r="G956">
        <v>4.6500000000000004</v>
      </c>
    </row>
    <row r="957" spans="1:7" x14ac:dyDescent="0.3">
      <c r="A957" t="s">
        <v>568</v>
      </c>
      <c r="B957">
        <v>19506</v>
      </c>
      <c r="C957" t="s">
        <v>4112</v>
      </c>
      <c r="D957" t="s">
        <v>463</v>
      </c>
      <c r="E957">
        <v>1.6</v>
      </c>
      <c r="F957">
        <v>78.36</v>
      </c>
      <c r="G957">
        <v>48.98</v>
      </c>
    </row>
    <row r="958" spans="1:7" x14ac:dyDescent="0.3">
      <c r="A958" t="s">
        <v>568</v>
      </c>
      <c r="B958">
        <v>19505</v>
      </c>
      <c r="C958" t="s">
        <v>4101</v>
      </c>
      <c r="D958" t="s">
        <v>463</v>
      </c>
      <c r="E958">
        <v>9.6999999999999993</v>
      </c>
      <c r="F958">
        <v>127.16</v>
      </c>
      <c r="G958">
        <v>13.11</v>
      </c>
    </row>
    <row r="959" spans="1:7" x14ac:dyDescent="0.3">
      <c r="A959" t="s">
        <v>568</v>
      </c>
      <c r="B959">
        <v>23142</v>
      </c>
      <c r="C959" t="s">
        <v>4151</v>
      </c>
      <c r="D959" t="s">
        <v>463</v>
      </c>
      <c r="E959">
        <v>8</v>
      </c>
      <c r="F959">
        <v>176.25</v>
      </c>
      <c r="G959">
        <v>22.03</v>
      </c>
    </row>
    <row r="960" spans="1:7" x14ac:dyDescent="0.3">
      <c r="A960" t="s">
        <v>568</v>
      </c>
      <c r="B960">
        <v>19498</v>
      </c>
      <c r="C960" t="s">
        <v>4065</v>
      </c>
      <c r="D960" t="s">
        <v>463</v>
      </c>
      <c r="E960">
        <v>9</v>
      </c>
      <c r="F960">
        <v>152.30000000000001</v>
      </c>
      <c r="G960">
        <v>16.920000000000002</v>
      </c>
    </row>
    <row r="961" spans="1:7" x14ac:dyDescent="0.3">
      <c r="A961" t="s">
        <v>568</v>
      </c>
      <c r="B961">
        <v>19652</v>
      </c>
      <c r="C961" t="s">
        <v>4014</v>
      </c>
      <c r="D961" t="s">
        <v>463</v>
      </c>
      <c r="E961">
        <v>2</v>
      </c>
      <c r="F961">
        <v>40.72</v>
      </c>
      <c r="G961">
        <v>20.36</v>
      </c>
    </row>
    <row r="962" spans="1:7" x14ac:dyDescent="0.3">
      <c r="A962" t="s">
        <v>568</v>
      </c>
      <c r="B962">
        <v>23270</v>
      </c>
      <c r="C962" t="s">
        <v>4103</v>
      </c>
      <c r="D962" t="s">
        <v>463</v>
      </c>
      <c r="E962">
        <v>1</v>
      </c>
      <c r="F962">
        <v>19.899999999999999</v>
      </c>
      <c r="G962">
        <v>19.899999999999999</v>
      </c>
    </row>
    <row r="963" spans="1:7" x14ac:dyDescent="0.3">
      <c r="A963" t="s">
        <v>568</v>
      </c>
      <c r="B963">
        <v>19647</v>
      </c>
      <c r="C963" t="s">
        <v>4066</v>
      </c>
      <c r="D963" t="s">
        <v>463</v>
      </c>
      <c r="E963">
        <v>3</v>
      </c>
      <c r="F963">
        <v>41.8</v>
      </c>
      <c r="G963">
        <v>13.93</v>
      </c>
    </row>
    <row r="964" spans="1:7" x14ac:dyDescent="0.3">
      <c r="A964" t="s">
        <v>568</v>
      </c>
      <c r="B964">
        <v>24037</v>
      </c>
      <c r="C964" t="s">
        <v>4104</v>
      </c>
      <c r="D964" t="s">
        <v>463</v>
      </c>
      <c r="E964">
        <v>14</v>
      </c>
      <c r="F964">
        <v>257.5</v>
      </c>
      <c r="G964">
        <v>18.39</v>
      </c>
    </row>
    <row r="965" spans="1:7" x14ac:dyDescent="0.3">
      <c r="A965" t="s">
        <v>568</v>
      </c>
      <c r="B965">
        <v>18538</v>
      </c>
      <c r="C965" t="s">
        <v>4026</v>
      </c>
      <c r="D965" t="s">
        <v>463</v>
      </c>
      <c r="E965">
        <v>11</v>
      </c>
      <c r="F965">
        <v>1159.5</v>
      </c>
      <c r="G965">
        <v>105.41</v>
      </c>
    </row>
    <row r="966" spans="1:7" x14ac:dyDescent="0.3">
      <c r="A966" t="s">
        <v>568</v>
      </c>
      <c r="B966">
        <v>20301</v>
      </c>
      <c r="C966" t="s">
        <v>4161</v>
      </c>
      <c r="D966" t="s">
        <v>463</v>
      </c>
      <c r="E966">
        <v>24</v>
      </c>
      <c r="F966">
        <v>453.6</v>
      </c>
      <c r="G966">
        <v>18.899999999999999</v>
      </c>
    </row>
    <row r="967" spans="1:7" x14ac:dyDescent="0.3">
      <c r="A967" t="s">
        <v>568</v>
      </c>
      <c r="B967">
        <v>21783</v>
      </c>
      <c r="C967" t="s">
        <v>4228</v>
      </c>
      <c r="D967" t="s">
        <v>463</v>
      </c>
      <c r="E967">
        <v>2</v>
      </c>
      <c r="F967">
        <v>21.12</v>
      </c>
      <c r="G967">
        <v>10.56</v>
      </c>
    </row>
    <row r="968" spans="1:7" x14ac:dyDescent="0.3">
      <c r="A968" t="s">
        <v>568</v>
      </c>
      <c r="B968">
        <v>21030</v>
      </c>
      <c r="C968" t="s">
        <v>3890</v>
      </c>
      <c r="D968" t="s">
        <v>463</v>
      </c>
      <c r="E968">
        <v>12</v>
      </c>
      <c r="F968">
        <v>228.72</v>
      </c>
      <c r="G968">
        <v>19.059999999999999</v>
      </c>
    </row>
    <row r="969" spans="1:7" x14ac:dyDescent="0.3">
      <c r="A969" t="s">
        <v>568</v>
      </c>
      <c r="B969">
        <v>23982</v>
      </c>
      <c r="C969" t="s">
        <v>3977</v>
      </c>
      <c r="D969" t="s">
        <v>463</v>
      </c>
      <c r="E969">
        <v>3</v>
      </c>
      <c r="F969">
        <v>721.71</v>
      </c>
      <c r="G969">
        <v>240.57</v>
      </c>
    </row>
    <row r="970" spans="1:7" x14ac:dyDescent="0.3">
      <c r="A970" t="s">
        <v>568</v>
      </c>
      <c r="B970">
        <v>20755</v>
      </c>
      <c r="C970" t="s">
        <v>4052</v>
      </c>
      <c r="D970" t="s">
        <v>463</v>
      </c>
      <c r="E970">
        <v>1</v>
      </c>
      <c r="F970">
        <v>120</v>
      </c>
      <c r="G970">
        <v>120</v>
      </c>
    </row>
    <row r="971" spans="1:7" x14ac:dyDescent="0.3">
      <c r="A971" t="s">
        <v>568</v>
      </c>
      <c r="B971">
        <v>20751</v>
      </c>
      <c r="C971" t="s">
        <v>4331</v>
      </c>
      <c r="D971" t="s">
        <v>463</v>
      </c>
      <c r="E971">
        <v>1</v>
      </c>
      <c r="F971">
        <v>103.9</v>
      </c>
      <c r="G971">
        <v>103.9</v>
      </c>
    </row>
    <row r="972" spans="1:7" x14ac:dyDescent="0.3">
      <c r="A972" t="s">
        <v>568</v>
      </c>
      <c r="B972">
        <v>20752</v>
      </c>
      <c r="C972" t="s">
        <v>3964</v>
      </c>
      <c r="D972" t="s">
        <v>463</v>
      </c>
      <c r="E972">
        <v>8</v>
      </c>
      <c r="F972">
        <v>822.4</v>
      </c>
      <c r="G972">
        <v>102.8</v>
      </c>
    </row>
    <row r="973" spans="1:7" x14ac:dyDescent="0.3">
      <c r="A973" t="s">
        <v>568</v>
      </c>
      <c r="B973">
        <v>20729</v>
      </c>
      <c r="C973" t="s">
        <v>3965</v>
      </c>
      <c r="D973" t="s">
        <v>463</v>
      </c>
      <c r="E973">
        <v>11</v>
      </c>
      <c r="F973">
        <v>724.74</v>
      </c>
      <c r="G973">
        <v>65.89</v>
      </c>
    </row>
    <row r="974" spans="1:7" x14ac:dyDescent="0.3">
      <c r="A974" t="s">
        <v>568</v>
      </c>
      <c r="B974">
        <v>22734</v>
      </c>
      <c r="C974" t="s">
        <v>3955</v>
      </c>
      <c r="D974" t="s">
        <v>463</v>
      </c>
      <c r="E974">
        <v>51.5</v>
      </c>
      <c r="F974">
        <v>5098.5</v>
      </c>
      <c r="G974">
        <v>99</v>
      </c>
    </row>
    <row r="975" spans="1:7" x14ac:dyDescent="0.3">
      <c r="A975" t="s">
        <v>568</v>
      </c>
      <c r="B975">
        <v>24072</v>
      </c>
      <c r="C975" t="s">
        <v>4002</v>
      </c>
      <c r="D975" t="s">
        <v>463</v>
      </c>
      <c r="E975">
        <v>6.3</v>
      </c>
      <c r="F975">
        <v>1386</v>
      </c>
      <c r="G975">
        <v>220</v>
      </c>
    </row>
    <row r="976" spans="1:7" x14ac:dyDescent="0.3">
      <c r="A976" t="s">
        <v>568</v>
      </c>
      <c r="B976">
        <v>22721</v>
      </c>
      <c r="C976" t="s">
        <v>4221</v>
      </c>
      <c r="D976" t="s">
        <v>463</v>
      </c>
      <c r="E976">
        <v>9.52</v>
      </c>
      <c r="F976">
        <v>280</v>
      </c>
      <c r="G976">
        <v>29.41</v>
      </c>
    </row>
    <row r="977" spans="1:7" x14ac:dyDescent="0.3">
      <c r="A977" t="s">
        <v>568</v>
      </c>
      <c r="B977">
        <v>23389</v>
      </c>
      <c r="C977" t="s">
        <v>4016</v>
      </c>
      <c r="D977" t="s">
        <v>463</v>
      </c>
      <c r="E977">
        <v>46.2</v>
      </c>
      <c r="F977">
        <v>235.85</v>
      </c>
      <c r="G977">
        <v>5.0999999999999996</v>
      </c>
    </row>
    <row r="978" spans="1:7" x14ac:dyDescent="0.3">
      <c r="A978" t="s">
        <v>568</v>
      </c>
      <c r="B978">
        <v>28638</v>
      </c>
      <c r="C978" t="s">
        <v>4333</v>
      </c>
      <c r="D978" t="s">
        <v>463</v>
      </c>
      <c r="E978">
        <v>1</v>
      </c>
      <c r="F978">
        <v>294</v>
      </c>
      <c r="G978">
        <v>294</v>
      </c>
    </row>
    <row r="979" spans="1:7" x14ac:dyDescent="0.3">
      <c r="A979" t="s">
        <v>568</v>
      </c>
      <c r="B979">
        <v>24083</v>
      </c>
      <c r="C979" t="s">
        <v>3898</v>
      </c>
      <c r="D979" t="s">
        <v>463</v>
      </c>
      <c r="E979">
        <v>145</v>
      </c>
      <c r="F979">
        <v>778.75</v>
      </c>
      <c r="G979">
        <v>5.37</v>
      </c>
    </row>
    <row r="980" spans="1:7" x14ac:dyDescent="0.3">
      <c r="A980" t="s">
        <v>568</v>
      </c>
      <c r="B980">
        <v>20278</v>
      </c>
      <c r="C980" t="s">
        <v>3939</v>
      </c>
      <c r="D980" t="s">
        <v>463</v>
      </c>
      <c r="E980">
        <v>30</v>
      </c>
      <c r="F980">
        <v>1015.4</v>
      </c>
      <c r="G980">
        <v>33.85</v>
      </c>
    </row>
    <row r="981" spans="1:7" x14ac:dyDescent="0.3">
      <c r="A981" t="s">
        <v>568</v>
      </c>
      <c r="B981">
        <v>19642</v>
      </c>
      <c r="C981" t="s">
        <v>4067</v>
      </c>
      <c r="D981" t="s">
        <v>463</v>
      </c>
      <c r="E981">
        <v>4.3</v>
      </c>
      <c r="F981">
        <v>22.63</v>
      </c>
      <c r="G981">
        <v>5.26</v>
      </c>
    </row>
    <row r="982" spans="1:7" x14ac:dyDescent="0.3">
      <c r="A982" t="s">
        <v>568</v>
      </c>
      <c r="B982">
        <v>20287</v>
      </c>
      <c r="C982" t="s">
        <v>4053</v>
      </c>
      <c r="D982" t="s">
        <v>463</v>
      </c>
      <c r="E982">
        <v>2</v>
      </c>
      <c r="F982">
        <v>49.7</v>
      </c>
      <c r="G982">
        <v>24.85</v>
      </c>
    </row>
    <row r="983" spans="1:7" x14ac:dyDescent="0.3">
      <c r="A983" t="s">
        <v>568</v>
      </c>
      <c r="B983">
        <v>19634</v>
      </c>
      <c r="C983" t="s">
        <v>4068</v>
      </c>
      <c r="D983" t="s">
        <v>463</v>
      </c>
      <c r="E983">
        <v>9.4</v>
      </c>
      <c r="F983">
        <v>89.89</v>
      </c>
      <c r="G983">
        <v>9.56</v>
      </c>
    </row>
    <row r="984" spans="1:7" x14ac:dyDescent="0.3">
      <c r="A984" t="s">
        <v>568</v>
      </c>
      <c r="B984">
        <v>18696</v>
      </c>
      <c r="C984" t="s">
        <v>3956</v>
      </c>
      <c r="D984" t="s">
        <v>463</v>
      </c>
      <c r="E984">
        <v>11.4</v>
      </c>
      <c r="F984">
        <v>205.08</v>
      </c>
      <c r="G984">
        <v>17.989999999999998</v>
      </c>
    </row>
    <row r="985" spans="1:7" x14ac:dyDescent="0.3">
      <c r="A985" t="s">
        <v>568</v>
      </c>
      <c r="B985">
        <v>25131</v>
      </c>
      <c r="C985" t="s">
        <v>4334</v>
      </c>
      <c r="D985" t="s">
        <v>463</v>
      </c>
      <c r="E985">
        <v>10.5</v>
      </c>
      <c r="F985">
        <v>324.45</v>
      </c>
      <c r="G985">
        <v>30.9</v>
      </c>
    </row>
    <row r="986" spans="1:7" x14ac:dyDescent="0.3">
      <c r="A986" t="s">
        <v>568</v>
      </c>
      <c r="B986">
        <v>17381</v>
      </c>
      <c r="C986" t="s">
        <v>4247</v>
      </c>
      <c r="D986" t="s">
        <v>463</v>
      </c>
      <c r="E986">
        <v>2</v>
      </c>
      <c r="F986">
        <v>77.78</v>
      </c>
      <c r="G986">
        <v>38.89</v>
      </c>
    </row>
    <row r="987" spans="1:7" x14ac:dyDescent="0.3">
      <c r="A987" t="s">
        <v>568</v>
      </c>
      <c r="B987">
        <v>17573</v>
      </c>
      <c r="C987" t="s">
        <v>4306</v>
      </c>
      <c r="D987" t="s">
        <v>463</v>
      </c>
      <c r="E987">
        <v>1</v>
      </c>
      <c r="F987">
        <v>74.900000000000006</v>
      </c>
      <c r="G987">
        <v>74.900000000000006</v>
      </c>
    </row>
    <row r="988" spans="1:7" x14ac:dyDescent="0.3">
      <c r="A988" t="s">
        <v>568</v>
      </c>
      <c r="B988">
        <v>19494</v>
      </c>
      <c r="C988" t="s">
        <v>4126</v>
      </c>
      <c r="D988" t="s">
        <v>463</v>
      </c>
      <c r="E988">
        <v>7</v>
      </c>
      <c r="F988">
        <v>120.5</v>
      </c>
      <c r="G988">
        <v>17.21</v>
      </c>
    </row>
    <row r="989" spans="1:7" x14ac:dyDescent="0.3">
      <c r="A989" t="s">
        <v>568</v>
      </c>
      <c r="B989">
        <v>24599</v>
      </c>
      <c r="C989" t="s">
        <v>3897</v>
      </c>
      <c r="D989" t="s">
        <v>463</v>
      </c>
      <c r="E989">
        <v>1</v>
      </c>
      <c r="F989">
        <v>114.16</v>
      </c>
      <c r="G989">
        <v>114.16</v>
      </c>
    </row>
    <row r="990" spans="1:7" x14ac:dyDescent="0.3">
      <c r="A990" t="s">
        <v>568</v>
      </c>
      <c r="B990">
        <v>18493</v>
      </c>
      <c r="C990" t="s">
        <v>3958</v>
      </c>
      <c r="D990" t="s">
        <v>463</v>
      </c>
      <c r="E990">
        <v>4</v>
      </c>
      <c r="F990">
        <v>279.60000000000002</v>
      </c>
      <c r="G990">
        <v>69.900000000000006</v>
      </c>
    </row>
    <row r="991" spans="1:7" x14ac:dyDescent="0.3">
      <c r="A991" t="s">
        <v>568</v>
      </c>
      <c r="B991">
        <v>18475</v>
      </c>
      <c r="C991" t="s">
        <v>3918</v>
      </c>
      <c r="D991" t="s">
        <v>463</v>
      </c>
      <c r="E991">
        <v>12</v>
      </c>
      <c r="F991">
        <v>394.8</v>
      </c>
      <c r="G991">
        <v>32.9</v>
      </c>
    </row>
    <row r="992" spans="1:7" x14ac:dyDescent="0.3">
      <c r="A992" t="s">
        <v>568</v>
      </c>
      <c r="B992">
        <v>18467</v>
      </c>
      <c r="C992" t="s">
        <v>4028</v>
      </c>
      <c r="D992" t="s">
        <v>463</v>
      </c>
      <c r="E992">
        <v>4</v>
      </c>
      <c r="F992">
        <v>315.38</v>
      </c>
      <c r="G992">
        <v>78.849999999999994</v>
      </c>
    </row>
    <row r="993" spans="1:7" x14ac:dyDescent="0.3">
      <c r="A993" t="s">
        <v>568</v>
      </c>
      <c r="B993">
        <v>16974</v>
      </c>
      <c r="C993" t="s">
        <v>3996</v>
      </c>
      <c r="D993" t="s">
        <v>463</v>
      </c>
      <c r="E993">
        <v>4</v>
      </c>
      <c r="F993">
        <v>540</v>
      </c>
      <c r="G993">
        <v>135</v>
      </c>
    </row>
    <row r="994" spans="1:7" x14ac:dyDescent="0.3">
      <c r="A994" t="s">
        <v>568</v>
      </c>
      <c r="B994">
        <v>20809</v>
      </c>
      <c r="C994" t="s">
        <v>4005</v>
      </c>
      <c r="D994" t="s">
        <v>463</v>
      </c>
      <c r="E994">
        <v>13</v>
      </c>
      <c r="F994">
        <v>398.69</v>
      </c>
      <c r="G994">
        <v>30.67</v>
      </c>
    </row>
    <row r="995" spans="1:7" x14ac:dyDescent="0.3">
      <c r="A995" t="s">
        <v>568</v>
      </c>
      <c r="B995">
        <v>23385</v>
      </c>
      <c r="C995" t="s">
        <v>4069</v>
      </c>
      <c r="D995" t="s">
        <v>463</v>
      </c>
      <c r="E995">
        <v>3.4</v>
      </c>
      <c r="F995">
        <v>195.1</v>
      </c>
      <c r="G995">
        <v>57.38</v>
      </c>
    </row>
    <row r="996" spans="1:7" x14ac:dyDescent="0.3">
      <c r="A996" t="s">
        <v>568</v>
      </c>
      <c r="B996">
        <v>20077</v>
      </c>
      <c r="C996" t="s">
        <v>4054</v>
      </c>
      <c r="D996" t="s">
        <v>463</v>
      </c>
      <c r="E996">
        <v>4</v>
      </c>
      <c r="F996">
        <v>65.400000000000006</v>
      </c>
      <c r="G996">
        <v>16.350000000000001</v>
      </c>
    </row>
    <row r="997" spans="1:7" x14ac:dyDescent="0.3">
      <c r="A997" t="s">
        <v>568</v>
      </c>
      <c r="B997">
        <v>24809</v>
      </c>
      <c r="C997" t="s">
        <v>4335</v>
      </c>
      <c r="D997" t="s">
        <v>463</v>
      </c>
      <c r="E997">
        <v>6</v>
      </c>
      <c r="F997">
        <v>588</v>
      </c>
      <c r="G997">
        <v>98</v>
      </c>
    </row>
    <row r="998" spans="1:7" x14ac:dyDescent="0.3">
      <c r="A998" t="s">
        <v>568</v>
      </c>
      <c r="B998">
        <v>19773</v>
      </c>
      <c r="C998" t="s">
        <v>4168</v>
      </c>
      <c r="D998" t="s">
        <v>463</v>
      </c>
      <c r="E998">
        <v>2</v>
      </c>
      <c r="F998">
        <v>33</v>
      </c>
      <c r="G998">
        <v>16.5</v>
      </c>
    </row>
    <row r="999" spans="1:7" x14ac:dyDescent="0.3">
      <c r="A999" t="s">
        <v>568</v>
      </c>
      <c r="B999">
        <v>24116</v>
      </c>
      <c r="C999" t="s">
        <v>3963</v>
      </c>
      <c r="D999" t="s">
        <v>463</v>
      </c>
      <c r="E999">
        <v>15</v>
      </c>
      <c r="F999">
        <v>628.5</v>
      </c>
      <c r="G999">
        <v>41.9</v>
      </c>
    </row>
    <row r="1000" spans="1:7" x14ac:dyDescent="0.3">
      <c r="A1000" t="s">
        <v>568</v>
      </c>
      <c r="B1000">
        <v>24509</v>
      </c>
      <c r="C1000" t="s">
        <v>3906</v>
      </c>
      <c r="D1000" t="s">
        <v>463</v>
      </c>
      <c r="E1000">
        <v>80</v>
      </c>
      <c r="F1000">
        <v>266.3</v>
      </c>
      <c r="G1000">
        <v>3.33</v>
      </c>
    </row>
    <row r="1001" spans="1:7" x14ac:dyDescent="0.3">
      <c r="A1001" t="s">
        <v>568</v>
      </c>
      <c r="B1001">
        <v>19623</v>
      </c>
      <c r="C1001" t="s">
        <v>3984</v>
      </c>
      <c r="D1001" t="s">
        <v>463</v>
      </c>
      <c r="E1001">
        <v>12.3</v>
      </c>
      <c r="F1001">
        <v>48.52</v>
      </c>
      <c r="G1001">
        <v>3.94</v>
      </c>
    </row>
    <row r="1002" spans="1:7" x14ac:dyDescent="0.3">
      <c r="A1002" t="s">
        <v>568</v>
      </c>
      <c r="B1002">
        <v>20717</v>
      </c>
      <c r="C1002" t="s">
        <v>4055</v>
      </c>
      <c r="D1002" t="s">
        <v>463</v>
      </c>
      <c r="E1002">
        <v>1</v>
      </c>
      <c r="F1002">
        <v>43.1</v>
      </c>
      <c r="G1002">
        <v>43.1</v>
      </c>
    </row>
    <row r="1003" spans="1:7" x14ac:dyDescent="0.3">
      <c r="A1003" t="s">
        <v>568</v>
      </c>
      <c r="B1003">
        <v>19488</v>
      </c>
      <c r="C1003" t="s">
        <v>4070</v>
      </c>
      <c r="D1003" t="s">
        <v>463</v>
      </c>
      <c r="E1003">
        <v>0.2</v>
      </c>
      <c r="F1003">
        <v>2.2000000000000002</v>
      </c>
      <c r="G1003">
        <v>11</v>
      </c>
    </row>
    <row r="1004" spans="1:7" x14ac:dyDescent="0.3">
      <c r="A1004" t="s">
        <v>568</v>
      </c>
      <c r="B1004">
        <v>19621</v>
      </c>
      <c r="C1004" t="s">
        <v>4125</v>
      </c>
      <c r="D1004" t="s">
        <v>463</v>
      </c>
      <c r="E1004">
        <v>4.2</v>
      </c>
      <c r="F1004">
        <v>18.559999999999999</v>
      </c>
      <c r="G1004">
        <v>4.42</v>
      </c>
    </row>
    <row r="1005" spans="1:7" x14ac:dyDescent="0.3">
      <c r="A1005" t="s">
        <v>568</v>
      </c>
      <c r="B1005">
        <v>18640</v>
      </c>
      <c r="C1005" t="s">
        <v>3994</v>
      </c>
      <c r="D1005" t="s">
        <v>463</v>
      </c>
      <c r="E1005">
        <v>10</v>
      </c>
      <c r="F1005">
        <v>3060</v>
      </c>
      <c r="G1005">
        <v>306</v>
      </c>
    </row>
    <row r="1006" spans="1:7" x14ac:dyDescent="0.3">
      <c r="A1006" t="s">
        <v>568</v>
      </c>
      <c r="B1006">
        <v>18636</v>
      </c>
      <c r="C1006" t="s">
        <v>3921</v>
      </c>
      <c r="D1006" t="s">
        <v>463</v>
      </c>
      <c r="E1006">
        <v>52</v>
      </c>
      <c r="F1006">
        <v>25105.599999999999</v>
      </c>
      <c r="G1006">
        <v>482.8</v>
      </c>
    </row>
    <row r="1007" spans="1:7" x14ac:dyDescent="0.3">
      <c r="A1007" t="s">
        <v>568</v>
      </c>
      <c r="B1007">
        <v>28760</v>
      </c>
      <c r="C1007" t="s">
        <v>4188</v>
      </c>
      <c r="D1007" t="s">
        <v>463</v>
      </c>
      <c r="E1007">
        <v>10.8</v>
      </c>
      <c r="F1007">
        <v>658.8</v>
      </c>
      <c r="G1007">
        <v>61</v>
      </c>
    </row>
    <row r="1008" spans="1:7" x14ac:dyDescent="0.3">
      <c r="A1008" t="s">
        <v>568</v>
      </c>
      <c r="B1008">
        <v>22857</v>
      </c>
      <c r="C1008" t="s">
        <v>4130</v>
      </c>
      <c r="D1008" t="s">
        <v>463</v>
      </c>
      <c r="E1008">
        <v>52.15</v>
      </c>
      <c r="F1008">
        <v>3368.28</v>
      </c>
      <c r="G1008">
        <v>64.59</v>
      </c>
    </row>
    <row r="1009" spans="1:7" x14ac:dyDescent="0.3">
      <c r="A1009" t="s">
        <v>568</v>
      </c>
      <c r="B1009">
        <v>28914</v>
      </c>
      <c r="C1009" t="s">
        <v>4341</v>
      </c>
      <c r="D1009" t="s">
        <v>463</v>
      </c>
      <c r="E1009">
        <v>1</v>
      </c>
      <c r="F1009">
        <v>27.9</v>
      </c>
      <c r="G1009">
        <v>27.9</v>
      </c>
    </row>
    <row r="1010" spans="1:7" x14ac:dyDescent="0.3">
      <c r="A1010" t="s">
        <v>568</v>
      </c>
      <c r="B1010">
        <v>19617</v>
      </c>
      <c r="C1010" t="s">
        <v>4110</v>
      </c>
      <c r="D1010" t="s">
        <v>463</v>
      </c>
      <c r="E1010">
        <v>2.1</v>
      </c>
      <c r="F1010">
        <v>42</v>
      </c>
      <c r="G1010">
        <v>20</v>
      </c>
    </row>
    <row r="1011" spans="1:7" x14ac:dyDescent="0.3">
      <c r="A1011" t="s">
        <v>568</v>
      </c>
      <c r="B1011">
        <v>20702</v>
      </c>
      <c r="C1011" t="s">
        <v>4006</v>
      </c>
      <c r="D1011" t="s">
        <v>463</v>
      </c>
      <c r="E1011">
        <v>4</v>
      </c>
      <c r="F1011">
        <v>179.9</v>
      </c>
      <c r="G1011">
        <v>44.98</v>
      </c>
    </row>
    <row r="1012" spans="1:7" x14ac:dyDescent="0.3">
      <c r="A1012" t="s">
        <v>568</v>
      </c>
      <c r="B1012">
        <v>24185</v>
      </c>
      <c r="C1012" t="s">
        <v>4040</v>
      </c>
      <c r="D1012" t="s">
        <v>463</v>
      </c>
      <c r="E1012">
        <v>6</v>
      </c>
      <c r="F1012">
        <v>141.52000000000001</v>
      </c>
      <c r="G1012">
        <v>23.59</v>
      </c>
    </row>
    <row r="1013" spans="1:7" x14ac:dyDescent="0.3">
      <c r="A1013" t="s">
        <v>568</v>
      </c>
      <c r="B1013">
        <v>20555</v>
      </c>
      <c r="C1013" t="s">
        <v>3959</v>
      </c>
      <c r="D1013" t="s">
        <v>463</v>
      </c>
      <c r="E1013">
        <v>15.8</v>
      </c>
      <c r="F1013">
        <v>1248.2</v>
      </c>
      <c r="G1013">
        <v>79</v>
      </c>
    </row>
    <row r="1014" spans="1:7" x14ac:dyDescent="0.3">
      <c r="A1014" t="s">
        <v>568</v>
      </c>
      <c r="B1014">
        <v>20549</v>
      </c>
      <c r="C1014" t="s">
        <v>4007</v>
      </c>
      <c r="D1014" t="s">
        <v>463</v>
      </c>
      <c r="E1014">
        <v>26</v>
      </c>
      <c r="F1014">
        <v>519.74</v>
      </c>
      <c r="G1014">
        <v>19.989999999999998</v>
      </c>
    </row>
    <row r="1015" spans="1:7" x14ac:dyDescent="0.3">
      <c r="A1015" t="s">
        <v>568</v>
      </c>
      <c r="B1015">
        <v>17531</v>
      </c>
      <c r="C1015" t="s">
        <v>4345</v>
      </c>
      <c r="D1015" t="s">
        <v>463</v>
      </c>
      <c r="E1015">
        <v>1</v>
      </c>
      <c r="F1015">
        <v>125</v>
      </c>
      <c r="G1015">
        <v>125</v>
      </c>
    </row>
    <row r="1016" spans="1:7" x14ac:dyDescent="0.3">
      <c r="A1016" t="s">
        <v>568</v>
      </c>
      <c r="B1016">
        <v>18933</v>
      </c>
      <c r="C1016" t="s">
        <v>3957</v>
      </c>
      <c r="D1016" t="s">
        <v>463</v>
      </c>
      <c r="E1016">
        <v>11.54</v>
      </c>
      <c r="F1016">
        <v>321.82</v>
      </c>
      <c r="G1016">
        <v>27.89</v>
      </c>
    </row>
    <row r="1017" spans="1:7" x14ac:dyDescent="0.3">
      <c r="A1017" t="s">
        <v>568</v>
      </c>
      <c r="B1017">
        <v>24200</v>
      </c>
      <c r="C1017" t="s">
        <v>3975</v>
      </c>
      <c r="D1017" t="s">
        <v>463</v>
      </c>
      <c r="E1017">
        <v>17.399999999999999</v>
      </c>
      <c r="F1017">
        <v>572.46</v>
      </c>
      <c r="G1017">
        <v>32.9</v>
      </c>
    </row>
    <row r="1018" spans="1:7" x14ac:dyDescent="0.3">
      <c r="A1018" t="s">
        <v>568</v>
      </c>
      <c r="B1018">
        <v>23236</v>
      </c>
      <c r="C1018" t="s">
        <v>4017</v>
      </c>
      <c r="D1018" t="s">
        <v>463</v>
      </c>
      <c r="E1018">
        <v>26.2</v>
      </c>
      <c r="F1018">
        <v>249.62</v>
      </c>
      <c r="G1018">
        <v>9.5299999999999994</v>
      </c>
    </row>
    <row r="1019" spans="1:7" x14ac:dyDescent="0.3">
      <c r="A1019" t="s">
        <v>568</v>
      </c>
      <c r="B1019">
        <v>19034</v>
      </c>
      <c r="C1019" t="s">
        <v>3989</v>
      </c>
      <c r="D1019" t="s">
        <v>463</v>
      </c>
      <c r="E1019">
        <v>6.9</v>
      </c>
      <c r="F1019">
        <v>62.03</v>
      </c>
      <c r="G1019">
        <v>8.99</v>
      </c>
    </row>
    <row r="1020" spans="1:7" x14ac:dyDescent="0.3">
      <c r="A1020" t="s">
        <v>568</v>
      </c>
      <c r="B1020">
        <v>24212</v>
      </c>
      <c r="C1020" t="s">
        <v>4056</v>
      </c>
      <c r="D1020" t="s">
        <v>463</v>
      </c>
      <c r="E1020">
        <v>6</v>
      </c>
      <c r="F1020">
        <v>78</v>
      </c>
      <c r="G1020">
        <v>13</v>
      </c>
    </row>
    <row r="1021" spans="1:7" x14ac:dyDescent="0.3">
      <c r="A1021" t="s">
        <v>568</v>
      </c>
      <c r="B1021">
        <v>20682</v>
      </c>
      <c r="C1021" t="s">
        <v>3929</v>
      </c>
      <c r="D1021" t="s">
        <v>463</v>
      </c>
      <c r="E1021">
        <v>12</v>
      </c>
      <c r="F1021">
        <v>126.6</v>
      </c>
      <c r="G1021">
        <v>10.55</v>
      </c>
    </row>
    <row r="1022" spans="1:7" x14ac:dyDescent="0.3">
      <c r="A1022" t="s">
        <v>568</v>
      </c>
      <c r="B1022">
        <v>20685</v>
      </c>
      <c r="C1022" t="s">
        <v>4122</v>
      </c>
      <c r="D1022" t="s">
        <v>463</v>
      </c>
      <c r="E1022">
        <v>18</v>
      </c>
      <c r="F1022">
        <v>63.72</v>
      </c>
      <c r="G1022">
        <v>3.54</v>
      </c>
    </row>
    <row r="1023" spans="1:7" x14ac:dyDescent="0.3">
      <c r="A1023" t="s">
        <v>568</v>
      </c>
      <c r="B1023">
        <v>17230</v>
      </c>
      <c r="C1023" t="s">
        <v>4281</v>
      </c>
      <c r="D1023" t="s">
        <v>463</v>
      </c>
      <c r="E1023">
        <v>2</v>
      </c>
      <c r="F1023">
        <v>77.78</v>
      </c>
      <c r="G1023">
        <v>38.89</v>
      </c>
    </row>
    <row r="1024" spans="1:7" x14ac:dyDescent="0.3">
      <c r="A1024" t="s">
        <v>568</v>
      </c>
      <c r="B1024">
        <v>17215</v>
      </c>
      <c r="C1024" t="s">
        <v>4283</v>
      </c>
      <c r="D1024" t="s">
        <v>463</v>
      </c>
      <c r="E1024">
        <v>24</v>
      </c>
      <c r="F1024">
        <v>479.76</v>
      </c>
      <c r="G1024">
        <v>19.989999999999998</v>
      </c>
    </row>
    <row r="1025" spans="1:7" x14ac:dyDescent="0.3">
      <c r="A1025" t="s">
        <v>568</v>
      </c>
      <c r="B1025">
        <v>26741</v>
      </c>
      <c r="C1025" t="s">
        <v>4342</v>
      </c>
      <c r="D1025" t="s">
        <v>463</v>
      </c>
      <c r="E1025">
        <v>2</v>
      </c>
      <c r="F1025">
        <v>48.14</v>
      </c>
      <c r="G1025">
        <v>24.07</v>
      </c>
    </row>
    <row r="1026" spans="1:7" x14ac:dyDescent="0.3">
      <c r="A1026" t="s">
        <v>568</v>
      </c>
      <c r="B1026">
        <v>17918</v>
      </c>
      <c r="C1026" t="s">
        <v>4034</v>
      </c>
      <c r="D1026" t="s">
        <v>463</v>
      </c>
      <c r="E1026">
        <v>2</v>
      </c>
      <c r="F1026">
        <v>86.4</v>
      </c>
      <c r="G1026">
        <v>43.2</v>
      </c>
    </row>
    <row r="1027" spans="1:7" x14ac:dyDescent="0.3">
      <c r="A1027" t="s">
        <v>568</v>
      </c>
      <c r="B1027">
        <v>17916</v>
      </c>
      <c r="C1027" t="s">
        <v>4191</v>
      </c>
      <c r="D1027" t="s">
        <v>463</v>
      </c>
      <c r="E1027">
        <v>2</v>
      </c>
      <c r="F1027">
        <v>57.6</v>
      </c>
      <c r="G1027">
        <v>28.8</v>
      </c>
    </row>
    <row r="1028" spans="1:7" x14ac:dyDescent="0.3">
      <c r="A1028" t="s">
        <v>568</v>
      </c>
      <c r="B1028">
        <v>28386</v>
      </c>
      <c r="C1028" t="s">
        <v>4245</v>
      </c>
      <c r="D1028" t="s">
        <v>463</v>
      </c>
      <c r="E1028">
        <v>2</v>
      </c>
      <c r="F1028">
        <v>83.34</v>
      </c>
      <c r="G1028">
        <v>41.67</v>
      </c>
    </row>
    <row r="1029" spans="1:7" x14ac:dyDescent="0.3">
      <c r="A1029" t="s">
        <v>568</v>
      </c>
      <c r="B1029">
        <v>23234</v>
      </c>
      <c r="C1029" t="s">
        <v>4018</v>
      </c>
      <c r="D1029" t="s">
        <v>463</v>
      </c>
      <c r="E1029">
        <v>3</v>
      </c>
      <c r="F1029">
        <v>71</v>
      </c>
      <c r="G1029">
        <v>23.67</v>
      </c>
    </row>
    <row r="1030" spans="1:7" x14ac:dyDescent="0.3">
      <c r="A1030" t="s">
        <v>568</v>
      </c>
      <c r="B1030">
        <v>24598</v>
      </c>
      <c r="C1030" t="s">
        <v>4166</v>
      </c>
      <c r="D1030" t="s">
        <v>463</v>
      </c>
      <c r="E1030">
        <v>3.3</v>
      </c>
      <c r="F1030">
        <v>42.75</v>
      </c>
      <c r="G1030">
        <v>12.95</v>
      </c>
    </row>
    <row r="1031" spans="1:7" x14ac:dyDescent="0.3">
      <c r="A1031" t="s">
        <v>568</v>
      </c>
      <c r="B1031">
        <v>17190</v>
      </c>
      <c r="C1031" t="s">
        <v>4271</v>
      </c>
      <c r="D1031" t="s">
        <v>463</v>
      </c>
      <c r="E1031">
        <v>4</v>
      </c>
      <c r="F1031">
        <v>32.4</v>
      </c>
      <c r="G1031">
        <v>8.1</v>
      </c>
    </row>
    <row r="1032" spans="1:7" x14ac:dyDescent="0.3">
      <c r="A1032" t="s">
        <v>568</v>
      </c>
      <c r="B1032">
        <v>28777</v>
      </c>
      <c r="C1032" t="s">
        <v>4279</v>
      </c>
      <c r="D1032" t="s">
        <v>463</v>
      </c>
      <c r="E1032">
        <v>20</v>
      </c>
      <c r="F1032">
        <v>158</v>
      </c>
      <c r="G1032">
        <v>7.9</v>
      </c>
    </row>
    <row r="1033" spans="1:7" x14ac:dyDescent="0.3">
      <c r="A1033" t="s">
        <v>568</v>
      </c>
      <c r="B1033">
        <v>27594</v>
      </c>
      <c r="C1033" t="s">
        <v>4349</v>
      </c>
      <c r="D1033" t="s">
        <v>463</v>
      </c>
      <c r="E1033">
        <v>4</v>
      </c>
      <c r="F1033">
        <v>81.540000000000006</v>
      </c>
      <c r="G1033">
        <v>20.39</v>
      </c>
    </row>
    <row r="1034" spans="1:7" x14ac:dyDescent="0.3">
      <c r="A1034" t="s">
        <v>568</v>
      </c>
      <c r="B1034">
        <v>17455</v>
      </c>
      <c r="C1034" t="s">
        <v>4231</v>
      </c>
      <c r="D1034" t="s">
        <v>463</v>
      </c>
      <c r="E1034">
        <v>4</v>
      </c>
      <c r="F1034">
        <v>141.08000000000001</v>
      </c>
      <c r="G1034">
        <v>35.270000000000003</v>
      </c>
    </row>
    <row r="1035" spans="1:7" x14ac:dyDescent="0.3">
      <c r="A1035" t="s">
        <v>568</v>
      </c>
      <c r="B1035">
        <v>27457</v>
      </c>
      <c r="C1035" t="s">
        <v>4348</v>
      </c>
      <c r="D1035" t="s">
        <v>463</v>
      </c>
      <c r="E1035">
        <v>4</v>
      </c>
      <c r="F1035">
        <v>263.2</v>
      </c>
      <c r="G1035">
        <v>65.8</v>
      </c>
    </row>
    <row r="1036" spans="1:7" x14ac:dyDescent="0.3">
      <c r="A1036" t="s">
        <v>568</v>
      </c>
      <c r="B1036">
        <v>27453</v>
      </c>
      <c r="C1036" t="s">
        <v>4353</v>
      </c>
      <c r="D1036" t="s">
        <v>463</v>
      </c>
      <c r="E1036">
        <v>2</v>
      </c>
      <c r="F1036">
        <v>76.180000000000007</v>
      </c>
      <c r="G1036">
        <v>38.090000000000003</v>
      </c>
    </row>
    <row r="1037" spans="1:7" x14ac:dyDescent="0.3">
      <c r="A1037" t="s">
        <v>568</v>
      </c>
      <c r="B1037">
        <v>26627</v>
      </c>
      <c r="C1037" t="s">
        <v>4237</v>
      </c>
      <c r="D1037" t="s">
        <v>463</v>
      </c>
      <c r="E1037">
        <v>20</v>
      </c>
      <c r="F1037">
        <v>158</v>
      </c>
      <c r="G1037">
        <v>7.9</v>
      </c>
    </row>
    <row r="1038" spans="1:7" x14ac:dyDescent="0.3">
      <c r="A1038" t="s">
        <v>568</v>
      </c>
      <c r="B1038">
        <v>20395</v>
      </c>
      <c r="C1038" t="s">
        <v>4057</v>
      </c>
      <c r="D1038" t="s">
        <v>463</v>
      </c>
      <c r="E1038">
        <v>1</v>
      </c>
      <c r="F1038">
        <v>26.7</v>
      </c>
      <c r="G1038">
        <v>26.7</v>
      </c>
    </row>
    <row r="1039" spans="1:7" x14ac:dyDescent="0.3">
      <c r="A1039" t="s">
        <v>568</v>
      </c>
      <c r="B1039">
        <v>23687</v>
      </c>
      <c r="C1039" t="s">
        <v>4285</v>
      </c>
      <c r="D1039" t="s">
        <v>463</v>
      </c>
      <c r="E1039">
        <v>33.14</v>
      </c>
      <c r="F1039">
        <v>427.5</v>
      </c>
      <c r="G1039">
        <v>12.9</v>
      </c>
    </row>
    <row r="1040" spans="1:7" x14ac:dyDescent="0.3">
      <c r="A1040" t="s">
        <v>568</v>
      </c>
      <c r="B1040">
        <v>25237</v>
      </c>
      <c r="C1040" t="s">
        <v>4164</v>
      </c>
      <c r="D1040" t="s">
        <v>463</v>
      </c>
      <c r="E1040">
        <v>30</v>
      </c>
      <c r="F1040">
        <v>159.30000000000001</v>
      </c>
      <c r="G1040">
        <v>5.31</v>
      </c>
    </row>
    <row r="1041" spans="1:7" x14ac:dyDescent="0.3">
      <c r="A1041" t="s">
        <v>568</v>
      </c>
      <c r="B1041">
        <v>20358</v>
      </c>
      <c r="C1041" t="s">
        <v>3952</v>
      </c>
      <c r="D1041" t="s">
        <v>463</v>
      </c>
      <c r="E1041">
        <v>4</v>
      </c>
      <c r="F1041">
        <v>57</v>
      </c>
      <c r="G1041">
        <v>14.25</v>
      </c>
    </row>
    <row r="1042" spans="1:7" x14ac:dyDescent="0.3">
      <c r="A1042" t="s">
        <v>568</v>
      </c>
      <c r="B1042">
        <v>20250</v>
      </c>
      <c r="C1042" t="s">
        <v>4008</v>
      </c>
      <c r="D1042" t="s">
        <v>463</v>
      </c>
      <c r="E1042">
        <v>1</v>
      </c>
      <c r="F1042">
        <v>40.5</v>
      </c>
      <c r="G1042">
        <v>40.5</v>
      </c>
    </row>
    <row r="1043" spans="1:7" x14ac:dyDescent="0.3">
      <c r="A1043" t="s">
        <v>568</v>
      </c>
      <c r="B1043">
        <v>20246</v>
      </c>
      <c r="C1043" t="s">
        <v>3911</v>
      </c>
      <c r="D1043" t="s">
        <v>463</v>
      </c>
      <c r="E1043">
        <v>20</v>
      </c>
      <c r="F1043">
        <v>183.2</v>
      </c>
      <c r="G1043">
        <v>9.16</v>
      </c>
    </row>
    <row r="1044" spans="1:7" x14ac:dyDescent="0.3">
      <c r="A1044" t="s">
        <v>568</v>
      </c>
      <c r="B1044">
        <v>20231</v>
      </c>
      <c r="C1044" t="s">
        <v>4123</v>
      </c>
      <c r="D1044" t="s">
        <v>463</v>
      </c>
      <c r="E1044">
        <v>2</v>
      </c>
      <c r="F1044">
        <v>32.4</v>
      </c>
      <c r="G1044">
        <v>16.2</v>
      </c>
    </row>
    <row r="1045" spans="1:7" x14ac:dyDescent="0.3">
      <c r="A1045" t="s">
        <v>568</v>
      </c>
      <c r="B1045">
        <v>23635</v>
      </c>
      <c r="C1045" t="s">
        <v>4102</v>
      </c>
      <c r="D1045" t="s">
        <v>463</v>
      </c>
      <c r="E1045">
        <v>2</v>
      </c>
      <c r="F1045">
        <v>16.399999999999999</v>
      </c>
      <c r="G1045">
        <v>8.1999999999999993</v>
      </c>
    </row>
    <row r="1046" spans="1:7" x14ac:dyDescent="0.3">
      <c r="A1046" t="s">
        <v>568</v>
      </c>
      <c r="B1046">
        <v>20227</v>
      </c>
      <c r="C1046" t="s">
        <v>3968</v>
      </c>
      <c r="D1046" t="s">
        <v>463</v>
      </c>
      <c r="E1046">
        <v>15</v>
      </c>
      <c r="F1046">
        <v>188.7</v>
      </c>
      <c r="G1046">
        <v>12.58</v>
      </c>
    </row>
    <row r="1047" spans="1:7" x14ac:dyDescent="0.3">
      <c r="A1047" t="s">
        <v>568</v>
      </c>
      <c r="B1047">
        <v>20234</v>
      </c>
      <c r="C1047" t="s">
        <v>3979</v>
      </c>
      <c r="D1047" t="s">
        <v>463</v>
      </c>
      <c r="E1047">
        <v>8</v>
      </c>
      <c r="F1047">
        <v>175.92</v>
      </c>
      <c r="G1047">
        <v>21.99</v>
      </c>
    </row>
    <row r="1048" spans="1:7" x14ac:dyDescent="0.3">
      <c r="A1048" t="s">
        <v>568</v>
      </c>
      <c r="B1048">
        <v>19017</v>
      </c>
      <c r="C1048" t="s">
        <v>4172</v>
      </c>
      <c r="D1048" t="s">
        <v>463</v>
      </c>
      <c r="E1048">
        <v>12.4</v>
      </c>
      <c r="F1048">
        <v>185.87</v>
      </c>
      <c r="G1048">
        <v>14.99</v>
      </c>
    </row>
    <row r="1049" spans="1:7" x14ac:dyDescent="0.3">
      <c r="A1049" t="s">
        <v>568</v>
      </c>
      <c r="B1049">
        <v>18764</v>
      </c>
      <c r="C1049" t="s">
        <v>3907</v>
      </c>
      <c r="D1049" t="s">
        <v>463</v>
      </c>
      <c r="E1049">
        <v>14</v>
      </c>
      <c r="F1049">
        <v>1119.8599999999999</v>
      </c>
      <c r="G1049">
        <v>79.989999999999995</v>
      </c>
    </row>
    <row r="1050" spans="1:7" x14ac:dyDescent="0.3">
      <c r="A1050" t="s">
        <v>568</v>
      </c>
      <c r="B1050">
        <v>24256</v>
      </c>
      <c r="C1050" t="s">
        <v>4340</v>
      </c>
      <c r="D1050" t="s">
        <v>463</v>
      </c>
      <c r="E1050">
        <v>10</v>
      </c>
      <c r="F1050">
        <v>380</v>
      </c>
      <c r="G1050">
        <v>38</v>
      </c>
    </row>
    <row r="1051" spans="1:7" x14ac:dyDescent="0.3">
      <c r="A1051" t="s">
        <v>568</v>
      </c>
      <c r="B1051">
        <v>24259</v>
      </c>
      <c r="C1051" t="s">
        <v>3895</v>
      </c>
      <c r="D1051" t="s">
        <v>463</v>
      </c>
      <c r="E1051">
        <v>84.85</v>
      </c>
      <c r="F1051">
        <v>6596.82</v>
      </c>
      <c r="G1051">
        <v>77.75</v>
      </c>
    </row>
    <row r="1052" spans="1:7" x14ac:dyDescent="0.3">
      <c r="A1052" t="s">
        <v>568</v>
      </c>
      <c r="B1052">
        <v>20326</v>
      </c>
      <c r="C1052" t="s">
        <v>3953</v>
      </c>
      <c r="D1052" t="s">
        <v>463</v>
      </c>
      <c r="E1052">
        <v>4</v>
      </c>
      <c r="F1052">
        <v>28.6</v>
      </c>
      <c r="G1052">
        <v>7.15</v>
      </c>
    </row>
    <row r="1053" spans="1:7" x14ac:dyDescent="0.3">
      <c r="A1053" t="s">
        <v>568</v>
      </c>
      <c r="B1053">
        <v>17006</v>
      </c>
      <c r="C1053" t="s">
        <v>4128</v>
      </c>
      <c r="D1053" t="s">
        <v>463</v>
      </c>
      <c r="E1053">
        <v>62.12</v>
      </c>
      <c r="F1053">
        <v>807.56</v>
      </c>
      <c r="G1053">
        <v>13</v>
      </c>
    </row>
    <row r="1054" spans="1:7" x14ac:dyDescent="0.3">
      <c r="A1054" t="s">
        <v>568</v>
      </c>
      <c r="B1054">
        <v>24497</v>
      </c>
      <c r="C1054" t="s">
        <v>4214</v>
      </c>
      <c r="D1054" t="s">
        <v>463</v>
      </c>
      <c r="E1054">
        <v>6</v>
      </c>
      <c r="F1054">
        <v>807.3</v>
      </c>
      <c r="G1054">
        <v>134.55000000000001</v>
      </c>
    </row>
    <row r="1055" spans="1:7" x14ac:dyDescent="0.3">
      <c r="A1055" t="s">
        <v>568</v>
      </c>
      <c r="B1055">
        <v>25518</v>
      </c>
      <c r="C1055" t="s">
        <v>4238</v>
      </c>
      <c r="D1055" t="s">
        <v>463</v>
      </c>
      <c r="E1055">
        <v>2</v>
      </c>
      <c r="F1055">
        <v>220.8</v>
      </c>
      <c r="G1055">
        <v>110.4</v>
      </c>
    </row>
    <row r="1056" spans="1:7" x14ac:dyDescent="0.3">
      <c r="A1056" t="s">
        <v>568</v>
      </c>
      <c r="B1056">
        <v>19607</v>
      </c>
      <c r="C1056" t="s">
        <v>4105</v>
      </c>
      <c r="D1056" t="s">
        <v>463</v>
      </c>
      <c r="E1056">
        <v>1</v>
      </c>
      <c r="F1056">
        <v>16.25</v>
      </c>
      <c r="G1056">
        <v>16.25</v>
      </c>
    </row>
    <row r="1057" spans="1:7" x14ac:dyDescent="0.3">
      <c r="A1057" t="s">
        <v>568</v>
      </c>
      <c r="B1057">
        <v>19763</v>
      </c>
      <c r="C1057" t="s">
        <v>4187</v>
      </c>
      <c r="D1057" t="s">
        <v>463</v>
      </c>
      <c r="E1057">
        <v>2</v>
      </c>
      <c r="F1057">
        <v>19</v>
      </c>
      <c r="G1057">
        <v>9.5</v>
      </c>
    </row>
    <row r="1058" spans="1:7" x14ac:dyDescent="0.3">
      <c r="A1058" t="s">
        <v>568</v>
      </c>
      <c r="B1058">
        <v>21126</v>
      </c>
      <c r="C1058" t="s">
        <v>4004</v>
      </c>
      <c r="D1058" t="s">
        <v>463</v>
      </c>
      <c r="E1058">
        <v>2</v>
      </c>
      <c r="F1058">
        <v>15.6</v>
      </c>
      <c r="G1058">
        <v>7.8</v>
      </c>
    </row>
    <row r="1059" spans="1:7" x14ac:dyDescent="0.3">
      <c r="A1059" t="s">
        <v>568</v>
      </c>
      <c r="B1059">
        <v>21021</v>
      </c>
      <c r="C1059" t="s">
        <v>4242</v>
      </c>
      <c r="D1059" t="s">
        <v>463</v>
      </c>
      <c r="E1059">
        <v>2</v>
      </c>
      <c r="F1059">
        <v>375.52</v>
      </c>
      <c r="G1059">
        <v>187.76</v>
      </c>
    </row>
    <row r="1060" spans="1:7" x14ac:dyDescent="0.3">
      <c r="A1060" t="s">
        <v>568</v>
      </c>
      <c r="B1060">
        <v>21024</v>
      </c>
      <c r="C1060" t="s">
        <v>4180</v>
      </c>
      <c r="D1060" t="s">
        <v>463</v>
      </c>
      <c r="E1060">
        <v>8</v>
      </c>
      <c r="F1060">
        <v>1399.92</v>
      </c>
      <c r="G1060">
        <v>174.99</v>
      </c>
    </row>
    <row r="1061" spans="1:7" x14ac:dyDescent="0.3">
      <c r="A1061" t="s">
        <v>568</v>
      </c>
      <c r="B1061">
        <v>20213</v>
      </c>
      <c r="C1061" t="s">
        <v>4059</v>
      </c>
      <c r="D1061" t="s">
        <v>463</v>
      </c>
      <c r="E1061">
        <v>4</v>
      </c>
      <c r="F1061">
        <v>126.4</v>
      </c>
      <c r="G1061">
        <v>31.6</v>
      </c>
    </row>
    <row r="1062" spans="1:7" x14ac:dyDescent="0.3">
      <c r="A1062" t="s">
        <v>568</v>
      </c>
      <c r="B1062">
        <v>17903</v>
      </c>
      <c r="C1062" t="s">
        <v>3971</v>
      </c>
      <c r="D1062" t="s">
        <v>463</v>
      </c>
      <c r="E1062">
        <v>6</v>
      </c>
      <c r="F1062">
        <v>153.18</v>
      </c>
      <c r="G1062">
        <v>25.53</v>
      </c>
    </row>
    <row r="1063" spans="1:7" x14ac:dyDescent="0.3">
      <c r="A1063" t="s">
        <v>568</v>
      </c>
      <c r="B1063">
        <v>28658</v>
      </c>
      <c r="C1063" t="s">
        <v>4343</v>
      </c>
      <c r="D1063" t="s">
        <v>463</v>
      </c>
      <c r="E1063">
        <v>4</v>
      </c>
      <c r="F1063">
        <v>640</v>
      </c>
      <c r="G1063">
        <v>160</v>
      </c>
    </row>
    <row r="1064" spans="1:7" x14ac:dyDescent="0.3">
      <c r="A1064" t="s">
        <v>568</v>
      </c>
      <c r="B1064">
        <v>28659</v>
      </c>
      <c r="C1064" t="s">
        <v>4266</v>
      </c>
      <c r="D1064" t="s">
        <v>463</v>
      </c>
      <c r="E1064">
        <v>4</v>
      </c>
      <c r="F1064">
        <v>988</v>
      </c>
      <c r="G1064">
        <v>247</v>
      </c>
    </row>
    <row r="1065" spans="1:7" x14ac:dyDescent="0.3">
      <c r="A1065" t="s">
        <v>568</v>
      </c>
      <c r="B1065">
        <v>27080</v>
      </c>
      <c r="C1065" t="s">
        <v>4250</v>
      </c>
      <c r="D1065" t="s">
        <v>463</v>
      </c>
      <c r="E1065">
        <v>2</v>
      </c>
      <c r="F1065">
        <v>29.8</v>
      </c>
      <c r="G1065">
        <v>14.9</v>
      </c>
    </row>
    <row r="1066" spans="1:7" x14ac:dyDescent="0.3">
      <c r="A1066" t="s">
        <v>568</v>
      </c>
      <c r="B1066">
        <v>17896</v>
      </c>
      <c r="C1066" t="s">
        <v>3972</v>
      </c>
      <c r="D1066" t="s">
        <v>463</v>
      </c>
      <c r="E1066">
        <v>2</v>
      </c>
      <c r="F1066">
        <v>80.58</v>
      </c>
      <c r="G1066">
        <v>40.29</v>
      </c>
    </row>
    <row r="1067" spans="1:7" x14ac:dyDescent="0.3">
      <c r="A1067" t="s">
        <v>568</v>
      </c>
      <c r="B1067">
        <v>17897</v>
      </c>
      <c r="C1067" t="s">
        <v>4094</v>
      </c>
      <c r="D1067" t="s">
        <v>463</v>
      </c>
      <c r="E1067">
        <v>2</v>
      </c>
      <c r="F1067">
        <v>80.58</v>
      </c>
      <c r="G1067">
        <v>40.29</v>
      </c>
    </row>
    <row r="1068" spans="1:7" x14ac:dyDescent="0.3">
      <c r="A1068" t="s">
        <v>568</v>
      </c>
      <c r="B1068">
        <v>19480</v>
      </c>
      <c r="C1068" t="s">
        <v>4113</v>
      </c>
      <c r="D1068" t="s">
        <v>463</v>
      </c>
      <c r="E1068">
        <v>1</v>
      </c>
      <c r="F1068">
        <v>17.8</v>
      </c>
      <c r="G1068">
        <v>17.8</v>
      </c>
    </row>
    <row r="1069" spans="1:7" x14ac:dyDescent="0.3">
      <c r="A1069" t="s">
        <v>568</v>
      </c>
      <c r="B1069">
        <v>18685</v>
      </c>
      <c r="C1069" t="s">
        <v>3945</v>
      </c>
      <c r="D1069" t="s">
        <v>463</v>
      </c>
      <c r="E1069">
        <v>38.200000000000003</v>
      </c>
      <c r="F1069">
        <v>1489.8</v>
      </c>
      <c r="G1069">
        <v>39</v>
      </c>
    </row>
    <row r="1070" spans="1:7" x14ac:dyDescent="0.3">
      <c r="A1070" t="s">
        <v>568</v>
      </c>
      <c r="B1070">
        <v>18684</v>
      </c>
      <c r="C1070" t="s">
        <v>3925</v>
      </c>
      <c r="D1070" t="s">
        <v>463</v>
      </c>
      <c r="E1070">
        <v>36.4</v>
      </c>
      <c r="F1070">
        <v>1310.4000000000001</v>
      </c>
      <c r="G1070">
        <v>36</v>
      </c>
    </row>
    <row r="1071" spans="1:7" x14ac:dyDescent="0.3">
      <c r="A1071" t="s">
        <v>568</v>
      </c>
      <c r="B1071">
        <v>20057</v>
      </c>
      <c r="C1071" t="s">
        <v>3967</v>
      </c>
      <c r="D1071" t="s">
        <v>463</v>
      </c>
      <c r="E1071">
        <v>5</v>
      </c>
      <c r="F1071">
        <v>210.9</v>
      </c>
      <c r="G1071">
        <v>42.18</v>
      </c>
    </row>
    <row r="1072" spans="1:7" x14ac:dyDescent="0.3">
      <c r="A1072" t="s">
        <v>568</v>
      </c>
      <c r="B1072">
        <v>24320</v>
      </c>
      <c r="C1072" t="s">
        <v>4160</v>
      </c>
      <c r="D1072" t="s">
        <v>463</v>
      </c>
      <c r="E1072">
        <v>51.9</v>
      </c>
      <c r="F1072">
        <v>1811.85</v>
      </c>
      <c r="G1072">
        <v>34.909999999999997</v>
      </c>
    </row>
    <row r="1073" spans="1:7" x14ac:dyDescent="0.3">
      <c r="A1073" t="s">
        <v>568</v>
      </c>
      <c r="B1073">
        <v>27312</v>
      </c>
      <c r="C1073" t="s">
        <v>3927</v>
      </c>
      <c r="D1073" t="s">
        <v>463</v>
      </c>
      <c r="E1073">
        <v>15.5</v>
      </c>
      <c r="F1073">
        <v>664.95</v>
      </c>
      <c r="G1073">
        <v>42.9</v>
      </c>
    </row>
    <row r="1074" spans="1:7" x14ac:dyDescent="0.3">
      <c r="A1074" t="s">
        <v>568</v>
      </c>
      <c r="B1074">
        <v>23361</v>
      </c>
      <c r="C1074" t="s">
        <v>4220</v>
      </c>
      <c r="D1074" t="s">
        <v>463</v>
      </c>
      <c r="E1074">
        <v>218</v>
      </c>
      <c r="F1074">
        <v>737.74</v>
      </c>
      <c r="G1074">
        <v>3.38</v>
      </c>
    </row>
    <row r="1075" spans="1:7" x14ac:dyDescent="0.3">
      <c r="A1075" t="s">
        <v>568</v>
      </c>
      <c r="B1075">
        <v>20661</v>
      </c>
      <c r="C1075" t="s">
        <v>3919</v>
      </c>
      <c r="D1075" t="s">
        <v>463</v>
      </c>
      <c r="E1075">
        <v>36</v>
      </c>
      <c r="F1075">
        <v>303.82</v>
      </c>
      <c r="G1075">
        <v>8.44</v>
      </c>
    </row>
    <row r="1076" spans="1:7" x14ac:dyDescent="0.3">
      <c r="A1076" t="s">
        <v>568</v>
      </c>
      <c r="B1076">
        <v>19421</v>
      </c>
      <c r="C1076" t="s">
        <v>4275</v>
      </c>
      <c r="D1076" t="s">
        <v>463</v>
      </c>
      <c r="E1076">
        <v>1</v>
      </c>
      <c r="F1076">
        <v>73.44</v>
      </c>
      <c r="G1076">
        <v>73.44</v>
      </c>
    </row>
    <row r="1077" spans="1:7" x14ac:dyDescent="0.3">
      <c r="A1077" t="s">
        <v>568</v>
      </c>
      <c r="B1077">
        <v>19428</v>
      </c>
      <c r="C1077" t="s">
        <v>4169</v>
      </c>
      <c r="D1077" t="s">
        <v>463</v>
      </c>
      <c r="E1077">
        <v>24</v>
      </c>
      <c r="F1077">
        <v>133.19999999999999</v>
      </c>
      <c r="G1077">
        <v>5.55</v>
      </c>
    </row>
    <row r="1078" spans="1:7" x14ac:dyDescent="0.3">
      <c r="A1078" t="s">
        <v>568</v>
      </c>
      <c r="B1078">
        <v>18295</v>
      </c>
      <c r="C1078" t="s">
        <v>4030</v>
      </c>
      <c r="D1078" t="s">
        <v>463</v>
      </c>
      <c r="E1078">
        <v>7</v>
      </c>
      <c r="F1078">
        <v>865</v>
      </c>
      <c r="G1078">
        <v>123.57</v>
      </c>
    </row>
    <row r="1079" spans="1:7" x14ac:dyDescent="0.3">
      <c r="A1079" t="s">
        <v>568</v>
      </c>
      <c r="B1079">
        <v>19752</v>
      </c>
      <c r="C1079" t="s">
        <v>4042</v>
      </c>
      <c r="D1079" t="s">
        <v>463</v>
      </c>
      <c r="E1079">
        <v>5</v>
      </c>
      <c r="F1079">
        <v>44</v>
      </c>
      <c r="G1079">
        <v>8.8000000000000007</v>
      </c>
    </row>
    <row r="1080" spans="1:7" x14ac:dyDescent="0.3">
      <c r="A1080" t="s">
        <v>568</v>
      </c>
      <c r="B1080">
        <v>19751</v>
      </c>
      <c r="C1080" t="s">
        <v>4019</v>
      </c>
      <c r="D1080" t="s">
        <v>463</v>
      </c>
      <c r="E1080">
        <v>8</v>
      </c>
      <c r="F1080">
        <v>103.06</v>
      </c>
      <c r="G1080">
        <v>12.88</v>
      </c>
    </row>
    <row r="1081" spans="1:7" x14ac:dyDescent="0.3">
      <c r="A1081" t="s">
        <v>568</v>
      </c>
      <c r="B1081">
        <v>23359</v>
      </c>
      <c r="C1081" t="s">
        <v>3932</v>
      </c>
      <c r="D1081" t="s">
        <v>463</v>
      </c>
      <c r="E1081">
        <v>86</v>
      </c>
      <c r="F1081">
        <v>224.18</v>
      </c>
      <c r="G1081">
        <v>2.61</v>
      </c>
    </row>
    <row r="1082" spans="1:7" x14ac:dyDescent="0.3">
      <c r="A1082" t="s">
        <v>568</v>
      </c>
      <c r="B1082">
        <v>17185</v>
      </c>
      <c r="C1082" t="s">
        <v>4210</v>
      </c>
      <c r="D1082" t="s">
        <v>463</v>
      </c>
      <c r="E1082">
        <v>3</v>
      </c>
      <c r="F1082">
        <v>47.85</v>
      </c>
      <c r="G1082">
        <v>15.95</v>
      </c>
    </row>
    <row r="1083" spans="1:7" x14ac:dyDescent="0.3">
      <c r="A1083" t="s">
        <v>568</v>
      </c>
      <c r="B1083">
        <v>17182</v>
      </c>
      <c r="C1083" t="s">
        <v>4207</v>
      </c>
      <c r="D1083" t="s">
        <v>463</v>
      </c>
      <c r="E1083">
        <v>1</v>
      </c>
      <c r="F1083">
        <v>38.89</v>
      </c>
      <c r="G1083">
        <v>38.89</v>
      </c>
    </row>
    <row r="1084" spans="1:7" x14ac:dyDescent="0.3">
      <c r="A1084" t="s">
        <v>568</v>
      </c>
      <c r="B1084">
        <v>20539</v>
      </c>
      <c r="C1084" t="s">
        <v>3908</v>
      </c>
      <c r="D1084" t="s">
        <v>463</v>
      </c>
      <c r="E1084">
        <v>31.83</v>
      </c>
      <c r="F1084">
        <v>2068.63</v>
      </c>
      <c r="G1084">
        <v>64.989999999999995</v>
      </c>
    </row>
    <row r="1085" spans="1:7" x14ac:dyDescent="0.3">
      <c r="A1085" t="s">
        <v>568</v>
      </c>
      <c r="B1085">
        <v>24331</v>
      </c>
      <c r="C1085" t="s">
        <v>3960</v>
      </c>
      <c r="D1085" t="s">
        <v>463</v>
      </c>
      <c r="E1085">
        <v>25</v>
      </c>
      <c r="F1085">
        <v>565.25</v>
      </c>
      <c r="G1085">
        <v>22.61</v>
      </c>
    </row>
    <row r="1086" spans="1:7" x14ac:dyDescent="0.3">
      <c r="A1086" t="s">
        <v>568</v>
      </c>
      <c r="B1086">
        <v>27884</v>
      </c>
      <c r="C1086" t="s">
        <v>3910</v>
      </c>
      <c r="D1086" t="s">
        <v>463</v>
      </c>
      <c r="E1086">
        <v>16.100000000000001</v>
      </c>
      <c r="F1086">
        <v>1094.8</v>
      </c>
      <c r="G1086">
        <v>68</v>
      </c>
    </row>
    <row r="1087" spans="1:7" x14ac:dyDescent="0.3">
      <c r="A1087" t="s">
        <v>568</v>
      </c>
      <c r="B1087">
        <v>24339</v>
      </c>
      <c r="C1087" t="s">
        <v>4119</v>
      </c>
      <c r="D1087" t="s">
        <v>463</v>
      </c>
      <c r="E1087">
        <v>9.4499999999999993</v>
      </c>
      <c r="F1087">
        <v>309.95999999999998</v>
      </c>
      <c r="G1087">
        <v>32.799999999999997</v>
      </c>
    </row>
    <row r="1088" spans="1:7" x14ac:dyDescent="0.3">
      <c r="A1088" t="s">
        <v>568</v>
      </c>
      <c r="B1088">
        <v>20501</v>
      </c>
      <c r="C1088" t="s">
        <v>4219</v>
      </c>
      <c r="D1088" t="s">
        <v>463</v>
      </c>
      <c r="E1088">
        <v>10</v>
      </c>
      <c r="F1088">
        <v>217.9</v>
      </c>
      <c r="G1088">
        <v>21.79</v>
      </c>
    </row>
    <row r="1089" spans="1:7" x14ac:dyDescent="0.3">
      <c r="A1089" t="s">
        <v>568</v>
      </c>
      <c r="B1089">
        <v>24343</v>
      </c>
      <c r="C1089" t="s">
        <v>3990</v>
      </c>
      <c r="D1089" t="s">
        <v>463</v>
      </c>
      <c r="E1089">
        <v>11.7</v>
      </c>
      <c r="F1089">
        <v>258.88</v>
      </c>
      <c r="G1089">
        <v>22.13</v>
      </c>
    </row>
    <row r="1090" spans="1:7" x14ac:dyDescent="0.3">
      <c r="A1090" t="s">
        <v>568</v>
      </c>
      <c r="B1090">
        <v>17017</v>
      </c>
      <c r="C1090" t="s">
        <v>4230</v>
      </c>
      <c r="D1090" t="s">
        <v>463</v>
      </c>
      <c r="E1090">
        <v>4</v>
      </c>
      <c r="F1090">
        <v>12</v>
      </c>
      <c r="G1090">
        <v>3</v>
      </c>
    </row>
    <row r="1091" spans="1:7" x14ac:dyDescent="0.3">
      <c r="A1091" t="s">
        <v>568</v>
      </c>
      <c r="B1091">
        <v>17498</v>
      </c>
      <c r="C1091" t="s">
        <v>4243</v>
      </c>
      <c r="D1091" t="s">
        <v>463</v>
      </c>
      <c r="E1091">
        <v>7</v>
      </c>
      <c r="F1091">
        <v>147</v>
      </c>
      <c r="G1091">
        <v>21</v>
      </c>
    </row>
    <row r="1092" spans="1:7" x14ac:dyDescent="0.3">
      <c r="A1092" t="s">
        <v>568</v>
      </c>
      <c r="B1092">
        <v>23349</v>
      </c>
      <c r="C1092" t="s">
        <v>4173</v>
      </c>
      <c r="D1092" t="s">
        <v>463</v>
      </c>
      <c r="E1092">
        <v>4</v>
      </c>
      <c r="F1092">
        <v>36</v>
      </c>
      <c r="G1092">
        <v>9</v>
      </c>
    </row>
    <row r="1093" spans="1:7" x14ac:dyDescent="0.3">
      <c r="A1093" t="s">
        <v>568</v>
      </c>
      <c r="B1093">
        <v>20007</v>
      </c>
      <c r="C1093" t="s">
        <v>4009</v>
      </c>
      <c r="D1093" t="s">
        <v>463</v>
      </c>
      <c r="E1093">
        <v>8</v>
      </c>
      <c r="F1093">
        <v>416.14</v>
      </c>
      <c r="G1093">
        <v>52.02</v>
      </c>
    </row>
    <row r="1094" spans="1:7" x14ac:dyDescent="0.3">
      <c r="A1094" t="s">
        <v>568</v>
      </c>
      <c r="B1094">
        <v>19742</v>
      </c>
      <c r="C1094" t="s">
        <v>4074</v>
      </c>
      <c r="D1094" t="s">
        <v>463</v>
      </c>
      <c r="E1094">
        <v>5.08</v>
      </c>
      <c r="F1094">
        <v>54.74</v>
      </c>
      <c r="G1094">
        <v>10.78</v>
      </c>
    </row>
    <row r="1095" spans="1:7" x14ac:dyDescent="0.3">
      <c r="A1095" t="s">
        <v>568</v>
      </c>
      <c r="B1095">
        <v>23120</v>
      </c>
      <c r="C1095" t="s">
        <v>4111</v>
      </c>
      <c r="D1095" t="s">
        <v>463</v>
      </c>
      <c r="E1095">
        <v>1.9</v>
      </c>
      <c r="F1095">
        <v>120.88</v>
      </c>
      <c r="G1095">
        <v>63.62</v>
      </c>
    </row>
    <row r="1096" spans="1:7" x14ac:dyDescent="0.3">
      <c r="A1096" t="s">
        <v>568</v>
      </c>
      <c r="B1096">
        <v>19740</v>
      </c>
      <c r="C1096" t="s">
        <v>3933</v>
      </c>
      <c r="D1096" t="s">
        <v>463</v>
      </c>
      <c r="E1096">
        <v>48</v>
      </c>
      <c r="F1096">
        <v>500.78</v>
      </c>
      <c r="G1096">
        <v>10.43</v>
      </c>
    </row>
    <row r="1097" spans="1:7" x14ac:dyDescent="0.3">
      <c r="A1097" t="s">
        <v>568</v>
      </c>
      <c r="B1097">
        <v>19415</v>
      </c>
      <c r="C1097" t="s">
        <v>3941</v>
      </c>
      <c r="D1097" t="s">
        <v>463</v>
      </c>
      <c r="E1097">
        <v>25</v>
      </c>
      <c r="F1097">
        <v>220.9</v>
      </c>
      <c r="G1097">
        <v>8.84</v>
      </c>
    </row>
    <row r="1098" spans="1:7" x14ac:dyDescent="0.3">
      <c r="A1098" t="s">
        <v>568</v>
      </c>
      <c r="B1098">
        <v>17474</v>
      </c>
      <c r="C1098" t="s">
        <v>4273</v>
      </c>
      <c r="D1098" t="s">
        <v>463</v>
      </c>
      <c r="E1098">
        <v>1</v>
      </c>
      <c r="F1098">
        <v>75</v>
      </c>
      <c r="G1098">
        <v>75</v>
      </c>
    </row>
    <row r="1099" spans="1:7" x14ac:dyDescent="0.3">
      <c r="A1099" t="s">
        <v>568</v>
      </c>
      <c r="B1099">
        <v>24351</v>
      </c>
      <c r="C1099" t="s">
        <v>3912</v>
      </c>
      <c r="D1099" t="s">
        <v>463</v>
      </c>
      <c r="E1099">
        <v>20</v>
      </c>
      <c r="F1099">
        <v>240</v>
      </c>
      <c r="G1099">
        <v>12</v>
      </c>
    </row>
    <row r="1100" spans="1:7" x14ac:dyDescent="0.3">
      <c r="A1100" t="s">
        <v>568</v>
      </c>
      <c r="B1100">
        <v>20117</v>
      </c>
      <c r="C1100" t="s">
        <v>4010</v>
      </c>
      <c r="D1100" t="s">
        <v>463</v>
      </c>
      <c r="E1100">
        <v>4</v>
      </c>
      <c r="F1100">
        <v>152.19999999999999</v>
      </c>
      <c r="G1100">
        <v>38.049999999999997</v>
      </c>
    </row>
    <row r="1101" spans="1:7" x14ac:dyDescent="0.3">
      <c r="A1101" t="s">
        <v>568</v>
      </c>
      <c r="B1101">
        <v>19984</v>
      </c>
      <c r="C1101" t="s">
        <v>3904</v>
      </c>
      <c r="D1101" t="s">
        <v>463</v>
      </c>
      <c r="E1101">
        <v>24</v>
      </c>
      <c r="F1101">
        <v>475.2</v>
      </c>
      <c r="G1101">
        <v>19.8</v>
      </c>
    </row>
    <row r="1102" spans="1:7" x14ac:dyDescent="0.3">
      <c r="A1102" t="s">
        <v>568</v>
      </c>
      <c r="B1102">
        <v>19973</v>
      </c>
      <c r="C1102" t="s">
        <v>3981</v>
      </c>
      <c r="D1102" t="s">
        <v>463</v>
      </c>
      <c r="E1102">
        <v>2</v>
      </c>
      <c r="F1102">
        <v>30.4</v>
      </c>
      <c r="G1102">
        <v>15.2</v>
      </c>
    </row>
    <row r="1103" spans="1:7" x14ac:dyDescent="0.3">
      <c r="A1103" t="s">
        <v>568</v>
      </c>
      <c r="B1103">
        <v>23335</v>
      </c>
      <c r="C1103" t="s">
        <v>4075</v>
      </c>
      <c r="D1103" t="s">
        <v>463</v>
      </c>
      <c r="E1103">
        <v>3.5</v>
      </c>
      <c r="F1103">
        <v>110.25</v>
      </c>
      <c r="G1103">
        <v>31.5</v>
      </c>
    </row>
    <row r="1104" spans="1:7" x14ac:dyDescent="0.3">
      <c r="A1104" t="s">
        <v>568</v>
      </c>
      <c r="B1104">
        <v>24388</v>
      </c>
      <c r="C1104" t="s">
        <v>3915</v>
      </c>
      <c r="D1104" t="s">
        <v>463</v>
      </c>
      <c r="E1104">
        <v>17.399999999999999</v>
      </c>
      <c r="F1104">
        <v>520.26</v>
      </c>
      <c r="G1104">
        <v>29.9</v>
      </c>
    </row>
    <row r="1105" spans="1:7" x14ac:dyDescent="0.3">
      <c r="A1105" t="s">
        <v>568</v>
      </c>
      <c r="B1105">
        <v>20984</v>
      </c>
      <c r="C1105" t="s">
        <v>4235</v>
      </c>
      <c r="D1105" t="s">
        <v>463</v>
      </c>
      <c r="E1105">
        <v>102</v>
      </c>
      <c r="F1105">
        <v>788.7</v>
      </c>
      <c r="G1105">
        <v>7.73</v>
      </c>
    </row>
    <row r="1106" spans="1:7" x14ac:dyDescent="0.3">
      <c r="A1106" t="s">
        <v>568</v>
      </c>
      <c r="B1106">
        <v>24393</v>
      </c>
      <c r="C1106" t="s">
        <v>4039</v>
      </c>
      <c r="D1106" t="s">
        <v>463</v>
      </c>
      <c r="E1106">
        <v>2.9</v>
      </c>
      <c r="F1106">
        <v>40.57</v>
      </c>
      <c r="G1106">
        <v>13.99</v>
      </c>
    </row>
    <row r="1107" spans="1:7" x14ac:dyDescent="0.3">
      <c r="A1107" t="s">
        <v>568</v>
      </c>
      <c r="B1107">
        <v>26055</v>
      </c>
      <c r="C1107" t="s">
        <v>4336</v>
      </c>
      <c r="D1107" t="s">
        <v>463</v>
      </c>
      <c r="E1107">
        <v>4</v>
      </c>
      <c r="F1107">
        <v>55.96</v>
      </c>
      <c r="G1107">
        <v>13.99</v>
      </c>
    </row>
    <row r="1108" spans="1:7" x14ac:dyDescent="0.3">
      <c r="A1108" t="s">
        <v>568</v>
      </c>
      <c r="B1108">
        <v>23096</v>
      </c>
      <c r="C1108" t="s">
        <v>3876</v>
      </c>
      <c r="D1108" t="s">
        <v>463</v>
      </c>
      <c r="E1108">
        <v>240</v>
      </c>
      <c r="F1108">
        <v>179.4</v>
      </c>
      <c r="G1108">
        <v>0.75</v>
      </c>
    </row>
    <row r="1109" spans="1:7" x14ac:dyDescent="0.3">
      <c r="A1109" t="s">
        <v>568</v>
      </c>
      <c r="B1109">
        <v>23095</v>
      </c>
      <c r="C1109" t="s">
        <v>3882</v>
      </c>
      <c r="D1109" t="s">
        <v>463</v>
      </c>
      <c r="E1109">
        <v>540</v>
      </c>
      <c r="F1109">
        <v>712.8</v>
      </c>
      <c r="G1109">
        <v>1.32</v>
      </c>
    </row>
    <row r="1110" spans="1:7" x14ac:dyDescent="0.3">
      <c r="A1110" t="s">
        <v>568</v>
      </c>
      <c r="B1110">
        <v>17444</v>
      </c>
      <c r="C1110" t="s">
        <v>4211</v>
      </c>
      <c r="D1110" t="s">
        <v>463</v>
      </c>
      <c r="E1110">
        <v>2</v>
      </c>
      <c r="F1110">
        <v>25.18</v>
      </c>
      <c r="G1110">
        <v>12.59</v>
      </c>
    </row>
    <row r="1111" spans="1:7" x14ac:dyDescent="0.3">
      <c r="A1111" t="s">
        <v>568</v>
      </c>
      <c r="B1111">
        <v>20624</v>
      </c>
      <c r="C1111" t="s">
        <v>3982</v>
      </c>
      <c r="D1111" t="s">
        <v>463</v>
      </c>
      <c r="E1111">
        <v>6</v>
      </c>
      <c r="F1111">
        <v>410.08</v>
      </c>
      <c r="G1111">
        <v>68.349999999999994</v>
      </c>
    </row>
    <row r="1112" spans="1:7" x14ac:dyDescent="0.3">
      <c r="A1112" t="s">
        <v>568</v>
      </c>
      <c r="B1112">
        <v>24517</v>
      </c>
      <c r="C1112" t="s">
        <v>3991</v>
      </c>
      <c r="D1112" t="s">
        <v>463</v>
      </c>
      <c r="E1112">
        <v>51.5</v>
      </c>
      <c r="F1112">
        <v>1441.48</v>
      </c>
      <c r="G1112">
        <v>27.99</v>
      </c>
    </row>
    <row r="1113" spans="1:7" x14ac:dyDescent="0.3">
      <c r="A1113" t="s">
        <v>568</v>
      </c>
      <c r="B1113">
        <v>17162</v>
      </c>
      <c r="C1113" t="s">
        <v>4209</v>
      </c>
      <c r="D1113" t="s">
        <v>463</v>
      </c>
      <c r="E1113">
        <v>2</v>
      </c>
      <c r="F1113">
        <v>108</v>
      </c>
      <c r="G1113">
        <v>54</v>
      </c>
    </row>
    <row r="1114" spans="1:7" x14ac:dyDescent="0.3">
      <c r="A1114" t="s">
        <v>568</v>
      </c>
      <c r="B1114">
        <v>19130</v>
      </c>
      <c r="C1114" t="s">
        <v>4284</v>
      </c>
      <c r="D1114" t="s">
        <v>463</v>
      </c>
      <c r="E1114">
        <v>1650</v>
      </c>
      <c r="F1114">
        <v>1897.5</v>
      </c>
      <c r="G1114">
        <v>1.1499999999999999</v>
      </c>
    </row>
    <row r="1115" spans="1:7" x14ac:dyDescent="0.3">
      <c r="A1115" t="s">
        <v>568</v>
      </c>
      <c r="B1115">
        <v>17046</v>
      </c>
      <c r="C1115" t="s">
        <v>4246</v>
      </c>
      <c r="D1115" t="s">
        <v>463</v>
      </c>
      <c r="E1115">
        <v>1</v>
      </c>
      <c r="F1115">
        <v>34.5</v>
      </c>
      <c r="G1115">
        <v>34.5</v>
      </c>
    </row>
    <row r="1116" spans="1:7" x14ac:dyDescent="0.3">
      <c r="A1116" t="s">
        <v>568</v>
      </c>
      <c r="B1116">
        <v>17342</v>
      </c>
      <c r="C1116" t="s">
        <v>4208</v>
      </c>
      <c r="D1116" t="s">
        <v>463</v>
      </c>
      <c r="E1116">
        <v>4</v>
      </c>
      <c r="F1116">
        <v>136.91999999999999</v>
      </c>
      <c r="G1116">
        <v>34.229999999999997</v>
      </c>
    </row>
    <row r="1117" spans="1:7" x14ac:dyDescent="0.3">
      <c r="A1117" t="s">
        <v>568</v>
      </c>
      <c r="B1117">
        <v>28297</v>
      </c>
      <c r="C1117" t="s">
        <v>4358</v>
      </c>
      <c r="D1117" t="s">
        <v>463</v>
      </c>
      <c r="E1117">
        <v>1</v>
      </c>
      <c r="F1117">
        <v>112.64</v>
      </c>
      <c r="G1117">
        <v>112.64</v>
      </c>
    </row>
    <row r="1118" spans="1:7" x14ac:dyDescent="0.3">
      <c r="A1118" t="s">
        <v>568</v>
      </c>
      <c r="B1118">
        <v>17416</v>
      </c>
      <c r="C1118" t="s">
        <v>4205</v>
      </c>
      <c r="D1118" t="s">
        <v>463</v>
      </c>
      <c r="E1118">
        <v>16</v>
      </c>
      <c r="F1118">
        <v>777.28</v>
      </c>
      <c r="G1118">
        <v>48.58</v>
      </c>
    </row>
    <row r="1119" spans="1:7" x14ac:dyDescent="0.3">
      <c r="A1119" t="s">
        <v>568</v>
      </c>
      <c r="B1119">
        <v>23502</v>
      </c>
      <c r="C1119" t="s">
        <v>4174</v>
      </c>
      <c r="D1119" t="s">
        <v>463</v>
      </c>
      <c r="E1119">
        <v>1</v>
      </c>
      <c r="F1119">
        <v>14.9</v>
      </c>
      <c r="G1119">
        <v>14.9</v>
      </c>
    </row>
    <row r="1120" spans="1:7" x14ac:dyDescent="0.3">
      <c r="A1120" t="s">
        <v>568</v>
      </c>
      <c r="B1120">
        <v>24401</v>
      </c>
      <c r="C1120" t="s">
        <v>4063</v>
      </c>
      <c r="D1120" t="s">
        <v>463</v>
      </c>
      <c r="E1120">
        <v>1</v>
      </c>
      <c r="F1120">
        <v>14</v>
      </c>
      <c r="G1120">
        <v>14</v>
      </c>
    </row>
    <row r="1121" spans="1:7" x14ac:dyDescent="0.3">
      <c r="A1121" t="s">
        <v>568</v>
      </c>
      <c r="B1121">
        <v>26709</v>
      </c>
      <c r="C1121" t="s">
        <v>4178</v>
      </c>
      <c r="D1121" t="s">
        <v>463</v>
      </c>
      <c r="E1121">
        <v>20.75</v>
      </c>
      <c r="F1121">
        <v>1037.5</v>
      </c>
      <c r="G1121">
        <v>50</v>
      </c>
    </row>
    <row r="1122" spans="1:7" x14ac:dyDescent="0.3">
      <c r="A1122" t="s">
        <v>568</v>
      </c>
      <c r="B1122">
        <v>24402</v>
      </c>
      <c r="C1122" t="s">
        <v>3896</v>
      </c>
      <c r="D1122" t="s">
        <v>463</v>
      </c>
      <c r="E1122">
        <v>62.5</v>
      </c>
      <c r="F1122">
        <v>2336.48</v>
      </c>
      <c r="G1122">
        <v>37.380000000000003</v>
      </c>
    </row>
    <row r="1123" spans="1:7" x14ac:dyDescent="0.3">
      <c r="A1123" t="s">
        <v>568</v>
      </c>
      <c r="B1123">
        <v>18832</v>
      </c>
      <c r="C1123" t="s">
        <v>3900</v>
      </c>
      <c r="D1123" t="s">
        <v>463</v>
      </c>
      <c r="E1123">
        <v>75.900000000000006</v>
      </c>
      <c r="F1123">
        <v>3070.21</v>
      </c>
      <c r="G1123">
        <v>40.450000000000003</v>
      </c>
    </row>
    <row r="1124" spans="1:7" x14ac:dyDescent="0.3">
      <c r="A1124" t="s">
        <v>568</v>
      </c>
      <c r="B1124">
        <v>24403</v>
      </c>
      <c r="C1124" t="s">
        <v>3992</v>
      </c>
      <c r="D1124" t="s">
        <v>463</v>
      </c>
      <c r="E1124">
        <v>6.6</v>
      </c>
      <c r="F1124">
        <v>85.73</v>
      </c>
      <c r="G1124">
        <v>12.99</v>
      </c>
    </row>
    <row r="1125" spans="1:7" x14ac:dyDescent="0.3">
      <c r="A1125" t="s">
        <v>568</v>
      </c>
      <c r="B1125">
        <v>19589</v>
      </c>
      <c r="C1125" t="s">
        <v>4153</v>
      </c>
      <c r="D1125" t="s">
        <v>463</v>
      </c>
      <c r="E1125">
        <v>1</v>
      </c>
      <c r="F1125">
        <v>4.38</v>
      </c>
      <c r="G1125">
        <v>4.38</v>
      </c>
    </row>
    <row r="1126" spans="1:7" x14ac:dyDescent="0.3">
      <c r="A1126" t="s">
        <v>568</v>
      </c>
      <c r="B1126">
        <v>17895</v>
      </c>
      <c r="C1126" t="s">
        <v>4137</v>
      </c>
      <c r="D1126" t="s">
        <v>463</v>
      </c>
      <c r="E1126">
        <v>6</v>
      </c>
      <c r="F1126">
        <v>169.92</v>
      </c>
      <c r="G1126">
        <v>28.32</v>
      </c>
    </row>
    <row r="1127" spans="1:7" x14ac:dyDescent="0.3">
      <c r="A1127" t="s">
        <v>568</v>
      </c>
      <c r="B1127">
        <v>19583</v>
      </c>
      <c r="C1127" t="s">
        <v>4076</v>
      </c>
      <c r="D1127" t="s">
        <v>463</v>
      </c>
      <c r="E1127">
        <v>1</v>
      </c>
      <c r="F1127">
        <v>53.65</v>
      </c>
      <c r="G1127">
        <v>53.65</v>
      </c>
    </row>
    <row r="1128" spans="1:7" x14ac:dyDescent="0.3">
      <c r="A1128" t="s">
        <v>568</v>
      </c>
      <c r="B1128">
        <v>19572</v>
      </c>
      <c r="C1128" t="s">
        <v>4023</v>
      </c>
      <c r="D1128" t="s">
        <v>463</v>
      </c>
      <c r="E1128">
        <v>4.25</v>
      </c>
      <c r="F1128">
        <v>68.56</v>
      </c>
      <c r="G1128">
        <v>16.13</v>
      </c>
    </row>
    <row r="1129" spans="1:7" x14ac:dyDescent="0.3">
      <c r="A1129" t="s">
        <v>568</v>
      </c>
      <c r="B1129">
        <v>23198</v>
      </c>
      <c r="C1129" t="s">
        <v>4167</v>
      </c>
      <c r="D1129" t="s">
        <v>463</v>
      </c>
      <c r="E1129">
        <v>5</v>
      </c>
      <c r="F1129">
        <v>64</v>
      </c>
      <c r="G1129">
        <v>12.8</v>
      </c>
    </row>
    <row r="1130" spans="1:7" x14ac:dyDescent="0.3">
      <c r="A1130" t="s">
        <v>568</v>
      </c>
      <c r="B1130">
        <v>18682</v>
      </c>
      <c r="C1130" t="s">
        <v>4025</v>
      </c>
      <c r="D1130" t="s">
        <v>463</v>
      </c>
      <c r="E1130">
        <v>29.6</v>
      </c>
      <c r="F1130">
        <v>828.51</v>
      </c>
      <c r="G1130">
        <v>27.99</v>
      </c>
    </row>
    <row r="1131" spans="1:7" x14ac:dyDescent="0.3">
      <c r="A1131" t="s">
        <v>568</v>
      </c>
      <c r="B1131">
        <v>19346</v>
      </c>
      <c r="C1131" t="s">
        <v>3948</v>
      </c>
      <c r="D1131" t="s">
        <v>463</v>
      </c>
      <c r="E1131">
        <v>11.52</v>
      </c>
      <c r="F1131">
        <v>671.61</v>
      </c>
      <c r="G1131">
        <v>58.3</v>
      </c>
    </row>
    <row r="1132" spans="1:7" x14ac:dyDescent="0.3">
      <c r="A1132" t="s">
        <v>568</v>
      </c>
      <c r="B1132">
        <v>19324</v>
      </c>
      <c r="C1132" t="s">
        <v>3937</v>
      </c>
      <c r="D1132" t="s">
        <v>463</v>
      </c>
      <c r="E1132">
        <v>37</v>
      </c>
      <c r="F1132">
        <v>1297.76</v>
      </c>
      <c r="G1132">
        <v>35.07</v>
      </c>
    </row>
    <row r="1133" spans="1:7" x14ac:dyDescent="0.3">
      <c r="A1133" t="s">
        <v>568</v>
      </c>
      <c r="B1133">
        <v>19291</v>
      </c>
      <c r="C1133" t="s">
        <v>4254</v>
      </c>
      <c r="D1133" t="s">
        <v>463</v>
      </c>
      <c r="E1133">
        <v>22.74</v>
      </c>
      <c r="F1133">
        <v>1674.8</v>
      </c>
      <c r="G1133">
        <v>73.650000000000006</v>
      </c>
    </row>
    <row r="1134" spans="1:7" x14ac:dyDescent="0.3">
      <c r="A1134" t="s">
        <v>568</v>
      </c>
      <c r="B1134">
        <v>24449</v>
      </c>
      <c r="C1134" t="s">
        <v>4344</v>
      </c>
      <c r="D1134" t="s">
        <v>463</v>
      </c>
      <c r="E1134">
        <v>14.7</v>
      </c>
      <c r="F1134">
        <v>1029.99</v>
      </c>
      <c r="G1134">
        <v>70.069999999999993</v>
      </c>
    </row>
    <row r="1135" spans="1:7" x14ac:dyDescent="0.3">
      <c r="A1135" t="s">
        <v>568</v>
      </c>
      <c r="B1135">
        <v>19287</v>
      </c>
      <c r="C1135" t="s">
        <v>3974</v>
      </c>
      <c r="D1135" t="s">
        <v>463</v>
      </c>
      <c r="E1135">
        <v>6.48</v>
      </c>
      <c r="F1135">
        <v>259.20999999999998</v>
      </c>
      <c r="G1135">
        <v>40</v>
      </c>
    </row>
    <row r="1136" spans="1:7" x14ac:dyDescent="0.3">
      <c r="A1136" t="s">
        <v>568</v>
      </c>
      <c r="B1136">
        <v>19558</v>
      </c>
      <c r="C1136" t="s">
        <v>4183</v>
      </c>
      <c r="D1136" t="s">
        <v>463</v>
      </c>
      <c r="E1136">
        <v>5</v>
      </c>
      <c r="F1136">
        <v>76</v>
      </c>
      <c r="G1136">
        <v>15.2</v>
      </c>
    </row>
    <row r="1137" spans="1:7" x14ac:dyDescent="0.3">
      <c r="A1137" t="s">
        <v>568</v>
      </c>
      <c r="B1137">
        <v>25768</v>
      </c>
      <c r="C1137" t="s">
        <v>4012</v>
      </c>
      <c r="D1137" t="s">
        <v>463</v>
      </c>
      <c r="E1137">
        <v>7</v>
      </c>
      <c r="F1137">
        <v>68.599999999999994</v>
      </c>
      <c r="G1137">
        <v>9.8000000000000007</v>
      </c>
    </row>
    <row r="1138" spans="1:7" x14ac:dyDescent="0.3">
      <c r="A1138" t="s">
        <v>568</v>
      </c>
      <c r="B1138">
        <v>25541</v>
      </c>
      <c r="C1138" t="s">
        <v>4330</v>
      </c>
      <c r="D1138" t="s">
        <v>463</v>
      </c>
      <c r="E1138">
        <v>10.3</v>
      </c>
      <c r="F1138">
        <v>272.95</v>
      </c>
      <c r="G1138">
        <v>26.5</v>
      </c>
    </row>
    <row r="1139" spans="1:7" x14ac:dyDescent="0.3">
      <c r="A1139" t="s">
        <v>568</v>
      </c>
      <c r="B1139">
        <v>18818</v>
      </c>
      <c r="C1139" t="s">
        <v>3916</v>
      </c>
      <c r="D1139" t="s">
        <v>463</v>
      </c>
      <c r="E1139">
        <v>42.9</v>
      </c>
      <c r="F1139">
        <v>1292.94</v>
      </c>
      <c r="G1139">
        <v>30.14</v>
      </c>
    </row>
    <row r="1140" spans="1:7" x14ac:dyDescent="0.3">
      <c r="A1140" t="s">
        <v>568</v>
      </c>
      <c r="B1140">
        <v>23195</v>
      </c>
      <c r="C1140" t="s">
        <v>4184</v>
      </c>
      <c r="D1140" t="s">
        <v>463</v>
      </c>
      <c r="E1140">
        <v>1</v>
      </c>
      <c r="F1140">
        <v>14.58</v>
      </c>
      <c r="G1140">
        <v>14.58</v>
      </c>
    </row>
    <row r="1141" spans="1:7" x14ac:dyDescent="0.3">
      <c r="A1141" t="s">
        <v>568</v>
      </c>
      <c r="B1141">
        <v>18666</v>
      </c>
      <c r="C1141" t="s">
        <v>4003</v>
      </c>
      <c r="D1141" t="s">
        <v>463</v>
      </c>
      <c r="E1141">
        <v>6.7</v>
      </c>
      <c r="F1141">
        <v>160.72999999999999</v>
      </c>
      <c r="G1141">
        <v>23.99</v>
      </c>
    </row>
    <row r="1142" spans="1:7" x14ac:dyDescent="0.3">
      <c r="A1142" t="s">
        <v>568</v>
      </c>
      <c r="B1142">
        <v>19555</v>
      </c>
      <c r="C1142" t="s">
        <v>4109</v>
      </c>
      <c r="D1142" t="s">
        <v>463</v>
      </c>
      <c r="E1142">
        <v>3.1</v>
      </c>
      <c r="F1142">
        <v>70.88</v>
      </c>
      <c r="G1142">
        <v>22.86</v>
      </c>
    </row>
    <row r="1143" spans="1:7" x14ac:dyDescent="0.3">
      <c r="A1143" t="s">
        <v>568</v>
      </c>
      <c r="B1143">
        <v>24718</v>
      </c>
      <c r="C1143" t="s">
        <v>4346</v>
      </c>
      <c r="D1143" t="s">
        <v>463</v>
      </c>
      <c r="E1143">
        <v>1</v>
      </c>
      <c r="F1143">
        <v>35.840000000000003</v>
      </c>
      <c r="G1143">
        <v>35.840000000000003</v>
      </c>
    </row>
    <row r="1144" spans="1:7" x14ac:dyDescent="0.3">
      <c r="A1144" t="s">
        <v>568</v>
      </c>
      <c r="B1144">
        <v>27160</v>
      </c>
      <c r="C1144" t="s">
        <v>4351</v>
      </c>
      <c r="D1144" t="s">
        <v>463</v>
      </c>
      <c r="E1144">
        <v>12</v>
      </c>
      <c r="F1144">
        <v>147.24</v>
      </c>
      <c r="G1144">
        <v>12.27</v>
      </c>
    </row>
    <row r="1145" spans="1:7" x14ac:dyDescent="0.3">
      <c r="A1145" t="s">
        <v>568</v>
      </c>
      <c r="B1145">
        <v>26832</v>
      </c>
      <c r="C1145" t="s">
        <v>4350</v>
      </c>
      <c r="D1145" t="s">
        <v>463</v>
      </c>
      <c r="E1145">
        <v>24</v>
      </c>
      <c r="F1145">
        <v>55.44</v>
      </c>
      <c r="G1145">
        <v>2.31</v>
      </c>
    </row>
    <row r="1146" spans="1:7" x14ac:dyDescent="0.3">
      <c r="A1146" t="s">
        <v>568</v>
      </c>
      <c r="B1146">
        <v>27386</v>
      </c>
      <c r="C1146" t="s">
        <v>4352</v>
      </c>
      <c r="D1146" t="s">
        <v>463</v>
      </c>
      <c r="E1146">
        <v>24</v>
      </c>
      <c r="F1146">
        <v>65.52</v>
      </c>
      <c r="G1146">
        <v>2.73</v>
      </c>
    </row>
    <row r="1147" spans="1:7" x14ac:dyDescent="0.3">
      <c r="A1147" t="s">
        <v>568</v>
      </c>
      <c r="B1147">
        <v>21123</v>
      </c>
      <c r="C1147" t="s">
        <v>4115</v>
      </c>
      <c r="D1147" t="s">
        <v>463</v>
      </c>
      <c r="E1147">
        <v>9</v>
      </c>
      <c r="F1147">
        <v>161.1</v>
      </c>
      <c r="G1147">
        <v>17.899999999999999</v>
      </c>
    </row>
    <row r="1148" spans="1:7" x14ac:dyDescent="0.3">
      <c r="A1148" t="s">
        <v>568</v>
      </c>
      <c r="B1148">
        <v>19553</v>
      </c>
      <c r="C1148" t="s">
        <v>4078</v>
      </c>
      <c r="D1148" t="s">
        <v>463</v>
      </c>
      <c r="E1148">
        <v>6</v>
      </c>
      <c r="F1148">
        <v>29.55</v>
      </c>
      <c r="G1148">
        <v>4.93</v>
      </c>
    </row>
    <row r="1149" spans="1:7" x14ac:dyDescent="0.3">
      <c r="A1149" t="s">
        <v>568</v>
      </c>
      <c r="B1149">
        <v>19264</v>
      </c>
      <c r="C1149" t="s">
        <v>4082</v>
      </c>
      <c r="D1149" t="s">
        <v>463</v>
      </c>
      <c r="E1149">
        <v>4</v>
      </c>
      <c r="F1149">
        <v>272.85000000000002</v>
      </c>
      <c r="G1149">
        <v>68.209999999999994</v>
      </c>
    </row>
    <row r="1150" spans="1:7" x14ac:dyDescent="0.3">
      <c r="A1150" t="s">
        <v>568</v>
      </c>
      <c r="B1150">
        <v>17129</v>
      </c>
      <c r="C1150" t="s">
        <v>4200</v>
      </c>
      <c r="D1150" t="s">
        <v>463</v>
      </c>
      <c r="E1150">
        <v>5</v>
      </c>
      <c r="F1150">
        <v>133.05000000000001</v>
      </c>
      <c r="G1150">
        <v>26.61</v>
      </c>
    </row>
    <row r="1151" spans="1:7" x14ac:dyDescent="0.3">
      <c r="A1151" t="s">
        <v>568</v>
      </c>
      <c r="B1151">
        <v>17322</v>
      </c>
      <c r="C1151" t="s">
        <v>4316</v>
      </c>
      <c r="D1151" t="s">
        <v>463</v>
      </c>
      <c r="E1151">
        <v>2</v>
      </c>
      <c r="F1151">
        <v>30.1</v>
      </c>
      <c r="G1151">
        <v>15.05</v>
      </c>
    </row>
    <row r="1152" spans="1:7" x14ac:dyDescent="0.3">
      <c r="A1152" t="s">
        <v>568</v>
      </c>
      <c r="B1152">
        <v>17437</v>
      </c>
      <c r="C1152" t="s">
        <v>4198</v>
      </c>
      <c r="D1152" t="s">
        <v>463</v>
      </c>
      <c r="E1152">
        <v>40</v>
      </c>
      <c r="F1152">
        <v>92</v>
      </c>
      <c r="G1152">
        <v>2.2999999999999998</v>
      </c>
    </row>
    <row r="1153" spans="1:7" x14ac:dyDescent="0.3">
      <c r="A1153" t="s">
        <v>568</v>
      </c>
      <c r="B1153">
        <v>21423</v>
      </c>
      <c r="C1153" t="s">
        <v>4225</v>
      </c>
      <c r="D1153" t="s">
        <v>463</v>
      </c>
      <c r="E1153">
        <v>4</v>
      </c>
      <c r="F1153">
        <v>127.28</v>
      </c>
      <c r="G1153">
        <v>31.82</v>
      </c>
    </row>
    <row r="1154" spans="1:7" x14ac:dyDescent="0.3">
      <c r="A1154" t="s">
        <v>568</v>
      </c>
      <c r="B1154">
        <v>17397</v>
      </c>
      <c r="C1154" t="s">
        <v>4223</v>
      </c>
      <c r="D1154" t="s">
        <v>463</v>
      </c>
      <c r="E1154">
        <v>2</v>
      </c>
      <c r="F1154">
        <v>63.64</v>
      </c>
      <c r="G1154">
        <v>31.82</v>
      </c>
    </row>
    <row r="1155" spans="1:7" x14ac:dyDescent="0.3">
      <c r="A1155" t="s">
        <v>568</v>
      </c>
      <c r="B1155">
        <v>17405</v>
      </c>
      <c r="C1155" t="s">
        <v>4251</v>
      </c>
      <c r="D1155" t="s">
        <v>463</v>
      </c>
      <c r="E1155">
        <v>3</v>
      </c>
      <c r="F1155">
        <v>27.78</v>
      </c>
      <c r="G1155">
        <v>9.26</v>
      </c>
    </row>
    <row r="1156" spans="1:7" x14ac:dyDescent="0.3">
      <c r="A1156" t="s">
        <v>568</v>
      </c>
      <c r="B1156">
        <v>17404</v>
      </c>
      <c r="C1156" t="s">
        <v>4282</v>
      </c>
      <c r="D1156" t="s">
        <v>463</v>
      </c>
      <c r="E1156">
        <v>1</v>
      </c>
      <c r="F1156">
        <v>18.43</v>
      </c>
      <c r="G1156">
        <v>18.43</v>
      </c>
    </row>
    <row r="1157" spans="1:7" x14ac:dyDescent="0.3">
      <c r="A1157" t="s">
        <v>568</v>
      </c>
      <c r="B1157">
        <v>19906</v>
      </c>
      <c r="C1157" t="s">
        <v>4171</v>
      </c>
      <c r="D1157" t="s">
        <v>463</v>
      </c>
      <c r="E1157">
        <v>2</v>
      </c>
      <c r="F1157">
        <v>72.599999999999994</v>
      </c>
      <c r="G1157">
        <v>36.299999999999997</v>
      </c>
    </row>
    <row r="1158" spans="1:7" x14ac:dyDescent="0.3">
      <c r="A1158" t="s">
        <v>568</v>
      </c>
      <c r="B1158">
        <v>19902</v>
      </c>
      <c r="C1158" t="s">
        <v>3909</v>
      </c>
      <c r="D1158" t="s">
        <v>463</v>
      </c>
      <c r="E1158">
        <v>1</v>
      </c>
      <c r="F1158">
        <v>25.9</v>
      </c>
      <c r="G1158">
        <v>25.9</v>
      </c>
    </row>
    <row r="1159" spans="1:7" x14ac:dyDescent="0.3">
      <c r="A1159" t="s">
        <v>568</v>
      </c>
      <c r="B1159">
        <v>20466</v>
      </c>
      <c r="C1159" t="s">
        <v>4098</v>
      </c>
      <c r="D1159" t="s">
        <v>463</v>
      </c>
      <c r="E1159">
        <v>1.5</v>
      </c>
      <c r="F1159">
        <v>102</v>
      </c>
      <c r="G1159">
        <v>68</v>
      </c>
    </row>
    <row r="1160" spans="1:7" x14ac:dyDescent="0.3">
      <c r="A1160" t="s">
        <v>568</v>
      </c>
      <c r="B1160">
        <v>23113</v>
      </c>
      <c r="C1160" t="s">
        <v>4079</v>
      </c>
      <c r="D1160" t="s">
        <v>463</v>
      </c>
      <c r="E1160">
        <v>11.6</v>
      </c>
      <c r="F1160">
        <v>129.79</v>
      </c>
      <c r="G1160">
        <v>11.19</v>
      </c>
    </row>
    <row r="1161" spans="1:7" x14ac:dyDescent="0.3">
      <c r="A1161" t="s">
        <v>568</v>
      </c>
      <c r="B1161">
        <v>19465</v>
      </c>
      <c r="C1161" t="s">
        <v>4080</v>
      </c>
      <c r="D1161" t="s">
        <v>463</v>
      </c>
      <c r="E1161">
        <v>3.1</v>
      </c>
      <c r="F1161">
        <v>20.079999999999998</v>
      </c>
      <c r="G1161">
        <v>6.48</v>
      </c>
    </row>
    <row r="1162" spans="1:7" x14ac:dyDescent="0.3">
      <c r="A1162" t="s">
        <v>568</v>
      </c>
      <c r="B1162">
        <v>20457</v>
      </c>
      <c r="C1162" t="s">
        <v>3999</v>
      </c>
      <c r="D1162" t="s">
        <v>463</v>
      </c>
      <c r="E1162">
        <v>2.2000000000000002</v>
      </c>
      <c r="F1162">
        <v>85.8</v>
      </c>
      <c r="G1162">
        <v>39</v>
      </c>
    </row>
    <row r="1163" spans="1:7" x14ac:dyDescent="0.3">
      <c r="A1163" t="s">
        <v>568</v>
      </c>
      <c r="B1163">
        <v>20456</v>
      </c>
      <c r="C1163" t="s">
        <v>4000</v>
      </c>
      <c r="D1163" t="s">
        <v>463</v>
      </c>
      <c r="E1163">
        <v>2.8</v>
      </c>
      <c r="F1163">
        <v>109.2</v>
      </c>
      <c r="G1163">
        <v>39</v>
      </c>
    </row>
    <row r="1164" spans="1:7" x14ac:dyDescent="0.3">
      <c r="A1164" t="s">
        <v>568</v>
      </c>
      <c r="B1164">
        <v>17881</v>
      </c>
      <c r="C1164" t="s">
        <v>4095</v>
      </c>
      <c r="D1164" t="s">
        <v>463</v>
      </c>
      <c r="E1164">
        <v>5</v>
      </c>
      <c r="F1164">
        <v>127.65</v>
      </c>
      <c r="G1164">
        <v>25.53</v>
      </c>
    </row>
    <row r="1165" spans="1:7" x14ac:dyDescent="0.3">
      <c r="A1165" t="s">
        <v>568</v>
      </c>
      <c r="B1165">
        <v>17878</v>
      </c>
      <c r="C1165" t="s">
        <v>4096</v>
      </c>
      <c r="D1165" t="s">
        <v>463</v>
      </c>
      <c r="E1165">
        <v>1</v>
      </c>
      <c r="F1165">
        <v>23.5</v>
      </c>
      <c r="G1165">
        <v>23.5</v>
      </c>
    </row>
    <row r="1166" spans="1:7" x14ac:dyDescent="0.3">
      <c r="A1166" t="s">
        <v>568</v>
      </c>
      <c r="B1166">
        <v>28639</v>
      </c>
      <c r="C1166" t="s">
        <v>4303</v>
      </c>
      <c r="D1166" t="s">
        <v>463</v>
      </c>
      <c r="E1166">
        <v>1</v>
      </c>
      <c r="F1166">
        <v>246</v>
      </c>
      <c r="G1166">
        <v>246</v>
      </c>
    </row>
    <row r="1167" spans="1:7" x14ac:dyDescent="0.3">
      <c r="A1167" t="s">
        <v>568</v>
      </c>
      <c r="B1167">
        <v>19672</v>
      </c>
      <c r="C1167" t="s">
        <v>4024</v>
      </c>
      <c r="D1167" t="s">
        <v>463</v>
      </c>
      <c r="E1167">
        <v>16.649999999999999</v>
      </c>
      <c r="F1167">
        <v>200.8</v>
      </c>
      <c r="G1167">
        <v>12.06</v>
      </c>
    </row>
    <row r="1168" spans="1:7" x14ac:dyDescent="0.3">
      <c r="A1168" t="s">
        <v>568</v>
      </c>
      <c r="B1168">
        <v>25769</v>
      </c>
      <c r="C1168" t="s">
        <v>4013</v>
      </c>
      <c r="D1168" t="s">
        <v>463</v>
      </c>
      <c r="E1168">
        <v>3</v>
      </c>
      <c r="F1168">
        <v>39</v>
      </c>
      <c r="G1168">
        <v>13</v>
      </c>
    </row>
    <row r="1169" spans="1:7" x14ac:dyDescent="0.3">
      <c r="A1169" t="s">
        <v>568</v>
      </c>
      <c r="B1169">
        <v>19539</v>
      </c>
      <c r="C1169" t="s">
        <v>4133</v>
      </c>
      <c r="D1169" t="s">
        <v>463</v>
      </c>
      <c r="E1169">
        <v>72</v>
      </c>
      <c r="F1169">
        <v>500.94</v>
      </c>
      <c r="G1169">
        <v>6.96</v>
      </c>
    </row>
    <row r="1170" spans="1:7" x14ac:dyDescent="0.3">
      <c r="A1170" t="s">
        <v>568</v>
      </c>
      <c r="B1170">
        <v>20597</v>
      </c>
      <c r="C1170" t="s">
        <v>4157</v>
      </c>
      <c r="D1170" t="s">
        <v>463</v>
      </c>
      <c r="E1170">
        <v>1</v>
      </c>
      <c r="F1170">
        <v>42.35</v>
      </c>
      <c r="G1170">
        <v>42.35</v>
      </c>
    </row>
    <row r="1171" spans="1:7" x14ac:dyDescent="0.3">
      <c r="A1171" t="s">
        <v>568</v>
      </c>
      <c r="B1171">
        <v>23171</v>
      </c>
      <c r="C1171" t="s">
        <v>4132</v>
      </c>
      <c r="D1171" t="s">
        <v>463</v>
      </c>
      <c r="E1171">
        <v>24.3</v>
      </c>
      <c r="F1171">
        <v>229.52</v>
      </c>
      <c r="G1171">
        <v>9.4499999999999993</v>
      </c>
    </row>
    <row r="1172" spans="1:7" x14ac:dyDescent="0.3">
      <c r="A1172" t="s">
        <v>568</v>
      </c>
      <c r="B1172">
        <v>24484</v>
      </c>
      <c r="C1172" t="s">
        <v>4154</v>
      </c>
      <c r="D1172" t="s">
        <v>463</v>
      </c>
      <c r="E1172">
        <v>1.75</v>
      </c>
      <c r="F1172">
        <v>22.16</v>
      </c>
      <c r="G1172">
        <v>12.66</v>
      </c>
    </row>
    <row r="1173" spans="1:7" x14ac:dyDescent="0.3">
      <c r="A1173" t="s">
        <v>568</v>
      </c>
      <c r="B1173">
        <v>17362</v>
      </c>
      <c r="C1173" t="s">
        <v>4278</v>
      </c>
      <c r="D1173" t="s">
        <v>463</v>
      </c>
      <c r="E1173">
        <v>2</v>
      </c>
      <c r="F1173">
        <v>99.94</v>
      </c>
      <c r="G1173">
        <v>49.97</v>
      </c>
    </row>
    <row r="1174" spans="1:7" x14ac:dyDescent="0.3">
      <c r="A1174" t="s">
        <v>568</v>
      </c>
      <c r="B1174">
        <v>17066</v>
      </c>
      <c r="C1174" t="s">
        <v>4155</v>
      </c>
      <c r="D1174" t="s">
        <v>463</v>
      </c>
      <c r="E1174">
        <v>4</v>
      </c>
      <c r="F1174">
        <v>80.62</v>
      </c>
      <c r="G1174">
        <v>20.16</v>
      </c>
    </row>
    <row r="1175" spans="1:7" x14ac:dyDescent="0.3">
      <c r="A1175" t="s">
        <v>568</v>
      </c>
      <c r="B1175">
        <v>26928</v>
      </c>
      <c r="C1175" t="s">
        <v>4357</v>
      </c>
      <c r="D1175" t="s">
        <v>463</v>
      </c>
      <c r="E1175">
        <v>1</v>
      </c>
      <c r="F1175">
        <v>9.5399999999999991</v>
      </c>
      <c r="G1175">
        <v>9.5399999999999991</v>
      </c>
    </row>
    <row r="1176" spans="1:7" x14ac:dyDescent="0.3">
      <c r="A1176" t="s">
        <v>568</v>
      </c>
      <c r="B1176">
        <v>17119</v>
      </c>
      <c r="C1176" t="s">
        <v>4244</v>
      </c>
      <c r="D1176" t="s">
        <v>463</v>
      </c>
      <c r="E1176">
        <v>1</v>
      </c>
      <c r="F1176">
        <v>9.5399999999999991</v>
      </c>
      <c r="G1176">
        <v>9.5399999999999991</v>
      </c>
    </row>
    <row r="1177" spans="1:7" x14ac:dyDescent="0.3">
      <c r="A1177" t="s">
        <v>568</v>
      </c>
      <c r="B1177">
        <v>20949</v>
      </c>
      <c r="C1177" t="s">
        <v>3983</v>
      </c>
      <c r="D1177" t="s">
        <v>463</v>
      </c>
      <c r="E1177">
        <v>6</v>
      </c>
      <c r="F1177">
        <v>47.76</v>
      </c>
      <c r="G1177">
        <v>7.96</v>
      </c>
    </row>
    <row r="1178" spans="1:7" x14ac:dyDescent="0.3">
      <c r="A1178" t="s">
        <v>568</v>
      </c>
      <c r="B1178">
        <v>18179</v>
      </c>
      <c r="C1178" t="s">
        <v>3995</v>
      </c>
      <c r="D1178" t="s">
        <v>463</v>
      </c>
      <c r="E1178">
        <v>2</v>
      </c>
      <c r="F1178">
        <v>224.1</v>
      </c>
      <c r="G1178">
        <v>112.05</v>
      </c>
    </row>
    <row r="1179" spans="1:7" x14ac:dyDescent="0.3">
      <c r="A1179" t="s">
        <v>568</v>
      </c>
      <c r="B1179">
        <v>18172</v>
      </c>
      <c r="C1179" t="s">
        <v>3923</v>
      </c>
      <c r="D1179" t="s">
        <v>463</v>
      </c>
      <c r="E1179">
        <v>18</v>
      </c>
      <c r="F1179">
        <v>565.32000000000005</v>
      </c>
      <c r="G1179">
        <v>31.41</v>
      </c>
    </row>
    <row r="1180" spans="1:7" x14ac:dyDescent="0.3">
      <c r="A1180" t="s">
        <v>568</v>
      </c>
      <c r="B1180">
        <v>19787</v>
      </c>
      <c r="C1180" t="s">
        <v>3940</v>
      </c>
      <c r="D1180" t="s">
        <v>462</v>
      </c>
      <c r="E1180">
        <v>29.4</v>
      </c>
      <c r="F1180">
        <v>145.65</v>
      </c>
      <c r="G1180">
        <v>4.95</v>
      </c>
    </row>
    <row r="1181" spans="1:7" x14ac:dyDescent="0.3">
      <c r="A1181" t="s">
        <v>568</v>
      </c>
      <c r="B1181">
        <v>27475</v>
      </c>
      <c r="C1181" t="s">
        <v>4162</v>
      </c>
      <c r="D1181" t="s">
        <v>462</v>
      </c>
      <c r="E1181">
        <v>2</v>
      </c>
      <c r="F1181">
        <v>38.4</v>
      </c>
      <c r="G1181">
        <v>19.2</v>
      </c>
    </row>
    <row r="1182" spans="1:7" x14ac:dyDescent="0.3">
      <c r="A1182" t="s">
        <v>568</v>
      </c>
      <c r="B1182">
        <v>21093</v>
      </c>
      <c r="C1182" t="s">
        <v>3903</v>
      </c>
      <c r="D1182" t="s">
        <v>462</v>
      </c>
      <c r="E1182">
        <v>30</v>
      </c>
      <c r="F1182">
        <v>132.69999999999999</v>
      </c>
      <c r="G1182">
        <v>4.42</v>
      </c>
    </row>
    <row r="1183" spans="1:7" x14ac:dyDescent="0.3">
      <c r="A1183" t="s">
        <v>568</v>
      </c>
      <c r="B1183">
        <v>19458</v>
      </c>
      <c r="C1183" t="s">
        <v>4212</v>
      </c>
      <c r="D1183" t="s">
        <v>462</v>
      </c>
      <c r="E1183">
        <v>3</v>
      </c>
      <c r="F1183">
        <v>47.75</v>
      </c>
      <c r="G1183">
        <v>15.92</v>
      </c>
    </row>
    <row r="1184" spans="1:7" x14ac:dyDescent="0.3">
      <c r="A1184" t="s">
        <v>568</v>
      </c>
      <c r="B1184">
        <v>17950</v>
      </c>
      <c r="C1184" t="s">
        <v>4170</v>
      </c>
      <c r="D1184" t="s">
        <v>462</v>
      </c>
      <c r="E1184">
        <v>25</v>
      </c>
      <c r="F1184">
        <v>467.5</v>
      </c>
      <c r="G1184">
        <v>18.7</v>
      </c>
    </row>
    <row r="1185" spans="1:7" x14ac:dyDescent="0.3">
      <c r="A1185" t="s">
        <v>568</v>
      </c>
      <c r="B1185">
        <v>17958</v>
      </c>
      <c r="C1185" t="s">
        <v>4141</v>
      </c>
      <c r="D1185" t="s">
        <v>462</v>
      </c>
      <c r="E1185">
        <v>20</v>
      </c>
      <c r="F1185">
        <v>354</v>
      </c>
      <c r="G1185">
        <v>17.7</v>
      </c>
    </row>
    <row r="1186" spans="1:7" x14ac:dyDescent="0.3">
      <c r="A1186" t="s">
        <v>568</v>
      </c>
      <c r="B1186">
        <v>17959</v>
      </c>
      <c r="C1186" t="s">
        <v>4383</v>
      </c>
      <c r="D1186" t="s">
        <v>462</v>
      </c>
      <c r="E1186">
        <v>10</v>
      </c>
      <c r="F1186">
        <v>177</v>
      </c>
      <c r="G1186">
        <v>17.7</v>
      </c>
    </row>
    <row r="1187" spans="1:7" x14ac:dyDescent="0.3">
      <c r="A1187" t="s">
        <v>568</v>
      </c>
      <c r="B1187">
        <v>17314</v>
      </c>
      <c r="C1187" t="s">
        <v>4204</v>
      </c>
      <c r="D1187" t="s">
        <v>462</v>
      </c>
      <c r="E1187">
        <v>8</v>
      </c>
      <c r="F1187">
        <v>48.38</v>
      </c>
      <c r="G1187">
        <v>6.05</v>
      </c>
    </row>
    <row r="1188" spans="1:7" x14ac:dyDescent="0.3">
      <c r="A1188" t="s">
        <v>568</v>
      </c>
      <c r="B1188">
        <v>20757</v>
      </c>
      <c r="C1188" t="s">
        <v>4050</v>
      </c>
      <c r="D1188" t="s">
        <v>462</v>
      </c>
      <c r="E1188">
        <v>1</v>
      </c>
      <c r="F1188">
        <v>78.3</v>
      </c>
      <c r="G1188">
        <v>78.3</v>
      </c>
    </row>
    <row r="1189" spans="1:7" x14ac:dyDescent="0.3">
      <c r="A1189" t="s">
        <v>568</v>
      </c>
      <c r="B1189">
        <v>19506</v>
      </c>
      <c r="C1189" t="s">
        <v>4112</v>
      </c>
      <c r="D1189" t="s">
        <v>462</v>
      </c>
      <c r="E1189">
        <v>1.7</v>
      </c>
      <c r="F1189">
        <v>67.8</v>
      </c>
      <c r="G1189">
        <v>39.880000000000003</v>
      </c>
    </row>
    <row r="1190" spans="1:7" x14ac:dyDescent="0.3">
      <c r="A1190" t="s">
        <v>568</v>
      </c>
      <c r="B1190">
        <v>19505</v>
      </c>
      <c r="C1190" t="s">
        <v>4101</v>
      </c>
      <c r="D1190" t="s">
        <v>462</v>
      </c>
      <c r="E1190">
        <v>8.5</v>
      </c>
      <c r="F1190">
        <v>126.62</v>
      </c>
      <c r="G1190">
        <v>14.9</v>
      </c>
    </row>
    <row r="1191" spans="1:7" x14ac:dyDescent="0.3">
      <c r="A1191" t="s">
        <v>568</v>
      </c>
      <c r="B1191">
        <v>23142</v>
      </c>
      <c r="C1191" t="s">
        <v>4151</v>
      </c>
      <c r="D1191" t="s">
        <v>462</v>
      </c>
      <c r="E1191">
        <v>8</v>
      </c>
      <c r="F1191">
        <v>200</v>
      </c>
      <c r="G1191">
        <v>25</v>
      </c>
    </row>
    <row r="1192" spans="1:7" x14ac:dyDescent="0.3">
      <c r="A1192" t="s">
        <v>568</v>
      </c>
      <c r="B1192">
        <v>19498</v>
      </c>
      <c r="C1192" t="s">
        <v>4065</v>
      </c>
      <c r="D1192" t="s">
        <v>462</v>
      </c>
      <c r="E1192">
        <v>7.4</v>
      </c>
      <c r="F1192">
        <v>136.22</v>
      </c>
      <c r="G1192">
        <v>18.41</v>
      </c>
    </row>
    <row r="1193" spans="1:7" x14ac:dyDescent="0.3">
      <c r="A1193" t="s">
        <v>568</v>
      </c>
      <c r="B1193">
        <v>19652</v>
      </c>
      <c r="C1193" t="s">
        <v>4014</v>
      </c>
      <c r="D1193" t="s">
        <v>462</v>
      </c>
      <c r="E1193">
        <v>1.25</v>
      </c>
      <c r="F1193">
        <v>20.85</v>
      </c>
      <c r="G1193">
        <v>16.68</v>
      </c>
    </row>
    <row r="1194" spans="1:7" x14ac:dyDescent="0.3">
      <c r="A1194" t="s">
        <v>568</v>
      </c>
      <c r="B1194">
        <v>19647</v>
      </c>
      <c r="C1194" t="s">
        <v>4066</v>
      </c>
      <c r="D1194" t="s">
        <v>462</v>
      </c>
      <c r="E1194">
        <v>2.2000000000000002</v>
      </c>
      <c r="F1194">
        <v>27.66</v>
      </c>
      <c r="G1194">
        <v>12.57</v>
      </c>
    </row>
    <row r="1195" spans="1:7" x14ac:dyDescent="0.3">
      <c r="A1195" t="s">
        <v>568</v>
      </c>
      <c r="B1195">
        <v>24037</v>
      </c>
      <c r="C1195" t="s">
        <v>4104</v>
      </c>
      <c r="D1195" t="s">
        <v>462</v>
      </c>
      <c r="E1195">
        <v>16</v>
      </c>
      <c r="F1195">
        <v>312</v>
      </c>
      <c r="G1195">
        <v>19.5</v>
      </c>
    </row>
    <row r="1196" spans="1:7" x14ac:dyDescent="0.3">
      <c r="A1196" t="s">
        <v>568</v>
      </c>
      <c r="B1196">
        <v>28731</v>
      </c>
      <c r="C1196" t="s">
        <v>4380</v>
      </c>
      <c r="D1196" t="s">
        <v>462</v>
      </c>
      <c r="E1196">
        <v>15.3</v>
      </c>
      <c r="F1196">
        <v>933.3</v>
      </c>
      <c r="G1196">
        <v>61</v>
      </c>
    </row>
    <row r="1197" spans="1:7" x14ac:dyDescent="0.3">
      <c r="A1197" t="s">
        <v>568</v>
      </c>
      <c r="B1197">
        <v>18550</v>
      </c>
      <c r="C1197" t="s">
        <v>4083</v>
      </c>
      <c r="D1197" t="s">
        <v>462</v>
      </c>
      <c r="E1197">
        <v>1</v>
      </c>
      <c r="F1197">
        <v>183</v>
      </c>
      <c r="G1197">
        <v>183</v>
      </c>
    </row>
    <row r="1198" spans="1:7" x14ac:dyDescent="0.3">
      <c r="A1198" t="s">
        <v>568</v>
      </c>
      <c r="B1198">
        <v>18545</v>
      </c>
      <c r="C1198" t="s">
        <v>4099</v>
      </c>
      <c r="D1198" t="s">
        <v>462</v>
      </c>
      <c r="E1198">
        <v>3</v>
      </c>
      <c r="F1198">
        <v>143.69999999999999</v>
      </c>
      <c r="G1198">
        <v>47.9</v>
      </c>
    </row>
    <row r="1199" spans="1:7" x14ac:dyDescent="0.3">
      <c r="A1199" t="s">
        <v>568</v>
      </c>
      <c r="B1199">
        <v>18538</v>
      </c>
      <c r="C1199" t="s">
        <v>4026</v>
      </c>
      <c r="D1199" t="s">
        <v>462</v>
      </c>
      <c r="E1199">
        <v>3</v>
      </c>
      <c r="F1199">
        <v>314.7</v>
      </c>
      <c r="G1199">
        <v>104.9</v>
      </c>
    </row>
    <row r="1200" spans="1:7" x14ac:dyDescent="0.3">
      <c r="A1200" t="s">
        <v>568</v>
      </c>
      <c r="B1200">
        <v>20301</v>
      </c>
      <c r="C1200" t="s">
        <v>4161</v>
      </c>
      <c r="D1200" t="s">
        <v>462</v>
      </c>
      <c r="E1200">
        <v>16</v>
      </c>
      <c r="F1200">
        <v>302.39999999999998</v>
      </c>
      <c r="G1200">
        <v>18.899999999999999</v>
      </c>
    </row>
    <row r="1201" spans="1:7" x14ac:dyDescent="0.3">
      <c r="A1201" t="s">
        <v>568</v>
      </c>
      <c r="B1201">
        <v>20304</v>
      </c>
      <c r="C1201" t="s">
        <v>3938</v>
      </c>
      <c r="D1201" t="s">
        <v>462</v>
      </c>
      <c r="E1201">
        <v>6</v>
      </c>
      <c r="F1201">
        <v>226.8</v>
      </c>
      <c r="G1201">
        <v>37.799999999999997</v>
      </c>
    </row>
    <row r="1202" spans="1:7" x14ac:dyDescent="0.3">
      <c r="A1202" t="s">
        <v>568</v>
      </c>
      <c r="B1202">
        <v>21783</v>
      </c>
      <c r="C1202" t="s">
        <v>4228</v>
      </c>
      <c r="D1202" t="s">
        <v>462</v>
      </c>
      <c r="E1202">
        <v>2</v>
      </c>
      <c r="F1202">
        <v>25</v>
      </c>
      <c r="G1202">
        <v>12.5</v>
      </c>
    </row>
    <row r="1203" spans="1:7" x14ac:dyDescent="0.3">
      <c r="A1203" t="s">
        <v>568</v>
      </c>
      <c r="B1203">
        <v>21030</v>
      </c>
      <c r="C1203" t="s">
        <v>3890</v>
      </c>
      <c r="D1203" t="s">
        <v>462</v>
      </c>
      <c r="E1203">
        <v>34</v>
      </c>
      <c r="F1203">
        <v>648.04</v>
      </c>
      <c r="G1203">
        <v>19.059999999999999</v>
      </c>
    </row>
    <row r="1204" spans="1:7" x14ac:dyDescent="0.3">
      <c r="A1204" t="s">
        <v>568</v>
      </c>
      <c r="B1204">
        <v>23982</v>
      </c>
      <c r="C1204" t="s">
        <v>3977</v>
      </c>
      <c r="D1204" t="s">
        <v>462</v>
      </c>
      <c r="E1204">
        <v>2</v>
      </c>
      <c r="F1204">
        <v>481.18</v>
      </c>
      <c r="G1204">
        <v>240.59</v>
      </c>
    </row>
    <row r="1205" spans="1:7" x14ac:dyDescent="0.3">
      <c r="A1205" t="s">
        <v>568</v>
      </c>
      <c r="B1205">
        <v>20752</v>
      </c>
      <c r="C1205" t="s">
        <v>3964</v>
      </c>
      <c r="D1205" t="s">
        <v>462</v>
      </c>
      <c r="E1205">
        <v>13</v>
      </c>
      <c r="F1205">
        <v>1346.9</v>
      </c>
      <c r="G1205">
        <v>103.61</v>
      </c>
    </row>
    <row r="1206" spans="1:7" x14ac:dyDescent="0.3">
      <c r="A1206" t="s">
        <v>568</v>
      </c>
      <c r="B1206">
        <v>20729</v>
      </c>
      <c r="C1206" t="s">
        <v>3965</v>
      </c>
      <c r="D1206" t="s">
        <v>462</v>
      </c>
      <c r="E1206">
        <v>8</v>
      </c>
      <c r="F1206">
        <v>527.04</v>
      </c>
      <c r="G1206">
        <v>65.88</v>
      </c>
    </row>
    <row r="1207" spans="1:7" x14ac:dyDescent="0.3">
      <c r="A1207" t="s">
        <v>568</v>
      </c>
      <c r="B1207">
        <v>22734</v>
      </c>
      <c r="C1207" t="s">
        <v>3955</v>
      </c>
      <c r="D1207" t="s">
        <v>462</v>
      </c>
      <c r="E1207">
        <v>35.6</v>
      </c>
      <c r="F1207">
        <v>3524.4</v>
      </c>
      <c r="G1207">
        <v>99</v>
      </c>
    </row>
    <row r="1208" spans="1:7" x14ac:dyDescent="0.3">
      <c r="A1208" t="s">
        <v>568</v>
      </c>
      <c r="B1208">
        <v>24072</v>
      </c>
      <c r="C1208" t="s">
        <v>4002</v>
      </c>
      <c r="D1208" t="s">
        <v>462</v>
      </c>
      <c r="E1208">
        <v>9.6999999999999993</v>
      </c>
      <c r="F1208">
        <v>2134</v>
      </c>
      <c r="G1208">
        <v>220</v>
      </c>
    </row>
    <row r="1209" spans="1:7" x14ac:dyDescent="0.3">
      <c r="A1209" t="s">
        <v>568</v>
      </c>
      <c r="B1209">
        <v>22721</v>
      </c>
      <c r="C1209" t="s">
        <v>4221</v>
      </c>
      <c r="D1209" t="s">
        <v>462</v>
      </c>
      <c r="E1209">
        <v>8.8800000000000008</v>
      </c>
      <c r="F1209">
        <v>251.3</v>
      </c>
      <c r="G1209">
        <v>28.3</v>
      </c>
    </row>
    <row r="1210" spans="1:7" x14ac:dyDescent="0.3">
      <c r="A1210" t="s">
        <v>568</v>
      </c>
      <c r="B1210">
        <v>23389</v>
      </c>
      <c r="C1210" t="s">
        <v>4016</v>
      </c>
      <c r="D1210" t="s">
        <v>462</v>
      </c>
      <c r="E1210">
        <v>38</v>
      </c>
      <c r="F1210">
        <v>203.75</v>
      </c>
      <c r="G1210">
        <v>5.36</v>
      </c>
    </row>
    <row r="1211" spans="1:7" x14ac:dyDescent="0.3">
      <c r="A1211" t="s">
        <v>568</v>
      </c>
      <c r="B1211">
        <v>28559</v>
      </c>
      <c r="C1211" t="s">
        <v>4301</v>
      </c>
      <c r="D1211" t="s">
        <v>462</v>
      </c>
      <c r="E1211">
        <v>1</v>
      </c>
      <c r="F1211">
        <v>237</v>
      </c>
      <c r="G1211">
        <v>237</v>
      </c>
    </row>
    <row r="1212" spans="1:7" x14ac:dyDescent="0.3">
      <c r="A1212" t="s">
        <v>568</v>
      </c>
      <c r="B1212">
        <v>28719</v>
      </c>
      <c r="C1212" t="s">
        <v>4375</v>
      </c>
      <c r="D1212" t="s">
        <v>462</v>
      </c>
      <c r="E1212">
        <v>1</v>
      </c>
      <c r="F1212">
        <v>437</v>
      </c>
      <c r="G1212">
        <v>437</v>
      </c>
    </row>
    <row r="1213" spans="1:7" x14ac:dyDescent="0.3">
      <c r="A1213" t="s">
        <v>568</v>
      </c>
      <c r="B1213">
        <v>24083</v>
      </c>
      <c r="C1213" t="s">
        <v>3898</v>
      </c>
      <c r="D1213" t="s">
        <v>462</v>
      </c>
      <c r="E1213">
        <v>140.30000000000001</v>
      </c>
      <c r="F1213">
        <v>569.07000000000005</v>
      </c>
      <c r="G1213">
        <v>4.0599999999999996</v>
      </c>
    </row>
    <row r="1214" spans="1:7" x14ac:dyDescent="0.3">
      <c r="A1214" t="s">
        <v>568</v>
      </c>
      <c r="B1214">
        <v>20278</v>
      </c>
      <c r="C1214" t="s">
        <v>3939</v>
      </c>
      <c r="D1214" t="s">
        <v>462</v>
      </c>
      <c r="E1214">
        <v>10</v>
      </c>
      <c r="F1214">
        <v>332.7</v>
      </c>
      <c r="G1214">
        <v>33.270000000000003</v>
      </c>
    </row>
    <row r="1215" spans="1:7" x14ac:dyDescent="0.3">
      <c r="A1215" t="s">
        <v>568</v>
      </c>
      <c r="B1215">
        <v>19642</v>
      </c>
      <c r="C1215" t="s">
        <v>4067</v>
      </c>
      <c r="D1215" t="s">
        <v>462</v>
      </c>
      <c r="E1215">
        <v>3.36</v>
      </c>
      <c r="F1215">
        <v>17.16</v>
      </c>
      <c r="G1215">
        <v>5.1100000000000003</v>
      </c>
    </row>
    <row r="1216" spans="1:7" x14ac:dyDescent="0.3">
      <c r="A1216" t="s">
        <v>568</v>
      </c>
      <c r="B1216">
        <v>20287</v>
      </c>
      <c r="C1216" t="s">
        <v>4053</v>
      </c>
      <c r="D1216" t="s">
        <v>462</v>
      </c>
      <c r="E1216">
        <v>1</v>
      </c>
      <c r="F1216">
        <v>24.85</v>
      </c>
      <c r="G1216">
        <v>24.85</v>
      </c>
    </row>
    <row r="1217" spans="1:7" x14ac:dyDescent="0.3">
      <c r="A1217" t="s">
        <v>568</v>
      </c>
      <c r="B1217">
        <v>19634</v>
      </c>
      <c r="C1217" t="s">
        <v>4068</v>
      </c>
      <c r="D1217" t="s">
        <v>462</v>
      </c>
      <c r="E1217">
        <v>6.15</v>
      </c>
      <c r="F1217">
        <v>44.23</v>
      </c>
      <c r="G1217">
        <v>7.19</v>
      </c>
    </row>
    <row r="1218" spans="1:7" x14ac:dyDescent="0.3">
      <c r="A1218" t="s">
        <v>568</v>
      </c>
      <c r="B1218">
        <v>18696</v>
      </c>
      <c r="C1218" t="s">
        <v>3956</v>
      </c>
      <c r="D1218" t="s">
        <v>462</v>
      </c>
      <c r="E1218">
        <v>15.2</v>
      </c>
      <c r="F1218">
        <v>273.45</v>
      </c>
      <c r="G1218">
        <v>17.989999999999998</v>
      </c>
    </row>
    <row r="1219" spans="1:7" x14ac:dyDescent="0.3">
      <c r="A1219" t="s">
        <v>568</v>
      </c>
      <c r="B1219">
        <v>17381</v>
      </c>
      <c r="C1219" t="s">
        <v>4247</v>
      </c>
      <c r="D1219" t="s">
        <v>462</v>
      </c>
      <c r="E1219">
        <v>1</v>
      </c>
      <c r="F1219">
        <v>42</v>
      </c>
      <c r="G1219">
        <v>42</v>
      </c>
    </row>
    <row r="1220" spans="1:7" x14ac:dyDescent="0.3">
      <c r="A1220" t="s">
        <v>568</v>
      </c>
      <c r="B1220">
        <v>17573</v>
      </c>
      <c r="C1220" t="s">
        <v>4306</v>
      </c>
      <c r="D1220" t="s">
        <v>462</v>
      </c>
      <c r="E1220">
        <v>1</v>
      </c>
      <c r="F1220">
        <v>74.900000000000006</v>
      </c>
      <c r="G1220">
        <v>74.900000000000006</v>
      </c>
    </row>
    <row r="1221" spans="1:7" x14ac:dyDescent="0.3">
      <c r="A1221" t="s">
        <v>568</v>
      </c>
      <c r="B1221">
        <v>21587</v>
      </c>
      <c r="C1221" t="s">
        <v>4249</v>
      </c>
      <c r="D1221" t="s">
        <v>462</v>
      </c>
      <c r="E1221">
        <v>6</v>
      </c>
      <c r="F1221">
        <v>53.4</v>
      </c>
      <c r="G1221">
        <v>8.9</v>
      </c>
    </row>
    <row r="1222" spans="1:7" x14ac:dyDescent="0.3">
      <c r="A1222" t="s">
        <v>568</v>
      </c>
      <c r="B1222">
        <v>19494</v>
      </c>
      <c r="C1222" t="s">
        <v>4126</v>
      </c>
      <c r="D1222" t="s">
        <v>462</v>
      </c>
      <c r="E1222">
        <v>8.1999999999999993</v>
      </c>
      <c r="F1222">
        <v>170.99</v>
      </c>
      <c r="G1222">
        <v>20.85</v>
      </c>
    </row>
    <row r="1223" spans="1:7" x14ac:dyDescent="0.3">
      <c r="A1223" t="s">
        <v>568</v>
      </c>
      <c r="B1223">
        <v>18450</v>
      </c>
      <c r="C1223" t="s">
        <v>4253</v>
      </c>
      <c r="D1223" t="s">
        <v>462</v>
      </c>
      <c r="E1223">
        <v>60</v>
      </c>
      <c r="F1223">
        <v>2280</v>
      </c>
      <c r="G1223">
        <v>38</v>
      </c>
    </row>
    <row r="1224" spans="1:7" x14ac:dyDescent="0.3">
      <c r="A1224" t="s">
        <v>568</v>
      </c>
      <c r="B1224">
        <v>18493</v>
      </c>
      <c r="C1224" t="s">
        <v>3958</v>
      </c>
      <c r="D1224" t="s">
        <v>462</v>
      </c>
      <c r="E1224">
        <v>4</v>
      </c>
      <c r="F1224">
        <v>279.60000000000002</v>
      </c>
      <c r="G1224">
        <v>69.900000000000006</v>
      </c>
    </row>
    <row r="1225" spans="1:7" x14ac:dyDescent="0.3">
      <c r="A1225" t="s">
        <v>568</v>
      </c>
      <c r="B1225">
        <v>18475</v>
      </c>
      <c r="C1225" t="s">
        <v>3918</v>
      </c>
      <c r="D1225" t="s">
        <v>462</v>
      </c>
      <c r="E1225">
        <v>12</v>
      </c>
      <c r="F1225">
        <v>394.8</v>
      </c>
      <c r="G1225">
        <v>32.9</v>
      </c>
    </row>
    <row r="1226" spans="1:7" x14ac:dyDescent="0.3">
      <c r="A1226" t="s">
        <v>568</v>
      </c>
      <c r="B1226">
        <v>18447</v>
      </c>
      <c r="C1226" t="s">
        <v>4027</v>
      </c>
      <c r="D1226" t="s">
        <v>462</v>
      </c>
      <c r="E1226">
        <v>12</v>
      </c>
      <c r="F1226">
        <v>149.88</v>
      </c>
      <c r="G1226">
        <v>12.49</v>
      </c>
    </row>
    <row r="1227" spans="1:7" x14ac:dyDescent="0.3">
      <c r="A1227" t="s">
        <v>568</v>
      </c>
      <c r="B1227">
        <v>18467</v>
      </c>
      <c r="C1227" t="s">
        <v>4028</v>
      </c>
      <c r="D1227" t="s">
        <v>462</v>
      </c>
      <c r="E1227">
        <v>2</v>
      </c>
      <c r="F1227">
        <v>151.80000000000001</v>
      </c>
      <c r="G1227">
        <v>75.900000000000006</v>
      </c>
    </row>
    <row r="1228" spans="1:7" x14ac:dyDescent="0.3">
      <c r="A1228" t="s">
        <v>568</v>
      </c>
      <c r="B1228">
        <v>16974</v>
      </c>
      <c r="C1228" t="s">
        <v>3996</v>
      </c>
      <c r="D1228" t="s">
        <v>462</v>
      </c>
      <c r="E1228">
        <v>11</v>
      </c>
      <c r="F1228">
        <v>1485</v>
      </c>
      <c r="G1228">
        <v>135</v>
      </c>
    </row>
    <row r="1229" spans="1:7" x14ac:dyDescent="0.3">
      <c r="A1229" t="s">
        <v>568</v>
      </c>
      <c r="B1229">
        <v>20809</v>
      </c>
      <c r="C1229" t="s">
        <v>4005</v>
      </c>
      <c r="D1229" t="s">
        <v>462</v>
      </c>
      <c r="E1229">
        <v>4</v>
      </c>
      <c r="F1229">
        <v>123.4</v>
      </c>
      <c r="G1229">
        <v>30.85</v>
      </c>
    </row>
    <row r="1230" spans="1:7" x14ac:dyDescent="0.3">
      <c r="A1230" t="s">
        <v>568</v>
      </c>
      <c r="B1230">
        <v>23385</v>
      </c>
      <c r="C1230" t="s">
        <v>4069</v>
      </c>
      <c r="D1230" t="s">
        <v>462</v>
      </c>
      <c r="E1230">
        <v>1.2</v>
      </c>
      <c r="F1230">
        <v>42</v>
      </c>
      <c r="G1230">
        <v>35</v>
      </c>
    </row>
    <row r="1231" spans="1:7" x14ac:dyDescent="0.3">
      <c r="A1231" t="s">
        <v>568</v>
      </c>
      <c r="B1231">
        <v>20077</v>
      </c>
      <c r="C1231" t="s">
        <v>4054</v>
      </c>
      <c r="D1231" t="s">
        <v>462</v>
      </c>
      <c r="E1231">
        <v>3</v>
      </c>
      <c r="F1231">
        <v>49.05</v>
      </c>
      <c r="G1231">
        <v>16.350000000000001</v>
      </c>
    </row>
    <row r="1232" spans="1:7" x14ac:dyDescent="0.3">
      <c r="A1232" t="s">
        <v>568</v>
      </c>
      <c r="B1232">
        <v>19773</v>
      </c>
      <c r="C1232" t="s">
        <v>4168</v>
      </c>
      <c r="D1232" t="s">
        <v>462</v>
      </c>
      <c r="E1232">
        <v>2</v>
      </c>
      <c r="F1232">
        <v>37</v>
      </c>
      <c r="G1232">
        <v>18.5</v>
      </c>
    </row>
    <row r="1233" spans="1:7" x14ac:dyDescent="0.3">
      <c r="A1233" t="s">
        <v>568</v>
      </c>
      <c r="B1233">
        <v>28212</v>
      </c>
      <c r="C1233" t="s">
        <v>4156</v>
      </c>
      <c r="D1233" t="s">
        <v>462</v>
      </c>
      <c r="E1233">
        <v>10.199999999999999</v>
      </c>
      <c r="F1233">
        <v>448.8</v>
      </c>
      <c r="G1233">
        <v>44</v>
      </c>
    </row>
    <row r="1234" spans="1:7" x14ac:dyDescent="0.3">
      <c r="A1234" t="s">
        <v>568</v>
      </c>
      <c r="B1234">
        <v>24116</v>
      </c>
      <c r="C1234" t="s">
        <v>3963</v>
      </c>
      <c r="D1234" t="s">
        <v>462</v>
      </c>
      <c r="E1234">
        <v>5</v>
      </c>
      <c r="F1234">
        <v>209.5</v>
      </c>
      <c r="G1234">
        <v>41.9</v>
      </c>
    </row>
    <row r="1235" spans="1:7" x14ac:dyDescent="0.3">
      <c r="A1235" t="s">
        <v>568</v>
      </c>
      <c r="B1235">
        <v>24509</v>
      </c>
      <c r="C1235" t="s">
        <v>3906</v>
      </c>
      <c r="D1235" t="s">
        <v>462</v>
      </c>
      <c r="E1235">
        <v>26</v>
      </c>
      <c r="F1235">
        <v>50.8</v>
      </c>
      <c r="G1235">
        <v>1.95</v>
      </c>
    </row>
    <row r="1236" spans="1:7" x14ac:dyDescent="0.3">
      <c r="A1236" t="s">
        <v>568</v>
      </c>
      <c r="B1236">
        <v>19623</v>
      </c>
      <c r="C1236" t="s">
        <v>3984</v>
      </c>
      <c r="D1236" t="s">
        <v>462</v>
      </c>
      <c r="E1236">
        <v>12</v>
      </c>
      <c r="F1236">
        <v>44.55</v>
      </c>
      <c r="G1236">
        <v>3.71</v>
      </c>
    </row>
    <row r="1237" spans="1:7" x14ac:dyDescent="0.3">
      <c r="A1237" t="s">
        <v>568</v>
      </c>
      <c r="B1237">
        <v>20717</v>
      </c>
      <c r="C1237" t="s">
        <v>4055</v>
      </c>
      <c r="D1237" t="s">
        <v>462</v>
      </c>
      <c r="E1237">
        <v>1</v>
      </c>
      <c r="F1237">
        <v>43.1</v>
      </c>
      <c r="G1237">
        <v>43.1</v>
      </c>
    </row>
    <row r="1238" spans="1:7" x14ac:dyDescent="0.3">
      <c r="A1238" t="s">
        <v>568</v>
      </c>
      <c r="B1238">
        <v>19488</v>
      </c>
      <c r="C1238" t="s">
        <v>4070</v>
      </c>
      <c r="D1238" t="s">
        <v>462</v>
      </c>
      <c r="E1238">
        <v>0.2</v>
      </c>
      <c r="F1238">
        <v>2.6</v>
      </c>
      <c r="G1238">
        <v>13</v>
      </c>
    </row>
    <row r="1239" spans="1:7" x14ac:dyDescent="0.3">
      <c r="A1239" t="s">
        <v>568</v>
      </c>
      <c r="B1239">
        <v>19621</v>
      </c>
      <c r="C1239" t="s">
        <v>4125</v>
      </c>
      <c r="D1239" t="s">
        <v>462</v>
      </c>
      <c r="E1239">
        <v>2.4</v>
      </c>
      <c r="F1239">
        <v>7.3</v>
      </c>
      <c r="G1239">
        <v>3.04</v>
      </c>
    </row>
    <row r="1240" spans="1:7" x14ac:dyDescent="0.3">
      <c r="A1240" t="s">
        <v>568</v>
      </c>
      <c r="B1240">
        <v>18640</v>
      </c>
      <c r="C1240" t="s">
        <v>3994</v>
      </c>
      <c r="D1240" t="s">
        <v>462</v>
      </c>
      <c r="E1240">
        <v>5</v>
      </c>
      <c r="F1240">
        <v>1446.93</v>
      </c>
      <c r="G1240">
        <v>289.39</v>
      </c>
    </row>
    <row r="1241" spans="1:7" x14ac:dyDescent="0.3">
      <c r="A1241" t="s">
        <v>568</v>
      </c>
      <c r="B1241">
        <v>18636</v>
      </c>
      <c r="C1241" t="s">
        <v>3921</v>
      </c>
      <c r="D1241" t="s">
        <v>462</v>
      </c>
      <c r="E1241">
        <v>68</v>
      </c>
      <c r="F1241">
        <v>32830.400000000001</v>
      </c>
      <c r="G1241">
        <v>482.8</v>
      </c>
    </row>
    <row r="1242" spans="1:7" x14ac:dyDescent="0.3">
      <c r="A1242" t="s">
        <v>568</v>
      </c>
      <c r="B1242">
        <v>28760</v>
      </c>
      <c r="C1242" t="s">
        <v>4188</v>
      </c>
      <c r="D1242" t="s">
        <v>462</v>
      </c>
      <c r="E1242">
        <v>10.4</v>
      </c>
      <c r="F1242">
        <v>634.4</v>
      </c>
      <c r="G1242">
        <v>61</v>
      </c>
    </row>
    <row r="1243" spans="1:7" x14ac:dyDescent="0.3">
      <c r="A1243" t="s">
        <v>568</v>
      </c>
      <c r="B1243">
        <v>22857</v>
      </c>
      <c r="C1243" t="s">
        <v>4130</v>
      </c>
      <c r="D1243" t="s">
        <v>462</v>
      </c>
      <c r="E1243">
        <v>35.200000000000003</v>
      </c>
      <c r="F1243">
        <v>2408.9299999999998</v>
      </c>
      <c r="G1243">
        <v>68.44</v>
      </c>
    </row>
    <row r="1244" spans="1:7" x14ac:dyDescent="0.3">
      <c r="A1244" t="s">
        <v>568</v>
      </c>
      <c r="B1244">
        <v>19617</v>
      </c>
      <c r="C1244" t="s">
        <v>4110</v>
      </c>
      <c r="D1244" t="s">
        <v>462</v>
      </c>
      <c r="E1244">
        <v>1.1000000000000001</v>
      </c>
      <c r="F1244">
        <v>36.78</v>
      </c>
      <c r="G1244">
        <v>33.44</v>
      </c>
    </row>
    <row r="1245" spans="1:7" x14ac:dyDescent="0.3">
      <c r="A1245" t="s">
        <v>568</v>
      </c>
      <c r="B1245">
        <v>20702</v>
      </c>
      <c r="C1245" t="s">
        <v>4006</v>
      </c>
      <c r="D1245" t="s">
        <v>462</v>
      </c>
      <c r="E1245">
        <v>2</v>
      </c>
      <c r="F1245">
        <v>85.8</v>
      </c>
      <c r="G1245">
        <v>42.9</v>
      </c>
    </row>
    <row r="1246" spans="1:7" x14ac:dyDescent="0.3">
      <c r="A1246" t="s">
        <v>568</v>
      </c>
      <c r="B1246">
        <v>24185</v>
      </c>
      <c r="C1246" t="s">
        <v>4040</v>
      </c>
      <c r="D1246" t="s">
        <v>462</v>
      </c>
      <c r="E1246">
        <v>2</v>
      </c>
      <c r="F1246">
        <v>46.2</v>
      </c>
      <c r="G1246">
        <v>23.1</v>
      </c>
    </row>
    <row r="1247" spans="1:7" x14ac:dyDescent="0.3">
      <c r="A1247" t="s">
        <v>568</v>
      </c>
      <c r="B1247">
        <v>28861</v>
      </c>
      <c r="C1247" t="s">
        <v>4372</v>
      </c>
      <c r="D1247" t="s">
        <v>462</v>
      </c>
      <c r="E1247">
        <v>3</v>
      </c>
      <c r="F1247">
        <v>2889</v>
      </c>
      <c r="G1247">
        <v>963</v>
      </c>
    </row>
    <row r="1248" spans="1:7" x14ac:dyDescent="0.3">
      <c r="A1248" t="s">
        <v>568</v>
      </c>
      <c r="B1248">
        <v>28865</v>
      </c>
      <c r="C1248" t="s">
        <v>4363</v>
      </c>
      <c r="D1248" t="s">
        <v>462</v>
      </c>
      <c r="E1248">
        <v>2</v>
      </c>
      <c r="F1248">
        <v>1090</v>
      </c>
      <c r="G1248">
        <v>545</v>
      </c>
    </row>
    <row r="1249" spans="1:7" x14ac:dyDescent="0.3">
      <c r="A1249" t="s">
        <v>568</v>
      </c>
      <c r="B1249">
        <v>20555</v>
      </c>
      <c r="C1249" t="s">
        <v>3959</v>
      </c>
      <c r="D1249" t="s">
        <v>462</v>
      </c>
      <c r="E1249">
        <v>12.4</v>
      </c>
      <c r="F1249">
        <v>979.6</v>
      </c>
      <c r="G1249">
        <v>79</v>
      </c>
    </row>
    <row r="1250" spans="1:7" x14ac:dyDescent="0.3">
      <c r="A1250" t="s">
        <v>568</v>
      </c>
      <c r="B1250">
        <v>20549</v>
      </c>
      <c r="C1250" t="s">
        <v>4007</v>
      </c>
      <c r="D1250" t="s">
        <v>462</v>
      </c>
      <c r="E1250">
        <v>10.6</v>
      </c>
      <c r="F1250">
        <v>211.89</v>
      </c>
      <c r="G1250">
        <v>19.989999999999998</v>
      </c>
    </row>
    <row r="1251" spans="1:7" x14ac:dyDescent="0.3">
      <c r="A1251" t="s">
        <v>568</v>
      </c>
      <c r="B1251">
        <v>26990</v>
      </c>
      <c r="C1251" t="s">
        <v>4356</v>
      </c>
      <c r="D1251" t="s">
        <v>462</v>
      </c>
      <c r="E1251">
        <v>48</v>
      </c>
      <c r="F1251">
        <v>240.48</v>
      </c>
      <c r="G1251">
        <v>5.01</v>
      </c>
    </row>
    <row r="1252" spans="1:7" x14ac:dyDescent="0.3">
      <c r="A1252" t="s">
        <v>568</v>
      </c>
      <c r="B1252">
        <v>26991</v>
      </c>
      <c r="C1252" t="s">
        <v>4355</v>
      </c>
      <c r="D1252" t="s">
        <v>462</v>
      </c>
      <c r="E1252">
        <v>48</v>
      </c>
      <c r="F1252">
        <v>137.28</v>
      </c>
      <c r="G1252">
        <v>2.86</v>
      </c>
    </row>
    <row r="1253" spans="1:7" x14ac:dyDescent="0.3">
      <c r="A1253" t="s">
        <v>568</v>
      </c>
      <c r="B1253">
        <v>18933</v>
      </c>
      <c r="C1253" t="s">
        <v>3957</v>
      </c>
      <c r="D1253" t="s">
        <v>462</v>
      </c>
      <c r="E1253">
        <v>6.3</v>
      </c>
      <c r="F1253">
        <v>154.35</v>
      </c>
      <c r="G1253">
        <v>24.5</v>
      </c>
    </row>
    <row r="1254" spans="1:7" x14ac:dyDescent="0.3">
      <c r="A1254" t="s">
        <v>568</v>
      </c>
      <c r="B1254">
        <v>24200</v>
      </c>
      <c r="C1254" t="s">
        <v>3975</v>
      </c>
      <c r="D1254" t="s">
        <v>462</v>
      </c>
      <c r="E1254">
        <v>10.8</v>
      </c>
      <c r="F1254">
        <v>355.32</v>
      </c>
      <c r="G1254">
        <v>32.9</v>
      </c>
    </row>
    <row r="1255" spans="1:7" x14ac:dyDescent="0.3">
      <c r="A1255" t="s">
        <v>568</v>
      </c>
      <c r="B1255">
        <v>23236</v>
      </c>
      <c r="C1255" t="s">
        <v>4017</v>
      </c>
      <c r="D1255" t="s">
        <v>462</v>
      </c>
      <c r="E1255">
        <v>25</v>
      </c>
      <c r="F1255">
        <v>179.96</v>
      </c>
      <c r="G1255">
        <v>7.2</v>
      </c>
    </row>
    <row r="1256" spans="1:7" x14ac:dyDescent="0.3">
      <c r="A1256" t="s">
        <v>568</v>
      </c>
      <c r="B1256">
        <v>19034</v>
      </c>
      <c r="C1256" t="s">
        <v>3989</v>
      </c>
      <c r="D1256" t="s">
        <v>462</v>
      </c>
      <c r="E1256">
        <v>11.1</v>
      </c>
      <c r="F1256">
        <v>109.91</v>
      </c>
      <c r="G1256">
        <v>9.9</v>
      </c>
    </row>
    <row r="1257" spans="1:7" x14ac:dyDescent="0.3">
      <c r="A1257" t="s">
        <v>568</v>
      </c>
      <c r="B1257">
        <v>20682</v>
      </c>
      <c r="C1257" t="s">
        <v>3929</v>
      </c>
      <c r="D1257" t="s">
        <v>462</v>
      </c>
      <c r="E1257">
        <v>12</v>
      </c>
      <c r="F1257">
        <v>115.8</v>
      </c>
      <c r="G1257">
        <v>9.65</v>
      </c>
    </row>
    <row r="1258" spans="1:7" x14ac:dyDescent="0.3">
      <c r="A1258" t="s">
        <v>568</v>
      </c>
      <c r="B1258">
        <v>20685</v>
      </c>
      <c r="C1258" t="s">
        <v>4122</v>
      </c>
      <c r="D1258" t="s">
        <v>462</v>
      </c>
      <c r="E1258">
        <v>6</v>
      </c>
      <c r="F1258">
        <v>21.24</v>
      </c>
      <c r="G1258">
        <v>3.54</v>
      </c>
    </row>
    <row r="1259" spans="1:7" x14ac:dyDescent="0.3">
      <c r="A1259" t="s">
        <v>568</v>
      </c>
      <c r="B1259">
        <v>17304</v>
      </c>
      <c r="C1259" t="s">
        <v>4206</v>
      </c>
      <c r="D1259" t="s">
        <v>462</v>
      </c>
      <c r="E1259">
        <v>2</v>
      </c>
      <c r="F1259">
        <v>14.2</v>
      </c>
      <c r="G1259">
        <v>7.1</v>
      </c>
    </row>
    <row r="1260" spans="1:7" x14ac:dyDescent="0.3">
      <c r="A1260" t="s">
        <v>568</v>
      </c>
      <c r="B1260">
        <v>17230</v>
      </c>
      <c r="C1260" t="s">
        <v>4281</v>
      </c>
      <c r="D1260" t="s">
        <v>462</v>
      </c>
      <c r="E1260">
        <v>2</v>
      </c>
      <c r="F1260">
        <v>84</v>
      </c>
      <c r="G1260">
        <v>42</v>
      </c>
    </row>
    <row r="1261" spans="1:7" x14ac:dyDescent="0.3">
      <c r="A1261" t="s">
        <v>568</v>
      </c>
      <c r="B1261">
        <v>17215</v>
      </c>
      <c r="C1261" t="s">
        <v>4283</v>
      </c>
      <c r="D1261" t="s">
        <v>462</v>
      </c>
      <c r="E1261">
        <v>9</v>
      </c>
      <c r="F1261">
        <v>180</v>
      </c>
      <c r="G1261">
        <v>20</v>
      </c>
    </row>
    <row r="1262" spans="1:7" x14ac:dyDescent="0.3">
      <c r="A1262" t="s">
        <v>568</v>
      </c>
      <c r="B1262">
        <v>17914</v>
      </c>
      <c r="C1262" t="s">
        <v>3997</v>
      </c>
      <c r="D1262" t="s">
        <v>462</v>
      </c>
      <c r="E1262">
        <v>2</v>
      </c>
      <c r="F1262">
        <v>64.48</v>
      </c>
      <c r="G1262">
        <v>32.24</v>
      </c>
    </row>
    <row r="1263" spans="1:7" x14ac:dyDescent="0.3">
      <c r="A1263" t="s">
        <v>568</v>
      </c>
      <c r="B1263">
        <v>17918</v>
      </c>
      <c r="C1263" t="s">
        <v>4034</v>
      </c>
      <c r="D1263" t="s">
        <v>462</v>
      </c>
      <c r="E1263">
        <v>3</v>
      </c>
      <c r="F1263">
        <v>115.2</v>
      </c>
      <c r="G1263">
        <v>38.4</v>
      </c>
    </row>
    <row r="1264" spans="1:7" x14ac:dyDescent="0.3">
      <c r="A1264" t="s">
        <v>568</v>
      </c>
      <c r="B1264">
        <v>17916</v>
      </c>
      <c r="C1264" t="s">
        <v>4191</v>
      </c>
      <c r="D1264" t="s">
        <v>462</v>
      </c>
      <c r="E1264">
        <v>2</v>
      </c>
      <c r="F1264">
        <v>55.86</v>
      </c>
      <c r="G1264">
        <v>27.93</v>
      </c>
    </row>
    <row r="1265" spans="1:7" x14ac:dyDescent="0.3">
      <c r="A1265" t="s">
        <v>568</v>
      </c>
      <c r="B1265">
        <v>28386</v>
      </c>
      <c r="C1265" t="s">
        <v>4245</v>
      </c>
      <c r="D1265" t="s">
        <v>462</v>
      </c>
      <c r="E1265">
        <v>2</v>
      </c>
      <c r="F1265">
        <v>84</v>
      </c>
      <c r="G1265">
        <v>42</v>
      </c>
    </row>
    <row r="1266" spans="1:7" x14ac:dyDescent="0.3">
      <c r="A1266" t="s">
        <v>568</v>
      </c>
      <c r="B1266">
        <v>25162</v>
      </c>
      <c r="C1266" t="s">
        <v>4288</v>
      </c>
      <c r="D1266" t="s">
        <v>462</v>
      </c>
      <c r="E1266">
        <v>2</v>
      </c>
      <c r="F1266">
        <v>13</v>
      </c>
      <c r="G1266">
        <v>6.5</v>
      </c>
    </row>
    <row r="1267" spans="1:7" x14ac:dyDescent="0.3">
      <c r="A1267" t="s">
        <v>568</v>
      </c>
      <c r="B1267">
        <v>24598</v>
      </c>
      <c r="C1267" t="s">
        <v>4166</v>
      </c>
      <c r="D1267" t="s">
        <v>462</v>
      </c>
      <c r="E1267">
        <v>3</v>
      </c>
      <c r="F1267">
        <v>33.380000000000003</v>
      </c>
      <c r="G1267">
        <v>11.13</v>
      </c>
    </row>
    <row r="1268" spans="1:7" x14ac:dyDescent="0.3">
      <c r="A1268" t="s">
        <v>568</v>
      </c>
      <c r="B1268">
        <v>17190</v>
      </c>
      <c r="C1268" t="s">
        <v>4271</v>
      </c>
      <c r="D1268" t="s">
        <v>462</v>
      </c>
      <c r="E1268">
        <v>1</v>
      </c>
      <c r="F1268">
        <v>8.9</v>
      </c>
      <c r="G1268">
        <v>8.9</v>
      </c>
    </row>
    <row r="1269" spans="1:7" x14ac:dyDescent="0.3">
      <c r="A1269" t="s">
        <v>568</v>
      </c>
      <c r="B1269">
        <v>28777</v>
      </c>
      <c r="C1269" t="s">
        <v>4279</v>
      </c>
      <c r="D1269" t="s">
        <v>462</v>
      </c>
      <c r="E1269">
        <v>2</v>
      </c>
      <c r="F1269">
        <v>17.8</v>
      </c>
      <c r="G1269">
        <v>8.9</v>
      </c>
    </row>
    <row r="1270" spans="1:7" x14ac:dyDescent="0.3">
      <c r="A1270" t="s">
        <v>568</v>
      </c>
      <c r="B1270">
        <v>17455</v>
      </c>
      <c r="C1270" t="s">
        <v>4231</v>
      </c>
      <c r="D1270" t="s">
        <v>462</v>
      </c>
      <c r="E1270">
        <v>2</v>
      </c>
      <c r="F1270">
        <v>76</v>
      </c>
      <c r="G1270">
        <v>38</v>
      </c>
    </row>
    <row r="1271" spans="1:7" x14ac:dyDescent="0.3">
      <c r="A1271" t="s">
        <v>568</v>
      </c>
      <c r="B1271">
        <v>26627</v>
      </c>
      <c r="C1271" t="s">
        <v>4237</v>
      </c>
      <c r="D1271" t="s">
        <v>462</v>
      </c>
      <c r="E1271">
        <v>20</v>
      </c>
      <c r="F1271">
        <v>159.4</v>
      </c>
      <c r="G1271">
        <v>7.97</v>
      </c>
    </row>
    <row r="1272" spans="1:7" x14ac:dyDescent="0.3">
      <c r="A1272" t="s">
        <v>568</v>
      </c>
      <c r="B1272">
        <v>20395</v>
      </c>
      <c r="C1272" t="s">
        <v>4057</v>
      </c>
      <c r="D1272" t="s">
        <v>462</v>
      </c>
      <c r="E1272">
        <v>1</v>
      </c>
      <c r="F1272">
        <v>27</v>
      </c>
      <c r="G1272">
        <v>27</v>
      </c>
    </row>
    <row r="1273" spans="1:7" x14ac:dyDescent="0.3">
      <c r="A1273" t="s">
        <v>568</v>
      </c>
      <c r="B1273">
        <v>23687</v>
      </c>
      <c r="C1273" t="s">
        <v>4285</v>
      </c>
      <c r="D1273" t="s">
        <v>462</v>
      </c>
      <c r="E1273">
        <v>25.15</v>
      </c>
      <c r="F1273">
        <v>324.37</v>
      </c>
      <c r="G1273">
        <v>12.9</v>
      </c>
    </row>
    <row r="1274" spans="1:7" x14ac:dyDescent="0.3">
      <c r="A1274" t="s">
        <v>568</v>
      </c>
      <c r="B1274">
        <v>25237</v>
      </c>
      <c r="C1274" t="s">
        <v>4164</v>
      </c>
      <c r="D1274" t="s">
        <v>462</v>
      </c>
      <c r="E1274">
        <v>10</v>
      </c>
      <c r="F1274">
        <v>54.5</v>
      </c>
      <c r="G1274">
        <v>5.45</v>
      </c>
    </row>
    <row r="1275" spans="1:7" x14ac:dyDescent="0.3">
      <c r="A1275" t="s">
        <v>568</v>
      </c>
      <c r="B1275">
        <v>20250</v>
      </c>
      <c r="C1275" t="s">
        <v>4008</v>
      </c>
      <c r="D1275" t="s">
        <v>462</v>
      </c>
      <c r="E1275">
        <v>1</v>
      </c>
      <c r="F1275">
        <v>40.54</v>
      </c>
      <c r="G1275">
        <v>40.54</v>
      </c>
    </row>
    <row r="1276" spans="1:7" x14ac:dyDescent="0.3">
      <c r="A1276" t="s">
        <v>568</v>
      </c>
      <c r="B1276">
        <v>20246</v>
      </c>
      <c r="C1276" t="s">
        <v>3911</v>
      </c>
      <c r="D1276" t="s">
        <v>462</v>
      </c>
      <c r="E1276">
        <v>10</v>
      </c>
      <c r="F1276">
        <v>68.8</v>
      </c>
      <c r="G1276">
        <v>6.88</v>
      </c>
    </row>
    <row r="1277" spans="1:7" x14ac:dyDescent="0.3">
      <c r="A1277" t="s">
        <v>568</v>
      </c>
      <c r="B1277">
        <v>20227</v>
      </c>
      <c r="C1277" t="s">
        <v>3968</v>
      </c>
      <c r="D1277" t="s">
        <v>462</v>
      </c>
      <c r="E1277">
        <v>15</v>
      </c>
      <c r="F1277">
        <v>165</v>
      </c>
      <c r="G1277">
        <v>11</v>
      </c>
    </row>
    <row r="1278" spans="1:7" x14ac:dyDescent="0.3">
      <c r="A1278" t="s">
        <v>568</v>
      </c>
      <c r="B1278">
        <v>20234</v>
      </c>
      <c r="C1278" t="s">
        <v>3979</v>
      </c>
      <c r="D1278" t="s">
        <v>462</v>
      </c>
      <c r="E1278">
        <v>4</v>
      </c>
      <c r="F1278">
        <v>87.6</v>
      </c>
      <c r="G1278">
        <v>21.9</v>
      </c>
    </row>
    <row r="1279" spans="1:7" x14ac:dyDescent="0.3">
      <c r="A1279" t="s">
        <v>568</v>
      </c>
      <c r="B1279">
        <v>18764</v>
      </c>
      <c r="C1279" t="s">
        <v>3907</v>
      </c>
      <c r="D1279" t="s">
        <v>462</v>
      </c>
      <c r="E1279">
        <v>12</v>
      </c>
      <c r="F1279">
        <v>958.8</v>
      </c>
      <c r="G1279">
        <v>79.900000000000006</v>
      </c>
    </row>
    <row r="1280" spans="1:7" x14ac:dyDescent="0.3">
      <c r="A1280" t="s">
        <v>568</v>
      </c>
      <c r="B1280">
        <v>24259</v>
      </c>
      <c r="C1280" t="s">
        <v>3895</v>
      </c>
      <c r="D1280" t="s">
        <v>462</v>
      </c>
      <c r="E1280">
        <v>53.65</v>
      </c>
      <c r="F1280">
        <v>4179.34</v>
      </c>
      <c r="G1280">
        <v>77.900000000000006</v>
      </c>
    </row>
    <row r="1281" spans="1:7" x14ac:dyDescent="0.3">
      <c r="A1281" t="s">
        <v>568</v>
      </c>
      <c r="B1281">
        <v>26940</v>
      </c>
      <c r="C1281" t="s">
        <v>4359</v>
      </c>
      <c r="D1281" t="s">
        <v>462</v>
      </c>
      <c r="E1281">
        <v>10</v>
      </c>
      <c r="F1281">
        <v>146.9</v>
      </c>
      <c r="G1281">
        <v>14.69</v>
      </c>
    </row>
    <row r="1282" spans="1:7" x14ac:dyDescent="0.3">
      <c r="A1282" t="s">
        <v>568</v>
      </c>
      <c r="B1282">
        <v>28872</v>
      </c>
      <c r="C1282" t="s">
        <v>4369</v>
      </c>
      <c r="D1282" t="s">
        <v>462</v>
      </c>
      <c r="E1282">
        <v>5</v>
      </c>
      <c r="F1282">
        <v>246.8</v>
      </c>
      <c r="G1282">
        <v>49.36</v>
      </c>
    </row>
    <row r="1283" spans="1:7" x14ac:dyDescent="0.3">
      <c r="A1283" t="s">
        <v>568</v>
      </c>
      <c r="B1283">
        <v>17343</v>
      </c>
      <c r="C1283" t="s">
        <v>4379</v>
      </c>
      <c r="D1283" t="s">
        <v>462</v>
      </c>
      <c r="E1283">
        <v>2</v>
      </c>
      <c r="F1283">
        <v>52</v>
      </c>
      <c r="G1283">
        <v>26</v>
      </c>
    </row>
    <row r="1284" spans="1:7" x14ac:dyDescent="0.3">
      <c r="A1284" t="s">
        <v>568</v>
      </c>
      <c r="B1284">
        <v>17942</v>
      </c>
      <c r="C1284" t="s">
        <v>4035</v>
      </c>
      <c r="D1284" t="s">
        <v>462</v>
      </c>
      <c r="E1284">
        <v>7</v>
      </c>
      <c r="F1284">
        <v>91</v>
      </c>
      <c r="G1284">
        <v>13</v>
      </c>
    </row>
    <row r="1285" spans="1:7" x14ac:dyDescent="0.3">
      <c r="A1285" t="s">
        <v>568</v>
      </c>
      <c r="B1285">
        <v>17006</v>
      </c>
      <c r="C1285" t="s">
        <v>4128</v>
      </c>
      <c r="D1285" t="s">
        <v>462</v>
      </c>
      <c r="E1285">
        <v>13.1</v>
      </c>
      <c r="F1285">
        <v>170.3</v>
      </c>
      <c r="G1285">
        <v>13</v>
      </c>
    </row>
    <row r="1286" spans="1:7" x14ac:dyDescent="0.3">
      <c r="A1286" t="s">
        <v>568</v>
      </c>
      <c r="B1286">
        <v>24497</v>
      </c>
      <c r="C1286" t="s">
        <v>4214</v>
      </c>
      <c r="D1286" t="s">
        <v>462</v>
      </c>
      <c r="E1286">
        <v>4</v>
      </c>
      <c r="F1286">
        <v>538.20000000000005</v>
      </c>
      <c r="G1286">
        <v>134.55000000000001</v>
      </c>
    </row>
    <row r="1287" spans="1:7" x14ac:dyDescent="0.3">
      <c r="A1287" t="s">
        <v>568</v>
      </c>
      <c r="B1287">
        <v>25518</v>
      </c>
      <c r="C1287" t="s">
        <v>4238</v>
      </c>
      <c r="D1287" t="s">
        <v>462</v>
      </c>
      <c r="E1287">
        <v>2</v>
      </c>
      <c r="F1287">
        <v>220.8</v>
      </c>
      <c r="G1287">
        <v>110.4</v>
      </c>
    </row>
    <row r="1288" spans="1:7" x14ac:dyDescent="0.3">
      <c r="A1288" t="s">
        <v>568</v>
      </c>
      <c r="B1288">
        <v>28866</v>
      </c>
      <c r="C1288" t="s">
        <v>4371</v>
      </c>
      <c r="D1288" t="s">
        <v>462</v>
      </c>
      <c r="E1288">
        <v>13.62</v>
      </c>
      <c r="F1288">
        <v>904.64</v>
      </c>
      <c r="G1288">
        <v>66.42</v>
      </c>
    </row>
    <row r="1289" spans="1:7" x14ac:dyDescent="0.3">
      <c r="A1289" t="s">
        <v>568</v>
      </c>
      <c r="B1289">
        <v>27268</v>
      </c>
      <c r="C1289" t="s">
        <v>4395</v>
      </c>
      <c r="D1289" t="s">
        <v>462</v>
      </c>
      <c r="E1289">
        <v>13.62</v>
      </c>
      <c r="F1289">
        <v>1146.94</v>
      </c>
      <c r="G1289">
        <v>84.21</v>
      </c>
    </row>
    <row r="1290" spans="1:7" x14ac:dyDescent="0.3">
      <c r="A1290" t="s">
        <v>568</v>
      </c>
      <c r="B1290">
        <v>28873</v>
      </c>
      <c r="C1290" t="s">
        <v>4370</v>
      </c>
      <c r="D1290" t="s">
        <v>462</v>
      </c>
      <c r="E1290">
        <v>13.62</v>
      </c>
      <c r="F1290">
        <v>904.64</v>
      </c>
      <c r="G1290">
        <v>66.42</v>
      </c>
    </row>
    <row r="1291" spans="1:7" x14ac:dyDescent="0.3">
      <c r="A1291" t="s">
        <v>568</v>
      </c>
      <c r="B1291">
        <v>17093</v>
      </c>
      <c r="C1291" t="s">
        <v>3993</v>
      </c>
      <c r="D1291" t="s">
        <v>462</v>
      </c>
      <c r="E1291">
        <v>60</v>
      </c>
      <c r="F1291">
        <v>480</v>
      </c>
      <c r="G1291">
        <v>8</v>
      </c>
    </row>
    <row r="1292" spans="1:7" x14ac:dyDescent="0.3">
      <c r="A1292" t="s">
        <v>568</v>
      </c>
      <c r="B1292">
        <v>19763</v>
      </c>
      <c r="C1292" t="s">
        <v>4187</v>
      </c>
      <c r="D1292" t="s">
        <v>462</v>
      </c>
      <c r="E1292">
        <v>3</v>
      </c>
      <c r="F1292">
        <v>30.23</v>
      </c>
      <c r="G1292">
        <v>10.08</v>
      </c>
    </row>
    <row r="1293" spans="1:7" x14ac:dyDescent="0.3">
      <c r="A1293" t="s">
        <v>568</v>
      </c>
      <c r="B1293">
        <v>21021</v>
      </c>
      <c r="C1293" t="s">
        <v>4242</v>
      </c>
      <c r="D1293" t="s">
        <v>462</v>
      </c>
      <c r="E1293">
        <v>2</v>
      </c>
      <c r="F1293">
        <v>349.06</v>
      </c>
      <c r="G1293">
        <v>174.53</v>
      </c>
    </row>
    <row r="1294" spans="1:7" x14ac:dyDescent="0.3">
      <c r="A1294" t="s">
        <v>568</v>
      </c>
      <c r="B1294">
        <v>21024</v>
      </c>
      <c r="C1294" t="s">
        <v>4180</v>
      </c>
      <c r="D1294" t="s">
        <v>462</v>
      </c>
      <c r="E1294">
        <v>6</v>
      </c>
      <c r="F1294">
        <v>1045.42</v>
      </c>
      <c r="G1294">
        <v>174.24</v>
      </c>
    </row>
    <row r="1295" spans="1:7" x14ac:dyDescent="0.3">
      <c r="A1295" t="s">
        <v>568</v>
      </c>
      <c r="B1295">
        <v>20213</v>
      </c>
      <c r="C1295" t="s">
        <v>4059</v>
      </c>
      <c r="D1295" t="s">
        <v>462</v>
      </c>
      <c r="E1295">
        <v>1</v>
      </c>
      <c r="F1295">
        <v>31.6</v>
      </c>
      <c r="G1295">
        <v>31.6</v>
      </c>
    </row>
    <row r="1296" spans="1:7" x14ac:dyDescent="0.3">
      <c r="A1296" t="s">
        <v>568</v>
      </c>
      <c r="B1296">
        <v>17905</v>
      </c>
      <c r="C1296" t="s">
        <v>4139</v>
      </c>
      <c r="D1296" t="s">
        <v>462</v>
      </c>
      <c r="E1296">
        <v>20</v>
      </c>
      <c r="F1296">
        <v>0</v>
      </c>
      <c r="G1296">
        <v>0</v>
      </c>
    </row>
    <row r="1297" spans="1:7" x14ac:dyDescent="0.3">
      <c r="A1297" t="s">
        <v>568</v>
      </c>
      <c r="B1297">
        <v>17903</v>
      </c>
      <c r="C1297" t="s">
        <v>3971</v>
      </c>
      <c r="D1297" t="s">
        <v>462</v>
      </c>
      <c r="E1297">
        <v>5</v>
      </c>
      <c r="F1297">
        <v>0</v>
      </c>
      <c r="G1297">
        <v>0</v>
      </c>
    </row>
    <row r="1298" spans="1:7" x14ac:dyDescent="0.3">
      <c r="A1298" t="s">
        <v>568</v>
      </c>
      <c r="B1298">
        <v>17896</v>
      </c>
      <c r="C1298" t="s">
        <v>3972</v>
      </c>
      <c r="D1298" t="s">
        <v>462</v>
      </c>
      <c r="E1298">
        <v>3</v>
      </c>
      <c r="F1298">
        <v>120.87</v>
      </c>
      <c r="G1298">
        <v>40.29</v>
      </c>
    </row>
    <row r="1299" spans="1:7" x14ac:dyDescent="0.3">
      <c r="A1299" t="s">
        <v>568</v>
      </c>
      <c r="B1299">
        <v>17897</v>
      </c>
      <c r="C1299" t="s">
        <v>4094</v>
      </c>
      <c r="D1299" t="s">
        <v>462</v>
      </c>
      <c r="E1299">
        <v>2</v>
      </c>
      <c r="F1299">
        <v>80.58</v>
      </c>
      <c r="G1299">
        <v>40.29</v>
      </c>
    </row>
    <row r="1300" spans="1:7" x14ac:dyDescent="0.3">
      <c r="A1300" t="s">
        <v>568</v>
      </c>
      <c r="B1300">
        <v>19480</v>
      </c>
      <c r="C1300" t="s">
        <v>4113</v>
      </c>
      <c r="D1300" t="s">
        <v>462</v>
      </c>
      <c r="E1300">
        <v>0.6</v>
      </c>
      <c r="F1300">
        <v>10.28</v>
      </c>
      <c r="G1300">
        <v>17.13</v>
      </c>
    </row>
    <row r="1301" spans="1:7" x14ac:dyDescent="0.3">
      <c r="A1301" t="s">
        <v>568</v>
      </c>
      <c r="B1301">
        <v>27238</v>
      </c>
      <c r="C1301" t="s">
        <v>4374</v>
      </c>
      <c r="D1301" t="s">
        <v>462</v>
      </c>
      <c r="E1301">
        <v>24</v>
      </c>
      <c r="F1301">
        <v>251.76</v>
      </c>
      <c r="G1301">
        <v>10.49</v>
      </c>
    </row>
    <row r="1302" spans="1:7" x14ac:dyDescent="0.3">
      <c r="A1302" t="s">
        <v>568</v>
      </c>
      <c r="B1302">
        <v>18685</v>
      </c>
      <c r="C1302" t="s">
        <v>3945</v>
      </c>
      <c r="D1302" t="s">
        <v>462</v>
      </c>
      <c r="E1302">
        <v>13.2</v>
      </c>
      <c r="F1302">
        <v>514.79999999999995</v>
      </c>
      <c r="G1302">
        <v>39</v>
      </c>
    </row>
    <row r="1303" spans="1:7" x14ac:dyDescent="0.3">
      <c r="A1303" t="s">
        <v>568</v>
      </c>
      <c r="B1303">
        <v>18684</v>
      </c>
      <c r="C1303" t="s">
        <v>3925</v>
      </c>
      <c r="D1303" t="s">
        <v>462</v>
      </c>
      <c r="E1303">
        <v>10.1</v>
      </c>
      <c r="F1303">
        <v>363.6</v>
      </c>
      <c r="G1303">
        <v>36</v>
      </c>
    </row>
    <row r="1304" spans="1:7" x14ac:dyDescent="0.3">
      <c r="A1304" t="s">
        <v>568</v>
      </c>
      <c r="B1304">
        <v>24320</v>
      </c>
      <c r="C1304" t="s">
        <v>4160</v>
      </c>
      <c r="D1304" t="s">
        <v>462</v>
      </c>
      <c r="E1304">
        <v>32.1</v>
      </c>
      <c r="F1304">
        <v>1117.78</v>
      </c>
      <c r="G1304">
        <v>34.82</v>
      </c>
    </row>
    <row r="1305" spans="1:7" x14ac:dyDescent="0.3">
      <c r="A1305" t="s">
        <v>568</v>
      </c>
      <c r="B1305">
        <v>27312</v>
      </c>
      <c r="C1305" t="s">
        <v>3927</v>
      </c>
      <c r="D1305" t="s">
        <v>462</v>
      </c>
      <c r="E1305">
        <v>33.090000000000003</v>
      </c>
      <c r="F1305">
        <v>1700.35</v>
      </c>
      <c r="G1305">
        <v>51.39</v>
      </c>
    </row>
    <row r="1306" spans="1:7" x14ac:dyDescent="0.3">
      <c r="A1306" t="s">
        <v>568</v>
      </c>
      <c r="B1306">
        <v>23361</v>
      </c>
      <c r="C1306" t="s">
        <v>4220</v>
      </c>
      <c r="D1306" t="s">
        <v>462</v>
      </c>
      <c r="E1306">
        <v>166</v>
      </c>
      <c r="F1306">
        <v>555.79999999999995</v>
      </c>
      <c r="G1306">
        <v>3.35</v>
      </c>
    </row>
    <row r="1307" spans="1:7" x14ac:dyDescent="0.3">
      <c r="A1307" t="s">
        <v>568</v>
      </c>
      <c r="B1307">
        <v>20661</v>
      </c>
      <c r="C1307" t="s">
        <v>3919</v>
      </c>
      <c r="D1307" t="s">
        <v>462</v>
      </c>
      <c r="E1307">
        <v>14</v>
      </c>
      <c r="F1307">
        <v>122.62</v>
      </c>
      <c r="G1307">
        <v>8.76</v>
      </c>
    </row>
    <row r="1308" spans="1:7" x14ac:dyDescent="0.3">
      <c r="A1308" t="s">
        <v>568</v>
      </c>
      <c r="B1308">
        <v>19421</v>
      </c>
      <c r="C1308" t="s">
        <v>4275</v>
      </c>
      <c r="D1308" t="s">
        <v>462</v>
      </c>
      <c r="E1308">
        <v>1</v>
      </c>
      <c r="F1308">
        <v>55.22</v>
      </c>
      <c r="G1308">
        <v>55.22</v>
      </c>
    </row>
    <row r="1309" spans="1:7" x14ac:dyDescent="0.3">
      <c r="A1309" t="s">
        <v>568</v>
      </c>
      <c r="B1309">
        <v>19428</v>
      </c>
      <c r="C1309" t="s">
        <v>4169</v>
      </c>
      <c r="D1309" t="s">
        <v>462</v>
      </c>
      <c r="E1309">
        <v>12</v>
      </c>
      <c r="F1309">
        <v>67.2</v>
      </c>
      <c r="G1309">
        <v>5.6</v>
      </c>
    </row>
    <row r="1310" spans="1:7" x14ac:dyDescent="0.3">
      <c r="A1310" t="s">
        <v>568</v>
      </c>
      <c r="B1310">
        <v>27838</v>
      </c>
      <c r="C1310" t="s">
        <v>4388</v>
      </c>
      <c r="D1310" t="s">
        <v>462</v>
      </c>
      <c r="E1310">
        <v>3</v>
      </c>
      <c r="F1310">
        <v>429.3</v>
      </c>
      <c r="G1310">
        <v>143.1</v>
      </c>
    </row>
    <row r="1311" spans="1:7" x14ac:dyDescent="0.3">
      <c r="A1311" t="s">
        <v>568</v>
      </c>
      <c r="B1311">
        <v>18295</v>
      </c>
      <c r="C1311" t="s">
        <v>4030</v>
      </c>
      <c r="D1311" t="s">
        <v>462</v>
      </c>
      <c r="E1311">
        <v>4</v>
      </c>
      <c r="F1311">
        <v>514.70000000000005</v>
      </c>
      <c r="G1311">
        <v>128.68</v>
      </c>
    </row>
    <row r="1312" spans="1:7" x14ac:dyDescent="0.3">
      <c r="A1312" t="s">
        <v>568</v>
      </c>
      <c r="B1312">
        <v>19752</v>
      </c>
      <c r="C1312" t="s">
        <v>4042</v>
      </c>
      <c r="D1312" t="s">
        <v>462</v>
      </c>
      <c r="E1312">
        <v>5</v>
      </c>
      <c r="F1312">
        <v>48.4</v>
      </c>
      <c r="G1312">
        <v>9.68</v>
      </c>
    </row>
    <row r="1313" spans="1:7" x14ac:dyDescent="0.3">
      <c r="A1313" t="s">
        <v>568</v>
      </c>
      <c r="B1313">
        <v>19751</v>
      </c>
      <c r="C1313" t="s">
        <v>4019</v>
      </c>
      <c r="D1313" t="s">
        <v>462</v>
      </c>
      <c r="E1313">
        <v>4</v>
      </c>
      <c r="F1313">
        <v>68.760000000000005</v>
      </c>
      <c r="G1313">
        <v>17.190000000000001</v>
      </c>
    </row>
    <row r="1314" spans="1:7" x14ac:dyDescent="0.3">
      <c r="A1314" t="s">
        <v>568</v>
      </c>
      <c r="B1314">
        <v>23359</v>
      </c>
      <c r="C1314" t="s">
        <v>3932</v>
      </c>
      <c r="D1314" t="s">
        <v>462</v>
      </c>
      <c r="E1314">
        <v>72</v>
      </c>
      <c r="F1314">
        <v>196.1</v>
      </c>
      <c r="G1314">
        <v>2.72</v>
      </c>
    </row>
    <row r="1315" spans="1:7" x14ac:dyDescent="0.3">
      <c r="A1315" t="s">
        <v>568</v>
      </c>
      <c r="B1315">
        <v>20539</v>
      </c>
      <c r="C1315" t="s">
        <v>3908</v>
      </c>
      <c r="D1315" t="s">
        <v>462</v>
      </c>
      <c r="E1315">
        <v>20.81</v>
      </c>
      <c r="F1315">
        <v>1352.33</v>
      </c>
      <c r="G1315">
        <v>64.98</v>
      </c>
    </row>
    <row r="1316" spans="1:7" x14ac:dyDescent="0.3">
      <c r="A1316" t="s">
        <v>568</v>
      </c>
      <c r="B1316">
        <v>24331</v>
      </c>
      <c r="C1316" t="s">
        <v>3960</v>
      </c>
      <c r="D1316" t="s">
        <v>462</v>
      </c>
      <c r="E1316">
        <v>15</v>
      </c>
      <c r="F1316">
        <v>326</v>
      </c>
      <c r="G1316">
        <v>21.73</v>
      </c>
    </row>
    <row r="1317" spans="1:7" x14ac:dyDescent="0.3">
      <c r="A1317" t="s">
        <v>568</v>
      </c>
      <c r="B1317">
        <v>20519</v>
      </c>
      <c r="C1317" t="s">
        <v>3902</v>
      </c>
      <c r="D1317" t="s">
        <v>462</v>
      </c>
      <c r="E1317">
        <v>19.260000000000002</v>
      </c>
      <c r="F1317">
        <v>958.19</v>
      </c>
      <c r="G1317">
        <v>49.75</v>
      </c>
    </row>
    <row r="1318" spans="1:7" x14ac:dyDescent="0.3">
      <c r="A1318" t="s">
        <v>568</v>
      </c>
      <c r="B1318">
        <v>27884</v>
      </c>
      <c r="C1318" t="s">
        <v>3910</v>
      </c>
      <c r="D1318" t="s">
        <v>462</v>
      </c>
      <c r="E1318">
        <v>5.0999999999999996</v>
      </c>
      <c r="F1318">
        <v>331.5</v>
      </c>
      <c r="G1318">
        <v>65</v>
      </c>
    </row>
    <row r="1319" spans="1:7" x14ac:dyDescent="0.3">
      <c r="A1319" t="s">
        <v>568</v>
      </c>
      <c r="B1319">
        <v>24339</v>
      </c>
      <c r="C1319" t="s">
        <v>4119</v>
      </c>
      <c r="D1319" t="s">
        <v>462</v>
      </c>
      <c r="E1319">
        <v>7.5</v>
      </c>
      <c r="F1319">
        <v>222</v>
      </c>
      <c r="G1319">
        <v>29.6</v>
      </c>
    </row>
    <row r="1320" spans="1:7" x14ac:dyDescent="0.3">
      <c r="A1320" t="s">
        <v>568</v>
      </c>
      <c r="B1320">
        <v>20501</v>
      </c>
      <c r="C1320" t="s">
        <v>4219</v>
      </c>
      <c r="D1320" t="s">
        <v>462</v>
      </c>
      <c r="E1320">
        <v>5</v>
      </c>
      <c r="F1320">
        <v>109.5</v>
      </c>
      <c r="G1320">
        <v>21.9</v>
      </c>
    </row>
    <row r="1321" spans="1:7" x14ac:dyDescent="0.3">
      <c r="A1321" t="s">
        <v>568</v>
      </c>
      <c r="B1321">
        <v>26613</v>
      </c>
      <c r="C1321" t="s">
        <v>4386</v>
      </c>
      <c r="D1321" t="s">
        <v>462</v>
      </c>
      <c r="E1321">
        <v>2</v>
      </c>
      <c r="F1321">
        <v>78</v>
      </c>
      <c r="G1321">
        <v>39</v>
      </c>
    </row>
    <row r="1322" spans="1:7" x14ac:dyDescent="0.3">
      <c r="A1322" t="s">
        <v>568</v>
      </c>
      <c r="B1322">
        <v>24343</v>
      </c>
      <c r="C1322" t="s">
        <v>3990</v>
      </c>
      <c r="D1322" t="s">
        <v>462</v>
      </c>
      <c r="E1322">
        <v>10</v>
      </c>
      <c r="F1322">
        <v>224.9</v>
      </c>
      <c r="G1322">
        <v>22.49</v>
      </c>
    </row>
    <row r="1323" spans="1:7" x14ac:dyDescent="0.3">
      <c r="A1323" t="s">
        <v>568</v>
      </c>
      <c r="B1323">
        <v>19478</v>
      </c>
      <c r="C1323" t="s">
        <v>4072</v>
      </c>
      <c r="D1323" t="s">
        <v>462</v>
      </c>
      <c r="E1323">
        <v>1</v>
      </c>
      <c r="F1323">
        <v>65</v>
      </c>
      <c r="G1323">
        <v>65</v>
      </c>
    </row>
    <row r="1324" spans="1:7" x14ac:dyDescent="0.3">
      <c r="A1324" t="s">
        <v>568</v>
      </c>
      <c r="B1324">
        <v>17017</v>
      </c>
      <c r="C1324" t="s">
        <v>4230</v>
      </c>
      <c r="D1324" t="s">
        <v>462</v>
      </c>
      <c r="E1324">
        <v>4</v>
      </c>
      <c r="F1324">
        <v>14</v>
      </c>
      <c r="G1324">
        <v>3.5</v>
      </c>
    </row>
    <row r="1325" spans="1:7" x14ac:dyDescent="0.3">
      <c r="A1325" t="s">
        <v>568</v>
      </c>
      <c r="B1325">
        <v>17498</v>
      </c>
      <c r="C1325" t="s">
        <v>4243</v>
      </c>
      <c r="D1325" t="s">
        <v>462</v>
      </c>
      <c r="E1325">
        <v>4</v>
      </c>
      <c r="F1325">
        <v>89.38</v>
      </c>
      <c r="G1325">
        <v>22.35</v>
      </c>
    </row>
    <row r="1326" spans="1:7" x14ac:dyDescent="0.3">
      <c r="A1326" t="s">
        <v>568</v>
      </c>
      <c r="B1326">
        <v>23349</v>
      </c>
      <c r="C1326" t="s">
        <v>4173</v>
      </c>
      <c r="D1326" t="s">
        <v>462</v>
      </c>
      <c r="E1326">
        <v>1</v>
      </c>
      <c r="F1326">
        <v>13</v>
      </c>
      <c r="G1326">
        <v>13</v>
      </c>
    </row>
    <row r="1327" spans="1:7" x14ac:dyDescent="0.3">
      <c r="A1327" t="s">
        <v>568</v>
      </c>
      <c r="B1327">
        <v>19743</v>
      </c>
      <c r="C1327" t="s">
        <v>4152</v>
      </c>
      <c r="D1327" t="s">
        <v>462</v>
      </c>
      <c r="E1327">
        <v>2</v>
      </c>
      <c r="F1327">
        <v>29</v>
      </c>
      <c r="G1327">
        <v>14.5</v>
      </c>
    </row>
    <row r="1328" spans="1:7" x14ac:dyDescent="0.3">
      <c r="A1328" t="s">
        <v>568</v>
      </c>
      <c r="B1328">
        <v>20007</v>
      </c>
      <c r="C1328" t="s">
        <v>4009</v>
      </c>
      <c r="D1328" t="s">
        <v>462</v>
      </c>
      <c r="E1328">
        <v>10</v>
      </c>
      <c r="F1328">
        <v>473</v>
      </c>
      <c r="G1328">
        <v>47.3</v>
      </c>
    </row>
    <row r="1329" spans="1:7" x14ac:dyDescent="0.3">
      <c r="A1329" t="s">
        <v>568</v>
      </c>
      <c r="B1329">
        <v>19689</v>
      </c>
      <c r="C1329" t="s">
        <v>4073</v>
      </c>
      <c r="D1329" t="s">
        <v>462</v>
      </c>
      <c r="E1329">
        <v>2</v>
      </c>
      <c r="F1329">
        <v>15</v>
      </c>
      <c r="G1329">
        <v>7.5</v>
      </c>
    </row>
    <row r="1330" spans="1:7" x14ac:dyDescent="0.3">
      <c r="A1330" t="s">
        <v>568</v>
      </c>
      <c r="B1330">
        <v>19742</v>
      </c>
      <c r="C1330" t="s">
        <v>4074</v>
      </c>
      <c r="D1330" t="s">
        <v>462</v>
      </c>
      <c r="E1330">
        <v>7.3</v>
      </c>
      <c r="F1330">
        <v>70.959999999999994</v>
      </c>
      <c r="G1330">
        <v>9.7200000000000006</v>
      </c>
    </row>
    <row r="1331" spans="1:7" x14ac:dyDescent="0.3">
      <c r="A1331" t="s">
        <v>568</v>
      </c>
      <c r="B1331">
        <v>23120</v>
      </c>
      <c r="C1331" t="s">
        <v>4111</v>
      </c>
      <c r="D1331" t="s">
        <v>462</v>
      </c>
      <c r="E1331">
        <v>1.7</v>
      </c>
      <c r="F1331">
        <v>111.65</v>
      </c>
      <c r="G1331">
        <v>65.680000000000007</v>
      </c>
    </row>
    <row r="1332" spans="1:7" x14ac:dyDescent="0.3">
      <c r="A1332" t="s">
        <v>568</v>
      </c>
      <c r="B1332">
        <v>19740</v>
      </c>
      <c r="C1332" t="s">
        <v>3933</v>
      </c>
      <c r="D1332" t="s">
        <v>462</v>
      </c>
      <c r="E1332">
        <v>34</v>
      </c>
      <c r="F1332">
        <v>386.28</v>
      </c>
      <c r="G1332">
        <v>11.36</v>
      </c>
    </row>
    <row r="1333" spans="1:7" x14ac:dyDescent="0.3">
      <c r="A1333" t="s">
        <v>568</v>
      </c>
      <c r="B1333">
        <v>19415</v>
      </c>
      <c r="C1333" t="s">
        <v>3941</v>
      </c>
      <c r="D1333" t="s">
        <v>462</v>
      </c>
      <c r="E1333">
        <v>14</v>
      </c>
      <c r="F1333">
        <v>123.28</v>
      </c>
      <c r="G1333">
        <v>8.81</v>
      </c>
    </row>
    <row r="1334" spans="1:7" x14ac:dyDescent="0.3">
      <c r="A1334" t="s">
        <v>568</v>
      </c>
      <c r="B1334">
        <v>17474</v>
      </c>
      <c r="C1334" t="s">
        <v>4273</v>
      </c>
      <c r="D1334" t="s">
        <v>462</v>
      </c>
      <c r="E1334">
        <v>1</v>
      </c>
      <c r="F1334">
        <v>78</v>
      </c>
      <c r="G1334">
        <v>78</v>
      </c>
    </row>
    <row r="1335" spans="1:7" x14ac:dyDescent="0.3">
      <c r="A1335" t="s">
        <v>568</v>
      </c>
      <c r="B1335">
        <v>24351</v>
      </c>
      <c r="C1335" t="s">
        <v>3912</v>
      </c>
      <c r="D1335" t="s">
        <v>462</v>
      </c>
      <c r="E1335">
        <v>40</v>
      </c>
      <c r="F1335">
        <v>480</v>
      </c>
      <c r="G1335">
        <v>12</v>
      </c>
    </row>
    <row r="1336" spans="1:7" x14ac:dyDescent="0.3">
      <c r="A1336" t="s">
        <v>568</v>
      </c>
      <c r="B1336">
        <v>20117</v>
      </c>
      <c r="C1336" t="s">
        <v>4010</v>
      </c>
      <c r="D1336" t="s">
        <v>462</v>
      </c>
      <c r="E1336">
        <v>2</v>
      </c>
      <c r="F1336">
        <v>77.900000000000006</v>
      </c>
      <c r="G1336">
        <v>38.950000000000003</v>
      </c>
    </row>
    <row r="1337" spans="1:7" x14ac:dyDescent="0.3">
      <c r="A1337" t="s">
        <v>568</v>
      </c>
      <c r="B1337">
        <v>19984</v>
      </c>
      <c r="C1337" t="s">
        <v>3904</v>
      </c>
      <c r="D1337" t="s">
        <v>462</v>
      </c>
      <c r="E1337">
        <v>12</v>
      </c>
      <c r="F1337">
        <v>237.6</v>
      </c>
      <c r="G1337">
        <v>19.8</v>
      </c>
    </row>
    <row r="1338" spans="1:7" x14ac:dyDescent="0.3">
      <c r="A1338" t="s">
        <v>568</v>
      </c>
      <c r="B1338">
        <v>19973</v>
      </c>
      <c r="C1338" t="s">
        <v>3981</v>
      </c>
      <c r="D1338" t="s">
        <v>462</v>
      </c>
      <c r="E1338">
        <v>2</v>
      </c>
      <c r="F1338">
        <v>30.4</v>
      </c>
      <c r="G1338">
        <v>15.2</v>
      </c>
    </row>
    <row r="1339" spans="1:7" x14ac:dyDescent="0.3">
      <c r="A1339" t="s">
        <v>568</v>
      </c>
      <c r="B1339">
        <v>23335</v>
      </c>
      <c r="C1339" t="s">
        <v>4075</v>
      </c>
      <c r="D1339" t="s">
        <v>462</v>
      </c>
      <c r="E1339">
        <v>2.4</v>
      </c>
      <c r="F1339">
        <v>72.3</v>
      </c>
      <c r="G1339">
        <v>30.13</v>
      </c>
    </row>
    <row r="1340" spans="1:7" x14ac:dyDescent="0.3">
      <c r="A1340" t="s">
        <v>568</v>
      </c>
      <c r="B1340">
        <v>24388</v>
      </c>
      <c r="C1340" t="s">
        <v>3915</v>
      </c>
      <c r="D1340" t="s">
        <v>462</v>
      </c>
      <c r="E1340">
        <v>15.7</v>
      </c>
      <c r="F1340">
        <v>469.96</v>
      </c>
      <c r="G1340">
        <v>29.93</v>
      </c>
    </row>
    <row r="1341" spans="1:7" x14ac:dyDescent="0.3">
      <c r="A1341" t="s">
        <v>568</v>
      </c>
      <c r="B1341">
        <v>24389</v>
      </c>
      <c r="C1341" t="s">
        <v>4305</v>
      </c>
      <c r="D1341" t="s">
        <v>462</v>
      </c>
      <c r="E1341">
        <v>6.8</v>
      </c>
      <c r="F1341">
        <v>203.32</v>
      </c>
      <c r="G1341">
        <v>29.9</v>
      </c>
    </row>
    <row r="1342" spans="1:7" x14ac:dyDescent="0.3">
      <c r="A1342" t="s">
        <v>568</v>
      </c>
      <c r="B1342">
        <v>20976</v>
      </c>
      <c r="C1342" t="s">
        <v>4062</v>
      </c>
      <c r="D1342" t="s">
        <v>462</v>
      </c>
      <c r="E1342">
        <v>1</v>
      </c>
      <c r="F1342">
        <v>224.7</v>
      </c>
      <c r="G1342">
        <v>224.7</v>
      </c>
    </row>
    <row r="1343" spans="1:7" x14ac:dyDescent="0.3">
      <c r="A1343" t="s">
        <v>568</v>
      </c>
      <c r="B1343">
        <v>20984</v>
      </c>
      <c r="C1343" t="s">
        <v>4235</v>
      </c>
      <c r="D1343" t="s">
        <v>462</v>
      </c>
      <c r="E1343">
        <v>48</v>
      </c>
      <c r="F1343">
        <v>381.6</v>
      </c>
      <c r="G1343">
        <v>7.95</v>
      </c>
    </row>
    <row r="1344" spans="1:7" x14ac:dyDescent="0.3">
      <c r="A1344" t="s">
        <v>568</v>
      </c>
      <c r="B1344">
        <v>20988</v>
      </c>
      <c r="C1344" t="s">
        <v>4117</v>
      </c>
      <c r="D1344" t="s">
        <v>462</v>
      </c>
      <c r="E1344">
        <v>20</v>
      </c>
      <c r="F1344">
        <v>184</v>
      </c>
      <c r="G1344">
        <v>9.1999999999999993</v>
      </c>
    </row>
    <row r="1345" spans="1:7" x14ac:dyDescent="0.3">
      <c r="A1345" t="s">
        <v>568</v>
      </c>
      <c r="B1345">
        <v>23503</v>
      </c>
      <c r="C1345" t="s">
        <v>4041</v>
      </c>
      <c r="D1345" t="s">
        <v>462</v>
      </c>
      <c r="E1345">
        <v>1</v>
      </c>
      <c r="F1345">
        <v>24.2</v>
      </c>
      <c r="G1345">
        <v>24.2</v>
      </c>
    </row>
    <row r="1346" spans="1:7" x14ac:dyDescent="0.3">
      <c r="A1346" t="s">
        <v>568</v>
      </c>
      <c r="B1346">
        <v>24393</v>
      </c>
      <c r="C1346" t="s">
        <v>4039</v>
      </c>
      <c r="D1346" t="s">
        <v>462</v>
      </c>
      <c r="E1346">
        <v>3</v>
      </c>
      <c r="F1346">
        <v>41.97</v>
      </c>
      <c r="G1346">
        <v>13.99</v>
      </c>
    </row>
    <row r="1347" spans="1:7" x14ac:dyDescent="0.3">
      <c r="A1347" t="s">
        <v>568</v>
      </c>
      <c r="B1347">
        <v>23096</v>
      </c>
      <c r="C1347" t="s">
        <v>3876</v>
      </c>
      <c r="D1347" t="s">
        <v>462</v>
      </c>
      <c r="E1347">
        <v>210</v>
      </c>
      <c r="F1347">
        <v>139.80000000000001</v>
      </c>
      <c r="G1347">
        <v>0.67</v>
      </c>
    </row>
    <row r="1348" spans="1:7" x14ac:dyDescent="0.3">
      <c r="A1348" t="s">
        <v>568</v>
      </c>
      <c r="B1348">
        <v>23095</v>
      </c>
      <c r="C1348" t="s">
        <v>3882</v>
      </c>
      <c r="D1348" t="s">
        <v>462</v>
      </c>
      <c r="E1348">
        <v>360</v>
      </c>
      <c r="F1348">
        <v>438</v>
      </c>
      <c r="G1348">
        <v>1.22</v>
      </c>
    </row>
    <row r="1349" spans="1:7" x14ac:dyDescent="0.3">
      <c r="A1349" t="s">
        <v>568</v>
      </c>
      <c r="B1349">
        <v>20624</v>
      </c>
      <c r="C1349" t="s">
        <v>3982</v>
      </c>
      <c r="D1349" t="s">
        <v>462</v>
      </c>
      <c r="E1349">
        <v>3</v>
      </c>
      <c r="F1349">
        <v>209.79</v>
      </c>
      <c r="G1349">
        <v>69.930000000000007</v>
      </c>
    </row>
    <row r="1350" spans="1:7" x14ac:dyDescent="0.3">
      <c r="A1350" t="s">
        <v>568</v>
      </c>
      <c r="B1350">
        <v>24517</v>
      </c>
      <c r="C1350" t="s">
        <v>3991</v>
      </c>
      <c r="D1350" t="s">
        <v>462</v>
      </c>
      <c r="E1350">
        <v>30</v>
      </c>
      <c r="F1350">
        <v>839.7</v>
      </c>
      <c r="G1350">
        <v>27.99</v>
      </c>
    </row>
    <row r="1351" spans="1:7" x14ac:dyDescent="0.3">
      <c r="A1351" t="s">
        <v>568</v>
      </c>
      <c r="B1351">
        <v>19130</v>
      </c>
      <c r="C1351" t="s">
        <v>4284</v>
      </c>
      <c r="D1351" t="s">
        <v>462</v>
      </c>
      <c r="E1351">
        <v>929</v>
      </c>
      <c r="F1351">
        <v>1068.3499999999999</v>
      </c>
      <c r="G1351">
        <v>1.1499999999999999</v>
      </c>
    </row>
    <row r="1352" spans="1:7" x14ac:dyDescent="0.3">
      <c r="A1352" t="s">
        <v>568</v>
      </c>
      <c r="B1352">
        <v>28765</v>
      </c>
      <c r="C1352" t="s">
        <v>4382</v>
      </c>
      <c r="D1352" t="s">
        <v>462</v>
      </c>
      <c r="E1352">
        <v>38</v>
      </c>
      <c r="F1352">
        <v>300.2</v>
      </c>
      <c r="G1352">
        <v>7.9</v>
      </c>
    </row>
    <row r="1353" spans="1:7" x14ac:dyDescent="0.3">
      <c r="A1353" t="s">
        <v>568</v>
      </c>
      <c r="B1353">
        <v>17342</v>
      </c>
      <c r="C1353" t="s">
        <v>4208</v>
      </c>
      <c r="D1353" t="s">
        <v>462</v>
      </c>
      <c r="E1353">
        <v>2</v>
      </c>
      <c r="F1353">
        <v>68.459999999999994</v>
      </c>
      <c r="G1353">
        <v>34.229999999999997</v>
      </c>
    </row>
    <row r="1354" spans="1:7" x14ac:dyDescent="0.3">
      <c r="A1354" t="s">
        <v>568</v>
      </c>
      <c r="B1354">
        <v>17418</v>
      </c>
      <c r="C1354" t="s">
        <v>4280</v>
      </c>
      <c r="D1354" t="s">
        <v>462</v>
      </c>
      <c r="E1354">
        <v>1</v>
      </c>
      <c r="F1354">
        <v>58.9</v>
      </c>
      <c r="G1354">
        <v>58.9</v>
      </c>
    </row>
    <row r="1355" spans="1:7" x14ac:dyDescent="0.3">
      <c r="A1355" t="s">
        <v>568</v>
      </c>
      <c r="B1355">
        <v>24843</v>
      </c>
      <c r="C1355" t="s">
        <v>4392</v>
      </c>
      <c r="D1355" t="s">
        <v>462</v>
      </c>
      <c r="E1355">
        <v>1</v>
      </c>
      <c r="F1355">
        <v>58.9</v>
      </c>
      <c r="G1355">
        <v>58.9</v>
      </c>
    </row>
    <row r="1356" spans="1:7" x14ac:dyDescent="0.3">
      <c r="A1356" t="s">
        <v>568</v>
      </c>
      <c r="B1356">
        <v>17416</v>
      </c>
      <c r="C1356" t="s">
        <v>4205</v>
      </c>
      <c r="D1356" t="s">
        <v>462</v>
      </c>
      <c r="E1356">
        <v>8</v>
      </c>
      <c r="F1356">
        <v>388.64</v>
      </c>
      <c r="G1356">
        <v>48.58</v>
      </c>
    </row>
    <row r="1357" spans="1:7" x14ac:dyDescent="0.3">
      <c r="A1357" t="s">
        <v>568</v>
      </c>
      <c r="B1357">
        <v>24402</v>
      </c>
      <c r="C1357" t="s">
        <v>3896</v>
      </c>
      <c r="D1357" t="s">
        <v>462</v>
      </c>
      <c r="E1357">
        <v>72.5</v>
      </c>
      <c r="F1357">
        <v>2654.75</v>
      </c>
      <c r="G1357">
        <v>36.619999999999997</v>
      </c>
    </row>
    <row r="1358" spans="1:7" x14ac:dyDescent="0.3">
      <c r="A1358" t="s">
        <v>568</v>
      </c>
      <c r="B1358">
        <v>18832</v>
      </c>
      <c r="C1358" t="s">
        <v>3900</v>
      </c>
      <c r="D1358" t="s">
        <v>462</v>
      </c>
      <c r="E1358">
        <v>66.599999999999994</v>
      </c>
      <c r="F1358">
        <v>2647.6</v>
      </c>
      <c r="G1358">
        <v>39.75</v>
      </c>
    </row>
    <row r="1359" spans="1:7" x14ac:dyDescent="0.3">
      <c r="A1359" t="s">
        <v>568</v>
      </c>
      <c r="B1359">
        <v>24403</v>
      </c>
      <c r="C1359" t="s">
        <v>3992</v>
      </c>
      <c r="D1359" t="s">
        <v>462</v>
      </c>
      <c r="E1359">
        <v>3</v>
      </c>
      <c r="F1359">
        <v>38.97</v>
      </c>
      <c r="G1359">
        <v>12.99</v>
      </c>
    </row>
    <row r="1360" spans="1:7" x14ac:dyDescent="0.3">
      <c r="A1360" t="s">
        <v>568</v>
      </c>
      <c r="B1360">
        <v>18996</v>
      </c>
      <c r="C1360" t="s">
        <v>3946</v>
      </c>
      <c r="D1360" t="s">
        <v>462</v>
      </c>
      <c r="E1360">
        <v>10.7</v>
      </c>
      <c r="F1360">
        <v>160.4</v>
      </c>
      <c r="G1360">
        <v>14.99</v>
      </c>
    </row>
    <row r="1361" spans="1:7" x14ac:dyDescent="0.3">
      <c r="A1361" t="s">
        <v>568</v>
      </c>
      <c r="B1361">
        <v>17895</v>
      </c>
      <c r="C1361" t="s">
        <v>4137</v>
      </c>
      <c r="D1361" t="s">
        <v>462</v>
      </c>
      <c r="E1361">
        <v>10</v>
      </c>
      <c r="F1361">
        <v>0</v>
      </c>
      <c r="G1361">
        <v>0</v>
      </c>
    </row>
    <row r="1362" spans="1:7" x14ac:dyDescent="0.3">
      <c r="A1362" t="s">
        <v>568</v>
      </c>
      <c r="B1362">
        <v>17886</v>
      </c>
      <c r="C1362" t="s">
        <v>3935</v>
      </c>
      <c r="D1362" t="s">
        <v>462</v>
      </c>
      <c r="E1362">
        <v>20</v>
      </c>
      <c r="F1362">
        <v>0</v>
      </c>
      <c r="G1362">
        <v>0</v>
      </c>
    </row>
    <row r="1363" spans="1:7" x14ac:dyDescent="0.3">
      <c r="A1363" t="s">
        <v>568</v>
      </c>
      <c r="B1363">
        <v>19583</v>
      </c>
      <c r="C1363" t="s">
        <v>4076</v>
      </c>
      <c r="D1363" t="s">
        <v>462</v>
      </c>
      <c r="E1363">
        <v>2</v>
      </c>
      <c r="F1363">
        <v>89</v>
      </c>
      <c r="G1363">
        <v>44.5</v>
      </c>
    </row>
    <row r="1364" spans="1:7" x14ac:dyDescent="0.3">
      <c r="A1364" t="s">
        <v>568</v>
      </c>
      <c r="B1364">
        <v>19578</v>
      </c>
      <c r="C1364" t="s">
        <v>3985</v>
      </c>
      <c r="D1364" t="s">
        <v>462</v>
      </c>
      <c r="E1364">
        <v>3</v>
      </c>
      <c r="F1364">
        <v>240</v>
      </c>
      <c r="G1364">
        <v>80</v>
      </c>
    </row>
    <row r="1365" spans="1:7" x14ac:dyDescent="0.3">
      <c r="A1365" t="s">
        <v>568</v>
      </c>
      <c r="B1365">
        <v>19576</v>
      </c>
      <c r="C1365" t="s">
        <v>4021</v>
      </c>
      <c r="D1365" t="s">
        <v>462</v>
      </c>
      <c r="E1365">
        <v>3</v>
      </c>
      <c r="F1365">
        <v>45</v>
      </c>
      <c r="G1365">
        <v>15</v>
      </c>
    </row>
    <row r="1366" spans="1:7" x14ac:dyDescent="0.3">
      <c r="A1366" t="s">
        <v>568</v>
      </c>
      <c r="B1366">
        <v>19574</v>
      </c>
      <c r="C1366" t="s">
        <v>4077</v>
      </c>
      <c r="D1366" t="s">
        <v>462</v>
      </c>
      <c r="E1366">
        <v>1</v>
      </c>
      <c r="F1366">
        <v>90</v>
      </c>
      <c r="G1366">
        <v>90</v>
      </c>
    </row>
    <row r="1367" spans="1:7" x14ac:dyDescent="0.3">
      <c r="A1367" t="s">
        <v>568</v>
      </c>
      <c r="B1367">
        <v>25767</v>
      </c>
      <c r="C1367" t="s">
        <v>3976</v>
      </c>
      <c r="D1367" t="s">
        <v>462</v>
      </c>
      <c r="E1367">
        <v>3</v>
      </c>
      <c r="F1367">
        <v>240</v>
      </c>
      <c r="G1367">
        <v>80</v>
      </c>
    </row>
    <row r="1368" spans="1:7" x14ac:dyDescent="0.3">
      <c r="A1368" t="s">
        <v>568</v>
      </c>
      <c r="B1368">
        <v>19573</v>
      </c>
      <c r="C1368" t="s">
        <v>4163</v>
      </c>
      <c r="D1368" t="s">
        <v>462</v>
      </c>
      <c r="E1368">
        <v>1</v>
      </c>
      <c r="F1368">
        <v>46.4</v>
      </c>
      <c r="G1368">
        <v>46.4</v>
      </c>
    </row>
    <row r="1369" spans="1:7" x14ac:dyDescent="0.3">
      <c r="A1369" t="s">
        <v>568</v>
      </c>
      <c r="B1369">
        <v>19572</v>
      </c>
      <c r="C1369" t="s">
        <v>4023</v>
      </c>
      <c r="D1369" t="s">
        <v>462</v>
      </c>
      <c r="E1369">
        <v>5.2</v>
      </c>
      <c r="F1369">
        <v>97.29</v>
      </c>
      <c r="G1369">
        <v>18.71</v>
      </c>
    </row>
    <row r="1370" spans="1:7" x14ac:dyDescent="0.3">
      <c r="A1370" t="s">
        <v>568</v>
      </c>
      <c r="B1370">
        <v>19566</v>
      </c>
      <c r="C1370" t="s">
        <v>3986</v>
      </c>
      <c r="D1370" t="s">
        <v>462</v>
      </c>
      <c r="E1370">
        <v>3</v>
      </c>
      <c r="F1370">
        <v>150</v>
      </c>
      <c r="G1370">
        <v>50</v>
      </c>
    </row>
    <row r="1371" spans="1:7" x14ac:dyDescent="0.3">
      <c r="A1371" t="s">
        <v>568</v>
      </c>
      <c r="B1371">
        <v>19565</v>
      </c>
      <c r="C1371" t="s">
        <v>3987</v>
      </c>
      <c r="D1371" t="s">
        <v>462</v>
      </c>
      <c r="E1371">
        <v>3</v>
      </c>
      <c r="F1371">
        <v>135</v>
      </c>
      <c r="G1371">
        <v>45</v>
      </c>
    </row>
    <row r="1372" spans="1:7" x14ac:dyDescent="0.3">
      <c r="A1372" t="s">
        <v>568</v>
      </c>
      <c r="B1372">
        <v>23198</v>
      </c>
      <c r="C1372" t="s">
        <v>4167</v>
      </c>
      <c r="D1372" t="s">
        <v>462</v>
      </c>
      <c r="E1372">
        <v>4.0999999999999996</v>
      </c>
      <c r="F1372">
        <v>49.75</v>
      </c>
      <c r="G1372">
        <v>12.13</v>
      </c>
    </row>
    <row r="1373" spans="1:7" x14ac:dyDescent="0.3">
      <c r="A1373" t="s">
        <v>568</v>
      </c>
      <c r="B1373">
        <v>28711</v>
      </c>
      <c r="C1373" t="s">
        <v>4376</v>
      </c>
      <c r="D1373" t="s">
        <v>462</v>
      </c>
      <c r="E1373">
        <v>1</v>
      </c>
      <c r="F1373">
        <v>317</v>
      </c>
      <c r="G1373">
        <v>317</v>
      </c>
    </row>
    <row r="1374" spans="1:7" x14ac:dyDescent="0.3">
      <c r="A1374" t="s">
        <v>568</v>
      </c>
      <c r="B1374">
        <v>21400</v>
      </c>
      <c r="C1374" t="s">
        <v>4165</v>
      </c>
      <c r="D1374" t="s">
        <v>462</v>
      </c>
      <c r="E1374">
        <v>7.1</v>
      </c>
      <c r="F1374">
        <v>205.55</v>
      </c>
      <c r="G1374">
        <v>28.95</v>
      </c>
    </row>
    <row r="1375" spans="1:7" x14ac:dyDescent="0.3">
      <c r="A1375" t="s">
        <v>568</v>
      </c>
      <c r="B1375">
        <v>18682</v>
      </c>
      <c r="C1375" t="s">
        <v>4025</v>
      </c>
      <c r="D1375" t="s">
        <v>462</v>
      </c>
      <c r="E1375">
        <v>22.7</v>
      </c>
      <c r="F1375">
        <v>635.37</v>
      </c>
      <c r="G1375">
        <v>27.99</v>
      </c>
    </row>
    <row r="1376" spans="1:7" x14ac:dyDescent="0.3">
      <c r="A1376" t="s">
        <v>568</v>
      </c>
      <c r="B1376">
        <v>19346</v>
      </c>
      <c r="C1376" t="s">
        <v>3948</v>
      </c>
      <c r="D1376" t="s">
        <v>462</v>
      </c>
      <c r="E1376">
        <v>8.67</v>
      </c>
      <c r="F1376">
        <v>503.66</v>
      </c>
      <c r="G1376">
        <v>58.09</v>
      </c>
    </row>
    <row r="1377" spans="1:7" x14ac:dyDescent="0.3">
      <c r="A1377" t="s">
        <v>568</v>
      </c>
      <c r="B1377">
        <v>19324</v>
      </c>
      <c r="C1377" t="s">
        <v>3937</v>
      </c>
      <c r="D1377" t="s">
        <v>462</v>
      </c>
      <c r="E1377">
        <v>16.38</v>
      </c>
      <c r="F1377">
        <v>537.12</v>
      </c>
      <c r="G1377">
        <v>32.79</v>
      </c>
    </row>
    <row r="1378" spans="1:7" x14ac:dyDescent="0.3">
      <c r="A1378" t="s">
        <v>568</v>
      </c>
      <c r="B1378">
        <v>24449</v>
      </c>
      <c r="C1378" t="s">
        <v>4344</v>
      </c>
      <c r="D1378" t="s">
        <v>462</v>
      </c>
      <c r="E1378">
        <v>7.5</v>
      </c>
      <c r="F1378">
        <v>528.75</v>
      </c>
      <c r="G1378">
        <v>70.5</v>
      </c>
    </row>
    <row r="1379" spans="1:7" x14ac:dyDescent="0.3">
      <c r="A1379" t="s">
        <v>568</v>
      </c>
      <c r="B1379">
        <v>19297</v>
      </c>
      <c r="C1379" t="s">
        <v>3949</v>
      </c>
      <c r="D1379" t="s">
        <v>462</v>
      </c>
      <c r="E1379">
        <v>35.32</v>
      </c>
      <c r="F1379">
        <v>2501.33</v>
      </c>
      <c r="G1379">
        <v>70.819999999999993</v>
      </c>
    </row>
    <row r="1380" spans="1:7" x14ac:dyDescent="0.3">
      <c r="A1380" t="s">
        <v>568</v>
      </c>
      <c r="B1380">
        <v>19287</v>
      </c>
      <c r="C1380" t="s">
        <v>3974</v>
      </c>
      <c r="D1380" t="s">
        <v>462</v>
      </c>
      <c r="E1380">
        <v>13.5</v>
      </c>
      <c r="F1380">
        <v>503.46</v>
      </c>
      <c r="G1380">
        <v>37.29</v>
      </c>
    </row>
    <row r="1381" spans="1:7" x14ac:dyDescent="0.3">
      <c r="A1381" t="s">
        <v>568</v>
      </c>
      <c r="B1381">
        <v>19558</v>
      </c>
      <c r="C1381" t="s">
        <v>4183</v>
      </c>
      <c r="D1381" t="s">
        <v>462</v>
      </c>
      <c r="E1381">
        <v>3</v>
      </c>
      <c r="F1381">
        <v>45</v>
      </c>
      <c r="G1381">
        <v>15</v>
      </c>
    </row>
    <row r="1382" spans="1:7" x14ac:dyDescent="0.3">
      <c r="A1382" t="s">
        <v>568</v>
      </c>
      <c r="B1382">
        <v>25541</v>
      </c>
      <c r="C1382" t="s">
        <v>4330</v>
      </c>
      <c r="D1382" t="s">
        <v>462</v>
      </c>
      <c r="E1382">
        <v>10.7</v>
      </c>
      <c r="F1382">
        <v>350.96</v>
      </c>
      <c r="G1382">
        <v>32.799999999999997</v>
      </c>
    </row>
    <row r="1383" spans="1:7" x14ac:dyDescent="0.3">
      <c r="A1383" t="s">
        <v>568</v>
      </c>
      <c r="B1383">
        <v>18818</v>
      </c>
      <c r="C1383" t="s">
        <v>3916</v>
      </c>
      <c r="D1383" t="s">
        <v>462</v>
      </c>
      <c r="E1383">
        <v>10.7</v>
      </c>
      <c r="F1383">
        <v>350.96</v>
      </c>
      <c r="G1383">
        <v>32.799999999999997</v>
      </c>
    </row>
    <row r="1384" spans="1:7" x14ac:dyDescent="0.3">
      <c r="A1384" t="s">
        <v>568</v>
      </c>
      <c r="B1384">
        <v>19555</v>
      </c>
      <c r="C1384" t="s">
        <v>4109</v>
      </c>
      <c r="D1384" t="s">
        <v>462</v>
      </c>
      <c r="E1384">
        <v>3.2</v>
      </c>
      <c r="F1384">
        <v>92.36</v>
      </c>
      <c r="G1384">
        <v>28.86</v>
      </c>
    </row>
    <row r="1385" spans="1:7" x14ac:dyDescent="0.3">
      <c r="A1385" t="s">
        <v>568</v>
      </c>
      <c r="B1385">
        <v>28864</v>
      </c>
      <c r="C1385" t="s">
        <v>4362</v>
      </c>
      <c r="D1385" t="s">
        <v>462</v>
      </c>
      <c r="E1385">
        <v>4</v>
      </c>
      <c r="F1385">
        <v>672</v>
      </c>
      <c r="G1385">
        <v>168</v>
      </c>
    </row>
    <row r="1386" spans="1:7" x14ac:dyDescent="0.3">
      <c r="A1386" t="s">
        <v>568</v>
      </c>
      <c r="B1386">
        <v>19553</v>
      </c>
      <c r="C1386" t="s">
        <v>4078</v>
      </c>
      <c r="D1386" t="s">
        <v>462</v>
      </c>
      <c r="E1386">
        <v>3.8</v>
      </c>
      <c r="F1386">
        <v>16.63</v>
      </c>
      <c r="G1386">
        <v>4.38</v>
      </c>
    </row>
    <row r="1387" spans="1:7" x14ac:dyDescent="0.3">
      <c r="A1387" t="s">
        <v>568</v>
      </c>
      <c r="B1387">
        <v>17129</v>
      </c>
      <c r="C1387" t="s">
        <v>4200</v>
      </c>
      <c r="D1387" t="s">
        <v>462</v>
      </c>
      <c r="E1387">
        <v>3</v>
      </c>
      <c r="F1387">
        <v>86.41</v>
      </c>
      <c r="G1387">
        <v>28.8</v>
      </c>
    </row>
    <row r="1388" spans="1:7" x14ac:dyDescent="0.3">
      <c r="A1388" t="s">
        <v>568</v>
      </c>
      <c r="B1388">
        <v>17437</v>
      </c>
      <c r="C1388" t="s">
        <v>4198</v>
      </c>
      <c r="D1388" t="s">
        <v>462</v>
      </c>
      <c r="E1388">
        <v>30</v>
      </c>
      <c r="F1388">
        <v>73</v>
      </c>
      <c r="G1388">
        <v>2.4300000000000002</v>
      </c>
    </row>
    <row r="1389" spans="1:7" x14ac:dyDescent="0.3">
      <c r="A1389" t="s">
        <v>568</v>
      </c>
      <c r="B1389">
        <v>21423</v>
      </c>
      <c r="C1389" t="s">
        <v>4225</v>
      </c>
      <c r="D1389" t="s">
        <v>462</v>
      </c>
      <c r="E1389">
        <v>2</v>
      </c>
      <c r="F1389">
        <v>63.64</v>
      </c>
      <c r="G1389">
        <v>31.82</v>
      </c>
    </row>
    <row r="1390" spans="1:7" x14ac:dyDescent="0.3">
      <c r="A1390" t="s">
        <v>568</v>
      </c>
      <c r="B1390">
        <v>17397</v>
      </c>
      <c r="C1390" t="s">
        <v>4223</v>
      </c>
      <c r="D1390" t="s">
        <v>462</v>
      </c>
      <c r="E1390">
        <v>1</v>
      </c>
      <c r="F1390">
        <v>31.82</v>
      </c>
      <c r="G1390">
        <v>31.82</v>
      </c>
    </row>
    <row r="1391" spans="1:7" x14ac:dyDescent="0.3">
      <c r="A1391" t="s">
        <v>568</v>
      </c>
      <c r="B1391">
        <v>17405</v>
      </c>
      <c r="C1391" t="s">
        <v>4251</v>
      </c>
      <c r="D1391" t="s">
        <v>462</v>
      </c>
      <c r="E1391">
        <v>2</v>
      </c>
      <c r="F1391">
        <v>20</v>
      </c>
      <c r="G1391">
        <v>10</v>
      </c>
    </row>
    <row r="1392" spans="1:7" x14ac:dyDescent="0.3">
      <c r="A1392" t="s">
        <v>568</v>
      </c>
      <c r="B1392">
        <v>17404</v>
      </c>
      <c r="C1392" t="s">
        <v>4282</v>
      </c>
      <c r="D1392" t="s">
        <v>462</v>
      </c>
      <c r="E1392">
        <v>2</v>
      </c>
      <c r="F1392">
        <v>39.799999999999997</v>
      </c>
      <c r="G1392">
        <v>19.899999999999999</v>
      </c>
    </row>
    <row r="1393" spans="1:7" x14ac:dyDescent="0.3">
      <c r="A1393" t="s">
        <v>568</v>
      </c>
      <c r="B1393">
        <v>17383</v>
      </c>
      <c r="C1393" t="s">
        <v>4252</v>
      </c>
      <c r="D1393" t="s">
        <v>462</v>
      </c>
      <c r="E1393">
        <v>1</v>
      </c>
      <c r="F1393">
        <v>42</v>
      </c>
      <c r="G1393">
        <v>42</v>
      </c>
    </row>
    <row r="1394" spans="1:7" x14ac:dyDescent="0.3">
      <c r="A1394" t="s">
        <v>568</v>
      </c>
      <c r="B1394">
        <v>17377</v>
      </c>
      <c r="C1394" t="s">
        <v>4390</v>
      </c>
      <c r="D1394" t="s">
        <v>462</v>
      </c>
      <c r="E1394">
        <v>1</v>
      </c>
      <c r="F1394">
        <v>155</v>
      </c>
      <c r="G1394">
        <v>155</v>
      </c>
    </row>
    <row r="1395" spans="1:7" x14ac:dyDescent="0.3">
      <c r="A1395" t="s">
        <v>568</v>
      </c>
      <c r="B1395">
        <v>20466</v>
      </c>
      <c r="C1395" t="s">
        <v>4098</v>
      </c>
      <c r="D1395" t="s">
        <v>462</v>
      </c>
      <c r="E1395">
        <v>1.4</v>
      </c>
      <c r="F1395">
        <v>95.2</v>
      </c>
      <c r="G1395">
        <v>68</v>
      </c>
    </row>
    <row r="1396" spans="1:7" x14ac:dyDescent="0.3">
      <c r="A1396" t="s">
        <v>568</v>
      </c>
      <c r="B1396">
        <v>23113</v>
      </c>
      <c r="C1396" t="s">
        <v>4079</v>
      </c>
      <c r="D1396" t="s">
        <v>462</v>
      </c>
      <c r="E1396">
        <v>12.7</v>
      </c>
      <c r="F1396">
        <v>127.49</v>
      </c>
      <c r="G1396">
        <v>10.039999999999999</v>
      </c>
    </row>
    <row r="1397" spans="1:7" x14ac:dyDescent="0.3">
      <c r="A1397" t="s">
        <v>568</v>
      </c>
      <c r="B1397">
        <v>19465</v>
      </c>
      <c r="C1397" t="s">
        <v>4080</v>
      </c>
      <c r="D1397" t="s">
        <v>462</v>
      </c>
      <c r="E1397">
        <v>3.6</v>
      </c>
      <c r="F1397">
        <v>23.51</v>
      </c>
      <c r="G1397">
        <v>6.53</v>
      </c>
    </row>
    <row r="1398" spans="1:7" x14ac:dyDescent="0.3">
      <c r="A1398" t="s">
        <v>568</v>
      </c>
      <c r="B1398">
        <v>20458</v>
      </c>
      <c r="C1398" t="s">
        <v>4121</v>
      </c>
      <c r="D1398" t="s">
        <v>462</v>
      </c>
      <c r="E1398">
        <v>6.2</v>
      </c>
      <c r="F1398">
        <v>203.98</v>
      </c>
      <c r="G1398">
        <v>32.9</v>
      </c>
    </row>
    <row r="1399" spans="1:7" x14ac:dyDescent="0.3">
      <c r="A1399" t="s">
        <v>568</v>
      </c>
      <c r="B1399">
        <v>20456</v>
      </c>
      <c r="C1399" t="s">
        <v>4000</v>
      </c>
      <c r="D1399" t="s">
        <v>462</v>
      </c>
      <c r="E1399">
        <v>2.8</v>
      </c>
      <c r="F1399">
        <v>109.2</v>
      </c>
      <c r="G1399">
        <v>39</v>
      </c>
    </row>
    <row r="1400" spans="1:7" x14ac:dyDescent="0.3">
      <c r="A1400" t="s">
        <v>568</v>
      </c>
      <c r="B1400">
        <v>18253</v>
      </c>
      <c r="C1400" t="s">
        <v>3947</v>
      </c>
      <c r="D1400" t="s">
        <v>462</v>
      </c>
      <c r="E1400">
        <v>5</v>
      </c>
      <c r="F1400">
        <v>141.55000000000001</v>
      </c>
      <c r="G1400">
        <v>28.31</v>
      </c>
    </row>
    <row r="1401" spans="1:7" x14ac:dyDescent="0.3">
      <c r="A1401" t="s">
        <v>568</v>
      </c>
      <c r="B1401">
        <v>17883</v>
      </c>
      <c r="C1401" t="s">
        <v>4136</v>
      </c>
      <c r="D1401" t="s">
        <v>462</v>
      </c>
      <c r="E1401">
        <v>2</v>
      </c>
      <c r="F1401">
        <v>46.9</v>
      </c>
      <c r="G1401">
        <v>23.45</v>
      </c>
    </row>
    <row r="1402" spans="1:7" x14ac:dyDescent="0.3">
      <c r="A1402" t="s">
        <v>568</v>
      </c>
      <c r="B1402">
        <v>17881</v>
      </c>
      <c r="C1402" t="s">
        <v>4095</v>
      </c>
      <c r="D1402" t="s">
        <v>462</v>
      </c>
      <c r="E1402">
        <v>8</v>
      </c>
      <c r="F1402">
        <v>0.04</v>
      </c>
      <c r="G1402">
        <v>0.01</v>
      </c>
    </row>
    <row r="1403" spans="1:7" x14ac:dyDescent="0.3">
      <c r="A1403" t="s">
        <v>568</v>
      </c>
      <c r="B1403">
        <v>28712</v>
      </c>
      <c r="C1403" t="s">
        <v>4377</v>
      </c>
      <c r="D1403" t="s">
        <v>462</v>
      </c>
      <c r="E1403">
        <v>1</v>
      </c>
      <c r="F1403">
        <v>148</v>
      </c>
      <c r="G1403">
        <v>148</v>
      </c>
    </row>
    <row r="1404" spans="1:7" x14ac:dyDescent="0.3">
      <c r="A1404" t="s">
        <v>568</v>
      </c>
      <c r="B1404">
        <v>28720</v>
      </c>
      <c r="C1404" t="s">
        <v>4216</v>
      </c>
      <c r="D1404" t="s">
        <v>462</v>
      </c>
      <c r="E1404">
        <v>1</v>
      </c>
      <c r="F1404">
        <v>399</v>
      </c>
      <c r="G1404">
        <v>399</v>
      </c>
    </row>
    <row r="1405" spans="1:7" x14ac:dyDescent="0.3">
      <c r="A1405" t="s">
        <v>568</v>
      </c>
      <c r="B1405">
        <v>28639</v>
      </c>
      <c r="C1405" t="s">
        <v>4303</v>
      </c>
      <c r="D1405" t="s">
        <v>462</v>
      </c>
      <c r="E1405">
        <v>1</v>
      </c>
      <c r="F1405">
        <v>246</v>
      </c>
      <c r="G1405">
        <v>246</v>
      </c>
    </row>
    <row r="1406" spans="1:7" x14ac:dyDescent="0.3">
      <c r="A1406" t="s">
        <v>568</v>
      </c>
      <c r="B1406">
        <v>19672</v>
      </c>
      <c r="C1406" t="s">
        <v>4024</v>
      </c>
      <c r="D1406" t="s">
        <v>462</v>
      </c>
      <c r="E1406">
        <v>12</v>
      </c>
      <c r="F1406">
        <v>182.5</v>
      </c>
      <c r="G1406">
        <v>15.21</v>
      </c>
    </row>
    <row r="1407" spans="1:7" x14ac:dyDescent="0.3">
      <c r="A1407" t="s">
        <v>568</v>
      </c>
      <c r="B1407">
        <v>17125</v>
      </c>
      <c r="C1407" t="s">
        <v>4391</v>
      </c>
      <c r="D1407" t="s">
        <v>462</v>
      </c>
      <c r="E1407">
        <v>6</v>
      </c>
      <c r="F1407">
        <v>25.2</v>
      </c>
      <c r="G1407">
        <v>4.2</v>
      </c>
    </row>
    <row r="1408" spans="1:7" x14ac:dyDescent="0.3">
      <c r="A1408" t="s">
        <v>568</v>
      </c>
      <c r="B1408">
        <v>25769</v>
      </c>
      <c r="C1408" t="s">
        <v>4013</v>
      </c>
      <c r="D1408" t="s">
        <v>462</v>
      </c>
      <c r="E1408">
        <v>2</v>
      </c>
      <c r="F1408">
        <v>26</v>
      </c>
      <c r="G1408">
        <v>13</v>
      </c>
    </row>
    <row r="1409" spans="1:7" x14ac:dyDescent="0.3">
      <c r="A1409" t="s">
        <v>568</v>
      </c>
      <c r="B1409">
        <v>28867</v>
      </c>
      <c r="C1409" t="s">
        <v>4364</v>
      </c>
      <c r="D1409" t="s">
        <v>462</v>
      </c>
      <c r="E1409">
        <v>4</v>
      </c>
      <c r="F1409">
        <v>940</v>
      </c>
      <c r="G1409">
        <v>235</v>
      </c>
    </row>
    <row r="1410" spans="1:7" x14ac:dyDescent="0.3">
      <c r="A1410" t="s">
        <v>568</v>
      </c>
      <c r="B1410">
        <v>19539</v>
      </c>
      <c r="C1410" t="s">
        <v>4133</v>
      </c>
      <c r="D1410" t="s">
        <v>462</v>
      </c>
      <c r="E1410">
        <v>36</v>
      </c>
      <c r="F1410">
        <v>243</v>
      </c>
      <c r="G1410">
        <v>6.75</v>
      </c>
    </row>
    <row r="1411" spans="1:7" x14ac:dyDescent="0.3">
      <c r="A1411" t="s">
        <v>568</v>
      </c>
      <c r="B1411">
        <v>23171</v>
      </c>
      <c r="C1411" t="s">
        <v>4132</v>
      </c>
      <c r="D1411" t="s">
        <v>462</v>
      </c>
      <c r="E1411">
        <v>21.25</v>
      </c>
      <c r="F1411">
        <v>144.19999999999999</v>
      </c>
      <c r="G1411">
        <v>6.79</v>
      </c>
    </row>
    <row r="1412" spans="1:7" x14ac:dyDescent="0.3">
      <c r="A1412" t="s">
        <v>568</v>
      </c>
      <c r="B1412">
        <v>24484</v>
      </c>
      <c r="C1412" t="s">
        <v>4154</v>
      </c>
      <c r="D1412" t="s">
        <v>462</v>
      </c>
      <c r="E1412">
        <v>1.2</v>
      </c>
      <c r="F1412">
        <v>12.1</v>
      </c>
      <c r="G1412">
        <v>10.08</v>
      </c>
    </row>
    <row r="1413" spans="1:7" x14ac:dyDescent="0.3">
      <c r="A1413" t="s">
        <v>568</v>
      </c>
      <c r="B1413">
        <v>17362</v>
      </c>
      <c r="C1413" t="s">
        <v>4278</v>
      </c>
      <c r="D1413" t="s">
        <v>462</v>
      </c>
      <c r="E1413">
        <v>1</v>
      </c>
      <c r="F1413">
        <v>65</v>
      </c>
      <c r="G1413">
        <v>65</v>
      </c>
    </row>
    <row r="1414" spans="1:7" x14ac:dyDescent="0.3">
      <c r="A1414" t="s">
        <v>568</v>
      </c>
      <c r="B1414">
        <v>28868</v>
      </c>
      <c r="C1414" t="s">
        <v>4365</v>
      </c>
      <c r="D1414" t="s">
        <v>462</v>
      </c>
      <c r="E1414">
        <v>20</v>
      </c>
      <c r="F1414">
        <v>168</v>
      </c>
      <c r="G1414">
        <v>8.4</v>
      </c>
    </row>
    <row r="1415" spans="1:7" x14ac:dyDescent="0.3">
      <c r="A1415" t="s">
        <v>568</v>
      </c>
      <c r="B1415">
        <v>28869</v>
      </c>
      <c r="C1415" t="s">
        <v>4366</v>
      </c>
      <c r="D1415" t="s">
        <v>462</v>
      </c>
      <c r="E1415">
        <v>20</v>
      </c>
      <c r="F1415">
        <v>18</v>
      </c>
      <c r="G1415">
        <v>0.9</v>
      </c>
    </row>
    <row r="1416" spans="1:7" x14ac:dyDescent="0.3">
      <c r="A1416" t="s">
        <v>568</v>
      </c>
      <c r="B1416">
        <v>28870</v>
      </c>
      <c r="C1416" t="s">
        <v>4367</v>
      </c>
      <c r="D1416" t="s">
        <v>462</v>
      </c>
      <c r="E1416">
        <v>20</v>
      </c>
      <c r="F1416">
        <v>33.799999999999997</v>
      </c>
      <c r="G1416">
        <v>1.69</v>
      </c>
    </row>
    <row r="1417" spans="1:7" x14ac:dyDescent="0.3">
      <c r="A1417" t="s">
        <v>568</v>
      </c>
      <c r="B1417">
        <v>28862</v>
      </c>
      <c r="C1417" t="s">
        <v>4361</v>
      </c>
      <c r="D1417" t="s">
        <v>462</v>
      </c>
      <c r="E1417">
        <v>5.7</v>
      </c>
      <c r="F1417">
        <v>717.63</v>
      </c>
      <c r="G1417">
        <v>125.9</v>
      </c>
    </row>
    <row r="1418" spans="1:7" x14ac:dyDescent="0.3">
      <c r="A1418" t="s">
        <v>568</v>
      </c>
      <c r="B1418">
        <v>28871</v>
      </c>
      <c r="C1418" t="s">
        <v>4368</v>
      </c>
      <c r="D1418" t="s">
        <v>462</v>
      </c>
      <c r="E1418">
        <v>9</v>
      </c>
      <c r="F1418">
        <v>1187.0999999999999</v>
      </c>
      <c r="G1418">
        <v>131.9</v>
      </c>
    </row>
    <row r="1419" spans="1:7" x14ac:dyDescent="0.3">
      <c r="A1419" t="s">
        <v>568</v>
      </c>
      <c r="B1419">
        <v>27442</v>
      </c>
      <c r="C1419" t="s">
        <v>4393</v>
      </c>
      <c r="D1419" t="s">
        <v>462</v>
      </c>
      <c r="E1419">
        <v>1</v>
      </c>
      <c r="F1419">
        <v>4</v>
      </c>
      <c r="G1419">
        <v>4</v>
      </c>
    </row>
    <row r="1420" spans="1:7" x14ac:dyDescent="0.3">
      <c r="A1420" t="s">
        <v>568</v>
      </c>
      <c r="B1420">
        <v>17066</v>
      </c>
      <c r="C1420" t="s">
        <v>4155</v>
      </c>
      <c r="D1420" t="s">
        <v>462</v>
      </c>
      <c r="E1420">
        <v>2</v>
      </c>
      <c r="F1420">
        <v>38.86</v>
      </c>
      <c r="G1420">
        <v>19.43</v>
      </c>
    </row>
    <row r="1421" spans="1:7" x14ac:dyDescent="0.3">
      <c r="A1421" t="s">
        <v>568</v>
      </c>
      <c r="B1421">
        <v>18200</v>
      </c>
      <c r="C1421" t="s">
        <v>4032</v>
      </c>
      <c r="D1421" t="s">
        <v>462</v>
      </c>
      <c r="E1421">
        <v>1</v>
      </c>
      <c r="F1421">
        <v>36.799999999999997</v>
      </c>
      <c r="G1421">
        <v>36.799999999999997</v>
      </c>
    </row>
    <row r="1422" spans="1:7" x14ac:dyDescent="0.3">
      <c r="A1422" t="s">
        <v>568</v>
      </c>
      <c r="B1422">
        <v>18172</v>
      </c>
      <c r="C1422" t="s">
        <v>3923</v>
      </c>
      <c r="D1422" t="s">
        <v>462</v>
      </c>
      <c r="E1422">
        <v>6</v>
      </c>
      <c r="F1422">
        <v>188.4</v>
      </c>
      <c r="G1422">
        <v>31.4</v>
      </c>
    </row>
    <row r="1423" spans="1:7" x14ac:dyDescent="0.3">
      <c r="A1423" t="s">
        <v>568</v>
      </c>
      <c r="B1423">
        <v>18129</v>
      </c>
      <c r="C1423" t="s">
        <v>4092</v>
      </c>
      <c r="D1423" t="s">
        <v>462</v>
      </c>
      <c r="E1423">
        <v>1</v>
      </c>
      <c r="F1423">
        <v>122.36</v>
      </c>
      <c r="G1423">
        <v>122.36</v>
      </c>
    </row>
    <row r="1424" spans="1:7" x14ac:dyDescent="0.3">
      <c r="A1424" t="s">
        <v>568</v>
      </c>
      <c r="B1424">
        <v>18111</v>
      </c>
      <c r="C1424" t="s">
        <v>4047</v>
      </c>
      <c r="D1424" t="s">
        <v>462</v>
      </c>
      <c r="E1424">
        <v>2</v>
      </c>
      <c r="F1424">
        <v>183.8</v>
      </c>
      <c r="G1424">
        <v>91.9</v>
      </c>
    </row>
    <row r="1425" spans="1:7" x14ac:dyDescent="0.3">
      <c r="A1425" t="s">
        <v>568</v>
      </c>
      <c r="B1425">
        <v>19787</v>
      </c>
      <c r="C1425" t="s">
        <v>3940</v>
      </c>
      <c r="D1425" t="s">
        <v>461</v>
      </c>
      <c r="E1425">
        <v>47.8</v>
      </c>
      <c r="F1425">
        <v>237.95</v>
      </c>
      <c r="G1425">
        <v>4.9800000000000004</v>
      </c>
    </row>
    <row r="1426" spans="1:7" x14ac:dyDescent="0.3">
      <c r="A1426" t="s">
        <v>568</v>
      </c>
      <c r="B1426">
        <v>27472</v>
      </c>
      <c r="C1426" t="s">
        <v>4146</v>
      </c>
      <c r="D1426" t="s">
        <v>461</v>
      </c>
      <c r="E1426">
        <v>2</v>
      </c>
      <c r="F1426">
        <v>33.44</v>
      </c>
      <c r="G1426">
        <v>16.72</v>
      </c>
    </row>
    <row r="1427" spans="1:7" x14ac:dyDescent="0.3">
      <c r="A1427" t="s">
        <v>568</v>
      </c>
      <c r="B1427">
        <v>21093</v>
      </c>
      <c r="C1427" t="s">
        <v>3903</v>
      </c>
      <c r="D1427" t="s">
        <v>461</v>
      </c>
      <c r="E1427">
        <v>40</v>
      </c>
      <c r="F1427">
        <v>187.3</v>
      </c>
      <c r="G1427">
        <v>4.68</v>
      </c>
    </row>
    <row r="1428" spans="1:7" x14ac:dyDescent="0.3">
      <c r="A1428" t="s">
        <v>568</v>
      </c>
      <c r="B1428">
        <v>19458</v>
      </c>
      <c r="C1428" t="s">
        <v>4212</v>
      </c>
      <c r="D1428" t="s">
        <v>461</v>
      </c>
      <c r="E1428">
        <v>3</v>
      </c>
      <c r="F1428">
        <v>36.5</v>
      </c>
      <c r="G1428">
        <v>12.17</v>
      </c>
    </row>
    <row r="1429" spans="1:7" x14ac:dyDescent="0.3">
      <c r="A1429" t="s">
        <v>568</v>
      </c>
      <c r="B1429">
        <v>17950</v>
      </c>
      <c r="C1429" t="s">
        <v>4170</v>
      </c>
      <c r="D1429" t="s">
        <v>461</v>
      </c>
      <c r="E1429">
        <v>25</v>
      </c>
      <c r="F1429">
        <v>467.5</v>
      </c>
      <c r="G1429">
        <v>18.7</v>
      </c>
    </row>
    <row r="1430" spans="1:7" x14ac:dyDescent="0.3">
      <c r="A1430" t="s">
        <v>568</v>
      </c>
      <c r="B1430">
        <v>17958</v>
      </c>
      <c r="C1430" t="s">
        <v>4141</v>
      </c>
      <c r="D1430" t="s">
        <v>461</v>
      </c>
      <c r="E1430">
        <v>40</v>
      </c>
      <c r="F1430">
        <v>708</v>
      </c>
      <c r="G1430">
        <v>17.7</v>
      </c>
    </row>
    <row r="1431" spans="1:7" x14ac:dyDescent="0.3">
      <c r="A1431" t="s">
        <v>568</v>
      </c>
      <c r="B1431">
        <v>17314</v>
      </c>
      <c r="C1431" t="s">
        <v>4204</v>
      </c>
      <c r="D1431" t="s">
        <v>461</v>
      </c>
      <c r="E1431">
        <v>8</v>
      </c>
      <c r="F1431">
        <v>49.58</v>
      </c>
      <c r="G1431">
        <v>6.2</v>
      </c>
    </row>
    <row r="1432" spans="1:7" x14ac:dyDescent="0.3">
      <c r="A1432" t="s">
        <v>568</v>
      </c>
      <c r="B1432">
        <v>18006</v>
      </c>
      <c r="C1432" t="s">
        <v>4138</v>
      </c>
      <c r="D1432" t="s">
        <v>461</v>
      </c>
      <c r="E1432">
        <v>4</v>
      </c>
      <c r="F1432">
        <v>118.56</v>
      </c>
      <c r="G1432">
        <v>29.64</v>
      </c>
    </row>
    <row r="1433" spans="1:7" x14ac:dyDescent="0.3">
      <c r="A1433" t="s">
        <v>568</v>
      </c>
      <c r="B1433">
        <v>22118</v>
      </c>
      <c r="C1433" t="s">
        <v>3880</v>
      </c>
      <c r="D1433" t="s">
        <v>461</v>
      </c>
      <c r="E1433">
        <v>5</v>
      </c>
      <c r="F1433">
        <v>127.65</v>
      </c>
      <c r="G1433">
        <v>25.53</v>
      </c>
    </row>
    <row r="1434" spans="1:7" x14ac:dyDescent="0.3">
      <c r="A1434" t="s">
        <v>568</v>
      </c>
      <c r="B1434">
        <v>18004</v>
      </c>
      <c r="C1434" t="s">
        <v>4140</v>
      </c>
      <c r="D1434" t="s">
        <v>461</v>
      </c>
      <c r="E1434">
        <v>2</v>
      </c>
      <c r="F1434">
        <v>59.28</v>
      </c>
      <c r="G1434">
        <v>29.64</v>
      </c>
    </row>
    <row r="1435" spans="1:7" x14ac:dyDescent="0.3">
      <c r="A1435" t="s">
        <v>568</v>
      </c>
      <c r="B1435">
        <v>17266</v>
      </c>
      <c r="C1435" t="s">
        <v>4229</v>
      </c>
      <c r="D1435" t="s">
        <v>461</v>
      </c>
      <c r="E1435">
        <v>36</v>
      </c>
      <c r="F1435">
        <v>180.72</v>
      </c>
      <c r="G1435">
        <v>5.0199999999999996</v>
      </c>
    </row>
    <row r="1436" spans="1:7" x14ac:dyDescent="0.3">
      <c r="A1436" t="s">
        <v>568</v>
      </c>
      <c r="B1436">
        <v>17264</v>
      </c>
      <c r="C1436" t="s">
        <v>4248</v>
      </c>
      <c r="D1436" t="s">
        <v>461</v>
      </c>
      <c r="E1436">
        <v>24</v>
      </c>
      <c r="F1436">
        <v>143.76</v>
      </c>
      <c r="G1436">
        <v>5.99</v>
      </c>
    </row>
    <row r="1437" spans="1:7" x14ac:dyDescent="0.3">
      <c r="A1437" t="s">
        <v>568</v>
      </c>
      <c r="B1437">
        <v>19506</v>
      </c>
      <c r="C1437" t="s">
        <v>4112</v>
      </c>
      <c r="D1437" t="s">
        <v>461</v>
      </c>
      <c r="E1437">
        <v>1.9</v>
      </c>
      <c r="F1437">
        <v>78.400000000000006</v>
      </c>
      <c r="G1437">
        <v>41.26</v>
      </c>
    </row>
    <row r="1438" spans="1:7" x14ac:dyDescent="0.3">
      <c r="A1438" t="s">
        <v>568</v>
      </c>
      <c r="B1438">
        <v>19505</v>
      </c>
      <c r="C1438" t="s">
        <v>4101</v>
      </c>
      <c r="D1438" t="s">
        <v>461</v>
      </c>
      <c r="E1438">
        <v>9.5</v>
      </c>
      <c r="F1438">
        <v>103.85</v>
      </c>
      <c r="G1438">
        <v>10.93</v>
      </c>
    </row>
    <row r="1439" spans="1:7" x14ac:dyDescent="0.3">
      <c r="A1439" t="s">
        <v>568</v>
      </c>
      <c r="B1439">
        <v>23142</v>
      </c>
      <c r="C1439" t="s">
        <v>4151</v>
      </c>
      <c r="D1439" t="s">
        <v>461</v>
      </c>
      <c r="E1439">
        <v>7.5</v>
      </c>
      <c r="F1439">
        <v>188.58</v>
      </c>
      <c r="G1439">
        <v>25.14</v>
      </c>
    </row>
    <row r="1440" spans="1:7" x14ac:dyDescent="0.3">
      <c r="A1440" t="s">
        <v>568</v>
      </c>
      <c r="B1440">
        <v>19499</v>
      </c>
      <c r="C1440" t="s">
        <v>4408</v>
      </c>
      <c r="D1440" t="s">
        <v>461</v>
      </c>
      <c r="E1440">
        <v>1</v>
      </c>
      <c r="F1440">
        <v>15</v>
      </c>
      <c r="G1440">
        <v>15</v>
      </c>
    </row>
    <row r="1441" spans="1:7" x14ac:dyDescent="0.3">
      <c r="A1441" t="s">
        <v>568</v>
      </c>
      <c r="B1441">
        <v>19498</v>
      </c>
      <c r="C1441" t="s">
        <v>4065</v>
      </c>
      <c r="D1441" t="s">
        <v>461</v>
      </c>
      <c r="E1441">
        <v>8</v>
      </c>
      <c r="F1441">
        <v>92.8</v>
      </c>
      <c r="G1441">
        <v>11.6</v>
      </c>
    </row>
    <row r="1442" spans="1:7" x14ac:dyDescent="0.3">
      <c r="A1442" t="s">
        <v>568</v>
      </c>
      <c r="B1442">
        <v>19652</v>
      </c>
      <c r="C1442" t="s">
        <v>4014</v>
      </c>
      <c r="D1442" t="s">
        <v>461</v>
      </c>
      <c r="E1442">
        <v>1.1499999999999999</v>
      </c>
      <c r="F1442">
        <v>21.93</v>
      </c>
      <c r="G1442">
        <v>19.07</v>
      </c>
    </row>
    <row r="1443" spans="1:7" x14ac:dyDescent="0.3">
      <c r="A1443" t="s">
        <v>568</v>
      </c>
      <c r="B1443">
        <v>23270</v>
      </c>
      <c r="C1443" t="s">
        <v>4103</v>
      </c>
      <c r="D1443" t="s">
        <v>461</v>
      </c>
      <c r="E1443">
        <v>1</v>
      </c>
      <c r="F1443">
        <v>26.44</v>
      </c>
      <c r="G1443">
        <v>26.44</v>
      </c>
    </row>
    <row r="1444" spans="1:7" x14ac:dyDescent="0.3">
      <c r="A1444" t="s">
        <v>568</v>
      </c>
      <c r="B1444">
        <v>19647</v>
      </c>
      <c r="C1444" t="s">
        <v>4066</v>
      </c>
      <c r="D1444" t="s">
        <v>461</v>
      </c>
      <c r="E1444">
        <v>4</v>
      </c>
      <c r="F1444">
        <v>43.9</v>
      </c>
      <c r="G1444">
        <v>10.98</v>
      </c>
    </row>
    <row r="1445" spans="1:7" x14ac:dyDescent="0.3">
      <c r="A1445" t="s">
        <v>568</v>
      </c>
      <c r="B1445">
        <v>24037</v>
      </c>
      <c r="C1445" t="s">
        <v>4104</v>
      </c>
      <c r="D1445" t="s">
        <v>461</v>
      </c>
      <c r="E1445">
        <v>17</v>
      </c>
      <c r="F1445">
        <v>351</v>
      </c>
      <c r="G1445">
        <v>20.65</v>
      </c>
    </row>
    <row r="1446" spans="1:7" x14ac:dyDescent="0.3">
      <c r="A1446" t="s">
        <v>568</v>
      </c>
      <c r="B1446">
        <v>18545</v>
      </c>
      <c r="C1446" t="s">
        <v>4099</v>
      </c>
      <c r="D1446" t="s">
        <v>461</v>
      </c>
      <c r="E1446">
        <v>2</v>
      </c>
      <c r="F1446">
        <v>91.8</v>
      </c>
      <c r="G1446">
        <v>45.9</v>
      </c>
    </row>
    <row r="1447" spans="1:7" x14ac:dyDescent="0.3">
      <c r="A1447" t="s">
        <v>568</v>
      </c>
      <c r="B1447">
        <v>18538</v>
      </c>
      <c r="C1447" t="s">
        <v>4026</v>
      </c>
      <c r="D1447" t="s">
        <v>461</v>
      </c>
      <c r="E1447">
        <v>5</v>
      </c>
      <c r="F1447">
        <v>524.5</v>
      </c>
      <c r="G1447">
        <v>104.9</v>
      </c>
    </row>
    <row r="1448" spans="1:7" x14ac:dyDescent="0.3">
      <c r="A1448" t="s">
        <v>568</v>
      </c>
      <c r="B1448">
        <v>20304</v>
      </c>
      <c r="C1448" t="s">
        <v>3938</v>
      </c>
      <c r="D1448" t="s">
        <v>461</v>
      </c>
      <c r="E1448">
        <v>18</v>
      </c>
      <c r="F1448">
        <v>414</v>
      </c>
      <c r="G1448">
        <v>23</v>
      </c>
    </row>
    <row r="1449" spans="1:7" x14ac:dyDescent="0.3">
      <c r="A1449" t="s">
        <v>568</v>
      </c>
      <c r="B1449">
        <v>21783</v>
      </c>
      <c r="C1449" t="s">
        <v>4228</v>
      </c>
      <c r="D1449" t="s">
        <v>461</v>
      </c>
      <c r="E1449">
        <v>2</v>
      </c>
      <c r="F1449">
        <v>21.9</v>
      </c>
      <c r="G1449">
        <v>10.95</v>
      </c>
    </row>
    <row r="1450" spans="1:7" x14ac:dyDescent="0.3">
      <c r="A1450" t="s">
        <v>568</v>
      </c>
      <c r="B1450">
        <v>21030</v>
      </c>
      <c r="C1450" t="s">
        <v>3890</v>
      </c>
      <c r="D1450" t="s">
        <v>461</v>
      </c>
      <c r="E1450">
        <v>18</v>
      </c>
      <c r="F1450">
        <v>347.1</v>
      </c>
      <c r="G1450">
        <v>19.28</v>
      </c>
    </row>
    <row r="1451" spans="1:7" x14ac:dyDescent="0.3">
      <c r="A1451" t="s">
        <v>568</v>
      </c>
      <c r="B1451">
        <v>23982</v>
      </c>
      <c r="C1451" t="s">
        <v>3977</v>
      </c>
      <c r="D1451" t="s">
        <v>461</v>
      </c>
      <c r="E1451">
        <v>4</v>
      </c>
      <c r="F1451">
        <v>962.27</v>
      </c>
      <c r="G1451">
        <v>240.57</v>
      </c>
    </row>
    <row r="1452" spans="1:7" x14ac:dyDescent="0.3">
      <c r="A1452" t="s">
        <v>568</v>
      </c>
      <c r="B1452">
        <v>20755</v>
      </c>
      <c r="C1452" t="s">
        <v>4052</v>
      </c>
      <c r="D1452" t="s">
        <v>461</v>
      </c>
      <c r="E1452">
        <v>1</v>
      </c>
      <c r="F1452">
        <v>115</v>
      </c>
      <c r="G1452">
        <v>115</v>
      </c>
    </row>
    <row r="1453" spans="1:7" x14ac:dyDescent="0.3">
      <c r="A1453" t="s">
        <v>568</v>
      </c>
      <c r="B1453">
        <v>20752</v>
      </c>
      <c r="C1453" t="s">
        <v>3964</v>
      </c>
      <c r="D1453" t="s">
        <v>461</v>
      </c>
      <c r="E1453">
        <v>11</v>
      </c>
      <c r="F1453">
        <v>1188.5</v>
      </c>
      <c r="G1453">
        <v>108.05</v>
      </c>
    </row>
    <row r="1454" spans="1:7" x14ac:dyDescent="0.3">
      <c r="A1454" t="s">
        <v>568</v>
      </c>
      <c r="B1454">
        <v>20729</v>
      </c>
      <c r="C1454" t="s">
        <v>3965</v>
      </c>
      <c r="D1454" t="s">
        <v>461</v>
      </c>
      <c r="E1454">
        <v>13</v>
      </c>
      <c r="F1454">
        <v>856.48</v>
      </c>
      <c r="G1454">
        <v>65.88</v>
      </c>
    </row>
    <row r="1455" spans="1:7" x14ac:dyDescent="0.3">
      <c r="A1455" t="s">
        <v>568</v>
      </c>
      <c r="B1455">
        <v>22734</v>
      </c>
      <c r="C1455" t="s">
        <v>3955</v>
      </c>
      <c r="D1455" t="s">
        <v>461</v>
      </c>
      <c r="E1455">
        <v>55.6</v>
      </c>
      <c r="F1455">
        <v>4994.3999999999996</v>
      </c>
      <c r="G1455">
        <v>89.83</v>
      </c>
    </row>
    <row r="1456" spans="1:7" x14ac:dyDescent="0.3">
      <c r="A1456" t="s">
        <v>568</v>
      </c>
      <c r="B1456">
        <v>24072</v>
      </c>
      <c r="C1456" t="s">
        <v>4002</v>
      </c>
      <c r="D1456" t="s">
        <v>461</v>
      </c>
      <c r="E1456">
        <v>22.5</v>
      </c>
      <c r="F1456">
        <v>4614</v>
      </c>
      <c r="G1456">
        <v>205.07</v>
      </c>
    </row>
    <row r="1457" spans="1:7" x14ac:dyDescent="0.3">
      <c r="A1457" t="s">
        <v>568</v>
      </c>
      <c r="B1457">
        <v>22721</v>
      </c>
      <c r="C1457" t="s">
        <v>4221</v>
      </c>
      <c r="D1457" t="s">
        <v>461</v>
      </c>
      <c r="E1457">
        <v>13.12</v>
      </c>
      <c r="F1457">
        <v>371.3</v>
      </c>
      <c r="G1457">
        <v>28.3</v>
      </c>
    </row>
    <row r="1458" spans="1:7" x14ac:dyDescent="0.3">
      <c r="A1458" t="s">
        <v>568</v>
      </c>
      <c r="B1458">
        <v>23389</v>
      </c>
      <c r="C1458" t="s">
        <v>4016</v>
      </c>
      <c r="D1458" t="s">
        <v>461</v>
      </c>
      <c r="E1458">
        <v>49.8</v>
      </c>
      <c r="F1458">
        <v>272.79000000000002</v>
      </c>
      <c r="G1458">
        <v>5.48</v>
      </c>
    </row>
    <row r="1459" spans="1:7" x14ac:dyDescent="0.3">
      <c r="A1459" t="s">
        <v>568</v>
      </c>
      <c r="B1459">
        <v>24083</v>
      </c>
      <c r="C1459" t="s">
        <v>3898</v>
      </c>
      <c r="D1459" t="s">
        <v>461</v>
      </c>
      <c r="E1459">
        <v>185</v>
      </c>
      <c r="F1459">
        <v>728.9</v>
      </c>
      <c r="G1459">
        <v>3.94</v>
      </c>
    </row>
    <row r="1460" spans="1:7" x14ac:dyDescent="0.3">
      <c r="A1460" t="s">
        <v>568</v>
      </c>
      <c r="B1460">
        <v>20278</v>
      </c>
      <c r="C1460" t="s">
        <v>3939</v>
      </c>
      <c r="D1460" t="s">
        <v>461</v>
      </c>
      <c r="E1460">
        <v>50</v>
      </c>
      <c r="F1460">
        <v>1663.5</v>
      </c>
      <c r="G1460">
        <v>33.270000000000003</v>
      </c>
    </row>
    <row r="1461" spans="1:7" x14ac:dyDescent="0.3">
      <c r="A1461" t="s">
        <v>568</v>
      </c>
      <c r="B1461">
        <v>19642</v>
      </c>
      <c r="C1461" t="s">
        <v>4067</v>
      </c>
      <c r="D1461" t="s">
        <v>461</v>
      </c>
      <c r="E1461">
        <v>4</v>
      </c>
      <c r="F1461">
        <v>24.26</v>
      </c>
      <c r="G1461">
        <v>6.07</v>
      </c>
    </row>
    <row r="1462" spans="1:7" x14ac:dyDescent="0.3">
      <c r="A1462" t="s">
        <v>568</v>
      </c>
      <c r="B1462">
        <v>20287</v>
      </c>
      <c r="C1462" t="s">
        <v>4053</v>
      </c>
      <c r="D1462" t="s">
        <v>461</v>
      </c>
      <c r="E1462">
        <v>1</v>
      </c>
      <c r="F1462">
        <v>24.85</v>
      </c>
      <c r="G1462">
        <v>24.85</v>
      </c>
    </row>
    <row r="1463" spans="1:7" x14ac:dyDescent="0.3">
      <c r="A1463" t="s">
        <v>568</v>
      </c>
      <c r="B1463">
        <v>19634</v>
      </c>
      <c r="C1463" t="s">
        <v>4068</v>
      </c>
      <c r="D1463" t="s">
        <v>461</v>
      </c>
      <c r="E1463">
        <v>4</v>
      </c>
      <c r="F1463">
        <v>29</v>
      </c>
      <c r="G1463">
        <v>7.25</v>
      </c>
    </row>
    <row r="1464" spans="1:7" x14ac:dyDescent="0.3">
      <c r="A1464" t="s">
        <v>568</v>
      </c>
      <c r="B1464">
        <v>18696</v>
      </c>
      <c r="C1464" t="s">
        <v>3956</v>
      </c>
      <c r="D1464" t="s">
        <v>461</v>
      </c>
      <c r="E1464">
        <v>16.7</v>
      </c>
      <c r="F1464">
        <v>300.43</v>
      </c>
      <c r="G1464">
        <v>17.989999999999998</v>
      </c>
    </row>
    <row r="1465" spans="1:7" x14ac:dyDescent="0.3">
      <c r="A1465" t="s">
        <v>568</v>
      </c>
      <c r="B1465">
        <v>17381</v>
      </c>
      <c r="C1465" t="s">
        <v>4247</v>
      </c>
      <c r="D1465" t="s">
        <v>461</v>
      </c>
      <c r="E1465">
        <v>1</v>
      </c>
      <c r="F1465">
        <v>42</v>
      </c>
      <c r="G1465">
        <v>42</v>
      </c>
    </row>
    <row r="1466" spans="1:7" x14ac:dyDescent="0.3">
      <c r="A1466" t="s">
        <v>568</v>
      </c>
      <c r="B1466">
        <v>17551</v>
      </c>
      <c r="C1466" t="s">
        <v>4401</v>
      </c>
      <c r="D1466" t="s">
        <v>461</v>
      </c>
      <c r="E1466">
        <v>10000</v>
      </c>
      <c r="F1466">
        <v>2900</v>
      </c>
      <c r="G1466">
        <v>0.28999999999999998</v>
      </c>
    </row>
    <row r="1467" spans="1:7" x14ac:dyDescent="0.3">
      <c r="A1467" t="s">
        <v>568</v>
      </c>
      <c r="B1467">
        <v>19494</v>
      </c>
      <c r="C1467" t="s">
        <v>4126</v>
      </c>
      <c r="D1467" t="s">
        <v>461</v>
      </c>
      <c r="E1467">
        <v>7.81</v>
      </c>
      <c r="F1467">
        <v>158.68</v>
      </c>
      <c r="G1467">
        <v>20.32</v>
      </c>
    </row>
    <row r="1468" spans="1:7" x14ac:dyDescent="0.3">
      <c r="A1468" t="s">
        <v>568</v>
      </c>
      <c r="B1468">
        <v>24599</v>
      </c>
      <c r="C1468" t="s">
        <v>3897</v>
      </c>
      <c r="D1468" t="s">
        <v>461</v>
      </c>
      <c r="E1468">
        <v>1</v>
      </c>
      <c r="F1468">
        <v>116.4</v>
      </c>
      <c r="G1468">
        <v>116.4</v>
      </c>
    </row>
    <row r="1469" spans="1:7" x14ac:dyDescent="0.3">
      <c r="A1469" t="s">
        <v>568</v>
      </c>
      <c r="B1469">
        <v>18447</v>
      </c>
      <c r="C1469" t="s">
        <v>4027</v>
      </c>
      <c r="D1469" t="s">
        <v>461</v>
      </c>
      <c r="E1469">
        <v>6</v>
      </c>
      <c r="F1469">
        <v>74.94</v>
      </c>
      <c r="G1469">
        <v>12.49</v>
      </c>
    </row>
    <row r="1470" spans="1:7" x14ac:dyDescent="0.3">
      <c r="A1470" t="s">
        <v>568</v>
      </c>
      <c r="B1470">
        <v>18467</v>
      </c>
      <c r="C1470" t="s">
        <v>4028</v>
      </c>
      <c r="D1470" t="s">
        <v>461</v>
      </c>
      <c r="E1470">
        <v>4</v>
      </c>
      <c r="F1470">
        <v>303.60000000000002</v>
      </c>
      <c r="G1470">
        <v>75.900000000000006</v>
      </c>
    </row>
    <row r="1471" spans="1:7" x14ac:dyDescent="0.3">
      <c r="A1471" t="s">
        <v>568</v>
      </c>
      <c r="B1471">
        <v>20809</v>
      </c>
      <c r="C1471" t="s">
        <v>4005</v>
      </c>
      <c r="D1471" t="s">
        <v>461</v>
      </c>
      <c r="E1471">
        <v>12</v>
      </c>
      <c r="F1471">
        <v>407.56</v>
      </c>
      <c r="G1471">
        <v>33.96</v>
      </c>
    </row>
    <row r="1472" spans="1:7" x14ac:dyDescent="0.3">
      <c r="A1472" t="s">
        <v>568</v>
      </c>
      <c r="B1472">
        <v>23385</v>
      </c>
      <c r="C1472" t="s">
        <v>4069</v>
      </c>
      <c r="D1472" t="s">
        <v>461</v>
      </c>
      <c r="E1472">
        <v>2.2000000000000002</v>
      </c>
      <c r="F1472">
        <v>69.5</v>
      </c>
      <c r="G1472">
        <v>31.59</v>
      </c>
    </row>
    <row r="1473" spans="1:7" x14ac:dyDescent="0.3">
      <c r="A1473" t="s">
        <v>568</v>
      </c>
      <c r="B1473">
        <v>20077</v>
      </c>
      <c r="C1473" t="s">
        <v>4054</v>
      </c>
      <c r="D1473" t="s">
        <v>461</v>
      </c>
      <c r="E1473">
        <v>2</v>
      </c>
      <c r="F1473">
        <v>32.67</v>
      </c>
      <c r="G1473">
        <v>16.34</v>
      </c>
    </row>
    <row r="1474" spans="1:7" x14ac:dyDescent="0.3">
      <c r="A1474" t="s">
        <v>568</v>
      </c>
      <c r="B1474">
        <v>19773</v>
      </c>
      <c r="C1474" t="s">
        <v>4168</v>
      </c>
      <c r="D1474" t="s">
        <v>461</v>
      </c>
      <c r="E1474">
        <v>1</v>
      </c>
      <c r="F1474">
        <v>20</v>
      </c>
      <c r="G1474">
        <v>20</v>
      </c>
    </row>
    <row r="1475" spans="1:7" x14ac:dyDescent="0.3">
      <c r="A1475" t="s">
        <v>568</v>
      </c>
      <c r="B1475">
        <v>28212</v>
      </c>
      <c r="C1475" t="s">
        <v>4156</v>
      </c>
      <c r="D1475" t="s">
        <v>461</v>
      </c>
      <c r="E1475">
        <v>10.5</v>
      </c>
      <c r="F1475">
        <v>462</v>
      </c>
      <c r="G1475">
        <v>44</v>
      </c>
    </row>
    <row r="1476" spans="1:7" x14ac:dyDescent="0.3">
      <c r="A1476" t="s">
        <v>568</v>
      </c>
      <c r="B1476">
        <v>24509</v>
      </c>
      <c r="C1476" t="s">
        <v>3906</v>
      </c>
      <c r="D1476" t="s">
        <v>461</v>
      </c>
      <c r="E1476">
        <v>90</v>
      </c>
      <c r="F1476">
        <v>162.1</v>
      </c>
      <c r="G1476">
        <v>1.8</v>
      </c>
    </row>
    <row r="1477" spans="1:7" x14ac:dyDescent="0.3">
      <c r="A1477" t="s">
        <v>568</v>
      </c>
      <c r="B1477">
        <v>19623</v>
      </c>
      <c r="C1477" t="s">
        <v>3984</v>
      </c>
      <c r="D1477" t="s">
        <v>461</v>
      </c>
      <c r="E1477">
        <v>15</v>
      </c>
      <c r="F1477">
        <v>61.47</v>
      </c>
      <c r="G1477">
        <v>4.0999999999999996</v>
      </c>
    </row>
    <row r="1478" spans="1:7" x14ac:dyDescent="0.3">
      <c r="A1478" t="s">
        <v>568</v>
      </c>
      <c r="B1478">
        <v>20717</v>
      </c>
      <c r="C1478" t="s">
        <v>4055</v>
      </c>
      <c r="D1478" t="s">
        <v>461</v>
      </c>
      <c r="E1478">
        <v>1</v>
      </c>
      <c r="F1478">
        <v>43.4</v>
      </c>
      <c r="G1478">
        <v>43.4</v>
      </c>
    </row>
    <row r="1479" spans="1:7" x14ac:dyDescent="0.3">
      <c r="A1479" t="s">
        <v>568</v>
      </c>
      <c r="B1479">
        <v>19488</v>
      </c>
      <c r="C1479" t="s">
        <v>4070</v>
      </c>
      <c r="D1479" t="s">
        <v>461</v>
      </c>
      <c r="E1479">
        <v>1.1000000000000001</v>
      </c>
      <c r="F1479">
        <v>13.35</v>
      </c>
      <c r="G1479">
        <v>12.14</v>
      </c>
    </row>
    <row r="1480" spans="1:7" x14ac:dyDescent="0.3">
      <c r="A1480" t="s">
        <v>568</v>
      </c>
      <c r="B1480">
        <v>19621</v>
      </c>
      <c r="C1480" t="s">
        <v>4125</v>
      </c>
      <c r="D1480" t="s">
        <v>461</v>
      </c>
      <c r="E1480">
        <v>6</v>
      </c>
      <c r="F1480">
        <v>18.2</v>
      </c>
      <c r="G1480">
        <v>3.03</v>
      </c>
    </row>
    <row r="1481" spans="1:7" x14ac:dyDescent="0.3">
      <c r="A1481" t="s">
        <v>568</v>
      </c>
      <c r="B1481">
        <v>18640</v>
      </c>
      <c r="C1481" t="s">
        <v>3994</v>
      </c>
      <c r="D1481" t="s">
        <v>461</v>
      </c>
      <c r="E1481">
        <v>11</v>
      </c>
      <c r="F1481">
        <v>3366</v>
      </c>
      <c r="G1481">
        <v>306</v>
      </c>
    </row>
    <row r="1482" spans="1:7" x14ac:dyDescent="0.3">
      <c r="A1482" t="s">
        <v>568</v>
      </c>
      <c r="B1482">
        <v>18636</v>
      </c>
      <c r="C1482" t="s">
        <v>3921</v>
      </c>
      <c r="D1482" t="s">
        <v>461</v>
      </c>
      <c r="E1482">
        <v>55</v>
      </c>
      <c r="F1482">
        <v>26554</v>
      </c>
      <c r="G1482">
        <v>482.8</v>
      </c>
    </row>
    <row r="1483" spans="1:7" x14ac:dyDescent="0.3">
      <c r="A1483" t="s">
        <v>568</v>
      </c>
      <c r="B1483">
        <v>22857</v>
      </c>
      <c r="C1483" t="s">
        <v>4130</v>
      </c>
      <c r="D1483" t="s">
        <v>461</v>
      </c>
      <c r="E1483">
        <v>68.790000000000006</v>
      </c>
      <c r="F1483">
        <v>4814.62</v>
      </c>
      <c r="G1483">
        <v>69.989999999999995</v>
      </c>
    </row>
    <row r="1484" spans="1:7" x14ac:dyDescent="0.3">
      <c r="A1484" t="s">
        <v>568</v>
      </c>
      <c r="B1484">
        <v>24602</v>
      </c>
      <c r="C1484" t="s">
        <v>4186</v>
      </c>
      <c r="D1484" t="s">
        <v>461</v>
      </c>
      <c r="E1484">
        <v>45</v>
      </c>
      <c r="F1484">
        <v>477</v>
      </c>
      <c r="G1484">
        <v>10.6</v>
      </c>
    </row>
    <row r="1485" spans="1:7" x14ac:dyDescent="0.3">
      <c r="A1485" t="s">
        <v>568</v>
      </c>
      <c r="B1485">
        <v>19617</v>
      </c>
      <c r="C1485" t="s">
        <v>4110</v>
      </c>
      <c r="D1485" t="s">
        <v>461</v>
      </c>
      <c r="E1485">
        <v>1.7</v>
      </c>
      <c r="F1485">
        <v>44.44</v>
      </c>
      <c r="G1485">
        <v>26.14</v>
      </c>
    </row>
    <row r="1486" spans="1:7" x14ac:dyDescent="0.3">
      <c r="A1486" t="s">
        <v>568</v>
      </c>
      <c r="B1486">
        <v>20702</v>
      </c>
      <c r="C1486" t="s">
        <v>4006</v>
      </c>
      <c r="D1486" t="s">
        <v>461</v>
      </c>
      <c r="E1486">
        <v>3</v>
      </c>
      <c r="F1486">
        <v>139.69999999999999</v>
      </c>
      <c r="G1486">
        <v>46.57</v>
      </c>
    </row>
    <row r="1487" spans="1:7" x14ac:dyDescent="0.3">
      <c r="A1487" t="s">
        <v>568</v>
      </c>
      <c r="B1487">
        <v>24185</v>
      </c>
      <c r="C1487" t="s">
        <v>4040</v>
      </c>
      <c r="D1487" t="s">
        <v>461</v>
      </c>
      <c r="E1487">
        <v>4</v>
      </c>
      <c r="F1487">
        <v>92.4</v>
      </c>
      <c r="G1487">
        <v>23.1</v>
      </c>
    </row>
    <row r="1488" spans="1:7" x14ac:dyDescent="0.3">
      <c r="A1488" t="s">
        <v>568</v>
      </c>
      <c r="B1488">
        <v>20555</v>
      </c>
      <c r="C1488" t="s">
        <v>3959</v>
      </c>
      <c r="D1488" t="s">
        <v>461</v>
      </c>
      <c r="E1488">
        <v>8.6</v>
      </c>
      <c r="F1488">
        <v>679.4</v>
      </c>
      <c r="G1488">
        <v>79</v>
      </c>
    </row>
    <row r="1489" spans="1:7" x14ac:dyDescent="0.3">
      <c r="A1489" t="s">
        <v>568</v>
      </c>
      <c r="B1489">
        <v>20549</v>
      </c>
      <c r="C1489" t="s">
        <v>4007</v>
      </c>
      <c r="D1489" t="s">
        <v>461</v>
      </c>
      <c r="E1489">
        <v>42.2</v>
      </c>
      <c r="F1489">
        <v>843.58</v>
      </c>
      <c r="G1489">
        <v>19.989999999999998</v>
      </c>
    </row>
    <row r="1490" spans="1:7" x14ac:dyDescent="0.3">
      <c r="A1490" t="s">
        <v>568</v>
      </c>
      <c r="B1490">
        <v>24200</v>
      </c>
      <c r="C1490" t="s">
        <v>3975</v>
      </c>
      <c r="D1490" t="s">
        <v>461</v>
      </c>
      <c r="E1490">
        <v>41.9</v>
      </c>
      <c r="F1490">
        <v>1378.51</v>
      </c>
      <c r="G1490">
        <v>32.9</v>
      </c>
    </row>
    <row r="1491" spans="1:7" x14ac:dyDescent="0.3">
      <c r="A1491" t="s">
        <v>568</v>
      </c>
      <c r="B1491">
        <v>23236</v>
      </c>
      <c r="C1491" t="s">
        <v>4017</v>
      </c>
      <c r="D1491" t="s">
        <v>461</v>
      </c>
      <c r="E1491">
        <v>30</v>
      </c>
      <c r="F1491">
        <v>168.6</v>
      </c>
      <c r="G1491">
        <v>5.62</v>
      </c>
    </row>
    <row r="1492" spans="1:7" x14ac:dyDescent="0.3">
      <c r="A1492" t="s">
        <v>568</v>
      </c>
      <c r="B1492">
        <v>28596</v>
      </c>
      <c r="C1492" t="s">
        <v>4398</v>
      </c>
      <c r="D1492" t="s">
        <v>461</v>
      </c>
      <c r="E1492">
        <v>1</v>
      </c>
      <c r="F1492">
        <v>668.7</v>
      </c>
      <c r="G1492">
        <v>668.7</v>
      </c>
    </row>
    <row r="1493" spans="1:7" x14ac:dyDescent="0.3">
      <c r="A1493" t="s">
        <v>568</v>
      </c>
      <c r="B1493">
        <v>24212</v>
      </c>
      <c r="C1493" t="s">
        <v>4056</v>
      </c>
      <c r="D1493" t="s">
        <v>461</v>
      </c>
      <c r="E1493">
        <v>2</v>
      </c>
      <c r="F1493">
        <v>21.96</v>
      </c>
      <c r="G1493">
        <v>10.98</v>
      </c>
    </row>
    <row r="1494" spans="1:7" x14ac:dyDescent="0.3">
      <c r="A1494" t="s">
        <v>568</v>
      </c>
      <c r="B1494">
        <v>26020</v>
      </c>
      <c r="C1494" t="s">
        <v>4413</v>
      </c>
      <c r="D1494" t="s">
        <v>461</v>
      </c>
      <c r="E1494">
        <v>6</v>
      </c>
      <c r="F1494">
        <v>86.28</v>
      </c>
      <c r="G1494">
        <v>14.38</v>
      </c>
    </row>
    <row r="1495" spans="1:7" x14ac:dyDescent="0.3">
      <c r="A1495" t="s">
        <v>568</v>
      </c>
      <c r="B1495">
        <v>20685</v>
      </c>
      <c r="C1495" t="s">
        <v>4122</v>
      </c>
      <c r="D1495" t="s">
        <v>461</v>
      </c>
      <c r="E1495">
        <v>12</v>
      </c>
      <c r="F1495">
        <v>42.54</v>
      </c>
      <c r="G1495">
        <v>3.55</v>
      </c>
    </row>
    <row r="1496" spans="1:7" x14ac:dyDescent="0.3">
      <c r="A1496" t="s">
        <v>568</v>
      </c>
      <c r="B1496">
        <v>17304</v>
      </c>
      <c r="C1496" t="s">
        <v>4206</v>
      </c>
      <c r="D1496" t="s">
        <v>461</v>
      </c>
      <c r="E1496">
        <v>3</v>
      </c>
      <c r="F1496">
        <v>21.3</v>
      </c>
      <c r="G1496">
        <v>7.1</v>
      </c>
    </row>
    <row r="1497" spans="1:7" x14ac:dyDescent="0.3">
      <c r="A1497" t="s">
        <v>568</v>
      </c>
      <c r="B1497">
        <v>17230</v>
      </c>
      <c r="C1497" t="s">
        <v>4281</v>
      </c>
      <c r="D1497" t="s">
        <v>461</v>
      </c>
      <c r="E1497">
        <v>2</v>
      </c>
      <c r="F1497">
        <v>84</v>
      </c>
      <c r="G1497">
        <v>42</v>
      </c>
    </row>
    <row r="1498" spans="1:7" x14ac:dyDescent="0.3">
      <c r="A1498" t="s">
        <v>568</v>
      </c>
      <c r="B1498">
        <v>17215</v>
      </c>
      <c r="C1498" t="s">
        <v>4283</v>
      </c>
      <c r="D1498" t="s">
        <v>461</v>
      </c>
      <c r="E1498">
        <v>15</v>
      </c>
      <c r="F1498">
        <v>310.3</v>
      </c>
      <c r="G1498">
        <v>20.69</v>
      </c>
    </row>
    <row r="1499" spans="1:7" x14ac:dyDescent="0.3">
      <c r="A1499" t="s">
        <v>568</v>
      </c>
      <c r="B1499">
        <v>17914</v>
      </c>
      <c r="C1499" t="s">
        <v>3997</v>
      </c>
      <c r="D1499" t="s">
        <v>461</v>
      </c>
      <c r="E1499">
        <v>3</v>
      </c>
      <c r="F1499">
        <v>96.72</v>
      </c>
      <c r="G1499">
        <v>32.24</v>
      </c>
    </row>
    <row r="1500" spans="1:7" x14ac:dyDescent="0.3">
      <c r="A1500" t="s">
        <v>568</v>
      </c>
      <c r="B1500">
        <v>28386</v>
      </c>
      <c r="C1500" t="s">
        <v>4245</v>
      </c>
      <c r="D1500" t="s">
        <v>461</v>
      </c>
      <c r="E1500">
        <v>1</v>
      </c>
      <c r="F1500">
        <v>45</v>
      </c>
      <c r="G1500">
        <v>45</v>
      </c>
    </row>
    <row r="1501" spans="1:7" x14ac:dyDescent="0.3">
      <c r="A1501" t="s">
        <v>568</v>
      </c>
      <c r="B1501">
        <v>23234</v>
      </c>
      <c r="C1501" t="s">
        <v>4018</v>
      </c>
      <c r="D1501" t="s">
        <v>461</v>
      </c>
      <c r="E1501">
        <v>4</v>
      </c>
      <c r="F1501">
        <v>92</v>
      </c>
      <c r="G1501">
        <v>23</v>
      </c>
    </row>
    <row r="1502" spans="1:7" x14ac:dyDescent="0.3">
      <c r="A1502" t="s">
        <v>568</v>
      </c>
      <c r="B1502">
        <v>25162</v>
      </c>
      <c r="C1502" t="s">
        <v>4288</v>
      </c>
      <c r="D1502" t="s">
        <v>461</v>
      </c>
      <c r="E1502">
        <v>2</v>
      </c>
      <c r="F1502">
        <v>15</v>
      </c>
      <c r="G1502">
        <v>7.5</v>
      </c>
    </row>
    <row r="1503" spans="1:7" x14ac:dyDescent="0.3">
      <c r="A1503" t="s">
        <v>568</v>
      </c>
      <c r="B1503">
        <v>24598</v>
      </c>
      <c r="C1503" t="s">
        <v>4166</v>
      </c>
      <c r="D1503" t="s">
        <v>461</v>
      </c>
      <c r="E1503">
        <v>7.2</v>
      </c>
      <c r="F1503">
        <v>86.72</v>
      </c>
      <c r="G1503">
        <v>12.04</v>
      </c>
    </row>
    <row r="1504" spans="1:7" x14ac:dyDescent="0.3">
      <c r="A1504" t="s">
        <v>568</v>
      </c>
      <c r="B1504">
        <v>17196</v>
      </c>
      <c r="C1504" t="s">
        <v>4415</v>
      </c>
      <c r="D1504" t="s">
        <v>461</v>
      </c>
      <c r="E1504">
        <v>3</v>
      </c>
      <c r="F1504">
        <v>26.7</v>
      </c>
      <c r="G1504">
        <v>8.9</v>
      </c>
    </row>
    <row r="1505" spans="1:7" x14ac:dyDescent="0.3">
      <c r="A1505" t="s">
        <v>568</v>
      </c>
      <c r="B1505">
        <v>17190</v>
      </c>
      <c r="C1505" t="s">
        <v>4271</v>
      </c>
      <c r="D1505" t="s">
        <v>461</v>
      </c>
      <c r="E1505">
        <v>9</v>
      </c>
      <c r="F1505">
        <v>70.239999999999995</v>
      </c>
      <c r="G1505">
        <v>7.8</v>
      </c>
    </row>
    <row r="1506" spans="1:7" x14ac:dyDescent="0.3">
      <c r="A1506" t="s">
        <v>568</v>
      </c>
      <c r="B1506">
        <v>17455</v>
      </c>
      <c r="C1506" t="s">
        <v>4231</v>
      </c>
      <c r="D1506" t="s">
        <v>461</v>
      </c>
      <c r="E1506">
        <v>4</v>
      </c>
      <c r="F1506">
        <v>152</v>
      </c>
      <c r="G1506">
        <v>38</v>
      </c>
    </row>
    <row r="1507" spans="1:7" x14ac:dyDescent="0.3">
      <c r="A1507" t="s">
        <v>568</v>
      </c>
      <c r="B1507">
        <v>24971</v>
      </c>
      <c r="C1507" t="s">
        <v>4417</v>
      </c>
      <c r="D1507" t="s">
        <v>461</v>
      </c>
      <c r="E1507">
        <v>24</v>
      </c>
      <c r="F1507">
        <v>255.36</v>
      </c>
      <c r="G1507">
        <v>10.64</v>
      </c>
    </row>
    <row r="1508" spans="1:7" x14ac:dyDescent="0.3">
      <c r="A1508" t="s">
        <v>568</v>
      </c>
      <c r="B1508">
        <v>26627</v>
      </c>
      <c r="C1508" t="s">
        <v>4237</v>
      </c>
      <c r="D1508" t="s">
        <v>461</v>
      </c>
      <c r="E1508">
        <v>20</v>
      </c>
      <c r="F1508">
        <v>158</v>
      </c>
      <c r="G1508">
        <v>7.9</v>
      </c>
    </row>
    <row r="1509" spans="1:7" x14ac:dyDescent="0.3">
      <c r="A1509" t="s">
        <v>568</v>
      </c>
      <c r="B1509">
        <v>20395</v>
      </c>
      <c r="C1509" t="s">
        <v>4057</v>
      </c>
      <c r="D1509" t="s">
        <v>461</v>
      </c>
      <c r="E1509">
        <v>2</v>
      </c>
      <c r="F1509">
        <v>53.62</v>
      </c>
      <c r="G1509">
        <v>26.81</v>
      </c>
    </row>
    <row r="1510" spans="1:7" x14ac:dyDescent="0.3">
      <c r="A1510" t="s">
        <v>568</v>
      </c>
      <c r="B1510">
        <v>23687</v>
      </c>
      <c r="C1510" t="s">
        <v>4285</v>
      </c>
      <c r="D1510" t="s">
        <v>461</v>
      </c>
      <c r="E1510">
        <v>31.75</v>
      </c>
      <c r="F1510">
        <v>409.6</v>
      </c>
      <c r="G1510">
        <v>12.9</v>
      </c>
    </row>
    <row r="1511" spans="1:7" x14ac:dyDescent="0.3">
      <c r="A1511" t="s">
        <v>568</v>
      </c>
      <c r="B1511">
        <v>25237</v>
      </c>
      <c r="C1511" t="s">
        <v>4164</v>
      </c>
      <c r="D1511" t="s">
        <v>461</v>
      </c>
      <c r="E1511">
        <v>10</v>
      </c>
      <c r="F1511">
        <v>55.9</v>
      </c>
      <c r="G1511">
        <v>5.59</v>
      </c>
    </row>
    <row r="1512" spans="1:7" x14ac:dyDescent="0.3">
      <c r="A1512" t="s">
        <v>568</v>
      </c>
      <c r="B1512">
        <v>20358</v>
      </c>
      <c r="C1512" t="s">
        <v>3952</v>
      </c>
      <c r="D1512" t="s">
        <v>461</v>
      </c>
      <c r="E1512">
        <v>5</v>
      </c>
      <c r="F1512">
        <v>71.5</v>
      </c>
      <c r="G1512">
        <v>14.3</v>
      </c>
    </row>
    <row r="1513" spans="1:7" x14ac:dyDescent="0.3">
      <c r="A1513" t="s">
        <v>568</v>
      </c>
      <c r="B1513">
        <v>20250</v>
      </c>
      <c r="C1513" t="s">
        <v>4008</v>
      </c>
      <c r="D1513" t="s">
        <v>461</v>
      </c>
      <c r="E1513">
        <v>2</v>
      </c>
      <c r="F1513">
        <v>81.48</v>
      </c>
      <c r="G1513">
        <v>40.74</v>
      </c>
    </row>
    <row r="1514" spans="1:7" x14ac:dyDescent="0.3">
      <c r="A1514" t="s">
        <v>568</v>
      </c>
      <c r="B1514">
        <v>20242</v>
      </c>
      <c r="C1514" t="s">
        <v>4120</v>
      </c>
      <c r="D1514" t="s">
        <v>461</v>
      </c>
      <c r="E1514">
        <v>5</v>
      </c>
      <c r="F1514">
        <v>71</v>
      </c>
      <c r="G1514">
        <v>14.2</v>
      </c>
    </row>
    <row r="1515" spans="1:7" x14ac:dyDescent="0.3">
      <c r="A1515" t="s">
        <v>568</v>
      </c>
      <c r="B1515">
        <v>20246</v>
      </c>
      <c r="C1515" t="s">
        <v>3911</v>
      </c>
      <c r="D1515" t="s">
        <v>461</v>
      </c>
      <c r="E1515">
        <v>10</v>
      </c>
      <c r="F1515">
        <v>68.5</v>
      </c>
      <c r="G1515">
        <v>6.85</v>
      </c>
    </row>
    <row r="1516" spans="1:7" x14ac:dyDescent="0.3">
      <c r="A1516" t="s">
        <v>568</v>
      </c>
      <c r="B1516">
        <v>20227</v>
      </c>
      <c r="C1516" t="s">
        <v>3968</v>
      </c>
      <c r="D1516" t="s">
        <v>461</v>
      </c>
      <c r="E1516">
        <v>10</v>
      </c>
      <c r="F1516">
        <v>100</v>
      </c>
      <c r="G1516">
        <v>10</v>
      </c>
    </row>
    <row r="1517" spans="1:7" x14ac:dyDescent="0.3">
      <c r="A1517" t="s">
        <v>568</v>
      </c>
      <c r="B1517">
        <v>20234</v>
      </c>
      <c r="C1517" t="s">
        <v>3979</v>
      </c>
      <c r="D1517" t="s">
        <v>461</v>
      </c>
      <c r="E1517">
        <v>5</v>
      </c>
      <c r="F1517">
        <v>104.5</v>
      </c>
      <c r="G1517">
        <v>20.9</v>
      </c>
    </row>
    <row r="1518" spans="1:7" x14ac:dyDescent="0.3">
      <c r="A1518" t="s">
        <v>568</v>
      </c>
      <c r="B1518">
        <v>18764</v>
      </c>
      <c r="C1518" t="s">
        <v>3907</v>
      </c>
      <c r="D1518" t="s">
        <v>461</v>
      </c>
      <c r="E1518">
        <v>24</v>
      </c>
      <c r="F1518">
        <v>1917.6</v>
      </c>
      <c r="G1518">
        <v>79.900000000000006</v>
      </c>
    </row>
    <row r="1519" spans="1:7" x14ac:dyDescent="0.3">
      <c r="A1519" t="s">
        <v>568</v>
      </c>
      <c r="B1519">
        <v>24259</v>
      </c>
      <c r="C1519" t="s">
        <v>3895</v>
      </c>
      <c r="D1519" t="s">
        <v>461</v>
      </c>
      <c r="E1519">
        <v>64.3</v>
      </c>
      <c r="F1519">
        <v>4982.97</v>
      </c>
      <c r="G1519">
        <v>77.5</v>
      </c>
    </row>
    <row r="1520" spans="1:7" x14ac:dyDescent="0.3">
      <c r="A1520" t="s">
        <v>568</v>
      </c>
      <c r="B1520">
        <v>27901</v>
      </c>
      <c r="C1520" t="s">
        <v>3942</v>
      </c>
      <c r="D1520" t="s">
        <v>461</v>
      </c>
      <c r="E1520">
        <v>10.38</v>
      </c>
      <c r="F1520">
        <v>1307.8800000000001</v>
      </c>
      <c r="G1520">
        <v>126</v>
      </c>
    </row>
    <row r="1521" spans="1:7" x14ac:dyDescent="0.3">
      <c r="A1521" t="s">
        <v>568</v>
      </c>
      <c r="B1521">
        <v>24278</v>
      </c>
      <c r="C1521" t="s">
        <v>4418</v>
      </c>
      <c r="D1521" t="s">
        <v>461</v>
      </c>
      <c r="E1521">
        <v>8.3000000000000007</v>
      </c>
      <c r="F1521">
        <v>106.24</v>
      </c>
      <c r="G1521">
        <v>12.8</v>
      </c>
    </row>
    <row r="1522" spans="1:7" x14ac:dyDescent="0.3">
      <c r="A1522" t="s">
        <v>568</v>
      </c>
      <c r="B1522">
        <v>19765</v>
      </c>
      <c r="C1522" t="s">
        <v>4071</v>
      </c>
      <c r="D1522" t="s">
        <v>461</v>
      </c>
      <c r="E1522">
        <v>1</v>
      </c>
      <c r="F1522">
        <v>34.08</v>
      </c>
      <c r="G1522">
        <v>34.08</v>
      </c>
    </row>
    <row r="1523" spans="1:7" x14ac:dyDescent="0.3">
      <c r="A1523" t="s">
        <v>568</v>
      </c>
      <c r="B1523">
        <v>20326</v>
      </c>
      <c r="C1523" t="s">
        <v>3953</v>
      </c>
      <c r="D1523" t="s">
        <v>461</v>
      </c>
      <c r="E1523">
        <v>5</v>
      </c>
      <c r="F1523">
        <v>30</v>
      </c>
      <c r="G1523">
        <v>6</v>
      </c>
    </row>
    <row r="1524" spans="1:7" x14ac:dyDescent="0.3">
      <c r="A1524" t="s">
        <v>568</v>
      </c>
      <c r="B1524">
        <v>17006</v>
      </c>
      <c r="C1524" t="s">
        <v>4128</v>
      </c>
      <c r="D1524" t="s">
        <v>461</v>
      </c>
      <c r="E1524">
        <v>68.61</v>
      </c>
      <c r="F1524">
        <v>891.93</v>
      </c>
      <c r="G1524">
        <v>13</v>
      </c>
    </row>
    <row r="1525" spans="1:7" x14ac:dyDescent="0.3">
      <c r="A1525" t="s">
        <v>568</v>
      </c>
      <c r="B1525">
        <v>24497</v>
      </c>
      <c r="C1525" t="s">
        <v>4214</v>
      </c>
      <c r="D1525" t="s">
        <v>461</v>
      </c>
      <c r="E1525">
        <v>6</v>
      </c>
      <c r="F1525">
        <v>807.3</v>
      </c>
      <c r="G1525">
        <v>134.55000000000001</v>
      </c>
    </row>
    <row r="1526" spans="1:7" x14ac:dyDescent="0.3">
      <c r="A1526" t="s">
        <v>568</v>
      </c>
      <c r="B1526">
        <v>25518</v>
      </c>
      <c r="C1526" t="s">
        <v>4238</v>
      </c>
      <c r="D1526" t="s">
        <v>461</v>
      </c>
      <c r="E1526">
        <v>1</v>
      </c>
      <c r="F1526">
        <v>110.4</v>
      </c>
      <c r="G1526">
        <v>110.4</v>
      </c>
    </row>
    <row r="1527" spans="1:7" x14ac:dyDescent="0.3">
      <c r="A1527" t="s">
        <v>568</v>
      </c>
      <c r="B1527">
        <v>23972</v>
      </c>
      <c r="C1527" t="s">
        <v>4416</v>
      </c>
      <c r="D1527" t="s">
        <v>461</v>
      </c>
      <c r="E1527">
        <v>1</v>
      </c>
      <c r="F1527">
        <v>110.4</v>
      </c>
      <c r="G1527">
        <v>110.4</v>
      </c>
    </row>
    <row r="1528" spans="1:7" x14ac:dyDescent="0.3">
      <c r="A1528" t="s">
        <v>568</v>
      </c>
      <c r="B1528">
        <v>19607</v>
      </c>
      <c r="C1528" t="s">
        <v>4105</v>
      </c>
      <c r="D1528" t="s">
        <v>461</v>
      </c>
      <c r="E1528">
        <v>1</v>
      </c>
      <c r="F1528">
        <v>15</v>
      </c>
      <c r="G1528">
        <v>15</v>
      </c>
    </row>
    <row r="1529" spans="1:7" x14ac:dyDescent="0.3">
      <c r="A1529" t="s">
        <v>568</v>
      </c>
      <c r="B1529">
        <v>19763</v>
      </c>
      <c r="C1529" t="s">
        <v>4187</v>
      </c>
      <c r="D1529" t="s">
        <v>461</v>
      </c>
      <c r="E1529">
        <v>1</v>
      </c>
      <c r="F1529">
        <v>19.5</v>
      </c>
      <c r="G1529">
        <v>19.5</v>
      </c>
    </row>
    <row r="1530" spans="1:7" x14ac:dyDescent="0.3">
      <c r="A1530" t="s">
        <v>568</v>
      </c>
      <c r="B1530">
        <v>21024</v>
      </c>
      <c r="C1530" t="s">
        <v>4180</v>
      </c>
      <c r="D1530" t="s">
        <v>461</v>
      </c>
      <c r="E1530">
        <v>8</v>
      </c>
      <c r="F1530">
        <v>1407.28</v>
      </c>
      <c r="G1530">
        <v>175.91</v>
      </c>
    </row>
    <row r="1531" spans="1:7" x14ac:dyDescent="0.3">
      <c r="A1531" t="s">
        <v>568</v>
      </c>
      <c r="B1531">
        <v>23897</v>
      </c>
      <c r="C1531" t="s">
        <v>4058</v>
      </c>
      <c r="D1531" t="s">
        <v>461</v>
      </c>
      <c r="E1531">
        <v>2</v>
      </c>
      <c r="F1531">
        <v>351.8</v>
      </c>
      <c r="G1531">
        <v>175.9</v>
      </c>
    </row>
    <row r="1532" spans="1:7" x14ac:dyDescent="0.3">
      <c r="A1532" t="s">
        <v>568</v>
      </c>
      <c r="B1532">
        <v>24302</v>
      </c>
      <c r="C1532" t="s">
        <v>4399</v>
      </c>
      <c r="D1532" t="s">
        <v>461</v>
      </c>
      <c r="E1532">
        <v>4</v>
      </c>
      <c r="F1532">
        <v>52.24</v>
      </c>
      <c r="G1532">
        <v>13.06</v>
      </c>
    </row>
    <row r="1533" spans="1:7" x14ac:dyDescent="0.3">
      <c r="A1533" t="s">
        <v>568</v>
      </c>
      <c r="B1533">
        <v>17903</v>
      </c>
      <c r="C1533" t="s">
        <v>3971</v>
      </c>
      <c r="D1533" t="s">
        <v>461</v>
      </c>
      <c r="E1533">
        <v>11</v>
      </c>
      <c r="F1533">
        <v>165</v>
      </c>
      <c r="G1533">
        <v>15</v>
      </c>
    </row>
    <row r="1534" spans="1:7" x14ac:dyDescent="0.3">
      <c r="A1534" t="s">
        <v>568</v>
      </c>
      <c r="B1534">
        <v>26437</v>
      </c>
      <c r="C1534" t="s">
        <v>4412</v>
      </c>
      <c r="D1534" t="s">
        <v>461</v>
      </c>
      <c r="E1534">
        <v>4</v>
      </c>
      <c r="F1534">
        <v>1188</v>
      </c>
      <c r="G1534">
        <v>297</v>
      </c>
    </row>
    <row r="1535" spans="1:7" x14ac:dyDescent="0.3">
      <c r="A1535" t="s">
        <v>568</v>
      </c>
      <c r="B1535">
        <v>17896</v>
      </c>
      <c r="C1535" t="s">
        <v>3972</v>
      </c>
      <c r="D1535" t="s">
        <v>461</v>
      </c>
      <c r="E1535">
        <v>5</v>
      </c>
      <c r="F1535">
        <v>207.24</v>
      </c>
      <c r="G1535">
        <v>41.45</v>
      </c>
    </row>
    <row r="1536" spans="1:7" x14ac:dyDescent="0.3">
      <c r="A1536" t="s">
        <v>568</v>
      </c>
      <c r="B1536">
        <v>17897</v>
      </c>
      <c r="C1536" t="s">
        <v>4094</v>
      </c>
      <c r="D1536" t="s">
        <v>461</v>
      </c>
      <c r="E1536">
        <v>2</v>
      </c>
      <c r="F1536">
        <v>80.58</v>
      </c>
      <c r="G1536">
        <v>40.29</v>
      </c>
    </row>
    <row r="1537" spans="1:7" x14ac:dyDescent="0.3">
      <c r="A1537" t="s">
        <v>568</v>
      </c>
      <c r="B1537">
        <v>19480</v>
      </c>
      <c r="C1537" t="s">
        <v>4113</v>
      </c>
      <c r="D1537" t="s">
        <v>461</v>
      </c>
      <c r="E1537">
        <v>0.8</v>
      </c>
      <c r="F1537">
        <v>10.5</v>
      </c>
      <c r="G1537">
        <v>13.13</v>
      </c>
    </row>
    <row r="1538" spans="1:7" x14ac:dyDescent="0.3">
      <c r="A1538" t="s">
        <v>568</v>
      </c>
      <c r="B1538">
        <v>18685</v>
      </c>
      <c r="C1538" t="s">
        <v>3945</v>
      </c>
      <c r="D1538" t="s">
        <v>461</v>
      </c>
      <c r="E1538">
        <v>19.399999999999999</v>
      </c>
      <c r="F1538">
        <v>756.6</v>
      </c>
      <c r="G1538">
        <v>39</v>
      </c>
    </row>
    <row r="1539" spans="1:7" x14ac:dyDescent="0.3">
      <c r="A1539" t="s">
        <v>568</v>
      </c>
      <c r="B1539">
        <v>18684</v>
      </c>
      <c r="C1539" t="s">
        <v>3925</v>
      </c>
      <c r="D1539" t="s">
        <v>461</v>
      </c>
      <c r="E1539">
        <v>10.5</v>
      </c>
      <c r="F1539">
        <v>378</v>
      </c>
      <c r="G1539">
        <v>36</v>
      </c>
    </row>
    <row r="1540" spans="1:7" x14ac:dyDescent="0.3">
      <c r="A1540" t="s">
        <v>568</v>
      </c>
      <c r="B1540">
        <v>20057</v>
      </c>
      <c r="C1540" t="s">
        <v>3967</v>
      </c>
      <c r="D1540" t="s">
        <v>461</v>
      </c>
      <c r="E1540">
        <v>2</v>
      </c>
      <c r="F1540">
        <v>83.98</v>
      </c>
      <c r="G1540">
        <v>41.99</v>
      </c>
    </row>
    <row r="1541" spans="1:7" x14ac:dyDescent="0.3">
      <c r="A1541" t="s">
        <v>568</v>
      </c>
      <c r="B1541">
        <v>28549</v>
      </c>
      <c r="C1541" t="s">
        <v>4402</v>
      </c>
      <c r="D1541" t="s">
        <v>461</v>
      </c>
      <c r="E1541">
        <v>36</v>
      </c>
      <c r="F1541">
        <v>205.2</v>
      </c>
      <c r="G1541">
        <v>5.7</v>
      </c>
    </row>
    <row r="1542" spans="1:7" x14ac:dyDescent="0.3">
      <c r="A1542" t="s">
        <v>568</v>
      </c>
      <c r="B1542">
        <v>24320</v>
      </c>
      <c r="C1542" t="s">
        <v>4160</v>
      </c>
      <c r="D1542" t="s">
        <v>461</v>
      </c>
      <c r="E1542">
        <v>15.4</v>
      </c>
      <c r="F1542">
        <v>520.52</v>
      </c>
      <c r="G1542">
        <v>33.799999999999997</v>
      </c>
    </row>
    <row r="1543" spans="1:7" x14ac:dyDescent="0.3">
      <c r="A1543" t="s">
        <v>568</v>
      </c>
      <c r="B1543">
        <v>27312</v>
      </c>
      <c r="C1543" t="s">
        <v>3927</v>
      </c>
      <c r="D1543" t="s">
        <v>461</v>
      </c>
      <c r="E1543">
        <v>48.44</v>
      </c>
      <c r="F1543">
        <v>2367.0100000000002</v>
      </c>
      <c r="G1543">
        <v>48.86</v>
      </c>
    </row>
    <row r="1544" spans="1:7" x14ac:dyDescent="0.3">
      <c r="A1544" t="s">
        <v>568</v>
      </c>
      <c r="B1544">
        <v>23361</v>
      </c>
      <c r="C1544" t="s">
        <v>4220</v>
      </c>
      <c r="D1544" t="s">
        <v>461</v>
      </c>
      <c r="E1544">
        <v>182</v>
      </c>
      <c r="F1544">
        <v>565.34</v>
      </c>
      <c r="G1544">
        <v>3.11</v>
      </c>
    </row>
    <row r="1545" spans="1:7" x14ac:dyDescent="0.3">
      <c r="A1545" t="s">
        <v>568</v>
      </c>
      <c r="B1545">
        <v>20661</v>
      </c>
      <c r="C1545" t="s">
        <v>3919</v>
      </c>
      <c r="D1545" t="s">
        <v>461</v>
      </c>
      <c r="E1545">
        <v>24</v>
      </c>
      <c r="F1545">
        <v>211.38</v>
      </c>
      <c r="G1545">
        <v>8.81</v>
      </c>
    </row>
    <row r="1546" spans="1:7" x14ac:dyDescent="0.3">
      <c r="A1546" t="s">
        <v>568</v>
      </c>
      <c r="B1546">
        <v>19421</v>
      </c>
      <c r="C1546" t="s">
        <v>4275</v>
      </c>
      <c r="D1546" t="s">
        <v>461</v>
      </c>
      <c r="E1546">
        <v>3</v>
      </c>
      <c r="F1546">
        <v>158.97999999999999</v>
      </c>
      <c r="G1546">
        <v>52.99</v>
      </c>
    </row>
    <row r="1547" spans="1:7" x14ac:dyDescent="0.3">
      <c r="A1547" t="s">
        <v>568</v>
      </c>
      <c r="B1547">
        <v>18315</v>
      </c>
      <c r="C1547" t="s">
        <v>4088</v>
      </c>
      <c r="D1547" t="s">
        <v>461</v>
      </c>
      <c r="E1547">
        <v>2</v>
      </c>
      <c r="F1547">
        <v>248</v>
      </c>
      <c r="G1547">
        <v>124</v>
      </c>
    </row>
    <row r="1548" spans="1:7" x14ac:dyDescent="0.3">
      <c r="A1548" t="s">
        <v>568</v>
      </c>
      <c r="B1548">
        <v>18295</v>
      </c>
      <c r="C1548" t="s">
        <v>4030</v>
      </c>
      <c r="D1548" t="s">
        <v>461</v>
      </c>
      <c r="E1548">
        <v>5</v>
      </c>
      <c r="F1548">
        <v>617</v>
      </c>
      <c r="G1548">
        <v>123.4</v>
      </c>
    </row>
    <row r="1549" spans="1:7" x14ac:dyDescent="0.3">
      <c r="A1549" t="s">
        <v>568</v>
      </c>
      <c r="B1549">
        <v>19752</v>
      </c>
      <c r="C1549" t="s">
        <v>4042</v>
      </c>
      <c r="D1549" t="s">
        <v>461</v>
      </c>
      <c r="E1549">
        <v>2</v>
      </c>
      <c r="F1549">
        <v>40</v>
      </c>
      <c r="G1549">
        <v>20</v>
      </c>
    </row>
    <row r="1550" spans="1:7" x14ac:dyDescent="0.3">
      <c r="A1550" t="s">
        <v>568</v>
      </c>
      <c r="B1550">
        <v>19751</v>
      </c>
      <c r="C1550" t="s">
        <v>4019</v>
      </c>
      <c r="D1550" t="s">
        <v>461</v>
      </c>
      <c r="E1550">
        <v>14.3</v>
      </c>
      <c r="F1550">
        <v>192.1</v>
      </c>
      <c r="G1550">
        <v>13.43</v>
      </c>
    </row>
    <row r="1551" spans="1:7" x14ac:dyDescent="0.3">
      <c r="A1551" t="s">
        <v>568</v>
      </c>
      <c r="B1551">
        <v>23359</v>
      </c>
      <c r="C1551" t="s">
        <v>3932</v>
      </c>
      <c r="D1551" t="s">
        <v>461</v>
      </c>
      <c r="E1551">
        <v>87</v>
      </c>
      <c r="F1551">
        <v>251.3</v>
      </c>
      <c r="G1551">
        <v>2.89</v>
      </c>
    </row>
    <row r="1552" spans="1:7" x14ac:dyDescent="0.3">
      <c r="A1552" t="s">
        <v>568</v>
      </c>
      <c r="B1552">
        <v>17185</v>
      </c>
      <c r="C1552" t="s">
        <v>4210</v>
      </c>
      <c r="D1552" t="s">
        <v>461</v>
      </c>
      <c r="E1552">
        <v>1</v>
      </c>
      <c r="F1552">
        <v>15.1</v>
      </c>
      <c r="G1552">
        <v>15.1</v>
      </c>
    </row>
    <row r="1553" spans="1:7" x14ac:dyDescent="0.3">
      <c r="A1553" t="s">
        <v>568</v>
      </c>
      <c r="B1553">
        <v>28367</v>
      </c>
      <c r="C1553" t="s">
        <v>4420</v>
      </c>
      <c r="D1553" t="s">
        <v>461</v>
      </c>
      <c r="E1553">
        <v>1</v>
      </c>
      <c r="F1553">
        <v>19.899999999999999</v>
      </c>
      <c r="G1553">
        <v>19.899999999999999</v>
      </c>
    </row>
    <row r="1554" spans="1:7" x14ac:dyDescent="0.3">
      <c r="A1554" t="s">
        <v>568</v>
      </c>
      <c r="B1554">
        <v>24331</v>
      </c>
      <c r="C1554" t="s">
        <v>3960</v>
      </c>
      <c r="D1554" t="s">
        <v>461</v>
      </c>
      <c r="E1554">
        <v>15</v>
      </c>
      <c r="F1554">
        <v>329.35</v>
      </c>
      <c r="G1554">
        <v>21.96</v>
      </c>
    </row>
    <row r="1555" spans="1:7" x14ac:dyDescent="0.3">
      <c r="A1555" t="s">
        <v>568</v>
      </c>
      <c r="B1555">
        <v>27884</v>
      </c>
      <c r="C1555" t="s">
        <v>3910</v>
      </c>
      <c r="D1555" t="s">
        <v>461</v>
      </c>
      <c r="E1555">
        <v>31.7</v>
      </c>
      <c r="F1555">
        <v>2060.5</v>
      </c>
      <c r="G1555">
        <v>65</v>
      </c>
    </row>
    <row r="1556" spans="1:7" x14ac:dyDescent="0.3">
      <c r="A1556" t="s">
        <v>568</v>
      </c>
      <c r="B1556">
        <v>24339</v>
      </c>
      <c r="C1556" t="s">
        <v>4119</v>
      </c>
      <c r="D1556" t="s">
        <v>461</v>
      </c>
      <c r="E1556">
        <v>5</v>
      </c>
      <c r="F1556">
        <v>122</v>
      </c>
      <c r="G1556">
        <v>24.4</v>
      </c>
    </row>
    <row r="1557" spans="1:7" x14ac:dyDescent="0.3">
      <c r="A1557" t="s">
        <v>568</v>
      </c>
      <c r="B1557">
        <v>20501</v>
      </c>
      <c r="C1557" t="s">
        <v>4219</v>
      </c>
      <c r="D1557" t="s">
        <v>461</v>
      </c>
      <c r="E1557">
        <v>15</v>
      </c>
      <c r="F1557">
        <v>332</v>
      </c>
      <c r="G1557">
        <v>22.13</v>
      </c>
    </row>
    <row r="1558" spans="1:7" x14ac:dyDescent="0.3">
      <c r="A1558" t="s">
        <v>568</v>
      </c>
      <c r="B1558">
        <v>26623</v>
      </c>
      <c r="C1558" t="s">
        <v>4410</v>
      </c>
      <c r="D1558" t="s">
        <v>461</v>
      </c>
      <c r="E1558">
        <v>1</v>
      </c>
      <c r="F1558">
        <v>198</v>
      </c>
      <c r="G1558">
        <v>198</v>
      </c>
    </row>
    <row r="1559" spans="1:7" x14ac:dyDescent="0.3">
      <c r="A1559" t="s">
        <v>568</v>
      </c>
      <c r="B1559">
        <v>24343</v>
      </c>
      <c r="C1559" t="s">
        <v>3990</v>
      </c>
      <c r="D1559" t="s">
        <v>461</v>
      </c>
      <c r="E1559">
        <v>12.7</v>
      </c>
      <c r="F1559">
        <v>320.16000000000003</v>
      </c>
      <c r="G1559">
        <v>25.21</v>
      </c>
    </row>
    <row r="1560" spans="1:7" x14ac:dyDescent="0.3">
      <c r="A1560" t="s">
        <v>568</v>
      </c>
      <c r="B1560">
        <v>19478</v>
      </c>
      <c r="C1560" t="s">
        <v>4072</v>
      </c>
      <c r="D1560" t="s">
        <v>461</v>
      </c>
      <c r="E1560">
        <v>1</v>
      </c>
      <c r="F1560">
        <v>72.91</v>
      </c>
      <c r="G1560">
        <v>72.91</v>
      </c>
    </row>
    <row r="1561" spans="1:7" x14ac:dyDescent="0.3">
      <c r="A1561" t="s">
        <v>568</v>
      </c>
      <c r="B1561">
        <v>17017</v>
      </c>
      <c r="C1561" t="s">
        <v>4230</v>
      </c>
      <c r="D1561" t="s">
        <v>461</v>
      </c>
      <c r="E1561">
        <v>4</v>
      </c>
      <c r="F1561">
        <v>12.9</v>
      </c>
      <c r="G1561">
        <v>3.23</v>
      </c>
    </row>
    <row r="1562" spans="1:7" x14ac:dyDescent="0.3">
      <c r="A1562" t="s">
        <v>568</v>
      </c>
      <c r="B1562">
        <v>17498</v>
      </c>
      <c r="C1562" t="s">
        <v>4243</v>
      </c>
      <c r="D1562" t="s">
        <v>461</v>
      </c>
      <c r="E1562">
        <v>4</v>
      </c>
      <c r="F1562">
        <v>91.94</v>
      </c>
      <c r="G1562">
        <v>22.99</v>
      </c>
    </row>
    <row r="1563" spans="1:7" x14ac:dyDescent="0.3">
      <c r="A1563" t="s">
        <v>568</v>
      </c>
      <c r="B1563">
        <v>23349</v>
      </c>
      <c r="C1563" t="s">
        <v>4173</v>
      </c>
      <c r="D1563" t="s">
        <v>461</v>
      </c>
      <c r="E1563">
        <v>3</v>
      </c>
      <c r="F1563">
        <v>42</v>
      </c>
      <c r="G1563">
        <v>14</v>
      </c>
    </row>
    <row r="1564" spans="1:7" x14ac:dyDescent="0.3">
      <c r="A1564" t="s">
        <v>568</v>
      </c>
      <c r="B1564">
        <v>19743</v>
      </c>
      <c r="C1564" t="s">
        <v>4152</v>
      </c>
      <c r="D1564" t="s">
        <v>461</v>
      </c>
      <c r="E1564">
        <v>3</v>
      </c>
      <c r="F1564">
        <v>41.25</v>
      </c>
      <c r="G1564">
        <v>13.75</v>
      </c>
    </row>
    <row r="1565" spans="1:7" x14ac:dyDescent="0.3">
      <c r="A1565" t="s">
        <v>568</v>
      </c>
      <c r="B1565">
        <v>20007</v>
      </c>
      <c r="C1565" t="s">
        <v>4009</v>
      </c>
      <c r="D1565" t="s">
        <v>461</v>
      </c>
      <c r="E1565">
        <v>10</v>
      </c>
      <c r="F1565">
        <v>483.4</v>
      </c>
      <c r="G1565">
        <v>48.34</v>
      </c>
    </row>
    <row r="1566" spans="1:7" x14ac:dyDescent="0.3">
      <c r="A1566" t="s">
        <v>568</v>
      </c>
      <c r="B1566">
        <v>19742</v>
      </c>
      <c r="C1566" t="s">
        <v>4074</v>
      </c>
      <c r="D1566" t="s">
        <v>461</v>
      </c>
      <c r="E1566">
        <v>5.8</v>
      </c>
      <c r="F1566">
        <v>61.25</v>
      </c>
      <c r="G1566">
        <v>10.56</v>
      </c>
    </row>
    <row r="1567" spans="1:7" x14ac:dyDescent="0.3">
      <c r="A1567" t="s">
        <v>568</v>
      </c>
      <c r="B1567">
        <v>23120</v>
      </c>
      <c r="C1567" t="s">
        <v>4111</v>
      </c>
      <c r="D1567" t="s">
        <v>461</v>
      </c>
      <c r="E1567">
        <v>1.9</v>
      </c>
      <c r="F1567">
        <v>131.38</v>
      </c>
      <c r="G1567">
        <v>69.150000000000006</v>
      </c>
    </row>
    <row r="1568" spans="1:7" x14ac:dyDescent="0.3">
      <c r="A1568" t="s">
        <v>568</v>
      </c>
      <c r="B1568">
        <v>19405</v>
      </c>
      <c r="C1568" t="s">
        <v>4097</v>
      </c>
      <c r="D1568" t="s">
        <v>461</v>
      </c>
      <c r="E1568">
        <v>2</v>
      </c>
      <c r="F1568">
        <v>303.8</v>
      </c>
      <c r="G1568">
        <v>151.9</v>
      </c>
    </row>
    <row r="1569" spans="1:7" x14ac:dyDescent="0.3">
      <c r="A1569" t="s">
        <v>568</v>
      </c>
      <c r="B1569">
        <v>19740</v>
      </c>
      <c r="C1569" t="s">
        <v>3933</v>
      </c>
      <c r="D1569" t="s">
        <v>461</v>
      </c>
      <c r="E1569">
        <v>50.8</v>
      </c>
      <c r="F1569">
        <v>584.1</v>
      </c>
      <c r="G1569">
        <v>11.5</v>
      </c>
    </row>
    <row r="1570" spans="1:7" x14ac:dyDescent="0.3">
      <c r="A1570" t="s">
        <v>568</v>
      </c>
      <c r="B1570">
        <v>19415</v>
      </c>
      <c r="C1570" t="s">
        <v>3941</v>
      </c>
      <c r="D1570" t="s">
        <v>461</v>
      </c>
      <c r="E1570">
        <v>22</v>
      </c>
      <c r="F1570">
        <v>178.36</v>
      </c>
      <c r="G1570">
        <v>8.11</v>
      </c>
    </row>
    <row r="1571" spans="1:7" x14ac:dyDescent="0.3">
      <c r="A1571" t="s">
        <v>568</v>
      </c>
      <c r="B1571">
        <v>19416</v>
      </c>
      <c r="C1571" t="s">
        <v>4411</v>
      </c>
      <c r="D1571" t="s">
        <v>461</v>
      </c>
      <c r="E1571">
        <v>3</v>
      </c>
      <c r="F1571">
        <v>35.880000000000003</v>
      </c>
      <c r="G1571">
        <v>11.96</v>
      </c>
    </row>
    <row r="1572" spans="1:7" x14ac:dyDescent="0.3">
      <c r="A1572" t="s">
        <v>568</v>
      </c>
      <c r="B1572">
        <v>17474</v>
      </c>
      <c r="C1572" t="s">
        <v>4273</v>
      </c>
      <c r="D1572" t="s">
        <v>461</v>
      </c>
      <c r="E1572">
        <v>1</v>
      </c>
      <c r="F1572">
        <v>78</v>
      </c>
      <c r="G1572">
        <v>78</v>
      </c>
    </row>
    <row r="1573" spans="1:7" x14ac:dyDescent="0.3">
      <c r="A1573" t="s">
        <v>568</v>
      </c>
      <c r="B1573">
        <v>24351</v>
      </c>
      <c r="C1573" t="s">
        <v>3912</v>
      </c>
      <c r="D1573" t="s">
        <v>461</v>
      </c>
      <c r="E1573">
        <v>60</v>
      </c>
      <c r="F1573">
        <v>720</v>
      </c>
      <c r="G1573">
        <v>12</v>
      </c>
    </row>
    <row r="1574" spans="1:7" x14ac:dyDescent="0.3">
      <c r="A1574" t="s">
        <v>568</v>
      </c>
      <c r="B1574">
        <v>20117</v>
      </c>
      <c r="C1574" t="s">
        <v>4010</v>
      </c>
      <c r="D1574" t="s">
        <v>461</v>
      </c>
      <c r="E1574">
        <v>2</v>
      </c>
      <c r="F1574">
        <v>81.400000000000006</v>
      </c>
      <c r="G1574">
        <v>40.700000000000003</v>
      </c>
    </row>
    <row r="1575" spans="1:7" x14ac:dyDescent="0.3">
      <c r="A1575" t="s">
        <v>568</v>
      </c>
      <c r="B1575">
        <v>20832</v>
      </c>
      <c r="C1575" t="s">
        <v>4060</v>
      </c>
      <c r="D1575" t="s">
        <v>461</v>
      </c>
      <c r="E1575">
        <v>4</v>
      </c>
      <c r="F1575">
        <v>140.22999999999999</v>
      </c>
      <c r="G1575">
        <v>35.06</v>
      </c>
    </row>
    <row r="1576" spans="1:7" x14ac:dyDescent="0.3">
      <c r="A1576" t="s">
        <v>568</v>
      </c>
      <c r="B1576">
        <v>19979</v>
      </c>
      <c r="C1576" t="s">
        <v>4295</v>
      </c>
      <c r="D1576" t="s">
        <v>461</v>
      </c>
      <c r="E1576">
        <v>2</v>
      </c>
      <c r="F1576">
        <v>43.76</v>
      </c>
      <c r="G1576">
        <v>21.88</v>
      </c>
    </row>
    <row r="1577" spans="1:7" x14ac:dyDescent="0.3">
      <c r="A1577" t="s">
        <v>568</v>
      </c>
      <c r="B1577">
        <v>19984</v>
      </c>
      <c r="C1577" t="s">
        <v>3904</v>
      </c>
      <c r="D1577" t="s">
        <v>461</v>
      </c>
      <c r="E1577">
        <v>12</v>
      </c>
      <c r="F1577">
        <v>237.6</v>
      </c>
      <c r="G1577">
        <v>19.8</v>
      </c>
    </row>
    <row r="1578" spans="1:7" x14ac:dyDescent="0.3">
      <c r="A1578" t="s">
        <v>568</v>
      </c>
      <c r="B1578">
        <v>19973</v>
      </c>
      <c r="C1578" t="s">
        <v>3981</v>
      </c>
      <c r="D1578" t="s">
        <v>461</v>
      </c>
      <c r="E1578">
        <v>4</v>
      </c>
      <c r="F1578">
        <v>60.8</v>
      </c>
      <c r="G1578">
        <v>15.2</v>
      </c>
    </row>
    <row r="1579" spans="1:7" x14ac:dyDescent="0.3">
      <c r="A1579" t="s">
        <v>568</v>
      </c>
      <c r="B1579">
        <v>23335</v>
      </c>
      <c r="C1579" t="s">
        <v>4075</v>
      </c>
      <c r="D1579" t="s">
        <v>461</v>
      </c>
      <c r="E1579">
        <v>2.4</v>
      </c>
      <c r="F1579">
        <v>69.760000000000005</v>
      </c>
      <c r="G1579">
        <v>29.07</v>
      </c>
    </row>
    <row r="1580" spans="1:7" x14ac:dyDescent="0.3">
      <c r="A1580" t="s">
        <v>568</v>
      </c>
      <c r="B1580">
        <v>19967</v>
      </c>
      <c r="C1580" t="s">
        <v>3930</v>
      </c>
      <c r="D1580" t="s">
        <v>461</v>
      </c>
      <c r="E1580">
        <v>2</v>
      </c>
      <c r="F1580">
        <v>99.76</v>
      </c>
      <c r="G1580">
        <v>49.88</v>
      </c>
    </row>
    <row r="1581" spans="1:7" x14ac:dyDescent="0.3">
      <c r="A1581" t="s">
        <v>568</v>
      </c>
      <c r="B1581">
        <v>27711</v>
      </c>
      <c r="C1581" t="s">
        <v>3913</v>
      </c>
      <c r="D1581" t="s">
        <v>461</v>
      </c>
      <c r="E1581">
        <v>12</v>
      </c>
      <c r="F1581">
        <v>410.4</v>
      </c>
      <c r="G1581">
        <v>34.200000000000003</v>
      </c>
    </row>
    <row r="1582" spans="1:7" x14ac:dyDescent="0.3">
      <c r="A1582" t="s">
        <v>568</v>
      </c>
      <c r="B1582">
        <v>28537</v>
      </c>
      <c r="C1582" t="s">
        <v>4159</v>
      </c>
      <c r="D1582" t="s">
        <v>461</v>
      </c>
      <c r="E1582">
        <v>6</v>
      </c>
      <c r="F1582">
        <v>231</v>
      </c>
      <c r="G1582">
        <v>38.5</v>
      </c>
    </row>
    <row r="1583" spans="1:7" x14ac:dyDescent="0.3">
      <c r="A1583" t="s">
        <v>568</v>
      </c>
      <c r="B1583">
        <v>24388</v>
      </c>
      <c r="C1583" t="s">
        <v>3915</v>
      </c>
      <c r="D1583" t="s">
        <v>461</v>
      </c>
      <c r="E1583">
        <v>11.8</v>
      </c>
      <c r="F1583">
        <v>352.82</v>
      </c>
      <c r="G1583">
        <v>29.9</v>
      </c>
    </row>
    <row r="1584" spans="1:7" x14ac:dyDescent="0.3">
      <c r="A1584" t="s">
        <v>568</v>
      </c>
      <c r="B1584">
        <v>24389</v>
      </c>
      <c r="C1584" t="s">
        <v>4305</v>
      </c>
      <c r="D1584" t="s">
        <v>461</v>
      </c>
      <c r="E1584">
        <v>4.8</v>
      </c>
      <c r="F1584">
        <v>143.52000000000001</v>
      </c>
      <c r="G1584">
        <v>29.9</v>
      </c>
    </row>
    <row r="1585" spans="1:7" x14ac:dyDescent="0.3">
      <c r="A1585" t="s">
        <v>568</v>
      </c>
      <c r="B1585">
        <v>20976</v>
      </c>
      <c r="C1585" t="s">
        <v>4062</v>
      </c>
      <c r="D1585" t="s">
        <v>461</v>
      </c>
      <c r="E1585">
        <v>1</v>
      </c>
      <c r="F1585">
        <v>189.88</v>
      </c>
      <c r="G1585">
        <v>189.88</v>
      </c>
    </row>
    <row r="1586" spans="1:7" x14ac:dyDescent="0.3">
      <c r="A1586" t="s">
        <v>568</v>
      </c>
      <c r="B1586">
        <v>20984</v>
      </c>
      <c r="C1586" t="s">
        <v>4235</v>
      </c>
      <c r="D1586" t="s">
        <v>461</v>
      </c>
      <c r="E1586">
        <v>44</v>
      </c>
      <c r="F1586">
        <v>385.64</v>
      </c>
      <c r="G1586">
        <v>8.76</v>
      </c>
    </row>
    <row r="1587" spans="1:7" x14ac:dyDescent="0.3">
      <c r="A1587" t="s">
        <v>568</v>
      </c>
      <c r="B1587">
        <v>20988</v>
      </c>
      <c r="C1587" t="s">
        <v>4117</v>
      </c>
      <c r="D1587" t="s">
        <v>461</v>
      </c>
      <c r="E1587">
        <v>20</v>
      </c>
      <c r="F1587">
        <v>168</v>
      </c>
      <c r="G1587">
        <v>8.4</v>
      </c>
    </row>
    <row r="1588" spans="1:7" x14ac:dyDescent="0.3">
      <c r="A1588" t="s">
        <v>568</v>
      </c>
      <c r="B1588">
        <v>23503</v>
      </c>
      <c r="C1588" t="s">
        <v>4041</v>
      </c>
      <c r="D1588" t="s">
        <v>461</v>
      </c>
      <c r="E1588">
        <v>1</v>
      </c>
      <c r="F1588">
        <v>24.2</v>
      </c>
      <c r="G1588">
        <v>24.2</v>
      </c>
    </row>
    <row r="1589" spans="1:7" x14ac:dyDescent="0.3">
      <c r="A1589" t="s">
        <v>568</v>
      </c>
      <c r="B1589">
        <v>24393</v>
      </c>
      <c r="C1589" t="s">
        <v>4039</v>
      </c>
      <c r="D1589" t="s">
        <v>461</v>
      </c>
      <c r="E1589">
        <v>3.3</v>
      </c>
      <c r="F1589">
        <v>46.17</v>
      </c>
      <c r="G1589">
        <v>13.99</v>
      </c>
    </row>
    <row r="1590" spans="1:7" x14ac:dyDescent="0.3">
      <c r="A1590" t="s">
        <v>568</v>
      </c>
      <c r="B1590">
        <v>23096</v>
      </c>
      <c r="C1590" t="s">
        <v>3876</v>
      </c>
      <c r="D1590" t="s">
        <v>461</v>
      </c>
      <c r="E1590">
        <v>360</v>
      </c>
      <c r="F1590">
        <v>184.2</v>
      </c>
      <c r="G1590">
        <v>0.51</v>
      </c>
    </row>
    <row r="1591" spans="1:7" x14ac:dyDescent="0.3">
      <c r="A1591" t="s">
        <v>568</v>
      </c>
      <c r="B1591">
        <v>23095</v>
      </c>
      <c r="C1591" t="s">
        <v>3882</v>
      </c>
      <c r="D1591" t="s">
        <v>461</v>
      </c>
      <c r="E1591">
        <v>540</v>
      </c>
      <c r="F1591">
        <v>509.4</v>
      </c>
      <c r="G1591">
        <v>0.94</v>
      </c>
    </row>
    <row r="1592" spans="1:7" x14ac:dyDescent="0.3">
      <c r="A1592" t="s">
        <v>568</v>
      </c>
      <c r="B1592">
        <v>17444</v>
      </c>
      <c r="C1592" t="s">
        <v>4211</v>
      </c>
      <c r="D1592" t="s">
        <v>461</v>
      </c>
      <c r="E1592">
        <v>3</v>
      </c>
      <c r="F1592">
        <v>36.1</v>
      </c>
      <c r="G1592">
        <v>12.03</v>
      </c>
    </row>
    <row r="1593" spans="1:7" x14ac:dyDescent="0.3">
      <c r="A1593" t="s">
        <v>568</v>
      </c>
      <c r="B1593">
        <v>20624</v>
      </c>
      <c r="C1593" t="s">
        <v>3982</v>
      </c>
      <c r="D1593" t="s">
        <v>461</v>
      </c>
      <c r="E1593">
        <v>5</v>
      </c>
      <c r="F1593">
        <v>342.5</v>
      </c>
      <c r="G1593">
        <v>68.5</v>
      </c>
    </row>
    <row r="1594" spans="1:7" x14ac:dyDescent="0.3">
      <c r="A1594" t="s">
        <v>568</v>
      </c>
      <c r="B1594">
        <v>24517</v>
      </c>
      <c r="C1594" t="s">
        <v>3991</v>
      </c>
      <c r="D1594" t="s">
        <v>461</v>
      </c>
      <c r="E1594">
        <v>46.4</v>
      </c>
      <c r="F1594">
        <v>1298.74</v>
      </c>
      <c r="G1594">
        <v>27.99</v>
      </c>
    </row>
    <row r="1595" spans="1:7" x14ac:dyDescent="0.3">
      <c r="A1595" t="s">
        <v>568</v>
      </c>
      <c r="B1595">
        <v>17162</v>
      </c>
      <c r="C1595" t="s">
        <v>4209</v>
      </c>
      <c r="D1595" t="s">
        <v>461</v>
      </c>
      <c r="E1595">
        <v>2</v>
      </c>
      <c r="F1595">
        <v>109.99</v>
      </c>
      <c r="G1595">
        <v>55</v>
      </c>
    </row>
    <row r="1596" spans="1:7" x14ac:dyDescent="0.3">
      <c r="A1596" t="s">
        <v>568</v>
      </c>
      <c r="B1596">
        <v>19130</v>
      </c>
      <c r="C1596" t="s">
        <v>4284</v>
      </c>
      <c r="D1596" t="s">
        <v>461</v>
      </c>
      <c r="E1596">
        <v>1006</v>
      </c>
      <c r="F1596">
        <v>1056.3</v>
      </c>
      <c r="G1596">
        <v>1.05</v>
      </c>
    </row>
    <row r="1597" spans="1:7" x14ac:dyDescent="0.3">
      <c r="A1597" t="s">
        <v>568</v>
      </c>
      <c r="B1597">
        <v>19139</v>
      </c>
      <c r="C1597" t="s">
        <v>3887</v>
      </c>
      <c r="D1597" t="s">
        <v>461</v>
      </c>
      <c r="E1597">
        <v>103</v>
      </c>
      <c r="F1597">
        <v>963.7</v>
      </c>
      <c r="G1597">
        <v>9.36</v>
      </c>
    </row>
    <row r="1598" spans="1:7" x14ac:dyDescent="0.3">
      <c r="A1598" t="s">
        <v>568</v>
      </c>
      <c r="B1598">
        <v>17342</v>
      </c>
      <c r="C1598" t="s">
        <v>4208</v>
      </c>
      <c r="D1598" t="s">
        <v>461</v>
      </c>
      <c r="E1598">
        <v>2</v>
      </c>
      <c r="F1598">
        <v>68.459999999999994</v>
      </c>
      <c r="G1598">
        <v>34.229999999999997</v>
      </c>
    </row>
    <row r="1599" spans="1:7" x14ac:dyDescent="0.3">
      <c r="A1599" t="s">
        <v>568</v>
      </c>
      <c r="B1599">
        <v>24843</v>
      </c>
      <c r="C1599" t="s">
        <v>4392</v>
      </c>
      <c r="D1599" t="s">
        <v>461</v>
      </c>
      <c r="E1599">
        <v>1</v>
      </c>
      <c r="F1599">
        <v>58.9</v>
      </c>
      <c r="G1599">
        <v>58.9</v>
      </c>
    </row>
    <row r="1600" spans="1:7" x14ac:dyDescent="0.3">
      <c r="A1600" t="s">
        <v>568</v>
      </c>
      <c r="B1600">
        <v>17416</v>
      </c>
      <c r="C1600" t="s">
        <v>4205</v>
      </c>
      <c r="D1600" t="s">
        <v>461</v>
      </c>
      <c r="E1600">
        <v>7</v>
      </c>
      <c r="F1600">
        <v>340.06</v>
      </c>
      <c r="G1600">
        <v>48.58</v>
      </c>
    </row>
    <row r="1601" spans="1:7" x14ac:dyDescent="0.3">
      <c r="A1601" t="s">
        <v>568</v>
      </c>
      <c r="B1601">
        <v>17425</v>
      </c>
      <c r="C1601" t="s">
        <v>4421</v>
      </c>
      <c r="D1601" t="s">
        <v>461</v>
      </c>
      <c r="E1601">
        <v>4</v>
      </c>
      <c r="F1601">
        <v>220</v>
      </c>
      <c r="G1601">
        <v>55</v>
      </c>
    </row>
    <row r="1602" spans="1:7" x14ac:dyDescent="0.3">
      <c r="A1602" t="s">
        <v>568</v>
      </c>
      <c r="B1602">
        <v>19932</v>
      </c>
      <c r="C1602" t="s">
        <v>4011</v>
      </c>
      <c r="D1602" t="s">
        <v>461</v>
      </c>
      <c r="E1602">
        <v>1</v>
      </c>
      <c r="F1602">
        <v>7.3</v>
      </c>
      <c r="G1602">
        <v>7.3</v>
      </c>
    </row>
    <row r="1603" spans="1:7" x14ac:dyDescent="0.3">
      <c r="A1603" t="s">
        <v>568</v>
      </c>
      <c r="B1603">
        <v>24400</v>
      </c>
      <c r="C1603" t="s">
        <v>4149</v>
      </c>
      <c r="D1603" t="s">
        <v>461</v>
      </c>
      <c r="E1603">
        <v>1</v>
      </c>
      <c r="F1603">
        <v>14.5</v>
      </c>
      <c r="G1603">
        <v>14.5</v>
      </c>
    </row>
    <row r="1604" spans="1:7" x14ac:dyDescent="0.3">
      <c r="A1604" t="s">
        <v>568</v>
      </c>
      <c r="B1604">
        <v>24401</v>
      </c>
      <c r="C1604" t="s">
        <v>4063</v>
      </c>
      <c r="D1604" t="s">
        <v>461</v>
      </c>
      <c r="E1604">
        <v>1</v>
      </c>
      <c r="F1604">
        <v>14.5</v>
      </c>
      <c r="G1604">
        <v>14.5</v>
      </c>
    </row>
    <row r="1605" spans="1:7" x14ac:dyDescent="0.3">
      <c r="A1605" t="s">
        <v>568</v>
      </c>
      <c r="B1605">
        <v>24402</v>
      </c>
      <c r="C1605" t="s">
        <v>3896</v>
      </c>
      <c r="D1605" t="s">
        <v>461</v>
      </c>
      <c r="E1605">
        <v>56.6</v>
      </c>
      <c r="F1605">
        <v>2056.5</v>
      </c>
      <c r="G1605">
        <v>36.33</v>
      </c>
    </row>
    <row r="1606" spans="1:7" x14ac:dyDescent="0.3">
      <c r="A1606" t="s">
        <v>568</v>
      </c>
      <c r="B1606">
        <v>18832</v>
      </c>
      <c r="C1606" t="s">
        <v>3900</v>
      </c>
      <c r="D1606" t="s">
        <v>461</v>
      </c>
      <c r="E1606">
        <v>91</v>
      </c>
      <c r="F1606">
        <v>3529.5</v>
      </c>
      <c r="G1606">
        <v>38.79</v>
      </c>
    </row>
    <row r="1607" spans="1:7" x14ac:dyDescent="0.3">
      <c r="A1607" t="s">
        <v>568</v>
      </c>
      <c r="B1607">
        <v>24403</v>
      </c>
      <c r="C1607" t="s">
        <v>3992</v>
      </c>
      <c r="D1607" t="s">
        <v>461</v>
      </c>
      <c r="E1607">
        <v>3</v>
      </c>
      <c r="F1607">
        <v>38.97</v>
      </c>
      <c r="G1607">
        <v>12.99</v>
      </c>
    </row>
    <row r="1608" spans="1:7" x14ac:dyDescent="0.3">
      <c r="A1608" t="s">
        <v>568</v>
      </c>
      <c r="B1608">
        <v>18996</v>
      </c>
      <c r="C1608" t="s">
        <v>3946</v>
      </c>
      <c r="D1608" t="s">
        <v>461</v>
      </c>
      <c r="E1608">
        <v>11.6</v>
      </c>
      <c r="F1608">
        <v>199.94</v>
      </c>
      <c r="G1608">
        <v>17.239999999999998</v>
      </c>
    </row>
    <row r="1609" spans="1:7" x14ac:dyDescent="0.3">
      <c r="A1609" t="s">
        <v>568</v>
      </c>
      <c r="B1609">
        <v>20621</v>
      </c>
      <c r="C1609" t="s">
        <v>3885</v>
      </c>
      <c r="D1609" t="s">
        <v>461</v>
      </c>
      <c r="E1609">
        <v>16</v>
      </c>
      <c r="F1609">
        <v>404</v>
      </c>
      <c r="G1609">
        <v>25.25</v>
      </c>
    </row>
    <row r="1610" spans="1:7" x14ac:dyDescent="0.3">
      <c r="A1610" t="s">
        <v>568</v>
      </c>
      <c r="B1610">
        <v>19589</v>
      </c>
      <c r="C1610" t="s">
        <v>4153</v>
      </c>
      <c r="D1610" t="s">
        <v>461</v>
      </c>
      <c r="E1610">
        <v>5</v>
      </c>
      <c r="F1610">
        <v>44</v>
      </c>
      <c r="G1610">
        <v>8.8000000000000007</v>
      </c>
    </row>
    <row r="1611" spans="1:7" x14ac:dyDescent="0.3">
      <c r="A1611" t="s">
        <v>568</v>
      </c>
      <c r="B1611">
        <v>25197</v>
      </c>
      <c r="C1611" t="s">
        <v>4143</v>
      </c>
      <c r="D1611" t="s">
        <v>461</v>
      </c>
      <c r="E1611">
        <v>90</v>
      </c>
      <c r="F1611">
        <v>855</v>
      </c>
      <c r="G1611">
        <v>9.5</v>
      </c>
    </row>
    <row r="1612" spans="1:7" x14ac:dyDescent="0.3">
      <c r="A1612" t="s">
        <v>568</v>
      </c>
      <c r="B1612">
        <v>17895</v>
      </c>
      <c r="C1612" t="s">
        <v>4137</v>
      </c>
      <c r="D1612" t="s">
        <v>461</v>
      </c>
      <c r="E1612">
        <v>25</v>
      </c>
      <c r="F1612">
        <v>306.60000000000002</v>
      </c>
      <c r="G1612">
        <v>12.26</v>
      </c>
    </row>
    <row r="1613" spans="1:7" x14ac:dyDescent="0.3">
      <c r="A1613" t="s">
        <v>568</v>
      </c>
      <c r="B1613">
        <v>17886</v>
      </c>
      <c r="C1613" t="s">
        <v>3935</v>
      </c>
      <c r="D1613" t="s">
        <v>461</v>
      </c>
      <c r="E1613">
        <v>31</v>
      </c>
      <c r="F1613">
        <v>448.2</v>
      </c>
      <c r="G1613">
        <v>14.46</v>
      </c>
    </row>
    <row r="1614" spans="1:7" x14ac:dyDescent="0.3">
      <c r="A1614" t="s">
        <v>568</v>
      </c>
      <c r="B1614">
        <v>19583</v>
      </c>
      <c r="C1614" t="s">
        <v>4076</v>
      </c>
      <c r="D1614" t="s">
        <v>461</v>
      </c>
      <c r="E1614">
        <v>1</v>
      </c>
      <c r="F1614">
        <v>42</v>
      </c>
      <c r="G1614">
        <v>42</v>
      </c>
    </row>
    <row r="1615" spans="1:7" x14ac:dyDescent="0.3">
      <c r="A1615" t="s">
        <v>568</v>
      </c>
      <c r="B1615">
        <v>19572</v>
      </c>
      <c r="C1615" t="s">
        <v>4023</v>
      </c>
      <c r="D1615" t="s">
        <v>461</v>
      </c>
      <c r="E1615">
        <v>4</v>
      </c>
      <c r="F1615">
        <v>65</v>
      </c>
      <c r="G1615">
        <v>16.25</v>
      </c>
    </row>
    <row r="1616" spans="1:7" x14ac:dyDescent="0.3">
      <c r="A1616" t="s">
        <v>568</v>
      </c>
      <c r="B1616">
        <v>23198</v>
      </c>
      <c r="C1616" t="s">
        <v>4167</v>
      </c>
      <c r="D1616" t="s">
        <v>461</v>
      </c>
      <c r="E1616">
        <v>5.3</v>
      </c>
      <c r="F1616">
        <v>52.6</v>
      </c>
      <c r="G1616">
        <v>9.92</v>
      </c>
    </row>
    <row r="1617" spans="1:7" x14ac:dyDescent="0.3">
      <c r="A1617" t="s">
        <v>568</v>
      </c>
      <c r="B1617">
        <v>21400</v>
      </c>
      <c r="C1617" t="s">
        <v>4165</v>
      </c>
      <c r="D1617" t="s">
        <v>461</v>
      </c>
      <c r="E1617">
        <v>3.44</v>
      </c>
      <c r="F1617">
        <v>99.59</v>
      </c>
      <c r="G1617">
        <v>28.95</v>
      </c>
    </row>
    <row r="1618" spans="1:7" x14ac:dyDescent="0.3">
      <c r="A1618" t="s">
        <v>568</v>
      </c>
      <c r="B1618">
        <v>18682</v>
      </c>
      <c r="C1618" t="s">
        <v>4025</v>
      </c>
      <c r="D1618" t="s">
        <v>461</v>
      </c>
      <c r="E1618">
        <v>31.75</v>
      </c>
      <c r="F1618">
        <v>888.69</v>
      </c>
      <c r="G1618">
        <v>27.99</v>
      </c>
    </row>
    <row r="1619" spans="1:7" x14ac:dyDescent="0.3">
      <c r="A1619" t="s">
        <v>568</v>
      </c>
      <c r="B1619">
        <v>19346</v>
      </c>
      <c r="C1619" t="s">
        <v>3948</v>
      </c>
      <c r="D1619" t="s">
        <v>461</v>
      </c>
      <c r="E1619">
        <v>17.86</v>
      </c>
      <c r="F1619">
        <v>1022.31</v>
      </c>
      <c r="G1619">
        <v>57.24</v>
      </c>
    </row>
    <row r="1620" spans="1:7" x14ac:dyDescent="0.3">
      <c r="A1620" t="s">
        <v>568</v>
      </c>
      <c r="B1620">
        <v>19324</v>
      </c>
      <c r="C1620" t="s">
        <v>3937</v>
      </c>
      <c r="D1620" t="s">
        <v>461</v>
      </c>
      <c r="E1620">
        <v>32.68</v>
      </c>
      <c r="F1620">
        <v>1029.2</v>
      </c>
      <c r="G1620">
        <v>31.49</v>
      </c>
    </row>
    <row r="1621" spans="1:7" x14ac:dyDescent="0.3">
      <c r="A1621" t="s">
        <v>568</v>
      </c>
      <c r="B1621">
        <v>19297</v>
      </c>
      <c r="C1621" t="s">
        <v>3949</v>
      </c>
      <c r="D1621" t="s">
        <v>461</v>
      </c>
      <c r="E1621">
        <v>43.94</v>
      </c>
      <c r="F1621">
        <v>3337.48</v>
      </c>
      <c r="G1621">
        <v>75.959999999999994</v>
      </c>
    </row>
    <row r="1622" spans="1:7" x14ac:dyDescent="0.3">
      <c r="A1622" t="s">
        <v>568</v>
      </c>
      <c r="B1622">
        <v>19287</v>
      </c>
      <c r="C1622" t="s">
        <v>3974</v>
      </c>
      <c r="D1622" t="s">
        <v>461</v>
      </c>
      <c r="E1622">
        <v>15.84</v>
      </c>
      <c r="F1622">
        <v>607.6</v>
      </c>
      <c r="G1622">
        <v>38.36</v>
      </c>
    </row>
    <row r="1623" spans="1:7" x14ac:dyDescent="0.3">
      <c r="A1623" t="s">
        <v>568</v>
      </c>
      <c r="B1623">
        <v>19558</v>
      </c>
      <c r="C1623" t="s">
        <v>4183</v>
      </c>
      <c r="D1623" t="s">
        <v>461</v>
      </c>
      <c r="E1623">
        <v>4.25</v>
      </c>
      <c r="F1623">
        <v>58.3</v>
      </c>
      <c r="G1623">
        <v>13.72</v>
      </c>
    </row>
    <row r="1624" spans="1:7" x14ac:dyDescent="0.3">
      <c r="A1624" t="s">
        <v>568</v>
      </c>
      <c r="B1624">
        <v>25768</v>
      </c>
      <c r="C1624" t="s">
        <v>4012</v>
      </c>
      <c r="D1624" t="s">
        <v>461</v>
      </c>
      <c r="E1624">
        <v>4</v>
      </c>
      <c r="F1624">
        <v>35.6</v>
      </c>
      <c r="G1624">
        <v>8.9</v>
      </c>
    </row>
    <row r="1625" spans="1:7" x14ac:dyDescent="0.3">
      <c r="A1625" t="s">
        <v>568</v>
      </c>
      <c r="B1625">
        <v>18818</v>
      </c>
      <c r="C1625" t="s">
        <v>3916</v>
      </c>
      <c r="D1625" t="s">
        <v>461</v>
      </c>
      <c r="E1625">
        <v>42.5</v>
      </c>
      <c r="F1625">
        <v>1394</v>
      </c>
      <c r="G1625">
        <v>32.799999999999997</v>
      </c>
    </row>
    <row r="1626" spans="1:7" x14ac:dyDescent="0.3">
      <c r="A1626" t="s">
        <v>568</v>
      </c>
      <c r="B1626">
        <v>18666</v>
      </c>
      <c r="C1626" t="s">
        <v>4003</v>
      </c>
      <c r="D1626" t="s">
        <v>461</v>
      </c>
      <c r="E1626">
        <v>3.5</v>
      </c>
      <c r="F1626">
        <v>83.96</v>
      </c>
      <c r="G1626">
        <v>23.99</v>
      </c>
    </row>
    <row r="1627" spans="1:7" x14ac:dyDescent="0.3">
      <c r="A1627" t="s">
        <v>568</v>
      </c>
      <c r="B1627">
        <v>19555</v>
      </c>
      <c r="C1627" t="s">
        <v>4109</v>
      </c>
      <c r="D1627" t="s">
        <v>461</v>
      </c>
      <c r="E1627">
        <v>5.25</v>
      </c>
      <c r="F1627">
        <v>132.80000000000001</v>
      </c>
      <c r="G1627">
        <v>25.3</v>
      </c>
    </row>
    <row r="1628" spans="1:7" x14ac:dyDescent="0.3">
      <c r="A1628" t="s">
        <v>568</v>
      </c>
      <c r="B1628">
        <v>21123</v>
      </c>
      <c r="C1628" t="s">
        <v>4115</v>
      </c>
      <c r="D1628" t="s">
        <v>461</v>
      </c>
      <c r="E1628">
        <v>5</v>
      </c>
      <c r="F1628">
        <v>66.5</v>
      </c>
      <c r="G1628">
        <v>13.3</v>
      </c>
    </row>
    <row r="1629" spans="1:7" x14ac:dyDescent="0.3">
      <c r="A1629" t="s">
        <v>568</v>
      </c>
      <c r="B1629">
        <v>19553</v>
      </c>
      <c r="C1629" t="s">
        <v>4078</v>
      </c>
      <c r="D1629" t="s">
        <v>461</v>
      </c>
      <c r="E1629">
        <v>5.5</v>
      </c>
      <c r="F1629">
        <v>15.75</v>
      </c>
      <c r="G1629">
        <v>2.86</v>
      </c>
    </row>
    <row r="1630" spans="1:7" x14ac:dyDescent="0.3">
      <c r="A1630" t="s">
        <v>568</v>
      </c>
      <c r="B1630">
        <v>19264</v>
      </c>
      <c r="C1630" t="s">
        <v>4082</v>
      </c>
      <c r="D1630" t="s">
        <v>461</v>
      </c>
      <c r="E1630">
        <v>2</v>
      </c>
      <c r="F1630">
        <v>152</v>
      </c>
      <c r="G1630">
        <v>76</v>
      </c>
    </row>
    <row r="1631" spans="1:7" x14ac:dyDescent="0.3">
      <c r="A1631" t="s">
        <v>568</v>
      </c>
      <c r="B1631">
        <v>17129</v>
      </c>
      <c r="C1631" t="s">
        <v>4200</v>
      </c>
      <c r="D1631" t="s">
        <v>461</v>
      </c>
      <c r="E1631">
        <v>4</v>
      </c>
      <c r="F1631">
        <v>115.6</v>
      </c>
      <c r="G1631">
        <v>28.9</v>
      </c>
    </row>
    <row r="1632" spans="1:7" x14ac:dyDescent="0.3">
      <c r="A1632" t="s">
        <v>568</v>
      </c>
      <c r="B1632">
        <v>17437</v>
      </c>
      <c r="C1632" t="s">
        <v>4198</v>
      </c>
      <c r="D1632" t="s">
        <v>461</v>
      </c>
      <c r="E1632">
        <v>40</v>
      </c>
      <c r="F1632">
        <v>100</v>
      </c>
      <c r="G1632">
        <v>2.5</v>
      </c>
    </row>
    <row r="1633" spans="1:7" x14ac:dyDescent="0.3">
      <c r="A1633" t="s">
        <v>568</v>
      </c>
      <c r="B1633">
        <v>21423</v>
      </c>
      <c r="C1633" t="s">
        <v>4225</v>
      </c>
      <c r="D1633" t="s">
        <v>461</v>
      </c>
      <c r="E1633">
        <v>1</v>
      </c>
      <c r="F1633">
        <v>31.82</v>
      </c>
      <c r="G1633">
        <v>31.82</v>
      </c>
    </row>
    <row r="1634" spans="1:7" x14ac:dyDescent="0.3">
      <c r="A1634" t="s">
        <v>568</v>
      </c>
      <c r="B1634">
        <v>17397</v>
      </c>
      <c r="C1634" t="s">
        <v>4223</v>
      </c>
      <c r="D1634" t="s">
        <v>461</v>
      </c>
      <c r="E1634">
        <v>2</v>
      </c>
      <c r="F1634">
        <v>63.64</v>
      </c>
      <c r="G1634">
        <v>31.82</v>
      </c>
    </row>
    <row r="1635" spans="1:7" x14ac:dyDescent="0.3">
      <c r="A1635" t="s">
        <v>568</v>
      </c>
      <c r="B1635">
        <v>17405</v>
      </c>
      <c r="C1635" t="s">
        <v>4251</v>
      </c>
      <c r="D1635" t="s">
        <v>461</v>
      </c>
      <c r="E1635">
        <v>1</v>
      </c>
      <c r="F1635">
        <v>10</v>
      </c>
      <c r="G1635">
        <v>10</v>
      </c>
    </row>
    <row r="1636" spans="1:7" x14ac:dyDescent="0.3">
      <c r="A1636" t="s">
        <v>568</v>
      </c>
      <c r="B1636">
        <v>17404</v>
      </c>
      <c r="C1636" t="s">
        <v>4282</v>
      </c>
      <c r="D1636" t="s">
        <v>461</v>
      </c>
      <c r="E1636">
        <v>1</v>
      </c>
      <c r="F1636">
        <v>19.899999999999999</v>
      </c>
      <c r="G1636">
        <v>19.899999999999999</v>
      </c>
    </row>
    <row r="1637" spans="1:7" x14ac:dyDescent="0.3">
      <c r="A1637" t="s">
        <v>568</v>
      </c>
      <c r="B1637">
        <v>17391</v>
      </c>
      <c r="C1637" t="s">
        <v>4406</v>
      </c>
      <c r="D1637" t="s">
        <v>461</v>
      </c>
      <c r="E1637">
        <v>1</v>
      </c>
      <c r="F1637">
        <v>63.9</v>
      </c>
      <c r="G1637">
        <v>63.9</v>
      </c>
    </row>
    <row r="1638" spans="1:7" x14ac:dyDescent="0.3">
      <c r="A1638" t="s">
        <v>568</v>
      </c>
      <c r="B1638">
        <v>19906</v>
      </c>
      <c r="C1638" t="s">
        <v>4171</v>
      </c>
      <c r="D1638" t="s">
        <v>461</v>
      </c>
      <c r="E1638">
        <v>1</v>
      </c>
      <c r="F1638">
        <v>33.6</v>
      </c>
      <c r="G1638">
        <v>33.6</v>
      </c>
    </row>
    <row r="1639" spans="1:7" x14ac:dyDescent="0.3">
      <c r="A1639" t="s">
        <v>568</v>
      </c>
      <c r="B1639">
        <v>20466</v>
      </c>
      <c r="C1639" t="s">
        <v>4098</v>
      </c>
      <c r="D1639" t="s">
        <v>461</v>
      </c>
      <c r="E1639">
        <v>1.4</v>
      </c>
      <c r="F1639">
        <v>95.2</v>
      </c>
      <c r="G1639">
        <v>68</v>
      </c>
    </row>
    <row r="1640" spans="1:7" x14ac:dyDescent="0.3">
      <c r="A1640" t="s">
        <v>568</v>
      </c>
      <c r="B1640">
        <v>23113</v>
      </c>
      <c r="C1640" t="s">
        <v>4079</v>
      </c>
      <c r="D1640" t="s">
        <v>461</v>
      </c>
      <c r="E1640">
        <v>12.57</v>
      </c>
      <c r="F1640">
        <v>154.87</v>
      </c>
      <c r="G1640">
        <v>12.32</v>
      </c>
    </row>
    <row r="1641" spans="1:7" x14ac:dyDescent="0.3">
      <c r="A1641" t="s">
        <v>568</v>
      </c>
      <c r="B1641">
        <v>19465</v>
      </c>
      <c r="C1641" t="s">
        <v>4080</v>
      </c>
      <c r="D1641" t="s">
        <v>461</v>
      </c>
      <c r="E1641">
        <v>4</v>
      </c>
      <c r="F1641">
        <v>19.5</v>
      </c>
      <c r="G1641">
        <v>4.88</v>
      </c>
    </row>
    <row r="1642" spans="1:7" x14ac:dyDescent="0.3">
      <c r="A1642" t="s">
        <v>568</v>
      </c>
      <c r="B1642">
        <v>20458</v>
      </c>
      <c r="C1642" t="s">
        <v>4121</v>
      </c>
      <c r="D1642" t="s">
        <v>461</v>
      </c>
      <c r="E1642">
        <v>3.3</v>
      </c>
      <c r="F1642">
        <v>108.57</v>
      </c>
      <c r="G1642">
        <v>32.9</v>
      </c>
    </row>
    <row r="1643" spans="1:7" x14ac:dyDescent="0.3">
      <c r="A1643" t="s">
        <v>568</v>
      </c>
      <c r="B1643">
        <v>23718</v>
      </c>
      <c r="C1643" t="s">
        <v>4414</v>
      </c>
      <c r="D1643" t="s">
        <v>461</v>
      </c>
      <c r="E1643">
        <v>2.4</v>
      </c>
      <c r="F1643">
        <v>93.6</v>
      </c>
      <c r="G1643">
        <v>39</v>
      </c>
    </row>
    <row r="1644" spans="1:7" x14ac:dyDescent="0.3">
      <c r="A1644" t="s">
        <v>568</v>
      </c>
      <c r="B1644">
        <v>17883</v>
      </c>
      <c r="C1644" t="s">
        <v>4136</v>
      </c>
      <c r="D1644" t="s">
        <v>461</v>
      </c>
      <c r="E1644">
        <v>4</v>
      </c>
      <c r="F1644">
        <v>113.28</v>
      </c>
      <c r="G1644">
        <v>28.32</v>
      </c>
    </row>
    <row r="1645" spans="1:7" x14ac:dyDescent="0.3">
      <c r="A1645" t="s">
        <v>568</v>
      </c>
      <c r="B1645">
        <v>17881</v>
      </c>
      <c r="C1645" t="s">
        <v>4095</v>
      </c>
      <c r="D1645" t="s">
        <v>461</v>
      </c>
      <c r="E1645">
        <v>4</v>
      </c>
      <c r="F1645">
        <v>102.12</v>
      </c>
      <c r="G1645">
        <v>25.53</v>
      </c>
    </row>
    <row r="1646" spans="1:7" x14ac:dyDescent="0.3">
      <c r="A1646" t="s">
        <v>568</v>
      </c>
      <c r="B1646">
        <v>28544</v>
      </c>
      <c r="C1646" t="s">
        <v>4397</v>
      </c>
      <c r="D1646" t="s">
        <v>461</v>
      </c>
      <c r="E1646">
        <v>2</v>
      </c>
      <c r="F1646">
        <v>264.14</v>
      </c>
      <c r="G1646">
        <v>132.07</v>
      </c>
    </row>
    <row r="1647" spans="1:7" x14ac:dyDescent="0.3">
      <c r="A1647" t="s">
        <v>568</v>
      </c>
      <c r="B1647">
        <v>17878</v>
      </c>
      <c r="C1647" t="s">
        <v>4096</v>
      </c>
      <c r="D1647" t="s">
        <v>461</v>
      </c>
      <c r="E1647">
        <v>1</v>
      </c>
      <c r="F1647">
        <v>23.8</v>
      </c>
      <c r="G1647">
        <v>23.8</v>
      </c>
    </row>
    <row r="1648" spans="1:7" x14ac:dyDescent="0.3">
      <c r="A1648" t="s">
        <v>568</v>
      </c>
      <c r="B1648">
        <v>19672</v>
      </c>
      <c r="C1648" t="s">
        <v>4024</v>
      </c>
      <c r="D1648" t="s">
        <v>461</v>
      </c>
      <c r="E1648">
        <v>14.2</v>
      </c>
      <c r="F1648">
        <v>259.89999999999998</v>
      </c>
      <c r="G1648">
        <v>18.3</v>
      </c>
    </row>
    <row r="1649" spans="1:7" x14ac:dyDescent="0.3">
      <c r="A1649" t="s">
        <v>568</v>
      </c>
      <c r="B1649">
        <v>25769</v>
      </c>
      <c r="C1649" t="s">
        <v>4013</v>
      </c>
      <c r="D1649" t="s">
        <v>461</v>
      </c>
      <c r="E1649">
        <v>3</v>
      </c>
      <c r="F1649">
        <v>39</v>
      </c>
      <c r="G1649">
        <v>13</v>
      </c>
    </row>
    <row r="1650" spans="1:7" x14ac:dyDescent="0.3">
      <c r="A1650" t="s">
        <v>568</v>
      </c>
      <c r="B1650">
        <v>18233</v>
      </c>
      <c r="C1650" t="s">
        <v>4090</v>
      </c>
      <c r="D1650" t="s">
        <v>461</v>
      </c>
      <c r="E1650">
        <v>1</v>
      </c>
      <c r="F1650">
        <v>98</v>
      </c>
      <c r="G1650">
        <v>98</v>
      </c>
    </row>
    <row r="1651" spans="1:7" x14ac:dyDescent="0.3">
      <c r="A1651" t="s">
        <v>568</v>
      </c>
      <c r="B1651">
        <v>19539</v>
      </c>
      <c r="C1651" t="s">
        <v>4133</v>
      </c>
      <c r="D1651" t="s">
        <v>461</v>
      </c>
      <c r="E1651">
        <v>72</v>
      </c>
      <c r="F1651">
        <v>351</v>
      </c>
      <c r="G1651">
        <v>4.88</v>
      </c>
    </row>
    <row r="1652" spans="1:7" x14ac:dyDescent="0.3">
      <c r="A1652" t="s">
        <v>568</v>
      </c>
      <c r="B1652">
        <v>20597</v>
      </c>
      <c r="C1652" t="s">
        <v>4157</v>
      </c>
      <c r="D1652" t="s">
        <v>461</v>
      </c>
      <c r="E1652">
        <v>1</v>
      </c>
      <c r="F1652">
        <v>24.8</v>
      </c>
      <c r="G1652">
        <v>24.8</v>
      </c>
    </row>
    <row r="1653" spans="1:7" x14ac:dyDescent="0.3">
      <c r="A1653" t="s">
        <v>568</v>
      </c>
      <c r="B1653">
        <v>23171</v>
      </c>
      <c r="C1653" t="s">
        <v>4132</v>
      </c>
      <c r="D1653" t="s">
        <v>461</v>
      </c>
      <c r="E1653">
        <v>31.11</v>
      </c>
      <c r="F1653">
        <v>222.66</v>
      </c>
      <c r="G1653">
        <v>7.16</v>
      </c>
    </row>
    <row r="1654" spans="1:7" x14ac:dyDescent="0.3">
      <c r="A1654" t="s">
        <v>568</v>
      </c>
      <c r="B1654">
        <v>24484</v>
      </c>
      <c r="C1654" t="s">
        <v>4154</v>
      </c>
      <c r="D1654" t="s">
        <v>461</v>
      </c>
      <c r="E1654">
        <v>2.0099999999999998</v>
      </c>
      <c r="F1654">
        <v>19.21</v>
      </c>
      <c r="G1654">
        <v>9.56</v>
      </c>
    </row>
    <row r="1655" spans="1:7" x14ac:dyDescent="0.3">
      <c r="A1655" t="s">
        <v>568</v>
      </c>
      <c r="B1655">
        <v>17362</v>
      </c>
      <c r="C1655" t="s">
        <v>4278</v>
      </c>
      <c r="D1655" t="s">
        <v>461</v>
      </c>
      <c r="E1655">
        <v>1</v>
      </c>
      <c r="F1655">
        <v>31.9</v>
      </c>
      <c r="G1655">
        <v>31.9</v>
      </c>
    </row>
    <row r="1656" spans="1:7" x14ac:dyDescent="0.3">
      <c r="A1656" t="s">
        <v>568</v>
      </c>
      <c r="B1656">
        <v>23622</v>
      </c>
      <c r="C1656" t="s">
        <v>4150</v>
      </c>
      <c r="D1656" t="s">
        <v>461</v>
      </c>
      <c r="E1656">
        <v>1</v>
      </c>
      <c r="F1656">
        <v>21.6</v>
      </c>
      <c r="G1656">
        <v>21.6</v>
      </c>
    </row>
    <row r="1657" spans="1:7" x14ac:dyDescent="0.3">
      <c r="A1657" t="s">
        <v>568</v>
      </c>
      <c r="B1657">
        <v>17066</v>
      </c>
      <c r="C1657" t="s">
        <v>4155</v>
      </c>
      <c r="D1657" t="s">
        <v>461</v>
      </c>
      <c r="E1657">
        <v>3</v>
      </c>
      <c r="F1657">
        <v>66.2</v>
      </c>
      <c r="G1657">
        <v>22.07</v>
      </c>
    </row>
    <row r="1658" spans="1:7" x14ac:dyDescent="0.3">
      <c r="A1658" t="s">
        <v>568</v>
      </c>
      <c r="B1658">
        <v>28562</v>
      </c>
      <c r="C1658" t="s">
        <v>4400</v>
      </c>
      <c r="D1658" t="s">
        <v>461</v>
      </c>
      <c r="E1658">
        <v>2</v>
      </c>
      <c r="F1658">
        <v>596</v>
      </c>
      <c r="G1658">
        <v>298</v>
      </c>
    </row>
    <row r="1659" spans="1:7" x14ac:dyDescent="0.3">
      <c r="A1659" t="s">
        <v>568</v>
      </c>
      <c r="B1659">
        <v>20949</v>
      </c>
      <c r="C1659" t="s">
        <v>3983</v>
      </c>
      <c r="D1659" t="s">
        <v>461</v>
      </c>
      <c r="E1659">
        <v>6</v>
      </c>
      <c r="F1659">
        <v>47.76</v>
      </c>
      <c r="G1659">
        <v>7.96</v>
      </c>
    </row>
    <row r="1660" spans="1:7" x14ac:dyDescent="0.3">
      <c r="A1660" t="s">
        <v>568</v>
      </c>
      <c r="B1660">
        <v>18172</v>
      </c>
      <c r="C1660" t="s">
        <v>3923</v>
      </c>
      <c r="D1660" t="s">
        <v>461</v>
      </c>
      <c r="E1660">
        <v>13</v>
      </c>
      <c r="F1660">
        <v>408.2</v>
      </c>
      <c r="G1660">
        <v>31.4</v>
      </c>
    </row>
    <row r="1661" spans="1:7" x14ac:dyDescent="0.3">
      <c r="A1661" t="s">
        <v>568</v>
      </c>
      <c r="B1661">
        <v>18119</v>
      </c>
      <c r="C1661" t="s">
        <v>4093</v>
      </c>
      <c r="D1661" t="s">
        <v>461</v>
      </c>
      <c r="E1661">
        <v>1</v>
      </c>
      <c r="F1661">
        <v>181</v>
      </c>
      <c r="G1661">
        <v>181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RowHeight="14.4" x14ac:dyDescent="0.3"/>
  <sheetData>
    <row r="1" spans="1:5" x14ac:dyDescent="0.3">
      <c r="A1" t="s">
        <v>4562</v>
      </c>
      <c r="B1" t="s">
        <v>551</v>
      </c>
      <c r="C1" t="s">
        <v>3355</v>
      </c>
      <c r="D1" t="s">
        <v>4563</v>
      </c>
      <c r="E1" t="s">
        <v>566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82"/>
  <sheetViews>
    <sheetView workbookViewId="0"/>
  </sheetViews>
  <sheetFormatPr defaultRowHeight="14.4" x14ac:dyDescent="0.3"/>
  <sheetData>
    <row r="1" spans="1:12" x14ac:dyDescent="0.3">
      <c r="A1" t="s">
        <v>4564</v>
      </c>
      <c r="B1" t="s">
        <v>4565</v>
      </c>
      <c r="C1" t="s">
        <v>4566</v>
      </c>
      <c r="D1" t="s">
        <v>3867</v>
      </c>
      <c r="E1" t="s">
        <v>4567</v>
      </c>
      <c r="F1" t="s">
        <v>4568</v>
      </c>
      <c r="G1" t="s">
        <v>4569</v>
      </c>
      <c r="H1" t="s">
        <v>3870</v>
      </c>
      <c r="I1" t="s">
        <v>3869</v>
      </c>
      <c r="J1" t="s">
        <v>566</v>
      </c>
      <c r="K1" t="s">
        <v>4570</v>
      </c>
      <c r="L1" t="s">
        <v>558</v>
      </c>
    </row>
    <row r="2" spans="1:12" x14ac:dyDescent="0.3">
      <c r="A2">
        <v>2229</v>
      </c>
      <c r="B2" t="s">
        <v>4571</v>
      </c>
      <c r="C2" t="s">
        <v>568</v>
      </c>
      <c r="D2">
        <v>26199</v>
      </c>
      <c r="E2" t="s">
        <v>4572</v>
      </c>
      <c r="F2" t="s">
        <v>4573</v>
      </c>
      <c r="G2" t="s">
        <v>3469</v>
      </c>
      <c r="H2" t="s">
        <v>3892</v>
      </c>
      <c r="I2">
        <v>0.82</v>
      </c>
      <c r="J2" t="s">
        <v>460</v>
      </c>
      <c r="K2">
        <v>16.71</v>
      </c>
      <c r="L2" t="s">
        <v>4574</v>
      </c>
    </row>
    <row r="3" spans="1:12" x14ac:dyDescent="0.3">
      <c r="A3">
        <v>2230</v>
      </c>
      <c r="B3" t="s">
        <v>4571</v>
      </c>
      <c r="C3" t="s">
        <v>568</v>
      </c>
      <c r="D3">
        <v>25239</v>
      </c>
      <c r="E3" t="s">
        <v>4575</v>
      </c>
      <c r="F3" t="s">
        <v>4575</v>
      </c>
      <c r="G3" t="s">
        <v>3469</v>
      </c>
      <c r="H3" t="s">
        <v>3966</v>
      </c>
      <c r="I3">
        <v>1</v>
      </c>
      <c r="J3" t="s">
        <v>460</v>
      </c>
      <c r="K3">
        <v>76</v>
      </c>
      <c r="L3" t="s">
        <v>4574</v>
      </c>
    </row>
    <row r="4" spans="1:12" x14ac:dyDescent="0.3">
      <c r="A4">
        <v>2231</v>
      </c>
      <c r="B4" t="s">
        <v>4571</v>
      </c>
      <c r="C4" t="s">
        <v>568</v>
      </c>
      <c r="D4">
        <v>19291</v>
      </c>
      <c r="E4" t="s">
        <v>4254</v>
      </c>
      <c r="F4" t="s">
        <v>4576</v>
      </c>
      <c r="G4" t="s">
        <v>3469</v>
      </c>
      <c r="H4" t="s">
        <v>3892</v>
      </c>
      <c r="I4">
        <v>3.42</v>
      </c>
      <c r="J4" t="s">
        <v>460</v>
      </c>
      <c r="K4">
        <v>247.44</v>
      </c>
      <c r="L4" t="s">
        <v>4574</v>
      </c>
    </row>
    <row r="5" spans="1:12" x14ac:dyDescent="0.3">
      <c r="A5">
        <v>2232</v>
      </c>
      <c r="B5" t="s">
        <v>4571</v>
      </c>
      <c r="C5" t="s">
        <v>568</v>
      </c>
      <c r="D5">
        <v>18948</v>
      </c>
      <c r="E5" t="s">
        <v>3961</v>
      </c>
      <c r="F5" t="s">
        <v>4577</v>
      </c>
      <c r="G5" t="s">
        <v>3469</v>
      </c>
      <c r="H5" t="s">
        <v>3892</v>
      </c>
      <c r="I5">
        <v>6.3</v>
      </c>
      <c r="J5" t="s">
        <v>460</v>
      </c>
      <c r="K5">
        <v>400</v>
      </c>
      <c r="L5" t="s">
        <v>4574</v>
      </c>
    </row>
    <row r="6" spans="1:12" x14ac:dyDescent="0.3">
      <c r="A6">
        <v>2233</v>
      </c>
      <c r="B6" t="s">
        <v>4571</v>
      </c>
      <c r="C6" t="s">
        <v>568</v>
      </c>
      <c r="D6">
        <v>18948</v>
      </c>
      <c r="E6" t="s">
        <v>3961</v>
      </c>
      <c r="F6" t="s">
        <v>4577</v>
      </c>
      <c r="G6" t="s">
        <v>3469</v>
      </c>
      <c r="H6" t="s">
        <v>3892</v>
      </c>
      <c r="I6">
        <v>2.81</v>
      </c>
      <c r="J6" t="s">
        <v>460</v>
      </c>
      <c r="K6">
        <v>178.44</v>
      </c>
      <c r="L6" t="s">
        <v>4574</v>
      </c>
    </row>
    <row r="7" spans="1:12" x14ac:dyDescent="0.3">
      <c r="A7">
        <v>2234</v>
      </c>
      <c r="B7" t="s">
        <v>4571</v>
      </c>
      <c r="C7" t="s">
        <v>568</v>
      </c>
      <c r="D7">
        <v>18636</v>
      </c>
      <c r="E7" t="s">
        <v>3921</v>
      </c>
      <c r="F7" t="s">
        <v>4578</v>
      </c>
      <c r="G7" t="s">
        <v>3497</v>
      </c>
      <c r="H7" t="s">
        <v>3922</v>
      </c>
      <c r="I7">
        <v>4</v>
      </c>
      <c r="J7" t="s">
        <v>460</v>
      </c>
      <c r="K7">
        <v>1784.64</v>
      </c>
      <c r="L7" t="s">
        <v>4574</v>
      </c>
    </row>
    <row r="8" spans="1:12" x14ac:dyDescent="0.3">
      <c r="A8">
        <v>2235</v>
      </c>
      <c r="B8" t="s">
        <v>4571</v>
      </c>
      <c r="C8" t="s">
        <v>568</v>
      </c>
      <c r="D8">
        <v>17958</v>
      </c>
      <c r="E8" t="s">
        <v>4141</v>
      </c>
      <c r="F8" t="s">
        <v>4579</v>
      </c>
      <c r="G8" t="s">
        <v>3497</v>
      </c>
      <c r="H8" t="s">
        <v>3888</v>
      </c>
      <c r="I8">
        <v>2</v>
      </c>
      <c r="J8" t="s">
        <v>460</v>
      </c>
      <c r="K8">
        <v>31.8</v>
      </c>
      <c r="L8" t="s">
        <v>4574</v>
      </c>
    </row>
    <row r="9" spans="1:12" x14ac:dyDescent="0.3">
      <c r="A9">
        <v>2238</v>
      </c>
      <c r="B9" t="s">
        <v>4571</v>
      </c>
      <c r="C9" t="s">
        <v>568</v>
      </c>
      <c r="D9">
        <v>19291</v>
      </c>
      <c r="E9" t="s">
        <v>4254</v>
      </c>
      <c r="F9" t="s">
        <v>4576</v>
      </c>
      <c r="G9" t="s">
        <v>3469</v>
      </c>
      <c r="H9" t="s">
        <v>3892</v>
      </c>
      <c r="I9">
        <v>3.62</v>
      </c>
      <c r="J9" t="s">
        <v>460</v>
      </c>
      <c r="K9">
        <v>261.91000000000003</v>
      </c>
      <c r="L9" t="s">
        <v>4574</v>
      </c>
    </row>
    <row r="10" spans="1:12" x14ac:dyDescent="0.3">
      <c r="A10">
        <v>2239</v>
      </c>
      <c r="B10" t="s">
        <v>4571</v>
      </c>
      <c r="C10" t="s">
        <v>568</v>
      </c>
      <c r="D10">
        <v>17958</v>
      </c>
      <c r="E10" t="s">
        <v>4141</v>
      </c>
      <c r="F10" t="s">
        <v>4579</v>
      </c>
      <c r="G10" t="s">
        <v>3497</v>
      </c>
      <c r="H10" t="s">
        <v>3888</v>
      </c>
      <c r="I10">
        <v>2</v>
      </c>
      <c r="J10" t="s">
        <v>460</v>
      </c>
      <c r="K10">
        <v>31.8</v>
      </c>
      <c r="L10" t="s">
        <v>4574</v>
      </c>
    </row>
    <row r="11" spans="1:12" x14ac:dyDescent="0.3">
      <c r="A11">
        <v>2240</v>
      </c>
      <c r="B11" t="s">
        <v>4571</v>
      </c>
      <c r="C11" t="s">
        <v>568</v>
      </c>
      <c r="D11">
        <v>17950</v>
      </c>
      <c r="E11" t="s">
        <v>4170</v>
      </c>
      <c r="F11" t="s">
        <v>4580</v>
      </c>
      <c r="G11" t="s">
        <v>3497</v>
      </c>
      <c r="H11" t="s">
        <v>3888</v>
      </c>
      <c r="I11">
        <v>2</v>
      </c>
      <c r="J11" t="s">
        <v>460</v>
      </c>
      <c r="K11">
        <v>34.200000000000003</v>
      </c>
      <c r="L11" t="s">
        <v>4574</v>
      </c>
    </row>
    <row r="12" spans="1:12" x14ac:dyDescent="0.3">
      <c r="A12">
        <v>2258</v>
      </c>
      <c r="B12" t="s">
        <v>4571</v>
      </c>
      <c r="C12" t="s">
        <v>568</v>
      </c>
      <c r="D12">
        <v>21022</v>
      </c>
      <c r="E12" t="s">
        <v>4581</v>
      </c>
      <c r="F12" t="s">
        <v>4582</v>
      </c>
      <c r="G12" t="s">
        <v>3469</v>
      </c>
      <c r="H12" t="s">
        <v>3872</v>
      </c>
      <c r="I12">
        <v>2</v>
      </c>
      <c r="J12" t="s">
        <v>460</v>
      </c>
      <c r="K12">
        <v>350.4</v>
      </c>
      <c r="L12" t="s">
        <v>4574</v>
      </c>
    </row>
    <row r="13" spans="1:12" x14ac:dyDescent="0.3">
      <c r="A13">
        <v>2259</v>
      </c>
      <c r="B13" t="s">
        <v>4571</v>
      </c>
      <c r="C13" t="s">
        <v>568</v>
      </c>
      <c r="D13">
        <v>17958</v>
      </c>
      <c r="E13" t="s">
        <v>4141</v>
      </c>
      <c r="F13" t="s">
        <v>4579</v>
      </c>
      <c r="G13" t="s">
        <v>3497</v>
      </c>
      <c r="H13" t="s">
        <v>3888</v>
      </c>
      <c r="I13">
        <v>3</v>
      </c>
      <c r="J13" t="s">
        <v>460</v>
      </c>
      <c r="K13">
        <v>47.7</v>
      </c>
      <c r="L13" t="s">
        <v>4574</v>
      </c>
    </row>
    <row r="14" spans="1:12" x14ac:dyDescent="0.3">
      <c r="A14">
        <v>2260</v>
      </c>
      <c r="B14" t="s">
        <v>4571</v>
      </c>
      <c r="C14" t="s">
        <v>568</v>
      </c>
      <c r="D14">
        <v>17950</v>
      </c>
      <c r="E14" t="s">
        <v>4170</v>
      </c>
      <c r="F14" t="s">
        <v>4580</v>
      </c>
      <c r="G14" t="s">
        <v>3497</v>
      </c>
      <c r="H14" t="s">
        <v>3888</v>
      </c>
      <c r="I14">
        <v>3</v>
      </c>
      <c r="J14" t="s">
        <v>460</v>
      </c>
      <c r="K14">
        <v>51.3</v>
      </c>
      <c r="L14" t="s">
        <v>4574</v>
      </c>
    </row>
    <row r="15" spans="1:12" x14ac:dyDescent="0.3">
      <c r="A15">
        <v>2261</v>
      </c>
      <c r="B15" t="s">
        <v>4571</v>
      </c>
      <c r="C15" t="s">
        <v>568</v>
      </c>
      <c r="D15">
        <v>18636</v>
      </c>
      <c r="E15" t="s">
        <v>3921</v>
      </c>
      <c r="F15" t="s">
        <v>4578</v>
      </c>
      <c r="G15" t="s">
        <v>3497</v>
      </c>
      <c r="H15" t="s">
        <v>3922</v>
      </c>
      <c r="I15">
        <v>9</v>
      </c>
      <c r="J15" t="s">
        <v>460</v>
      </c>
      <c r="K15">
        <v>4015.44</v>
      </c>
      <c r="L15" t="s">
        <v>4574</v>
      </c>
    </row>
    <row r="16" spans="1:12" x14ac:dyDescent="0.3">
      <c r="A16">
        <v>2263</v>
      </c>
      <c r="B16" t="s">
        <v>4571</v>
      </c>
      <c r="C16" t="s">
        <v>568</v>
      </c>
      <c r="D16">
        <v>17466</v>
      </c>
      <c r="E16" t="s">
        <v>4583</v>
      </c>
      <c r="F16" t="s">
        <v>4584</v>
      </c>
      <c r="G16" t="s">
        <v>4217</v>
      </c>
      <c r="H16" t="s">
        <v>3872</v>
      </c>
      <c r="I16">
        <v>20</v>
      </c>
      <c r="J16" t="s">
        <v>460</v>
      </c>
      <c r="K16">
        <v>131.80000000000001</v>
      </c>
      <c r="L16" t="s">
        <v>4574</v>
      </c>
    </row>
    <row r="17" spans="1:12" x14ac:dyDescent="0.3">
      <c r="A17">
        <v>2264</v>
      </c>
      <c r="B17" t="s">
        <v>4571</v>
      </c>
      <c r="C17" t="s">
        <v>568</v>
      </c>
      <c r="D17">
        <v>24527</v>
      </c>
      <c r="E17" t="s">
        <v>4585</v>
      </c>
      <c r="F17" t="s">
        <v>4585</v>
      </c>
      <c r="G17" t="s">
        <v>4217</v>
      </c>
      <c r="H17" t="s">
        <v>3872</v>
      </c>
      <c r="I17">
        <v>18</v>
      </c>
      <c r="J17" t="s">
        <v>460</v>
      </c>
      <c r="K17">
        <v>47.88</v>
      </c>
      <c r="L17" t="s">
        <v>4574</v>
      </c>
    </row>
    <row r="18" spans="1:12" x14ac:dyDescent="0.3">
      <c r="A18">
        <v>2266</v>
      </c>
      <c r="B18" t="s">
        <v>4571</v>
      </c>
      <c r="C18" t="s">
        <v>568</v>
      </c>
      <c r="D18">
        <v>17958</v>
      </c>
      <c r="E18" t="s">
        <v>4141</v>
      </c>
      <c r="F18" t="s">
        <v>4579</v>
      </c>
      <c r="G18" t="s">
        <v>3497</v>
      </c>
      <c r="H18" t="s">
        <v>3888</v>
      </c>
      <c r="I18">
        <v>2</v>
      </c>
      <c r="J18" t="s">
        <v>460</v>
      </c>
      <c r="K18">
        <v>31.8</v>
      </c>
      <c r="L18" t="s">
        <v>4574</v>
      </c>
    </row>
    <row r="19" spans="1:12" x14ac:dyDescent="0.3">
      <c r="A19">
        <v>2267</v>
      </c>
      <c r="B19" t="s">
        <v>4571</v>
      </c>
      <c r="C19" t="s">
        <v>568</v>
      </c>
      <c r="D19">
        <v>17950</v>
      </c>
      <c r="E19" t="s">
        <v>4170</v>
      </c>
      <c r="F19" t="s">
        <v>4580</v>
      </c>
      <c r="G19" t="s">
        <v>3497</v>
      </c>
      <c r="H19" t="s">
        <v>3888</v>
      </c>
      <c r="I19">
        <v>2</v>
      </c>
      <c r="J19" t="s">
        <v>460</v>
      </c>
      <c r="K19">
        <v>34.200000000000003</v>
      </c>
      <c r="L19" t="s">
        <v>4586</v>
      </c>
    </row>
    <row r="20" spans="1:12" x14ac:dyDescent="0.3">
      <c r="A20">
        <v>2452</v>
      </c>
      <c r="B20" t="s">
        <v>568</v>
      </c>
      <c r="C20" t="s">
        <v>4587</v>
      </c>
      <c r="D20">
        <v>18636</v>
      </c>
      <c r="E20" t="s">
        <v>3921</v>
      </c>
      <c r="F20" t="s">
        <v>4578</v>
      </c>
      <c r="G20" t="s">
        <v>3497</v>
      </c>
      <c r="H20" t="s">
        <v>3922</v>
      </c>
      <c r="I20">
        <v>2</v>
      </c>
      <c r="J20" t="s">
        <v>460</v>
      </c>
      <c r="K20">
        <v>964</v>
      </c>
    </row>
    <row r="21" spans="1:12" x14ac:dyDescent="0.3">
      <c r="A21">
        <v>2453</v>
      </c>
      <c r="B21" t="s">
        <v>568</v>
      </c>
      <c r="C21" t="s">
        <v>4587</v>
      </c>
      <c r="D21">
        <v>17903</v>
      </c>
      <c r="E21" t="s">
        <v>3971</v>
      </c>
      <c r="F21" t="s">
        <v>4588</v>
      </c>
      <c r="G21" t="s">
        <v>3497</v>
      </c>
      <c r="H21" t="s">
        <v>3888</v>
      </c>
      <c r="I21">
        <v>2</v>
      </c>
      <c r="J21" t="s">
        <v>460</v>
      </c>
      <c r="K21">
        <v>56</v>
      </c>
    </row>
    <row r="22" spans="1:12" x14ac:dyDescent="0.3">
      <c r="A22">
        <v>2454</v>
      </c>
      <c r="B22" t="s">
        <v>568</v>
      </c>
      <c r="C22" t="s">
        <v>4571</v>
      </c>
      <c r="D22">
        <v>22857</v>
      </c>
      <c r="E22" t="s">
        <v>4130</v>
      </c>
      <c r="F22" t="s">
        <v>4577</v>
      </c>
      <c r="G22" t="s">
        <v>3469</v>
      </c>
      <c r="H22" t="s">
        <v>3892</v>
      </c>
      <c r="I22">
        <v>18</v>
      </c>
      <c r="J22" t="s">
        <v>460</v>
      </c>
      <c r="K22">
        <v>970.2</v>
      </c>
    </row>
    <row r="23" spans="1:12" x14ac:dyDescent="0.3">
      <c r="A23">
        <v>2470</v>
      </c>
      <c r="B23" t="s">
        <v>4571</v>
      </c>
      <c r="C23" t="s">
        <v>568</v>
      </c>
      <c r="D23">
        <v>21030</v>
      </c>
      <c r="E23" t="s">
        <v>3890</v>
      </c>
      <c r="F23" t="s">
        <v>4589</v>
      </c>
      <c r="G23" t="s">
        <v>3469</v>
      </c>
      <c r="H23" t="s">
        <v>3872</v>
      </c>
      <c r="I23">
        <v>9</v>
      </c>
      <c r="J23" t="s">
        <v>461</v>
      </c>
      <c r="K23">
        <v>174.15</v>
      </c>
      <c r="L23" t="s">
        <v>4574</v>
      </c>
    </row>
    <row r="24" spans="1:12" x14ac:dyDescent="0.3">
      <c r="A24">
        <v>2471</v>
      </c>
      <c r="B24" t="s">
        <v>4571</v>
      </c>
      <c r="C24" t="s">
        <v>568</v>
      </c>
      <c r="D24">
        <v>18636</v>
      </c>
      <c r="E24" t="s">
        <v>3921</v>
      </c>
      <c r="F24" t="s">
        <v>4578</v>
      </c>
      <c r="G24" t="s">
        <v>3497</v>
      </c>
      <c r="H24" t="s">
        <v>3922</v>
      </c>
      <c r="I24">
        <v>2</v>
      </c>
      <c r="J24" t="s">
        <v>461</v>
      </c>
      <c r="K24">
        <v>892.32</v>
      </c>
      <c r="L24" t="s">
        <v>4574</v>
      </c>
    </row>
    <row r="25" spans="1:12" x14ac:dyDescent="0.3">
      <c r="A25">
        <v>2472</v>
      </c>
      <c r="B25" t="s">
        <v>4571</v>
      </c>
      <c r="C25" t="s">
        <v>568</v>
      </c>
      <c r="D25">
        <v>25233</v>
      </c>
      <c r="E25" t="s">
        <v>4590</v>
      </c>
      <c r="F25" t="s">
        <v>4590</v>
      </c>
      <c r="G25" t="s">
        <v>3469</v>
      </c>
      <c r="H25" t="s">
        <v>3966</v>
      </c>
      <c r="I25">
        <v>1</v>
      </c>
      <c r="J25" t="s">
        <v>461</v>
      </c>
      <c r="K25">
        <v>83.6</v>
      </c>
      <c r="L25" t="s">
        <v>4574</v>
      </c>
    </row>
    <row r="26" spans="1:12" x14ac:dyDescent="0.3">
      <c r="A26">
        <v>2473</v>
      </c>
      <c r="B26" t="s">
        <v>4571</v>
      </c>
      <c r="C26" t="s">
        <v>568</v>
      </c>
      <c r="D26">
        <v>17466</v>
      </c>
      <c r="E26" t="s">
        <v>4583</v>
      </c>
      <c r="F26" t="s">
        <v>4584</v>
      </c>
      <c r="G26" t="s">
        <v>4217</v>
      </c>
      <c r="H26" t="s">
        <v>3872</v>
      </c>
      <c r="I26">
        <v>20</v>
      </c>
      <c r="J26" t="s">
        <v>461</v>
      </c>
      <c r="K26">
        <v>53.6</v>
      </c>
      <c r="L26" t="s">
        <v>4574</v>
      </c>
    </row>
    <row r="27" spans="1:12" x14ac:dyDescent="0.3">
      <c r="A27">
        <v>2474</v>
      </c>
      <c r="B27" t="s">
        <v>4571</v>
      </c>
      <c r="C27" t="s">
        <v>568</v>
      </c>
      <c r="D27">
        <v>24527</v>
      </c>
      <c r="E27" t="s">
        <v>4585</v>
      </c>
      <c r="F27" t="s">
        <v>4585</v>
      </c>
      <c r="G27" t="s">
        <v>4217</v>
      </c>
      <c r="H27" t="s">
        <v>3872</v>
      </c>
      <c r="I27">
        <v>20</v>
      </c>
      <c r="J27" t="s">
        <v>461</v>
      </c>
      <c r="K27">
        <v>79</v>
      </c>
      <c r="L27" t="s">
        <v>4574</v>
      </c>
    </row>
    <row r="28" spans="1:12" x14ac:dyDescent="0.3">
      <c r="A28">
        <v>2475</v>
      </c>
      <c r="B28" t="s">
        <v>4571</v>
      </c>
      <c r="C28" t="s">
        <v>568</v>
      </c>
      <c r="D28">
        <v>18948</v>
      </c>
      <c r="E28" t="s">
        <v>3961</v>
      </c>
      <c r="F28" t="s">
        <v>4577</v>
      </c>
      <c r="G28" t="s">
        <v>3469</v>
      </c>
      <c r="H28" t="s">
        <v>3892</v>
      </c>
      <c r="I28">
        <v>3.8</v>
      </c>
      <c r="J28" t="s">
        <v>461</v>
      </c>
      <c r="K28">
        <v>250.46</v>
      </c>
      <c r="L28" t="s">
        <v>4574</v>
      </c>
    </row>
    <row r="29" spans="1:12" x14ac:dyDescent="0.3">
      <c r="A29">
        <v>2476</v>
      </c>
      <c r="B29" t="s">
        <v>4571</v>
      </c>
      <c r="C29" t="s">
        <v>568</v>
      </c>
      <c r="D29">
        <v>24527</v>
      </c>
      <c r="E29" t="s">
        <v>4585</v>
      </c>
      <c r="F29" t="s">
        <v>4585</v>
      </c>
      <c r="G29" t="s">
        <v>4217</v>
      </c>
      <c r="H29" t="s">
        <v>3872</v>
      </c>
      <c r="I29">
        <v>30</v>
      </c>
      <c r="J29" t="s">
        <v>461</v>
      </c>
      <c r="K29">
        <v>118.5</v>
      </c>
      <c r="L29" t="s">
        <v>4574</v>
      </c>
    </row>
    <row r="30" spans="1:12" x14ac:dyDescent="0.3">
      <c r="A30">
        <v>2477</v>
      </c>
      <c r="B30" t="s">
        <v>4571</v>
      </c>
      <c r="C30" t="s">
        <v>568</v>
      </c>
      <c r="D30">
        <v>17466</v>
      </c>
      <c r="E30" t="s">
        <v>4583</v>
      </c>
      <c r="F30" t="s">
        <v>4584</v>
      </c>
      <c r="G30" t="s">
        <v>4217</v>
      </c>
      <c r="H30" t="s">
        <v>3872</v>
      </c>
      <c r="I30">
        <v>30</v>
      </c>
      <c r="J30" t="s">
        <v>461</v>
      </c>
      <c r="K30">
        <v>80.400000000000006</v>
      </c>
      <c r="L30" t="s">
        <v>4574</v>
      </c>
    </row>
    <row r="31" spans="1:12" x14ac:dyDescent="0.3">
      <c r="A31">
        <v>2479</v>
      </c>
      <c r="B31" t="s">
        <v>4571</v>
      </c>
      <c r="C31" t="s">
        <v>568</v>
      </c>
      <c r="D31">
        <v>16974</v>
      </c>
      <c r="E31" t="s">
        <v>3996</v>
      </c>
      <c r="F31" t="s">
        <v>4591</v>
      </c>
      <c r="G31" t="s">
        <v>3497</v>
      </c>
      <c r="H31" t="s">
        <v>3881</v>
      </c>
      <c r="I31">
        <v>6</v>
      </c>
      <c r="J31" t="s">
        <v>461</v>
      </c>
      <c r="K31">
        <v>810</v>
      </c>
      <c r="L31" t="s">
        <v>4592</v>
      </c>
    </row>
    <row r="32" spans="1:12" x14ac:dyDescent="0.3">
      <c r="A32">
        <v>2481</v>
      </c>
      <c r="B32" t="s">
        <v>4571</v>
      </c>
      <c r="C32" t="s">
        <v>568</v>
      </c>
      <c r="D32">
        <v>25233</v>
      </c>
      <c r="E32" t="s">
        <v>4590</v>
      </c>
      <c r="F32" t="s">
        <v>4590</v>
      </c>
      <c r="G32" t="s">
        <v>3469</v>
      </c>
      <c r="H32" t="s">
        <v>3966</v>
      </c>
      <c r="I32">
        <v>1</v>
      </c>
      <c r="J32" t="s">
        <v>461</v>
      </c>
      <c r="K32">
        <v>83.6</v>
      </c>
      <c r="L32" t="s">
        <v>4574</v>
      </c>
    </row>
    <row r="33" spans="1:12" x14ac:dyDescent="0.3">
      <c r="A33">
        <v>2482</v>
      </c>
      <c r="B33" t="s">
        <v>4571</v>
      </c>
      <c r="C33" t="s">
        <v>568</v>
      </c>
      <c r="D33">
        <v>17466</v>
      </c>
      <c r="E33" t="s">
        <v>4583</v>
      </c>
      <c r="F33" t="s">
        <v>4584</v>
      </c>
      <c r="G33" t="s">
        <v>4217</v>
      </c>
      <c r="H33" t="s">
        <v>3872</v>
      </c>
      <c r="I33">
        <v>25</v>
      </c>
      <c r="J33" t="s">
        <v>461</v>
      </c>
      <c r="K33">
        <v>67</v>
      </c>
      <c r="L33" t="s">
        <v>4574</v>
      </c>
    </row>
    <row r="34" spans="1:12" x14ac:dyDescent="0.3">
      <c r="A34">
        <v>2483</v>
      </c>
      <c r="B34" t="s">
        <v>4571</v>
      </c>
      <c r="C34" t="s">
        <v>568</v>
      </c>
      <c r="D34">
        <v>24527</v>
      </c>
      <c r="E34" t="s">
        <v>4585</v>
      </c>
      <c r="F34" t="s">
        <v>4585</v>
      </c>
      <c r="G34" t="s">
        <v>4217</v>
      </c>
      <c r="H34" t="s">
        <v>3872</v>
      </c>
      <c r="I34">
        <v>25</v>
      </c>
      <c r="J34" t="s">
        <v>461</v>
      </c>
      <c r="K34">
        <v>98.75</v>
      </c>
      <c r="L34" t="s">
        <v>4574</v>
      </c>
    </row>
    <row r="35" spans="1:12" x14ac:dyDescent="0.3">
      <c r="A35">
        <v>2484</v>
      </c>
      <c r="B35" t="s">
        <v>4571</v>
      </c>
      <c r="C35" t="s">
        <v>568</v>
      </c>
      <c r="D35">
        <v>24002</v>
      </c>
      <c r="E35" t="s">
        <v>3924</v>
      </c>
      <c r="F35" t="s">
        <v>3924</v>
      </c>
      <c r="G35" t="s">
        <v>3497</v>
      </c>
      <c r="H35" t="s">
        <v>3872</v>
      </c>
      <c r="I35">
        <v>12</v>
      </c>
      <c r="J35" t="s">
        <v>461</v>
      </c>
      <c r="K35">
        <v>84</v>
      </c>
      <c r="L35" t="s">
        <v>4574</v>
      </c>
    </row>
    <row r="36" spans="1:12" x14ac:dyDescent="0.3">
      <c r="A36">
        <v>2491</v>
      </c>
      <c r="B36" t="s">
        <v>4571</v>
      </c>
      <c r="C36" t="s">
        <v>568</v>
      </c>
      <c r="D36">
        <v>25233</v>
      </c>
      <c r="E36" t="s">
        <v>4590</v>
      </c>
      <c r="F36" t="s">
        <v>4590</v>
      </c>
      <c r="G36" t="s">
        <v>3469</v>
      </c>
      <c r="H36" t="s">
        <v>3966</v>
      </c>
      <c r="I36">
        <v>1</v>
      </c>
      <c r="J36" t="s">
        <v>461</v>
      </c>
      <c r="K36">
        <v>83.6</v>
      </c>
      <c r="L36" t="s">
        <v>4574</v>
      </c>
    </row>
    <row r="37" spans="1:12" x14ac:dyDescent="0.3">
      <c r="A37">
        <v>2569</v>
      </c>
      <c r="B37" t="s">
        <v>4571</v>
      </c>
      <c r="C37" t="s">
        <v>568</v>
      </c>
      <c r="D37">
        <v>18636</v>
      </c>
      <c r="E37" t="s">
        <v>3921</v>
      </c>
      <c r="F37" t="s">
        <v>4578</v>
      </c>
      <c r="G37" t="s">
        <v>3497</v>
      </c>
      <c r="H37" t="s">
        <v>3922</v>
      </c>
      <c r="I37">
        <v>2</v>
      </c>
      <c r="J37" t="s">
        <v>462</v>
      </c>
      <c r="K37">
        <v>966</v>
      </c>
      <c r="L37" t="s">
        <v>4574</v>
      </c>
    </row>
    <row r="38" spans="1:12" x14ac:dyDescent="0.3">
      <c r="A38">
        <v>2572</v>
      </c>
      <c r="B38" t="s">
        <v>4571</v>
      </c>
      <c r="C38" t="s">
        <v>568</v>
      </c>
      <c r="D38">
        <v>24527</v>
      </c>
      <c r="E38" t="s">
        <v>4585</v>
      </c>
      <c r="F38" t="s">
        <v>4585</v>
      </c>
      <c r="G38" t="s">
        <v>4217</v>
      </c>
      <c r="H38" t="s">
        <v>3872</v>
      </c>
      <c r="I38">
        <v>30</v>
      </c>
      <c r="J38" t="s">
        <v>462</v>
      </c>
      <c r="K38">
        <v>118.5</v>
      </c>
      <c r="L38" t="s">
        <v>4574</v>
      </c>
    </row>
    <row r="39" spans="1:12" x14ac:dyDescent="0.3">
      <c r="A39">
        <v>2575</v>
      </c>
      <c r="B39" t="s">
        <v>4571</v>
      </c>
      <c r="C39" t="s">
        <v>568</v>
      </c>
      <c r="D39">
        <v>25233</v>
      </c>
      <c r="E39" t="s">
        <v>4590</v>
      </c>
      <c r="F39" t="s">
        <v>4590</v>
      </c>
      <c r="G39" t="s">
        <v>3469</v>
      </c>
      <c r="H39" t="s">
        <v>3966</v>
      </c>
      <c r="I39">
        <v>1</v>
      </c>
      <c r="J39" t="s">
        <v>462</v>
      </c>
      <c r="K39">
        <v>100.17</v>
      </c>
      <c r="L39" t="s">
        <v>4574</v>
      </c>
    </row>
    <row r="40" spans="1:12" x14ac:dyDescent="0.3">
      <c r="A40">
        <v>2625</v>
      </c>
      <c r="B40" t="s">
        <v>4571</v>
      </c>
      <c r="C40" t="s">
        <v>568</v>
      </c>
      <c r="D40">
        <v>25233</v>
      </c>
      <c r="E40" t="s">
        <v>4590</v>
      </c>
      <c r="F40" t="s">
        <v>4590</v>
      </c>
      <c r="G40" t="s">
        <v>3469</v>
      </c>
      <c r="H40" t="s">
        <v>3966</v>
      </c>
      <c r="I40">
        <v>1</v>
      </c>
      <c r="J40" t="s">
        <v>463</v>
      </c>
      <c r="K40">
        <v>100.17</v>
      </c>
      <c r="L40" t="s">
        <v>4574</v>
      </c>
    </row>
    <row r="41" spans="1:12" x14ac:dyDescent="0.3">
      <c r="A41">
        <v>2628</v>
      </c>
      <c r="B41" t="s">
        <v>4571</v>
      </c>
      <c r="C41" t="s">
        <v>568</v>
      </c>
      <c r="D41">
        <v>20660</v>
      </c>
      <c r="E41" t="s">
        <v>4593</v>
      </c>
      <c r="F41" t="s">
        <v>4594</v>
      </c>
      <c r="G41" t="s">
        <v>3469</v>
      </c>
      <c r="H41" t="s">
        <v>3884</v>
      </c>
      <c r="I41">
        <v>1</v>
      </c>
      <c r="J41" t="s">
        <v>463</v>
      </c>
      <c r="K41">
        <v>59.9</v>
      </c>
      <c r="L41" t="s">
        <v>4574</v>
      </c>
    </row>
    <row r="42" spans="1:12" x14ac:dyDescent="0.3">
      <c r="A42">
        <v>2629</v>
      </c>
      <c r="B42" t="s">
        <v>4571</v>
      </c>
      <c r="C42" t="s">
        <v>568</v>
      </c>
      <c r="D42">
        <v>24083</v>
      </c>
      <c r="E42" t="s">
        <v>3898</v>
      </c>
      <c r="F42" t="s">
        <v>4595</v>
      </c>
      <c r="G42" t="s">
        <v>3469</v>
      </c>
      <c r="H42" t="s">
        <v>3892</v>
      </c>
      <c r="I42">
        <v>4</v>
      </c>
      <c r="J42" t="s">
        <v>463</v>
      </c>
      <c r="K42">
        <v>16.8</v>
      </c>
      <c r="L42" t="s">
        <v>4574</v>
      </c>
    </row>
    <row r="43" spans="1:12" x14ac:dyDescent="0.3">
      <c r="A43">
        <v>2630</v>
      </c>
      <c r="B43" t="s">
        <v>4571</v>
      </c>
      <c r="C43" t="s">
        <v>568</v>
      </c>
      <c r="D43">
        <v>25233</v>
      </c>
      <c r="E43" t="s">
        <v>4590</v>
      </c>
      <c r="F43" t="s">
        <v>4590</v>
      </c>
      <c r="G43" t="s">
        <v>3469</v>
      </c>
      <c r="H43" t="s">
        <v>3966</v>
      </c>
      <c r="I43">
        <v>1</v>
      </c>
      <c r="J43" t="s">
        <v>463</v>
      </c>
      <c r="K43">
        <v>100.17</v>
      </c>
      <c r="L43" t="s">
        <v>4574</v>
      </c>
    </row>
    <row r="44" spans="1:12" x14ac:dyDescent="0.3">
      <c r="A44">
        <v>2632</v>
      </c>
      <c r="B44" t="s">
        <v>4571</v>
      </c>
      <c r="C44" t="s">
        <v>568</v>
      </c>
      <c r="D44">
        <v>20809</v>
      </c>
      <c r="E44" t="s">
        <v>4005</v>
      </c>
      <c r="F44" t="s">
        <v>4596</v>
      </c>
      <c r="G44" t="s">
        <v>3469</v>
      </c>
      <c r="H44" t="s">
        <v>3888</v>
      </c>
      <c r="I44">
        <v>2</v>
      </c>
      <c r="J44" t="s">
        <v>463</v>
      </c>
      <c r="K44">
        <v>65.959999999999994</v>
      </c>
      <c r="L44" t="s">
        <v>4574</v>
      </c>
    </row>
    <row r="45" spans="1:12" x14ac:dyDescent="0.3">
      <c r="A45">
        <v>2633</v>
      </c>
      <c r="B45" t="s">
        <v>4571</v>
      </c>
      <c r="C45" t="s">
        <v>568</v>
      </c>
      <c r="D45">
        <v>20809</v>
      </c>
      <c r="E45" t="s">
        <v>4005</v>
      </c>
      <c r="F45" t="s">
        <v>4596</v>
      </c>
      <c r="G45" t="s">
        <v>3469</v>
      </c>
      <c r="H45" t="s">
        <v>3888</v>
      </c>
      <c r="I45">
        <v>1</v>
      </c>
      <c r="J45" t="s">
        <v>463</v>
      </c>
      <c r="K45">
        <v>33.880000000000003</v>
      </c>
      <c r="L45" t="s">
        <v>4574</v>
      </c>
    </row>
    <row r="46" spans="1:12" x14ac:dyDescent="0.3">
      <c r="A46">
        <v>3051</v>
      </c>
      <c r="B46" t="s">
        <v>4571</v>
      </c>
      <c r="C46" t="s">
        <v>568</v>
      </c>
      <c r="D46">
        <v>17886</v>
      </c>
      <c r="E46" t="s">
        <v>3935</v>
      </c>
      <c r="F46" t="s">
        <v>4597</v>
      </c>
      <c r="G46" t="s">
        <v>3497</v>
      </c>
      <c r="H46" t="s">
        <v>3888</v>
      </c>
      <c r="I46">
        <v>5</v>
      </c>
      <c r="J46" t="s">
        <v>464</v>
      </c>
      <c r="K46">
        <v>141.6</v>
      </c>
      <c r="L46" t="s">
        <v>4574</v>
      </c>
    </row>
    <row r="47" spans="1:12" x14ac:dyDescent="0.3">
      <c r="A47">
        <v>3059</v>
      </c>
      <c r="B47" t="s">
        <v>4571</v>
      </c>
      <c r="C47" t="s">
        <v>568</v>
      </c>
      <c r="D47">
        <v>27432</v>
      </c>
      <c r="E47" t="s">
        <v>4430</v>
      </c>
      <c r="F47" t="s">
        <v>4430</v>
      </c>
      <c r="G47" t="s">
        <v>3469</v>
      </c>
      <c r="H47" t="s">
        <v>3892</v>
      </c>
      <c r="I47">
        <v>4</v>
      </c>
      <c r="J47" t="s">
        <v>464</v>
      </c>
      <c r="K47">
        <v>316.39999999999998</v>
      </c>
      <c r="L47" t="s">
        <v>4574</v>
      </c>
    </row>
    <row r="48" spans="1:12" x14ac:dyDescent="0.3">
      <c r="A48">
        <v>3060</v>
      </c>
      <c r="B48" t="s">
        <v>4571</v>
      </c>
      <c r="C48" t="s">
        <v>568</v>
      </c>
      <c r="D48">
        <v>25233</v>
      </c>
      <c r="E48" t="s">
        <v>4590</v>
      </c>
      <c r="F48" t="s">
        <v>4590</v>
      </c>
      <c r="G48" t="s">
        <v>3469</v>
      </c>
      <c r="H48" t="s">
        <v>3966</v>
      </c>
      <c r="I48">
        <v>1</v>
      </c>
      <c r="J48" t="s">
        <v>464</v>
      </c>
      <c r="K48">
        <v>83.6</v>
      </c>
      <c r="L48" t="s">
        <v>4574</v>
      </c>
    </row>
    <row r="49" spans="1:12" x14ac:dyDescent="0.3">
      <c r="A49">
        <v>3061</v>
      </c>
      <c r="B49" t="s">
        <v>4571</v>
      </c>
      <c r="C49" t="s">
        <v>568</v>
      </c>
      <c r="D49">
        <v>19647</v>
      </c>
      <c r="E49" t="s">
        <v>4066</v>
      </c>
      <c r="F49" t="s">
        <v>4598</v>
      </c>
      <c r="G49" t="s">
        <v>3469</v>
      </c>
      <c r="H49" t="s">
        <v>3892</v>
      </c>
      <c r="I49">
        <v>0.7</v>
      </c>
      <c r="J49" t="s">
        <v>464</v>
      </c>
      <c r="K49">
        <v>9.8000000000000007</v>
      </c>
      <c r="L49" t="s">
        <v>4574</v>
      </c>
    </row>
    <row r="50" spans="1:12" x14ac:dyDescent="0.3">
      <c r="A50">
        <v>3072</v>
      </c>
      <c r="B50" t="s">
        <v>4571</v>
      </c>
      <c r="C50" t="s">
        <v>568</v>
      </c>
      <c r="D50">
        <v>24449</v>
      </c>
      <c r="E50" t="s">
        <v>4344</v>
      </c>
      <c r="F50" t="s">
        <v>4576</v>
      </c>
      <c r="G50" t="s">
        <v>3469</v>
      </c>
      <c r="H50" t="s">
        <v>3892</v>
      </c>
      <c r="I50">
        <v>5.3</v>
      </c>
      <c r="J50" t="s">
        <v>464</v>
      </c>
      <c r="K50">
        <v>375.77</v>
      </c>
      <c r="L50" t="s">
        <v>4574</v>
      </c>
    </row>
    <row r="51" spans="1:12" x14ac:dyDescent="0.3">
      <c r="A51">
        <v>3073</v>
      </c>
      <c r="B51" t="s">
        <v>4571</v>
      </c>
      <c r="C51" t="s">
        <v>568</v>
      </c>
      <c r="D51">
        <v>18948</v>
      </c>
      <c r="E51" t="s">
        <v>3961</v>
      </c>
      <c r="F51" t="s">
        <v>4577</v>
      </c>
      <c r="G51" t="s">
        <v>3469</v>
      </c>
      <c r="H51" t="s">
        <v>3892</v>
      </c>
      <c r="I51">
        <v>1.6</v>
      </c>
      <c r="J51" t="s">
        <v>464</v>
      </c>
      <c r="K51">
        <v>91.65</v>
      </c>
      <c r="L51" t="s">
        <v>4574</v>
      </c>
    </row>
    <row r="52" spans="1:12" x14ac:dyDescent="0.3">
      <c r="A52">
        <v>3075</v>
      </c>
      <c r="B52" t="s">
        <v>4571</v>
      </c>
      <c r="C52" t="s">
        <v>568</v>
      </c>
      <c r="D52">
        <v>25233</v>
      </c>
      <c r="E52" t="s">
        <v>4590</v>
      </c>
      <c r="F52" t="s">
        <v>4590</v>
      </c>
      <c r="G52" t="s">
        <v>3469</v>
      </c>
      <c r="H52" t="s">
        <v>3966</v>
      </c>
      <c r="I52">
        <v>1</v>
      </c>
      <c r="J52" t="s">
        <v>464</v>
      </c>
      <c r="K52">
        <v>83.6</v>
      </c>
      <c r="L52" t="s">
        <v>4574</v>
      </c>
    </row>
    <row r="53" spans="1:12" x14ac:dyDescent="0.3">
      <c r="A53">
        <v>3076</v>
      </c>
      <c r="B53" t="s">
        <v>4571</v>
      </c>
      <c r="C53" t="s">
        <v>568</v>
      </c>
      <c r="D53">
        <v>18636</v>
      </c>
      <c r="E53" t="s">
        <v>3921</v>
      </c>
      <c r="F53" t="s">
        <v>4578</v>
      </c>
      <c r="G53" t="s">
        <v>3497</v>
      </c>
      <c r="H53" t="s">
        <v>3922</v>
      </c>
      <c r="I53">
        <v>6</v>
      </c>
      <c r="J53" t="s">
        <v>464</v>
      </c>
      <c r="K53">
        <v>2896.8</v>
      </c>
      <c r="L53" t="s">
        <v>4574</v>
      </c>
    </row>
    <row r="54" spans="1:12" x14ac:dyDescent="0.3">
      <c r="A54">
        <v>3217</v>
      </c>
      <c r="B54" t="s">
        <v>568</v>
      </c>
      <c r="C54" t="s">
        <v>4587</v>
      </c>
      <c r="D54">
        <v>16974</v>
      </c>
      <c r="E54" t="s">
        <v>3996</v>
      </c>
      <c r="F54" t="s">
        <v>4591</v>
      </c>
      <c r="G54" t="s">
        <v>3497</v>
      </c>
      <c r="H54" t="s">
        <v>3881</v>
      </c>
      <c r="I54">
        <v>4</v>
      </c>
      <c r="J54" t="s">
        <v>464</v>
      </c>
      <c r="K54">
        <v>540</v>
      </c>
      <c r="L54" t="s">
        <v>4599</v>
      </c>
    </row>
    <row r="55" spans="1:12" x14ac:dyDescent="0.3">
      <c r="A55">
        <v>3218</v>
      </c>
      <c r="B55" t="s">
        <v>568</v>
      </c>
      <c r="C55" t="s">
        <v>4587</v>
      </c>
      <c r="D55">
        <v>16974</v>
      </c>
      <c r="E55" t="s">
        <v>3996</v>
      </c>
      <c r="F55" t="s">
        <v>4591</v>
      </c>
      <c r="G55" t="s">
        <v>3497</v>
      </c>
      <c r="H55" t="s">
        <v>3881</v>
      </c>
      <c r="I55">
        <v>6</v>
      </c>
      <c r="J55" t="s">
        <v>464</v>
      </c>
      <c r="K55">
        <v>810</v>
      </c>
      <c r="L55" t="s">
        <v>4600</v>
      </c>
    </row>
    <row r="56" spans="1:12" x14ac:dyDescent="0.3">
      <c r="A56">
        <v>3219</v>
      </c>
      <c r="B56" t="s">
        <v>568</v>
      </c>
      <c r="C56" t="s">
        <v>4601</v>
      </c>
      <c r="D56">
        <v>16974</v>
      </c>
      <c r="E56" t="s">
        <v>3996</v>
      </c>
      <c r="F56" t="s">
        <v>4591</v>
      </c>
      <c r="G56" t="s">
        <v>3497</v>
      </c>
      <c r="H56" t="s">
        <v>3881</v>
      </c>
      <c r="I56">
        <v>5</v>
      </c>
      <c r="J56" t="s">
        <v>464</v>
      </c>
      <c r="K56">
        <v>675</v>
      </c>
      <c r="L56" t="s">
        <v>4602</v>
      </c>
    </row>
    <row r="57" spans="1:12" x14ac:dyDescent="0.3">
      <c r="A57">
        <v>3220</v>
      </c>
      <c r="B57" t="s">
        <v>568</v>
      </c>
      <c r="C57" t="s">
        <v>4601</v>
      </c>
      <c r="D57">
        <v>16974</v>
      </c>
      <c r="E57" t="s">
        <v>3996</v>
      </c>
      <c r="F57" t="s">
        <v>4591</v>
      </c>
      <c r="G57" t="s">
        <v>3497</v>
      </c>
      <c r="H57" t="s">
        <v>3881</v>
      </c>
      <c r="I57">
        <v>4</v>
      </c>
      <c r="J57" t="s">
        <v>464</v>
      </c>
      <c r="K57">
        <v>540</v>
      </c>
      <c r="L57" t="s">
        <v>4603</v>
      </c>
    </row>
    <row r="58" spans="1:12" x14ac:dyDescent="0.3">
      <c r="A58">
        <v>3228</v>
      </c>
      <c r="B58" t="s">
        <v>4571</v>
      </c>
      <c r="C58" t="s">
        <v>568</v>
      </c>
      <c r="D58">
        <v>16974</v>
      </c>
      <c r="E58" t="s">
        <v>3996</v>
      </c>
      <c r="F58" t="s">
        <v>4591</v>
      </c>
      <c r="G58" t="s">
        <v>3497</v>
      </c>
      <c r="H58" t="s">
        <v>3881</v>
      </c>
      <c r="I58">
        <v>4</v>
      </c>
      <c r="J58" t="s">
        <v>465</v>
      </c>
      <c r="K58">
        <v>590</v>
      </c>
      <c r="L58" t="s">
        <v>4604</v>
      </c>
    </row>
    <row r="59" spans="1:12" x14ac:dyDescent="0.3">
      <c r="A59">
        <v>3232</v>
      </c>
      <c r="B59" t="s">
        <v>4571</v>
      </c>
      <c r="C59" t="s">
        <v>568</v>
      </c>
      <c r="D59">
        <v>16974</v>
      </c>
      <c r="E59" t="s">
        <v>3996</v>
      </c>
      <c r="F59" t="s">
        <v>4591</v>
      </c>
      <c r="G59" t="s">
        <v>3497</v>
      </c>
      <c r="H59" t="s">
        <v>3881</v>
      </c>
      <c r="I59">
        <v>1</v>
      </c>
      <c r="J59" t="s">
        <v>465</v>
      </c>
      <c r="K59">
        <v>147</v>
      </c>
      <c r="L59" t="s">
        <v>4574</v>
      </c>
    </row>
    <row r="60" spans="1:12" x14ac:dyDescent="0.3">
      <c r="A60">
        <v>3245</v>
      </c>
      <c r="B60" t="s">
        <v>4571</v>
      </c>
      <c r="C60" t="s">
        <v>568</v>
      </c>
      <c r="D60">
        <v>16974</v>
      </c>
      <c r="E60" t="s">
        <v>3996</v>
      </c>
      <c r="F60" t="s">
        <v>4591</v>
      </c>
      <c r="G60" t="s">
        <v>3497</v>
      </c>
      <c r="H60" t="s">
        <v>3881</v>
      </c>
      <c r="I60">
        <v>4</v>
      </c>
      <c r="J60" t="s">
        <v>465</v>
      </c>
      <c r="K60">
        <v>294</v>
      </c>
      <c r="L60" t="s">
        <v>4605</v>
      </c>
    </row>
    <row r="61" spans="1:12" x14ac:dyDescent="0.3">
      <c r="A61">
        <v>3274</v>
      </c>
      <c r="B61" t="s">
        <v>4571</v>
      </c>
      <c r="C61" t="s">
        <v>568</v>
      </c>
      <c r="D61">
        <v>18636</v>
      </c>
      <c r="E61" t="s">
        <v>3921</v>
      </c>
      <c r="F61" t="s">
        <v>4578</v>
      </c>
      <c r="G61" t="s">
        <v>3497</v>
      </c>
      <c r="H61" t="s">
        <v>3922</v>
      </c>
      <c r="I61">
        <v>3</v>
      </c>
      <c r="J61" t="s">
        <v>465</v>
      </c>
      <c r="K61">
        <v>1248</v>
      </c>
      <c r="L61" t="s">
        <v>4606</v>
      </c>
    </row>
    <row r="62" spans="1:12" x14ac:dyDescent="0.3">
      <c r="A62">
        <v>3277</v>
      </c>
      <c r="B62" t="s">
        <v>4571</v>
      </c>
      <c r="C62" t="s">
        <v>568</v>
      </c>
      <c r="D62">
        <v>18636</v>
      </c>
      <c r="E62" t="s">
        <v>3921</v>
      </c>
      <c r="F62" t="s">
        <v>4578</v>
      </c>
      <c r="G62" t="s">
        <v>3497</v>
      </c>
      <c r="H62" t="s">
        <v>3922</v>
      </c>
      <c r="I62">
        <v>10</v>
      </c>
      <c r="J62" t="s">
        <v>465</v>
      </c>
      <c r="K62">
        <v>4160</v>
      </c>
      <c r="L62" t="s">
        <v>4606</v>
      </c>
    </row>
    <row r="63" spans="1:12" x14ac:dyDescent="0.3">
      <c r="A63">
        <v>3287</v>
      </c>
      <c r="B63" t="s">
        <v>568</v>
      </c>
      <c r="C63" t="s">
        <v>4571</v>
      </c>
      <c r="D63">
        <v>25561</v>
      </c>
      <c r="E63" t="s">
        <v>4296</v>
      </c>
      <c r="F63" t="s">
        <v>4607</v>
      </c>
      <c r="G63" t="s">
        <v>3497</v>
      </c>
      <c r="H63" t="s">
        <v>3888</v>
      </c>
      <c r="I63">
        <v>10</v>
      </c>
      <c r="J63" t="s">
        <v>465</v>
      </c>
      <c r="K63">
        <v>1102.1600000000001</v>
      </c>
      <c r="L63" t="s">
        <v>4608</v>
      </c>
    </row>
    <row r="64" spans="1:12" x14ac:dyDescent="0.3">
      <c r="A64">
        <v>3288</v>
      </c>
      <c r="B64" t="s">
        <v>568</v>
      </c>
      <c r="C64" t="s">
        <v>4571</v>
      </c>
      <c r="D64">
        <v>17886</v>
      </c>
      <c r="E64" t="s">
        <v>3935</v>
      </c>
      <c r="F64" t="s">
        <v>4597</v>
      </c>
      <c r="G64" t="s">
        <v>3497</v>
      </c>
      <c r="H64" t="s">
        <v>3888</v>
      </c>
      <c r="I64">
        <v>20</v>
      </c>
      <c r="J64" t="s">
        <v>465</v>
      </c>
      <c r="K64">
        <v>461.13</v>
      </c>
      <c r="L64" t="s">
        <v>4608</v>
      </c>
    </row>
    <row r="65" spans="1:12" x14ac:dyDescent="0.3">
      <c r="A65">
        <v>3289</v>
      </c>
      <c r="B65" t="s">
        <v>568</v>
      </c>
      <c r="C65" t="s">
        <v>4571</v>
      </c>
      <c r="D65">
        <v>18595</v>
      </c>
      <c r="E65" t="s">
        <v>4297</v>
      </c>
      <c r="F65" t="s">
        <v>4609</v>
      </c>
      <c r="G65" t="s">
        <v>3497</v>
      </c>
      <c r="H65" t="s">
        <v>3888</v>
      </c>
      <c r="I65">
        <v>20</v>
      </c>
      <c r="J65" t="s">
        <v>465</v>
      </c>
      <c r="K65">
        <v>2044.41</v>
      </c>
      <c r="L65" t="s">
        <v>4610</v>
      </c>
    </row>
    <row r="66" spans="1:12" x14ac:dyDescent="0.3">
      <c r="A66">
        <v>3290</v>
      </c>
      <c r="B66" t="s">
        <v>568</v>
      </c>
      <c r="C66" t="s">
        <v>4571</v>
      </c>
      <c r="D66">
        <v>17896</v>
      </c>
      <c r="E66" t="s">
        <v>3972</v>
      </c>
      <c r="F66" t="s">
        <v>4611</v>
      </c>
      <c r="G66" t="s">
        <v>3497</v>
      </c>
      <c r="H66" t="s">
        <v>3888</v>
      </c>
      <c r="I66">
        <v>2</v>
      </c>
      <c r="J66" t="s">
        <v>465</v>
      </c>
      <c r="K66">
        <v>348.17</v>
      </c>
      <c r="L66" t="s">
        <v>4610</v>
      </c>
    </row>
    <row r="67" spans="1:12" x14ac:dyDescent="0.3">
      <c r="A67">
        <v>3291</v>
      </c>
      <c r="B67" t="s">
        <v>568</v>
      </c>
      <c r="C67" t="s">
        <v>4571</v>
      </c>
      <c r="D67">
        <v>17905</v>
      </c>
      <c r="E67" t="s">
        <v>4139</v>
      </c>
      <c r="F67" t="s">
        <v>4612</v>
      </c>
      <c r="G67" t="s">
        <v>3497</v>
      </c>
      <c r="H67" t="s">
        <v>3888</v>
      </c>
      <c r="I67">
        <v>20</v>
      </c>
      <c r="J67" t="s">
        <v>465</v>
      </c>
      <c r="K67">
        <v>399.33</v>
      </c>
      <c r="L67" t="s">
        <v>4610</v>
      </c>
    </row>
    <row r="68" spans="1:12" x14ac:dyDescent="0.3">
      <c r="A68">
        <v>3292</v>
      </c>
      <c r="B68" t="s">
        <v>568</v>
      </c>
      <c r="C68" t="s">
        <v>4571</v>
      </c>
      <c r="D68">
        <v>17903</v>
      </c>
      <c r="E68" t="s">
        <v>3971</v>
      </c>
      <c r="F68" t="s">
        <v>4588</v>
      </c>
      <c r="G68" t="s">
        <v>3497</v>
      </c>
      <c r="H68" t="s">
        <v>3888</v>
      </c>
      <c r="I68">
        <v>10</v>
      </c>
      <c r="J68" t="s">
        <v>465</v>
      </c>
      <c r="K68">
        <v>399.33</v>
      </c>
      <c r="L68" t="s">
        <v>4610</v>
      </c>
    </row>
    <row r="69" spans="1:12" x14ac:dyDescent="0.3">
      <c r="A69">
        <v>3293</v>
      </c>
      <c r="B69" t="s">
        <v>568</v>
      </c>
      <c r="C69" t="s">
        <v>4571</v>
      </c>
      <c r="D69">
        <v>18586</v>
      </c>
      <c r="E69" t="s">
        <v>4107</v>
      </c>
      <c r="F69" t="s">
        <v>4613</v>
      </c>
      <c r="G69" t="s">
        <v>3497</v>
      </c>
      <c r="H69" t="s">
        <v>3888</v>
      </c>
      <c r="I69">
        <v>10</v>
      </c>
      <c r="J69" t="s">
        <v>465</v>
      </c>
      <c r="K69">
        <v>1075.48</v>
      </c>
      <c r="L69" t="s">
        <v>4610</v>
      </c>
    </row>
    <row r="70" spans="1:12" x14ac:dyDescent="0.3">
      <c r="A70">
        <v>3294</v>
      </c>
      <c r="B70" t="s">
        <v>568</v>
      </c>
      <c r="C70" t="s">
        <v>4571</v>
      </c>
      <c r="D70">
        <v>18006</v>
      </c>
      <c r="E70" t="s">
        <v>4138</v>
      </c>
      <c r="F70" t="s">
        <v>4614</v>
      </c>
      <c r="G70" t="s">
        <v>3497</v>
      </c>
      <c r="H70" t="s">
        <v>3888</v>
      </c>
      <c r="I70">
        <v>10</v>
      </c>
      <c r="J70" t="s">
        <v>465</v>
      </c>
      <c r="K70">
        <v>240.89</v>
      </c>
      <c r="L70" t="s">
        <v>4610</v>
      </c>
    </row>
    <row r="71" spans="1:12" x14ac:dyDescent="0.3">
      <c r="A71">
        <v>3295</v>
      </c>
      <c r="B71" t="s">
        <v>568</v>
      </c>
      <c r="C71" t="s">
        <v>4571</v>
      </c>
      <c r="D71">
        <v>17883</v>
      </c>
      <c r="E71" t="s">
        <v>4136</v>
      </c>
      <c r="F71" t="s">
        <v>4615</v>
      </c>
      <c r="G71" t="s">
        <v>3497</v>
      </c>
      <c r="H71" t="s">
        <v>3888</v>
      </c>
      <c r="I71">
        <v>4</v>
      </c>
      <c r="J71" t="s">
        <v>465</v>
      </c>
      <c r="K71">
        <v>93.8</v>
      </c>
      <c r="L71" t="s">
        <v>4616</v>
      </c>
    </row>
    <row r="72" spans="1:12" x14ac:dyDescent="0.3">
      <c r="A72">
        <v>3296</v>
      </c>
      <c r="B72" t="s">
        <v>568</v>
      </c>
      <c r="C72" t="s">
        <v>4571</v>
      </c>
      <c r="D72">
        <v>17886</v>
      </c>
      <c r="E72" t="s">
        <v>3935</v>
      </c>
      <c r="F72" t="s">
        <v>4597</v>
      </c>
      <c r="G72" t="s">
        <v>3497</v>
      </c>
      <c r="H72" t="s">
        <v>3888</v>
      </c>
      <c r="I72">
        <v>6</v>
      </c>
      <c r="J72" t="s">
        <v>465</v>
      </c>
      <c r="K72">
        <v>138.34</v>
      </c>
      <c r="L72" t="s">
        <v>4616</v>
      </c>
    </row>
    <row r="73" spans="1:12" x14ac:dyDescent="0.3">
      <c r="A73">
        <v>3297</v>
      </c>
      <c r="B73" t="s">
        <v>568</v>
      </c>
      <c r="C73" t="s">
        <v>4571</v>
      </c>
      <c r="D73">
        <v>24599</v>
      </c>
      <c r="E73" t="s">
        <v>3897</v>
      </c>
      <c r="F73" t="s">
        <v>4617</v>
      </c>
      <c r="G73" t="s">
        <v>3497</v>
      </c>
      <c r="H73" t="s">
        <v>3888</v>
      </c>
      <c r="I73">
        <v>1</v>
      </c>
      <c r="J73" t="s">
        <v>465</v>
      </c>
      <c r="K73">
        <v>97.69</v>
      </c>
      <c r="L73" t="s">
        <v>4616</v>
      </c>
    </row>
    <row r="74" spans="1:12" x14ac:dyDescent="0.3">
      <c r="A74">
        <v>3298</v>
      </c>
      <c r="B74" t="s">
        <v>568</v>
      </c>
      <c r="C74" t="s">
        <v>4571</v>
      </c>
      <c r="D74">
        <v>17896</v>
      </c>
      <c r="E74" t="s">
        <v>3972</v>
      </c>
      <c r="F74" t="s">
        <v>4611</v>
      </c>
      <c r="G74" t="s">
        <v>3497</v>
      </c>
      <c r="H74" t="s">
        <v>3888</v>
      </c>
      <c r="I74">
        <v>2</v>
      </c>
      <c r="J74" t="s">
        <v>465</v>
      </c>
      <c r="K74">
        <v>69.63</v>
      </c>
      <c r="L74" t="s">
        <v>4616</v>
      </c>
    </row>
    <row r="75" spans="1:12" x14ac:dyDescent="0.3">
      <c r="A75">
        <v>3299</v>
      </c>
      <c r="B75" t="s">
        <v>568</v>
      </c>
      <c r="C75" t="s">
        <v>4571</v>
      </c>
      <c r="D75">
        <v>17897</v>
      </c>
      <c r="E75" t="s">
        <v>4094</v>
      </c>
      <c r="F75" t="s">
        <v>4611</v>
      </c>
      <c r="G75" t="s">
        <v>3497</v>
      </c>
      <c r="H75" t="s">
        <v>3888</v>
      </c>
      <c r="I75">
        <v>2</v>
      </c>
      <c r="J75" t="s">
        <v>465</v>
      </c>
      <c r="K75">
        <v>69.63</v>
      </c>
      <c r="L75" t="s">
        <v>4616</v>
      </c>
    </row>
    <row r="76" spans="1:12" x14ac:dyDescent="0.3">
      <c r="A76">
        <v>3300</v>
      </c>
      <c r="B76" t="s">
        <v>568</v>
      </c>
      <c r="C76" t="s">
        <v>4601</v>
      </c>
      <c r="D76">
        <v>16974</v>
      </c>
      <c r="E76" t="s">
        <v>3996</v>
      </c>
      <c r="F76" t="s">
        <v>4591</v>
      </c>
      <c r="G76" t="s">
        <v>3497</v>
      </c>
      <c r="H76" t="s">
        <v>3881</v>
      </c>
      <c r="I76">
        <v>5</v>
      </c>
      <c r="J76" t="s">
        <v>465</v>
      </c>
      <c r="K76">
        <v>675</v>
      </c>
      <c r="L76" t="s">
        <v>4618</v>
      </c>
    </row>
    <row r="77" spans="1:12" x14ac:dyDescent="0.3">
      <c r="A77">
        <v>3301</v>
      </c>
      <c r="B77" t="s">
        <v>4571</v>
      </c>
      <c r="C77" t="s">
        <v>568</v>
      </c>
      <c r="D77">
        <v>24543</v>
      </c>
      <c r="E77" t="s">
        <v>4619</v>
      </c>
      <c r="F77" t="s">
        <v>4620</v>
      </c>
      <c r="G77" t="s">
        <v>3497</v>
      </c>
      <c r="H77" t="s">
        <v>3881</v>
      </c>
      <c r="I77">
        <v>3</v>
      </c>
      <c r="J77" t="s">
        <v>465</v>
      </c>
      <c r="K77">
        <v>138</v>
      </c>
      <c r="L77" t="s">
        <v>4621</v>
      </c>
    </row>
    <row r="78" spans="1:12" x14ac:dyDescent="0.3">
      <c r="A78">
        <v>3302</v>
      </c>
      <c r="B78" t="s">
        <v>4571</v>
      </c>
      <c r="C78" t="s">
        <v>568</v>
      </c>
      <c r="D78">
        <v>17895</v>
      </c>
      <c r="E78" t="s">
        <v>4137</v>
      </c>
      <c r="F78" t="s">
        <v>4622</v>
      </c>
      <c r="G78" t="s">
        <v>3497</v>
      </c>
      <c r="H78" t="s">
        <v>3888</v>
      </c>
      <c r="I78">
        <v>1</v>
      </c>
      <c r="J78" t="s">
        <v>465</v>
      </c>
      <c r="K78">
        <v>28.32</v>
      </c>
      <c r="L78" t="s">
        <v>4623</v>
      </c>
    </row>
    <row r="79" spans="1:12" x14ac:dyDescent="0.3">
      <c r="A79">
        <v>3611</v>
      </c>
      <c r="B79" t="s">
        <v>4571</v>
      </c>
      <c r="C79" t="s">
        <v>568</v>
      </c>
      <c r="D79">
        <v>18636</v>
      </c>
      <c r="E79" t="s">
        <v>3921</v>
      </c>
      <c r="F79" t="s">
        <v>4578</v>
      </c>
      <c r="G79" t="s">
        <v>3497</v>
      </c>
      <c r="H79" t="s">
        <v>3922</v>
      </c>
      <c r="I79">
        <v>4</v>
      </c>
      <c r="J79" t="s">
        <v>466</v>
      </c>
      <c r="K79">
        <v>1931.2</v>
      </c>
      <c r="L79" t="s">
        <v>4624</v>
      </c>
    </row>
    <row r="80" spans="1:12" x14ac:dyDescent="0.3">
      <c r="A80">
        <v>3612</v>
      </c>
      <c r="B80" t="s">
        <v>4571</v>
      </c>
      <c r="C80" t="s">
        <v>568</v>
      </c>
      <c r="D80">
        <v>18640</v>
      </c>
      <c r="E80" t="s">
        <v>3994</v>
      </c>
      <c r="F80" t="s">
        <v>4625</v>
      </c>
      <c r="G80" t="s">
        <v>3497</v>
      </c>
      <c r="H80" t="s">
        <v>3922</v>
      </c>
      <c r="I80">
        <v>1</v>
      </c>
      <c r="J80" t="s">
        <v>466</v>
      </c>
      <c r="K80">
        <v>276.43</v>
      </c>
      <c r="L80" t="s">
        <v>4624</v>
      </c>
    </row>
    <row r="81" spans="1:12" x14ac:dyDescent="0.3">
      <c r="A81">
        <v>3614</v>
      </c>
      <c r="B81" t="s">
        <v>4571</v>
      </c>
      <c r="C81" t="s">
        <v>568</v>
      </c>
      <c r="D81">
        <v>25233</v>
      </c>
      <c r="E81" t="s">
        <v>4590</v>
      </c>
      <c r="F81" t="s">
        <v>4590</v>
      </c>
      <c r="G81" t="s">
        <v>3469</v>
      </c>
      <c r="H81" t="s">
        <v>3966</v>
      </c>
      <c r="I81">
        <v>1</v>
      </c>
      <c r="J81" t="s">
        <v>466</v>
      </c>
      <c r="K81">
        <v>83.6</v>
      </c>
      <c r="L81" t="s">
        <v>4624</v>
      </c>
    </row>
    <row r="82" spans="1:12" x14ac:dyDescent="0.3">
      <c r="A82">
        <v>3615</v>
      </c>
      <c r="B82" t="s">
        <v>4571</v>
      </c>
      <c r="C82" t="s">
        <v>568</v>
      </c>
      <c r="D82">
        <v>20007</v>
      </c>
      <c r="E82" t="s">
        <v>4009</v>
      </c>
      <c r="F82" t="s">
        <v>4626</v>
      </c>
      <c r="G82" t="s">
        <v>3469</v>
      </c>
      <c r="H82" t="s">
        <v>3966</v>
      </c>
      <c r="I82">
        <v>1</v>
      </c>
      <c r="J82" t="s">
        <v>466</v>
      </c>
      <c r="K82">
        <v>44.9</v>
      </c>
      <c r="L82" t="s">
        <v>4624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7"/>
  <sheetViews>
    <sheetView workbookViewId="0"/>
  </sheetViews>
  <sheetFormatPr defaultRowHeight="14.4" x14ac:dyDescent="0.3"/>
  <sheetData>
    <row r="1" spans="1:7" x14ac:dyDescent="0.3">
      <c r="A1" t="s">
        <v>4627</v>
      </c>
      <c r="B1" t="s">
        <v>551</v>
      </c>
      <c r="C1" t="s">
        <v>4628</v>
      </c>
      <c r="D1" t="s">
        <v>566</v>
      </c>
      <c r="E1" t="s">
        <v>4629</v>
      </c>
      <c r="F1" t="s">
        <v>4630</v>
      </c>
      <c r="G1" t="s">
        <v>4631</v>
      </c>
    </row>
    <row r="2" spans="1:7" x14ac:dyDescent="0.3">
      <c r="A2">
        <v>313</v>
      </c>
      <c r="B2" t="s">
        <v>568</v>
      </c>
      <c r="C2" s="453">
        <v>46172</v>
      </c>
      <c r="D2" t="s">
        <v>465</v>
      </c>
      <c r="E2" t="s">
        <v>4632</v>
      </c>
      <c r="F2">
        <v>8910</v>
      </c>
      <c r="G2" t="s">
        <v>4633</v>
      </c>
    </row>
    <row r="3" spans="1:7" x14ac:dyDescent="0.3">
      <c r="A3">
        <v>300</v>
      </c>
      <c r="B3" t="s">
        <v>568</v>
      </c>
      <c r="C3" s="453">
        <v>46142</v>
      </c>
      <c r="D3" t="s">
        <v>464</v>
      </c>
      <c r="E3" t="s">
        <v>4632</v>
      </c>
      <c r="F3">
        <v>8910</v>
      </c>
      <c r="G3" t="s">
        <v>4633</v>
      </c>
    </row>
    <row r="4" spans="1:7" x14ac:dyDescent="0.3">
      <c r="A4">
        <v>292</v>
      </c>
      <c r="B4" t="s">
        <v>568</v>
      </c>
      <c r="C4" s="453">
        <v>46112</v>
      </c>
      <c r="D4" t="s">
        <v>463</v>
      </c>
      <c r="E4" t="s">
        <v>4632</v>
      </c>
      <c r="F4">
        <v>8932</v>
      </c>
      <c r="G4" t="s">
        <v>4633</v>
      </c>
    </row>
    <row r="5" spans="1:7" x14ac:dyDescent="0.3">
      <c r="A5">
        <v>281</v>
      </c>
      <c r="B5" t="s">
        <v>568</v>
      </c>
      <c r="C5" s="453">
        <v>46081</v>
      </c>
      <c r="D5" t="s">
        <v>462</v>
      </c>
      <c r="E5" t="s">
        <v>4632</v>
      </c>
      <c r="F5">
        <v>8074</v>
      </c>
      <c r="G5" t="s">
        <v>4633</v>
      </c>
    </row>
    <row r="6" spans="1:7" x14ac:dyDescent="0.3">
      <c r="A6">
        <v>276</v>
      </c>
      <c r="B6" t="s">
        <v>568</v>
      </c>
      <c r="C6" s="453">
        <v>46052</v>
      </c>
      <c r="D6" t="s">
        <v>461</v>
      </c>
      <c r="E6" t="s">
        <v>4632</v>
      </c>
      <c r="F6">
        <v>8514</v>
      </c>
      <c r="G6" t="s">
        <v>4633</v>
      </c>
    </row>
    <row r="7" spans="1:7" x14ac:dyDescent="0.3">
      <c r="A7">
        <v>265</v>
      </c>
      <c r="B7" t="s">
        <v>568</v>
      </c>
      <c r="C7" s="453">
        <v>46021</v>
      </c>
      <c r="D7" t="s">
        <v>460</v>
      </c>
      <c r="E7" t="s">
        <v>4632</v>
      </c>
      <c r="F7">
        <v>8250</v>
      </c>
      <c r="G7" t="s">
        <v>4633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77"/>
  <sheetViews>
    <sheetView workbookViewId="0"/>
  </sheetViews>
  <sheetFormatPr defaultRowHeight="14.4" x14ac:dyDescent="0.3"/>
  <sheetData>
    <row r="1" spans="1:10" x14ac:dyDescent="0.3">
      <c r="A1" t="s">
        <v>4634</v>
      </c>
      <c r="B1" t="s">
        <v>551</v>
      </c>
      <c r="C1" t="s">
        <v>3866</v>
      </c>
      <c r="D1" t="s">
        <v>566</v>
      </c>
      <c r="E1" t="s">
        <v>4635</v>
      </c>
      <c r="F1" t="s">
        <v>3870</v>
      </c>
      <c r="G1" t="s">
        <v>3869</v>
      </c>
      <c r="H1" t="s">
        <v>4636</v>
      </c>
      <c r="I1" t="s">
        <v>4196</v>
      </c>
      <c r="J1" t="s">
        <v>3377</v>
      </c>
    </row>
    <row r="2" spans="1:10" x14ac:dyDescent="0.3">
      <c r="A2">
        <v>1839</v>
      </c>
      <c r="B2" t="s">
        <v>568</v>
      </c>
      <c r="C2" s="453">
        <v>45688</v>
      </c>
      <c r="D2" t="s">
        <v>3762</v>
      </c>
      <c r="E2" t="s">
        <v>4637</v>
      </c>
      <c r="F2" t="s">
        <v>4203</v>
      </c>
      <c r="G2">
        <v>16</v>
      </c>
      <c r="H2" t="s">
        <v>3469</v>
      </c>
      <c r="I2">
        <v>14.33</v>
      </c>
      <c r="J2">
        <v>229.28</v>
      </c>
    </row>
    <row r="3" spans="1:10" x14ac:dyDescent="0.3">
      <c r="A3">
        <v>2583</v>
      </c>
      <c r="B3" t="s">
        <v>568</v>
      </c>
      <c r="C3" s="453">
        <v>45717</v>
      </c>
      <c r="D3" t="s">
        <v>3755</v>
      </c>
      <c r="E3" t="s">
        <v>4637</v>
      </c>
      <c r="F3" t="s">
        <v>4203</v>
      </c>
      <c r="G3">
        <v>11</v>
      </c>
      <c r="H3" t="s">
        <v>3469</v>
      </c>
      <c r="I3">
        <v>14.33</v>
      </c>
      <c r="J3">
        <v>157.63</v>
      </c>
    </row>
    <row r="4" spans="1:10" x14ac:dyDescent="0.3">
      <c r="A4">
        <v>3324</v>
      </c>
      <c r="B4" t="s">
        <v>568</v>
      </c>
      <c r="C4" s="453">
        <v>45748</v>
      </c>
      <c r="D4" t="s">
        <v>3701</v>
      </c>
      <c r="E4" t="s">
        <v>4637</v>
      </c>
      <c r="F4" t="s">
        <v>4203</v>
      </c>
      <c r="G4">
        <v>17</v>
      </c>
      <c r="H4" t="s">
        <v>3469</v>
      </c>
      <c r="I4">
        <v>14.33</v>
      </c>
      <c r="J4">
        <v>243.61</v>
      </c>
    </row>
    <row r="5" spans="1:10" x14ac:dyDescent="0.3">
      <c r="A5">
        <v>4054</v>
      </c>
      <c r="B5" t="s">
        <v>568</v>
      </c>
      <c r="C5" s="453">
        <v>45778</v>
      </c>
      <c r="D5" t="s">
        <v>3750</v>
      </c>
      <c r="E5" t="s">
        <v>4637</v>
      </c>
      <c r="F5" t="s">
        <v>4203</v>
      </c>
      <c r="G5">
        <v>6</v>
      </c>
      <c r="H5" t="s">
        <v>3469</v>
      </c>
      <c r="I5">
        <v>14.33</v>
      </c>
      <c r="J5">
        <v>85.98</v>
      </c>
    </row>
    <row r="6" spans="1:10" x14ac:dyDescent="0.3">
      <c r="A6">
        <v>4645</v>
      </c>
      <c r="B6" t="s">
        <v>568</v>
      </c>
      <c r="C6" s="453">
        <v>45809</v>
      </c>
      <c r="D6" t="s">
        <v>3696</v>
      </c>
      <c r="E6" t="s">
        <v>4637</v>
      </c>
      <c r="F6" t="s">
        <v>4203</v>
      </c>
      <c r="G6">
        <v>20</v>
      </c>
      <c r="H6" t="s">
        <v>3469</v>
      </c>
      <c r="I6">
        <v>14.33</v>
      </c>
      <c r="J6">
        <v>286.60000000000002</v>
      </c>
    </row>
    <row r="7" spans="1:10" x14ac:dyDescent="0.3">
      <c r="A7">
        <v>5055</v>
      </c>
      <c r="B7" t="s">
        <v>568</v>
      </c>
      <c r="C7" s="453">
        <v>45839</v>
      </c>
      <c r="D7" t="s">
        <v>3745</v>
      </c>
      <c r="E7" t="s">
        <v>4637</v>
      </c>
      <c r="F7" t="s">
        <v>4203</v>
      </c>
      <c r="G7">
        <v>16</v>
      </c>
      <c r="H7" t="s">
        <v>3469</v>
      </c>
      <c r="I7">
        <v>14.33</v>
      </c>
      <c r="J7">
        <v>229.28</v>
      </c>
    </row>
    <row r="8" spans="1:10" x14ac:dyDescent="0.3">
      <c r="A8">
        <v>5730</v>
      </c>
      <c r="B8" t="s">
        <v>568</v>
      </c>
      <c r="C8" s="453">
        <v>45870</v>
      </c>
      <c r="D8" t="s">
        <v>3742</v>
      </c>
      <c r="E8" t="s">
        <v>4637</v>
      </c>
      <c r="F8" t="s">
        <v>4203</v>
      </c>
      <c r="G8">
        <v>10</v>
      </c>
      <c r="H8" t="s">
        <v>3469</v>
      </c>
      <c r="I8">
        <v>14.33</v>
      </c>
      <c r="J8">
        <v>143.30000000000001</v>
      </c>
    </row>
    <row r="9" spans="1:10" x14ac:dyDescent="0.3">
      <c r="A9">
        <v>6453</v>
      </c>
      <c r="B9" t="s">
        <v>568</v>
      </c>
      <c r="C9" s="453">
        <v>45901</v>
      </c>
      <c r="D9" t="s">
        <v>3739</v>
      </c>
      <c r="E9" t="s">
        <v>4637</v>
      </c>
      <c r="F9" t="s">
        <v>4203</v>
      </c>
      <c r="G9">
        <v>17</v>
      </c>
      <c r="H9" t="s">
        <v>3469</v>
      </c>
      <c r="I9">
        <v>14.33</v>
      </c>
      <c r="J9">
        <v>243.61</v>
      </c>
    </row>
    <row r="10" spans="1:10" x14ac:dyDescent="0.3">
      <c r="A10">
        <v>6977</v>
      </c>
      <c r="B10" t="s">
        <v>568</v>
      </c>
      <c r="C10" s="453">
        <v>45931</v>
      </c>
      <c r="D10" t="s">
        <v>3736</v>
      </c>
      <c r="E10" t="s">
        <v>4637</v>
      </c>
      <c r="F10" t="s">
        <v>4203</v>
      </c>
      <c r="G10">
        <v>9</v>
      </c>
      <c r="H10" t="s">
        <v>3469</v>
      </c>
      <c r="I10">
        <v>14.33</v>
      </c>
      <c r="J10">
        <v>128.97</v>
      </c>
    </row>
    <row r="11" spans="1:10" x14ac:dyDescent="0.3">
      <c r="A11">
        <v>7464</v>
      </c>
      <c r="B11" t="s">
        <v>568</v>
      </c>
      <c r="C11" s="453">
        <v>45962</v>
      </c>
      <c r="D11" t="s">
        <v>3733</v>
      </c>
      <c r="E11" t="s">
        <v>4637</v>
      </c>
      <c r="F11" t="s">
        <v>4203</v>
      </c>
      <c r="G11">
        <v>8</v>
      </c>
      <c r="H11" t="s">
        <v>3469</v>
      </c>
      <c r="I11">
        <v>14.33</v>
      </c>
      <c r="J11">
        <v>114.64</v>
      </c>
    </row>
    <row r="12" spans="1:10" x14ac:dyDescent="0.3">
      <c r="A12">
        <v>7711</v>
      </c>
      <c r="B12" t="s">
        <v>568</v>
      </c>
      <c r="C12" s="453">
        <v>45992</v>
      </c>
      <c r="D12" t="s">
        <v>3393</v>
      </c>
      <c r="E12" t="s">
        <v>4637</v>
      </c>
      <c r="F12" t="s">
        <v>4203</v>
      </c>
      <c r="G12">
        <v>9</v>
      </c>
      <c r="H12" t="s">
        <v>3469</v>
      </c>
      <c r="I12">
        <v>14.33</v>
      </c>
      <c r="J12">
        <v>128.97</v>
      </c>
    </row>
    <row r="13" spans="1:10" x14ac:dyDescent="0.3">
      <c r="A13">
        <v>8119</v>
      </c>
      <c r="B13" t="s">
        <v>568</v>
      </c>
      <c r="C13" s="453">
        <v>46023</v>
      </c>
      <c r="D13" t="s">
        <v>460</v>
      </c>
      <c r="E13" t="s">
        <v>4637</v>
      </c>
      <c r="F13" t="s">
        <v>4203</v>
      </c>
      <c r="G13">
        <v>12</v>
      </c>
      <c r="H13" t="s">
        <v>3469</v>
      </c>
      <c r="I13">
        <v>14.33</v>
      </c>
      <c r="J13">
        <v>171.96</v>
      </c>
    </row>
    <row r="14" spans="1:10" x14ac:dyDescent="0.3">
      <c r="A14">
        <v>8613</v>
      </c>
      <c r="B14" t="s">
        <v>568</v>
      </c>
      <c r="C14" s="453">
        <v>46054</v>
      </c>
      <c r="D14" t="s">
        <v>461</v>
      </c>
      <c r="E14" t="s">
        <v>4637</v>
      </c>
      <c r="F14" t="s">
        <v>4203</v>
      </c>
      <c r="G14">
        <v>6</v>
      </c>
      <c r="H14" t="s">
        <v>3469</v>
      </c>
      <c r="I14">
        <v>14.33</v>
      </c>
      <c r="J14">
        <v>85.98</v>
      </c>
    </row>
    <row r="15" spans="1:10" x14ac:dyDescent="0.3">
      <c r="A15">
        <v>9912</v>
      </c>
      <c r="B15" t="s">
        <v>568</v>
      </c>
      <c r="C15" s="453">
        <v>46113</v>
      </c>
      <c r="D15" t="s">
        <v>463</v>
      </c>
      <c r="E15" t="s">
        <v>4637</v>
      </c>
      <c r="F15" t="s">
        <v>4203</v>
      </c>
      <c r="G15">
        <v>13</v>
      </c>
      <c r="H15" t="s">
        <v>3469</v>
      </c>
      <c r="I15">
        <v>3.42</v>
      </c>
      <c r="J15">
        <v>44.46</v>
      </c>
    </row>
    <row r="16" spans="1:10" x14ac:dyDescent="0.3">
      <c r="A16">
        <v>10053</v>
      </c>
      <c r="B16" t="s">
        <v>568</v>
      </c>
      <c r="C16" s="453">
        <v>46143</v>
      </c>
      <c r="D16" t="s">
        <v>464</v>
      </c>
      <c r="E16" t="s">
        <v>4637</v>
      </c>
      <c r="F16" t="s">
        <v>4203</v>
      </c>
      <c r="G16">
        <v>17</v>
      </c>
      <c r="H16" t="s">
        <v>3469</v>
      </c>
      <c r="I16">
        <v>3.42</v>
      </c>
      <c r="J16">
        <v>58.14</v>
      </c>
    </row>
    <row r="17" spans="1:10" x14ac:dyDescent="0.3">
      <c r="A17">
        <v>10794</v>
      </c>
      <c r="B17" t="s">
        <v>568</v>
      </c>
      <c r="C17" s="453">
        <v>46174</v>
      </c>
      <c r="D17" t="s">
        <v>465</v>
      </c>
      <c r="E17" t="s">
        <v>4637</v>
      </c>
      <c r="F17" t="s">
        <v>4203</v>
      </c>
      <c r="G17">
        <v>16</v>
      </c>
      <c r="H17" t="s">
        <v>3469</v>
      </c>
      <c r="I17">
        <v>3.42</v>
      </c>
      <c r="J17">
        <v>54.72</v>
      </c>
    </row>
    <row r="18" spans="1:10" x14ac:dyDescent="0.3">
      <c r="A18">
        <v>1840</v>
      </c>
      <c r="B18" t="s">
        <v>568</v>
      </c>
      <c r="C18" s="453">
        <v>45688</v>
      </c>
      <c r="D18" t="s">
        <v>3762</v>
      </c>
      <c r="E18" t="s">
        <v>4638</v>
      </c>
      <c r="F18" t="s">
        <v>4203</v>
      </c>
      <c r="G18">
        <v>36</v>
      </c>
      <c r="H18" t="s">
        <v>3469</v>
      </c>
      <c r="I18">
        <v>3.87</v>
      </c>
      <c r="J18">
        <v>139.32</v>
      </c>
    </row>
    <row r="19" spans="1:10" x14ac:dyDescent="0.3">
      <c r="A19">
        <v>2575</v>
      </c>
      <c r="B19" t="s">
        <v>568</v>
      </c>
      <c r="C19" s="453">
        <v>45717</v>
      </c>
      <c r="D19" t="s">
        <v>3755</v>
      </c>
      <c r="E19" t="s">
        <v>4638</v>
      </c>
      <c r="F19" t="s">
        <v>4203</v>
      </c>
      <c r="G19">
        <v>17</v>
      </c>
      <c r="H19" t="s">
        <v>3469</v>
      </c>
      <c r="I19">
        <v>3.87</v>
      </c>
      <c r="J19">
        <v>65.790000000000006</v>
      </c>
    </row>
    <row r="20" spans="1:10" x14ac:dyDescent="0.3">
      <c r="A20">
        <v>4046</v>
      </c>
      <c r="B20" t="s">
        <v>568</v>
      </c>
      <c r="C20" s="453">
        <v>45778</v>
      </c>
      <c r="D20" t="s">
        <v>3750</v>
      </c>
      <c r="E20" t="s">
        <v>4638</v>
      </c>
      <c r="F20" t="s">
        <v>4203</v>
      </c>
      <c r="G20">
        <v>24</v>
      </c>
      <c r="H20" t="s">
        <v>3469</v>
      </c>
      <c r="I20">
        <v>4.07</v>
      </c>
      <c r="J20">
        <v>97.68</v>
      </c>
    </row>
    <row r="21" spans="1:10" x14ac:dyDescent="0.3">
      <c r="A21">
        <v>4637</v>
      </c>
      <c r="B21" t="s">
        <v>568</v>
      </c>
      <c r="C21" s="453">
        <v>45809</v>
      </c>
      <c r="D21" t="s">
        <v>3696</v>
      </c>
      <c r="E21" t="s">
        <v>4638</v>
      </c>
      <c r="F21" t="s">
        <v>4203</v>
      </c>
      <c r="G21">
        <v>19</v>
      </c>
      <c r="H21" t="s">
        <v>3469</v>
      </c>
      <c r="I21">
        <v>4.07</v>
      </c>
      <c r="J21">
        <v>77.33</v>
      </c>
    </row>
    <row r="22" spans="1:10" x14ac:dyDescent="0.3">
      <c r="A22">
        <v>5047</v>
      </c>
      <c r="B22" t="s">
        <v>568</v>
      </c>
      <c r="C22" s="453">
        <v>45839</v>
      </c>
      <c r="D22" t="s">
        <v>3745</v>
      </c>
      <c r="E22" t="s">
        <v>4638</v>
      </c>
      <c r="F22" t="s">
        <v>4203</v>
      </c>
      <c r="G22">
        <v>36</v>
      </c>
      <c r="H22" t="s">
        <v>3469</v>
      </c>
      <c r="I22">
        <v>4.07</v>
      </c>
      <c r="J22">
        <v>146.52000000000001</v>
      </c>
    </row>
    <row r="23" spans="1:10" x14ac:dyDescent="0.3">
      <c r="A23">
        <v>5722</v>
      </c>
      <c r="B23" t="s">
        <v>568</v>
      </c>
      <c r="C23" s="453">
        <v>45870</v>
      </c>
      <c r="D23" t="s">
        <v>3742</v>
      </c>
      <c r="E23" t="s">
        <v>4638</v>
      </c>
      <c r="F23" t="s">
        <v>4203</v>
      </c>
      <c r="G23">
        <v>55</v>
      </c>
      <c r="H23" t="s">
        <v>3469</v>
      </c>
      <c r="I23">
        <v>4.07</v>
      </c>
      <c r="J23">
        <v>223.85</v>
      </c>
    </row>
    <row r="24" spans="1:10" x14ac:dyDescent="0.3">
      <c r="A24">
        <v>6445</v>
      </c>
      <c r="B24" t="s">
        <v>568</v>
      </c>
      <c r="C24" s="453">
        <v>45901</v>
      </c>
      <c r="D24" t="s">
        <v>3739</v>
      </c>
      <c r="E24" t="s">
        <v>4638</v>
      </c>
      <c r="F24" t="s">
        <v>4203</v>
      </c>
      <c r="G24">
        <v>14</v>
      </c>
      <c r="H24" t="s">
        <v>3469</v>
      </c>
      <c r="I24">
        <v>4.07</v>
      </c>
      <c r="J24">
        <v>56.98</v>
      </c>
    </row>
    <row r="25" spans="1:10" x14ac:dyDescent="0.3">
      <c r="A25">
        <v>6962</v>
      </c>
      <c r="B25" t="s">
        <v>568</v>
      </c>
      <c r="C25" s="453">
        <v>45931</v>
      </c>
      <c r="D25" t="s">
        <v>3736</v>
      </c>
      <c r="E25" t="s">
        <v>4638</v>
      </c>
      <c r="F25" t="s">
        <v>4203</v>
      </c>
      <c r="G25">
        <v>25</v>
      </c>
      <c r="H25" t="s">
        <v>3469</v>
      </c>
      <c r="I25">
        <v>4.07</v>
      </c>
      <c r="J25">
        <v>101.75</v>
      </c>
    </row>
    <row r="26" spans="1:10" x14ac:dyDescent="0.3">
      <c r="A26">
        <v>7449</v>
      </c>
      <c r="B26" t="s">
        <v>568</v>
      </c>
      <c r="C26" s="453">
        <v>45962</v>
      </c>
      <c r="D26" t="s">
        <v>3733</v>
      </c>
      <c r="E26" t="s">
        <v>4638</v>
      </c>
      <c r="F26" t="s">
        <v>4203</v>
      </c>
      <c r="G26">
        <v>29</v>
      </c>
      <c r="H26" t="s">
        <v>3469</v>
      </c>
      <c r="I26">
        <v>4.07</v>
      </c>
      <c r="J26">
        <v>118.03</v>
      </c>
    </row>
    <row r="27" spans="1:10" x14ac:dyDescent="0.3">
      <c r="A27">
        <v>7697</v>
      </c>
      <c r="B27" t="s">
        <v>568</v>
      </c>
      <c r="C27" s="453">
        <v>45992</v>
      </c>
      <c r="D27" t="s">
        <v>3393</v>
      </c>
      <c r="E27" t="s">
        <v>4638</v>
      </c>
      <c r="F27" t="s">
        <v>4203</v>
      </c>
      <c r="G27">
        <v>22</v>
      </c>
      <c r="H27" t="s">
        <v>3469</v>
      </c>
      <c r="I27">
        <v>4.07</v>
      </c>
      <c r="J27">
        <v>89.54</v>
      </c>
    </row>
    <row r="28" spans="1:10" x14ac:dyDescent="0.3">
      <c r="A28">
        <v>8103</v>
      </c>
      <c r="B28" t="s">
        <v>568</v>
      </c>
      <c r="C28" s="453">
        <v>46023</v>
      </c>
      <c r="D28" t="s">
        <v>460</v>
      </c>
      <c r="E28" t="s">
        <v>4638</v>
      </c>
      <c r="F28" t="s">
        <v>4203</v>
      </c>
      <c r="G28">
        <v>29</v>
      </c>
      <c r="H28" t="s">
        <v>3469</v>
      </c>
      <c r="I28">
        <v>4.07</v>
      </c>
      <c r="J28">
        <v>118.03</v>
      </c>
    </row>
    <row r="29" spans="1:10" x14ac:dyDescent="0.3">
      <c r="A29">
        <v>8594</v>
      </c>
      <c r="B29" t="s">
        <v>568</v>
      </c>
      <c r="C29" s="453">
        <v>46054</v>
      </c>
      <c r="D29" t="s">
        <v>461</v>
      </c>
      <c r="E29" t="s">
        <v>4638</v>
      </c>
      <c r="F29" t="s">
        <v>4203</v>
      </c>
      <c r="G29">
        <v>9</v>
      </c>
      <c r="H29" t="s">
        <v>3469</v>
      </c>
      <c r="I29">
        <v>4.07</v>
      </c>
      <c r="J29">
        <v>36.630000000000003</v>
      </c>
    </row>
    <row r="30" spans="1:10" x14ac:dyDescent="0.3">
      <c r="A30">
        <v>9896</v>
      </c>
      <c r="B30" t="s">
        <v>568</v>
      </c>
      <c r="C30" s="453">
        <v>46113</v>
      </c>
      <c r="D30" t="s">
        <v>463</v>
      </c>
      <c r="E30" t="s">
        <v>4638</v>
      </c>
      <c r="F30" t="s">
        <v>4203</v>
      </c>
      <c r="G30">
        <v>34</v>
      </c>
      <c r="H30" t="s">
        <v>3469</v>
      </c>
      <c r="I30">
        <v>3.57</v>
      </c>
      <c r="J30">
        <v>121.38</v>
      </c>
    </row>
    <row r="31" spans="1:10" x14ac:dyDescent="0.3">
      <c r="A31">
        <v>10036</v>
      </c>
      <c r="B31" t="s">
        <v>568</v>
      </c>
      <c r="C31" s="453">
        <v>46143</v>
      </c>
      <c r="D31" t="s">
        <v>464</v>
      </c>
      <c r="E31" t="s">
        <v>4638</v>
      </c>
      <c r="F31" t="s">
        <v>4203</v>
      </c>
      <c r="G31">
        <v>35</v>
      </c>
      <c r="H31" t="s">
        <v>3469</v>
      </c>
      <c r="I31">
        <v>3.57</v>
      </c>
      <c r="J31">
        <v>124.95</v>
      </c>
    </row>
    <row r="32" spans="1:10" x14ac:dyDescent="0.3">
      <c r="A32">
        <v>10778</v>
      </c>
      <c r="B32" t="s">
        <v>568</v>
      </c>
      <c r="C32" s="453">
        <v>46174</v>
      </c>
      <c r="D32" t="s">
        <v>465</v>
      </c>
      <c r="E32" t="s">
        <v>4638</v>
      </c>
      <c r="F32" t="s">
        <v>4203</v>
      </c>
      <c r="G32">
        <v>20</v>
      </c>
      <c r="H32" t="s">
        <v>3469</v>
      </c>
      <c r="I32">
        <v>3.57</v>
      </c>
      <c r="J32">
        <v>71.400000000000006</v>
      </c>
    </row>
    <row r="33" spans="1:10" x14ac:dyDescent="0.3">
      <c r="A33">
        <v>1841</v>
      </c>
      <c r="B33" t="s">
        <v>568</v>
      </c>
      <c r="C33" s="453">
        <v>45688</v>
      </c>
      <c r="D33" t="s">
        <v>3762</v>
      </c>
      <c r="E33" t="s">
        <v>4639</v>
      </c>
      <c r="F33" t="s">
        <v>4203</v>
      </c>
      <c r="G33">
        <v>42</v>
      </c>
      <c r="H33" t="s">
        <v>3469</v>
      </c>
      <c r="I33">
        <v>1.41</v>
      </c>
      <c r="J33">
        <v>59.22</v>
      </c>
    </row>
    <row r="34" spans="1:10" x14ac:dyDescent="0.3">
      <c r="A34">
        <v>1841</v>
      </c>
      <c r="B34" t="s">
        <v>568</v>
      </c>
      <c r="C34" s="453">
        <v>45688</v>
      </c>
      <c r="D34" t="s">
        <v>3762</v>
      </c>
      <c r="E34" t="s">
        <v>4639</v>
      </c>
      <c r="F34" t="s">
        <v>4203</v>
      </c>
      <c r="G34">
        <v>42</v>
      </c>
      <c r="H34" t="s">
        <v>3469</v>
      </c>
      <c r="I34">
        <v>1.41</v>
      </c>
      <c r="J34">
        <v>59.22</v>
      </c>
    </row>
    <row r="35" spans="1:10" x14ac:dyDescent="0.3">
      <c r="A35">
        <v>2580</v>
      </c>
      <c r="B35" t="s">
        <v>568</v>
      </c>
      <c r="C35" s="453">
        <v>45717</v>
      </c>
      <c r="D35" t="s">
        <v>3755</v>
      </c>
      <c r="E35" t="s">
        <v>4639</v>
      </c>
      <c r="F35" t="s">
        <v>4203</v>
      </c>
      <c r="G35">
        <v>35</v>
      </c>
      <c r="H35" t="s">
        <v>3469</v>
      </c>
      <c r="I35">
        <v>1.41</v>
      </c>
      <c r="J35">
        <v>49.35</v>
      </c>
    </row>
    <row r="36" spans="1:10" x14ac:dyDescent="0.3">
      <c r="A36">
        <v>3321</v>
      </c>
      <c r="B36" t="s">
        <v>568</v>
      </c>
      <c r="C36" s="453">
        <v>45748</v>
      </c>
      <c r="D36" t="s">
        <v>3701</v>
      </c>
      <c r="E36" t="s">
        <v>4639</v>
      </c>
      <c r="F36" t="s">
        <v>4203</v>
      </c>
      <c r="G36">
        <v>25</v>
      </c>
      <c r="H36" t="s">
        <v>3469</v>
      </c>
      <c r="I36">
        <v>1.41</v>
      </c>
      <c r="J36">
        <v>35.25</v>
      </c>
    </row>
    <row r="37" spans="1:10" x14ac:dyDescent="0.3">
      <c r="A37">
        <v>4051</v>
      </c>
      <c r="B37" t="s">
        <v>568</v>
      </c>
      <c r="C37" s="453">
        <v>45778</v>
      </c>
      <c r="D37" t="s">
        <v>3750</v>
      </c>
      <c r="E37" t="s">
        <v>4639</v>
      </c>
      <c r="F37" t="s">
        <v>4203</v>
      </c>
      <c r="G37">
        <v>31</v>
      </c>
      <c r="H37" t="s">
        <v>3469</v>
      </c>
      <c r="I37">
        <v>1.41</v>
      </c>
      <c r="J37">
        <v>43.71</v>
      </c>
    </row>
    <row r="38" spans="1:10" x14ac:dyDescent="0.3">
      <c r="A38">
        <v>4642</v>
      </c>
      <c r="B38" t="s">
        <v>568</v>
      </c>
      <c r="C38" s="453">
        <v>45809</v>
      </c>
      <c r="D38" t="s">
        <v>3696</v>
      </c>
      <c r="E38" t="s">
        <v>4639</v>
      </c>
      <c r="F38" t="s">
        <v>4203</v>
      </c>
      <c r="G38">
        <v>35</v>
      </c>
      <c r="H38" t="s">
        <v>3469</v>
      </c>
      <c r="I38">
        <v>1.41</v>
      </c>
      <c r="J38">
        <v>49.35</v>
      </c>
    </row>
    <row r="39" spans="1:10" x14ac:dyDescent="0.3">
      <c r="A39">
        <v>5052</v>
      </c>
      <c r="B39" t="s">
        <v>568</v>
      </c>
      <c r="C39" s="453">
        <v>45839</v>
      </c>
      <c r="D39" t="s">
        <v>3745</v>
      </c>
      <c r="E39" t="s">
        <v>4639</v>
      </c>
      <c r="F39" t="s">
        <v>4203</v>
      </c>
      <c r="G39">
        <v>22</v>
      </c>
      <c r="H39" t="s">
        <v>3469</v>
      </c>
      <c r="I39">
        <v>1.41</v>
      </c>
      <c r="J39">
        <v>31.02</v>
      </c>
    </row>
    <row r="40" spans="1:10" x14ac:dyDescent="0.3">
      <c r="A40">
        <v>5727</v>
      </c>
      <c r="B40" t="s">
        <v>568</v>
      </c>
      <c r="C40" s="453">
        <v>45870</v>
      </c>
      <c r="D40" t="s">
        <v>3742</v>
      </c>
      <c r="E40" t="s">
        <v>4639</v>
      </c>
      <c r="F40" t="s">
        <v>4203</v>
      </c>
      <c r="G40">
        <v>35</v>
      </c>
      <c r="H40" t="s">
        <v>3469</v>
      </c>
      <c r="I40">
        <v>1.41</v>
      </c>
      <c r="J40">
        <v>49.35</v>
      </c>
    </row>
    <row r="41" spans="1:10" x14ac:dyDescent="0.3">
      <c r="A41">
        <v>6450</v>
      </c>
      <c r="B41" t="s">
        <v>568</v>
      </c>
      <c r="C41" s="453">
        <v>45901</v>
      </c>
      <c r="D41" t="s">
        <v>3739</v>
      </c>
      <c r="E41" t="s">
        <v>4639</v>
      </c>
      <c r="F41" t="s">
        <v>4203</v>
      </c>
      <c r="G41">
        <v>19</v>
      </c>
      <c r="H41" t="s">
        <v>3469</v>
      </c>
      <c r="I41">
        <v>1.41</v>
      </c>
      <c r="J41">
        <v>26.79</v>
      </c>
    </row>
    <row r="42" spans="1:10" x14ac:dyDescent="0.3">
      <c r="A42">
        <v>6974</v>
      </c>
      <c r="B42" t="s">
        <v>568</v>
      </c>
      <c r="C42" s="453">
        <v>45931</v>
      </c>
      <c r="D42" t="s">
        <v>3736</v>
      </c>
      <c r="E42" t="s">
        <v>4639</v>
      </c>
      <c r="F42" t="s">
        <v>4203</v>
      </c>
      <c r="G42">
        <v>25</v>
      </c>
      <c r="H42" t="s">
        <v>3469</v>
      </c>
      <c r="I42">
        <v>1.41</v>
      </c>
      <c r="J42">
        <v>35.25</v>
      </c>
    </row>
    <row r="43" spans="1:10" x14ac:dyDescent="0.3">
      <c r="A43">
        <v>7461</v>
      </c>
      <c r="B43" t="s">
        <v>568</v>
      </c>
      <c r="C43" s="453">
        <v>45962</v>
      </c>
      <c r="D43" t="s">
        <v>3733</v>
      </c>
      <c r="E43" t="s">
        <v>4639</v>
      </c>
      <c r="F43" t="s">
        <v>4203</v>
      </c>
      <c r="G43">
        <v>35</v>
      </c>
      <c r="H43" t="s">
        <v>3469</v>
      </c>
      <c r="I43">
        <v>1.41</v>
      </c>
      <c r="J43">
        <v>49.35</v>
      </c>
    </row>
    <row r="44" spans="1:10" x14ac:dyDescent="0.3">
      <c r="A44">
        <v>7708</v>
      </c>
      <c r="B44" t="s">
        <v>568</v>
      </c>
      <c r="C44" s="453">
        <v>45992</v>
      </c>
      <c r="D44" t="s">
        <v>3393</v>
      </c>
      <c r="E44" t="s">
        <v>4639</v>
      </c>
      <c r="F44" t="s">
        <v>4203</v>
      </c>
      <c r="G44">
        <v>19</v>
      </c>
      <c r="H44" t="s">
        <v>3469</v>
      </c>
      <c r="I44">
        <v>1.41</v>
      </c>
      <c r="J44">
        <v>26.79</v>
      </c>
    </row>
    <row r="45" spans="1:10" x14ac:dyDescent="0.3">
      <c r="A45">
        <v>8116</v>
      </c>
      <c r="B45" t="s">
        <v>568</v>
      </c>
      <c r="C45" s="453">
        <v>46023</v>
      </c>
      <c r="D45" t="s">
        <v>460</v>
      </c>
      <c r="E45" t="s">
        <v>4639</v>
      </c>
      <c r="F45" t="s">
        <v>4203</v>
      </c>
      <c r="G45">
        <v>25</v>
      </c>
      <c r="H45" t="s">
        <v>3469</v>
      </c>
      <c r="I45">
        <v>1.41</v>
      </c>
      <c r="J45">
        <v>35.25</v>
      </c>
    </row>
    <row r="46" spans="1:10" x14ac:dyDescent="0.3">
      <c r="A46">
        <v>8610</v>
      </c>
      <c r="B46" t="s">
        <v>568</v>
      </c>
      <c r="C46" s="453">
        <v>46054</v>
      </c>
      <c r="D46" t="s">
        <v>461</v>
      </c>
      <c r="E46" t="s">
        <v>4639</v>
      </c>
      <c r="F46" t="s">
        <v>4203</v>
      </c>
      <c r="G46">
        <v>35</v>
      </c>
      <c r="H46" t="s">
        <v>3469</v>
      </c>
      <c r="I46">
        <v>1.41</v>
      </c>
      <c r="J46">
        <v>49.35</v>
      </c>
    </row>
    <row r="47" spans="1:10" x14ac:dyDescent="0.3">
      <c r="A47">
        <v>8967</v>
      </c>
      <c r="B47" t="s">
        <v>568</v>
      </c>
      <c r="C47" s="453">
        <v>46082</v>
      </c>
      <c r="D47" t="s">
        <v>462</v>
      </c>
      <c r="E47" t="s">
        <v>4639</v>
      </c>
      <c r="F47" t="s">
        <v>4203</v>
      </c>
      <c r="G47">
        <v>34</v>
      </c>
      <c r="H47" t="s">
        <v>3469</v>
      </c>
      <c r="I47">
        <v>1.41</v>
      </c>
      <c r="J47">
        <v>47.94</v>
      </c>
    </row>
    <row r="48" spans="1:10" x14ac:dyDescent="0.3">
      <c r="A48">
        <v>9909</v>
      </c>
      <c r="B48" t="s">
        <v>568</v>
      </c>
      <c r="C48" s="453">
        <v>46113</v>
      </c>
      <c r="D48" t="s">
        <v>463</v>
      </c>
      <c r="E48" t="s">
        <v>4639</v>
      </c>
      <c r="F48" t="s">
        <v>4203</v>
      </c>
      <c r="G48">
        <v>15</v>
      </c>
      <c r="H48" t="s">
        <v>3469</v>
      </c>
      <c r="I48">
        <v>1.41</v>
      </c>
      <c r="J48">
        <v>21.15</v>
      </c>
    </row>
    <row r="49" spans="1:10" x14ac:dyDescent="0.3">
      <c r="A49">
        <v>10050</v>
      </c>
      <c r="B49" t="s">
        <v>568</v>
      </c>
      <c r="C49" s="453">
        <v>46143</v>
      </c>
      <c r="D49" t="s">
        <v>464</v>
      </c>
      <c r="E49" t="s">
        <v>4639</v>
      </c>
      <c r="F49" t="s">
        <v>4203</v>
      </c>
      <c r="G49">
        <v>28</v>
      </c>
      <c r="H49" t="s">
        <v>3469</v>
      </c>
      <c r="I49">
        <v>1.41</v>
      </c>
      <c r="J49">
        <v>39.479999999999997</v>
      </c>
    </row>
    <row r="50" spans="1:10" x14ac:dyDescent="0.3">
      <c r="A50">
        <v>10791</v>
      </c>
      <c r="B50" t="s">
        <v>568</v>
      </c>
      <c r="C50" s="453">
        <v>46174</v>
      </c>
      <c r="D50" t="s">
        <v>465</v>
      </c>
      <c r="E50" t="s">
        <v>4639</v>
      </c>
      <c r="F50" t="s">
        <v>4203</v>
      </c>
      <c r="G50">
        <v>28</v>
      </c>
      <c r="H50" t="s">
        <v>3469</v>
      </c>
      <c r="I50">
        <v>1.41</v>
      </c>
      <c r="J50">
        <v>39.479999999999997</v>
      </c>
    </row>
    <row r="51" spans="1:10" x14ac:dyDescent="0.3">
      <c r="A51">
        <v>1842</v>
      </c>
      <c r="B51" t="s">
        <v>568</v>
      </c>
      <c r="C51" s="453">
        <v>45688</v>
      </c>
      <c r="D51" t="s">
        <v>3762</v>
      </c>
      <c r="E51" t="s">
        <v>4640</v>
      </c>
      <c r="F51" t="s">
        <v>4203</v>
      </c>
      <c r="G51">
        <v>57</v>
      </c>
      <c r="H51" t="s">
        <v>3469</v>
      </c>
      <c r="I51">
        <v>1.52</v>
      </c>
      <c r="J51">
        <v>86.64</v>
      </c>
    </row>
    <row r="52" spans="1:10" x14ac:dyDescent="0.3">
      <c r="A52">
        <v>2581</v>
      </c>
      <c r="B52" t="s">
        <v>568</v>
      </c>
      <c r="C52" s="453">
        <v>45717</v>
      </c>
      <c r="D52" t="s">
        <v>3755</v>
      </c>
      <c r="E52" t="s">
        <v>4640</v>
      </c>
      <c r="F52" t="s">
        <v>4203</v>
      </c>
      <c r="G52">
        <v>30</v>
      </c>
      <c r="H52" t="s">
        <v>3469</v>
      </c>
      <c r="I52">
        <v>1.52</v>
      </c>
      <c r="J52">
        <v>45.6</v>
      </c>
    </row>
    <row r="53" spans="1:10" x14ac:dyDescent="0.3">
      <c r="A53">
        <v>3322</v>
      </c>
      <c r="B53" t="s">
        <v>568</v>
      </c>
      <c r="C53" s="453">
        <v>45748</v>
      </c>
      <c r="D53" t="s">
        <v>3701</v>
      </c>
      <c r="E53" t="s">
        <v>4640</v>
      </c>
      <c r="F53" t="s">
        <v>4203</v>
      </c>
      <c r="G53">
        <v>25</v>
      </c>
      <c r="H53" t="s">
        <v>3469</v>
      </c>
      <c r="I53">
        <v>1.52</v>
      </c>
      <c r="J53">
        <v>38</v>
      </c>
    </row>
    <row r="54" spans="1:10" x14ac:dyDescent="0.3">
      <c r="A54">
        <v>4052</v>
      </c>
      <c r="B54" t="s">
        <v>568</v>
      </c>
      <c r="C54" s="453">
        <v>45778</v>
      </c>
      <c r="D54" t="s">
        <v>3750</v>
      </c>
      <c r="E54" t="s">
        <v>4640</v>
      </c>
      <c r="F54" t="s">
        <v>4203</v>
      </c>
      <c r="G54">
        <v>36</v>
      </c>
      <c r="H54" t="s">
        <v>3469</v>
      </c>
      <c r="I54">
        <v>1.52</v>
      </c>
      <c r="J54">
        <v>54.72</v>
      </c>
    </row>
    <row r="55" spans="1:10" x14ac:dyDescent="0.3">
      <c r="A55">
        <v>4643</v>
      </c>
      <c r="B55" t="s">
        <v>568</v>
      </c>
      <c r="C55" s="453">
        <v>45809</v>
      </c>
      <c r="D55" t="s">
        <v>3696</v>
      </c>
      <c r="E55" t="s">
        <v>4640</v>
      </c>
      <c r="F55" t="s">
        <v>4203</v>
      </c>
      <c r="G55">
        <v>22</v>
      </c>
      <c r="H55" t="s">
        <v>3469</v>
      </c>
      <c r="I55">
        <v>1.52</v>
      </c>
      <c r="J55">
        <v>33.44</v>
      </c>
    </row>
    <row r="56" spans="1:10" x14ac:dyDescent="0.3">
      <c r="A56">
        <v>5053</v>
      </c>
      <c r="B56" t="s">
        <v>568</v>
      </c>
      <c r="C56" s="453">
        <v>45839</v>
      </c>
      <c r="D56" t="s">
        <v>3745</v>
      </c>
      <c r="E56" t="s">
        <v>4640</v>
      </c>
      <c r="F56" t="s">
        <v>4203</v>
      </c>
      <c r="G56">
        <v>32</v>
      </c>
      <c r="H56" t="s">
        <v>3469</v>
      </c>
      <c r="I56">
        <v>1.52</v>
      </c>
      <c r="J56">
        <v>48.64</v>
      </c>
    </row>
    <row r="57" spans="1:10" x14ac:dyDescent="0.3">
      <c r="A57">
        <v>5728</v>
      </c>
      <c r="B57" t="s">
        <v>568</v>
      </c>
      <c r="C57" s="453">
        <v>45870</v>
      </c>
      <c r="D57" t="s">
        <v>3742</v>
      </c>
      <c r="E57" t="s">
        <v>4640</v>
      </c>
      <c r="F57" t="s">
        <v>4203</v>
      </c>
      <c r="G57">
        <v>22</v>
      </c>
      <c r="H57" t="s">
        <v>3469</v>
      </c>
      <c r="I57">
        <v>1.52</v>
      </c>
      <c r="J57">
        <v>33.44</v>
      </c>
    </row>
    <row r="58" spans="1:10" x14ac:dyDescent="0.3">
      <c r="A58">
        <v>6451</v>
      </c>
      <c r="B58" t="s">
        <v>568</v>
      </c>
      <c r="C58" s="453">
        <v>45901</v>
      </c>
      <c r="D58" t="s">
        <v>3739</v>
      </c>
      <c r="E58" t="s">
        <v>4640</v>
      </c>
      <c r="F58" t="s">
        <v>4203</v>
      </c>
      <c r="G58">
        <v>15</v>
      </c>
      <c r="H58" t="s">
        <v>3469</v>
      </c>
      <c r="I58">
        <v>1.52</v>
      </c>
      <c r="J58">
        <v>22.8</v>
      </c>
    </row>
    <row r="59" spans="1:10" x14ac:dyDescent="0.3">
      <c r="A59">
        <v>6975</v>
      </c>
      <c r="B59" t="s">
        <v>568</v>
      </c>
      <c r="C59" s="453">
        <v>45931</v>
      </c>
      <c r="D59" t="s">
        <v>3736</v>
      </c>
      <c r="E59" t="s">
        <v>4640</v>
      </c>
      <c r="F59" t="s">
        <v>4203</v>
      </c>
      <c r="G59">
        <v>25</v>
      </c>
      <c r="H59" t="s">
        <v>3469</v>
      </c>
      <c r="I59">
        <v>1.52</v>
      </c>
      <c r="J59">
        <v>38</v>
      </c>
    </row>
    <row r="60" spans="1:10" x14ac:dyDescent="0.3">
      <c r="A60">
        <v>7462</v>
      </c>
      <c r="B60" t="s">
        <v>568</v>
      </c>
      <c r="C60" s="453">
        <v>45962</v>
      </c>
      <c r="D60" t="s">
        <v>3733</v>
      </c>
      <c r="E60" t="s">
        <v>4640</v>
      </c>
      <c r="F60" t="s">
        <v>4203</v>
      </c>
      <c r="G60">
        <v>30</v>
      </c>
      <c r="H60" t="s">
        <v>3469</v>
      </c>
      <c r="I60">
        <v>1.52</v>
      </c>
      <c r="J60">
        <v>45.6</v>
      </c>
    </row>
    <row r="61" spans="1:10" x14ac:dyDescent="0.3">
      <c r="A61">
        <v>7709</v>
      </c>
      <c r="B61" t="s">
        <v>568</v>
      </c>
      <c r="C61" s="453">
        <v>45992</v>
      </c>
      <c r="D61" t="s">
        <v>3393</v>
      </c>
      <c r="E61" t="s">
        <v>4640</v>
      </c>
      <c r="F61" t="s">
        <v>4203</v>
      </c>
      <c r="G61">
        <v>22</v>
      </c>
      <c r="H61" t="s">
        <v>3469</v>
      </c>
      <c r="I61">
        <v>1.52</v>
      </c>
      <c r="J61">
        <v>33.44</v>
      </c>
    </row>
    <row r="62" spans="1:10" x14ac:dyDescent="0.3">
      <c r="A62">
        <v>8117</v>
      </c>
      <c r="B62" t="s">
        <v>568</v>
      </c>
      <c r="C62" s="453">
        <v>46023</v>
      </c>
      <c r="D62" t="s">
        <v>460</v>
      </c>
      <c r="E62" t="s">
        <v>4640</v>
      </c>
      <c r="F62" t="s">
        <v>4203</v>
      </c>
      <c r="G62">
        <v>30</v>
      </c>
      <c r="H62" t="s">
        <v>3469</v>
      </c>
      <c r="I62">
        <v>1.52</v>
      </c>
      <c r="J62">
        <v>45.6</v>
      </c>
    </row>
    <row r="63" spans="1:10" x14ac:dyDescent="0.3">
      <c r="A63">
        <v>8611</v>
      </c>
      <c r="B63" t="s">
        <v>568</v>
      </c>
      <c r="C63" s="453">
        <v>46054</v>
      </c>
      <c r="D63" t="s">
        <v>461</v>
      </c>
      <c r="E63" t="s">
        <v>4640</v>
      </c>
      <c r="F63" t="s">
        <v>4203</v>
      </c>
      <c r="G63">
        <v>22</v>
      </c>
      <c r="H63" t="s">
        <v>3469</v>
      </c>
      <c r="I63">
        <v>1.52</v>
      </c>
      <c r="J63">
        <v>33.44</v>
      </c>
    </row>
    <row r="64" spans="1:10" x14ac:dyDescent="0.3">
      <c r="A64">
        <v>8968</v>
      </c>
      <c r="B64" t="s">
        <v>568</v>
      </c>
      <c r="C64" s="453">
        <v>46082</v>
      </c>
      <c r="D64" t="s">
        <v>462</v>
      </c>
      <c r="E64" t="s">
        <v>4640</v>
      </c>
      <c r="F64" t="s">
        <v>4203</v>
      </c>
      <c r="G64">
        <v>20</v>
      </c>
      <c r="H64" t="s">
        <v>3469</v>
      </c>
      <c r="I64">
        <v>1.52</v>
      </c>
      <c r="J64">
        <v>30.4</v>
      </c>
    </row>
    <row r="65" spans="1:10" x14ac:dyDescent="0.3">
      <c r="A65">
        <v>9910</v>
      </c>
      <c r="B65" t="s">
        <v>568</v>
      </c>
      <c r="C65" s="453">
        <v>46113</v>
      </c>
      <c r="D65" t="s">
        <v>463</v>
      </c>
      <c r="E65" t="s">
        <v>4640</v>
      </c>
      <c r="F65" t="s">
        <v>4203</v>
      </c>
      <c r="G65">
        <v>22</v>
      </c>
      <c r="H65" t="s">
        <v>3469</v>
      </c>
      <c r="I65">
        <v>1.52</v>
      </c>
      <c r="J65">
        <v>33.44</v>
      </c>
    </row>
    <row r="66" spans="1:10" x14ac:dyDescent="0.3">
      <c r="A66">
        <v>10051</v>
      </c>
      <c r="B66" t="s">
        <v>568</v>
      </c>
      <c r="C66" s="453">
        <v>46143</v>
      </c>
      <c r="D66" t="s">
        <v>464</v>
      </c>
      <c r="E66" t="s">
        <v>4640</v>
      </c>
      <c r="F66" t="s">
        <v>4203</v>
      </c>
      <c r="G66">
        <v>20</v>
      </c>
      <c r="H66" t="s">
        <v>3469</v>
      </c>
      <c r="I66">
        <v>1.52</v>
      </c>
      <c r="J66">
        <v>30.4</v>
      </c>
    </row>
    <row r="67" spans="1:10" x14ac:dyDescent="0.3">
      <c r="A67">
        <v>10792</v>
      </c>
      <c r="B67" t="s">
        <v>568</v>
      </c>
      <c r="C67" s="453">
        <v>46174</v>
      </c>
      <c r="D67" t="s">
        <v>465</v>
      </c>
      <c r="E67" t="s">
        <v>4640</v>
      </c>
      <c r="F67" t="s">
        <v>4203</v>
      </c>
      <c r="G67">
        <v>28</v>
      </c>
      <c r="H67" t="s">
        <v>3469</v>
      </c>
      <c r="I67">
        <v>1.52</v>
      </c>
      <c r="J67">
        <v>42.56</v>
      </c>
    </row>
    <row r="68" spans="1:10" x14ac:dyDescent="0.3">
      <c r="A68">
        <v>1843</v>
      </c>
      <c r="B68" t="s">
        <v>568</v>
      </c>
      <c r="C68" s="453">
        <v>45688</v>
      </c>
      <c r="D68" t="s">
        <v>3762</v>
      </c>
      <c r="E68" t="s">
        <v>4641</v>
      </c>
      <c r="F68" t="s">
        <v>4203</v>
      </c>
      <c r="G68">
        <v>36</v>
      </c>
      <c r="H68" t="s">
        <v>3469</v>
      </c>
      <c r="I68">
        <v>1.2</v>
      </c>
      <c r="J68">
        <v>43.2</v>
      </c>
    </row>
    <row r="69" spans="1:10" x14ac:dyDescent="0.3">
      <c r="A69">
        <v>2582</v>
      </c>
      <c r="B69" t="s">
        <v>568</v>
      </c>
      <c r="C69" s="453">
        <v>45717</v>
      </c>
      <c r="D69" t="s">
        <v>3755</v>
      </c>
      <c r="E69" t="s">
        <v>4641</v>
      </c>
      <c r="F69" t="s">
        <v>4203</v>
      </c>
      <c r="G69">
        <v>35</v>
      </c>
      <c r="H69" t="s">
        <v>3469</v>
      </c>
      <c r="I69">
        <v>1.2</v>
      </c>
      <c r="J69">
        <v>42</v>
      </c>
    </row>
    <row r="70" spans="1:10" x14ac:dyDescent="0.3">
      <c r="A70">
        <v>3323</v>
      </c>
      <c r="B70" t="s">
        <v>568</v>
      </c>
      <c r="C70" s="453">
        <v>45748</v>
      </c>
      <c r="D70" t="s">
        <v>3701</v>
      </c>
      <c r="E70" t="s">
        <v>4641</v>
      </c>
      <c r="F70" t="s">
        <v>4203</v>
      </c>
      <c r="G70">
        <v>20</v>
      </c>
      <c r="H70" t="s">
        <v>3469</v>
      </c>
      <c r="I70">
        <v>1.2</v>
      </c>
      <c r="J70">
        <v>24</v>
      </c>
    </row>
    <row r="71" spans="1:10" x14ac:dyDescent="0.3">
      <c r="A71">
        <v>4053</v>
      </c>
      <c r="B71" t="s">
        <v>568</v>
      </c>
      <c r="C71" s="453">
        <v>45778</v>
      </c>
      <c r="D71" t="s">
        <v>3750</v>
      </c>
      <c r="E71" t="s">
        <v>4641</v>
      </c>
      <c r="F71" t="s">
        <v>4203</v>
      </c>
      <c r="G71">
        <v>42</v>
      </c>
      <c r="H71" t="s">
        <v>3469</v>
      </c>
      <c r="I71">
        <v>1.2</v>
      </c>
      <c r="J71">
        <v>50.4</v>
      </c>
    </row>
    <row r="72" spans="1:10" x14ac:dyDescent="0.3">
      <c r="A72">
        <v>4644</v>
      </c>
      <c r="B72" t="s">
        <v>568</v>
      </c>
      <c r="C72" s="453">
        <v>45809</v>
      </c>
      <c r="D72" t="s">
        <v>3696</v>
      </c>
      <c r="E72" t="s">
        <v>4641</v>
      </c>
      <c r="F72" t="s">
        <v>4203</v>
      </c>
      <c r="G72">
        <v>35</v>
      </c>
      <c r="H72" t="s">
        <v>3469</v>
      </c>
      <c r="I72">
        <v>1.2</v>
      </c>
      <c r="J72">
        <v>42</v>
      </c>
    </row>
    <row r="73" spans="1:10" x14ac:dyDescent="0.3">
      <c r="A73">
        <v>5054</v>
      </c>
      <c r="B73" t="s">
        <v>568</v>
      </c>
      <c r="C73" s="453">
        <v>45839</v>
      </c>
      <c r="D73" t="s">
        <v>3745</v>
      </c>
      <c r="E73" t="s">
        <v>4641</v>
      </c>
      <c r="F73" t="s">
        <v>4203</v>
      </c>
      <c r="G73">
        <v>22</v>
      </c>
      <c r="H73" t="s">
        <v>3469</v>
      </c>
      <c r="I73">
        <v>1.2</v>
      </c>
      <c r="J73">
        <v>26.4</v>
      </c>
    </row>
    <row r="74" spans="1:10" x14ac:dyDescent="0.3">
      <c r="A74">
        <v>5729</v>
      </c>
      <c r="B74" t="s">
        <v>568</v>
      </c>
      <c r="C74" s="453">
        <v>45870</v>
      </c>
      <c r="D74" t="s">
        <v>3742</v>
      </c>
      <c r="E74" t="s">
        <v>4641</v>
      </c>
      <c r="F74" t="s">
        <v>4203</v>
      </c>
      <c r="G74">
        <v>35</v>
      </c>
      <c r="H74" t="s">
        <v>3469</v>
      </c>
      <c r="I74">
        <v>1.2</v>
      </c>
      <c r="J74">
        <v>42</v>
      </c>
    </row>
    <row r="75" spans="1:10" x14ac:dyDescent="0.3">
      <c r="A75">
        <v>6452</v>
      </c>
      <c r="B75" t="s">
        <v>568</v>
      </c>
      <c r="C75" s="453">
        <v>45901</v>
      </c>
      <c r="D75" t="s">
        <v>3739</v>
      </c>
      <c r="E75" t="s">
        <v>4641</v>
      </c>
      <c r="F75" t="s">
        <v>4203</v>
      </c>
      <c r="G75">
        <v>22</v>
      </c>
      <c r="H75" t="s">
        <v>3469</v>
      </c>
      <c r="I75">
        <v>1.2</v>
      </c>
      <c r="J75">
        <v>26.4</v>
      </c>
    </row>
    <row r="76" spans="1:10" x14ac:dyDescent="0.3">
      <c r="A76">
        <v>6976</v>
      </c>
      <c r="B76" t="s">
        <v>568</v>
      </c>
      <c r="C76" s="453">
        <v>45931</v>
      </c>
      <c r="D76" t="s">
        <v>3736</v>
      </c>
      <c r="E76" t="s">
        <v>4641</v>
      </c>
      <c r="F76" t="s">
        <v>4203</v>
      </c>
      <c r="G76">
        <v>25</v>
      </c>
      <c r="H76" t="s">
        <v>3469</v>
      </c>
      <c r="I76">
        <v>1.2</v>
      </c>
      <c r="J76">
        <v>30</v>
      </c>
    </row>
    <row r="77" spans="1:10" x14ac:dyDescent="0.3">
      <c r="A77">
        <v>7463</v>
      </c>
      <c r="B77" t="s">
        <v>568</v>
      </c>
      <c r="C77" s="453">
        <v>45962</v>
      </c>
      <c r="D77" t="s">
        <v>3733</v>
      </c>
      <c r="E77" t="s">
        <v>4641</v>
      </c>
      <c r="F77" t="s">
        <v>4203</v>
      </c>
      <c r="G77">
        <v>35</v>
      </c>
      <c r="H77" t="s">
        <v>3469</v>
      </c>
      <c r="I77">
        <v>1.2</v>
      </c>
      <c r="J77">
        <v>42</v>
      </c>
    </row>
    <row r="78" spans="1:10" x14ac:dyDescent="0.3">
      <c r="A78">
        <v>7710</v>
      </c>
      <c r="B78" t="s">
        <v>568</v>
      </c>
      <c r="C78" s="453">
        <v>45992</v>
      </c>
      <c r="D78" t="s">
        <v>3393</v>
      </c>
      <c r="E78" t="s">
        <v>4641</v>
      </c>
      <c r="F78" t="s">
        <v>4203</v>
      </c>
      <c r="G78">
        <v>35</v>
      </c>
      <c r="H78" t="s">
        <v>3469</v>
      </c>
      <c r="I78">
        <v>1.2</v>
      </c>
      <c r="J78">
        <v>42</v>
      </c>
    </row>
    <row r="79" spans="1:10" x14ac:dyDescent="0.3">
      <c r="A79">
        <v>8118</v>
      </c>
      <c r="B79" t="s">
        <v>568</v>
      </c>
      <c r="C79" s="453">
        <v>46023</v>
      </c>
      <c r="D79" t="s">
        <v>460</v>
      </c>
      <c r="E79" t="s">
        <v>4641</v>
      </c>
      <c r="F79" t="s">
        <v>4203</v>
      </c>
      <c r="G79">
        <v>34</v>
      </c>
      <c r="H79" t="s">
        <v>3469</v>
      </c>
      <c r="I79">
        <v>1.2</v>
      </c>
      <c r="J79">
        <v>40.799999999999997</v>
      </c>
    </row>
    <row r="80" spans="1:10" x14ac:dyDescent="0.3">
      <c r="A80">
        <v>8612</v>
      </c>
      <c r="B80" t="s">
        <v>568</v>
      </c>
      <c r="C80" s="453">
        <v>46054</v>
      </c>
      <c r="D80" t="s">
        <v>461</v>
      </c>
      <c r="E80" t="s">
        <v>4641</v>
      </c>
      <c r="F80" t="s">
        <v>4203</v>
      </c>
      <c r="G80">
        <v>35</v>
      </c>
      <c r="H80" t="s">
        <v>3469</v>
      </c>
      <c r="I80">
        <v>1.2</v>
      </c>
      <c r="J80">
        <v>42</v>
      </c>
    </row>
    <row r="81" spans="1:10" x14ac:dyDescent="0.3">
      <c r="A81">
        <v>8969</v>
      </c>
      <c r="B81" t="s">
        <v>568</v>
      </c>
      <c r="C81" s="453">
        <v>46082</v>
      </c>
      <c r="D81" t="s">
        <v>462</v>
      </c>
      <c r="E81" t="s">
        <v>4641</v>
      </c>
      <c r="F81" t="s">
        <v>4203</v>
      </c>
      <c r="G81">
        <v>20</v>
      </c>
      <c r="H81" t="s">
        <v>3469</v>
      </c>
      <c r="I81">
        <v>1.2</v>
      </c>
      <c r="J81">
        <v>24</v>
      </c>
    </row>
    <row r="82" spans="1:10" x14ac:dyDescent="0.3">
      <c r="A82">
        <v>9911</v>
      </c>
      <c r="B82" t="s">
        <v>568</v>
      </c>
      <c r="C82" s="453">
        <v>46113</v>
      </c>
      <c r="D82" t="s">
        <v>463</v>
      </c>
      <c r="E82" t="s">
        <v>4641</v>
      </c>
      <c r="F82" t="s">
        <v>4203</v>
      </c>
      <c r="G82">
        <v>25</v>
      </c>
      <c r="H82" t="s">
        <v>3469</v>
      </c>
      <c r="I82">
        <v>1.2</v>
      </c>
      <c r="J82">
        <v>30</v>
      </c>
    </row>
    <row r="83" spans="1:10" x14ac:dyDescent="0.3">
      <c r="A83">
        <v>10052</v>
      </c>
      <c r="B83" t="s">
        <v>568</v>
      </c>
      <c r="C83" s="453">
        <v>46143</v>
      </c>
      <c r="D83" t="s">
        <v>464</v>
      </c>
      <c r="E83" t="s">
        <v>4641</v>
      </c>
      <c r="F83" t="s">
        <v>4203</v>
      </c>
      <c r="G83">
        <v>42</v>
      </c>
      <c r="H83" t="s">
        <v>3469</v>
      </c>
      <c r="I83">
        <v>1.2</v>
      </c>
      <c r="J83">
        <v>50.4</v>
      </c>
    </row>
    <row r="84" spans="1:10" x14ac:dyDescent="0.3">
      <c r="A84">
        <v>10793</v>
      </c>
      <c r="B84" t="s">
        <v>568</v>
      </c>
      <c r="C84" s="453">
        <v>46174</v>
      </c>
      <c r="D84" t="s">
        <v>465</v>
      </c>
      <c r="E84" t="s">
        <v>4641</v>
      </c>
      <c r="F84" t="s">
        <v>4203</v>
      </c>
      <c r="G84">
        <v>26</v>
      </c>
      <c r="H84" t="s">
        <v>3469</v>
      </c>
      <c r="I84">
        <v>1.2</v>
      </c>
      <c r="J84">
        <v>31.2</v>
      </c>
    </row>
    <row r="85" spans="1:10" x14ac:dyDescent="0.3">
      <c r="A85">
        <v>1844</v>
      </c>
      <c r="B85" t="s">
        <v>568</v>
      </c>
      <c r="C85" s="453">
        <v>45688</v>
      </c>
      <c r="D85" t="s">
        <v>3762</v>
      </c>
      <c r="E85" t="s">
        <v>4642</v>
      </c>
      <c r="F85" t="s">
        <v>4643</v>
      </c>
      <c r="G85">
        <v>5</v>
      </c>
      <c r="H85" t="s">
        <v>3469</v>
      </c>
      <c r="I85">
        <v>13.15</v>
      </c>
      <c r="J85">
        <v>65.75</v>
      </c>
    </row>
    <row r="86" spans="1:10" x14ac:dyDescent="0.3">
      <c r="A86">
        <v>2578</v>
      </c>
      <c r="B86" t="s">
        <v>568</v>
      </c>
      <c r="C86" s="453">
        <v>45717</v>
      </c>
      <c r="D86" t="s">
        <v>3755</v>
      </c>
      <c r="E86" t="s">
        <v>4642</v>
      </c>
      <c r="F86" t="s">
        <v>4643</v>
      </c>
      <c r="G86">
        <v>1.5</v>
      </c>
      <c r="H86" t="s">
        <v>3469</v>
      </c>
      <c r="I86">
        <v>13.15</v>
      </c>
      <c r="J86">
        <v>19.73</v>
      </c>
    </row>
    <row r="87" spans="1:10" x14ac:dyDescent="0.3">
      <c r="A87">
        <v>3319</v>
      </c>
      <c r="B87" t="s">
        <v>568</v>
      </c>
      <c r="C87" s="453">
        <v>45748</v>
      </c>
      <c r="D87" t="s">
        <v>3701</v>
      </c>
      <c r="E87" t="s">
        <v>4642</v>
      </c>
      <c r="F87" t="s">
        <v>4643</v>
      </c>
      <c r="G87">
        <v>6</v>
      </c>
      <c r="H87" t="s">
        <v>3469</v>
      </c>
      <c r="I87">
        <v>13.15</v>
      </c>
      <c r="J87">
        <v>78.900000000000006</v>
      </c>
    </row>
    <row r="88" spans="1:10" x14ac:dyDescent="0.3">
      <c r="A88">
        <v>4049</v>
      </c>
      <c r="B88" t="s">
        <v>568</v>
      </c>
      <c r="C88" s="453">
        <v>45778</v>
      </c>
      <c r="D88" t="s">
        <v>3750</v>
      </c>
      <c r="E88" t="s">
        <v>4642</v>
      </c>
      <c r="F88" t="s">
        <v>4643</v>
      </c>
      <c r="G88">
        <v>3</v>
      </c>
      <c r="H88" t="s">
        <v>3469</v>
      </c>
      <c r="I88">
        <v>13.15</v>
      </c>
      <c r="J88">
        <v>39.450000000000003</v>
      </c>
    </row>
    <row r="89" spans="1:10" x14ac:dyDescent="0.3">
      <c r="A89">
        <v>4640</v>
      </c>
      <c r="B89" t="s">
        <v>568</v>
      </c>
      <c r="C89" s="453">
        <v>45809</v>
      </c>
      <c r="D89" t="s">
        <v>3696</v>
      </c>
      <c r="E89" t="s">
        <v>4642</v>
      </c>
      <c r="F89" t="s">
        <v>4643</v>
      </c>
      <c r="G89">
        <v>8</v>
      </c>
      <c r="H89" t="s">
        <v>3469</v>
      </c>
      <c r="I89">
        <v>13.15</v>
      </c>
      <c r="J89">
        <v>105.2</v>
      </c>
    </row>
    <row r="90" spans="1:10" x14ac:dyDescent="0.3">
      <c r="A90">
        <v>5050</v>
      </c>
      <c r="B90" t="s">
        <v>568</v>
      </c>
      <c r="C90" s="453">
        <v>45839</v>
      </c>
      <c r="D90" t="s">
        <v>3745</v>
      </c>
      <c r="E90" t="s">
        <v>4642</v>
      </c>
      <c r="F90" t="s">
        <v>4643</v>
      </c>
      <c r="G90">
        <v>14</v>
      </c>
      <c r="H90" t="s">
        <v>3469</v>
      </c>
      <c r="I90">
        <v>13.15</v>
      </c>
      <c r="J90">
        <v>184.1</v>
      </c>
    </row>
    <row r="91" spans="1:10" x14ac:dyDescent="0.3">
      <c r="A91">
        <v>5725</v>
      </c>
      <c r="B91" t="s">
        <v>568</v>
      </c>
      <c r="C91" s="453">
        <v>45870</v>
      </c>
      <c r="D91" t="s">
        <v>3742</v>
      </c>
      <c r="E91" t="s">
        <v>4642</v>
      </c>
      <c r="F91" t="s">
        <v>4643</v>
      </c>
      <c r="G91">
        <v>10</v>
      </c>
      <c r="H91" t="s">
        <v>3469</v>
      </c>
      <c r="I91">
        <v>13.15</v>
      </c>
      <c r="J91">
        <v>131.5</v>
      </c>
    </row>
    <row r="92" spans="1:10" x14ac:dyDescent="0.3">
      <c r="A92">
        <v>6448</v>
      </c>
      <c r="B92" t="s">
        <v>568</v>
      </c>
      <c r="C92" s="453">
        <v>45901</v>
      </c>
      <c r="D92" t="s">
        <v>3739</v>
      </c>
      <c r="E92" t="s">
        <v>4642</v>
      </c>
      <c r="F92" t="s">
        <v>4643</v>
      </c>
      <c r="G92">
        <v>6</v>
      </c>
      <c r="H92" t="s">
        <v>3469</v>
      </c>
      <c r="I92">
        <v>13.15</v>
      </c>
      <c r="J92">
        <v>78.900000000000006</v>
      </c>
    </row>
    <row r="93" spans="1:10" x14ac:dyDescent="0.3">
      <c r="A93">
        <v>6971</v>
      </c>
      <c r="B93" t="s">
        <v>568</v>
      </c>
      <c r="C93" s="453">
        <v>45931</v>
      </c>
      <c r="D93" t="s">
        <v>3736</v>
      </c>
      <c r="E93" t="s">
        <v>4642</v>
      </c>
      <c r="F93" t="s">
        <v>4643</v>
      </c>
      <c r="G93">
        <v>6</v>
      </c>
      <c r="H93" t="s">
        <v>3469</v>
      </c>
      <c r="I93">
        <v>13.15</v>
      </c>
      <c r="J93">
        <v>78.900000000000006</v>
      </c>
    </row>
    <row r="94" spans="1:10" x14ac:dyDescent="0.3">
      <c r="A94">
        <v>7458</v>
      </c>
      <c r="B94" t="s">
        <v>568</v>
      </c>
      <c r="C94" s="453">
        <v>45962</v>
      </c>
      <c r="D94" t="s">
        <v>3733</v>
      </c>
      <c r="E94" t="s">
        <v>4642</v>
      </c>
      <c r="F94" t="s">
        <v>4643</v>
      </c>
      <c r="G94">
        <v>4</v>
      </c>
      <c r="H94" t="s">
        <v>3469</v>
      </c>
      <c r="I94">
        <v>13.15</v>
      </c>
      <c r="J94">
        <v>52.6</v>
      </c>
    </row>
    <row r="95" spans="1:10" x14ac:dyDescent="0.3">
      <c r="A95">
        <v>7705</v>
      </c>
      <c r="B95" t="s">
        <v>568</v>
      </c>
      <c r="C95" s="453">
        <v>45992</v>
      </c>
      <c r="D95" t="s">
        <v>3393</v>
      </c>
      <c r="E95" t="s">
        <v>4642</v>
      </c>
      <c r="F95" t="s">
        <v>4643</v>
      </c>
      <c r="G95">
        <v>7.5</v>
      </c>
      <c r="H95" t="s">
        <v>3469</v>
      </c>
      <c r="I95">
        <v>13.15</v>
      </c>
      <c r="J95">
        <v>98.63</v>
      </c>
    </row>
    <row r="96" spans="1:10" x14ac:dyDescent="0.3">
      <c r="A96">
        <v>8113</v>
      </c>
      <c r="B96" t="s">
        <v>568</v>
      </c>
      <c r="C96" s="453">
        <v>46023</v>
      </c>
      <c r="D96" t="s">
        <v>460</v>
      </c>
      <c r="E96" t="s">
        <v>4642</v>
      </c>
      <c r="F96" t="s">
        <v>4643</v>
      </c>
      <c r="G96">
        <v>8</v>
      </c>
      <c r="H96" t="s">
        <v>3469</v>
      </c>
      <c r="I96">
        <v>13.15</v>
      </c>
      <c r="J96">
        <v>105.2</v>
      </c>
    </row>
    <row r="97" spans="1:10" x14ac:dyDescent="0.3">
      <c r="A97">
        <v>8607</v>
      </c>
      <c r="B97" t="s">
        <v>568</v>
      </c>
      <c r="C97" s="453">
        <v>46054</v>
      </c>
      <c r="D97" t="s">
        <v>461</v>
      </c>
      <c r="E97" t="s">
        <v>4642</v>
      </c>
      <c r="F97" t="s">
        <v>4643</v>
      </c>
      <c r="G97">
        <v>4.5</v>
      </c>
      <c r="H97" t="s">
        <v>3469</v>
      </c>
      <c r="I97">
        <v>13.15</v>
      </c>
      <c r="J97">
        <v>59.18</v>
      </c>
    </row>
    <row r="98" spans="1:10" x14ac:dyDescent="0.3">
      <c r="A98">
        <v>8964</v>
      </c>
      <c r="B98" t="s">
        <v>568</v>
      </c>
      <c r="C98" s="453">
        <v>46082</v>
      </c>
      <c r="D98" t="s">
        <v>462</v>
      </c>
      <c r="E98" t="s">
        <v>4642</v>
      </c>
      <c r="F98" t="s">
        <v>4643</v>
      </c>
      <c r="G98">
        <v>6</v>
      </c>
      <c r="H98" t="s">
        <v>3469</v>
      </c>
      <c r="I98">
        <v>13.15</v>
      </c>
      <c r="J98">
        <v>78.900000000000006</v>
      </c>
    </row>
    <row r="99" spans="1:10" x14ac:dyDescent="0.3">
      <c r="A99">
        <v>9906</v>
      </c>
      <c r="B99" t="s">
        <v>568</v>
      </c>
      <c r="C99" s="453">
        <v>46113</v>
      </c>
      <c r="D99" t="s">
        <v>463</v>
      </c>
      <c r="E99" t="s">
        <v>4642</v>
      </c>
      <c r="F99" t="s">
        <v>4643</v>
      </c>
      <c r="G99">
        <v>6.5</v>
      </c>
      <c r="H99" t="s">
        <v>3469</v>
      </c>
      <c r="I99">
        <v>13.15</v>
      </c>
      <c r="J99">
        <v>85.48</v>
      </c>
    </row>
    <row r="100" spans="1:10" x14ac:dyDescent="0.3">
      <c r="A100">
        <v>10047</v>
      </c>
      <c r="B100" t="s">
        <v>568</v>
      </c>
      <c r="C100" s="453">
        <v>46143</v>
      </c>
      <c r="D100" t="s">
        <v>464</v>
      </c>
      <c r="E100" t="s">
        <v>4642</v>
      </c>
      <c r="F100" t="s">
        <v>4643</v>
      </c>
      <c r="G100">
        <v>8</v>
      </c>
      <c r="H100" t="s">
        <v>3469</v>
      </c>
      <c r="I100">
        <v>13.15</v>
      </c>
      <c r="J100">
        <v>105.2</v>
      </c>
    </row>
    <row r="101" spans="1:10" x14ac:dyDescent="0.3">
      <c r="A101">
        <v>10788</v>
      </c>
      <c r="B101" t="s">
        <v>568</v>
      </c>
      <c r="C101" s="453">
        <v>46174</v>
      </c>
      <c r="D101" t="s">
        <v>465</v>
      </c>
      <c r="E101" t="s">
        <v>4642</v>
      </c>
      <c r="F101" t="s">
        <v>4643</v>
      </c>
      <c r="G101">
        <v>6</v>
      </c>
      <c r="H101" t="s">
        <v>3469</v>
      </c>
      <c r="I101">
        <v>13.15</v>
      </c>
      <c r="J101">
        <v>78.900000000000006</v>
      </c>
    </row>
    <row r="102" spans="1:10" x14ac:dyDescent="0.3">
      <c r="A102">
        <v>1845</v>
      </c>
      <c r="B102" t="s">
        <v>568</v>
      </c>
      <c r="C102" s="453">
        <v>45688</v>
      </c>
      <c r="D102" t="s">
        <v>3762</v>
      </c>
      <c r="E102" t="s">
        <v>4644</v>
      </c>
      <c r="F102" t="s">
        <v>4643</v>
      </c>
      <c r="G102">
        <v>4</v>
      </c>
      <c r="H102" t="s">
        <v>3469</v>
      </c>
      <c r="I102">
        <v>9.34</v>
      </c>
      <c r="J102">
        <v>37.36</v>
      </c>
    </row>
    <row r="103" spans="1:10" x14ac:dyDescent="0.3">
      <c r="A103">
        <v>2576</v>
      </c>
      <c r="B103" t="s">
        <v>568</v>
      </c>
      <c r="C103" s="453">
        <v>45717</v>
      </c>
      <c r="D103" t="s">
        <v>3755</v>
      </c>
      <c r="E103" t="s">
        <v>4644</v>
      </c>
      <c r="F103" t="s">
        <v>4643</v>
      </c>
      <c r="G103">
        <v>4.5</v>
      </c>
      <c r="H103" t="s">
        <v>3469</v>
      </c>
      <c r="I103">
        <v>9.34</v>
      </c>
      <c r="J103">
        <v>42.03</v>
      </c>
    </row>
    <row r="104" spans="1:10" x14ac:dyDescent="0.3">
      <c r="A104">
        <v>4047</v>
      </c>
      <c r="B104" t="s">
        <v>568</v>
      </c>
      <c r="C104" s="453">
        <v>45778</v>
      </c>
      <c r="D104" t="s">
        <v>3750</v>
      </c>
      <c r="E104" t="s">
        <v>4644</v>
      </c>
      <c r="F104" t="s">
        <v>4643</v>
      </c>
      <c r="G104">
        <v>11</v>
      </c>
      <c r="H104" t="s">
        <v>3469</v>
      </c>
      <c r="I104">
        <v>9.34</v>
      </c>
      <c r="J104">
        <v>102.74</v>
      </c>
    </row>
    <row r="105" spans="1:10" x14ac:dyDescent="0.3">
      <c r="A105">
        <v>4638</v>
      </c>
      <c r="B105" t="s">
        <v>568</v>
      </c>
      <c r="C105" s="453">
        <v>45809</v>
      </c>
      <c r="D105" t="s">
        <v>3696</v>
      </c>
      <c r="E105" t="s">
        <v>4644</v>
      </c>
      <c r="F105" t="s">
        <v>4643</v>
      </c>
      <c r="G105">
        <v>12</v>
      </c>
      <c r="H105" t="s">
        <v>3469</v>
      </c>
      <c r="I105">
        <v>9.34</v>
      </c>
      <c r="J105">
        <v>112.08</v>
      </c>
    </row>
    <row r="106" spans="1:10" x14ac:dyDescent="0.3">
      <c r="A106">
        <v>5048</v>
      </c>
      <c r="B106" t="s">
        <v>568</v>
      </c>
      <c r="C106" s="453">
        <v>45839</v>
      </c>
      <c r="D106" t="s">
        <v>3745</v>
      </c>
      <c r="E106" t="s">
        <v>4644</v>
      </c>
      <c r="F106" t="s">
        <v>4643</v>
      </c>
      <c r="G106">
        <v>3</v>
      </c>
      <c r="H106" t="s">
        <v>3469</v>
      </c>
      <c r="I106">
        <v>9.34</v>
      </c>
      <c r="J106">
        <v>28.02</v>
      </c>
    </row>
    <row r="107" spans="1:10" x14ac:dyDescent="0.3">
      <c r="A107">
        <v>5723</v>
      </c>
      <c r="B107" t="s">
        <v>568</v>
      </c>
      <c r="C107" s="453">
        <v>45870</v>
      </c>
      <c r="D107" t="s">
        <v>3742</v>
      </c>
      <c r="E107" t="s">
        <v>4644</v>
      </c>
      <c r="F107" t="s">
        <v>4643</v>
      </c>
      <c r="G107">
        <v>12</v>
      </c>
      <c r="H107" t="s">
        <v>3469</v>
      </c>
      <c r="I107">
        <v>9.34</v>
      </c>
      <c r="J107">
        <v>112.08</v>
      </c>
    </row>
    <row r="108" spans="1:10" x14ac:dyDescent="0.3">
      <c r="A108">
        <v>6446</v>
      </c>
      <c r="B108" t="s">
        <v>568</v>
      </c>
      <c r="C108" s="453">
        <v>45901</v>
      </c>
      <c r="D108" t="s">
        <v>3739</v>
      </c>
      <c r="E108" t="s">
        <v>4644</v>
      </c>
      <c r="F108" t="s">
        <v>4643</v>
      </c>
      <c r="G108">
        <v>3</v>
      </c>
      <c r="H108" t="s">
        <v>3469</v>
      </c>
      <c r="I108">
        <v>9.34</v>
      </c>
      <c r="J108">
        <v>28.02</v>
      </c>
    </row>
    <row r="109" spans="1:10" x14ac:dyDescent="0.3">
      <c r="A109">
        <v>6964</v>
      </c>
      <c r="B109" t="s">
        <v>568</v>
      </c>
      <c r="C109" s="453">
        <v>45931</v>
      </c>
      <c r="D109" t="s">
        <v>3736</v>
      </c>
      <c r="E109" t="s">
        <v>4644</v>
      </c>
      <c r="F109" t="s">
        <v>4643</v>
      </c>
      <c r="G109">
        <v>2.2000000000000002</v>
      </c>
      <c r="H109" t="s">
        <v>3469</v>
      </c>
      <c r="I109">
        <v>9.34</v>
      </c>
      <c r="J109">
        <v>20.55</v>
      </c>
    </row>
    <row r="110" spans="1:10" x14ac:dyDescent="0.3">
      <c r="A110">
        <v>7451</v>
      </c>
      <c r="B110" t="s">
        <v>568</v>
      </c>
      <c r="C110" s="453">
        <v>45962</v>
      </c>
      <c r="D110" t="s">
        <v>3733</v>
      </c>
      <c r="E110" t="s">
        <v>4644</v>
      </c>
      <c r="F110" t="s">
        <v>4643</v>
      </c>
      <c r="G110">
        <v>6</v>
      </c>
      <c r="H110" t="s">
        <v>3469</v>
      </c>
      <c r="I110">
        <v>9.34</v>
      </c>
      <c r="J110">
        <v>56.04</v>
      </c>
    </row>
    <row r="111" spans="1:10" x14ac:dyDescent="0.3">
      <c r="A111">
        <v>7699</v>
      </c>
      <c r="B111" t="s">
        <v>568</v>
      </c>
      <c r="C111" s="453">
        <v>45992</v>
      </c>
      <c r="D111" t="s">
        <v>3393</v>
      </c>
      <c r="E111" t="s">
        <v>4644</v>
      </c>
      <c r="F111" t="s">
        <v>4643</v>
      </c>
      <c r="G111">
        <v>2.5</v>
      </c>
      <c r="H111" t="s">
        <v>3469</v>
      </c>
      <c r="I111">
        <v>9.34</v>
      </c>
      <c r="J111">
        <v>23.35</v>
      </c>
    </row>
    <row r="112" spans="1:10" x14ac:dyDescent="0.3">
      <c r="A112">
        <v>8104</v>
      </c>
      <c r="B112" t="s">
        <v>568</v>
      </c>
      <c r="C112" s="453">
        <v>46023</v>
      </c>
      <c r="D112" t="s">
        <v>460</v>
      </c>
      <c r="E112" t="s">
        <v>4644</v>
      </c>
      <c r="F112" t="s">
        <v>4643</v>
      </c>
      <c r="G112">
        <v>3</v>
      </c>
      <c r="H112" t="s">
        <v>3469</v>
      </c>
      <c r="I112">
        <v>9.34</v>
      </c>
      <c r="J112">
        <v>28.02</v>
      </c>
    </row>
    <row r="113" spans="1:10" x14ac:dyDescent="0.3">
      <c r="A113">
        <v>8596</v>
      </c>
      <c r="B113" t="s">
        <v>568</v>
      </c>
      <c r="C113" s="453">
        <v>46054</v>
      </c>
      <c r="D113" t="s">
        <v>461</v>
      </c>
      <c r="E113" t="s">
        <v>4644</v>
      </c>
      <c r="F113" t="s">
        <v>4643</v>
      </c>
      <c r="G113">
        <v>2</v>
      </c>
      <c r="H113" t="s">
        <v>3469</v>
      </c>
      <c r="I113">
        <v>9.34</v>
      </c>
      <c r="J113">
        <v>18.68</v>
      </c>
    </row>
    <row r="114" spans="1:10" x14ac:dyDescent="0.3">
      <c r="A114">
        <v>8955</v>
      </c>
      <c r="B114" t="s">
        <v>568</v>
      </c>
      <c r="C114" s="453">
        <v>46082</v>
      </c>
      <c r="D114" t="s">
        <v>462</v>
      </c>
      <c r="E114" t="s">
        <v>4644</v>
      </c>
      <c r="F114" t="s">
        <v>4643</v>
      </c>
      <c r="G114">
        <v>3</v>
      </c>
      <c r="H114" t="s">
        <v>3469</v>
      </c>
      <c r="I114">
        <v>9.34</v>
      </c>
      <c r="J114">
        <v>28.02</v>
      </c>
    </row>
    <row r="115" spans="1:10" x14ac:dyDescent="0.3">
      <c r="A115">
        <v>10037</v>
      </c>
      <c r="B115" t="s">
        <v>568</v>
      </c>
      <c r="C115" s="453">
        <v>46143</v>
      </c>
      <c r="D115" t="s">
        <v>464</v>
      </c>
      <c r="E115" t="s">
        <v>4644</v>
      </c>
      <c r="F115" t="s">
        <v>4643</v>
      </c>
      <c r="G115">
        <v>6</v>
      </c>
      <c r="H115" t="s">
        <v>3469</v>
      </c>
      <c r="I115">
        <v>9.34</v>
      </c>
      <c r="J115">
        <v>56.04</v>
      </c>
    </row>
    <row r="116" spans="1:10" x14ac:dyDescent="0.3">
      <c r="A116">
        <v>10779</v>
      </c>
      <c r="B116" t="s">
        <v>568</v>
      </c>
      <c r="C116" s="453">
        <v>46174</v>
      </c>
      <c r="D116" t="s">
        <v>465</v>
      </c>
      <c r="E116" t="s">
        <v>4644</v>
      </c>
      <c r="F116" t="s">
        <v>4643</v>
      </c>
      <c r="G116">
        <v>2.5</v>
      </c>
      <c r="H116" t="s">
        <v>3469</v>
      </c>
      <c r="I116">
        <v>9.34</v>
      </c>
      <c r="J116">
        <v>23.35</v>
      </c>
    </row>
    <row r="117" spans="1:10" x14ac:dyDescent="0.3">
      <c r="A117">
        <v>1846</v>
      </c>
      <c r="B117" t="s">
        <v>568</v>
      </c>
      <c r="C117" s="453">
        <v>45688</v>
      </c>
      <c r="D117" t="s">
        <v>3762</v>
      </c>
      <c r="E117" t="s">
        <v>4645</v>
      </c>
      <c r="F117" t="s">
        <v>4643</v>
      </c>
      <c r="G117">
        <v>3.9</v>
      </c>
      <c r="H117" t="s">
        <v>3469</v>
      </c>
      <c r="I117">
        <v>35.31</v>
      </c>
      <c r="J117">
        <v>137.71</v>
      </c>
    </row>
    <row r="118" spans="1:10" x14ac:dyDescent="0.3">
      <c r="A118">
        <v>2579</v>
      </c>
      <c r="B118" t="s">
        <v>568</v>
      </c>
      <c r="C118" s="453">
        <v>45717</v>
      </c>
      <c r="D118" t="s">
        <v>3755</v>
      </c>
      <c r="E118" t="s">
        <v>4645</v>
      </c>
      <c r="F118" t="s">
        <v>4643</v>
      </c>
      <c r="G118">
        <v>4.3</v>
      </c>
      <c r="H118" t="s">
        <v>3469</v>
      </c>
      <c r="I118">
        <v>35.31</v>
      </c>
      <c r="J118">
        <v>151.83000000000001</v>
      </c>
    </row>
    <row r="119" spans="1:10" x14ac:dyDescent="0.3">
      <c r="A119">
        <v>3320</v>
      </c>
      <c r="B119" t="s">
        <v>568</v>
      </c>
      <c r="C119" s="453">
        <v>45748</v>
      </c>
      <c r="D119" t="s">
        <v>3701</v>
      </c>
      <c r="E119" t="s">
        <v>4645</v>
      </c>
      <c r="F119" t="s">
        <v>4643</v>
      </c>
      <c r="G119">
        <v>4.3</v>
      </c>
      <c r="H119" t="s">
        <v>3469</v>
      </c>
      <c r="I119">
        <v>35.31</v>
      </c>
      <c r="J119">
        <v>151.83000000000001</v>
      </c>
    </row>
    <row r="120" spans="1:10" x14ac:dyDescent="0.3">
      <c r="A120">
        <v>4050</v>
      </c>
      <c r="B120" t="s">
        <v>568</v>
      </c>
      <c r="C120" s="453">
        <v>45778</v>
      </c>
      <c r="D120" t="s">
        <v>3750</v>
      </c>
      <c r="E120" t="s">
        <v>4645</v>
      </c>
      <c r="F120" t="s">
        <v>4643</v>
      </c>
      <c r="G120">
        <v>4.3</v>
      </c>
      <c r="H120" t="s">
        <v>3469</v>
      </c>
      <c r="I120">
        <v>35.31</v>
      </c>
      <c r="J120">
        <v>151.83000000000001</v>
      </c>
    </row>
    <row r="121" spans="1:10" x14ac:dyDescent="0.3">
      <c r="A121">
        <v>4641</v>
      </c>
      <c r="B121" t="s">
        <v>568</v>
      </c>
      <c r="C121" s="453">
        <v>45809</v>
      </c>
      <c r="D121" t="s">
        <v>3696</v>
      </c>
      <c r="E121" t="s">
        <v>4645</v>
      </c>
      <c r="F121" t="s">
        <v>4643</v>
      </c>
      <c r="G121">
        <v>3</v>
      </c>
      <c r="H121" t="s">
        <v>3469</v>
      </c>
      <c r="I121">
        <v>35.31</v>
      </c>
      <c r="J121">
        <v>105.93</v>
      </c>
    </row>
    <row r="122" spans="1:10" x14ac:dyDescent="0.3">
      <c r="A122">
        <v>5051</v>
      </c>
      <c r="B122" t="s">
        <v>568</v>
      </c>
      <c r="C122" s="453">
        <v>45839</v>
      </c>
      <c r="D122" t="s">
        <v>3745</v>
      </c>
      <c r="E122" t="s">
        <v>4645</v>
      </c>
      <c r="F122" t="s">
        <v>4643</v>
      </c>
      <c r="G122">
        <v>6</v>
      </c>
      <c r="H122" t="s">
        <v>3469</v>
      </c>
      <c r="I122">
        <v>35.31</v>
      </c>
      <c r="J122">
        <v>211.86</v>
      </c>
    </row>
    <row r="123" spans="1:10" x14ac:dyDescent="0.3">
      <c r="A123">
        <v>5726</v>
      </c>
      <c r="B123" t="s">
        <v>568</v>
      </c>
      <c r="C123" s="453">
        <v>45870</v>
      </c>
      <c r="D123" t="s">
        <v>3742</v>
      </c>
      <c r="E123" t="s">
        <v>4645</v>
      </c>
      <c r="F123" t="s">
        <v>4643</v>
      </c>
      <c r="G123">
        <v>5</v>
      </c>
      <c r="H123" t="s">
        <v>3469</v>
      </c>
      <c r="I123">
        <v>35.31</v>
      </c>
      <c r="J123">
        <v>176.55</v>
      </c>
    </row>
    <row r="124" spans="1:10" x14ac:dyDescent="0.3">
      <c r="A124">
        <v>6449</v>
      </c>
      <c r="B124" t="s">
        <v>568</v>
      </c>
      <c r="C124" s="453">
        <v>45901</v>
      </c>
      <c r="D124" t="s">
        <v>3739</v>
      </c>
      <c r="E124" t="s">
        <v>4645</v>
      </c>
      <c r="F124" t="s">
        <v>4643</v>
      </c>
      <c r="G124">
        <v>3.5</v>
      </c>
      <c r="H124" t="s">
        <v>3469</v>
      </c>
      <c r="I124">
        <v>35.31</v>
      </c>
      <c r="J124">
        <v>123.59</v>
      </c>
    </row>
    <row r="125" spans="1:10" x14ac:dyDescent="0.3">
      <c r="A125">
        <v>6973</v>
      </c>
      <c r="B125" t="s">
        <v>568</v>
      </c>
      <c r="C125" s="453">
        <v>45931</v>
      </c>
      <c r="D125" t="s">
        <v>3736</v>
      </c>
      <c r="E125" t="s">
        <v>4645</v>
      </c>
      <c r="F125" t="s">
        <v>4643</v>
      </c>
      <c r="G125">
        <v>4.5</v>
      </c>
      <c r="H125" t="s">
        <v>3469</v>
      </c>
      <c r="I125">
        <v>35.31</v>
      </c>
      <c r="J125">
        <v>158.9</v>
      </c>
    </row>
    <row r="126" spans="1:10" x14ac:dyDescent="0.3">
      <c r="A126">
        <v>7460</v>
      </c>
      <c r="B126" t="s">
        <v>568</v>
      </c>
      <c r="C126" s="453">
        <v>45962</v>
      </c>
      <c r="D126" t="s">
        <v>3733</v>
      </c>
      <c r="E126" t="s">
        <v>4645</v>
      </c>
      <c r="F126" t="s">
        <v>4643</v>
      </c>
      <c r="G126">
        <v>4</v>
      </c>
      <c r="H126" t="s">
        <v>3469</v>
      </c>
      <c r="I126">
        <v>35.31</v>
      </c>
      <c r="J126">
        <v>141.24</v>
      </c>
    </row>
    <row r="127" spans="1:10" x14ac:dyDescent="0.3">
      <c r="A127">
        <v>7707</v>
      </c>
      <c r="B127" t="s">
        <v>568</v>
      </c>
      <c r="C127" s="453">
        <v>45992</v>
      </c>
      <c r="D127" t="s">
        <v>3393</v>
      </c>
      <c r="E127" t="s">
        <v>4645</v>
      </c>
      <c r="F127" t="s">
        <v>4643</v>
      </c>
      <c r="G127">
        <v>3.9</v>
      </c>
      <c r="H127" t="s">
        <v>3469</v>
      </c>
      <c r="I127">
        <v>35.31</v>
      </c>
      <c r="J127">
        <v>137.71</v>
      </c>
    </row>
    <row r="128" spans="1:10" x14ac:dyDescent="0.3">
      <c r="A128">
        <v>8115</v>
      </c>
      <c r="B128" t="s">
        <v>568</v>
      </c>
      <c r="C128" s="453">
        <v>46023</v>
      </c>
      <c r="D128" t="s">
        <v>460</v>
      </c>
      <c r="E128" t="s">
        <v>4645</v>
      </c>
      <c r="F128" t="s">
        <v>4643</v>
      </c>
      <c r="G128">
        <v>3.5</v>
      </c>
      <c r="H128" t="s">
        <v>3469</v>
      </c>
      <c r="I128">
        <v>35.31</v>
      </c>
      <c r="J128">
        <v>123.59</v>
      </c>
    </row>
    <row r="129" spans="1:10" x14ac:dyDescent="0.3">
      <c r="A129">
        <v>8609</v>
      </c>
      <c r="B129" t="s">
        <v>568</v>
      </c>
      <c r="C129" s="453">
        <v>46054</v>
      </c>
      <c r="D129" t="s">
        <v>461</v>
      </c>
      <c r="E129" t="s">
        <v>4645</v>
      </c>
      <c r="F129" t="s">
        <v>4643</v>
      </c>
      <c r="G129">
        <v>3.2</v>
      </c>
      <c r="H129" t="s">
        <v>3469</v>
      </c>
      <c r="I129">
        <v>35.31</v>
      </c>
      <c r="J129">
        <v>112.99</v>
      </c>
    </row>
    <row r="130" spans="1:10" x14ac:dyDescent="0.3">
      <c r="A130">
        <v>8966</v>
      </c>
      <c r="B130" t="s">
        <v>568</v>
      </c>
      <c r="C130" s="453">
        <v>46082</v>
      </c>
      <c r="D130" t="s">
        <v>462</v>
      </c>
      <c r="E130" t="s">
        <v>4645</v>
      </c>
      <c r="F130" t="s">
        <v>4643</v>
      </c>
      <c r="G130">
        <v>3.4</v>
      </c>
      <c r="H130" t="s">
        <v>3469</v>
      </c>
      <c r="I130">
        <v>35.31</v>
      </c>
      <c r="J130">
        <v>120.05</v>
      </c>
    </row>
    <row r="131" spans="1:10" x14ac:dyDescent="0.3">
      <c r="A131">
        <v>9908</v>
      </c>
      <c r="B131" t="s">
        <v>568</v>
      </c>
      <c r="C131" s="453">
        <v>46113</v>
      </c>
      <c r="D131" t="s">
        <v>463</v>
      </c>
      <c r="E131" t="s">
        <v>4645</v>
      </c>
      <c r="F131" t="s">
        <v>4643</v>
      </c>
      <c r="G131">
        <v>4.7</v>
      </c>
      <c r="H131" t="s">
        <v>3469</v>
      </c>
      <c r="I131">
        <v>35.31</v>
      </c>
      <c r="J131">
        <v>165.96</v>
      </c>
    </row>
    <row r="132" spans="1:10" x14ac:dyDescent="0.3">
      <c r="A132">
        <v>10049</v>
      </c>
      <c r="B132" t="s">
        <v>568</v>
      </c>
      <c r="C132" s="453">
        <v>46143</v>
      </c>
      <c r="D132" t="s">
        <v>464</v>
      </c>
      <c r="E132" t="s">
        <v>4645</v>
      </c>
      <c r="F132" t="s">
        <v>4643</v>
      </c>
      <c r="G132">
        <v>4.2</v>
      </c>
      <c r="H132" t="s">
        <v>3469</v>
      </c>
      <c r="I132">
        <v>35.31</v>
      </c>
      <c r="J132">
        <v>148.30000000000001</v>
      </c>
    </row>
    <row r="133" spans="1:10" x14ac:dyDescent="0.3">
      <c r="A133">
        <v>10790</v>
      </c>
      <c r="B133" t="s">
        <v>568</v>
      </c>
      <c r="C133" s="453">
        <v>46174</v>
      </c>
      <c r="D133" t="s">
        <v>465</v>
      </c>
      <c r="E133" t="s">
        <v>4645</v>
      </c>
      <c r="F133" t="s">
        <v>4643</v>
      </c>
      <c r="G133">
        <v>3.4</v>
      </c>
      <c r="H133" t="s">
        <v>3469</v>
      </c>
      <c r="I133">
        <v>35.31</v>
      </c>
      <c r="J133">
        <v>120.05</v>
      </c>
    </row>
    <row r="134" spans="1:10" x14ac:dyDescent="0.3">
      <c r="A134">
        <v>1847</v>
      </c>
      <c r="B134" t="s">
        <v>568</v>
      </c>
      <c r="C134" s="453">
        <v>45688</v>
      </c>
      <c r="D134" t="s">
        <v>3762</v>
      </c>
      <c r="E134" t="s">
        <v>4646</v>
      </c>
      <c r="F134" t="s">
        <v>4643</v>
      </c>
      <c r="G134">
        <v>2.2999999999999998</v>
      </c>
      <c r="H134" t="s">
        <v>3469</v>
      </c>
      <c r="I134">
        <v>17.11</v>
      </c>
      <c r="J134">
        <v>39.35</v>
      </c>
    </row>
    <row r="135" spans="1:10" x14ac:dyDescent="0.3">
      <c r="A135">
        <v>2584</v>
      </c>
      <c r="B135" t="s">
        <v>568</v>
      </c>
      <c r="C135" s="453">
        <v>45717</v>
      </c>
      <c r="D135" t="s">
        <v>3755</v>
      </c>
      <c r="E135" t="s">
        <v>4646</v>
      </c>
      <c r="F135" t="s">
        <v>4643</v>
      </c>
      <c r="G135">
        <v>1.5</v>
      </c>
      <c r="H135" t="s">
        <v>3469</v>
      </c>
      <c r="I135">
        <v>17.11</v>
      </c>
      <c r="J135">
        <v>25.67</v>
      </c>
    </row>
    <row r="136" spans="1:10" x14ac:dyDescent="0.3">
      <c r="A136">
        <v>3325</v>
      </c>
      <c r="B136" t="s">
        <v>568</v>
      </c>
      <c r="C136" s="453">
        <v>45748</v>
      </c>
      <c r="D136" t="s">
        <v>3701</v>
      </c>
      <c r="E136" t="s">
        <v>4646</v>
      </c>
      <c r="F136" t="s">
        <v>4643</v>
      </c>
      <c r="G136">
        <v>2</v>
      </c>
      <c r="H136" t="s">
        <v>3469</v>
      </c>
      <c r="I136">
        <v>17.11</v>
      </c>
      <c r="J136">
        <v>34.22</v>
      </c>
    </row>
    <row r="137" spans="1:10" x14ac:dyDescent="0.3">
      <c r="A137">
        <v>4055</v>
      </c>
      <c r="B137" t="s">
        <v>568</v>
      </c>
      <c r="C137" s="453">
        <v>45778</v>
      </c>
      <c r="D137" t="s">
        <v>3750</v>
      </c>
      <c r="E137" t="s">
        <v>4646</v>
      </c>
      <c r="F137" t="s">
        <v>4643</v>
      </c>
      <c r="G137">
        <v>7</v>
      </c>
      <c r="H137" t="s">
        <v>3469</v>
      </c>
      <c r="I137">
        <v>17.11</v>
      </c>
      <c r="J137">
        <v>119.77</v>
      </c>
    </row>
    <row r="138" spans="1:10" x14ac:dyDescent="0.3">
      <c r="A138">
        <v>4646</v>
      </c>
      <c r="B138" t="s">
        <v>568</v>
      </c>
      <c r="C138" s="453">
        <v>45809</v>
      </c>
      <c r="D138" t="s">
        <v>3696</v>
      </c>
      <c r="E138" t="s">
        <v>4646</v>
      </c>
      <c r="F138" t="s">
        <v>4643</v>
      </c>
      <c r="G138">
        <v>3</v>
      </c>
      <c r="H138" t="s">
        <v>3469</v>
      </c>
      <c r="I138">
        <v>17.11</v>
      </c>
      <c r="J138">
        <v>51.33</v>
      </c>
    </row>
    <row r="139" spans="1:10" x14ac:dyDescent="0.3">
      <c r="A139">
        <v>5056</v>
      </c>
      <c r="B139" t="s">
        <v>568</v>
      </c>
      <c r="C139" s="453">
        <v>45839</v>
      </c>
      <c r="D139" t="s">
        <v>3745</v>
      </c>
      <c r="E139" t="s">
        <v>4646</v>
      </c>
      <c r="F139" t="s">
        <v>4643</v>
      </c>
      <c r="G139">
        <v>3</v>
      </c>
      <c r="H139" t="s">
        <v>3469</v>
      </c>
      <c r="I139">
        <v>17.11</v>
      </c>
      <c r="J139">
        <v>51.33</v>
      </c>
    </row>
    <row r="140" spans="1:10" x14ac:dyDescent="0.3">
      <c r="A140">
        <v>5731</v>
      </c>
      <c r="B140" t="s">
        <v>568</v>
      </c>
      <c r="C140" s="453">
        <v>45870</v>
      </c>
      <c r="D140" t="s">
        <v>3742</v>
      </c>
      <c r="E140" t="s">
        <v>4646</v>
      </c>
      <c r="F140" t="s">
        <v>4643</v>
      </c>
      <c r="G140">
        <v>8</v>
      </c>
      <c r="H140" t="s">
        <v>3469</v>
      </c>
      <c r="I140">
        <v>17.11</v>
      </c>
      <c r="J140">
        <v>136.88</v>
      </c>
    </row>
    <row r="141" spans="1:10" x14ac:dyDescent="0.3">
      <c r="A141">
        <v>6454</v>
      </c>
      <c r="B141" t="s">
        <v>568</v>
      </c>
      <c r="C141" s="453">
        <v>45901</v>
      </c>
      <c r="D141" t="s">
        <v>3739</v>
      </c>
      <c r="E141" t="s">
        <v>4646</v>
      </c>
      <c r="F141" t="s">
        <v>4643</v>
      </c>
      <c r="G141">
        <v>2.5</v>
      </c>
      <c r="H141" t="s">
        <v>3469</v>
      </c>
      <c r="I141">
        <v>17.11</v>
      </c>
      <c r="J141">
        <v>42.78</v>
      </c>
    </row>
    <row r="142" spans="1:10" x14ac:dyDescent="0.3">
      <c r="A142">
        <v>8123</v>
      </c>
      <c r="B142" t="s">
        <v>568</v>
      </c>
      <c r="C142" s="453">
        <v>46023</v>
      </c>
      <c r="D142" t="s">
        <v>460</v>
      </c>
      <c r="E142" t="s">
        <v>4646</v>
      </c>
      <c r="F142" t="s">
        <v>4643</v>
      </c>
      <c r="G142">
        <v>1.6</v>
      </c>
      <c r="H142" t="s">
        <v>3469</v>
      </c>
      <c r="I142">
        <v>17.11</v>
      </c>
      <c r="J142">
        <v>27.38</v>
      </c>
    </row>
    <row r="143" spans="1:10" x14ac:dyDescent="0.3">
      <c r="A143">
        <v>8972</v>
      </c>
      <c r="B143" t="s">
        <v>568</v>
      </c>
      <c r="C143" s="453">
        <v>46082</v>
      </c>
      <c r="D143" t="s">
        <v>462</v>
      </c>
      <c r="E143" t="s">
        <v>4646</v>
      </c>
      <c r="F143" t="s">
        <v>4643</v>
      </c>
      <c r="G143">
        <v>1.4</v>
      </c>
      <c r="H143" t="s">
        <v>3469</v>
      </c>
      <c r="I143">
        <v>17.11</v>
      </c>
      <c r="J143">
        <v>23.95</v>
      </c>
    </row>
    <row r="144" spans="1:10" x14ac:dyDescent="0.3">
      <c r="A144">
        <v>9916</v>
      </c>
      <c r="B144" t="s">
        <v>568</v>
      </c>
      <c r="C144" s="453">
        <v>46113</v>
      </c>
      <c r="D144" t="s">
        <v>463</v>
      </c>
      <c r="E144" t="s">
        <v>4646</v>
      </c>
      <c r="F144" t="s">
        <v>4643</v>
      </c>
      <c r="G144">
        <v>2</v>
      </c>
      <c r="H144" t="s">
        <v>3469</v>
      </c>
      <c r="I144">
        <v>17.11</v>
      </c>
      <c r="J144">
        <v>34.22</v>
      </c>
    </row>
    <row r="145" spans="1:10" x14ac:dyDescent="0.3">
      <c r="A145">
        <v>1848</v>
      </c>
      <c r="B145" t="s">
        <v>568</v>
      </c>
      <c r="C145" s="453">
        <v>45688</v>
      </c>
      <c r="D145" t="s">
        <v>3762</v>
      </c>
      <c r="E145" t="s">
        <v>4647</v>
      </c>
      <c r="F145" t="s">
        <v>4643</v>
      </c>
      <c r="G145">
        <v>1.4</v>
      </c>
      <c r="H145" t="s">
        <v>3469</v>
      </c>
      <c r="I145">
        <v>9.5299999999999994</v>
      </c>
      <c r="J145">
        <v>13.34</v>
      </c>
    </row>
    <row r="146" spans="1:10" x14ac:dyDescent="0.3">
      <c r="A146">
        <v>2585</v>
      </c>
      <c r="B146" t="s">
        <v>568</v>
      </c>
      <c r="C146" s="453">
        <v>45717</v>
      </c>
      <c r="D146" t="s">
        <v>3755</v>
      </c>
      <c r="E146" t="s">
        <v>4647</v>
      </c>
      <c r="F146" t="s">
        <v>4643</v>
      </c>
      <c r="G146">
        <v>2.7</v>
      </c>
      <c r="H146" t="s">
        <v>3469</v>
      </c>
      <c r="I146">
        <v>9.5299999999999994</v>
      </c>
      <c r="J146">
        <v>25.73</v>
      </c>
    </row>
    <row r="147" spans="1:10" x14ac:dyDescent="0.3">
      <c r="A147">
        <v>3326</v>
      </c>
      <c r="B147" t="s">
        <v>568</v>
      </c>
      <c r="C147" s="453">
        <v>45748</v>
      </c>
      <c r="D147" t="s">
        <v>3701</v>
      </c>
      <c r="E147" t="s">
        <v>4647</v>
      </c>
      <c r="F147" t="s">
        <v>4643</v>
      </c>
      <c r="G147">
        <v>0.9</v>
      </c>
      <c r="H147" t="s">
        <v>3469</v>
      </c>
      <c r="I147">
        <v>9.5299999999999994</v>
      </c>
      <c r="J147">
        <v>8.58</v>
      </c>
    </row>
    <row r="148" spans="1:10" x14ac:dyDescent="0.3">
      <c r="A148">
        <v>4056</v>
      </c>
      <c r="B148" t="s">
        <v>568</v>
      </c>
      <c r="C148" s="453">
        <v>45778</v>
      </c>
      <c r="D148" t="s">
        <v>3750</v>
      </c>
      <c r="E148" t="s">
        <v>4647</v>
      </c>
      <c r="F148" t="s">
        <v>4643</v>
      </c>
      <c r="G148">
        <v>1.4</v>
      </c>
      <c r="H148" t="s">
        <v>3469</v>
      </c>
      <c r="I148">
        <v>9.5299999999999994</v>
      </c>
      <c r="J148">
        <v>13.34</v>
      </c>
    </row>
    <row r="149" spans="1:10" x14ac:dyDescent="0.3">
      <c r="A149">
        <v>4647</v>
      </c>
      <c r="B149" t="s">
        <v>568</v>
      </c>
      <c r="C149" s="453">
        <v>45809</v>
      </c>
      <c r="D149" t="s">
        <v>3696</v>
      </c>
      <c r="E149" t="s">
        <v>4647</v>
      </c>
      <c r="F149" t="s">
        <v>4643</v>
      </c>
      <c r="G149">
        <v>1</v>
      </c>
      <c r="H149" t="s">
        <v>3469</v>
      </c>
      <c r="I149">
        <v>9.5299999999999994</v>
      </c>
      <c r="J149">
        <v>9.5299999999999994</v>
      </c>
    </row>
    <row r="150" spans="1:10" x14ac:dyDescent="0.3">
      <c r="A150">
        <v>5057</v>
      </c>
      <c r="B150" t="s">
        <v>568</v>
      </c>
      <c r="C150" s="453">
        <v>45839</v>
      </c>
      <c r="D150" t="s">
        <v>3745</v>
      </c>
      <c r="E150" t="s">
        <v>4647</v>
      </c>
      <c r="F150" t="s">
        <v>4643</v>
      </c>
      <c r="G150">
        <v>2.5</v>
      </c>
      <c r="H150" t="s">
        <v>3469</v>
      </c>
      <c r="I150">
        <v>9.5299999999999994</v>
      </c>
      <c r="J150">
        <v>23.83</v>
      </c>
    </row>
    <row r="151" spans="1:10" x14ac:dyDescent="0.3">
      <c r="A151">
        <v>5732</v>
      </c>
      <c r="B151" t="s">
        <v>568</v>
      </c>
      <c r="C151" s="453">
        <v>45870</v>
      </c>
      <c r="D151" t="s">
        <v>3742</v>
      </c>
      <c r="E151" t="s">
        <v>4647</v>
      </c>
      <c r="F151" t="s">
        <v>4643</v>
      </c>
      <c r="G151">
        <v>1.5</v>
      </c>
      <c r="H151" t="s">
        <v>3469</v>
      </c>
      <c r="I151">
        <v>9.5299999999999994</v>
      </c>
      <c r="J151">
        <v>14.3</v>
      </c>
    </row>
    <row r="152" spans="1:10" x14ac:dyDescent="0.3">
      <c r="A152">
        <v>6982</v>
      </c>
      <c r="B152" t="s">
        <v>568</v>
      </c>
      <c r="C152" s="453">
        <v>45931</v>
      </c>
      <c r="D152" t="s">
        <v>3736</v>
      </c>
      <c r="E152" t="s">
        <v>4647</v>
      </c>
      <c r="F152" t="s">
        <v>4643</v>
      </c>
      <c r="G152">
        <v>1.6</v>
      </c>
      <c r="H152" t="s">
        <v>3469</v>
      </c>
      <c r="I152">
        <v>0.95</v>
      </c>
      <c r="J152">
        <v>1.52</v>
      </c>
    </row>
    <row r="153" spans="1:10" x14ac:dyDescent="0.3">
      <c r="A153">
        <v>7467</v>
      </c>
      <c r="B153" t="s">
        <v>568</v>
      </c>
      <c r="C153" s="453">
        <v>45962</v>
      </c>
      <c r="D153" t="s">
        <v>3733</v>
      </c>
      <c r="E153" t="s">
        <v>4647</v>
      </c>
      <c r="F153" t="s">
        <v>4643</v>
      </c>
      <c r="G153">
        <v>2.5</v>
      </c>
      <c r="H153" t="s">
        <v>3469</v>
      </c>
      <c r="I153">
        <v>0.95</v>
      </c>
      <c r="J153">
        <v>2.38</v>
      </c>
    </row>
    <row r="154" spans="1:10" x14ac:dyDescent="0.3">
      <c r="A154">
        <v>7714</v>
      </c>
      <c r="B154" t="s">
        <v>568</v>
      </c>
      <c r="C154" s="453">
        <v>45992</v>
      </c>
      <c r="D154" t="s">
        <v>3393</v>
      </c>
      <c r="E154" t="s">
        <v>4647</v>
      </c>
      <c r="F154" t="s">
        <v>4643</v>
      </c>
      <c r="G154">
        <v>1.2</v>
      </c>
      <c r="H154" t="s">
        <v>3469</v>
      </c>
      <c r="I154">
        <v>0.95</v>
      </c>
      <c r="J154">
        <v>1.1399999999999999</v>
      </c>
    </row>
    <row r="155" spans="1:10" x14ac:dyDescent="0.3">
      <c r="A155">
        <v>8124</v>
      </c>
      <c r="B155" t="s">
        <v>568</v>
      </c>
      <c r="C155" s="453">
        <v>46023</v>
      </c>
      <c r="D155" t="s">
        <v>460</v>
      </c>
      <c r="E155" t="s">
        <v>4647</v>
      </c>
      <c r="F155" t="s">
        <v>4643</v>
      </c>
      <c r="G155">
        <v>2</v>
      </c>
      <c r="H155" t="s">
        <v>3469</v>
      </c>
      <c r="I155">
        <v>0.95</v>
      </c>
      <c r="J155">
        <v>1.9</v>
      </c>
    </row>
    <row r="156" spans="1:10" x14ac:dyDescent="0.3">
      <c r="A156">
        <v>8617</v>
      </c>
      <c r="B156" t="s">
        <v>568</v>
      </c>
      <c r="C156" s="453">
        <v>46054</v>
      </c>
      <c r="D156" t="s">
        <v>461</v>
      </c>
      <c r="E156" t="s">
        <v>4647</v>
      </c>
      <c r="F156" t="s">
        <v>4643</v>
      </c>
      <c r="G156">
        <v>1</v>
      </c>
      <c r="H156" t="s">
        <v>3469</v>
      </c>
      <c r="I156">
        <v>0.95</v>
      </c>
      <c r="J156">
        <v>0.95</v>
      </c>
    </row>
    <row r="157" spans="1:10" x14ac:dyDescent="0.3">
      <c r="A157">
        <v>9917</v>
      </c>
      <c r="B157" t="s">
        <v>568</v>
      </c>
      <c r="C157" s="453">
        <v>46113</v>
      </c>
      <c r="D157" t="s">
        <v>463</v>
      </c>
      <c r="E157" t="s">
        <v>4647</v>
      </c>
      <c r="F157" t="s">
        <v>4643</v>
      </c>
      <c r="G157">
        <v>1.5</v>
      </c>
      <c r="H157" t="s">
        <v>3469</v>
      </c>
      <c r="I157">
        <v>8.76</v>
      </c>
      <c r="J157">
        <v>13.14</v>
      </c>
    </row>
    <row r="158" spans="1:10" x14ac:dyDescent="0.3">
      <c r="A158">
        <v>10056</v>
      </c>
      <c r="B158" t="s">
        <v>568</v>
      </c>
      <c r="C158" s="453">
        <v>46143</v>
      </c>
      <c r="D158" t="s">
        <v>464</v>
      </c>
      <c r="E158" t="s">
        <v>4647</v>
      </c>
      <c r="F158" t="s">
        <v>4643</v>
      </c>
      <c r="G158">
        <v>1.5</v>
      </c>
      <c r="H158" t="s">
        <v>3469</v>
      </c>
      <c r="I158">
        <v>8.76</v>
      </c>
      <c r="J158">
        <v>13.14</v>
      </c>
    </row>
    <row r="159" spans="1:10" x14ac:dyDescent="0.3">
      <c r="A159">
        <v>10797</v>
      </c>
      <c r="B159" t="s">
        <v>568</v>
      </c>
      <c r="C159" s="453">
        <v>46174</v>
      </c>
      <c r="D159" t="s">
        <v>465</v>
      </c>
      <c r="E159" t="s">
        <v>4647</v>
      </c>
      <c r="F159" t="s">
        <v>4643</v>
      </c>
      <c r="G159">
        <v>1.1000000000000001</v>
      </c>
      <c r="H159" t="s">
        <v>3469</v>
      </c>
      <c r="I159">
        <v>8.76</v>
      </c>
      <c r="J159">
        <v>9.64</v>
      </c>
    </row>
    <row r="160" spans="1:10" x14ac:dyDescent="0.3">
      <c r="A160">
        <v>1849</v>
      </c>
      <c r="B160" t="s">
        <v>568</v>
      </c>
      <c r="C160" s="453">
        <v>45688</v>
      </c>
      <c r="D160" t="s">
        <v>3762</v>
      </c>
      <c r="E160" t="s">
        <v>4648</v>
      </c>
      <c r="F160" t="s">
        <v>4643</v>
      </c>
      <c r="G160">
        <v>2.6</v>
      </c>
      <c r="H160" t="s">
        <v>3469</v>
      </c>
      <c r="I160">
        <v>2.56</v>
      </c>
      <c r="J160">
        <v>6.66</v>
      </c>
    </row>
    <row r="161" spans="1:10" x14ac:dyDescent="0.3">
      <c r="A161">
        <v>2577</v>
      </c>
      <c r="B161" t="s">
        <v>568</v>
      </c>
      <c r="C161" s="453">
        <v>45717</v>
      </c>
      <c r="D161" t="s">
        <v>3755</v>
      </c>
      <c r="E161" t="s">
        <v>4648</v>
      </c>
      <c r="F161" t="s">
        <v>4643</v>
      </c>
      <c r="G161">
        <v>2.2000000000000002</v>
      </c>
      <c r="H161" t="s">
        <v>3469</v>
      </c>
      <c r="I161">
        <v>2.56</v>
      </c>
      <c r="J161">
        <v>5.63</v>
      </c>
    </row>
    <row r="162" spans="1:10" x14ac:dyDescent="0.3">
      <c r="A162">
        <v>3318</v>
      </c>
      <c r="B162" t="s">
        <v>568</v>
      </c>
      <c r="C162" s="453">
        <v>45748</v>
      </c>
      <c r="D162" t="s">
        <v>3701</v>
      </c>
      <c r="E162" t="s">
        <v>4648</v>
      </c>
      <c r="F162" t="s">
        <v>4643</v>
      </c>
      <c r="G162">
        <v>2.5</v>
      </c>
      <c r="H162" t="s">
        <v>3469</v>
      </c>
      <c r="I162">
        <v>2.56</v>
      </c>
      <c r="J162">
        <v>6.4</v>
      </c>
    </row>
    <row r="163" spans="1:10" x14ac:dyDescent="0.3">
      <c r="A163">
        <v>4048</v>
      </c>
      <c r="B163" t="s">
        <v>568</v>
      </c>
      <c r="C163" s="453">
        <v>45778</v>
      </c>
      <c r="D163" t="s">
        <v>3750</v>
      </c>
      <c r="E163" t="s">
        <v>4648</v>
      </c>
      <c r="F163" t="s">
        <v>4643</v>
      </c>
      <c r="G163">
        <v>3.5</v>
      </c>
      <c r="H163" t="s">
        <v>3469</v>
      </c>
      <c r="I163">
        <v>2.56</v>
      </c>
      <c r="J163">
        <v>8.9600000000000009</v>
      </c>
    </row>
    <row r="164" spans="1:10" x14ac:dyDescent="0.3">
      <c r="A164">
        <v>4639</v>
      </c>
      <c r="B164" t="s">
        <v>568</v>
      </c>
      <c r="C164" s="453">
        <v>45809</v>
      </c>
      <c r="D164" t="s">
        <v>3696</v>
      </c>
      <c r="E164" t="s">
        <v>4648</v>
      </c>
      <c r="F164" t="s">
        <v>4643</v>
      </c>
      <c r="G164">
        <v>13</v>
      </c>
      <c r="H164" t="s">
        <v>3469</v>
      </c>
      <c r="I164">
        <v>2.56</v>
      </c>
      <c r="J164">
        <v>33.28</v>
      </c>
    </row>
    <row r="165" spans="1:10" x14ac:dyDescent="0.3">
      <c r="A165">
        <v>5049</v>
      </c>
      <c r="B165" t="s">
        <v>568</v>
      </c>
      <c r="C165" s="453">
        <v>45839</v>
      </c>
      <c r="D165" t="s">
        <v>3745</v>
      </c>
      <c r="E165" t="s">
        <v>4648</v>
      </c>
      <c r="F165" t="s">
        <v>4643</v>
      </c>
      <c r="G165">
        <v>6</v>
      </c>
      <c r="H165" t="s">
        <v>3469</v>
      </c>
      <c r="I165">
        <v>2.56</v>
      </c>
      <c r="J165">
        <v>15.36</v>
      </c>
    </row>
    <row r="166" spans="1:10" x14ac:dyDescent="0.3">
      <c r="A166">
        <v>5724</v>
      </c>
      <c r="B166" t="s">
        <v>568</v>
      </c>
      <c r="C166" s="453">
        <v>45870</v>
      </c>
      <c r="D166" t="s">
        <v>3742</v>
      </c>
      <c r="E166" t="s">
        <v>4648</v>
      </c>
      <c r="F166" t="s">
        <v>4643</v>
      </c>
      <c r="G166">
        <v>3</v>
      </c>
      <c r="H166" t="s">
        <v>3469</v>
      </c>
      <c r="I166">
        <v>2.56</v>
      </c>
      <c r="J166">
        <v>7.68</v>
      </c>
    </row>
    <row r="167" spans="1:10" x14ac:dyDescent="0.3">
      <c r="A167">
        <v>6447</v>
      </c>
      <c r="B167" t="s">
        <v>568</v>
      </c>
      <c r="C167" s="453">
        <v>45901</v>
      </c>
      <c r="D167" t="s">
        <v>3739</v>
      </c>
      <c r="E167" t="s">
        <v>4648</v>
      </c>
      <c r="F167" t="s">
        <v>4643</v>
      </c>
      <c r="G167">
        <v>3.4</v>
      </c>
      <c r="H167" t="s">
        <v>3469</v>
      </c>
      <c r="I167">
        <v>2.56</v>
      </c>
      <c r="J167">
        <v>8.6999999999999993</v>
      </c>
    </row>
    <row r="168" spans="1:10" x14ac:dyDescent="0.3">
      <c r="A168">
        <v>6966</v>
      </c>
      <c r="B168" t="s">
        <v>568</v>
      </c>
      <c r="C168" s="453">
        <v>45931</v>
      </c>
      <c r="D168" t="s">
        <v>3736</v>
      </c>
      <c r="E168" t="s">
        <v>4648</v>
      </c>
      <c r="F168" t="s">
        <v>4643</v>
      </c>
      <c r="G168">
        <v>3.5</v>
      </c>
      <c r="H168" t="s">
        <v>3469</v>
      </c>
      <c r="I168">
        <v>2.56</v>
      </c>
      <c r="J168">
        <v>8.9600000000000009</v>
      </c>
    </row>
    <row r="169" spans="1:10" x14ac:dyDescent="0.3">
      <c r="A169">
        <v>7453</v>
      </c>
      <c r="B169" t="s">
        <v>568</v>
      </c>
      <c r="C169" s="453">
        <v>45962</v>
      </c>
      <c r="D169" t="s">
        <v>3733</v>
      </c>
      <c r="E169" t="s">
        <v>4648</v>
      </c>
      <c r="F169" t="s">
        <v>4643</v>
      </c>
      <c r="G169">
        <v>6</v>
      </c>
      <c r="H169" t="s">
        <v>3469</v>
      </c>
      <c r="I169">
        <v>2.56</v>
      </c>
      <c r="J169">
        <v>15.36</v>
      </c>
    </row>
    <row r="170" spans="1:10" x14ac:dyDescent="0.3">
      <c r="A170">
        <v>7701</v>
      </c>
      <c r="B170" t="s">
        <v>568</v>
      </c>
      <c r="C170" s="453">
        <v>45992</v>
      </c>
      <c r="D170" t="s">
        <v>3393</v>
      </c>
      <c r="E170" t="s">
        <v>4648</v>
      </c>
      <c r="F170" t="s">
        <v>4643</v>
      </c>
      <c r="G170">
        <v>3.2</v>
      </c>
      <c r="H170" t="s">
        <v>3469</v>
      </c>
      <c r="I170">
        <v>2.56</v>
      </c>
      <c r="J170">
        <v>8.19</v>
      </c>
    </row>
    <row r="171" spans="1:10" x14ac:dyDescent="0.3">
      <c r="A171">
        <v>8106</v>
      </c>
      <c r="B171" t="s">
        <v>568</v>
      </c>
      <c r="C171" s="453">
        <v>46023</v>
      </c>
      <c r="D171" t="s">
        <v>460</v>
      </c>
      <c r="E171" t="s">
        <v>4648</v>
      </c>
      <c r="F171" t="s">
        <v>4643</v>
      </c>
      <c r="G171">
        <v>4</v>
      </c>
      <c r="H171" t="s">
        <v>3469</v>
      </c>
      <c r="I171">
        <v>2.56</v>
      </c>
      <c r="J171">
        <v>10.24</v>
      </c>
    </row>
    <row r="172" spans="1:10" x14ac:dyDescent="0.3">
      <c r="A172">
        <v>8598</v>
      </c>
      <c r="B172" t="s">
        <v>568</v>
      </c>
      <c r="C172" s="453">
        <v>46054</v>
      </c>
      <c r="D172" t="s">
        <v>461</v>
      </c>
      <c r="E172" t="s">
        <v>4648</v>
      </c>
      <c r="F172" t="s">
        <v>4643</v>
      </c>
      <c r="G172">
        <v>3.1</v>
      </c>
      <c r="H172" t="s">
        <v>3469</v>
      </c>
      <c r="I172">
        <v>2.56</v>
      </c>
      <c r="J172">
        <v>7.94</v>
      </c>
    </row>
    <row r="173" spans="1:10" x14ac:dyDescent="0.3">
      <c r="A173">
        <v>8957</v>
      </c>
      <c r="B173" t="s">
        <v>568</v>
      </c>
      <c r="C173" s="453">
        <v>46082</v>
      </c>
      <c r="D173" t="s">
        <v>462</v>
      </c>
      <c r="E173" t="s">
        <v>4648</v>
      </c>
      <c r="F173" t="s">
        <v>4643</v>
      </c>
      <c r="G173">
        <v>3.5</v>
      </c>
      <c r="H173" t="s">
        <v>3469</v>
      </c>
      <c r="I173">
        <v>2.56</v>
      </c>
      <c r="J173">
        <v>8.9600000000000009</v>
      </c>
    </row>
    <row r="174" spans="1:10" x14ac:dyDescent="0.3">
      <c r="A174">
        <v>9899</v>
      </c>
      <c r="B174" t="s">
        <v>568</v>
      </c>
      <c r="C174" s="453">
        <v>46113</v>
      </c>
      <c r="D174" t="s">
        <v>463</v>
      </c>
      <c r="E174" t="s">
        <v>4648</v>
      </c>
      <c r="F174" t="s">
        <v>4643</v>
      </c>
      <c r="G174">
        <v>4</v>
      </c>
      <c r="H174" t="s">
        <v>3469</v>
      </c>
      <c r="I174">
        <v>2.56</v>
      </c>
      <c r="J174">
        <v>10.24</v>
      </c>
    </row>
    <row r="175" spans="1:10" x14ac:dyDescent="0.3">
      <c r="A175">
        <v>10039</v>
      </c>
      <c r="B175" t="s">
        <v>568</v>
      </c>
      <c r="C175" s="453">
        <v>46143</v>
      </c>
      <c r="D175" t="s">
        <v>464</v>
      </c>
      <c r="E175" t="s">
        <v>4648</v>
      </c>
      <c r="F175" t="s">
        <v>4643</v>
      </c>
      <c r="G175">
        <v>3.6</v>
      </c>
      <c r="H175" t="s">
        <v>3469</v>
      </c>
      <c r="I175">
        <v>2.56</v>
      </c>
      <c r="J175">
        <v>9.2200000000000006</v>
      </c>
    </row>
    <row r="176" spans="1:10" x14ac:dyDescent="0.3">
      <c r="A176">
        <v>10781</v>
      </c>
      <c r="B176" t="s">
        <v>568</v>
      </c>
      <c r="C176" s="453">
        <v>46174</v>
      </c>
      <c r="D176" t="s">
        <v>465</v>
      </c>
      <c r="E176" t="s">
        <v>4648</v>
      </c>
      <c r="F176" t="s">
        <v>4643</v>
      </c>
      <c r="G176">
        <v>3</v>
      </c>
      <c r="H176" t="s">
        <v>3469</v>
      </c>
      <c r="I176">
        <v>2.56</v>
      </c>
      <c r="J176">
        <v>7.68</v>
      </c>
    </row>
    <row r="177" spans="1:10" x14ac:dyDescent="0.3">
      <c r="A177">
        <v>6963</v>
      </c>
      <c r="B177" t="s">
        <v>568</v>
      </c>
      <c r="C177" s="453">
        <v>45931</v>
      </c>
      <c r="D177" t="s">
        <v>3736</v>
      </c>
      <c r="E177" t="s">
        <v>4649</v>
      </c>
      <c r="F177" t="s">
        <v>4643</v>
      </c>
      <c r="G177">
        <v>0.4</v>
      </c>
      <c r="H177" t="s">
        <v>3469</v>
      </c>
      <c r="I177">
        <v>5.03</v>
      </c>
      <c r="J177">
        <v>2.0099999999999998</v>
      </c>
    </row>
    <row r="178" spans="1:10" x14ac:dyDescent="0.3">
      <c r="A178">
        <v>7450</v>
      </c>
      <c r="B178" t="s">
        <v>568</v>
      </c>
      <c r="C178" s="453">
        <v>45962</v>
      </c>
      <c r="D178" t="s">
        <v>3733</v>
      </c>
      <c r="E178" t="s">
        <v>4649</v>
      </c>
      <c r="F178" t="s">
        <v>4643</v>
      </c>
      <c r="G178">
        <v>0.3</v>
      </c>
      <c r="H178" t="s">
        <v>3469</v>
      </c>
      <c r="I178">
        <v>5.03</v>
      </c>
      <c r="J178">
        <v>1.51</v>
      </c>
    </row>
    <row r="179" spans="1:10" x14ac:dyDescent="0.3">
      <c r="A179">
        <v>7698</v>
      </c>
      <c r="B179" t="s">
        <v>568</v>
      </c>
      <c r="C179" s="453">
        <v>45992</v>
      </c>
      <c r="D179" t="s">
        <v>3393</v>
      </c>
      <c r="E179" t="s">
        <v>4649</v>
      </c>
      <c r="F179" t="s">
        <v>4643</v>
      </c>
      <c r="G179">
        <v>0.2</v>
      </c>
      <c r="H179" t="s">
        <v>3469</v>
      </c>
      <c r="I179">
        <v>5.03</v>
      </c>
      <c r="J179">
        <v>1.01</v>
      </c>
    </row>
    <row r="180" spans="1:10" x14ac:dyDescent="0.3">
      <c r="A180">
        <v>8595</v>
      </c>
      <c r="B180" t="s">
        <v>568</v>
      </c>
      <c r="C180" s="453">
        <v>46054</v>
      </c>
      <c r="D180" t="s">
        <v>461</v>
      </c>
      <c r="E180" t="s">
        <v>4649</v>
      </c>
      <c r="F180" t="s">
        <v>4643</v>
      </c>
      <c r="G180">
        <v>0.3</v>
      </c>
      <c r="H180" t="s">
        <v>3469</v>
      </c>
      <c r="I180">
        <v>8.5</v>
      </c>
      <c r="J180">
        <v>2.5499999999999998</v>
      </c>
    </row>
    <row r="181" spans="1:10" x14ac:dyDescent="0.3">
      <c r="A181">
        <v>6965</v>
      </c>
      <c r="B181" t="s">
        <v>568</v>
      </c>
      <c r="C181" s="453">
        <v>45931</v>
      </c>
      <c r="D181" t="s">
        <v>3736</v>
      </c>
      <c r="E181" t="s">
        <v>4650</v>
      </c>
      <c r="F181" t="s">
        <v>4643</v>
      </c>
      <c r="G181">
        <v>1.9</v>
      </c>
      <c r="H181" t="s">
        <v>3469</v>
      </c>
      <c r="I181">
        <v>5.59</v>
      </c>
      <c r="J181">
        <v>10.62</v>
      </c>
    </row>
    <row r="182" spans="1:10" x14ac:dyDescent="0.3">
      <c r="A182">
        <v>7452</v>
      </c>
      <c r="B182" t="s">
        <v>568</v>
      </c>
      <c r="C182" s="453">
        <v>45962</v>
      </c>
      <c r="D182" t="s">
        <v>3733</v>
      </c>
      <c r="E182" t="s">
        <v>4650</v>
      </c>
      <c r="F182" t="s">
        <v>4643</v>
      </c>
      <c r="G182">
        <v>2.5</v>
      </c>
      <c r="H182" t="s">
        <v>3469</v>
      </c>
      <c r="I182">
        <v>5.59</v>
      </c>
      <c r="J182">
        <v>13.98</v>
      </c>
    </row>
    <row r="183" spans="1:10" x14ac:dyDescent="0.3">
      <c r="A183">
        <v>7700</v>
      </c>
      <c r="B183" t="s">
        <v>568</v>
      </c>
      <c r="C183" s="453">
        <v>45992</v>
      </c>
      <c r="D183" t="s">
        <v>3393</v>
      </c>
      <c r="E183" t="s">
        <v>4650</v>
      </c>
      <c r="F183" t="s">
        <v>4643</v>
      </c>
      <c r="G183">
        <v>1.9</v>
      </c>
      <c r="H183" t="s">
        <v>3469</v>
      </c>
      <c r="I183">
        <v>5.59</v>
      </c>
      <c r="J183">
        <v>10.62</v>
      </c>
    </row>
    <row r="184" spans="1:10" x14ac:dyDescent="0.3">
      <c r="A184">
        <v>8105</v>
      </c>
      <c r="B184" t="s">
        <v>568</v>
      </c>
      <c r="C184" s="453">
        <v>46023</v>
      </c>
      <c r="D184" t="s">
        <v>460</v>
      </c>
      <c r="E184" t="s">
        <v>4650</v>
      </c>
      <c r="F184" t="s">
        <v>4643</v>
      </c>
      <c r="G184">
        <v>1</v>
      </c>
      <c r="H184" t="s">
        <v>3469</v>
      </c>
      <c r="I184">
        <v>5.59</v>
      </c>
      <c r="J184">
        <v>5.59</v>
      </c>
    </row>
    <row r="185" spans="1:10" x14ac:dyDescent="0.3">
      <c r="A185">
        <v>8597</v>
      </c>
      <c r="B185" t="s">
        <v>568</v>
      </c>
      <c r="C185" s="453">
        <v>46054</v>
      </c>
      <c r="D185" t="s">
        <v>461</v>
      </c>
      <c r="E185" t="s">
        <v>4650</v>
      </c>
      <c r="F185" t="s">
        <v>4643</v>
      </c>
      <c r="G185">
        <v>0.6</v>
      </c>
      <c r="H185" t="s">
        <v>3469</v>
      </c>
      <c r="I185">
        <v>5.59</v>
      </c>
      <c r="J185">
        <v>3.35</v>
      </c>
    </row>
    <row r="186" spans="1:10" x14ac:dyDescent="0.3">
      <c r="A186">
        <v>8956</v>
      </c>
      <c r="B186" t="s">
        <v>568</v>
      </c>
      <c r="C186" s="453">
        <v>46082</v>
      </c>
      <c r="D186" t="s">
        <v>462</v>
      </c>
      <c r="E186" t="s">
        <v>4650</v>
      </c>
      <c r="F186" t="s">
        <v>4643</v>
      </c>
      <c r="G186">
        <v>2</v>
      </c>
      <c r="H186" t="s">
        <v>3469</v>
      </c>
      <c r="I186">
        <v>5.59</v>
      </c>
      <c r="J186">
        <v>11.18</v>
      </c>
    </row>
    <row r="187" spans="1:10" x14ac:dyDescent="0.3">
      <c r="A187">
        <v>9898</v>
      </c>
      <c r="B187" t="s">
        <v>568</v>
      </c>
      <c r="C187" s="453">
        <v>46113</v>
      </c>
      <c r="D187" t="s">
        <v>463</v>
      </c>
      <c r="E187" t="s">
        <v>4650</v>
      </c>
      <c r="F187" t="s">
        <v>4643</v>
      </c>
      <c r="G187">
        <v>2</v>
      </c>
      <c r="H187" t="s">
        <v>3469</v>
      </c>
      <c r="I187">
        <v>5.59</v>
      </c>
      <c r="J187">
        <v>11.18</v>
      </c>
    </row>
    <row r="188" spans="1:10" x14ac:dyDescent="0.3">
      <c r="A188">
        <v>10038</v>
      </c>
      <c r="B188" t="s">
        <v>568</v>
      </c>
      <c r="C188" s="453">
        <v>46143</v>
      </c>
      <c r="D188" t="s">
        <v>464</v>
      </c>
      <c r="E188" t="s">
        <v>4650</v>
      </c>
      <c r="F188" t="s">
        <v>4643</v>
      </c>
      <c r="G188">
        <v>1.4</v>
      </c>
      <c r="H188" t="s">
        <v>3469</v>
      </c>
      <c r="I188">
        <v>5.59</v>
      </c>
      <c r="J188">
        <v>7.83</v>
      </c>
    </row>
    <row r="189" spans="1:10" x14ac:dyDescent="0.3">
      <c r="A189">
        <v>10780</v>
      </c>
      <c r="B189" t="s">
        <v>568</v>
      </c>
      <c r="C189" s="453">
        <v>46174</v>
      </c>
      <c r="D189" t="s">
        <v>465</v>
      </c>
      <c r="E189" t="s">
        <v>4650</v>
      </c>
      <c r="F189" t="s">
        <v>4643</v>
      </c>
      <c r="G189">
        <v>0.9</v>
      </c>
      <c r="H189" t="s">
        <v>3469</v>
      </c>
      <c r="I189">
        <v>5.59</v>
      </c>
      <c r="J189">
        <v>5.03</v>
      </c>
    </row>
    <row r="190" spans="1:10" x14ac:dyDescent="0.3">
      <c r="A190">
        <v>6970</v>
      </c>
      <c r="B190" t="s">
        <v>568</v>
      </c>
      <c r="C190" s="453">
        <v>45931</v>
      </c>
      <c r="D190" t="s">
        <v>3736</v>
      </c>
      <c r="E190" t="s">
        <v>4651</v>
      </c>
      <c r="F190" t="s">
        <v>4643</v>
      </c>
      <c r="G190">
        <v>0.3</v>
      </c>
      <c r="H190" t="s">
        <v>3469</v>
      </c>
      <c r="I190">
        <v>5.29</v>
      </c>
      <c r="J190">
        <v>1.59</v>
      </c>
    </row>
    <row r="191" spans="1:10" x14ac:dyDescent="0.3">
      <c r="A191">
        <v>7457</v>
      </c>
      <c r="B191" t="s">
        <v>568</v>
      </c>
      <c r="C191" s="453">
        <v>45962</v>
      </c>
      <c r="D191" t="s">
        <v>3733</v>
      </c>
      <c r="E191" t="s">
        <v>4651</v>
      </c>
      <c r="F191" t="s">
        <v>4643</v>
      </c>
      <c r="G191">
        <v>0.3</v>
      </c>
      <c r="H191" t="s">
        <v>3469</v>
      </c>
      <c r="I191">
        <v>5.29</v>
      </c>
      <c r="J191">
        <v>1.59</v>
      </c>
    </row>
    <row r="192" spans="1:10" x14ac:dyDescent="0.3">
      <c r="A192">
        <v>7704</v>
      </c>
      <c r="B192" t="s">
        <v>568</v>
      </c>
      <c r="C192" s="453">
        <v>45992</v>
      </c>
      <c r="D192" t="s">
        <v>3393</v>
      </c>
      <c r="E192" t="s">
        <v>4651</v>
      </c>
      <c r="F192" t="s">
        <v>4643</v>
      </c>
      <c r="G192">
        <v>0.25</v>
      </c>
      <c r="H192" t="s">
        <v>3469</v>
      </c>
      <c r="I192">
        <v>5.29</v>
      </c>
      <c r="J192">
        <v>1.32</v>
      </c>
    </row>
    <row r="193" spans="1:10" x14ac:dyDescent="0.3">
      <c r="A193">
        <v>8112</v>
      </c>
      <c r="B193" t="s">
        <v>568</v>
      </c>
      <c r="C193" s="453">
        <v>46023</v>
      </c>
      <c r="D193" t="s">
        <v>460</v>
      </c>
      <c r="E193" t="s">
        <v>4651</v>
      </c>
      <c r="F193" t="s">
        <v>4643</v>
      </c>
      <c r="G193">
        <v>0.4</v>
      </c>
      <c r="H193" t="s">
        <v>3469</v>
      </c>
      <c r="I193">
        <v>5.29</v>
      </c>
      <c r="J193">
        <v>2.12</v>
      </c>
    </row>
    <row r="194" spans="1:10" x14ac:dyDescent="0.3">
      <c r="A194">
        <v>8606</v>
      </c>
      <c r="B194" t="s">
        <v>568</v>
      </c>
      <c r="C194" s="453">
        <v>46054</v>
      </c>
      <c r="D194" t="s">
        <v>461</v>
      </c>
      <c r="E194" t="s">
        <v>4651</v>
      </c>
      <c r="F194" t="s">
        <v>4643</v>
      </c>
      <c r="G194">
        <v>0.4</v>
      </c>
      <c r="H194" t="s">
        <v>3469</v>
      </c>
      <c r="I194">
        <v>5.29</v>
      </c>
      <c r="J194">
        <v>2.12</v>
      </c>
    </row>
    <row r="195" spans="1:10" x14ac:dyDescent="0.3">
      <c r="A195">
        <v>8963</v>
      </c>
      <c r="B195" t="s">
        <v>568</v>
      </c>
      <c r="C195" s="453">
        <v>46082</v>
      </c>
      <c r="D195" t="s">
        <v>462</v>
      </c>
      <c r="E195" t="s">
        <v>4651</v>
      </c>
      <c r="F195" t="s">
        <v>4643</v>
      </c>
      <c r="G195">
        <v>0.2</v>
      </c>
      <c r="H195" t="s">
        <v>3469</v>
      </c>
      <c r="I195">
        <v>5.29</v>
      </c>
      <c r="J195">
        <v>1.06</v>
      </c>
    </row>
    <row r="196" spans="1:10" x14ac:dyDescent="0.3">
      <c r="A196">
        <v>9905</v>
      </c>
      <c r="B196" t="s">
        <v>568</v>
      </c>
      <c r="C196" s="453">
        <v>46113</v>
      </c>
      <c r="D196" t="s">
        <v>463</v>
      </c>
      <c r="E196" t="s">
        <v>4651</v>
      </c>
      <c r="F196" t="s">
        <v>4643</v>
      </c>
      <c r="G196">
        <v>0.2</v>
      </c>
      <c r="H196" t="s">
        <v>3469</v>
      </c>
      <c r="I196">
        <v>5.29</v>
      </c>
      <c r="J196">
        <v>1.06</v>
      </c>
    </row>
    <row r="197" spans="1:10" x14ac:dyDescent="0.3">
      <c r="A197">
        <v>10046</v>
      </c>
      <c r="B197" t="s">
        <v>568</v>
      </c>
      <c r="C197" s="453">
        <v>46143</v>
      </c>
      <c r="D197" t="s">
        <v>464</v>
      </c>
      <c r="E197" t="s">
        <v>4651</v>
      </c>
      <c r="F197" t="s">
        <v>4643</v>
      </c>
      <c r="G197">
        <v>0.4</v>
      </c>
      <c r="H197" t="s">
        <v>3469</v>
      </c>
      <c r="I197">
        <v>5.29</v>
      </c>
      <c r="J197">
        <v>2.12</v>
      </c>
    </row>
    <row r="198" spans="1:10" x14ac:dyDescent="0.3">
      <c r="A198">
        <v>10787</v>
      </c>
      <c r="B198" t="s">
        <v>568</v>
      </c>
      <c r="C198" s="453">
        <v>46174</v>
      </c>
      <c r="D198" t="s">
        <v>465</v>
      </c>
      <c r="E198" t="s">
        <v>4651</v>
      </c>
      <c r="F198" t="s">
        <v>4643</v>
      </c>
      <c r="G198">
        <v>0.3</v>
      </c>
      <c r="H198" t="s">
        <v>3469</v>
      </c>
      <c r="I198">
        <v>5.29</v>
      </c>
      <c r="J198">
        <v>1.59</v>
      </c>
    </row>
    <row r="199" spans="1:10" x14ac:dyDescent="0.3">
      <c r="A199">
        <v>6968</v>
      </c>
      <c r="B199" t="s">
        <v>568</v>
      </c>
      <c r="C199" s="453">
        <v>45931</v>
      </c>
      <c r="D199" t="s">
        <v>3736</v>
      </c>
      <c r="E199" t="s">
        <v>4652</v>
      </c>
      <c r="F199" t="s">
        <v>4643</v>
      </c>
      <c r="G199">
        <v>0.5</v>
      </c>
      <c r="H199" t="s">
        <v>3469</v>
      </c>
      <c r="I199">
        <v>25.27</v>
      </c>
      <c r="J199">
        <v>12.64</v>
      </c>
    </row>
    <row r="200" spans="1:10" x14ac:dyDescent="0.3">
      <c r="A200">
        <v>7455</v>
      </c>
      <c r="B200" t="s">
        <v>568</v>
      </c>
      <c r="C200" s="453">
        <v>45962</v>
      </c>
      <c r="D200" t="s">
        <v>3733</v>
      </c>
      <c r="E200" t="s">
        <v>4652</v>
      </c>
      <c r="F200" t="s">
        <v>4643</v>
      </c>
      <c r="G200">
        <v>0.4</v>
      </c>
      <c r="H200" t="s">
        <v>3469</v>
      </c>
      <c r="I200">
        <v>25.27</v>
      </c>
      <c r="J200">
        <v>10.11</v>
      </c>
    </row>
    <row r="201" spans="1:10" x14ac:dyDescent="0.3">
      <c r="A201">
        <v>7702</v>
      </c>
      <c r="B201" t="s">
        <v>568</v>
      </c>
      <c r="C201" s="453">
        <v>45992</v>
      </c>
      <c r="D201" t="s">
        <v>3393</v>
      </c>
      <c r="E201" t="s">
        <v>4652</v>
      </c>
      <c r="F201" t="s">
        <v>4643</v>
      </c>
      <c r="G201">
        <v>0.3</v>
      </c>
      <c r="H201" t="s">
        <v>3469</v>
      </c>
      <c r="I201">
        <v>25.27</v>
      </c>
      <c r="J201">
        <v>7.58</v>
      </c>
    </row>
    <row r="202" spans="1:10" x14ac:dyDescent="0.3">
      <c r="A202">
        <v>8109</v>
      </c>
      <c r="B202" t="s">
        <v>568</v>
      </c>
      <c r="C202" s="453">
        <v>46023</v>
      </c>
      <c r="D202" t="s">
        <v>460</v>
      </c>
      <c r="E202" t="s">
        <v>4652</v>
      </c>
      <c r="F202" t="s">
        <v>4643</v>
      </c>
      <c r="G202">
        <v>1</v>
      </c>
      <c r="H202" t="s">
        <v>3469</v>
      </c>
      <c r="I202">
        <v>25.27</v>
      </c>
      <c r="J202">
        <v>25.27</v>
      </c>
    </row>
    <row r="203" spans="1:10" x14ac:dyDescent="0.3">
      <c r="A203">
        <v>8602</v>
      </c>
      <c r="B203" t="s">
        <v>568</v>
      </c>
      <c r="C203" s="453">
        <v>46054</v>
      </c>
      <c r="D203" t="s">
        <v>461</v>
      </c>
      <c r="E203" t="s">
        <v>4652</v>
      </c>
      <c r="F203" t="s">
        <v>4643</v>
      </c>
      <c r="G203">
        <v>0.9</v>
      </c>
      <c r="H203" t="s">
        <v>3469</v>
      </c>
      <c r="I203">
        <v>25.27</v>
      </c>
      <c r="J203">
        <v>22.74</v>
      </c>
    </row>
    <row r="204" spans="1:10" x14ac:dyDescent="0.3">
      <c r="A204">
        <v>8960</v>
      </c>
      <c r="B204" t="s">
        <v>568</v>
      </c>
      <c r="C204" s="453">
        <v>46082</v>
      </c>
      <c r="D204" t="s">
        <v>462</v>
      </c>
      <c r="E204" t="s">
        <v>4652</v>
      </c>
      <c r="F204" t="s">
        <v>4643</v>
      </c>
      <c r="G204">
        <v>0.7</v>
      </c>
      <c r="H204" t="s">
        <v>3469</v>
      </c>
      <c r="I204">
        <v>25.27</v>
      </c>
      <c r="J204">
        <v>17.690000000000001</v>
      </c>
    </row>
    <row r="205" spans="1:10" x14ac:dyDescent="0.3">
      <c r="A205">
        <v>9902</v>
      </c>
      <c r="B205" t="s">
        <v>568</v>
      </c>
      <c r="C205" s="453">
        <v>46113</v>
      </c>
      <c r="D205" t="s">
        <v>463</v>
      </c>
      <c r="E205" t="s">
        <v>4652</v>
      </c>
      <c r="F205" t="s">
        <v>4643</v>
      </c>
      <c r="G205">
        <v>0.8</v>
      </c>
      <c r="H205" t="s">
        <v>3469</v>
      </c>
      <c r="I205">
        <v>25.27</v>
      </c>
      <c r="J205">
        <v>20.22</v>
      </c>
    </row>
    <row r="206" spans="1:10" x14ac:dyDescent="0.3">
      <c r="A206">
        <v>10042</v>
      </c>
      <c r="B206" t="s">
        <v>568</v>
      </c>
      <c r="C206" s="453">
        <v>46143</v>
      </c>
      <c r="D206" t="s">
        <v>464</v>
      </c>
      <c r="E206" t="s">
        <v>4652</v>
      </c>
      <c r="F206" t="s">
        <v>4643</v>
      </c>
      <c r="G206">
        <v>0.8</v>
      </c>
      <c r="H206" t="s">
        <v>3469</v>
      </c>
      <c r="I206">
        <v>25.27</v>
      </c>
      <c r="J206">
        <v>20.22</v>
      </c>
    </row>
    <row r="207" spans="1:10" x14ac:dyDescent="0.3">
      <c r="A207">
        <v>10784</v>
      </c>
      <c r="B207" t="s">
        <v>568</v>
      </c>
      <c r="C207" s="453">
        <v>46174</v>
      </c>
      <c r="D207" t="s">
        <v>465</v>
      </c>
      <c r="E207" t="s">
        <v>4652</v>
      </c>
      <c r="F207" t="s">
        <v>4643</v>
      </c>
      <c r="G207">
        <v>0.6</v>
      </c>
      <c r="H207" t="s">
        <v>3469</v>
      </c>
      <c r="I207">
        <v>25.27</v>
      </c>
      <c r="J207">
        <v>15.16</v>
      </c>
    </row>
    <row r="208" spans="1:10" x14ac:dyDescent="0.3">
      <c r="A208">
        <v>6979</v>
      </c>
      <c r="B208" t="s">
        <v>568</v>
      </c>
      <c r="C208" s="453">
        <v>45931</v>
      </c>
      <c r="D208" t="s">
        <v>3736</v>
      </c>
      <c r="E208" t="s">
        <v>4653</v>
      </c>
      <c r="F208" t="s">
        <v>4643</v>
      </c>
      <c r="G208">
        <v>2.5</v>
      </c>
      <c r="H208" t="s">
        <v>3469</v>
      </c>
      <c r="I208">
        <v>17.11</v>
      </c>
      <c r="J208">
        <v>42.78</v>
      </c>
    </row>
    <row r="209" spans="1:10" x14ac:dyDescent="0.3">
      <c r="A209">
        <v>7465</v>
      </c>
      <c r="B209" t="s">
        <v>568</v>
      </c>
      <c r="C209" s="453">
        <v>45962</v>
      </c>
      <c r="D209" t="s">
        <v>3733</v>
      </c>
      <c r="E209" t="s">
        <v>4653</v>
      </c>
      <c r="F209" t="s">
        <v>4643</v>
      </c>
      <c r="G209">
        <v>0.3</v>
      </c>
      <c r="H209" t="s">
        <v>3469</v>
      </c>
      <c r="I209">
        <v>17.11</v>
      </c>
      <c r="J209">
        <v>5.13</v>
      </c>
    </row>
    <row r="210" spans="1:10" x14ac:dyDescent="0.3">
      <c r="A210">
        <v>7712</v>
      </c>
      <c r="B210" t="s">
        <v>568</v>
      </c>
      <c r="C210" s="453">
        <v>45992</v>
      </c>
      <c r="D210" t="s">
        <v>3393</v>
      </c>
      <c r="E210" t="s">
        <v>4653</v>
      </c>
      <c r="F210" t="s">
        <v>4643</v>
      </c>
      <c r="G210">
        <v>0.5</v>
      </c>
      <c r="H210" t="s">
        <v>3469</v>
      </c>
      <c r="I210">
        <v>17.11</v>
      </c>
      <c r="J210">
        <v>8.56</v>
      </c>
    </row>
    <row r="211" spans="1:10" x14ac:dyDescent="0.3">
      <c r="A211">
        <v>8120</v>
      </c>
      <c r="B211" t="s">
        <v>568</v>
      </c>
      <c r="C211" s="453">
        <v>46023</v>
      </c>
      <c r="D211" t="s">
        <v>460</v>
      </c>
      <c r="E211" t="s">
        <v>4653</v>
      </c>
      <c r="F211" t="s">
        <v>4643</v>
      </c>
      <c r="G211">
        <v>1.1000000000000001</v>
      </c>
      <c r="H211" t="s">
        <v>3469</v>
      </c>
      <c r="I211">
        <v>17.11</v>
      </c>
      <c r="J211">
        <v>18.82</v>
      </c>
    </row>
    <row r="212" spans="1:10" x14ac:dyDescent="0.3">
      <c r="A212">
        <v>8614</v>
      </c>
      <c r="B212" t="s">
        <v>568</v>
      </c>
      <c r="C212" s="453">
        <v>46054</v>
      </c>
      <c r="D212" t="s">
        <v>461</v>
      </c>
      <c r="E212" t="s">
        <v>4653</v>
      </c>
      <c r="F212" t="s">
        <v>4643</v>
      </c>
      <c r="G212">
        <v>2.1</v>
      </c>
      <c r="H212" t="s">
        <v>3469</v>
      </c>
      <c r="I212">
        <v>17.11</v>
      </c>
      <c r="J212">
        <v>35.93</v>
      </c>
    </row>
    <row r="213" spans="1:10" x14ac:dyDescent="0.3">
      <c r="A213">
        <v>9913</v>
      </c>
      <c r="B213" t="s">
        <v>568</v>
      </c>
      <c r="C213" s="453">
        <v>46113</v>
      </c>
      <c r="D213" t="s">
        <v>463</v>
      </c>
      <c r="E213" t="s">
        <v>4653</v>
      </c>
      <c r="F213" t="s">
        <v>4643</v>
      </c>
      <c r="G213">
        <v>1.9</v>
      </c>
      <c r="H213" t="s">
        <v>3469</v>
      </c>
      <c r="I213">
        <v>17.11</v>
      </c>
      <c r="J213">
        <v>32.51</v>
      </c>
    </row>
    <row r="214" spans="1:10" x14ac:dyDescent="0.3">
      <c r="A214">
        <v>10054</v>
      </c>
      <c r="B214" t="s">
        <v>568</v>
      </c>
      <c r="C214" s="453">
        <v>46143</v>
      </c>
      <c r="D214" t="s">
        <v>464</v>
      </c>
      <c r="E214" t="s">
        <v>4653</v>
      </c>
      <c r="F214" t="s">
        <v>4643</v>
      </c>
      <c r="G214">
        <v>0.9</v>
      </c>
      <c r="H214" t="s">
        <v>3469</v>
      </c>
      <c r="I214">
        <v>17.11</v>
      </c>
      <c r="J214">
        <v>15.4</v>
      </c>
    </row>
    <row r="215" spans="1:10" x14ac:dyDescent="0.3">
      <c r="A215">
        <v>10795</v>
      </c>
      <c r="B215" t="s">
        <v>568</v>
      </c>
      <c r="C215" s="453">
        <v>46174</v>
      </c>
      <c r="D215" t="s">
        <v>465</v>
      </c>
      <c r="E215" t="s">
        <v>4653</v>
      </c>
      <c r="F215" t="s">
        <v>4643</v>
      </c>
      <c r="G215">
        <v>1.5</v>
      </c>
      <c r="H215" t="s">
        <v>3469</v>
      </c>
      <c r="I215">
        <v>17.11</v>
      </c>
      <c r="J215">
        <v>25.67</v>
      </c>
    </row>
    <row r="216" spans="1:10" x14ac:dyDescent="0.3">
      <c r="A216">
        <v>6960</v>
      </c>
      <c r="B216" t="s">
        <v>568</v>
      </c>
      <c r="C216" s="453">
        <v>45931</v>
      </c>
      <c r="D216" t="s">
        <v>3736</v>
      </c>
      <c r="E216" t="s">
        <v>4654</v>
      </c>
      <c r="F216" t="s">
        <v>4643</v>
      </c>
      <c r="G216">
        <v>2</v>
      </c>
      <c r="H216" t="s">
        <v>3469</v>
      </c>
      <c r="I216">
        <v>0.33</v>
      </c>
      <c r="J216">
        <v>0.66</v>
      </c>
    </row>
    <row r="217" spans="1:10" x14ac:dyDescent="0.3">
      <c r="A217">
        <v>10057</v>
      </c>
      <c r="B217" t="s">
        <v>568</v>
      </c>
      <c r="C217" s="453">
        <v>46143</v>
      </c>
      <c r="D217" t="s">
        <v>464</v>
      </c>
      <c r="E217" t="s">
        <v>4655</v>
      </c>
      <c r="F217" t="s">
        <v>4643</v>
      </c>
      <c r="G217">
        <v>3</v>
      </c>
      <c r="H217" t="s">
        <v>3469</v>
      </c>
      <c r="I217">
        <v>32</v>
      </c>
      <c r="J217">
        <v>96</v>
      </c>
    </row>
    <row r="218" spans="1:10" x14ac:dyDescent="0.3">
      <c r="A218">
        <v>6980</v>
      </c>
      <c r="B218" t="s">
        <v>568</v>
      </c>
      <c r="C218" s="453">
        <v>45931</v>
      </c>
      <c r="D218" t="s">
        <v>3736</v>
      </c>
      <c r="E218" t="s">
        <v>4656</v>
      </c>
      <c r="F218" t="s">
        <v>4643</v>
      </c>
      <c r="G218">
        <v>1.35</v>
      </c>
      <c r="H218" t="s">
        <v>3469</v>
      </c>
      <c r="I218">
        <v>45.86</v>
      </c>
      <c r="J218">
        <v>61.91</v>
      </c>
    </row>
    <row r="219" spans="1:10" x14ac:dyDescent="0.3">
      <c r="A219">
        <v>7466</v>
      </c>
      <c r="B219" t="s">
        <v>568</v>
      </c>
      <c r="C219" s="453">
        <v>45962</v>
      </c>
      <c r="D219" t="s">
        <v>3733</v>
      </c>
      <c r="E219" t="s">
        <v>4656</v>
      </c>
      <c r="F219" t="s">
        <v>4643</v>
      </c>
      <c r="G219">
        <v>1.4</v>
      </c>
      <c r="H219" t="s">
        <v>3469</v>
      </c>
      <c r="I219">
        <v>45.86</v>
      </c>
      <c r="J219">
        <v>64.2</v>
      </c>
    </row>
    <row r="220" spans="1:10" x14ac:dyDescent="0.3">
      <c r="A220">
        <v>7713</v>
      </c>
      <c r="B220" t="s">
        <v>568</v>
      </c>
      <c r="C220" s="453">
        <v>45992</v>
      </c>
      <c r="D220" t="s">
        <v>3393</v>
      </c>
      <c r="E220" t="s">
        <v>4656</v>
      </c>
      <c r="F220" t="s">
        <v>4643</v>
      </c>
      <c r="G220">
        <v>1.8</v>
      </c>
      <c r="H220" t="s">
        <v>3469</v>
      </c>
      <c r="I220">
        <v>45.86</v>
      </c>
      <c r="J220">
        <v>82.55</v>
      </c>
    </row>
    <row r="221" spans="1:10" x14ac:dyDescent="0.3">
      <c r="A221">
        <v>8121</v>
      </c>
      <c r="B221" t="s">
        <v>568</v>
      </c>
      <c r="C221" s="453">
        <v>46023</v>
      </c>
      <c r="D221" t="s">
        <v>460</v>
      </c>
      <c r="E221" t="s">
        <v>4656</v>
      </c>
      <c r="F221" t="s">
        <v>4643</v>
      </c>
      <c r="G221">
        <v>2.5</v>
      </c>
      <c r="H221" t="s">
        <v>3469</v>
      </c>
      <c r="I221">
        <v>45.86</v>
      </c>
      <c r="J221">
        <v>114.65</v>
      </c>
    </row>
    <row r="222" spans="1:10" x14ac:dyDescent="0.3">
      <c r="A222">
        <v>8615</v>
      </c>
      <c r="B222" t="s">
        <v>568</v>
      </c>
      <c r="C222" s="453">
        <v>46054</v>
      </c>
      <c r="D222" t="s">
        <v>461</v>
      </c>
      <c r="E222" t="s">
        <v>4656</v>
      </c>
      <c r="F222" t="s">
        <v>4643</v>
      </c>
      <c r="G222">
        <v>1.9</v>
      </c>
      <c r="H222" t="s">
        <v>3469</v>
      </c>
      <c r="I222">
        <v>45.86</v>
      </c>
      <c r="J222">
        <v>87.13</v>
      </c>
    </row>
    <row r="223" spans="1:10" x14ac:dyDescent="0.3">
      <c r="A223">
        <v>8970</v>
      </c>
      <c r="B223" t="s">
        <v>568</v>
      </c>
      <c r="C223" s="453">
        <v>46082</v>
      </c>
      <c r="D223" t="s">
        <v>462</v>
      </c>
      <c r="E223" t="s">
        <v>4656</v>
      </c>
      <c r="F223" t="s">
        <v>4643</v>
      </c>
      <c r="G223">
        <v>1.3</v>
      </c>
      <c r="H223" t="s">
        <v>3469</v>
      </c>
      <c r="I223">
        <v>45.86</v>
      </c>
      <c r="J223">
        <v>59.62</v>
      </c>
    </row>
    <row r="224" spans="1:10" x14ac:dyDescent="0.3">
      <c r="A224">
        <v>9914</v>
      </c>
      <c r="B224" t="s">
        <v>568</v>
      </c>
      <c r="C224" s="453">
        <v>46113</v>
      </c>
      <c r="D224" t="s">
        <v>463</v>
      </c>
      <c r="E224" t="s">
        <v>4656</v>
      </c>
      <c r="F224" t="s">
        <v>4643</v>
      </c>
      <c r="G224">
        <v>1.1000000000000001</v>
      </c>
      <c r="H224" t="s">
        <v>3469</v>
      </c>
      <c r="I224">
        <v>45.86</v>
      </c>
      <c r="J224">
        <v>50.45</v>
      </c>
    </row>
    <row r="225" spans="1:10" x14ac:dyDescent="0.3">
      <c r="A225">
        <v>10055</v>
      </c>
      <c r="B225" t="s">
        <v>568</v>
      </c>
      <c r="C225" s="453">
        <v>46143</v>
      </c>
      <c r="D225" t="s">
        <v>464</v>
      </c>
      <c r="E225" t="s">
        <v>4656</v>
      </c>
      <c r="F225" t="s">
        <v>4643</v>
      </c>
      <c r="G225">
        <v>1.4</v>
      </c>
      <c r="H225" t="s">
        <v>3469</v>
      </c>
      <c r="I225">
        <v>45.86</v>
      </c>
      <c r="J225">
        <v>64.2</v>
      </c>
    </row>
    <row r="226" spans="1:10" x14ac:dyDescent="0.3">
      <c r="A226">
        <v>10796</v>
      </c>
      <c r="B226" t="s">
        <v>568</v>
      </c>
      <c r="C226" s="453">
        <v>46174</v>
      </c>
      <c r="D226" t="s">
        <v>465</v>
      </c>
      <c r="E226" t="s">
        <v>4656</v>
      </c>
      <c r="F226" t="s">
        <v>4643</v>
      </c>
      <c r="G226">
        <v>1.7</v>
      </c>
      <c r="H226" t="s">
        <v>3469</v>
      </c>
      <c r="I226">
        <v>45.86</v>
      </c>
      <c r="J226">
        <v>77.959999999999994</v>
      </c>
    </row>
    <row r="227" spans="1:10" x14ac:dyDescent="0.3">
      <c r="A227">
        <v>6978</v>
      </c>
      <c r="B227" t="s">
        <v>568</v>
      </c>
      <c r="C227" s="453">
        <v>45931</v>
      </c>
      <c r="D227" t="s">
        <v>3736</v>
      </c>
      <c r="E227" t="s">
        <v>4657</v>
      </c>
      <c r="F227" t="s">
        <v>4643</v>
      </c>
      <c r="G227">
        <v>3.5</v>
      </c>
      <c r="H227" t="s">
        <v>3469</v>
      </c>
      <c r="I227">
        <v>17.64</v>
      </c>
      <c r="J227">
        <v>61.74</v>
      </c>
    </row>
    <row r="228" spans="1:10" x14ac:dyDescent="0.3">
      <c r="A228">
        <v>6981</v>
      </c>
      <c r="B228" t="s">
        <v>568</v>
      </c>
      <c r="C228" s="453">
        <v>45931</v>
      </c>
      <c r="D228" t="s">
        <v>3736</v>
      </c>
      <c r="E228" t="s">
        <v>4658</v>
      </c>
      <c r="F228" t="s">
        <v>4643</v>
      </c>
      <c r="G228">
        <v>3.4</v>
      </c>
      <c r="H228" t="s">
        <v>3469</v>
      </c>
      <c r="I228">
        <v>15.41</v>
      </c>
      <c r="J228">
        <v>52.39</v>
      </c>
    </row>
    <row r="229" spans="1:10" x14ac:dyDescent="0.3">
      <c r="A229">
        <v>6972</v>
      </c>
      <c r="B229" t="s">
        <v>568</v>
      </c>
      <c r="C229" s="453">
        <v>45931</v>
      </c>
      <c r="D229" t="s">
        <v>3736</v>
      </c>
      <c r="E229" t="s">
        <v>4659</v>
      </c>
      <c r="F229" t="s">
        <v>4643</v>
      </c>
      <c r="G229">
        <v>1.5</v>
      </c>
      <c r="H229" t="s">
        <v>3469</v>
      </c>
      <c r="I229">
        <v>15.65</v>
      </c>
      <c r="J229">
        <v>23.48</v>
      </c>
    </row>
    <row r="230" spans="1:10" x14ac:dyDescent="0.3">
      <c r="A230">
        <v>7459</v>
      </c>
      <c r="B230" t="s">
        <v>568</v>
      </c>
      <c r="C230" s="453">
        <v>45962</v>
      </c>
      <c r="D230" t="s">
        <v>3733</v>
      </c>
      <c r="E230" t="s">
        <v>4659</v>
      </c>
      <c r="F230" t="s">
        <v>4643</v>
      </c>
      <c r="G230">
        <v>2</v>
      </c>
      <c r="H230" t="s">
        <v>3469</v>
      </c>
      <c r="I230">
        <v>15.65</v>
      </c>
      <c r="J230">
        <v>31.3</v>
      </c>
    </row>
    <row r="231" spans="1:10" x14ac:dyDescent="0.3">
      <c r="A231">
        <v>7706</v>
      </c>
      <c r="B231" t="s">
        <v>568</v>
      </c>
      <c r="C231" s="453">
        <v>45992</v>
      </c>
      <c r="D231" t="s">
        <v>3393</v>
      </c>
      <c r="E231" t="s">
        <v>4659</v>
      </c>
      <c r="F231" t="s">
        <v>4643</v>
      </c>
      <c r="G231">
        <v>1.5</v>
      </c>
      <c r="H231" t="s">
        <v>3469</v>
      </c>
      <c r="I231">
        <v>15.65</v>
      </c>
      <c r="J231">
        <v>23.48</v>
      </c>
    </row>
    <row r="232" spans="1:10" x14ac:dyDescent="0.3">
      <c r="A232">
        <v>8114</v>
      </c>
      <c r="B232" t="s">
        <v>568</v>
      </c>
      <c r="C232" s="453">
        <v>46023</v>
      </c>
      <c r="D232" t="s">
        <v>460</v>
      </c>
      <c r="E232" t="s">
        <v>4659</v>
      </c>
      <c r="F232" t="s">
        <v>4643</v>
      </c>
      <c r="G232">
        <v>1.3</v>
      </c>
      <c r="H232" t="s">
        <v>3469</v>
      </c>
      <c r="I232">
        <v>15.65</v>
      </c>
      <c r="J232">
        <v>20.350000000000001</v>
      </c>
    </row>
    <row r="233" spans="1:10" x14ac:dyDescent="0.3">
      <c r="A233">
        <v>8608</v>
      </c>
      <c r="B233" t="s">
        <v>568</v>
      </c>
      <c r="C233" s="453">
        <v>46054</v>
      </c>
      <c r="D233" t="s">
        <v>461</v>
      </c>
      <c r="E233" t="s">
        <v>4659</v>
      </c>
      <c r="F233" t="s">
        <v>4643</v>
      </c>
      <c r="G233">
        <v>2</v>
      </c>
      <c r="H233" t="s">
        <v>3469</v>
      </c>
      <c r="I233">
        <v>15.65</v>
      </c>
      <c r="J233">
        <v>31.3</v>
      </c>
    </row>
    <row r="234" spans="1:10" x14ac:dyDescent="0.3">
      <c r="A234">
        <v>8965</v>
      </c>
      <c r="B234" t="s">
        <v>568</v>
      </c>
      <c r="C234" s="453">
        <v>46082</v>
      </c>
      <c r="D234" t="s">
        <v>462</v>
      </c>
      <c r="E234" t="s">
        <v>4659</v>
      </c>
      <c r="F234" t="s">
        <v>4643</v>
      </c>
      <c r="G234">
        <v>1.5</v>
      </c>
      <c r="H234" t="s">
        <v>3469</v>
      </c>
      <c r="I234">
        <v>15.65</v>
      </c>
      <c r="J234">
        <v>23.48</v>
      </c>
    </row>
    <row r="235" spans="1:10" x14ac:dyDescent="0.3">
      <c r="A235">
        <v>9907</v>
      </c>
      <c r="B235" t="s">
        <v>568</v>
      </c>
      <c r="C235" s="453">
        <v>46113</v>
      </c>
      <c r="D235" t="s">
        <v>463</v>
      </c>
      <c r="E235" t="s">
        <v>4659</v>
      </c>
      <c r="F235" t="s">
        <v>4643</v>
      </c>
      <c r="G235">
        <v>1.2</v>
      </c>
      <c r="H235" t="s">
        <v>3469</v>
      </c>
      <c r="I235">
        <v>15.65</v>
      </c>
      <c r="J235">
        <v>18.78</v>
      </c>
    </row>
    <row r="236" spans="1:10" x14ac:dyDescent="0.3">
      <c r="A236">
        <v>10048</v>
      </c>
      <c r="B236" t="s">
        <v>568</v>
      </c>
      <c r="C236" s="453">
        <v>46143</v>
      </c>
      <c r="D236" t="s">
        <v>464</v>
      </c>
      <c r="E236" t="s">
        <v>4659</v>
      </c>
      <c r="F236" t="s">
        <v>4643</v>
      </c>
      <c r="G236">
        <v>1.3</v>
      </c>
      <c r="H236" t="s">
        <v>3469</v>
      </c>
      <c r="I236">
        <v>15.65</v>
      </c>
      <c r="J236">
        <v>20.350000000000001</v>
      </c>
    </row>
    <row r="237" spans="1:10" x14ac:dyDescent="0.3">
      <c r="A237">
        <v>10789</v>
      </c>
      <c r="B237" t="s">
        <v>568</v>
      </c>
      <c r="C237" s="453">
        <v>46174</v>
      </c>
      <c r="D237" t="s">
        <v>465</v>
      </c>
      <c r="E237" t="s">
        <v>4659</v>
      </c>
      <c r="F237" t="s">
        <v>4643</v>
      </c>
      <c r="G237">
        <v>1.5</v>
      </c>
      <c r="H237" t="s">
        <v>3469</v>
      </c>
      <c r="I237">
        <v>15.65</v>
      </c>
      <c r="J237">
        <v>23.48</v>
      </c>
    </row>
    <row r="238" spans="1:10" x14ac:dyDescent="0.3">
      <c r="A238">
        <v>6967</v>
      </c>
      <c r="B238" t="s">
        <v>568</v>
      </c>
      <c r="C238" s="453">
        <v>45931</v>
      </c>
      <c r="D238" t="s">
        <v>3736</v>
      </c>
      <c r="E238" t="s">
        <v>4660</v>
      </c>
      <c r="F238" t="s">
        <v>4643</v>
      </c>
      <c r="G238">
        <v>6</v>
      </c>
      <c r="H238" t="s">
        <v>3469</v>
      </c>
      <c r="I238">
        <v>16.850000000000001</v>
      </c>
      <c r="J238">
        <v>101.1</v>
      </c>
    </row>
    <row r="239" spans="1:10" x14ac:dyDescent="0.3">
      <c r="A239">
        <v>7454</v>
      </c>
      <c r="B239" t="s">
        <v>568</v>
      </c>
      <c r="C239" s="453">
        <v>45962</v>
      </c>
      <c r="D239" t="s">
        <v>3733</v>
      </c>
      <c r="E239" t="s">
        <v>4660</v>
      </c>
      <c r="F239" t="s">
        <v>4643</v>
      </c>
      <c r="G239">
        <v>11</v>
      </c>
      <c r="H239" t="s">
        <v>3469</v>
      </c>
      <c r="I239">
        <v>16.850000000000001</v>
      </c>
      <c r="J239">
        <v>185.35</v>
      </c>
    </row>
    <row r="240" spans="1:10" x14ac:dyDescent="0.3">
      <c r="A240">
        <v>8599</v>
      </c>
      <c r="B240" t="s">
        <v>568</v>
      </c>
      <c r="C240" s="453">
        <v>46054</v>
      </c>
      <c r="D240" t="s">
        <v>461</v>
      </c>
      <c r="E240" t="s">
        <v>4660</v>
      </c>
      <c r="F240" t="s">
        <v>4643</v>
      </c>
      <c r="G240">
        <v>6.5</v>
      </c>
      <c r="H240" t="s">
        <v>3469</v>
      </c>
      <c r="I240">
        <v>16.850000000000001</v>
      </c>
      <c r="J240">
        <v>109.53</v>
      </c>
    </row>
    <row r="241" spans="1:10" x14ac:dyDescent="0.3">
      <c r="A241">
        <v>6961</v>
      </c>
      <c r="B241" t="s">
        <v>568</v>
      </c>
      <c r="C241" s="453">
        <v>45931</v>
      </c>
      <c r="D241" t="s">
        <v>3736</v>
      </c>
      <c r="E241" t="s">
        <v>4661</v>
      </c>
      <c r="F241" t="s">
        <v>4643</v>
      </c>
      <c r="G241">
        <v>1.2</v>
      </c>
      <c r="H241" t="s">
        <v>3469</v>
      </c>
      <c r="I241">
        <v>25.14</v>
      </c>
      <c r="J241">
        <v>30.17</v>
      </c>
    </row>
    <row r="242" spans="1:10" x14ac:dyDescent="0.3">
      <c r="A242">
        <v>8593</v>
      </c>
      <c r="B242" t="s">
        <v>568</v>
      </c>
      <c r="C242" s="453">
        <v>46054</v>
      </c>
      <c r="D242" t="s">
        <v>461</v>
      </c>
      <c r="E242" t="s">
        <v>4661</v>
      </c>
      <c r="F242" t="s">
        <v>4643</v>
      </c>
      <c r="G242">
        <v>3.35</v>
      </c>
      <c r="H242" t="s">
        <v>3469</v>
      </c>
      <c r="I242">
        <v>25.14</v>
      </c>
      <c r="J242">
        <v>84.22</v>
      </c>
    </row>
    <row r="243" spans="1:10" x14ac:dyDescent="0.3">
      <c r="A243">
        <v>10035</v>
      </c>
      <c r="B243" t="s">
        <v>568</v>
      </c>
      <c r="C243" s="453">
        <v>46143</v>
      </c>
      <c r="D243" t="s">
        <v>464</v>
      </c>
      <c r="E243" t="s">
        <v>4661</v>
      </c>
      <c r="F243" t="s">
        <v>4643</v>
      </c>
      <c r="G243">
        <v>1.5</v>
      </c>
      <c r="H243" t="s">
        <v>3469</v>
      </c>
      <c r="I243">
        <v>25.14</v>
      </c>
      <c r="J243">
        <v>37.71</v>
      </c>
    </row>
    <row r="244" spans="1:10" x14ac:dyDescent="0.3">
      <c r="A244">
        <v>8959</v>
      </c>
      <c r="B244" t="s">
        <v>568</v>
      </c>
      <c r="C244" s="453">
        <v>46082</v>
      </c>
      <c r="D244" t="s">
        <v>462</v>
      </c>
      <c r="E244" t="s">
        <v>4662</v>
      </c>
      <c r="F244" t="s">
        <v>4643</v>
      </c>
      <c r="G244">
        <v>0.9</v>
      </c>
      <c r="H244" t="s">
        <v>3469</v>
      </c>
      <c r="I244">
        <v>8.5</v>
      </c>
      <c r="J244">
        <v>7.65</v>
      </c>
    </row>
    <row r="245" spans="1:10" x14ac:dyDescent="0.3">
      <c r="A245">
        <v>9901</v>
      </c>
      <c r="B245" t="s">
        <v>568</v>
      </c>
      <c r="C245" s="453">
        <v>46113</v>
      </c>
      <c r="D245" t="s">
        <v>463</v>
      </c>
      <c r="E245" t="s">
        <v>4662</v>
      </c>
      <c r="F245" t="s">
        <v>4643</v>
      </c>
      <c r="G245">
        <v>1.1000000000000001</v>
      </c>
      <c r="H245" t="s">
        <v>3469</v>
      </c>
      <c r="I245">
        <v>8.5</v>
      </c>
      <c r="J245">
        <v>9.35</v>
      </c>
    </row>
    <row r="246" spans="1:10" x14ac:dyDescent="0.3">
      <c r="A246">
        <v>10041</v>
      </c>
      <c r="B246" t="s">
        <v>568</v>
      </c>
      <c r="C246" s="453">
        <v>46143</v>
      </c>
      <c r="D246" t="s">
        <v>464</v>
      </c>
      <c r="E246" t="s">
        <v>4662</v>
      </c>
      <c r="F246" t="s">
        <v>4643</v>
      </c>
      <c r="G246">
        <v>1.5</v>
      </c>
      <c r="H246" t="s">
        <v>3469</v>
      </c>
      <c r="I246">
        <v>8.5</v>
      </c>
      <c r="J246">
        <v>12.75</v>
      </c>
    </row>
    <row r="247" spans="1:10" x14ac:dyDescent="0.3">
      <c r="A247">
        <v>10783</v>
      </c>
      <c r="B247" t="s">
        <v>568</v>
      </c>
      <c r="C247" s="453">
        <v>46174</v>
      </c>
      <c r="D247" t="s">
        <v>465</v>
      </c>
      <c r="E247" t="s">
        <v>4662</v>
      </c>
      <c r="F247" t="s">
        <v>4643</v>
      </c>
      <c r="G247">
        <v>1.6</v>
      </c>
      <c r="H247" t="s">
        <v>3469</v>
      </c>
      <c r="I247">
        <v>8.5</v>
      </c>
      <c r="J247">
        <v>13.6</v>
      </c>
    </row>
    <row r="248" spans="1:10" x14ac:dyDescent="0.3">
      <c r="A248">
        <v>6969</v>
      </c>
      <c r="B248" t="s">
        <v>568</v>
      </c>
      <c r="C248" s="453">
        <v>45931</v>
      </c>
      <c r="D248" t="s">
        <v>3736</v>
      </c>
      <c r="E248" t="s">
        <v>4663</v>
      </c>
      <c r="F248" t="s">
        <v>4643</v>
      </c>
      <c r="G248">
        <v>0.5</v>
      </c>
      <c r="H248" t="s">
        <v>3469</v>
      </c>
      <c r="I248">
        <v>1.1000000000000001</v>
      </c>
      <c r="J248">
        <v>0.55000000000000004</v>
      </c>
    </row>
    <row r="249" spans="1:10" x14ac:dyDescent="0.3">
      <c r="A249">
        <v>7456</v>
      </c>
      <c r="B249" t="s">
        <v>568</v>
      </c>
      <c r="C249" s="453">
        <v>45962</v>
      </c>
      <c r="D249" t="s">
        <v>3733</v>
      </c>
      <c r="E249" t="s">
        <v>4663</v>
      </c>
      <c r="F249" t="s">
        <v>4643</v>
      </c>
      <c r="G249">
        <v>0.4</v>
      </c>
      <c r="H249" t="s">
        <v>3469</v>
      </c>
      <c r="I249">
        <v>1.1000000000000001</v>
      </c>
      <c r="J249">
        <v>0.44</v>
      </c>
    </row>
    <row r="250" spans="1:10" x14ac:dyDescent="0.3">
      <c r="A250">
        <v>7703</v>
      </c>
      <c r="B250" t="s">
        <v>568</v>
      </c>
      <c r="C250" s="453">
        <v>45992</v>
      </c>
      <c r="D250" t="s">
        <v>3393</v>
      </c>
      <c r="E250" t="s">
        <v>4663</v>
      </c>
      <c r="F250" t="s">
        <v>4643</v>
      </c>
      <c r="G250">
        <v>0.7</v>
      </c>
      <c r="H250" t="s">
        <v>3469</v>
      </c>
      <c r="I250">
        <v>1.1000000000000001</v>
      </c>
      <c r="J250">
        <v>0.77</v>
      </c>
    </row>
    <row r="251" spans="1:10" x14ac:dyDescent="0.3">
      <c r="A251">
        <v>8110</v>
      </c>
      <c r="B251" t="s">
        <v>568</v>
      </c>
      <c r="C251" s="453">
        <v>46023</v>
      </c>
      <c r="D251" t="s">
        <v>460</v>
      </c>
      <c r="E251" t="s">
        <v>4663</v>
      </c>
      <c r="F251" t="s">
        <v>4643</v>
      </c>
      <c r="G251">
        <v>0.5</v>
      </c>
      <c r="H251" t="s">
        <v>3469</v>
      </c>
      <c r="I251">
        <v>1.1000000000000001</v>
      </c>
      <c r="J251">
        <v>0.55000000000000004</v>
      </c>
    </row>
    <row r="252" spans="1:10" x14ac:dyDescent="0.3">
      <c r="A252">
        <v>8603</v>
      </c>
      <c r="B252" t="s">
        <v>568</v>
      </c>
      <c r="C252" s="453">
        <v>46054</v>
      </c>
      <c r="D252" t="s">
        <v>461</v>
      </c>
      <c r="E252" t="s">
        <v>4663</v>
      </c>
      <c r="F252" t="s">
        <v>4643</v>
      </c>
      <c r="G252">
        <v>0.5</v>
      </c>
      <c r="H252" t="s">
        <v>3469</v>
      </c>
      <c r="I252">
        <v>1.1000000000000001</v>
      </c>
      <c r="J252">
        <v>0.55000000000000004</v>
      </c>
    </row>
    <row r="253" spans="1:10" x14ac:dyDescent="0.3">
      <c r="A253">
        <v>8961</v>
      </c>
      <c r="B253" t="s">
        <v>568</v>
      </c>
      <c r="C253" s="453">
        <v>46082</v>
      </c>
      <c r="D253" t="s">
        <v>462</v>
      </c>
      <c r="E253" t="s">
        <v>4663</v>
      </c>
      <c r="F253" t="s">
        <v>4643</v>
      </c>
      <c r="G253">
        <v>0.3</v>
      </c>
      <c r="H253" t="s">
        <v>3469</v>
      </c>
      <c r="I253">
        <v>1.1000000000000001</v>
      </c>
      <c r="J253">
        <v>0.33</v>
      </c>
    </row>
    <row r="254" spans="1:10" x14ac:dyDescent="0.3">
      <c r="A254">
        <v>9903</v>
      </c>
      <c r="B254" t="s">
        <v>568</v>
      </c>
      <c r="C254" s="453">
        <v>46113</v>
      </c>
      <c r="D254" t="s">
        <v>463</v>
      </c>
      <c r="E254" t="s">
        <v>4663</v>
      </c>
      <c r="F254" t="s">
        <v>4643</v>
      </c>
      <c r="G254">
        <v>0.45</v>
      </c>
      <c r="H254" t="s">
        <v>3469</v>
      </c>
      <c r="I254">
        <v>1.1000000000000001</v>
      </c>
      <c r="J254">
        <v>0.5</v>
      </c>
    </row>
    <row r="255" spans="1:10" x14ac:dyDescent="0.3">
      <c r="A255">
        <v>10043</v>
      </c>
      <c r="B255" t="s">
        <v>568</v>
      </c>
      <c r="C255" s="453">
        <v>46143</v>
      </c>
      <c r="D255" t="s">
        <v>464</v>
      </c>
      <c r="E255" t="s">
        <v>4663</v>
      </c>
      <c r="F255" t="s">
        <v>4643</v>
      </c>
      <c r="G255">
        <v>0.5</v>
      </c>
      <c r="H255" t="s">
        <v>3469</v>
      </c>
      <c r="I255">
        <v>1.1000000000000001</v>
      </c>
      <c r="J255">
        <v>0.55000000000000004</v>
      </c>
    </row>
    <row r="256" spans="1:10" x14ac:dyDescent="0.3">
      <c r="A256">
        <v>10785</v>
      </c>
      <c r="B256" t="s">
        <v>568</v>
      </c>
      <c r="C256" s="453">
        <v>46174</v>
      </c>
      <c r="D256" t="s">
        <v>465</v>
      </c>
      <c r="E256" t="s">
        <v>4663</v>
      </c>
      <c r="F256" t="s">
        <v>4643</v>
      </c>
      <c r="G256">
        <v>0.4</v>
      </c>
      <c r="H256" t="s">
        <v>3469</v>
      </c>
      <c r="I256">
        <v>1.1000000000000001</v>
      </c>
      <c r="J256">
        <v>0.44</v>
      </c>
    </row>
    <row r="257" spans="1:10" x14ac:dyDescent="0.3">
      <c r="A257">
        <v>9897</v>
      </c>
      <c r="B257" t="s">
        <v>568</v>
      </c>
      <c r="C257" s="453">
        <v>46113</v>
      </c>
      <c r="D257" t="s">
        <v>463</v>
      </c>
      <c r="E257" t="s">
        <v>4664</v>
      </c>
      <c r="F257" t="s">
        <v>4665</v>
      </c>
      <c r="G257">
        <v>3</v>
      </c>
      <c r="H257" t="s">
        <v>3469</v>
      </c>
      <c r="I257">
        <v>7.38</v>
      </c>
      <c r="J257">
        <v>22.14</v>
      </c>
    </row>
    <row r="258" spans="1:10" x14ac:dyDescent="0.3">
      <c r="A258">
        <v>8107</v>
      </c>
      <c r="B258" t="s">
        <v>568</v>
      </c>
      <c r="C258" s="453">
        <v>46023</v>
      </c>
      <c r="D258" t="s">
        <v>460</v>
      </c>
      <c r="E258" t="s">
        <v>4666</v>
      </c>
      <c r="F258" t="s">
        <v>4643</v>
      </c>
      <c r="G258">
        <v>1</v>
      </c>
      <c r="H258" t="s">
        <v>3469</v>
      </c>
      <c r="I258">
        <v>90.22</v>
      </c>
      <c r="J258">
        <v>90.22</v>
      </c>
    </row>
    <row r="259" spans="1:10" x14ac:dyDescent="0.3">
      <c r="A259">
        <v>9900</v>
      </c>
      <c r="B259" t="s">
        <v>568</v>
      </c>
      <c r="C259" s="453">
        <v>46113</v>
      </c>
      <c r="D259" t="s">
        <v>463</v>
      </c>
      <c r="E259" t="s">
        <v>4666</v>
      </c>
      <c r="F259" t="s">
        <v>4643</v>
      </c>
      <c r="G259">
        <v>0.9</v>
      </c>
      <c r="H259" t="s">
        <v>3469</v>
      </c>
      <c r="I259">
        <v>78.13</v>
      </c>
      <c r="J259">
        <v>70.319999999999993</v>
      </c>
    </row>
    <row r="260" spans="1:10" x14ac:dyDescent="0.3">
      <c r="A260">
        <v>10040</v>
      </c>
      <c r="B260" t="s">
        <v>568</v>
      </c>
      <c r="C260" s="453">
        <v>46143</v>
      </c>
      <c r="D260" t="s">
        <v>464</v>
      </c>
      <c r="E260" t="s">
        <v>4666</v>
      </c>
      <c r="F260" t="s">
        <v>4643</v>
      </c>
      <c r="G260">
        <v>1.8</v>
      </c>
      <c r="H260" t="s">
        <v>3469</v>
      </c>
      <c r="I260">
        <v>78.13</v>
      </c>
      <c r="J260">
        <v>140.63</v>
      </c>
    </row>
    <row r="261" spans="1:10" x14ac:dyDescent="0.3">
      <c r="A261">
        <v>10782</v>
      </c>
      <c r="B261" t="s">
        <v>568</v>
      </c>
      <c r="C261" s="453">
        <v>46174</v>
      </c>
      <c r="D261" t="s">
        <v>465</v>
      </c>
      <c r="E261" t="s">
        <v>4666</v>
      </c>
      <c r="F261" t="s">
        <v>4643</v>
      </c>
      <c r="G261">
        <v>1.2</v>
      </c>
      <c r="H261" t="s">
        <v>3469</v>
      </c>
      <c r="I261">
        <v>78.13</v>
      </c>
      <c r="J261">
        <v>93.76</v>
      </c>
    </row>
    <row r="262" spans="1:10" x14ac:dyDescent="0.3">
      <c r="A262">
        <v>8108</v>
      </c>
      <c r="B262" t="s">
        <v>568</v>
      </c>
      <c r="C262" s="453">
        <v>46023</v>
      </c>
      <c r="D262" t="s">
        <v>460</v>
      </c>
      <c r="E262" t="s">
        <v>4667</v>
      </c>
      <c r="F262" t="s">
        <v>4643</v>
      </c>
      <c r="G262">
        <v>1.5</v>
      </c>
      <c r="H262" t="s">
        <v>3469</v>
      </c>
      <c r="I262">
        <v>55.3</v>
      </c>
      <c r="J262">
        <v>82.95</v>
      </c>
    </row>
    <row r="263" spans="1:10" x14ac:dyDescent="0.3">
      <c r="A263">
        <v>8601</v>
      </c>
      <c r="B263" t="s">
        <v>568</v>
      </c>
      <c r="C263" s="453">
        <v>46054</v>
      </c>
      <c r="D263" t="s">
        <v>461</v>
      </c>
      <c r="E263" t="s">
        <v>4667</v>
      </c>
      <c r="F263" t="s">
        <v>4643</v>
      </c>
      <c r="G263">
        <v>1.75</v>
      </c>
      <c r="H263" t="s">
        <v>3469</v>
      </c>
      <c r="I263">
        <v>55.3</v>
      </c>
      <c r="J263">
        <v>96.78</v>
      </c>
    </row>
    <row r="264" spans="1:10" x14ac:dyDescent="0.3">
      <c r="A264">
        <v>8111</v>
      </c>
      <c r="B264" t="s">
        <v>568</v>
      </c>
      <c r="C264" s="453">
        <v>46023</v>
      </c>
      <c r="D264" t="s">
        <v>460</v>
      </c>
      <c r="E264" t="s">
        <v>4668</v>
      </c>
      <c r="F264" t="s">
        <v>4643</v>
      </c>
      <c r="G264">
        <v>1.5</v>
      </c>
      <c r="H264" t="s">
        <v>3469</v>
      </c>
      <c r="I264">
        <v>11.84</v>
      </c>
      <c r="J264">
        <v>17.760000000000002</v>
      </c>
    </row>
    <row r="265" spans="1:10" x14ac:dyDescent="0.3">
      <c r="A265">
        <v>8604</v>
      </c>
      <c r="B265" t="s">
        <v>568</v>
      </c>
      <c r="C265" s="453">
        <v>46054</v>
      </c>
      <c r="D265" t="s">
        <v>461</v>
      </c>
      <c r="E265" t="s">
        <v>4668</v>
      </c>
      <c r="F265" t="s">
        <v>4643</v>
      </c>
      <c r="G265">
        <v>0.7</v>
      </c>
      <c r="H265" t="s">
        <v>3469</v>
      </c>
      <c r="I265">
        <v>11.84</v>
      </c>
      <c r="J265">
        <v>8.2899999999999991</v>
      </c>
    </row>
    <row r="266" spans="1:10" x14ac:dyDescent="0.3">
      <c r="A266">
        <v>8962</v>
      </c>
      <c r="B266" t="s">
        <v>568</v>
      </c>
      <c r="C266" s="453">
        <v>46082</v>
      </c>
      <c r="D266" t="s">
        <v>462</v>
      </c>
      <c r="E266" t="s">
        <v>4668</v>
      </c>
      <c r="F266" t="s">
        <v>4643</v>
      </c>
      <c r="G266">
        <v>1.5</v>
      </c>
      <c r="H266" t="s">
        <v>3469</v>
      </c>
      <c r="I266">
        <v>11.84</v>
      </c>
      <c r="J266">
        <v>17.760000000000002</v>
      </c>
    </row>
    <row r="267" spans="1:10" x14ac:dyDescent="0.3">
      <c r="A267">
        <v>9904</v>
      </c>
      <c r="B267" t="s">
        <v>568</v>
      </c>
      <c r="C267" s="453">
        <v>46113</v>
      </c>
      <c r="D267" t="s">
        <v>463</v>
      </c>
      <c r="E267" t="s">
        <v>4668</v>
      </c>
      <c r="F267" t="s">
        <v>4643</v>
      </c>
      <c r="G267">
        <v>2.4</v>
      </c>
      <c r="H267" t="s">
        <v>3469</v>
      </c>
      <c r="I267">
        <v>11.84</v>
      </c>
      <c r="J267">
        <v>28.42</v>
      </c>
    </row>
    <row r="268" spans="1:10" x14ac:dyDescent="0.3">
      <c r="A268">
        <v>10044</v>
      </c>
      <c r="B268" t="s">
        <v>568</v>
      </c>
      <c r="C268" s="453">
        <v>46143</v>
      </c>
      <c r="D268" t="s">
        <v>464</v>
      </c>
      <c r="E268" t="s">
        <v>4668</v>
      </c>
      <c r="F268" t="s">
        <v>4643</v>
      </c>
      <c r="G268">
        <v>1.7</v>
      </c>
      <c r="H268" t="s">
        <v>3469</v>
      </c>
      <c r="I268">
        <v>11.84</v>
      </c>
      <c r="J268">
        <v>20.13</v>
      </c>
    </row>
    <row r="269" spans="1:10" x14ac:dyDescent="0.3">
      <c r="A269">
        <v>10786</v>
      </c>
      <c r="B269" t="s">
        <v>568</v>
      </c>
      <c r="C269" s="453">
        <v>46174</v>
      </c>
      <c r="D269" t="s">
        <v>465</v>
      </c>
      <c r="E269" t="s">
        <v>4668</v>
      </c>
      <c r="F269" t="s">
        <v>4643</v>
      </c>
      <c r="G269">
        <v>1.2</v>
      </c>
      <c r="H269" t="s">
        <v>3469</v>
      </c>
      <c r="I269">
        <v>11.84</v>
      </c>
      <c r="J269">
        <v>14.21</v>
      </c>
    </row>
    <row r="270" spans="1:10" x14ac:dyDescent="0.3">
      <c r="A270">
        <v>8122</v>
      </c>
      <c r="B270" t="s">
        <v>568</v>
      </c>
      <c r="C270" s="453">
        <v>46023</v>
      </c>
      <c r="D270" t="s">
        <v>460</v>
      </c>
      <c r="E270" t="s">
        <v>4669</v>
      </c>
      <c r="F270" t="s">
        <v>4643</v>
      </c>
      <c r="G270">
        <v>1</v>
      </c>
      <c r="H270" t="s">
        <v>3469</v>
      </c>
      <c r="I270">
        <v>7.95</v>
      </c>
      <c r="J270">
        <v>7.95</v>
      </c>
    </row>
    <row r="271" spans="1:10" x14ac:dyDescent="0.3">
      <c r="A271">
        <v>8616</v>
      </c>
      <c r="B271" t="s">
        <v>568</v>
      </c>
      <c r="C271" s="453">
        <v>46054</v>
      </c>
      <c r="D271" t="s">
        <v>461</v>
      </c>
      <c r="E271" t="s">
        <v>4669</v>
      </c>
      <c r="F271" t="s">
        <v>4643</v>
      </c>
      <c r="G271">
        <v>1</v>
      </c>
      <c r="H271" t="s">
        <v>3469</v>
      </c>
      <c r="I271">
        <v>7.95</v>
      </c>
      <c r="J271">
        <v>7.95</v>
      </c>
    </row>
    <row r="272" spans="1:10" x14ac:dyDescent="0.3">
      <c r="A272">
        <v>8971</v>
      </c>
      <c r="B272" t="s">
        <v>568</v>
      </c>
      <c r="C272" s="453">
        <v>46082</v>
      </c>
      <c r="D272" t="s">
        <v>462</v>
      </c>
      <c r="E272" t="s">
        <v>4669</v>
      </c>
      <c r="F272" t="s">
        <v>4643</v>
      </c>
      <c r="G272">
        <v>2.8</v>
      </c>
      <c r="H272" t="s">
        <v>3469</v>
      </c>
      <c r="I272">
        <v>7.95</v>
      </c>
      <c r="J272">
        <v>22.26</v>
      </c>
    </row>
    <row r="273" spans="1:10" x14ac:dyDescent="0.3">
      <c r="A273">
        <v>9915</v>
      </c>
      <c r="B273" t="s">
        <v>568</v>
      </c>
      <c r="C273" s="453">
        <v>46113</v>
      </c>
      <c r="D273" t="s">
        <v>463</v>
      </c>
      <c r="E273" t="s">
        <v>4669</v>
      </c>
      <c r="F273" t="s">
        <v>4643</v>
      </c>
      <c r="G273">
        <v>1</v>
      </c>
      <c r="H273" t="s">
        <v>3469</v>
      </c>
      <c r="I273">
        <v>7.95</v>
      </c>
      <c r="J273">
        <v>7.95</v>
      </c>
    </row>
    <row r="274" spans="1:10" x14ac:dyDescent="0.3">
      <c r="A274">
        <v>8605</v>
      </c>
      <c r="B274" t="s">
        <v>568</v>
      </c>
      <c r="C274" s="453">
        <v>46054</v>
      </c>
      <c r="D274" t="s">
        <v>461</v>
      </c>
      <c r="E274" t="s">
        <v>4670</v>
      </c>
      <c r="F274" t="s">
        <v>4643</v>
      </c>
      <c r="G274">
        <v>0.25</v>
      </c>
      <c r="H274" t="s">
        <v>3469</v>
      </c>
      <c r="I274">
        <v>50.21</v>
      </c>
      <c r="J274">
        <v>12.55</v>
      </c>
    </row>
    <row r="275" spans="1:10" x14ac:dyDescent="0.3">
      <c r="A275">
        <v>10045</v>
      </c>
      <c r="B275" t="s">
        <v>568</v>
      </c>
      <c r="C275" s="453">
        <v>46143</v>
      </c>
      <c r="D275" t="s">
        <v>464</v>
      </c>
      <c r="E275" t="s">
        <v>4670</v>
      </c>
      <c r="F275" t="s">
        <v>4643</v>
      </c>
      <c r="G275">
        <v>0.5</v>
      </c>
      <c r="H275" t="s">
        <v>3469</v>
      </c>
      <c r="I275">
        <v>50.21</v>
      </c>
      <c r="J275">
        <v>25.11</v>
      </c>
    </row>
    <row r="276" spans="1:10" x14ac:dyDescent="0.3">
      <c r="A276">
        <v>8600</v>
      </c>
      <c r="B276" t="s">
        <v>568</v>
      </c>
      <c r="C276" s="453">
        <v>46054</v>
      </c>
      <c r="D276" t="s">
        <v>461</v>
      </c>
      <c r="E276" t="s">
        <v>4671</v>
      </c>
      <c r="F276" t="s">
        <v>4643</v>
      </c>
      <c r="G276">
        <v>1.4</v>
      </c>
      <c r="H276" t="s">
        <v>3469</v>
      </c>
      <c r="I276">
        <v>90.22</v>
      </c>
      <c r="J276">
        <v>126.31</v>
      </c>
    </row>
    <row r="277" spans="1:10" x14ac:dyDescent="0.3">
      <c r="A277">
        <v>8958</v>
      </c>
      <c r="B277" t="s">
        <v>568</v>
      </c>
      <c r="C277" s="453">
        <v>46082</v>
      </c>
      <c r="D277" t="s">
        <v>462</v>
      </c>
      <c r="E277" t="s">
        <v>4671</v>
      </c>
      <c r="F277" t="s">
        <v>4643</v>
      </c>
      <c r="G277">
        <v>2.2999999999999998</v>
      </c>
      <c r="H277" t="s">
        <v>3469</v>
      </c>
      <c r="I277">
        <v>90.22</v>
      </c>
      <c r="J277">
        <v>207.51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9"/>
  <sheetViews>
    <sheetView workbookViewId="0"/>
  </sheetViews>
  <sheetFormatPr defaultRowHeight="14.4" x14ac:dyDescent="0.3"/>
  <sheetData>
    <row r="1" spans="1:9" x14ac:dyDescent="0.3">
      <c r="A1" t="s">
        <v>4672</v>
      </c>
      <c r="B1" t="s">
        <v>551</v>
      </c>
      <c r="C1" t="s">
        <v>3440</v>
      </c>
      <c r="D1" t="s">
        <v>4673</v>
      </c>
      <c r="E1" t="s">
        <v>4674</v>
      </c>
      <c r="F1" t="s">
        <v>4675</v>
      </c>
      <c r="G1" t="s">
        <v>4676</v>
      </c>
      <c r="H1" t="s">
        <v>4677</v>
      </c>
      <c r="I1" t="s">
        <v>566</v>
      </c>
    </row>
    <row r="2" spans="1:9" x14ac:dyDescent="0.3">
      <c r="A2">
        <v>116</v>
      </c>
      <c r="B2" t="s">
        <v>568</v>
      </c>
      <c r="C2">
        <v>5</v>
      </c>
      <c r="D2">
        <v>2026</v>
      </c>
      <c r="E2" t="s">
        <v>677</v>
      </c>
      <c r="F2" t="s">
        <v>678</v>
      </c>
      <c r="G2">
        <v>1125</v>
      </c>
      <c r="I2" t="s">
        <v>3365</v>
      </c>
    </row>
    <row r="3" spans="1:9" x14ac:dyDescent="0.3">
      <c r="A3">
        <v>116</v>
      </c>
      <c r="B3" t="s">
        <v>568</v>
      </c>
      <c r="C3">
        <v>4</v>
      </c>
      <c r="D3">
        <v>2026</v>
      </c>
      <c r="E3" t="s">
        <v>677</v>
      </c>
      <c r="F3" t="s">
        <v>678</v>
      </c>
      <c r="G3">
        <v>1125</v>
      </c>
      <c r="H3" t="s">
        <v>4678</v>
      </c>
      <c r="I3" t="s">
        <v>3366</v>
      </c>
    </row>
    <row r="4" spans="1:9" x14ac:dyDescent="0.3">
      <c r="A4">
        <v>116</v>
      </c>
      <c r="B4" t="s">
        <v>568</v>
      </c>
      <c r="C4">
        <v>3</v>
      </c>
      <c r="D4">
        <v>2026</v>
      </c>
      <c r="E4" t="s">
        <v>931</v>
      </c>
      <c r="F4" t="s">
        <v>986</v>
      </c>
      <c r="G4">
        <v>-609.99</v>
      </c>
      <c r="H4" t="s">
        <v>4679</v>
      </c>
      <c r="I4" t="s">
        <v>3367</v>
      </c>
    </row>
    <row r="5" spans="1:9" x14ac:dyDescent="0.3">
      <c r="A5">
        <v>116</v>
      </c>
      <c r="B5" t="s">
        <v>568</v>
      </c>
      <c r="C5">
        <v>3</v>
      </c>
      <c r="D5">
        <v>2026</v>
      </c>
      <c r="E5" t="s">
        <v>677</v>
      </c>
      <c r="F5" t="s">
        <v>678</v>
      </c>
      <c r="G5">
        <v>1125</v>
      </c>
      <c r="H5" t="s">
        <v>4678</v>
      </c>
      <c r="I5" t="s">
        <v>3367</v>
      </c>
    </row>
    <row r="6" spans="1:9" x14ac:dyDescent="0.3">
      <c r="A6">
        <v>116</v>
      </c>
      <c r="B6" t="s">
        <v>568</v>
      </c>
      <c r="C6">
        <v>3</v>
      </c>
      <c r="D6">
        <v>2026</v>
      </c>
      <c r="E6" t="s">
        <v>4680</v>
      </c>
      <c r="F6" t="s">
        <v>335</v>
      </c>
      <c r="G6">
        <v>536.01</v>
      </c>
      <c r="H6" t="s">
        <v>4681</v>
      </c>
      <c r="I6" t="s">
        <v>3367</v>
      </c>
    </row>
    <row r="7" spans="1:9" x14ac:dyDescent="0.3">
      <c r="A7">
        <v>116</v>
      </c>
      <c r="B7" t="s">
        <v>568</v>
      </c>
      <c r="C7">
        <v>2</v>
      </c>
      <c r="D7">
        <v>2026</v>
      </c>
      <c r="E7" t="s">
        <v>931</v>
      </c>
      <c r="F7" t="s">
        <v>986</v>
      </c>
      <c r="G7">
        <v>-1957.9</v>
      </c>
      <c r="H7" t="s">
        <v>4682</v>
      </c>
      <c r="I7" t="s">
        <v>3368</v>
      </c>
    </row>
    <row r="8" spans="1:9" x14ac:dyDescent="0.3">
      <c r="A8">
        <v>116</v>
      </c>
      <c r="B8" t="s">
        <v>568</v>
      </c>
      <c r="C8">
        <v>2</v>
      </c>
      <c r="D8">
        <v>2026</v>
      </c>
      <c r="E8" t="s">
        <v>677</v>
      </c>
      <c r="F8" t="s">
        <v>678</v>
      </c>
      <c r="G8">
        <v>1125</v>
      </c>
      <c r="H8" t="s">
        <v>4678</v>
      </c>
      <c r="I8" t="s">
        <v>3368</v>
      </c>
    </row>
    <row r="9" spans="1:9" x14ac:dyDescent="0.3">
      <c r="A9">
        <v>116</v>
      </c>
      <c r="B9" t="s">
        <v>568</v>
      </c>
      <c r="C9">
        <v>1</v>
      </c>
      <c r="D9">
        <v>2026</v>
      </c>
      <c r="E9" t="s">
        <v>677</v>
      </c>
      <c r="F9" t="s">
        <v>678</v>
      </c>
      <c r="G9">
        <v>1125</v>
      </c>
      <c r="H9" t="s">
        <v>4678</v>
      </c>
      <c r="I9" t="s">
        <v>3369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74"/>
  <sheetViews>
    <sheetView workbookViewId="0"/>
  </sheetViews>
  <sheetFormatPr defaultRowHeight="14.4" x14ac:dyDescent="0.3"/>
  <sheetData>
    <row r="1" spans="1:8" x14ac:dyDescent="0.3">
      <c r="A1" t="s">
        <v>2248</v>
      </c>
      <c r="B1" t="s">
        <v>2249</v>
      </c>
      <c r="C1" t="s">
        <v>3355</v>
      </c>
      <c r="D1" t="s">
        <v>566</v>
      </c>
      <c r="E1" t="s">
        <v>3356</v>
      </c>
      <c r="F1" t="s">
        <v>3357</v>
      </c>
      <c r="G1" t="s">
        <v>3358</v>
      </c>
      <c r="H1" t="s">
        <v>3359</v>
      </c>
    </row>
    <row r="2" spans="1:8" x14ac:dyDescent="0.3">
      <c r="A2">
        <v>103</v>
      </c>
      <c r="B2" t="s">
        <v>4683</v>
      </c>
      <c r="C2" s="452">
        <v>46209</v>
      </c>
      <c r="D2" t="s">
        <v>3360</v>
      </c>
      <c r="E2" t="s">
        <v>22</v>
      </c>
      <c r="F2">
        <v>20.98</v>
      </c>
      <c r="G2">
        <v>0</v>
      </c>
      <c r="H2">
        <v>20.98</v>
      </c>
    </row>
    <row r="3" spans="1:8" x14ac:dyDescent="0.3">
      <c r="A3">
        <v>103</v>
      </c>
      <c r="B3" t="s">
        <v>4683</v>
      </c>
      <c r="C3" s="452">
        <v>46209</v>
      </c>
      <c r="D3" t="s">
        <v>3360</v>
      </c>
      <c r="E3" t="s">
        <v>3362</v>
      </c>
      <c r="F3">
        <v>178</v>
      </c>
      <c r="G3">
        <v>10.68</v>
      </c>
      <c r="H3">
        <v>167.32</v>
      </c>
    </row>
    <row r="4" spans="1:8" x14ac:dyDescent="0.3">
      <c r="A4">
        <v>103</v>
      </c>
      <c r="B4" t="s">
        <v>4683</v>
      </c>
      <c r="C4" s="452">
        <v>46207</v>
      </c>
      <c r="D4" t="s">
        <v>3360</v>
      </c>
      <c r="E4" t="s">
        <v>3362</v>
      </c>
      <c r="F4">
        <v>45</v>
      </c>
      <c r="G4">
        <v>0</v>
      </c>
      <c r="H4">
        <v>45</v>
      </c>
    </row>
    <row r="5" spans="1:8" x14ac:dyDescent="0.3">
      <c r="A5">
        <v>103</v>
      </c>
      <c r="B5" t="s">
        <v>4683</v>
      </c>
      <c r="C5" s="452">
        <v>46207</v>
      </c>
      <c r="D5" t="s">
        <v>3360</v>
      </c>
      <c r="E5" t="s">
        <v>22</v>
      </c>
      <c r="F5">
        <v>0.99</v>
      </c>
      <c r="G5">
        <v>0</v>
      </c>
      <c r="H5">
        <v>0.99</v>
      </c>
    </row>
    <row r="6" spans="1:8" x14ac:dyDescent="0.3">
      <c r="A6">
        <v>103</v>
      </c>
      <c r="B6" t="s">
        <v>4683</v>
      </c>
      <c r="C6" s="452">
        <v>46204</v>
      </c>
      <c r="D6" t="s">
        <v>3360</v>
      </c>
      <c r="E6" t="s">
        <v>3362</v>
      </c>
      <c r="F6">
        <v>163</v>
      </c>
      <c r="G6">
        <v>29.75</v>
      </c>
      <c r="H6">
        <v>133.25</v>
      </c>
    </row>
    <row r="7" spans="1:8" x14ac:dyDescent="0.3">
      <c r="A7">
        <v>103</v>
      </c>
      <c r="B7" t="s">
        <v>4683</v>
      </c>
      <c r="C7" s="452">
        <v>46204</v>
      </c>
      <c r="D7" t="s">
        <v>3360</v>
      </c>
      <c r="E7" t="s">
        <v>22</v>
      </c>
      <c r="F7">
        <v>19.96</v>
      </c>
      <c r="G7">
        <v>0</v>
      </c>
      <c r="H7">
        <v>19.96</v>
      </c>
    </row>
    <row r="8" spans="1:8" x14ac:dyDescent="0.3">
      <c r="A8">
        <v>103</v>
      </c>
      <c r="B8" t="s">
        <v>4683</v>
      </c>
      <c r="C8" s="452">
        <v>46203</v>
      </c>
      <c r="D8" t="s">
        <v>3364</v>
      </c>
      <c r="E8" t="s">
        <v>22</v>
      </c>
      <c r="F8">
        <v>15.98</v>
      </c>
      <c r="G8">
        <v>0</v>
      </c>
      <c r="H8">
        <v>15.98</v>
      </c>
    </row>
    <row r="9" spans="1:8" x14ac:dyDescent="0.3">
      <c r="A9">
        <v>103</v>
      </c>
      <c r="B9" t="s">
        <v>4683</v>
      </c>
      <c r="C9" s="452">
        <v>46203</v>
      </c>
      <c r="D9" t="s">
        <v>3364</v>
      </c>
      <c r="E9" t="s">
        <v>3362</v>
      </c>
      <c r="F9">
        <v>96.6</v>
      </c>
      <c r="G9">
        <v>0</v>
      </c>
      <c r="H9">
        <v>96.6</v>
      </c>
    </row>
    <row r="10" spans="1:8" x14ac:dyDescent="0.3">
      <c r="A10">
        <v>103</v>
      </c>
      <c r="B10" t="s">
        <v>4683</v>
      </c>
      <c r="C10" s="452">
        <v>46200</v>
      </c>
      <c r="D10" t="s">
        <v>3364</v>
      </c>
      <c r="E10" t="s">
        <v>3362</v>
      </c>
      <c r="F10">
        <v>67.849999999999994</v>
      </c>
      <c r="G10">
        <v>0</v>
      </c>
      <c r="H10">
        <v>67.849999999999994</v>
      </c>
    </row>
    <row r="11" spans="1:8" x14ac:dyDescent="0.3">
      <c r="A11">
        <v>103</v>
      </c>
      <c r="B11" t="s">
        <v>4683</v>
      </c>
      <c r="C11" s="452">
        <v>46200</v>
      </c>
      <c r="D11" t="s">
        <v>3364</v>
      </c>
      <c r="E11" t="s">
        <v>22</v>
      </c>
      <c r="F11">
        <v>0.99</v>
      </c>
      <c r="G11">
        <v>0</v>
      </c>
      <c r="H11">
        <v>0.99</v>
      </c>
    </row>
    <row r="12" spans="1:8" x14ac:dyDescent="0.3">
      <c r="A12">
        <v>103</v>
      </c>
      <c r="B12" t="s">
        <v>4683</v>
      </c>
      <c r="C12" s="452">
        <v>46197</v>
      </c>
      <c r="D12" t="s">
        <v>3364</v>
      </c>
      <c r="E12" t="s">
        <v>22</v>
      </c>
      <c r="F12">
        <v>8.98</v>
      </c>
      <c r="G12">
        <v>0</v>
      </c>
      <c r="H12">
        <v>8.98</v>
      </c>
    </row>
    <row r="13" spans="1:8" x14ac:dyDescent="0.3">
      <c r="A13">
        <v>103</v>
      </c>
      <c r="B13" t="s">
        <v>4683</v>
      </c>
      <c r="C13" s="452">
        <v>46197</v>
      </c>
      <c r="D13" t="s">
        <v>3364</v>
      </c>
      <c r="E13" t="s">
        <v>3362</v>
      </c>
      <c r="F13">
        <v>102.35</v>
      </c>
      <c r="G13">
        <v>0</v>
      </c>
      <c r="H13">
        <v>102.35</v>
      </c>
    </row>
    <row r="14" spans="1:8" x14ac:dyDescent="0.3">
      <c r="A14">
        <v>103</v>
      </c>
      <c r="B14" t="s">
        <v>4683</v>
      </c>
      <c r="C14" s="452">
        <v>46195</v>
      </c>
      <c r="D14" t="s">
        <v>3364</v>
      </c>
      <c r="E14" t="s">
        <v>3361</v>
      </c>
      <c r="F14">
        <v>8</v>
      </c>
      <c r="G14">
        <v>0</v>
      </c>
      <c r="H14">
        <v>8</v>
      </c>
    </row>
    <row r="15" spans="1:8" x14ac:dyDescent="0.3">
      <c r="A15">
        <v>103</v>
      </c>
      <c r="B15" t="s">
        <v>4683</v>
      </c>
      <c r="C15" s="452">
        <v>46195</v>
      </c>
      <c r="D15" t="s">
        <v>3364</v>
      </c>
      <c r="E15" t="s">
        <v>22</v>
      </c>
      <c r="F15">
        <v>12.98</v>
      </c>
      <c r="G15">
        <v>0</v>
      </c>
      <c r="H15">
        <v>12.98</v>
      </c>
    </row>
    <row r="16" spans="1:8" x14ac:dyDescent="0.3">
      <c r="A16">
        <v>103</v>
      </c>
      <c r="B16" t="s">
        <v>4683</v>
      </c>
      <c r="C16" s="452">
        <v>46195</v>
      </c>
      <c r="D16" t="s">
        <v>3364</v>
      </c>
      <c r="E16" t="s">
        <v>3362</v>
      </c>
      <c r="F16">
        <v>65.55</v>
      </c>
      <c r="G16">
        <v>0</v>
      </c>
      <c r="H16">
        <v>65.55</v>
      </c>
    </row>
    <row r="17" spans="1:8" x14ac:dyDescent="0.3">
      <c r="A17">
        <v>103</v>
      </c>
      <c r="B17" t="s">
        <v>4683</v>
      </c>
      <c r="C17" s="452">
        <v>46193</v>
      </c>
      <c r="D17" t="s">
        <v>3364</v>
      </c>
      <c r="E17" t="s">
        <v>3362</v>
      </c>
      <c r="F17">
        <v>67.849999999999994</v>
      </c>
      <c r="G17">
        <v>0</v>
      </c>
      <c r="H17">
        <v>67.849999999999994</v>
      </c>
    </row>
    <row r="18" spans="1:8" x14ac:dyDescent="0.3">
      <c r="A18">
        <v>103</v>
      </c>
      <c r="B18" t="s">
        <v>4683</v>
      </c>
      <c r="C18" s="452">
        <v>46193</v>
      </c>
      <c r="D18" t="s">
        <v>3364</v>
      </c>
      <c r="E18" t="s">
        <v>22</v>
      </c>
      <c r="F18">
        <v>0.99</v>
      </c>
      <c r="G18">
        <v>0</v>
      </c>
      <c r="H18">
        <v>0.99</v>
      </c>
    </row>
    <row r="19" spans="1:8" x14ac:dyDescent="0.3">
      <c r="A19">
        <v>103</v>
      </c>
      <c r="B19" t="s">
        <v>4683</v>
      </c>
      <c r="C19" s="452">
        <v>46190</v>
      </c>
      <c r="D19" t="s">
        <v>3364</v>
      </c>
      <c r="E19" t="s">
        <v>3362</v>
      </c>
      <c r="F19">
        <v>48.3</v>
      </c>
      <c r="G19">
        <v>12.07</v>
      </c>
      <c r="H19">
        <v>36.229999999999997</v>
      </c>
    </row>
    <row r="20" spans="1:8" x14ac:dyDescent="0.3">
      <c r="A20">
        <v>103</v>
      </c>
      <c r="B20" t="s">
        <v>4683</v>
      </c>
      <c r="C20" s="452">
        <v>46190</v>
      </c>
      <c r="D20" t="s">
        <v>3364</v>
      </c>
      <c r="E20" t="s">
        <v>22</v>
      </c>
      <c r="F20">
        <v>7.98</v>
      </c>
      <c r="G20">
        <v>0</v>
      </c>
      <c r="H20">
        <v>7.98</v>
      </c>
    </row>
    <row r="21" spans="1:8" x14ac:dyDescent="0.3">
      <c r="A21">
        <v>103</v>
      </c>
      <c r="B21" t="s">
        <v>4683</v>
      </c>
      <c r="C21" s="452">
        <v>46186</v>
      </c>
      <c r="D21" t="s">
        <v>3364</v>
      </c>
      <c r="E21" t="s">
        <v>3362</v>
      </c>
      <c r="F21">
        <v>51.75</v>
      </c>
      <c r="G21">
        <v>11.38</v>
      </c>
      <c r="H21">
        <v>40.369999999999997</v>
      </c>
    </row>
    <row r="22" spans="1:8" x14ac:dyDescent="0.3">
      <c r="A22">
        <v>103</v>
      </c>
      <c r="B22" t="s">
        <v>4683</v>
      </c>
      <c r="C22" s="452">
        <v>46186</v>
      </c>
      <c r="D22" t="s">
        <v>3364</v>
      </c>
      <c r="E22" t="s">
        <v>22</v>
      </c>
      <c r="F22">
        <v>8.98</v>
      </c>
      <c r="G22">
        <v>0</v>
      </c>
      <c r="H22">
        <v>8.98</v>
      </c>
    </row>
    <row r="23" spans="1:8" x14ac:dyDescent="0.3">
      <c r="A23">
        <v>103</v>
      </c>
      <c r="B23" t="s">
        <v>4683</v>
      </c>
      <c r="C23" s="452">
        <v>46185</v>
      </c>
      <c r="D23" t="s">
        <v>3364</v>
      </c>
      <c r="E23" t="s">
        <v>22</v>
      </c>
      <c r="F23">
        <v>0.99</v>
      </c>
      <c r="G23">
        <v>0</v>
      </c>
      <c r="H23">
        <v>0.99</v>
      </c>
    </row>
    <row r="24" spans="1:8" x14ac:dyDescent="0.3">
      <c r="A24">
        <v>103</v>
      </c>
      <c r="B24" t="s">
        <v>4683</v>
      </c>
      <c r="C24" s="452">
        <v>46185</v>
      </c>
      <c r="D24" t="s">
        <v>3364</v>
      </c>
      <c r="E24" t="s">
        <v>3362</v>
      </c>
      <c r="F24">
        <v>112.7</v>
      </c>
      <c r="G24">
        <v>11.27</v>
      </c>
      <c r="H24">
        <v>101.43</v>
      </c>
    </row>
    <row r="25" spans="1:8" x14ac:dyDescent="0.3">
      <c r="A25">
        <v>103</v>
      </c>
      <c r="B25" t="s">
        <v>4683</v>
      </c>
      <c r="C25" s="452">
        <v>46184</v>
      </c>
      <c r="D25" t="s">
        <v>3364</v>
      </c>
      <c r="E25" t="s">
        <v>3362</v>
      </c>
      <c r="F25">
        <v>51.75</v>
      </c>
      <c r="G25">
        <v>11.38</v>
      </c>
      <c r="H25">
        <v>40.369999999999997</v>
      </c>
    </row>
    <row r="26" spans="1:8" x14ac:dyDescent="0.3">
      <c r="A26">
        <v>103</v>
      </c>
      <c r="B26" t="s">
        <v>4683</v>
      </c>
      <c r="C26" s="452">
        <v>46184</v>
      </c>
      <c r="D26" t="s">
        <v>3364</v>
      </c>
      <c r="E26" t="s">
        <v>22</v>
      </c>
      <c r="F26">
        <v>0.99</v>
      </c>
      <c r="G26">
        <v>0</v>
      </c>
      <c r="H26">
        <v>0.99</v>
      </c>
    </row>
    <row r="27" spans="1:8" x14ac:dyDescent="0.3">
      <c r="A27">
        <v>103</v>
      </c>
      <c r="B27" t="s">
        <v>4683</v>
      </c>
      <c r="C27" s="452">
        <v>46183</v>
      </c>
      <c r="D27" t="s">
        <v>3364</v>
      </c>
      <c r="E27" t="s">
        <v>3362</v>
      </c>
      <c r="F27">
        <v>135.69999999999999</v>
      </c>
      <c r="G27">
        <v>9.61</v>
      </c>
      <c r="H27">
        <v>126.09</v>
      </c>
    </row>
    <row r="28" spans="1:8" x14ac:dyDescent="0.3">
      <c r="A28">
        <v>103</v>
      </c>
      <c r="B28" t="s">
        <v>4683</v>
      </c>
      <c r="C28" s="452">
        <v>46183</v>
      </c>
      <c r="D28" t="s">
        <v>3364</v>
      </c>
      <c r="E28" t="s">
        <v>3361</v>
      </c>
      <c r="F28">
        <v>8</v>
      </c>
      <c r="G28">
        <v>0.56999999999999995</v>
      </c>
      <c r="H28">
        <v>7.43</v>
      </c>
    </row>
    <row r="29" spans="1:8" x14ac:dyDescent="0.3">
      <c r="A29">
        <v>103</v>
      </c>
      <c r="B29" t="s">
        <v>4683</v>
      </c>
      <c r="C29" s="452">
        <v>46183</v>
      </c>
      <c r="D29" t="s">
        <v>3364</v>
      </c>
      <c r="E29" t="s">
        <v>22</v>
      </c>
      <c r="F29">
        <v>0.99</v>
      </c>
      <c r="G29">
        <v>0</v>
      </c>
      <c r="H29">
        <v>0.99</v>
      </c>
    </row>
    <row r="30" spans="1:8" x14ac:dyDescent="0.3">
      <c r="A30">
        <v>103</v>
      </c>
      <c r="B30" t="s">
        <v>4683</v>
      </c>
      <c r="C30" s="452">
        <v>46176</v>
      </c>
      <c r="D30" t="s">
        <v>3364</v>
      </c>
      <c r="E30" t="s">
        <v>3362</v>
      </c>
      <c r="F30">
        <v>116.15</v>
      </c>
      <c r="G30">
        <v>25.49</v>
      </c>
      <c r="H30">
        <v>90.66</v>
      </c>
    </row>
    <row r="31" spans="1:8" x14ac:dyDescent="0.3">
      <c r="A31">
        <v>103</v>
      </c>
      <c r="B31" t="s">
        <v>4683</v>
      </c>
      <c r="C31" s="452">
        <v>46176</v>
      </c>
      <c r="D31" t="s">
        <v>3364</v>
      </c>
      <c r="E31" t="s">
        <v>22</v>
      </c>
      <c r="F31">
        <v>8.9700000000000006</v>
      </c>
      <c r="G31">
        <v>0</v>
      </c>
      <c r="H31">
        <v>8.9700000000000006</v>
      </c>
    </row>
    <row r="32" spans="1:8" x14ac:dyDescent="0.3">
      <c r="A32">
        <v>103</v>
      </c>
      <c r="B32" t="s">
        <v>4683</v>
      </c>
      <c r="C32" s="452">
        <v>46176</v>
      </c>
      <c r="D32" t="s">
        <v>3364</v>
      </c>
      <c r="E32" t="s">
        <v>3361</v>
      </c>
      <c r="F32">
        <v>8</v>
      </c>
      <c r="G32">
        <v>1.58</v>
      </c>
      <c r="H32">
        <v>6.42</v>
      </c>
    </row>
    <row r="33" spans="1:8" x14ac:dyDescent="0.3">
      <c r="A33">
        <v>103</v>
      </c>
      <c r="B33" t="s">
        <v>4683</v>
      </c>
      <c r="C33" s="452">
        <v>46171</v>
      </c>
      <c r="D33" t="s">
        <v>3365</v>
      </c>
      <c r="E33" t="s">
        <v>3362</v>
      </c>
      <c r="F33">
        <v>51.75</v>
      </c>
      <c r="G33">
        <v>19.43</v>
      </c>
      <c r="H33">
        <v>32.32</v>
      </c>
    </row>
    <row r="34" spans="1:8" x14ac:dyDescent="0.3">
      <c r="A34">
        <v>103</v>
      </c>
      <c r="B34" t="s">
        <v>4683</v>
      </c>
      <c r="C34" s="452">
        <v>46171</v>
      </c>
      <c r="D34" t="s">
        <v>3365</v>
      </c>
      <c r="E34" t="s">
        <v>3361</v>
      </c>
      <c r="F34">
        <v>8</v>
      </c>
      <c r="G34">
        <v>3.01</v>
      </c>
      <c r="H34">
        <v>4.99</v>
      </c>
    </row>
    <row r="35" spans="1:8" x14ac:dyDescent="0.3">
      <c r="A35">
        <v>103</v>
      </c>
      <c r="B35" t="s">
        <v>4683</v>
      </c>
      <c r="C35" s="452">
        <v>46171</v>
      </c>
      <c r="D35" t="s">
        <v>3365</v>
      </c>
      <c r="E35" t="s">
        <v>22</v>
      </c>
      <c r="F35">
        <v>0.99</v>
      </c>
      <c r="G35">
        <v>0</v>
      </c>
      <c r="H35">
        <v>0.99</v>
      </c>
    </row>
    <row r="36" spans="1:8" x14ac:dyDescent="0.3">
      <c r="A36">
        <v>103</v>
      </c>
      <c r="B36" t="s">
        <v>4683</v>
      </c>
      <c r="C36" s="452">
        <v>46170</v>
      </c>
      <c r="D36" t="s">
        <v>3365</v>
      </c>
      <c r="E36" t="s">
        <v>3362</v>
      </c>
      <c r="F36">
        <v>67.849999999999994</v>
      </c>
      <c r="G36">
        <v>0</v>
      </c>
      <c r="H36">
        <v>67.849999999999994</v>
      </c>
    </row>
    <row r="37" spans="1:8" x14ac:dyDescent="0.3">
      <c r="A37">
        <v>103</v>
      </c>
      <c r="B37" t="s">
        <v>4683</v>
      </c>
      <c r="C37" s="452">
        <v>46170</v>
      </c>
      <c r="D37" t="s">
        <v>3365</v>
      </c>
      <c r="E37" t="s">
        <v>22</v>
      </c>
      <c r="F37">
        <v>6.98</v>
      </c>
      <c r="G37">
        <v>0</v>
      </c>
      <c r="H37">
        <v>6.98</v>
      </c>
    </row>
    <row r="38" spans="1:8" x14ac:dyDescent="0.3">
      <c r="A38">
        <v>103</v>
      </c>
      <c r="B38" t="s">
        <v>4683</v>
      </c>
      <c r="C38" s="452">
        <v>46158</v>
      </c>
      <c r="D38" t="s">
        <v>3365</v>
      </c>
      <c r="E38" t="s">
        <v>3362</v>
      </c>
      <c r="F38">
        <v>216.2</v>
      </c>
      <c r="G38">
        <v>11.27</v>
      </c>
      <c r="H38">
        <v>204.93</v>
      </c>
    </row>
    <row r="39" spans="1:8" x14ac:dyDescent="0.3">
      <c r="A39">
        <v>103</v>
      </c>
      <c r="B39" t="s">
        <v>4683</v>
      </c>
      <c r="C39" s="452">
        <v>46158</v>
      </c>
      <c r="D39" t="s">
        <v>3365</v>
      </c>
      <c r="E39" t="s">
        <v>22</v>
      </c>
      <c r="F39">
        <v>25.96</v>
      </c>
      <c r="G39">
        <v>0</v>
      </c>
      <c r="H39">
        <v>25.96</v>
      </c>
    </row>
    <row r="40" spans="1:8" x14ac:dyDescent="0.3">
      <c r="A40">
        <v>103</v>
      </c>
      <c r="B40" t="s">
        <v>4683</v>
      </c>
      <c r="C40" s="452">
        <v>46157</v>
      </c>
      <c r="D40" t="s">
        <v>3365</v>
      </c>
      <c r="E40" t="s">
        <v>3362</v>
      </c>
      <c r="F40">
        <v>257.60000000000002</v>
      </c>
      <c r="G40">
        <v>10</v>
      </c>
      <c r="H40">
        <v>247.6</v>
      </c>
    </row>
    <row r="41" spans="1:8" x14ac:dyDescent="0.3">
      <c r="A41">
        <v>103</v>
      </c>
      <c r="B41" t="s">
        <v>4683</v>
      </c>
      <c r="C41" s="452">
        <v>46157</v>
      </c>
      <c r="D41" t="s">
        <v>3365</v>
      </c>
      <c r="E41" t="s">
        <v>22</v>
      </c>
      <c r="F41">
        <v>1.98</v>
      </c>
      <c r="G41">
        <v>0</v>
      </c>
      <c r="H41">
        <v>1.98</v>
      </c>
    </row>
    <row r="42" spans="1:8" x14ac:dyDescent="0.3">
      <c r="A42">
        <v>103</v>
      </c>
      <c r="B42" t="s">
        <v>4683</v>
      </c>
      <c r="C42" s="452">
        <v>46153</v>
      </c>
      <c r="D42" t="s">
        <v>3365</v>
      </c>
      <c r="E42" t="s">
        <v>3361</v>
      </c>
      <c r="F42">
        <v>8</v>
      </c>
      <c r="G42">
        <v>0</v>
      </c>
      <c r="H42">
        <v>8</v>
      </c>
    </row>
    <row r="43" spans="1:8" x14ac:dyDescent="0.3">
      <c r="A43">
        <v>103</v>
      </c>
      <c r="B43" t="s">
        <v>4683</v>
      </c>
      <c r="C43" s="452">
        <v>46153</v>
      </c>
      <c r="D43" t="s">
        <v>3365</v>
      </c>
      <c r="E43" t="s">
        <v>22</v>
      </c>
      <c r="F43">
        <v>1.98</v>
      </c>
      <c r="G43">
        <v>0</v>
      </c>
      <c r="H43">
        <v>1.98</v>
      </c>
    </row>
    <row r="44" spans="1:8" x14ac:dyDescent="0.3">
      <c r="A44">
        <v>103</v>
      </c>
      <c r="B44" t="s">
        <v>4683</v>
      </c>
      <c r="C44" s="452">
        <v>46153</v>
      </c>
      <c r="D44" t="s">
        <v>3365</v>
      </c>
      <c r="E44" t="s">
        <v>3362</v>
      </c>
      <c r="F44">
        <v>110.4</v>
      </c>
      <c r="G44">
        <v>15</v>
      </c>
      <c r="H44">
        <v>95.4</v>
      </c>
    </row>
    <row r="45" spans="1:8" x14ac:dyDescent="0.3">
      <c r="A45">
        <v>103</v>
      </c>
      <c r="B45" t="s">
        <v>4683</v>
      </c>
      <c r="C45" s="452">
        <v>46151</v>
      </c>
      <c r="D45" t="s">
        <v>3365</v>
      </c>
      <c r="E45" t="s">
        <v>3362</v>
      </c>
      <c r="F45">
        <v>181.7</v>
      </c>
      <c r="G45">
        <v>12</v>
      </c>
      <c r="H45">
        <v>169.7</v>
      </c>
    </row>
    <row r="46" spans="1:8" x14ac:dyDescent="0.3">
      <c r="A46">
        <v>103</v>
      </c>
      <c r="B46" t="s">
        <v>4683</v>
      </c>
      <c r="C46" s="452">
        <v>46151</v>
      </c>
      <c r="D46" t="s">
        <v>3365</v>
      </c>
      <c r="E46" t="s">
        <v>22</v>
      </c>
      <c r="F46">
        <v>0.99</v>
      </c>
      <c r="G46">
        <v>0</v>
      </c>
      <c r="H46">
        <v>0.99</v>
      </c>
    </row>
    <row r="47" spans="1:8" x14ac:dyDescent="0.3">
      <c r="A47">
        <v>103</v>
      </c>
      <c r="B47" t="s">
        <v>4683</v>
      </c>
      <c r="C47" s="452">
        <v>46150</v>
      </c>
      <c r="D47" t="s">
        <v>3365</v>
      </c>
      <c r="E47" t="s">
        <v>3362</v>
      </c>
      <c r="F47">
        <v>67.849999999999994</v>
      </c>
      <c r="G47">
        <v>0</v>
      </c>
      <c r="H47">
        <v>67.849999999999994</v>
      </c>
    </row>
    <row r="48" spans="1:8" x14ac:dyDescent="0.3">
      <c r="A48">
        <v>103</v>
      </c>
      <c r="B48" t="s">
        <v>4683</v>
      </c>
      <c r="C48" s="452">
        <v>46150</v>
      </c>
      <c r="D48" t="s">
        <v>3365</v>
      </c>
      <c r="E48" t="s">
        <v>22</v>
      </c>
      <c r="F48">
        <v>5.98</v>
      </c>
      <c r="G48">
        <v>0</v>
      </c>
      <c r="H48">
        <v>5.98</v>
      </c>
    </row>
    <row r="49" spans="1:8" x14ac:dyDescent="0.3">
      <c r="A49">
        <v>103</v>
      </c>
      <c r="B49" t="s">
        <v>4683</v>
      </c>
      <c r="C49" s="452">
        <v>46149</v>
      </c>
      <c r="D49" t="s">
        <v>3365</v>
      </c>
      <c r="E49" t="s">
        <v>3362</v>
      </c>
      <c r="F49">
        <v>195.5</v>
      </c>
      <c r="G49">
        <v>19.77</v>
      </c>
      <c r="H49">
        <v>175.73</v>
      </c>
    </row>
    <row r="50" spans="1:8" x14ac:dyDescent="0.3">
      <c r="A50">
        <v>103</v>
      </c>
      <c r="B50" t="s">
        <v>4683</v>
      </c>
      <c r="C50" s="452">
        <v>46149</v>
      </c>
      <c r="D50" t="s">
        <v>3365</v>
      </c>
      <c r="E50" t="s">
        <v>3361</v>
      </c>
      <c r="F50">
        <v>8</v>
      </c>
      <c r="G50">
        <v>0.59</v>
      </c>
      <c r="H50">
        <v>7.41</v>
      </c>
    </row>
    <row r="51" spans="1:8" x14ac:dyDescent="0.3">
      <c r="A51">
        <v>103</v>
      </c>
      <c r="B51" t="s">
        <v>4683</v>
      </c>
      <c r="C51" s="452">
        <v>46149</v>
      </c>
      <c r="D51" t="s">
        <v>3365</v>
      </c>
      <c r="E51" t="s">
        <v>22</v>
      </c>
      <c r="F51">
        <v>28.96</v>
      </c>
      <c r="G51">
        <v>0</v>
      </c>
      <c r="H51">
        <v>28.96</v>
      </c>
    </row>
    <row r="52" spans="1:8" x14ac:dyDescent="0.3">
      <c r="A52">
        <v>103</v>
      </c>
      <c r="B52" t="s">
        <v>4683</v>
      </c>
      <c r="C52" s="452">
        <v>46141</v>
      </c>
      <c r="D52" t="s">
        <v>3366</v>
      </c>
      <c r="E52" t="s">
        <v>3362</v>
      </c>
      <c r="F52">
        <v>119.6</v>
      </c>
      <c r="G52">
        <v>5</v>
      </c>
      <c r="H52">
        <v>114.6</v>
      </c>
    </row>
    <row r="53" spans="1:8" x14ac:dyDescent="0.3">
      <c r="A53">
        <v>103</v>
      </c>
      <c r="B53" t="s">
        <v>4683</v>
      </c>
      <c r="C53" s="452">
        <v>46141</v>
      </c>
      <c r="D53" t="s">
        <v>3366</v>
      </c>
      <c r="E53" t="s">
        <v>22</v>
      </c>
      <c r="F53">
        <v>22.96</v>
      </c>
      <c r="G53">
        <v>0</v>
      </c>
      <c r="H53">
        <v>22.96</v>
      </c>
    </row>
    <row r="54" spans="1:8" x14ac:dyDescent="0.3">
      <c r="A54">
        <v>103</v>
      </c>
      <c r="B54" t="s">
        <v>4683</v>
      </c>
      <c r="C54" s="452">
        <v>46140</v>
      </c>
      <c r="D54" t="s">
        <v>3366</v>
      </c>
      <c r="E54" t="s">
        <v>3362</v>
      </c>
      <c r="F54">
        <v>96.6</v>
      </c>
      <c r="G54">
        <v>4.99</v>
      </c>
      <c r="H54">
        <v>91.61</v>
      </c>
    </row>
    <row r="55" spans="1:8" x14ac:dyDescent="0.3">
      <c r="A55">
        <v>103</v>
      </c>
      <c r="B55" t="s">
        <v>4683</v>
      </c>
      <c r="C55" s="452">
        <v>46140</v>
      </c>
      <c r="D55" t="s">
        <v>3366</v>
      </c>
      <c r="E55" t="s">
        <v>22</v>
      </c>
      <c r="F55">
        <v>14.98</v>
      </c>
      <c r="G55">
        <v>0</v>
      </c>
      <c r="H55">
        <v>14.98</v>
      </c>
    </row>
    <row r="56" spans="1:8" x14ac:dyDescent="0.3">
      <c r="A56">
        <v>103</v>
      </c>
      <c r="B56" t="s">
        <v>4683</v>
      </c>
      <c r="C56" s="452">
        <v>46137</v>
      </c>
      <c r="D56" t="s">
        <v>3366</v>
      </c>
      <c r="E56" t="s">
        <v>3362</v>
      </c>
      <c r="F56">
        <v>127.65</v>
      </c>
      <c r="G56">
        <v>0</v>
      </c>
      <c r="H56">
        <v>127.65</v>
      </c>
    </row>
    <row r="57" spans="1:8" x14ac:dyDescent="0.3">
      <c r="A57">
        <v>103</v>
      </c>
      <c r="B57" t="s">
        <v>4683</v>
      </c>
      <c r="C57" s="452">
        <v>46137</v>
      </c>
      <c r="D57" t="s">
        <v>3366</v>
      </c>
      <c r="E57" t="s">
        <v>22</v>
      </c>
      <c r="F57">
        <v>6.97</v>
      </c>
      <c r="G57">
        <v>0</v>
      </c>
      <c r="H57">
        <v>6.97</v>
      </c>
    </row>
    <row r="58" spans="1:8" x14ac:dyDescent="0.3">
      <c r="A58">
        <v>103</v>
      </c>
      <c r="B58" t="s">
        <v>4683</v>
      </c>
      <c r="C58" s="452">
        <v>46136</v>
      </c>
      <c r="D58" t="s">
        <v>3366</v>
      </c>
      <c r="E58" t="s">
        <v>3362</v>
      </c>
      <c r="F58">
        <v>121.9</v>
      </c>
      <c r="G58">
        <v>5</v>
      </c>
      <c r="H58">
        <v>116.9</v>
      </c>
    </row>
    <row r="59" spans="1:8" x14ac:dyDescent="0.3">
      <c r="A59">
        <v>103</v>
      </c>
      <c r="B59" t="s">
        <v>4683</v>
      </c>
      <c r="C59" s="452">
        <v>46136</v>
      </c>
      <c r="D59" t="s">
        <v>3366</v>
      </c>
      <c r="E59" t="s">
        <v>22</v>
      </c>
      <c r="F59">
        <v>12.98</v>
      </c>
      <c r="G59">
        <v>0</v>
      </c>
      <c r="H59">
        <v>12.98</v>
      </c>
    </row>
    <row r="60" spans="1:8" x14ac:dyDescent="0.3">
      <c r="A60">
        <v>103</v>
      </c>
      <c r="B60" t="s">
        <v>4683</v>
      </c>
      <c r="C60" s="452">
        <v>46133</v>
      </c>
      <c r="D60" t="s">
        <v>3366</v>
      </c>
      <c r="E60" t="s">
        <v>3362</v>
      </c>
      <c r="F60">
        <v>96.6</v>
      </c>
      <c r="G60">
        <v>0</v>
      </c>
      <c r="H60">
        <v>96.6</v>
      </c>
    </row>
    <row r="61" spans="1:8" x14ac:dyDescent="0.3">
      <c r="A61">
        <v>103</v>
      </c>
      <c r="B61" t="s">
        <v>4683</v>
      </c>
      <c r="C61" s="452">
        <v>46133</v>
      </c>
      <c r="D61" t="s">
        <v>3366</v>
      </c>
      <c r="E61" t="s">
        <v>22</v>
      </c>
      <c r="F61">
        <v>10.98</v>
      </c>
      <c r="G61">
        <v>0</v>
      </c>
      <c r="H61">
        <v>10.98</v>
      </c>
    </row>
    <row r="62" spans="1:8" x14ac:dyDescent="0.3">
      <c r="A62">
        <v>103</v>
      </c>
      <c r="B62" t="s">
        <v>4683</v>
      </c>
      <c r="C62" s="452">
        <v>46133</v>
      </c>
      <c r="D62" t="s">
        <v>3366</v>
      </c>
      <c r="E62" t="s">
        <v>3361</v>
      </c>
      <c r="F62">
        <v>8</v>
      </c>
      <c r="G62">
        <v>0</v>
      </c>
      <c r="H62">
        <v>8</v>
      </c>
    </row>
    <row r="63" spans="1:8" x14ac:dyDescent="0.3">
      <c r="A63">
        <v>103</v>
      </c>
      <c r="B63" t="s">
        <v>4683</v>
      </c>
      <c r="C63" s="452">
        <v>46130</v>
      </c>
      <c r="D63" t="s">
        <v>3366</v>
      </c>
      <c r="E63" t="s">
        <v>3362</v>
      </c>
      <c r="F63">
        <v>67.849999999999994</v>
      </c>
      <c r="G63">
        <v>0</v>
      </c>
      <c r="H63">
        <v>67.849999999999994</v>
      </c>
    </row>
    <row r="64" spans="1:8" x14ac:dyDescent="0.3">
      <c r="A64">
        <v>103</v>
      </c>
      <c r="B64" t="s">
        <v>4683</v>
      </c>
      <c r="C64" s="452">
        <v>46130</v>
      </c>
      <c r="D64" t="s">
        <v>3366</v>
      </c>
      <c r="E64" t="s">
        <v>22</v>
      </c>
      <c r="F64">
        <v>4.9800000000000004</v>
      </c>
      <c r="G64">
        <v>0</v>
      </c>
      <c r="H64">
        <v>4.9800000000000004</v>
      </c>
    </row>
    <row r="65" spans="1:8" x14ac:dyDescent="0.3">
      <c r="A65">
        <v>103</v>
      </c>
      <c r="B65" t="s">
        <v>4683</v>
      </c>
      <c r="C65" s="452">
        <v>46129</v>
      </c>
      <c r="D65" t="s">
        <v>3366</v>
      </c>
      <c r="E65" t="s">
        <v>3362</v>
      </c>
      <c r="F65">
        <v>112.7</v>
      </c>
      <c r="G65">
        <v>5</v>
      </c>
      <c r="H65">
        <v>107.7</v>
      </c>
    </row>
    <row r="66" spans="1:8" x14ac:dyDescent="0.3">
      <c r="A66">
        <v>103</v>
      </c>
      <c r="B66" t="s">
        <v>4683</v>
      </c>
      <c r="C66" s="452">
        <v>46129</v>
      </c>
      <c r="D66" t="s">
        <v>3366</v>
      </c>
      <c r="E66" t="s">
        <v>22</v>
      </c>
      <c r="F66">
        <v>9.98</v>
      </c>
      <c r="G66">
        <v>0</v>
      </c>
      <c r="H66">
        <v>9.98</v>
      </c>
    </row>
    <row r="67" spans="1:8" x14ac:dyDescent="0.3">
      <c r="A67">
        <v>103</v>
      </c>
      <c r="B67" t="s">
        <v>4683</v>
      </c>
      <c r="C67" s="452">
        <v>46128</v>
      </c>
      <c r="D67" t="s">
        <v>3366</v>
      </c>
      <c r="E67" t="s">
        <v>22</v>
      </c>
      <c r="F67">
        <v>6.98</v>
      </c>
      <c r="G67">
        <v>0</v>
      </c>
      <c r="H67">
        <v>6.98</v>
      </c>
    </row>
    <row r="68" spans="1:8" x14ac:dyDescent="0.3">
      <c r="A68">
        <v>103</v>
      </c>
      <c r="B68" t="s">
        <v>4683</v>
      </c>
      <c r="C68" s="452">
        <v>46128</v>
      </c>
      <c r="D68" t="s">
        <v>3366</v>
      </c>
      <c r="E68" t="s">
        <v>3362</v>
      </c>
      <c r="F68">
        <v>67.849999999999994</v>
      </c>
      <c r="G68">
        <v>0</v>
      </c>
      <c r="H68">
        <v>67.849999999999994</v>
      </c>
    </row>
    <row r="69" spans="1:8" x14ac:dyDescent="0.3">
      <c r="A69">
        <v>103</v>
      </c>
      <c r="B69" t="s">
        <v>4683</v>
      </c>
      <c r="C69" s="452">
        <v>46123</v>
      </c>
      <c r="D69" t="s">
        <v>3366</v>
      </c>
      <c r="E69" t="s">
        <v>3362</v>
      </c>
      <c r="F69">
        <v>103.5</v>
      </c>
      <c r="G69">
        <v>5</v>
      </c>
      <c r="H69">
        <v>98.5</v>
      </c>
    </row>
    <row r="70" spans="1:8" x14ac:dyDescent="0.3">
      <c r="A70">
        <v>103</v>
      </c>
      <c r="B70" t="s">
        <v>4683</v>
      </c>
      <c r="C70" s="452">
        <v>46123</v>
      </c>
      <c r="D70" t="s">
        <v>3366</v>
      </c>
      <c r="E70" t="s">
        <v>22</v>
      </c>
      <c r="F70">
        <v>7.98</v>
      </c>
      <c r="G70">
        <v>0</v>
      </c>
      <c r="H70">
        <v>7.98</v>
      </c>
    </row>
    <row r="71" spans="1:8" x14ac:dyDescent="0.3">
      <c r="A71">
        <v>103</v>
      </c>
      <c r="B71" t="s">
        <v>4683</v>
      </c>
      <c r="C71" s="452">
        <v>46121</v>
      </c>
      <c r="D71" t="s">
        <v>3366</v>
      </c>
      <c r="E71" t="s">
        <v>3362</v>
      </c>
      <c r="F71">
        <v>194.35</v>
      </c>
      <c r="G71">
        <v>10</v>
      </c>
      <c r="H71">
        <v>184.35</v>
      </c>
    </row>
    <row r="72" spans="1:8" x14ac:dyDescent="0.3">
      <c r="A72">
        <v>103</v>
      </c>
      <c r="B72" t="s">
        <v>4683</v>
      </c>
      <c r="C72" s="452">
        <v>46121</v>
      </c>
      <c r="D72" t="s">
        <v>3366</v>
      </c>
      <c r="E72" t="s">
        <v>22</v>
      </c>
      <c r="F72">
        <v>40.96</v>
      </c>
      <c r="G72">
        <v>0</v>
      </c>
      <c r="H72">
        <v>40.96</v>
      </c>
    </row>
    <row r="73" spans="1:8" x14ac:dyDescent="0.3">
      <c r="A73">
        <v>103</v>
      </c>
      <c r="B73" t="s">
        <v>4683</v>
      </c>
      <c r="C73" s="452">
        <v>46119</v>
      </c>
      <c r="D73" t="s">
        <v>3366</v>
      </c>
      <c r="E73" t="s">
        <v>3362</v>
      </c>
      <c r="F73">
        <v>349.6</v>
      </c>
      <c r="G73">
        <v>4.99</v>
      </c>
      <c r="H73">
        <v>344.61</v>
      </c>
    </row>
    <row r="74" spans="1:8" x14ac:dyDescent="0.3">
      <c r="A74">
        <v>103</v>
      </c>
      <c r="B74" t="s">
        <v>4683</v>
      </c>
      <c r="C74" s="452">
        <v>46119</v>
      </c>
      <c r="D74" t="s">
        <v>3366</v>
      </c>
      <c r="E74" t="s">
        <v>22</v>
      </c>
      <c r="F74">
        <v>22.96</v>
      </c>
      <c r="G74">
        <v>0</v>
      </c>
      <c r="H74">
        <v>22.96</v>
      </c>
    </row>
    <row r="75" spans="1:8" x14ac:dyDescent="0.3">
      <c r="A75">
        <v>103</v>
      </c>
      <c r="B75" t="s">
        <v>4683</v>
      </c>
      <c r="C75" s="452">
        <v>46118</v>
      </c>
      <c r="D75" t="s">
        <v>3366</v>
      </c>
      <c r="E75" t="s">
        <v>3362</v>
      </c>
      <c r="F75">
        <v>168</v>
      </c>
      <c r="G75">
        <v>0</v>
      </c>
      <c r="H75">
        <v>168</v>
      </c>
    </row>
    <row r="76" spans="1:8" x14ac:dyDescent="0.3">
      <c r="A76">
        <v>103</v>
      </c>
      <c r="B76" t="s">
        <v>4683</v>
      </c>
      <c r="C76" s="452">
        <v>46116</v>
      </c>
      <c r="D76" t="s">
        <v>3366</v>
      </c>
      <c r="E76" t="s">
        <v>3362</v>
      </c>
      <c r="F76">
        <v>210</v>
      </c>
      <c r="G76">
        <v>0</v>
      </c>
      <c r="H76">
        <v>210</v>
      </c>
    </row>
    <row r="77" spans="1:8" x14ac:dyDescent="0.3">
      <c r="A77">
        <v>103</v>
      </c>
      <c r="B77" t="s">
        <v>4683</v>
      </c>
      <c r="C77" s="452">
        <v>46116</v>
      </c>
      <c r="D77" t="s">
        <v>3366</v>
      </c>
      <c r="E77" t="s">
        <v>3361</v>
      </c>
      <c r="F77">
        <v>8</v>
      </c>
      <c r="G77">
        <v>0</v>
      </c>
      <c r="H77">
        <v>8</v>
      </c>
    </row>
    <row r="78" spans="1:8" x14ac:dyDescent="0.3">
      <c r="A78">
        <v>103</v>
      </c>
      <c r="B78" t="s">
        <v>4683</v>
      </c>
      <c r="C78" s="452">
        <v>46114</v>
      </c>
      <c r="D78" t="s">
        <v>3366</v>
      </c>
      <c r="E78" t="s">
        <v>3362</v>
      </c>
      <c r="F78">
        <v>269.55</v>
      </c>
      <c r="G78">
        <v>10</v>
      </c>
      <c r="H78">
        <v>259.55</v>
      </c>
    </row>
    <row r="79" spans="1:8" x14ac:dyDescent="0.3">
      <c r="A79">
        <v>103</v>
      </c>
      <c r="B79" t="s">
        <v>4683</v>
      </c>
      <c r="C79" s="452">
        <v>46114</v>
      </c>
      <c r="D79" t="s">
        <v>3366</v>
      </c>
      <c r="E79" t="s">
        <v>22</v>
      </c>
      <c r="F79">
        <v>21.96</v>
      </c>
      <c r="G79">
        <v>0</v>
      </c>
      <c r="H79">
        <v>21.96</v>
      </c>
    </row>
    <row r="80" spans="1:8" x14ac:dyDescent="0.3">
      <c r="A80">
        <v>103</v>
      </c>
      <c r="B80" t="s">
        <v>4683</v>
      </c>
      <c r="C80" s="452">
        <v>46113</v>
      </c>
      <c r="D80" t="s">
        <v>3366</v>
      </c>
      <c r="E80" t="s">
        <v>3362</v>
      </c>
      <c r="F80">
        <v>490.6</v>
      </c>
      <c r="G80">
        <v>30.4</v>
      </c>
      <c r="H80">
        <v>460.2</v>
      </c>
    </row>
    <row r="81" spans="1:8" x14ac:dyDescent="0.3">
      <c r="A81">
        <v>103</v>
      </c>
      <c r="B81" t="s">
        <v>4683</v>
      </c>
      <c r="C81" s="452">
        <v>46113</v>
      </c>
      <c r="D81" t="s">
        <v>3366</v>
      </c>
      <c r="E81" t="s">
        <v>22</v>
      </c>
      <c r="F81">
        <v>32.94</v>
      </c>
      <c r="G81">
        <v>0</v>
      </c>
      <c r="H81">
        <v>32.94</v>
      </c>
    </row>
    <row r="82" spans="1:8" x14ac:dyDescent="0.3">
      <c r="A82">
        <v>103</v>
      </c>
      <c r="B82" t="s">
        <v>4683</v>
      </c>
      <c r="C82" s="452">
        <v>46112</v>
      </c>
      <c r="D82" t="s">
        <v>3367</v>
      </c>
      <c r="E82" t="s">
        <v>3362</v>
      </c>
      <c r="F82">
        <v>1671.5</v>
      </c>
      <c r="G82">
        <v>1.5</v>
      </c>
      <c r="H82">
        <v>1670</v>
      </c>
    </row>
    <row r="83" spans="1:8" x14ac:dyDescent="0.3">
      <c r="A83">
        <v>103</v>
      </c>
      <c r="B83" t="s">
        <v>4683</v>
      </c>
      <c r="C83" s="452">
        <v>46112</v>
      </c>
      <c r="D83" t="s">
        <v>3367</v>
      </c>
      <c r="E83" t="s">
        <v>3361</v>
      </c>
      <c r="F83">
        <v>16</v>
      </c>
      <c r="G83">
        <v>0</v>
      </c>
      <c r="H83">
        <v>16</v>
      </c>
    </row>
    <row r="84" spans="1:8" x14ac:dyDescent="0.3">
      <c r="A84">
        <v>103</v>
      </c>
      <c r="B84" t="s">
        <v>4683</v>
      </c>
      <c r="C84" s="452">
        <v>46109</v>
      </c>
      <c r="D84" t="s">
        <v>3367</v>
      </c>
      <c r="E84" t="s">
        <v>3362</v>
      </c>
      <c r="F84">
        <v>225.4</v>
      </c>
      <c r="G84">
        <v>5</v>
      </c>
      <c r="H84">
        <v>220.4</v>
      </c>
    </row>
    <row r="85" spans="1:8" x14ac:dyDescent="0.3">
      <c r="A85">
        <v>103</v>
      </c>
      <c r="B85" t="s">
        <v>4683</v>
      </c>
      <c r="C85" s="452">
        <v>46109</v>
      </c>
      <c r="D85" t="s">
        <v>3367</v>
      </c>
      <c r="E85" t="s">
        <v>22</v>
      </c>
      <c r="F85">
        <v>13.98</v>
      </c>
      <c r="G85">
        <v>0</v>
      </c>
      <c r="H85">
        <v>13.98</v>
      </c>
    </row>
    <row r="86" spans="1:8" x14ac:dyDescent="0.3">
      <c r="A86">
        <v>103</v>
      </c>
      <c r="B86" t="s">
        <v>4683</v>
      </c>
      <c r="C86" s="452">
        <v>46108</v>
      </c>
      <c r="D86" t="s">
        <v>3367</v>
      </c>
      <c r="E86" t="s">
        <v>3362</v>
      </c>
      <c r="F86">
        <v>96.6</v>
      </c>
      <c r="G86">
        <v>0</v>
      </c>
      <c r="H86">
        <v>96.6</v>
      </c>
    </row>
    <row r="87" spans="1:8" x14ac:dyDescent="0.3">
      <c r="A87">
        <v>103</v>
      </c>
      <c r="B87" t="s">
        <v>4683</v>
      </c>
      <c r="C87" s="452">
        <v>46108</v>
      </c>
      <c r="D87" t="s">
        <v>3367</v>
      </c>
      <c r="E87" t="s">
        <v>22</v>
      </c>
      <c r="F87">
        <v>2.98</v>
      </c>
      <c r="G87">
        <v>0</v>
      </c>
      <c r="H87">
        <v>2.98</v>
      </c>
    </row>
    <row r="88" spans="1:8" x14ac:dyDescent="0.3">
      <c r="A88">
        <v>103</v>
      </c>
      <c r="B88" t="s">
        <v>4683</v>
      </c>
      <c r="C88" s="452">
        <v>46107</v>
      </c>
      <c r="D88" t="s">
        <v>3367</v>
      </c>
      <c r="E88" t="s">
        <v>3362</v>
      </c>
      <c r="F88">
        <v>51.75</v>
      </c>
      <c r="G88">
        <v>5</v>
      </c>
      <c r="H88">
        <v>46.75</v>
      </c>
    </row>
    <row r="89" spans="1:8" x14ac:dyDescent="0.3">
      <c r="A89">
        <v>103</v>
      </c>
      <c r="B89" t="s">
        <v>4683</v>
      </c>
      <c r="C89" s="452">
        <v>46107</v>
      </c>
      <c r="D89" t="s">
        <v>3367</v>
      </c>
      <c r="E89" t="s">
        <v>22</v>
      </c>
      <c r="F89">
        <v>11.98</v>
      </c>
      <c r="G89">
        <v>0</v>
      </c>
      <c r="H89">
        <v>11.98</v>
      </c>
    </row>
    <row r="90" spans="1:8" x14ac:dyDescent="0.3">
      <c r="A90">
        <v>103</v>
      </c>
      <c r="B90" t="s">
        <v>4683</v>
      </c>
      <c r="C90" s="452">
        <v>46105</v>
      </c>
      <c r="D90" t="s">
        <v>3367</v>
      </c>
      <c r="E90" t="s">
        <v>3362</v>
      </c>
      <c r="F90">
        <v>62.1</v>
      </c>
      <c r="G90">
        <v>5</v>
      </c>
      <c r="H90">
        <v>57.1</v>
      </c>
    </row>
    <row r="91" spans="1:8" x14ac:dyDescent="0.3">
      <c r="A91">
        <v>103</v>
      </c>
      <c r="B91" t="s">
        <v>4683</v>
      </c>
      <c r="C91" s="452">
        <v>46105</v>
      </c>
      <c r="D91" t="s">
        <v>3367</v>
      </c>
      <c r="E91" t="s">
        <v>22</v>
      </c>
      <c r="F91">
        <v>11.98</v>
      </c>
      <c r="G91">
        <v>0</v>
      </c>
      <c r="H91">
        <v>11.98</v>
      </c>
    </row>
    <row r="92" spans="1:8" x14ac:dyDescent="0.3">
      <c r="A92">
        <v>103</v>
      </c>
      <c r="B92" t="s">
        <v>4683</v>
      </c>
      <c r="C92" s="452">
        <v>46102</v>
      </c>
      <c r="D92" t="s">
        <v>3367</v>
      </c>
      <c r="E92" t="s">
        <v>3362</v>
      </c>
      <c r="F92">
        <v>96.6</v>
      </c>
      <c r="G92">
        <v>4.99</v>
      </c>
      <c r="H92">
        <v>91.61</v>
      </c>
    </row>
    <row r="93" spans="1:8" x14ac:dyDescent="0.3">
      <c r="A93">
        <v>103</v>
      </c>
      <c r="B93" t="s">
        <v>4683</v>
      </c>
      <c r="C93" s="452">
        <v>46102</v>
      </c>
      <c r="D93" t="s">
        <v>3367</v>
      </c>
      <c r="E93" t="s">
        <v>22</v>
      </c>
      <c r="F93">
        <v>15.98</v>
      </c>
      <c r="G93">
        <v>0</v>
      </c>
      <c r="H93">
        <v>15.98</v>
      </c>
    </row>
    <row r="94" spans="1:8" x14ac:dyDescent="0.3">
      <c r="A94">
        <v>103</v>
      </c>
      <c r="B94" t="s">
        <v>4683</v>
      </c>
      <c r="C94" s="452">
        <v>46101</v>
      </c>
      <c r="D94" t="s">
        <v>3367</v>
      </c>
      <c r="E94" t="s">
        <v>3362</v>
      </c>
      <c r="F94">
        <v>51.75</v>
      </c>
      <c r="G94">
        <v>4.33</v>
      </c>
      <c r="H94">
        <v>47.42</v>
      </c>
    </row>
    <row r="95" spans="1:8" x14ac:dyDescent="0.3">
      <c r="A95">
        <v>103</v>
      </c>
      <c r="B95" t="s">
        <v>4683</v>
      </c>
      <c r="C95" s="452">
        <v>46101</v>
      </c>
      <c r="D95" t="s">
        <v>3367</v>
      </c>
      <c r="E95" t="s">
        <v>3361</v>
      </c>
      <c r="F95">
        <v>8</v>
      </c>
      <c r="G95">
        <v>0.67</v>
      </c>
      <c r="H95">
        <v>7.33</v>
      </c>
    </row>
    <row r="96" spans="1:8" x14ac:dyDescent="0.3">
      <c r="A96">
        <v>103</v>
      </c>
      <c r="B96" t="s">
        <v>4683</v>
      </c>
      <c r="C96" s="452">
        <v>46101</v>
      </c>
      <c r="D96" t="s">
        <v>3367</v>
      </c>
      <c r="E96" t="s">
        <v>22</v>
      </c>
      <c r="F96">
        <v>8.98</v>
      </c>
      <c r="G96">
        <v>0</v>
      </c>
      <c r="H96">
        <v>8.98</v>
      </c>
    </row>
    <row r="97" spans="1:8" x14ac:dyDescent="0.3">
      <c r="A97">
        <v>103</v>
      </c>
      <c r="B97" t="s">
        <v>4683</v>
      </c>
      <c r="C97" s="452">
        <v>46100</v>
      </c>
      <c r="D97" t="s">
        <v>3367</v>
      </c>
      <c r="E97" t="s">
        <v>3361</v>
      </c>
      <c r="F97">
        <v>8</v>
      </c>
      <c r="G97">
        <v>0.76</v>
      </c>
      <c r="H97">
        <v>7.24</v>
      </c>
    </row>
    <row r="98" spans="1:8" x14ac:dyDescent="0.3">
      <c r="A98">
        <v>103</v>
      </c>
      <c r="B98" t="s">
        <v>4683</v>
      </c>
      <c r="C98" s="452">
        <v>46100</v>
      </c>
      <c r="D98" t="s">
        <v>3367</v>
      </c>
      <c r="E98" t="s">
        <v>3362</v>
      </c>
      <c r="F98">
        <v>112.7</v>
      </c>
      <c r="G98">
        <v>9.24</v>
      </c>
      <c r="H98">
        <v>103.46</v>
      </c>
    </row>
    <row r="99" spans="1:8" x14ac:dyDescent="0.3">
      <c r="A99">
        <v>103</v>
      </c>
      <c r="B99" t="s">
        <v>4683</v>
      </c>
      <c r="C99" s="452">
        <v>46100</v>
      </c>
      <c r="D99" t="s">
        <v>3367</v>
      </c>
      <c r="E99" t="s">
        <v>22</v>
      </c>
      <c r="F99">
        <v>16.96</v>
      </c>
      <c r="G99">
        <v>0</v>
      </c>
      <c r="H99">
        <v>16.96</v>
      </c>
    </row>
    <row r="100" spans="1:8" x14ac:dyDescent="0.3">
      <c r="A100">
        <v>103</v>
      </c>
      <c r="B100" t="s">
        <v>4683</v>
      </c>
      <c r="C100" s="452">
        <v>46099</v>
      </c>
      <c r="D100" t="s">
        <v>3367</v>
      </c>
      <c r="E100" t="s">
        <v>22</v>
      </c>
      <c r="F100">
        <v>7.98</v>
      </c>
      <c r="G100">
        <v>0</v>
      </c>
      <c r="H100">
        <v>7.98</v>
      </c>
    </row>
    <row r="101" spans="1:8" x14ac:dyDescent="0.3">
      <c r="A101">
        <v>103</v>
      </c>
      <c r="B101" t="s">
        <v>4683</v>
      </c>
      <c r="C101" s="452">
        <v>46099</v>
      </c>
      <c r="D101" t="s">
        <v>3367</v>
      </c>
      <c r="E101" t="s">
        <v>3362</v>
      </c>
      <c r="F101">
        <v>67.849999999999994</v>
      </c>
      <c r="G101">
        <v>5</v>
      </c>
      <c r="H101">
        <v>62.85</v>
      </c>
    </row>
    <row r="102" spans="1:8" x14ac:dyDescent="0.3">
      <c r="A102">
        <v>103</v>
      </c>
      <c r="B102" t="s">
        <v>4683</v>
      </c>
      <c r="C102" s="452">
        <v>46095</v>
      </c>
      <c r="D102" t="s">
        <v>3367</v>
      </c>
      <c r="E102" t="s">
        <v>3362</v>
      </c>
      <c r="F102">
        <v>480.7</v>
      </c>
      <c r="G102">
        <v>10</v>
      </c>
      <c r="H102">
        <v>470.7</v>
      </c>
    </row>
    <row r="103" spans="1:8" x14ac:dyDescent="0.3">
      <c r="A103">
        <v>103</v>
      </c>
      <c r="B103" t="s">
        <v>4683</v>
      </c>
      <c r="C103" s="452">
        <v>46095</v>
      </c>
      <c r="D103" t="s">
        <v>3367</v>
      </c>
      <c r="E103" t="s">
        <v>22</v>
      </c>
      <c r="F103">
        <v>57.91</v>
      </c>
      <c r="G103">
        <v>0</v>
      </c>
      <c r="H103">
        <v>57.91</v>
      </c>
    </row>
    <row r="104" spans="1:8" x14ac:dyDescent="0.3">
      <c r="A104">
        <v>103</v>
      </c>
      <c r="B104" t="s">
        <v>4683</v>
      </c>
      <c r="C104" s="452">
        <v>46094</v>
      </c>
      <c r="D104" t="s">
        <v>3367</v>
      </c>
      <c r="E104" t="s">
        <v>3362</v>
      </c>
      <c r="F104">
        <v>112.7</v>
      </c>
      <c r="G104">
        <v>5</v>
      </c>
      <c r="H104">
        <v>107.7</v>
      </c>
    </row>
    <row r="105" spans="1:8" x14ac:dyDescent="0.3">
      <c r="A105">
        <v>103</v>
      </c>
      <c r="B105" t="s">
        <v>4683</v>
      </c>
      <c r="C105" s="452">
        <v>46094</v>
      </c>
      <c r="D105" t="s">
        <v>3367</v>
      </c>
      <c r="E105" t="s">
        <v>22</v>
      </c>
      <c r="F105">
        <v>12.98</v>
      </c>
      <c r="G105">
        <v>0</v>
      </c>
      <c r="H105">
        <v>12.98</v>
      </c>
    </row>
    <row r="106" spans="1:8" x14ac:dyDescent="0.3">
      <c r="A106">
        <v>103</v>
      </c>
      <c r="B106" t="s">
        <v>4683</v>
      </c>
      <c r="C106" s="452">
        <v>46093</v>
      </c>
      <c r="D106" t="s">
        <v>3367</v>
      </c>
      <c r="E106" t="s">
        <v>3362</v>
      </c>
      <c r="F106">
        <v>67.849999999999994</v>
      </c>
      <c r="G106">
        <v>0</v>
      </c>
      <c r="H106">
        <v>67.849999999999994</v>
      </c>
    </row>
    <row r="107" spans="1:8" x14ac:dyDescent="0.3">
      <c r="A107">
        <v>103</v>
      </c>
      <c r="B107" t="s">
        <v>4683</v>
      </c>
      <c r="C107" s="452">
        <v>46093</v>
      </c>
      <c r="D107" t="s">
        <v>3367</v>
      </c>
      <c r="E107" t="s">
        <v>22</v>
      </c>
      <c r="F107">
        <v>7.98</v>
      </c>
      <c r="G107">
        <v>0</v>
      </c>
      <c r="H107">
        <v>7.98</v>
      </c>
    </row>
    <row r="108" spans="1:8" x14ac:dyDescent="0.3">
      <c r="A108">
        <v>103</v>
      </c>
      <c r="B108" t="s">
        <v>4683</v>
      </c>
      <c r="C108" s="452">
        <v>46092</v>
      </c>
      <c r="D108" t="s">
        <v>3367</v>
      </c>
      <c r="E108" t="s">
        <v>22</v>
      </c>
      <c r="F108">
        <v>48.94</v>
      </c>
      <c r="G108">
        <v>0</v>
      </c>
      <c r="H108">
        <v>48.94</v>
      </c>
    </row>
    <row r="109" spans="1:8" x14ac:dyDescent="0.3">
      <c r="A109">
        <v>103</v>
      </c>
      <c r="B109" t="s">
        <v>4683</v>
      </c>
      <c r="C109" s="452">
        <v>46092</v>
      </c>
      <c r="D109" t="s">
        <v>3367</v>
      </c>
      <c r="E109" t="s">
        <v>3362</v>
      </c>
      <c r="F109">
        <v>177</v>
      </c>
      <c r="G109">
        <v>9.98</v>
      </c>
      <c r="H109">
        <v>167.02</v>
      </c>
    </row>
    <row r="110" spans="1:8" x14ac:dyDescent="0.3">
      <c r="A110">
        <v>103</v>
      </c>
      <c r="B110" t="s">
        <v>4683</v>
      </c>
      <c r="C110" s="452">
        <v>46091</v>
      </c>
      <c r="D110" t="s">
        <v>3367</v>
      </c>
      <c r="E110" t="s">
        <v>3362</v>
      </c>
      <c r="F110">
        <v>45</v>
      </c>
      <c r="G110">
        <v>4.2300000000000004</v>
      </c>
      <c r="H110">
        <v>40.770000000000003</v>
      </c>
    </row>
    <row r="111" spans="1:8" x14ac:dyDescent="0.3">
      <c r="A111">
        <v>103</v>
      </c>
      <c r="B111" t="s">
        <v>4683</v>
      </c>
      <c r="C111" s="452">
        <v>46091</v>
      </c>
      <c r="D111" t="s">
        <v>3367</v>
      </c>
      <c r="E111" t="s">
        <v>3361</v>
      </c>
      <c r="F111">
        <v>8</v>
      </c>
      <c r="G111">
        <v>0.76</v>
      </c>
      <c r="H111">
        <v>7.24</v>
      </c>
    </row>
    <row r="112" spans="1:8" x14ac:dyDescent="0.3">
      <c r="A112">
        <v>103</v>
      </c>
      <c r="B112" t="s">
        <v>4683</v>
      </c>
      <c r="C112" s="452">
        <v>46091</v>
      </c>
      <c r="D112" t="s">
        <v>3367</v>
      </c>
      <c r="E112" t="s">
        <v>22</v>
      </c>
      <c r="F112">
        <v>0.99</v>
      </c>
      <c r="G112">
        <v>0</v>
      </c>
      <c r="H112">
        <v>0.99</v>
      </c>
    </row>
    <row r="113" spans="1:8" x14ac:dyDescent="0.3">
      <c r="A113">
        <v>103</v>
      </c>
      <c r="B113" t="s">
        <v>4683</v>
      </c>
      <c r="C113" s="452">
        <v>46090</v>
      </c>
      <c r="D113" t="s">
        <v>3367</v>
      </c>
      <c r="E113" t="s">
        <v>3362</v>
      </c>
      <c r="F113">
        <v>173</v>
      </c>
      <c r="G113">
        <v>5</v>
      </c>
      <c r="H113">
        <v>168</v>
      </c>
    </row>
    <row r="114" spans="1:8" x14ac:dyDescent="0.3">
      <c r="A114">
        <v>103</v>
      </c>
      <c r="B114" t="s">
        <v>4683</v>
      </c>
      <c r="C114" s="452">
        <v>46090</v>
      </c>
      <c r="D114" t="s">
        <v>3367</v>
      </c>
      <c r="E114" t="s">
        <v>22</v>
      </c>
      <c r="F114">
        <v>6.98</v>
      </c>
      <c r="G114">
        <v>0</v>
      </c>
      <c r="H114">
        <v>6.98</v>
      </c>
    </row>
    <row r="115" spans="1:8" x14ac:dyDescent="0.3">
      <c r="A115">
        <v>103</v>
      </c>
      <c r="B115" t="s">
        <v>4683</v>
      </c>
      <c r="C115" s="452">
        <v>46088</v>
      </c>
      <c r="D115" t="s">
        <v>3367</v>
      </c>
      <c r="E115" t="s">
        <v>3362</v>
      </c>
      <c r="F115">
        <v>203</v>
      </c>
      <c r="G115">
        <v>14.23</v>
      </c>
      <c r="H115">
        <v>188.77</v>
      </c>
    </row>
    <row r="116" spans="1:8" x14ac:dyDescent="0.3">
      <c r="A116">
        <v>103</v>
      </c>
      <c r="B116" t="s">
        <v>4683</v>
      </c>
      <c r="C116" s="452">
        <v>46088</v>
      </c>
      <c r="D116" t="s">
        <v>3367</v>
      </c>
      <c r="E116" t="s">
        <v>3361</v>
      </c>
      <c r="F116">
        <v>8</v>
      </c>
      <c r="G116">
        <v>0.76</v>
      </c>
      <c r="H116">
        <v>7.24</v>
      </c>
    </row>
    <row r="117" spans="1:8" x14ac:dyDescent="0.3">
      <c r="A117">
        <v>103</v>
      </c>
      <c r="B117" t="s">
        <v>4683</v>
      </c>
      <c r="C117" s="452">
        <v>46088</v>
      </c>
      <c r="D117" t="s">
        <v>3367</v>
      </c>
      <c r="E117" t="s">
        <v>22</v>
      </c>
      <c r="F117">
        <v>14.96</v>
      </c>
      <c r="G117">
        <v>0</v>
      </c>
      <c r="H117">
        <v>14.96</v>
      </c>
    </row>
    <row r="118" spans="1:8" x14ac:dyDescent="0.3">
      <c r="A118">
        <v>103</v>
      </c>
      <c r="B118" t="s">
        <v>4683</v>
      </c>
      <c r="C118" s="452">
        <v>46085</v>
      </c>
      <c r="D118" t="s">
        <v>3367</v>
      </c>
      <c r="E118" t="s">
        <v>3362</v>
      </c>
      <c r="F118">
        <v>106</v>
      </c>
      <c r="G118">
        <v>5</v>
      </c>
      <c r="H118">
        <v>101</v>
      </c>
    </row>
    <row r="119" spans="1:8" x14ac:dyDescent="0.3">
      <c r="A119">
        <v>103</v>
      </c>
      <c r="B119" t="s">
        <v>4683</v>
      </c>
      <c r="C119" s="452">
        <v>46085</v>
      </c>
      <c r="D119" t="s">
        <v>3367</v>
      </c>
      <c r="E119" t="s">
        <v>22</v>
      </c>
      <c r="F119">
        <v>22.98</v>
      </c>
      <c r="G119">
        <v>0</v>
      </c>
      <c r="H119">
        <v>22.98</v>
      </c>
    </row>
    <row r="120" spans="1:8" x14ac:dyDescent="0.3">
      <c r="A120">
        <v>103</v>
      </c>
      <c r="B120" t="s">
        <v>4683</v>
      </c>
      <c r="C120" s="452">
        <v>46081</v>
      </c>
      <c r="D120" t="s">
        <v>3368</v>
      </c>
      <c r="E120" t="s">
        <v>3362</v>
      </c>
      <c r="F120">
        <v>52</v>
      </c>
      <c r="G120">
        <v>5</v>
      </c>
      <c r="H120">
        <v>47</v>
      </c>
    </row>
    <row r="121" spans="1:8" x14ac:dyDescent="0.3">
      <c r="A121">
        <v>103</v>
      </c>
      <c r="B121" t="s">
        <v>4683</v>
      </c>
      <c r="C121" s="452">
        <v>46081</v>
      </c>
      <c r="D121" t="s">
        <v>3368</v>
      </c>
      <c r="E121" t="s">
        <v>22</v>
      </c>
      <c r="F121">
        <v>8.98</v>
      </c>
      <c r="G121">
        <v>0</v>
      </c>
      <c r="H121">
        <v>8.98</v>
      </c>
    </row>
    <row r="122" spans="1:8" x14ac:dyDescent="0.3">
      <c r="A122">
        <v>103</v>
      </c>
      <c r="B122" t="s">
        <v>4683</v>
      </c>
      <c r="C122" s="452">
        <v>46080</v>
      </c>
      <c r="D122" t="s">
        <v>3368</v>
      </c>
      <c r="E122" t="s">
        <v>3362</v>
      </c>
      <c r="F122">
        <v>137</v>
      </c>
      <c r="G122">
        <v>5</v>
      </c>
      <c r="H122">
        <v>132</v>
      </c>
    </row>
    <row r="123" spans="1:8" x14ac:dyDescent="0.3">
      <c r="A123">
        <v>103</v>
      </c>
      <c r="B123" t="s">
        <v>4683</v>
      </c>
      <c r="C123" s="452">
        <v>46080</v>
      </c>
      <c r="D123" t="s">
        <v>3368</v>
      </c>
      <c r="E123" t="s">
        <v>22</v>
      </c>
      <c r="F123">
        <v>0.99</v>
      </c>
      <c r="G123">
        <v>0</v>
      </c>
      <c r="H123">
        <v>0.99</v>
      </c>
    </row>
    <row r="124" spans="1:8" x14ac:dyDescent="0.3">
      <c r="A124">
        <v>103</v>
      </c>
      <c r="B124" t="s">
        <v>4683</v>
      </c>
      <c r="C124" s="452">
        <v>46078</v>
      </c>
      <c r="D124" t="s">
        <v>3368</v>
      </c>
      <c r="E124" t="s">
        <v>3362</v>
      </c>
      <c r="F124">
        <v>247</v>
      </c>
      <c r="G124">
        <v>15</v>
      </c>
      <c r="H124">
        <v>232</v>
      </c>
    </row>
    <row r="125" spans="1:8" x14ac:dyDescent="0.3">
      <c r="A125">
        <v>103</v>
      </c>
      <c r="B125" t="s">
        <v>4683</v>
      </c>
      <c r="C125" s="452">
        <v>46078</v>
      </c>
      <c r="D125" t="s">
        <v>3368</v>
      </c>
      <c r="E125" t="s">
        <v>22</v>
      </c>
      <c r="F125">
        <v>14.95</v>
      </c>
      <c r="G125">
        <v>0</v>
      </c>
      <c r="H125">
        <v>14.95</v>
      </c>
    </row>
    <row r="126" spans="1:8" x14ac:dyDescent="0.3">
      <c r="A126">
        <v>103</v>
      </c>
      <c r="B126" t="s">
        <v>4683</v>
      </c>
      <c r="C126" s="452">
        <v>46073</v>
      </c>
      <c r="D126" t="s">
        <v>3368</v>
      </c>
      <c r="E126" t="s">
        <v>3361</v>
      </c>
      <c r="F126">
        <v>8</v>
      </c>
      <c r="G126">
        <v>0.43</v>
      </c>
      <c r="H126">
        <v>7.57</v>
      </c>
    </row>
    <row r="127" spans="1:8" x14ac:dyDescent="0.3">
      <c r="A127">
        <v>103</v>
      </c>
      <c r="B127" t="s">
        <v>4683</v>
      </c>
      <c r="C127" s="452">
        <v>46073</v>
      </c>
      <c r="D127" t="s">
        <v>3368</v>
      </c>
      <c r="E127" t="s">
        <v>22</v>
      </c>
      <c r="F127">
        <v>11.98</v>
      </c>
      <c r="G127">
        <v>0</v>
      </c>
      <c r="H127">
        <v>11.98</v>
      </c>
    </row>
    <row r="128" spans="1:8" x14ac:dyDescent="0.3">
      <c r="A128">
        <v>103</v>
      </c>
      <c r="B128" t="s">
        <v>4683</v>
      </c>
      <c r="C128" s="452">
        <v>46073</v>
      </c>
      <c r="D128" t="s">
        <v>3368</v>
      </c>
      <c r="E128" t="s">
        <v>3362</v>
      </c>
      <c r="F128">
        <v>85</v>
      </c>
      <c r="G128">
        <v>4.57</v>
      </c>
      <c r="H128">
        <v>80.430000000000007</v>
      </c>
    </row>
    <row r="129" spans="1:8" x14ac:dyDescent="0.3">
      <c r="A129">
        <v>103</v>
      </c>
      <c r="B129" t="s">
        <v>4683</v>
      </c>
      <c r="C129" s="452">
        <v>46072</v>
      </c>
      <c r="D129" t="s">
        <v>3368</v>
      </c>
      <c r="E129" t="s">
        <v>3362</v>
      </c>
      <c r="F129">
        <v>149</v>
      </c>
      <c r="G129">
        <v>5</v>
      </c>
      <c r="H129">
        <v>144</v>
      </c>
    </row>
    <row r="130" spans="1:8" x14ac:dyDescent="0.3">
      <c r="A130">
        <v>103</v>
      </c>
      <c r="B130" t="s">
        <v>4683</v>
      </c>
      <c r="C130" s="452">
        <v>46072</v>
      </c>
      <c r="D130" t="s">
        <v>3368</v>
      </c>
      <c r="E130" t="s">
        <v>22</v>
      </c>
      <c r="F130">
        <v>27.96</v>
      </c>
      <c r="G130">
        <v>0</v>
      </c>
      <c r="H130">
        <v>27.96</v>
      </c>
    </row>
    <row r="131" spans="1:8" x14ac:dyDescent="0.3">
      <c r="A131">
        <v>103</v>
      </c>
      <c r="B131" t="s">
        <v>4683</v>
      </c>
      <c r="C131" s="452">
        <v>46071</v>
      </c>
      <c r="D131" t="s">
        <v>3368</v>
      </c>
      <c r="E131" t="s">
        <v>3362</v>
      </c>
      <c r="F131">
        <v>174</v>
      </c>
      <c r="G131">
        <v>14.42</v>
      </c>
      <c r="H131">
        <v>159.58000000000001</v>
      </c>
    </row>
    <row r="132" spans="1:8" x14ac:dyDescent="0.3">
      <c r="A132">
        <v>103</v>
      </c>
      <c r="B132" t="s">
        <v>4683</v>
      </c>
      <c r="C132" s="452">
        <v>46071</v>
      </c>
      <c r="D132" t="s">
        <v>3368</v>
      </c>
      <c r="E132" t="s">
        <v>22</v>
      </c>
      <c r="F132">
        <v>13.96</v>
      </c>
      <c r="G132">
        <v>0</v>
      </c>
      <c r="H132">
        <v>13.96</v>
      </c>
    </row>
    <row r="133" spans="1:8" x14ac:dyDescent="0.3">
      <c r="A133">
        <v>103</v>
      </c>
      <c r="B133" t="s">
        <v>4683</v>
      </c>
      <c r="C133" s="452">
        <v>46071</v>
      </c>
      <c r="D133" t="s">
        <v>3368</v>
      </c>
      <c r="E133" t="s">
        <v>3361</v>
      </c>
      <c r="F133">
        <v>6</v>
      </c>
      <c r="G133">
        <v>0.57999999999999996</v>
      </c>
      <c r="H133">
        <v>5.42</v>
      </c>
    </row>
    <row r="134" spans="1:8" x14ac:dyDescent="0.3">
      <c r="A134">
        <v>103</v>
      </c>
      <c r="B134" t="s">
        <v>4683</v>
      </c>
      <c r="C134" s="452">
        <v>46066</v>
      </c>
      <c r="D134" t="s">
        <v>3368</v>
      </c>
      <c r="E134" t="s">
        <v>3362</v>
      </c>
      <c r="F134">
        <v>318</v>
      </c>
      <c r="G134">
        <v>5</v>
      </c>
      <c r="H134">
        <v>313</v>
      </c>
    </row>
    <row r="135" spans="1:8" x14ac:dyDescent="0.3">
      <c r="A135">
        <v>103</v>
      </c>
      <c r="B135" t="s">
        <v>4683</v>
      </c>
      <c r="C135" s="452">
        <v>46066</v>
      </c>
      <c r="D135" t="s">
        <v>3368</v>
      </c>
      <c r="E135" t="s">
        <v>22</v>
      </c>
      <c r="F135">
        <v>35.94</v>
      </c>
      <c r="G135">
        <v>0</v>
      </c>
      <c r="H135">
        <v>35.94</v>
      </c>
    </row>
    <row r="136" spans="1:8" x14ac:dyDescent="0.3">
      <c r="A136">
        <v>103</v>
      </c>
      <c r="B136" t="s">
        <v>4683</v>
      </c>
      <c r="C136" s="452">
        <v>46065</v>
      </c>
      <c r="D136" t="s">
        <v>3368</v>
      </c>
      <c r="E136" t="s">
        <v>3362</v>
      </c>
      <c r="F136">
        <v>143</v>
      </c>
      <c r="G136">
        <v>0</v>
      </c>
      <c r="H136">
        <v>143</v>
      </c>
    </row>
    <row r="137" spans="1:8" x14ac:dyDescent="0.3">
      <c r="A137">
        <v>103</v>
      </c>
      <c r="B137" t="s">
        <v>4683</v>
      </c>
      <c r="C137" s="452">
        <v>46065</v>
      </c>
      <c r="D137" t="s">
        <v>3368</v>
      </c>
      <c r="E137" t="s">
        <v>22</v>
      </c>
      <c r="F137">
        <v>23.98</v>
      </c>
      <c r="G137">
        <v>0</v>
      </c>
      <c r="H137">
        <v>23.98</v>
      </c>
    </row>
    <row r="138" spans="1:8" x14ac:dyDescent="0.3">
      <c r="A138">
        <v>103</v>
      </c>
      <c r="B138" t="s">
        <v>4683</v>
      </c>
      <c r="C138" s="452">
        <v>46063</v>
      </c>
      <c r="D138" t="s">
        <v>3368</v>
      </c>
      <c r="E138" t="s">
        <v>3361</v>
      </c>
      <c r="F138">
        <v>12</v>
      </c>
      <c r="G138">
        <v>0.84</v>
      </c>
      <c r="H138">
        <v>11.16</v>
      </c>
    </row>
    <row r="139" spans="1:8" x14ac:dyDescent="0.3">
      <c r="A139">
        <v>103</v>
      </c>
      <c r="B139" t="s">
        <v>4683</v>
      </c>
      <c r="C139" s="452">
        <v>46063</v>
      </c>
      <c r="D139" t="s">
        <v>3368</v>
      </c>
      <c r="E139" t="s">
        <v>3362</v>
      </c>
      <c r="F139">
        <v>59</v>
      </c>
      <c r="G139">
        <v>4.16</v>
      </c>
      <c r="H139">
        <v>54.84</v>
      </c>
    </row>
    <row r="140" spans="1:8" x14ac:dyDescent="0.3">
      <c r="A140">
        <v>103</v>
      </c>
      <c r="B140" t="s">
        <v>4683</v>
      </c>
      <c r="C140" s="452">
        <v>46063</v>
      </c>
      <c r="D140" t="s">
        <v>3368</v>
      </c>
      <c r="E140" t="s">
        <v>22</v>
      </c>
      <c r="F140">
        <v>4.9800000000000004</v>
      </c>
      <c r="G140">
        <v>0</v>
      </c>
      <c r="H140">
        <v>4.9800000000000004</v>
      </c>
    </row>
    <row r="141" spans="1:8" x14ac:dyDescent="0.3">
      <c r="A141">
        <v>103</v>
      </c>
      <c r="B141" t="s">
        <v>4683</v>
      </c>
      <c r="C141" s="452">
        <v>46059</v>
      </c>
      <c r="D141" t="s">
        <v>3368</v>
      </c>
      <c r="E141" t="s">
        <v>3362</v>
      </c>
      <c r="F141">
        <v>182</v>
      </c>
      <c r="G141">
        <v>5</v>
      </c>
      <c r="H141">
        <v>177</v>
      </c>
    </row>
    <row r="142" spans="1:8" x14ac:dyDescent="0.3">
      <c r="A142">
        <v>103</v>
      </c>
      <c r="B142" t="s">
        <v>4683</v>
      </c>
      <c r="C142" s="452">
        <v>46059</v>
      </c>
      <c r="D142" t="s">
        <v>3368</v>
      </c>
      <c r="E142" t="s">
        <v>22</v>
      </c>
      <c r="F142">
        <v>12.98</v>
      </c>
      <c r="G142">
        <v>0</v>
      </c>
      <c r="H142">
        <v>12.98</v>
      </c>
    </row>
    <row r="143" spans="1:8" x14ac:dyDescent="0.3">
      <c r="A143">
        <v>103</v>
      </c>
      <c r="B143" t="s">
        <v>4683</v>
      </c>
      <c r="C143" s="452">
        <v>46058</v>
      </c>
      <c r="D143" t="s">
        <v>3368</v>
      </c>
      <c r="E143" t="s">
        <v>3362</v>
      </c>
      <c r="F143">
        <v>45</v>
      </c>
      <c r="G143">
        <v>0</v>
      </c>
      <c r="H143">
        <v>45</v>
      </c>
    </row>
    <row r="144" spans="1:8" x14ac:dyDescent="0.3">
      <c r="A144">
        <v>103</v>
      </c>
      <c r="B144" t="s">
        <v>4683</v>
      </c>
      <c r="C144" s="452">
        <v>46058</v>
      </c>
      <c r="D144" t="s">
        <v>3368</v>
      </c>
      <c r="E144" t="s">
        <v>22</v>
      </c>
      <c r="F144">
        <v>0.99</v>
      </c>
      <c r="G144">
        <v>0</v>
      </c>
      <c r="H144">
        <v>0.99</v>
      </c>
    </row>
    <row r="145" spans="1:8" x14ac:dyDescent="0.3">
      <c r="A145">
        <v>103</v>
      </c>
      <c r="B145" t="s">
        <v>4683</v>
      </c>
      <c r="C145" s="452">
        <v>46056</v>
      </c>
      <c r="D145" t="s">
        <v>3368</v>
      </c>
      <c r="E145" t="s">
        <v>3362</v>
      </c>
      <c r="F145">
        <v>89</v>
      </c>
      <c r="G145">
        <v>0</v>
      </c>
      <c r="H145">
        <v>89</v>
      </c>
    </row>
    <row r="146" spans="1:8" x14ac:dyDescent="0.3">
      <c r="A146">
        <v>103</v>
      </c>
      <c r="B146" t="s">
        <v>4683</v>
      </c>
      <c r="C146" s="452">
        <v>46056</v>
      </c>
      <c r="D146" t="s">
        <v>3368</v>
      </c>
      <c r="E146" t="s">
        <v>22</v>
      </c>
      <c r="F146">
        <v>0.99</v>
      </c>
      <c r="G146">
        <v>0</v>
      </c>
      <c r="H146">
        <v>0.99</v>
      </c>
    </row>
    <row r="147" spans="1:8" x14ac:dyDescent="0.3">
      <c r="A147">
        <v>103</v>
      </c>
      <c r="B147" t="s">
        <v>4683</v>
      </c>
      <c r="C147" s="452">
        <v>46045</v>
      </c>
      <c r="D147" t="s">
        <v>3369</v>
      </c>
      <c r="E147" t="s">
        <v>3362</v>
      </c>
      <c r="F147">
        <v>151</v>
      </c>
      <c r="G147">
        <v>5</v>
      </c>
      <c r="H147">
        <v>146</v>
      </c>
    </row>
    <row r="148" spans="1:8" x14ac:dyDescent="0.3">
      <c r="A148">
        <v>103</v>
      </c>
      <c r="B148" t="s">
        <v>4683</v>
      </c>
      <c r="C148" s="452">
        <v>46045</v>
      </c>
      <c r="D148" t="s">
        <v>3369</v>
      </c>
      <c r="E148" t="s">
        <v>22</v>
      </c>
      <c r="F148">
        <v>1.98</v>
      </c>
      <c r="G148">
        <v>0</v>
      </c>
      <c r="H148">
        <v>1.98</v>
      </c>
    </row>
    <row r="149" spans="1:8" x14ac:dyDescent="0.3">
      <c r="A149">
        <v>103</v>
      </c>
      <c r="B149" t="s">
        <v>4683</v>
      </c>
      <c r="C149" s="452">
        <v>46042</v>
      </c>
      <c r="D149" t="s">
        <v>3369</v>
      </c>
      <c r="E149" t="s">
        <v>3362</v>
      </c>
      <c r="F149">
        <v>143</v>
      </c>
      <c r="G149">
        <v>0</v>
      </c>
      <c r="H149">
        <v>143</v>
      </c>
    </row>
    <row r="150" spans="1:8" x14ac:dyDescent="0.3">
      <c r="A150">
        <v>103</v>
      </c>
      <c r="B150" t="s">
        <v>4683</v>
      </c>
      <c r="C150" s="452">
        <v>46042</v>
      </c>
      <c r="D150" t="s">
        <v>3369</v>
      </c>
      <c r="E150" t="s">
        <v>22</v>
      </c>
      <c r="F150">
        <v>1.98</v>
      </c>
      <c r="G150">
        <v>0</v>
      </c>
      <c r="H150">
        <v>1.98</v>
      </c>
    </row>
    <row r="151" spans="1:8" x14ac:dyDescent="0.3">
      <c r="A151">
        <v>103</v>
      </c>
      <c r="B151" t="s">
        <v>4683</v>
      </c>
      <c r="C151" s="452">
        <v>46038</v>
      </c>
      <c r="D151" t="s">
        <v>3369</v>
      </c>
      <c r="E151" t="s">
        <v>3362</v>
      </c>
      <c r="F151">
        <v>150</v>
      </c>
      <c r="G151">
        <v>0</v>
      </c>
      <c r="H151">
        <v>150</v>
      </c>
    </row>
    <row r="152" spans="1:8" x14ac:dyDescent="0.3">
      <c r="A152">
        <v>103</v>
      </c>
      <c r="B152" t="s">
        <v>4683</v>
      </c>
      <c r="C152" s="452">
        <v>46038</v>
      </c>
      <c r="D152" t="s">
        <v>3369</v>
      </c>
      <c r="E152" t="s">
        <v>22</v>
      </c>
      <c r="F152">
        <v>0.99</v>
      </c>
      <c r="G152">
        <v>0</v>
      </c>
      <c r="H152">
        <v>0.99</v>
      </c>
    </row>
    <row r="153" spans="1:8" x14ac:dyDescent="0.3">
      <c r="A153">
        <v>103</v>
      </c>
      <c r="B153" t="s">
        <v>4683</v>
      </c>
      <c r="C153" s="452">
        <v>46037</v>
      </c>
      <c r="D153" t="s">
        <v>3369</v>
      </c>
      <c r="E153" t="s">
        <v>3362</v>
      </c>
      <c r="F153">
        <v>59</v>
      </c>
      <c r="G153">
        <v>5</v>
      </c>
      <c r="H153">
        <v>54</v>
      </c>
    </row>
    <row r="154" spans="1:8" x14ac:dyDescent="0.3">
      <c r="A154">
        <v>103</v>
      </c>
      <c r="B154" t="s">
        <v>4683</v>
      </c>
      <c r="C154" s="452">
        <v>46037</v>
      </c>
      <c r="D154" t="s">
        <v>3369</v>
      </c>
      <c r="E154" t="s">
        <v>22</v>
      </c>
      <c r="F154">
        <v>4.9800000000000004</v>
      </c>
      <c r="G154">
        <v>0</v>
      </c>
      <c r="H154">
        <v>4.9800000000000004</v>
      </c>
    </row>
    <row r="155" spans="1:8" x14ac:dyDescent="0.3">
      <c r="A155">
        <v>103</v>
      </c>
      <c r="B155" t="s">
        <v>4683</v>
      </c>
      <c r="C155" s="452">
        <v>46035</v>
      </c>
      <c r="D155" t="s">
        <v>3369</v>
      </c>
      <c r="E155" t="s">
        <v>3362</v>
      </c>
      <c r="F155">
        <v>130</v>
      </c>
      <c r="G155">
        <v>5</v>
      </c>
      <c r="H155">
        <v>125</v>
      </c>
    </row>
    <row r="156" spans="1:8" x14ac:dyDescent="0.3">
      <c r="A156">
        <v>103</v>
      </c>
      <c r="B156" t="s">
        <v>4683</v>
      </c>
      <c r="C156" s="452">
        <v>46035</v>
      </c>
      <c r="D156" t="s">
        <v>3369</v>
      </c>
      <c r="E156" t="s">
        <v>22</v>
      </c>
      <c r="F156">
        <v>1.98</v>
      </c>
      <c r="G156">
        <v>0</v>
      </c>
      <c r="H156">
        <v>1.98</v>
      </c>
    </row>
    <row r="157" spans="1:8" x14ac:dyDescent="0.3">
      <c r="A157">
        <v>103</v>
      </c>
      <c r="B157" t="s">
        <v>4683</v>
      </c>
      <c r="C157" s="452">
        <v>46034</v>
      </c>
      <c r="D157" t="s">
        <v>3369</v>
      </c>
      <c r="E157" t="s">
        <v>3362</v>
      </c>
      <c r="F157">
        <v>98</v>
      </c>
      <c r="G157">
        <v>4.99</v>
      </c>
      <c r="H157">
        <v>93.01</v>
      </c>
    </row>
    <row r="158" spans="1:8" x14ac:dyDescent="0.3">
      <c r="A158">
        <v>103</v>
      </c>
      <c r="B158" t="s">
        <v>4683</v>
      </c>
      <c r="C158" s="452">
        <v>46034</v>
      </c>
      <c r="D158" t="s">
        <v>3369</v>
      </c>
      <c r="E158" t="s">
        <v>22</v>
      </c>
      <c r="F158">
        <v>0.99</v>
      </c>
      <c r="G158">
        <v>0</v>
      </c>
      <c r="H158">
        <v>0.99</v>
      </c>
    </row>
    <row r="159" spans="1:8" x14ac:dyDescent="0.3">
      <c r="A159">
        <v>103</v>
      </c>
      <c r="B159" t="s">
        <v>4683</v>
      </c>
      <c r="C159" s="452">
        <v>46032</v>
      </c>
      <c r="D159" t="s">
        <v>3369</v>
      </c>
      <c r="E159" t="s">
        <v>3362</v>
      </c>
      <c r="F159">
        <v>45</v>
      </c>
      <c r="G159">
        <v>5</v>
      </c>
      <c r="H159">
        <v>40</v>
      </c>
    </row>
    <row r="160" spans="1:8" x14ac:dyDescent="0.3">
      <c r="A160">
        <v>103</v>
      </c>
      <c r="B160" t="s">
        <v>4683</v>
      </c>
      <c r="C160" s="452">
        <v>46032</v>
      </c>
      <c r="D160" t="s">
        <v>3369</v>
      </c>
      <c r="E160" t="s">
        <v>22</v>
      </c>
      <c r="F160">
        <v>4.9800000000000004</v>
      </c>
      <c r="G160">
        <v>0</v>
      </c>
      <c r="H160">
        <v>4.9800000000000004</v>
      </c>
    </row>
    <row r="161" spans="1:8" x14ac:dyDescent="0.3">
      <c r="A161">
        <v>103</v>
      </c>
      <c r="B161" t="s">
        <v>4683</v>
      </c>
      <c r="C161" s="452">
        <v>46030</v>
      </c>
      <c r="D161" t="s">
        <v>3369</v>
      </c>
      <c r="E161" t="s">
        <v>3362</v>
      </c>
      <c r="F161">
        <v>66</v>
      </c>
      <c r="G161">
        <v>0</v>
      </c>
      <c r="H161">
        <v>66</v>
      </c>
    </row>
    <row r="162" spans="1:8" x14ac:dyDescent="0.3">
      <c r="A162">
        <v>103</v>
      </c>
      <c r="B162" t="s">
        <v>4683</v>
      </c>
      <c r="C162" s="452">
        <v>46030</v>
      </c>
      <c r="D162" t="s">
        <v>3369</v>
      </c>
      <c r="E162" t="s">
        <v>22</v>
      </c>
      <c r="F162">
        <v>0.99</v>
      </c>
      <c r="G162">
        <v>0</v>
      </c>
      <c r="H162">
        <v>0.99</v>
      </c>
    </row>
    <row r="163" spans="1:8" x14ac:dyDescent="0.3">
      <c r="A163">
        <v>103</v>
      </c>
      <c r="B163" t="s">
        <v>4683</v>
      </c>
      <c r="C163" s="452">
        <v>46029</v>
      </c>
      <c r="D163" t="s">
        <v>3369</v>
      </c>
      <c r="E163" t="s">
        <v>3362</v>
      </c>
      <c r="F163">
        <v>90</v>
      </c>
      <c r="G163">
        <v>0</v>
      </c>
      <c r="H163">
        <v>90</v>
      </c>
    </row>
    <row r="164" spans="1:8" x14ac:dyDescent="0.3">
      <c r="A164">
        <v>103</v>
      </c>
      <c r="B164" t="s">
        <v>4683</v>
      </c>
      <c r="C164" s="452">
        <v>46029</v>
      </c>
      <c r="D164" t="s">
        <v>3369</v>
      </c>
      <c r="E164" t="s">
        <v>22</v>
      </c>
      <c r="F164">
        <v>0.99</v>
      </c>
      <c r="G164">
        <v>0</v>
      </c>
      <c r="H164">
        <v>0.99</v>
      </c>
    </row>
    <row r="165" spans="1:8" x14ac:dyDescent="0.3">
      <c r="A165">
        <v>103</v>
      </c>
      <c r="B165" t="s">
        <v>4683</v>
      </c>
      <c r="C165" s="452">
        <v>46028</v>
      </c>
      <c r="D165" t="s">
        <v>3369</v>
      </c>
      <c r="E165" t="s">
        <v>3362</v>
      </c>
      <c r="F165">
        <v>59</v>
      </c>
      <c r="G165">
        <v>0</v>
      </c>
      <c r="H165">
        <v>59</v>
      </c>
    </row>
    <row r="166" spans="1:8" x14ac:dyDescent="0.3">
      <c r="A166">
        <v>103</v>
      </c>
      <c r="B166" t="s">
        <v>4683</v>
      </c>
      <c r="C166" s="452">
        <v>46028</v>
      </c>
      <c r="D166" t="s">
        <v>3369</v>
      </c>
      <c r="E166" t="s">
        <v>22</v>
      </c>
      <c r="F166">
        <v>0.99</v>
      </c>
      <c r="G166">
        <v>0</v>
      </c>
      <c r="H166">
        <v>0.99</v>
      </c>
    </row>
    <row r="167" spans="1:8" x14ac:dyDescent="0.3">
      <c r="A167">
        <v>103</v>
      </c>
      <c r="B167" t="s">
        <v>4683</v>
      </c>
      <c r="C167" s="452">
        <v>46022</v>
      </c>
      <c r="D167" t="s">
        <v>460</v>
      </c>
      <c r="E167" t="s">
        <v>3361</v>
      </c>
      <c r="F167">
        <v>8</v>
      </c>
      <c r="G167">
        <v>0.37</v>
      </c>
      <c r="H167">
        <v>7.63</v>
      </c>
    </row>
    <row r="168" spans="1:8" x14ac:dyDescent="0.3">
      <c r="A168">
        <v>103</v>
      </c>
      <c r="B168" t="s">
        <v>4683</v>
      </c>
      <c r="C168" s="452">
        <v>46022</v>
      </c>
      <c r="D168" t="s">
        <v>460</v>
      </c>
      <c r="E168" t="s">
        <v>3362</v>
      </c>
      <c r="F168">
        <v>98</v>
      </c>
      <c r="G168">
        <v>4.63</v>
      </c>
      <c r="H168">
        <v>93.37</v>
      </c>
    </row>
    <row r="169" spans="1:8" x14ac:dyDescent="0.3">
      <c r="A169">
        <v>103</v>
      </c>
      <c r="B169" t="s">
        <v>4683</v>
      </c>
      <c r="C169" s="452">
        <v>46022</v>
      </c>
      <c r="D169" t="s">
        <v>460</v>
      </c>
      <c r="E169" t="s">
        <v>22</v>
      </c>
      <c r="F169">
        <v>0.99</v>
      </c>
      <c r="G169">
        <v>0</v>
      </c>
      <c r="H169">
        <v>0.99</v>
      </c>
    </row>
    <row r="170" spans="1:8" x14ac:dyDescent="0.3">
      <c r="A170">
        <v>103</v>
      </c>
      <c r="B170" t="s">
        <v>4683</v>
      </c>
      <c r="C170" s="452">
        <v>46020</v>
      </c>
      <c r="D170" t="s">
        <v>460</v>
      </c>
      <c r="E170" t="s">
        <v>22</v>
      </c>
      <c r="F170">
        <v>0.99</v>
      </c>
      <c r="G170">
        <v>0</v>
      </c>
      <c r="H170">
        <v>0.99</v>
      </c>
    </row>
    <row r="171" spans="1:8" x14ac:dyDescent="0.3">
      <c r="A171">
        <v>103</v>
      </c>
      <c r="B171" t="s">
        <v>4683</v>
      </c>
      <c r="C171" s="452">
        <v>46020</v>
      </c>
      <c r="D171" t="s">
        <v>460</v>
      </c>
      <c r="E171" t="s">
        <v>3362</v>
      </c>
      <c r="F171">
        <v>89</v>
      </c>
      <c r="G171">
        <v>5</v>
      </c>
      <c r="H171">
        <v>84</v>
      </c>
    </row>
    <row r="172" spans="1:8" x14ac:dyDescent="0.3">
      <c r="A172">
        <v>103</v>
      </c>
      <c r="B172" t="s">
        <v>4683</v>
      </c>
      <c r="C172" s="452">
        <v>46010</v>
      </c>
      <c r="D172" t="s">
        <v>460</v>
      </c>
      <c r="E172" t="s">
        <v>3362</v>
      </c>
      <c r="F172">
        <v>134</v>
      </c>
      <c r="G172">
        <v>0</v>
      </c>
      <c r="H172">
        <v>134</v>
      </c>
    </row>
    <row r="173" spans="1:8" x14ac:dyDescent="0.3">
      <c r="A173">
        <v>103</v>
      </c>
      <c r="B173" t="s">
        <v>4683</v>
      </c>
      <c r="C173" s="452">
        <v>46010</v>
      </c>
      <c r="D173" t="s">
        <v>460</v>
      </c>
      <c r="E173" t="s">
        <v>22</v>
      </c>
      <c r="F173">
        <v>0.99</v>
      </c>
      <c r="G173">
        <v>0</v>
      </c>
      <c r="H173">
        <v>0.99</v>
      </c>
    </row>
    <row r="174" spans="1:8" x14ac:dyDescent="0.3">
      <c r="A174">
        <v>103</v>
      </c>
      <c r="B174" t="s">
        <v>4683</v>
      </c>
      <c r="C174" s="452">
        <v>46009</v>
      </c>
      <c r="D174" t="s">
        <v>460</v>
      </c>
      <c r="E174" t="s">
        <v>3362</v>
      </c>
      <c r="F174">
        <v>148</v>
      </c>
      <c r="G174">
        <v>0</v>
      </c>
      <c r="H174">
        <v>148</v>
      </c>
    </row>
    <row r="175" spans="1:8" x14ac:dyDescent="0.3">
      <c r="A175">
        <v>103</v>
      </c>
      <c r="B175" t="s">
        <v>4683</v>
      </c>
      <c r="C175" s="452">
        <v>46009</v>
      </c>
      <c r="D175" t="s">
        <v>460</v>
      </c>
      <c r="E175" t="s">
        <v>22</v>
      </c>
      <c r="F175">
        <v>0.99</v>
      </c>
      <c r="G175">
        <v>0</v>
      </c>
      <c r="H175">
        <v>0.99</v>
      </c>
    </row>
    <row r="176" spans="1:8" x14ac:dyDescent="0.3">
      <c r="A176">
        <v>103</v>
      </c>
      <c r="B176" t="s">
        <v>4683</v>
      </c>
      <c r="C176" s="452">
        <v>46007</v>
      </c>
      <c r="D176" t="s">
        <v>460</v>
      </c>
      <c r="E176" t="s">
        <v>3362</v>
      </c>
      <c r="F176">
        <v>45</v>
      </c>
      <c r="G176">
        <v>4.99</v>
      </c>
      <c r="H176">
        <v>40.01</v>
      </c>
    </row>
    <row r="177" spans="1:8" x14ac:dyDescent="0.3">
      <c r="A177">
        <v>103</v>
      </c>
      <c r="B177" t="s">
        <v>4683</v>
      </c>
      <c r="C177" s="452">
        <v>46007</v>
      </c>
      <c r="D177" t="s">
        <v>460</v>
      </c>
      <c r="E177" t="s">
        <v>22</v>
      </c>
      <c r="F177">
        <v>0.99</v>
      </c>
      <c r="G177">
        <v>0</v>
      </c>
      <c r="H177">
        <v>0.99</v>
      </c>
    </row>
    <row r="178" spans="1:8" x14ac:dyDescent="0.3">
      <c r="A178">
        <v>103</v>
      </c>
      <c r="B178" t="s">
        <v>4683</v>
      </c>
      <c r="C178" s="452">
        <v>46003</v>
      </c>
      <c r="D178" t="s">
        <v>460</v>
      </c>
      <c r="E178" t="s">
        <v>3362</v>
      </c>
      <c r="F178">
        <v>98</v>
      </c>
      <c r="G178">
        <v>5</v>
      </c>
      <c r="H178">
        <v>93</v>
      </c>
    </row>
    <row r="179" spans="1:8" x14ac:dyDescent="0.3">
      <c r="A179">
        <v>103</v>
      </c>
      <c r="B179" t="s">
        <v>4683</v>
      </c>
      <c r="C179" s="452">
        <v>46003</v>
      </c>
      <c r="D179" t="s">
        <v>460</v>
      </c>
      <c r="E179" t="s">
        <v>22</v>
      </c>
      <c r="F179">
        <v>8.98</v>
      </c>
      <c r="G179">
        <v>0</v>
      </c>
      <c r="H179">
        <v>8.98</v>
      </c>
    </row>
    <row r="180" spans="1:8" x14ac:dyDescent="0.3">
      <c r="A180">
        <v>103</v>
      </c>
      <c r="B180" t="s">
        <v>4683</v>
      </c>
      <c r="C180" s="452">
        <v>46002</v>
      </c>
      <c r="D180" t="s">
        <v>460</v>
      </c>
      <c r="E180" t="s">
        <v>3362</v>
      </c>
      <c r="F180">
        <v>84</v>
      </c>
      <c r="G180">
        <v>0</v>
      </c>
      <c r="H180">
        <v>84</v>
      </c>
    </row>
    <row r="181" spans="1:8" x14ac:dyDescent="0.3">
      <c r="A181">
        <v>103</v>
      </c>
      <c r="B181" t="s">
        <v>4683</v>
      </c>
      <c r="C181" s="452">
        <v>46002</v>
      </c>
      <c r="D181" t="s">
        <v>460</v>
      </c>
      <c r="E181" t="s">
        <v>22</v>
      </c>
      <c r="F181">
        <v>0.99</v>
      </c>
      <c r="G181">
        <v>0</v>
      </c>
      <c r="H181">
        <v>0.99</v>
      </c>
    </row>
    <row r="182" spans="1:8" x14ac:dyDescent="0.3">
      <c r="A182">
        <v>103</v>
      </c>
      <c r="B182" t="s">
        <v>4683</v>
      </c>
      <c r="C182" s="452">
        <v>46001</v>
      </c>
      <c r="D182" t="s">
        <v>460</v>
      </c>
      <c r="E182" t="s">
        <v>3362</v>
      </c>
      <c r="F182">
        <v>45</v>
      </c>
      <c r="G182">
        <v>0</v>
      </c>
      <c r="H182">
        <v>45</v>
      </c>
    </row>
    <row r="183" spans="1:8" x14ac:dyDescent="0.3">
      <c r="A183">
        <v>103</v>
      </c>
      <c r="B183" t="s">
        <v>4683</v>
      </c>
      <c r="C183" s="452">
        <v>46001</v>
      </c>
      <c r="D183" t="s">
        <v>460</v>
      </c>
      <c r="E183" t="s">
        <v>3361</v>
      </c>
      <c r="F183">
        <v>8</v>
      </c>
      <c r="G183">
        <v>0</v>
      </c>
      <c r="H183">
        <v>8</v>
      </c>
    </row>
    <row r="184" spans="1:8" x14ac:dyDescent="0.3">
      <c r="A184">
        <v>103</v>
      </c>
      <c r="B184" t="s">
        <v>4683</v>
      </c>
      <c r="C184" s="452">
        <v>46001</v>
      </c>
      <c r="D184" t="s">
        <v>460</v>
      </c>
      <c r="E184" t="s">
        <v>22</v>
      </c>
      <c r="F184">
        <v>7.98</v>
      </c>
      <c r="G184">
        <v>0</v>
      </c>
      <c r="H184">
        <v>7.98</v>
      </c>
    </row>
    <row r="185" spans="1:8" x14ac:dyDescent="0.3">
      <c r="A185">
        <v>103</v>
      </c>
      <c r="B185" t="s">
        <v>4683</v>
      </c>
      <c r="C185" s="452">
        <v>45995</v>
      </c>
      <c r="D185" t="s">
        <v>460</v>
      </c>
      <c r="E185" t="s">
        <v>22</v>
      </c>
      <c r="F185">
        <v>7.98</v>
      </c>
      <c r="G185">
        <v>0</v>
      </c>
      <c r="H185">
        <v>7.98</v>
      </c>
    </row>
    <row r="186" spans="1:8" x14ac:dyDescent="0.3">
      <c r="A186">
        <v>103</v>
      </c>
      <c r="B186" t="s">
        <v>4683</v>
      </c>
      <c r="C186" s="452">
        <v>45995</v>
      </c>
      <c r="D186" t="s">
        <v>460</v>
      </c>
      <c r="E186" t="s">
        <v>3362</v>
      </c>
      <c r="F186">
        <v>85</v>
      </c>
      <c r="G186">
        <v>5</v>
      </c>
      <c r="H186">
        <v>80</v>
      </c>
    </row>
    <row r="187" spans="1:8" x14ac:dyDescent="0.3">
      <c r="A187">
        <v>103</v>
      </c>
      <c r="B187" t="s">
        <v>4683</v>
      </c>
      <c r="C187" s="452">
        <v>45990</v>
      </c>
      <c r="D187" t="s">
        <v>3393</v>
      </c>
      <c r="E187" t="s">
        <v>3362</v>
      </c>
      <c r="F187">
        <v>165</v>
      </c>
      <c r="G187">
        <v>0</v>
      </c>
      <c r="H187">
        <v>165</v>
      </c>
    </row>
    <row r="188" spans="1:8" x14ac:dyDescent="0.3">
      <c r="A188">
        <v>103</v>
      </c>
      <c r="B188" t="s">
        <v>4683</v>
      </c>
      <c r="C188" s="452">
        <v>45990</v>
      </c>
      <c r="D188" t="s">
        <v>3393</v>
      </c>
      <c r="E188" t="s">
        <v>22</v>
      </c>
      <c r="F188">
        <v>21.98</v>
      </c>
      <c r="G188">
        <v>0</v>
      </c>
      <c r="H188">
        <v>21.98</v>
      </c>
    </row>
    <row r="189" spans="1:8" x14ac:dyDescent="0.3">
      <c r="A189">
        <v>103</v>
      </c>
      <c r="B189" t="s">
        <v>4683</v>
      </c>
      <c r="C189" s="452">
        <v>45989</v>
      </c>
      <c r="D189" t="s">
        <v>3393</v>
      </c>
      <c r="E189" t="s">
        <v>3362</v>
      </c>
      <c r="F189">
        <v>195</v>
      </c>
      <c r="G189">
        <v>0</v>
      </c>
      <c r="H189">
        <v>195</v>
      </c>
    </row>
    <row r="190" spans="1:8" x14ac:dyDescent="0.3">
      <c r="A190">
        <v>103</v>
      </c>
      <c r="B190" t="s">
        <v>4683</v>
      </c>
      <c r="C190" s="452">
        <v>45989</v>
      </c>
      <c r="D190" t="s">
        <v>3393</v>
      </c>
      <c r="E190" t="s">
        <v>22</v>
      </c>
      <c r="F190">
        <v>11.98</v>
      </c>
      <c r="G190">
        <v>0</v>
      </c>
      <c r="H190">
        <v>11.98</v>
      </c>
    </row>
    <row r="191" spans="1:8" x14ac:dyDescent="0.3">
      <c r="A191">
        <v>103</v>
      </c>
      <c r="B191" t="s">
        <v>4683</v>
      </c>
      <c r="C191" s="452">
        <v>45988</v>
      </c>
      <c r="D191" t="s">
        <v>3393</v>
      </c>
      <c r="E191" t="s">
        <v>22</v>
      </c>
      <c r="F191">
        <v>0.99</v>
      </c>
      <c r="G191">
        <v>0</v>
      </c>
      <c r="H191">
        <v>0.99</v>
      </c>
    </row>
    <row r="192" spans="1:8" x14ac:dyDescent="0.3">
      <c r="A192">
        <v>103</v>
      </c>
      <c r="B192" t="s">
        <v>4683</v>
      </c>
      <c r="C192" s="452">
        <v>45988</v>
      </c>
      <c r="D192" t="s">
        <v>3393</v>
      </c>
      <c r="E192" t="s">
        <v>3362</v>
      </c>
      <c r="F192">
        <v>89</v>
      </c>
      <c r="G192">
        <v>5</v>
      </c>
      <c r="H192">
        <v>84</v>
      </c>
    </row>
    <row r="193" spans="1:8" x14ac:dyDescent="0.3">
      <c r="A193">
        <v>103</v>
      </c>
      <c r="B193" t="s">
        <v>4683</v>
      </c>
      <c r="C193" s="452">
        <v>45987</v>
      </c>
      <c r="D193" t="s">
        <v>3393</v>
      </c>
      <c r="E193" t="s">
        <v>22</v>
      </c>
      <c r="F193">
        <v>8.98</v>
      </c>
      <c r="G193">
        <v>0</v>
      </c>
      <c r="H193">
        <v>8.98</v>
      </c>
    </row>
    <row r="194" spans="1:8" x14ac:dyDescent="0.3">
      <c r="A194">
        <v>103</v>
      </c>
      <c r="B194" t="s">
        <v>4683</v>
      </c>
      <c r="C194" s="452">
        <v>45987</v>
      </c>
      <c r="D194" t="s">
        <v>3393</v>
      </c>
      <c r="E194" t="s">
        <v>3362</v>
      </c>
      <c r="F194">
        <v>59</v>
      </c>
      <c r="G194">
        <v>0</v>
      </c>
      <c r="H194">
        <v>59</v>
      </c>
    </row>
    <row r="195" spans="1:8" x14ac:dyDescent="0.3">
      <c r="A195">
        <v>103</v>
      </c>
      <c r="B195" t="s">
        <v>4683</v>
      </c>
      <c r="C195" s="452">
        <v>45987</v>
      </c>
      <c r="D195" t="s">
        <v>3393</v>
      </c>
      <c r="E195" t="s">
        <v>3361</v>
      </c>
      <c r="F195">
        <v>18</v>
      </c>
      <c r="G195">
        <v>0</v>
      </c>
      <c r="H195">
        <v>18</v>
      </c>
    </row>
    <row r="196" spans="1:8" x14ac:dyDescent="0.3">
      <c r="A196">
        <v>103</v>
      </c>
      <c r="B196" t="s">
        <v>4683</v>
      </c>
      <c r="C196" s="452">
        <v>45983</v>
      </c>
      <c r="D196" t="s">
        <v>3393</v>
      </c>
      <c r="E196" t="s">
        <v>3362</v>
      </c>
      <c r="F196">
        <v>90</v>
      </c>
      <c r="G196">
        <v>0</v>
      </c>
      <c r="H196">
        <v>90</v>
      </c>
    </row>
    <row r="197" spans="1:8" x14ac:dyDescent="0.3">
      <c r="A197">
        <v>103</v>
      </c>
      <c r="B197" t="s">
        <v>4683</v>
      </c>
      <c r="C197" s="452">
        <v>45983</v>
      </c>
      <c r="D197" t="s">
        <v>3393</v>
      </c>
      <c r="E197" t="s">
        <v>22</v>
      </c>
      <c r="F197">
        <v>12.98</v>
      </c>
      <c r="G197">
        <v>0</v>
      </c>
      <c r="H197">
        <v>12.98</v>
      </c>
    </row>
    <row r="198" spans="1:8" x14ac:dyDescent="0.3">
      <c r="A198">
        <v>103</v>
      </c>
      <c r="B198" t="s">
        <v>4683</v>
      </c>
      <c r="C198" s="452">
        <v>45982</v>
      </c>
      <c r="D198" t="s">
        <v>3393</v>
      </c>
      <c r="E198" t="s">
        <v>3362</v>
      </c>
      <c r="F198">
        <v>45</v>
      </c>
      <c r="G198">
        <v>0</v>
      </c>
      <c r="H198">
        <v>45</v>
      </c>
    </row>
    <row r="199" spans="1:8" x14ac:dyDescent="0.3">
      <c r="A199">
        <v>103</v>
      </c>
      <c r="B199" t="s">
        <v>4683</v>
      </c>
      <c r="C199" s="452">
        <v>45982</v>
      </c>
      <c r="D199" t="s">
        <v>3393</v>
      </c>
      <c r="E199" t="s">
        <v>22</v>
      </c>
      <c r="F199">
        <v>0.99</v>
      </c>
      <c r="G199">
        <v>0</v>
      </c>
      <c r="H199">
        <v>0.99</v>
      </c>
    </row>
    <row r="200" spans="1:8" x14ac:dyDescent="0.3">
      <c r="A200">
        <v>103</v>
      </c>
      <c r="B200" t="s">
        <v>4683</v>
      </c>
      <c r="C200" s="452">
        <v>45979</v>
      </c>
      <c r="D200" t="s">
        <v>3393</v>
      </c>
      <c r="E200" t="s">
        <v>3362</v>
      </c>
      <c r="F200">
        <v>130</v>
      </c>
      <c r="G200">
        <v>0</v>
      </c>
      <c r="H200">
        <v>130</v>
      </c>
    </row>
    <row r="201" spans="1:8" x14ac:dyDescent="0.3">
      <c r="A201">
        <v>103</v>
      </c>
      <c r="B201" t="s">
        <v>4683</v>
      </c>
      <c r="C201" s="452">
        <v>45979</v>
      </c>
      <c r="D201" t="s">
        <v>3393</v>
      </c>
      <c r="E201" t="s">
        <v>3361</v>
      </c>
      <c r="F201">
        <v>8</v>
      </c>
      <c r="G201">
        <v>0</v>
      </c>
      <c r="H201">
        <v>8</v>
      </c>
    </row>
    <row r="202" spans="1:8" x14ac:dyDescent="0.3">
      <c r="A202">
        <v>103</v>
      </c>
      <c r="B202" t="s">
        <v>4683</v>
      </c>
      <c r="C202" s="452">
        <v>45979</v>
      </c>
      <c r="D202" t="s">
        <v>3393</v>
      </c>
      <c r="E202" t="s">
        <v>22</v>
      </c>
      <c r="F202">
        <v>1.98</v>
      </c>
      <c r="G202">
        <v>0</v>
      </c>
      <c r="H202">
        <v>1.98</v>
      </c>
    </row>
    <row r="203" spans="1:8" x14ac:dyDescent="0.3">
      <c r="A203">
        <v>103</v>
      </c>
      <c r="B203" t="s">
        <v>4683</v>
      </c>
      <c r="C203" s="452">
        <v>45975</v>
      </c>
      <c r="D203" t="s">
        <v>3393</v>
      </c>
      <c r="E203" t="s">
        <v>22</v>
      </c>
      <c r="F203">
        <v>13.98</v>
      </c>
      <c r="G203">
        <v>0</v>
      </c>
      <c r="H203">
        <v>13.98</v>
      </c>
    </row>
    <row r="204" spans="1:8" x14ac:dyDescent="0.3">
      <c r="A204">
        <v>103</v>
      </c>
      <c r="B204" t="s">
        <v>4683</v>
      </c>
      <c r="C204" s="452">
        <v>45975</v>
      </c>
      <c r="D204" t="s">
        <v>3393</v>
      </c>
      <c r="E204" t="s">
        <v>3362</v>
      </c>
      <c r="F204">
        <v>85</v>
      </c>
      <c r="G204">
        <v>0</v>
      </c>
      <c r="H204">
        <v>85</v>
      </c>
    </row>
    <row r="205" spans="1:8" x14ac:dyDescent="0.3">
      <c r="A205">
        <v>103</v>
      </c>
      <c r="B205" t="s">
        <v>4683</v>
      </c>
      <c r="C205" s="452">
        <v>45971</v>
      </c>
      <c r="D205" t="s">
        <v>3393</v>
      </c>
      <c r="E205" t="s">
        <v>3362</v>
      </c>
      <c r="F205">
        <v>84</v>
      </c>
      <c r="G205">
        <v>0</v>
      </c>
      <c r="H205">
        <v>84</v>
      </c>
    </row>
    <row r="206" spans="1:8" x14ac:dyDescent="0.3">
      <c r="A206">
        <v>103</v>
      </c>
      <c r="B206" t="s">
        <v>4683</v>
      </c>
      <c r="C206" s="452">
        <v>45971</v>
      </c>
      <c r="D206" t="s">
        <v>3393</v>
      </c>
      <c r="E206" t="s">
        <v>22</v>
      </c>
      <c r="F206">
        <v>0.99</v>
      </c>
      <c r="G206">
        <v>0</v>
      </c>
      <c r="H206">
        <v>0.99</v>
      </c>
    </row>
    <row r="207" spans="1:8" x14ac:dyDescent="0.3">
      <c r="A207">
        <v>103</v>
      </c>
      <c r="B207" t="s">
        <v>4683</v>
      </c>
      <c r="C207" s="452">
        <v>45971</v>
      </c>
      <c r="D207" t="s">
        <v>3393</v>
      </c>
      <c r="E207" t="s">
        <v>3361</v>
      </c>
      <c r="F207">
        <v>8</v>
      </c>
      <c r="G207">
        <v>0</v>
      </c>
      <c r="H207">
        <v>8</v>
      </c>
    </row>
    <row r="208" spans="1:8" x14ac:dyDescent="0.3">
      <c r="A208">
        <v>103</v>
      </c>
      <c r="B208" t="s">
        <v>4683</v>
      </c>
      <c r="C208" s="452">
        <v>45966</v>
      </c>
      <c r="D208" t="s">
        <v>3393</v>
      </c>
      <c r="E208" t="s">
        <v>3362</v>
      </c>
      <c r="F208">
        <v>62</v>
      </c>
      <c r="G208">
        <v>0</v>
      </c>
      <c r="H208">
        <v>62</v>
      </c>
    </row>
    <row r="209" spans="1:8" x14ac:dyDescent="0.3">
      <c r="A209">
        <v>103</v>
      </c>
      <c r="B209" t="s">
        <v>4683</v>
      </c>
      <c r="C209" s="452">
        <v>45966</v>
      </c>
      <c r="D209" t="s">
        <v>3393</v>
      </c>
      <c r="E209" t="s">
        <v>22</v>
      </c>
      <c r="F209">
        <v>0.99</v>
      </c>
      <c r="G209">
        <v>0</v>
      </c>
      <c r="H209">
        <v>0.99</v>
      </c>
    </row>
    <row r="210" spans="1:8" x14ac:dyDescent="0.3">
      <c r="A210">
        <v>103</v>
      </c>
      <c r="B210" t="s">
        <v>4683</v>
      </c>
      <c r="C210" s="452">
        <v>45965</v>
      </c>
      <c r="D210" t="s">
        <v>3393</v>
      </c>
      <c r="E210" t="s">
        <v>3362</v>
      </c>
      <c r="F210">
        <v>119</v>
      </c>
      <c r="G210">
        <v>5</v>
      </c>
      <c r="H210">
        <v>114</v>
      </c>
    </row>
    <row r="211" spans="1:8" x14ac:dyDescent="0.3">
      <c r="A211">
        <v>103</v>
      </c>
      <c r="B211" t="s">
        <v>4683</v>
      </c>
      <c r="C211" s="452">
        <v>45965</v>
      </c>
      <c r="D211" t="s">
        <v>3393</v>
      </c>
      <c r="E211" t="s">
        <v>22</v>
      </c>
      <c r="F211">
        <v>0.99</v>
      </c>
      <c r="G211">
        <v>0</v>
      </c>
      <c r="H211">
        <v>0.99</v>
      </c>
    </row>
    <row r="212" spans="1:8" x14ac:dyDescent="0.3">
      <c r="A212">
        <v>103</v>
      </c>
      <c r="B212" t="s">
        <v>4683</v>
      </c>
      <c r="C212" s="452">
        <v>45962</v>
      </c>
      <c r="D212" t="s">
        <v>3393</v>
      </c>
      <c r="E212" t="s">
        <v>3362</v>
      </c>
      <c r="F212">
        <v>242</v>
      </c>
      <c r="G212">
        <v>5</v>
      </c>
      <c r="H212">
        <v>237</v>
      </c>
    </row>
    <row r="213" spans="1:8" x14ac:dyDescent="0.3">
      <c r="A213">
        <v>103</v>
      </c>
      <c r="B213" t="s">
        <v>4683</v>
      </c>
      <c r="C213" s="452">
        <v>45962</v>
      </c>
      <c r="D213" t="s">
        <v>3393</v>
      </c>
      <c r="E213" t="s">
        <v>22</v>
      </c>
      <c r="F213">
        <v>0.99</v>
      </c>
      <c r="G213">
        <v>0</v>
      </c>
      <c r="H213">
        <v>0.99</v>
      </c>
    </row>
    <row r="214" spans="1:8" x14ac:dyDescent="0.3">
      <c r="A214">
        <v>103</v>
      </c>
      <c r="B214" t="s">
        <v>4683</v>
      </c>
      <c r="C214" s="452">
        <v>45961</v>
      </c>
      <c r="D214" t="s">
        <v>3733</v>
      </c>
      <c r="E214" t="s">
        <v>3362</v>
      </c>
      <c r="F214">
        <v>104</v>
      </c>
      <c r="G214">
        <v>5</v>
      </c>
      <c r="H214">
        <v>99</v>
      </c>
    </row>
    <row r="215" spans="1:8" x14ac:dyDescent="0.3">
      <c r="A215">
        <v>103</v>
      </c>
      <c r="B215" t="s">
        <v>4683</v>
      </c>
      <c r="C215" s="452">
        <v>45961</v>
      </c>
      <c r="D215" t="s">
        <v>3733</v>
      </c>
      <c r="E215" t="s">
        <v>22</v>
      </c>
      <c r="F215">
        <v>0.99</v>
      </c>
      <c r="G215">
        <v>0</v>
      </c>
      <c r="H215">
        <v>0.99</v>
      </c>
    </row>
    <row r="216" spans="1:8" x14ac:dyDescent="0.3">
      <c r="A216">
        <v>103</v>
      </c>
      <c r="B216" t="s">
        <v>4683</v>
      </c>
      <c r="C216" s="452">
        <v>45955</v>
      </c>
      <c r="D216" t="s">
        <v>3733</v>
      </c>
      <c r="E216" t="s">
        <v>3362</v>
      </c>
      <c r="F216">
        <v>62</v>
      </c>
      <c r="G216">
        <v>0</v>
      </c>
      <c r="H216">
        <v>62</v>
      </c>
    </row>
    <row r="217" spans="1:8" x14ac:dyDescent="0.3">
      <c r="A217">
        <v>103</v>
      </c>
      <c r="B217" t="s">
        <v>4683</v>
      </c>
      <c r="C217" s="452">
        <v>45955</v>
      </c>
      <c r="D217" t="s">
        <v>3733</v>
      </c>
      <c r="E217" t="s">
        <v>22</v>
      </c>
      <c r="F217">
        <v>3.98</v>
      </c>
      <c r="G217">
        <v>0</v>
      </c>
      <c r="H217">
        <v>3.98</v>
      </c>
    </row>
    <row r="218" spans="1:8" x14ac:dyDescent="0.3">
      <c r="A218">
        <v>103</v>
      </c>
      <c r="B218" t="s">
        <v>4683</v>
      </c>
      <c r="C218" s="452">
        <v>45954</v>
      </c>
      <c r="D218" t="s">
        <v>3733</v>
      </c>
      <c r="E218" t="s">
        <v>3362</v>
      </c>
      <c r="F218">
        <v>21</v>
      </c>
      <c r="G218">
        <v>0</v>
      </c>
      <c r="H218">
        <v>21</v>
      </c>
    </row>
    <row r="219" spans="1:8" x14ac:dyDescent="0.3">
      <c r="A219">
        <v>103</v>
      </c>
      <c r="B219" t="s">
        <v>4683</v>
      </c>
      <c r="C219" s="452">
        <v>45954</v>
      </c>
      <c r="D219" t="s">
        <v>3733</v>
      </c>
      <c r="E219" t="s">
        <v>22</v>
      </c>
      <c r="F219">
        <v>2.98</v>
      </c>
      <c r="G219">
        <v>0</v>
      </c>
      <c r="H219">
        <v>2.98</v>
      </c>
    </row>
    <row r="220" spans="1:8" x14ac:dyDescent="0.3">
      <c r="A220">
        <v>103</v>
      </c>
      <c r="B220" t="s">
        <v>4683</v>
      </c>
      <c r="C220" s="452">
        <v>45947</v>
      </c>
      <c r="D220" t="s">
        <v>3733</v>
      </c>
      <c r="E220" t="s">
        <v>3362</v>
      </c>
      <c r="F220">
        <v>89</v>
      </c>
      <c r="G220">
        <v>0</v>
      </c>
      <c r="H220">
        <v>89</v>
      </c>
    </row>
    <row r="221" spans="1:8" x14ac:dyDescent="0.3">
      <c r="A221">
        <v>103</v>
      </c>
      <c r="B221" t="s">
        <v>4683</v>
      </c>
      <c r="C221" s="452">
        <v>45947</v>
      </c>
      <c r="D221" t="s">
        <v>3733</v>
      </c>
      <c r="E221" t="s">
        <v>22</v>
      </c>
      <c r="F221">
        <v>0.99</v>
      </c>
      <c r="G221">
        <v>0</v>
      </c>
      <c r="H221">
        <v>0.99</v>
      </c>
    </row>
    <row r="222" spans="1:8" x14ac:dyDescent="0.3">
      <c r="A222">
        <v>103</v>
      </c>
      <c r="B222" t="s">
        <v>4683</v>
      </c>
      <c r="C222" s="452">
        <v>45947</v>
      </c>
      <c r="D222" t="s">
        <v>3733</v>
      </c>
      <c r="E222" t="s">
        <v>3361</v>
      </c>
      <c r="F222">
        <v>8</v>
      </c>
      <c r="G222">
        <v>0</v>
      </c>
      <c r="H222">
        <v>8</v>
      </c>
    </row>
    <row r="223" spans="1:8" x14ac:dyDescent="0.3">
      <c r="A223">
        <v>103</v>
      </c>
      <c r="B223" t="s">
        <v>4683</v>
      </c>
      <c r="C223" s="452">
        <v>45941</v>
      </c>
      <c r="D223" t="s">
        <v>3733</v>
      </c>
      <c r="E223" t="s">
        <v>3362</v>
      </c>
      <c r="F223">
        <v>210</v>
      </c>
      <c r="G223">
        <v>0</v>
      </c>
      <c r="H223">
        <v>210</v>
      </c>
    </row>
    <row r="224" spans="1:8" x14ac:dyDescent="0.3">
      <c r="A224">
        <v>103</v>
      </c>
      <c r="B224" t="s">
        <v>4683</v>
      </c>
      <c r="C224" s="452">
        <v>45941</v>
      </c>
      <c r="D224" t="s">
        <v>3733</v>
      </c>
      <c r="E224" t="s">
        <v>22</v>
      </c>
      <c r="F224">
        <v>7.97</v>
      </c>
      <c r="G224">
        <v>0</v>
      </c>
      <c r="H224">
        <v>7.97</v>
      </c>
    </row>
    <row r="225" spans="1:8" x14ac:dyDescent="0.3">
      <c r="A225">
        <v>103</v>
      </c>
      <c r="B225" t="s">
        <v>4683</v>
      </c>
      <c r="C225" s="452">
        <v>45934</v>
      </c>
      <c r="D225" t="s">
        <v>3733</v>
      </c>
      <c r="E225" t="s">
        <v>3362</v>
      </c>
      <c r="F225">
        <v>65</v>
      </c>
      <c r="G225">
        <v>5</v>
      </c>
      <c r="H225">
        <v>60</v>
      </c>
    </row>
    <row r="226" spans="1:8" x14ac:dyDescent="0.3">
      <c r="A226">
        <v>103</v>
      </c>
      <c r="B226" t="s">
        <v>4683</v>
      </c>
      <c r="C226" s="452">
        <v>45934</v>
      </c>
      <c r="D226" t="s">
        <v>3733</v>
      </c>
      <c r="E226" t="s">
        <v>22</v>
      </c>
      <c r="F226">
        <v>13.98</v>
      </c>
      <c r="G226">
        <v>0</v>
      </c>
      <c r="H226">
        <v>13.98</v>
      </c>
    </row>
    <row r="227" spans="1:8" x14ac:dyDescent="0.3">
      <c r="A227">
        <v>103</v>
      </c>
      <c r="B227" t="s">
        <v>4683</v>
      </c>
      <c r="C227" s="452">
        <v>45931</v>
      </c>
      <c r="D227" t="s">
        <v>3733</v>
      </c>
      <c r="E227" t="s">
        <v>3362</v>
      </c>
      <c r="F227">
        <v>106</v>
      </c>
      <c r="G227">
        <v>5</v>
      </c>
      <c r="H227">
        <v>101</v>
      </c>
    </row>
    <row r="228" spans="1:8" x14ac:dyDescent="0.3">
      <c r="A228">
        <v>103</v>
      </c>
      <c r="B228" t="s">
        <v>4683</v>
      </c>
      <c r="C228" s="452">
        <v>45931</v>
      </c>
      <c r="D228" t="s">
        <v>3733</v>
      </c>
      <c r="E228" t="s">
        <v>22</v>
      </c>
      <c r="F228">
        <v>0.99</v>
      </c>
      <c r="G228">
        <v>0</v>
      </c>
      <c r="H228">
        <v>0.99</v>
      </c>
    </row>
    <row r="229" spans="1:8" x14ac:dyDescent="0.3">
      <c r="A229">
        <v>103</v>
      </c>
      <c r="B229" t="s">
        <v>4683</v>
      </c>
      <c r="C229" s="452">
        <v>45924</v>
      </c>
      <c r="D229" t="s">
        <v>4684</v>
      </c>
      <c r="E229" t="s">
        <v>3362</v>
      </c>
      <c r="F229">
        <v>98</v>
      </c>
      <c r="G229">
        <v>0</v>
      </c>
      <c r="H229">
        <v>98</v>
      </c>
    </row>
    <row r="230" spans="1:8" x14ac:dyDescent="0.3">
      <c r="A230">
        <v>103</v>
      </c>
      <c r="B230" t="s">
        <v>4683</v>
      </c>
      <c r="C230" s="452">
        <v>45917</v>
      </c>
      <c r="D230" t="s">
        <v>4684</v>
      </c>
      <c r="E230" t="s">
        <v>3362</v>
      </c>
      <c r="F230">
        <v>65</v>
      </c>
      <c r="G230">
        <v>0</v>
      </c>
      <c r="H230">
        <v>65</v>
      </c>
    </row>
    <row r="231" spans="1:8" x14ac:dyDescent="0.3">
      <c r="A231">
        <v>103</v>
      </c>
      <c r="B231" t="s">
        <v>4683</v>
      </c>
      <c r="C231" s="452">
        <v>45913</v>
      </c>
      <c r="D231" t="s">
        <v>4684</v>
      </c>
      <c r="E231" t="s">
        <v>3362</v>
      </c>
      <c r="F231">
        <v>66</v>
      </c>
      <c r="G231">
        <v>0</v>
      </c>
      <c r="H231">
        <v>66</v>
      </c>
    </row>
    <row r="232" spans="1:8" x14ac:dyDescent="0.3">
      <c r="A232">
        <v>103</v>
      </c>
      <c r="B232" t="s">
        <v>4683</v>
      </c>
      <c r="C232" s="452">
        <v>45913</v>
      </c>
      <c r="D232" t="s">
        <v>4684</v>
      </c>
      <c r="E232" t="s">
        <v>3361</v>
      </c>
      <c r="F232">
        <v>10</v>
      </c>
      <c r="G232">
        <v>0</v>
      </c>
      <c r="H232">
        <v>10</v>
      </c>
    </row>
    <row r="233" spans="1:8" x14ac:dyDescent="0.3">
      <c r="A233">
        <v>103</v>
      </c>
      <c r="B233" t="s">
        <v>4683</v>
      </c>
      <c r="C233" s="452">
        <v>45912</v>
      </c>
      <c r="D233" t="s">
        <v>4684</v>
      </c>
      <c r="E233" t="s">
        <v>3361</v>
      </c>
      <c r="F233">
        <v>5</v>
      </c>
      <c r="G233">
        <v>0</v>
      </c>
      <c r="H233">
        <v>5</v>
      </c>
    </row>
    <row r="234" spans="1:8" x14ac:dyDescent="0.3">
      <c r="A234">
        <v>103</v>
      </c>
      <c r="B234" t="s">
        <v>4683</v>
      </c>
      <c r="C234" s="452">
        <v>45912</v>
      </c>
      <c r="D234" t="s">
        <v>4684</v>
      </c>
      <c r="E234" t="s">
        <v>3362</v>
      </c>
      <c r="F234">
        <v>261</v>
      </c>
      <c r="G234">
        <v>0</v>
      </c>
      <c r="H234">
        <v>261</v>
      </c>
    </row>
    <row r="235" spans="1:8" x14ac:dyDescent="0.3">
      <c r="A235">
        <v>103</v>
      </c>
      <c r="B235" t="s">
        <v>4683</v>
      </c>
      <c r="C235" s="452">
        <v>45910</v>
      </c>
      <c r="D235" t="s">
        <v>4684</v>
      </c>
      <c r="E235" t="s">
        <v>3362</v>
      </c>
      <c r="F235">
        <v>98</v>
      </c>
      <c r="G235">
        <v>0</v>
      </c>
      <c r="H235">
        <v>98</v>
      </c>
    </row>
    <row r="236" spans="1:8" x14ac:dyDescent="0.3">
      <c r="A236">
        <v>103</v>
      </c>
      <c r="B236" t="s">
        <v>4683</v>
      </c>
      <c r="C236" s="452">
        <v>45906</v>
      </c>
      <c r="D236" t="s">
        <v>4684</v>
      </c>
      <c r="E236" t="s">
        <v>3362</v>
      </c>
      <c r="F236">
        <v>33</v>
      </c>
      <c r="G236">
        <v>0</v>
      </c>
      <c r="H236">
        <v>33</v>
      </c>
    </row>
    <row r="237" spans="1:8" x14ac:dyDescent="0.3">
      <c r="A237">
        <v>103</v>
      </c>
      <c r="B237" t="s">
        <v>4683</v>
      </c>
      <c r="C237" s="452">
        <v>45906</v>
      </c>
      <c r="D237" t="s">
        <v>4684</v>
      </c>
      <c r="E237" t="s">
        <v>3361</v>
      </c>
      <c r="F237">
        <v>12</v>
      </c>
      <c r="G237">
        <v>0</v>
      </c>
      <c r="H237">
        <v>12</v>
      </c>
    </row>
    <row r="238" spans="1:8" x14ac:dyDescent="0.3">
      <c r="A238">
        <v>103</v>
      </c>
      <c r="B238" t="s">
        <v>4683</v>
      </c>
      <c r="C238" s="452">
        <v>45904</v>
      </c>
      <c r="D238" t="s">
        <v>4684</v>
      </c>
      <c r="E238" t="s">
        <v>3362</v>
      </c>
      <c r="F238">
        <v>79</v>
      </c>
      <c r="G238">
        <v>0</v>
      </c>
      <c r="H238">
        <v>79</v>
      </c>
    </row>
    <row r="239" spans="1:8" x14ac:dyDescent="0.3">
      <c r="A239">
        <v>103</v>
      </c>
      <c r="B239" t="s">
        <v>4683</v>
      </c>
      <c r="C239" s="452">
        <v>45903</v>
      </c>
      <c r="D239" t="s">
        <v>4684</v>
      </c>
      <c r="E239" t="s">
        <v>3362</v>
      </c>
      <c r="F239">
        <v>65</v>
      </c>
      <c r="G239">
        <v>0</v>
      </c>
      <c r="H239">
        <v>65</v>
      </c>
    </row>
    <row r="240" spans="1:8" x14ac:dyDescent="0.3">
      <c r="A240">
        <v>103</v>
      </c>
      <c r="B240" t="s">
        <v>4683</v>
      </c>
      <c r="C240" s="452">
        <v>45897</v>
      </c>
      <c r="D240" t="s">
        <v>4685</v>
      </c>
      <c r="E240" t="s">
        <v>3361</v>
      </c>
      <c r="F240">
        <v>5</v>
      </c>
      <c r="G240">
        <v>0</v>
      </c>
      <c r="H240">
        <v>5</v>
      </c>
    </row>
    <row r="241" spans="1:8" x14ac:dyDescent="0.3">
      <c r="A241">
        <v>103</v>
      </c>
      <c r="B241" t="s">
        <v>4683</v>
      </c>
      <c r="C241" s="452">
        <v>45897</v>
      </c>
      <c r="D241" t="s">
        <v>4685</v>
      </c>
      <c r="E241" t="s">
        <v>3362</v>
      </c>
      <c r="F241">
        <v>33</v>
      </c>
      <c r="G241">
        <v>0</v>
      </c>
      <c r="H241">
        <v>33</v>
      </c>
    </row>
    <row r="242" spans="1:8" x14ac:dyDescent="0.3">
      <c r="A242">
        <v>103</v>
      </c>
      <c r="B242" t="s">
        <v>4683</v>
      </c>
      <c r="C242" s="452">
        <v>45896</v>
      </c>
      <c r="D242" t="s">
        <v>4685</v>
      </c>
      <c r="E242" t="s">
        <v>3362</v>
      </c>
      <c r="F242">
        <v>79</v>
      </c>
      <c r="G242">
        <v>0</v>
      </c>
      <c r="H242">
        <v>79</v>
      </c>
    </row>
    <row r="243" spans="1:8" x14ac:dyDescent="0.3">
      <c r="A243">
        <v>103</v>
      </c>
      <c r="B243" t="s">
        <v>4683</v>
      </c>
      <c r="C243" s="452">
        <v>45894</v>
      </c>
      <c r="D243" t="s">
        <v>4685</v>
      </c>
      <c r="E243" t="s">
        <v>3362</v>
      </c>
      <c r="F243">
        <v>79</v>
      </c>
      <c r="G243">
        <v>0</v>
      </c>
      <c r="H243">
        <v>79</v>
      </c>
    </row>
    <row r="244" spans="1:8" x14ac:dyDescent="0.3">
      <c r="A244">
        <v>103</v>
      </c>
      <c r="B244" t="s">
        <v>4683</v>
      </c>
      <c r="C244" s="452">
        <v>45891</v>
      </c>
      <c r="D244" t="s">
        <v>4685</v>
      </c>
      <c r="E244" t="s">
        <v>3362</v>
      </c>
      <c r="F244">
        <v>141</v>
      </c>
      <c r="G244">
        <v>14.82</v>
      </c>
      <c r="H244">
        <v>126.18</v>
      </c>
    </row>
    <row r="245" spans="1:8" x14ac:dyDescent="0.3">
      <c r="A245">
        <v>103</v>
      </c>
      <c r="B245" t="s">
        <v>4683</v>
      </c>
      <c r="C245" s="452">
        <v>45891</v>
      </c>
      <c r="D245" t="s">
        <v>4685</v>
      </c>
      <c r="E245" t="s">
        <v>3361</v>
      </c>
      <c r="F245">
        <v>12</v>
      </c>
      <c r="G245">
        <v>1.18</v>
      </c>
      <c r="H245">
        <v>10.82</v>
      </c>
    </row>
    <row r="246" spans="1:8" x14ac:dyDescent="0.3">
      <c r="A246">
        <v>103</v>
      </c>
      <c r="B246" t="s">
        <v>4683</v>
      </c>
      <c r="C246" s="452">
        <v>45890</v>
      </c>
      <c r="D246" t="s">
        <v>4685</v>
      </c>
      <c r="E246" t="s">
        <v>3362</v>
      </c>
      <c r="F246">
        <v>144</v>
      </c>
      <c r="G246">
        <v>0</v>
      </c>
      <c r="H246">
        <v>144</v>
      </c>
    </row>
    <row r="247" spans="1:8" x14ac:dyDescent="0.3">
      <c r="A247">
        <v>103</v>
      </c>
      <c r="B247" t="s">
        <v>4683</v>
      </c>
      <c r="C247" s="452">
        <v>45889</v>
      </c>
      <c r="D247" t="s">
        <v>4685</v>
      </c>
      <c r="E247" t="s">
        <v>3362</v>
      </c>
      <c r="F247">
        <v>65</v>
      </c>
      <c r="G247">
        <v>0</v>
      </c>
      <c r="H247">
        <v>65</v>
      </c>
    </row>
    <row r="248" spans="1:8" x14ac:dyDescent="0.3">
      <c r="A248">
        <v>103</v>
      </c>
      <c r="B248" t="s">
        <v>4683</v>
      </c>
      <c r="C248" s="452">
        <v>45885</v>
      </c>
      <c r="D248" t="s">
        <v>4685</v>
      </c>
      <c r="E248" t="s">
        <v>3361</v>
      </c>
      <c r="F248">
        <v>5</v>
      </c>
      <c r="G248">
        <v>0</v>
      </c>
      <c r="H248">
        <v>5</v>
      </c>
    </row>
    <row r="249" spans="1:8" x14ac:dyDescent="0.3">
      <c r="A249">
        <v>103</v>
      </c>
      <c r="B249" t="s">
        <v>4683</v>
      </c>
      <c r="C249" s="452">
        <v>45885</v>
      </c>
      <c r="D249" t="s">
        <v>4685</v>
      </c>
      <c r="E249" t="s">
        <v>3362</v>
      </c>
      <c r="F249">
        <v>141</v>
      </c>
      <c r="G249">
        <v>0</v>
      </c>
      <c r="H249">
        <v>141</v>
      </c>
    </row>
    <row r="250" spans="1:8" x14ac:dyDescent="0.3">
      <c r="A250">
        <v>103</v>
      </c>
      <c r="B250" t="s">
        <v>4683</v>
      </c>
      <c r="C250" s="452">
        <v>45882</v>
      </c>
      <c r="D250" t="s">
        <v>4685</v>
      </c>
      <c r="E250" t="s">
        <v>3362</v>
      </c>
      <c r="F250">
        <v>79</v>
      </c>
      <c r="G250">
        <v>0</v>
      </c>
      <c r="H250">
        <v>79</v>
      </c>
    </row>
    <row r="251" spans="1:8" x14ac:dyDescent="0.3">
      <c r="A251">
        <v>103</v>
      </c>
      <c r="B251" t="s">
        <v>4683</v>
      </c>
      <c r="C251" s="452">
        <v>45880</v>
      </c>
      <c r="D251" t="s">
        <v>4685</v>
      </c>
      <c r="E251" t="s">
        <v>3362</v>
      </c>
      <c r="F251">
        <v>65</v>
      </c>
      <c r="G251">
        <v>0</v>
      </c>
      <c r="H251">
        <v>65</v>
      </c>
    </row>
    <row r="252" spans="1:8" x14ac:dyDescent="0.3">
      <c r="A252">
        <v>103</v>
      </c>
      <c r="B252" t="s">
        <v>4683</v>
      </c>
      <c r="C252" s="452">
        <v>45877</v>
      </c>
      <c r="D252" t="s">
        <v>4685</v>
      </c>
      <c r="E252" t="s">
        <v>3361</v>
      </c>
      <c r="F252">
        <v>6</v>
      </c>
      <c r="G252">
        <v>0</v>
      </c>
      <c r="H252">
        <v>6</v>
      </c>
    </row>
    <row r="253" spans="1:8" x14ac:dyDescent="0.3">
      <c r="A253">
        <v>103</v>
      </c>
      <c r="B253" t="s">
        <v>4683</v>
      </c>
      <c r="C253" s="452">
        <v>45877</v>
      </c>
      <c r="D253" t="s">
        <v>4685</v>
      </c>
      <c r="E253" t="s">
        <v>3362</v>
      </c>
      <c r="F253">
        <v>79</v>
      </c>
      <c r="G253">
        <v>0</v>
      </c>
      <c r="H253">
        <v>79</v>
      </c>
    </row>
    <row r="254" spans="1:8" x14ac:dyDescent="0.3">
      <c r="A254">
        <v>103</v>
      </c>
      <c r="B254" t="s">
        <v>4683</v>
      </c>
      <c r="C254" s="452">
        <v>45874</v>
      </c>
      <c r="D254" t="s">
        <v>4685</v>
      </c>
      <c r="E254" t="s">
        <v>3361</v>
      </c>
      <c r="F254">
        <v>5</v>
      </c>
      <c r="G254">
        <v>0</v>
      </c>
      <c r="H254">
        <v>5</v>
      </c>
    </row>
    <row r="255" spans="1:8" x14ac:dyDescent="0.3">
      <c r="A255">
        <v>103</v>
      </c>
      <c r="B255" t="s">
        <v>4683</v>
      </c>
      <c r="C255" s="452">
        <v>45874</v>
      </c>
      <c r="D255" t="s">
        <v>4685</v>
      </c>
      <c r="E255" t="s">
        <v>3362</v>
      </c>
      <c r="F255">
        <v>33</v>
      </c>
      <c r="G255">
        <v>0</v>
      </c>
      <c r="H255">
        <v>33</v>
      </c>
    </row>
    <row r="256" spans="1:8" x14ac:dyDescent="0.3">
      <c r="A256">
        <v>103</v>
      </c>
      <c r="B256" t="s">
        <v>4683</v>
      </c>
      <c r="C256" s="452">
        <v>45870</v>
      </c>
      <c r="D256" t="s">
        <v>4685</v>
      </c>
      <c r="E256" t="s">
        <v>3362</v>
      </c>
      <c r="F256">
        <v>144</v>
      </c>
      <c r="G256">
        <v>0</v>
      </c>
      <c r="H256">
        <v>144</v>
      </c>
    </row>
    <row r="257" spans="1:8" x14ac:dyDescent="0.3">
      <c r="A257">
        <v>103</v>
      </c>
      <c r="B257" t="s">
        <v>4683</v>
      </c>
      <c r="C257" s="452">
        <v>45869</v>
      </c>
      <c r="D257" t="s">
        <v>4686</v>
      </c>
      <c r="E257" t="s">
        <v>3362</v>
      </c>
      <c r="F257">
        <v>130</v>
      </c>
      <c r="G257">
        <v>0</v>
      </c>
      <c r="H257">
        <v>130</v>
      </c>
    </row>
    <row r="258" spans="1:8" x14ac:dyDescent="0.3">
      <c r="A258">
        <v>103</v>
      </c>
      <c r="B258" t="s">
        <v>4683</v>
      </c>
      <c r="C258" s="452">
        <v>45866</v>
      </c>
      <c r="D258" t="s">
        <v>4686</v>
      </c>
      <c r="E258" t="s">
        <v>3362</v>
      </c>
      <c r="F258">
        <v>37</v>
      </c>
      <c r="G258">
        <v>0</v>
      </c>
      <c r="H258">
        <v>37</v>
      </c>
    </row>
    <row r="259" spans="1:8" x14ac:dyDescent="0.3">
      <c r="A259">
        <v>103</v>
      </c>
      <c r="B259" t="s">
        <v>4683</v>
      </c>
      <c r="C259" s="452">
        <v>45864</v>
      </c>
      <c r="D259" t="s">
        <v>4686</v>
      </c>
      <c r="E259" t="s">
        <v>3361</v>
      </c>
      <c r="F259">
        <v>11</v>
      </c>
      <c r="G259">
        <v>0</v>
      </c>
      <c r="H259">
        <v>11</v>
      </c>
    </row>
    <row r="260" spans="1:8" x14ac:dyDescent="0.3">
      <c r="A260">
        <v>103</v>
      </c>
      <c r="B260" t="s">
        <v>4683</v>
      </c>
      <c r="C260" s="452">
        <v>45864</v>
      </c>
      <c r="D260" t="s">
        <v>4686</v>
      </c>
      <c r="E260" t="s">
        <v>3362</v>
      </c>
      <c r="F260">
        <v>1060</v>
      </c>
      <c r="G260">
        <v>27</v>
      </c>
      <c r="H260">
        <v>1033</v>
      </c>
    </row>
    <row r="261" spans="1:8" x14ac:dyDescent="0.3">
      <c r="A261">
        <v>103</v>
      </c>
      <c r="B261" t="s">
        <v>4683</v>
      </c>
      <c r="C261" s="452">
        <v>45863</v>
      </c>
      <c r="D261" t="s">
        <v>4686</v>
      </c>
      <c r="E261" t="s">
        <v>3362</v>
      </c>
      <c r="F261">
        <v>157</v>
      </c>
      <c r="G261">
        <v>0</v>
      </c>
      <c r="H261">
        <v>157</v>
      </c>
    </row>
    <row r="262" spans="1:8" x14ac:dyDescent="0.3">
      <c r="A262">
        <v>103</v>
      </c>
      <c r="B262" t="s">
        <v>4683</v>
      </c>
      <c r="C262" s="452">
        <v>45861</v>
      </c>
      <c r="D262" t="s">
        <v>4686</v>
      </c>
      <c r="E262" t="s">
        <v>3362</v>
      </c>
      <c r="F262">
        <v>79</v>
      </c>
      <c r="G262">
        <v>0</v>
      </c>
      <c r="H262">
        <v>79</v>
      </c>
    </row>
    <row r="263" spans="1:8" x14ac:dyDescent="0.3">
      <c r="A263">
        <v>103</v>
      </c>
      <c r="B263" t="s">
        <v>4683</v>
      </c>
      <c r="C263" s="452">
        <v>45856</v>
      </c>
      <c r="D263" t="s">
        <v>4686</v>
      </c>
      <c r="E263" t="s">
        <v>3361</v>
      </c>
      <c r="F263">
        <v>5</v>
      </c>
      <c r="G263">
        <v>0</v>
      </c>
      <c r="H263">
        <v>5</v>
      </c>
    </row>
    <row r="264" spans="1:8" x14ac:dyDescent="0.3">
      <c r="A264">
        <v>103</v>
      </c>
      <c r="B264" t="s">
        <v>4683</v>
      </c>
      <c r="C264" s="452">
        <v>45856</v>
      </c>
      <c r="D264" t="s">
        <v>4686</v>
      </c>
      <c r="E264" t="s">
        <v>3362</v>
      </c>
      <c r="F264">
        <v>33</v>
      </c>
      <c r="G264">
        <v>0</v>
      </c>
      <c r="H264">
        <v>33</v>
      </c>
    </row>
    <row r="265" spans="1:8" x14ac:dyDescent="0.3">
      <c r="A265">
        <v>103</v>
      </c>
      <c r="B265" t="s">
        <v>4683</v>
      </c>
      <c r="C265" s="452">
        <v>45855</v>
      </c>
      <c r="D265" t="s">
        <v>4686</v>
      </c>
      <c r="E265" t="s">
        <v>3362</v>
      </c>
      <c r="F265">
        <v>122</v>
      </c>
      <c r="G265">
        <v>0</v>
      </c>
      <c r="H265">
        <v>122</v>
      </c>
    </row>
    <row r="266" spans="1:8" x14ac:dyDescent="0.3">
      <c r="A266">
        <v>103</v>
      </c>
      <c r="B266" t="s">
        <v>4683</v>
      </c>
      <c r="C266" s="452">
        <v>45854</v>
      </c>
      <c r="D266" t="s">
        <v>4686</v>
      </c>
      <c r="E266" t="s">
        <v>3362</v>
      </c>
      <c r="F266">
        <v>74</v>
      </c>
      <c r="G266">
        <v>0</v>
      </c>
      <c r="H266">
        <v>74</v>
      </c>
    </row>
    <row r="267" spans="1:8" x14ac:dyDescent="0.3">
      <c r="A267">
        <v>103</v>
      </c>
      <c r="B267" t="s">
        <v>4683</v>
      </c>
      <c r="C267" s="452">
        <v>45829</v>
      </c>
      <c r="D267" t="s">
        <v>4687</v>
      </c>
      <c r="E267" t="s">
        <v>3362</v>
      </c>
      <c r="F267">
        <v>131</v>
      </c>
      <c r="G267">
        <v>0</v>
      </c>
      <c r="H267">
        <v>131</v>
      </c>
    </row>
    <row r="268" spans="1:8" x14ac:dyDescent="0.3">
      <c r="A268">
        <v>103</v>
      </c>
      <c r="B268" t="s">
        <v>4683</v>
      </c>
      <c r="C268" s="452">
        <v>45829</v>
      </c>
      <c r="D268" t="s">
        <v>4687</v>
      </c>
      <c r="E268" t="s">
        <v>3361</v>
      </c>
      <c r="F268">
        <v>6</v>
      </c>
      <c r="G268">
        <v>0</v>
      </c>
      <c r="H268">
        <v>6</v>
      </c>
    </row>
    <row r="269" spans="1:8" x14ac:dyDescent="0.3">
      <c r="A269">
        <v>103</v>
      </c>
      <c r="B269" t="s">
        <v>4683</v>
      </c>
      <c r="C269" s="452">
        <v>45828</v>
      </c>
      <c r="D269" t="s">
        <v>4687</v>
      </c>
      <c r="E269" t="s">
        <v>3362</v>
      </c>
      <c r="F269">
        <v>130</v>
      </c>
      <c r="G269">
        <v>0</v>
      </c>
      <c r="H269">
        <v>130</v>
      </c>
    </row>
    <row r="270" spans="1:8" x14ac:dyDescent="0.3">
      <c r="A270">
        <v>103</v>
      </c>
      <c r="B270" t="s">
        <v>4683</v>
      </c>
      <c r="C270" s="452">
        <v>45827</v>
      </c>
      <c r="D270" t="s">
        <v>4687</v>
      </c>
      <c r="E270" t="s">
        <v>3361</v>
      </c>
      <c r="F270">
        <v>13</v>
      </c>
      <c r="G270">
        <v>0</v>
      </c>
      <c r="H270">
        <v>13</v>
      </c>
    </row>
    <row r="271" spans="1:8" x14ac:dyDescent="0.3">
      <c r="A271">
        <v>103</v>
      </c>
      <c r="B271" t="s">
        <v>4683</v>
      </c>
      <c r="C271" s="452">
        <v>45827</v>
      </c>
      <c r="D271" t="s">
        <v>4687</v>
      </c>
      <c r="E271" t="s">
        <v>3362</v>
      </c>
      <c r="F271">
        <v>66</v>
      </c>
      <c r="G271">
        <v>0</v>
      </c>
      <c r="H271">
        <v>66</v>
      </c>
    </row>
    <row r="272" spans="1:8" x14ac:dyDescent="0.3">
      <c r="A272">
        <v>103</v>
      </c>
      <c r="B272" t="s">
        <v>4683</v>
      </c>
      <c r="C272" s="452">
        <v>45826</v>
      </c>
      <c r="D272" t="s">
        <v>4687</v>
      </c>
      <c r="E272" t="s">
        <v>3362</v>
      </c>
      <c r="F272">
        <v>79</v>
      </c>
      <c r="G272">
        <v>0</v>
      </c>
      <c r="H272">
        <v>79</v>
      </c>
    </row>
    <row r="273" spans="1:8" x14ac:dyDescent="0.3">
      <c r="A273">
        <v>103</v>
      </c>
      <c r="B273" t="s">
        <v>4683</v>
      </c>
      <c r="C273" s="452">
        <v>45821</v>
      </c>
      <c r="D273" t="s">
        <v>4687</v>
      </c>
      <c r="E273" t="s">
        <v>3362</v>
      </c>
      <c r="F273">
        <v>266</v>
      </c>
      <c r="G273">
        <v>27</v>
      </c>
      <c r="H273">
        <v>239</v>
      </c>
    </row>
    <row r="274" spans="1:8" x14ac:dyDescent="0.3">
      <c r="A274">
        <v>103</v>
      </c>
      <c r="B274" t="s">
        <v>4683</v>
      </c>
      <c r="C274" s="452">
        <v>45820</v>
      </c>
      <c r="D274" t="s">
        <v>4687</v>
      </c>
      <c r="E274" t="s">
        <v>3362</v>
      </c>
      <c r="F274">
        <v>109</v>
      </c>
      <c r="G274">
        <v>0</v>
      </c>
      <c r="H274">
        <v>109</v>
      </c>
    </row>
    <row r="275" spans="1:8" x14ac:dyDescent="0.3">
      <c r="A275">
        <v>103</v>
      </c>
      <c r="B275" t="s">
        <v>4683</v>
      </c>
      <c r="C275" s="452">
        <v>45820</v>
      </c>
      <c r="D275" t="s">
        <v>4687</v>
      </c>
      <c r="E275" t="s">
        <v>3361</v>
      </c>
      <c r="F275">
        <v>6</v>
      </c>
      <c r="G275">
        <v>0</v>
      </c>
      <c r="H275">
        <v>6</v>
      </c>
    </row>
    <row r="276" spans="1:8" x14ac:dyDescent="0.3">
      <c r="A276">
        <v>103</v>
      </c>
      <c r="B276" t="s">
        <v>4683</v>
      </c>
      <c r="C276" s="452">
        <v>45819</v>
      </c>
      <c r="D276" t="s">
        <v>4687</v>
      </c>
      <c r="E276" t="s">
        <v>3362</v>
      </c>
      <c r="F276">
        <v>37</v>
      </c>
      <c r="G276">
        <v>0</v>
      </c>
      <c r="H276">
        <v>37</v>
      </c>
    </row>
    <row r="277" spans="1:8" x14ac:dyDescent="0.3">
      <c r="A277">
        <v>103</v>
      </c>
      <c r="B277" t="s">
        <v>4683</v>
      </c>
      <c r="C277" s="452">
        <v>45815</v>
      </c>
      <c r="D277" t="s">
        <v>4687</v>
      </c>
      <c r="E277" t="s">
        <v>3361</v>
      </c>
      <c r="F277">
        <v>5</v>
      </c>
      <c r="G277">
        <v>0</v>
      </c>
      <c r="H277">
        <v>5</v>
      </c>
    </row>
    <row r="278" spans="1:8" x14ac:dyDescent="0.3">
      <c r="A278">
        <v>103</v>
      </c>
      <c r="B278" t="s">
        <v>4683</v>
      </c>
      <c r="C278" s="452">
        <v>45815</v>
      </c>
      <c r="D278" t="s">
        <v>4687</v>
      </c>
      <c r="E278" t="s">
        <v>3362</v>
      </c>
      <c r="F278">
        <v>33</v>
      </c>
      <c r="G278">
        <v>0</v>
      </c>
      <c r="H278">
        <v>33</v>
      </c>
    </row>
    <row r="279" spans="1:8" x14ac:dyDescent="0.3">
      <c r="A279">
        <v>103</v>
      </c>
      <c r="B279" t="s">
        <v>4683</v>
      </c>
      <c r="C279" s="452">
        <v>45811</v>
      </c>
      <c r="D279" t="s">
        <v>4687</v>
      </c>
      <c r="E279" t="s">
        <v>3362</v>
      </c>
      <c r="F279">
        <v>121</v>
      </c>
      <c r="G279">
        <v>0</v>
      </c>
      <c r="H279">
        <v>121</v>
      </c>
    </row>
    <row r="280" spans="1:8" x14ac:dyDescent="0.3">
      <c r="A280">
        <v>103</v>
      </c>
      <c r="B280" t="s">
        <v>4683</v>
      </c>
      <c r="C280" s="452">
        <v>45810</v>
      </c>
      <c r="D280" t="s">
        <v>4687</v>
      </c>
      <c r="E280" t="s">
        <v>3362</v>
      </c>
      <c r="F280">
        <v>130</v>
      </c>
      <c r="G280">
        <v>0</v>
      </c>
      <c r="H280">
        <v>130</v>
      </c>
    </row>
    <row r="281" spans="1:8" x14ac:dyDescent="0.3">
      <c r="A281">
        <v>103</v>
      </c>
      <c r="B281" t="s">
        <v>4683</v>
      </c>
      <c r="C281" s="452">
        <v>45807</v>
      </c>
      <c r="D281" t="s">
        <v>4688</v>
      </c>
      <c r="E281" t="s">
        <v>3362</v>
      </c>
      <c r="F281">
        <v>114</v>
      </c>
      <c r="G281">
        <v>0</v>
      </c>
      <c r="H281">
        <v>114</v>
      </c>
    </row>
    <row r="282" spans="1:8" x14ac:dyDescent="0.3">
      <c r="A282">
        <v>103</v>
      </c>
      <c r="B282" t="s">
        <v>4683</v>
      </c>
      <c r="C282" s="452">
        <v>45805</v>
      </c>
      <c r="D282" t="s">
        <v>4688</v>
      </c>
      <c r="E282" t="s">
        <v>3362</v>
      </c>
      <c r="F282">
        <v>37</v>
      </c>
      <c r="G282">
        <v>0</v>
      </c>
      <c r="H282">
        <v>37</v>
      </c>
    </row>
    <row r="283" spans="1:8" x14ac:dyDescent="0.3">
      <c r="A283">
        <v>103</v>
      </c>
      <c r="B283" t="s">
        <v>4683</v>
      </c>
      <c r="C283" s="452">
        <v>45803</v>
      </c>
      <c r="D283" t="s">
        <v>4688</v>
      </c>
      <c r="E283" t="s">
        <v>3362</v>
      </c>
      <c r="F283">
        <v>79</v>
      </c>
      <c r="G283">
        <v>0</v>
      </c>
      <c r="H283">
        <v>79</v>
      </c>
    </row>
    <row r="284" spans="1:8" x14ac:dyDescent="0.3">
      <c r="A284">
        <v>103</v>
      </c>
      <c r="B284" t="s">
        <v>4683</v>
      </c>
      <c r="C284" s="452">
        <v>45801</v>
      </c>
      <c r="D284" t="s">
        <v>4688</v>
      </c>
      <c r="E284" t="s">
        <v>3362</v>
      </c>
      <c r="F284">
        <v>168</v>
      </c>
      <c r="G284">
        <v>0</v>
      </c>
      <c r="H284">
        <v>168</v>
      </c>
    </row>
    <row r="285" spans="1:8" x14ac:dyDescent="0.3">
      <c r="A285">
        <v>103</v>
      </c>
      <c r="B285" t="s">
        <v>4683</v>
      </c>
      <c r="C285" s="452">
        <v>45799</v>
      </c>
      <c r="D285" t="s">
        <v>4688</v>
      </c>
      <c r="E285" t="s">
        <v>3362</v>
      </c>
      <c r="F285">
        <v>37</v>
      </c>
      <c r="G285">
        <v>0</v>
      </c>
      <c r="H285">
        <v>37</v>
      </c>
    </row>
    <row r="286" spans="1:8" x14ac:dyDescent="0.3">
      <c r="A286">
        <v>103</v>
      </c>
      <c r="B286" t="s">
        <v>4683</v>
      </c>
      <c r="C286" s="452">
        <v>45798</v>
      </c>
      <c r="D286" t="s">
        <v>4688</v>
      </c>
      <c r="E286" t="s">
        <v>3361</v>
      </c>
      <c r="F286">
        <v>5</v>
      </c>
      <c r="G286">
        <v>0</v>
      </c>
      <c r="H286">
        <v>5</v>
      </c>
    </row>
    <row r="287" spans="1:8" x14ac:dyDescent="0.3">
      <c r="A287">
        <v>103</v>
      </c>
      <c r="B287" t="s">
        <v>4683</v>
      </c>
      <c r="C287" s="452">
        <v>45798</v>
      </c>
      <c r="D287" t="s">
        <v>4688</v>
      </c>
      <c r="E287" t="s">
        <v>3362</v>
      </c>
      <c r="F287">
        <v>70</v>
      </c>
      <c r="G287">
        <v>0</v>
      </c>
      <c r="H287">
        <v>70</v>
      </c>
    </row>
    <row r="288" spans="1:8" x14ac:dyDescent="0.3">
      <c r="A288">
        <v>103</v>
      </c>
      <c r="B288" t="s">
        <v>4683</v>
      </c>
      <c r="C288" s="452">
        <v>45796</v>
      </c>
      <c r="D288" t="s">
        <v>4688</v>
      </c>
      <c r="E288" t="s">
        <v>3362</v>
      </c>
      <c r="F288">
        <v>74</v>
      </c>
      <c r="G288">
        <v>0</v>
      </c>
      <c r="H288">
        <v>74</v>
      </c>
    </row>
    <row r="289" spans="1:8" x14ac:dyDescent="0.3">
      <c r="A289">
        <v>103</v>
      </c>
      <c r="B289" t="s">
        <v>4683</v>
      </c>
      <c r="C289" s="452">
        <v>45793</v>
      </c>
      <c r="D289" t="s">
        <v>4688</v>
      </c>
      <c r="E289" t="s">
        <v>3362</v>
      </c>
      <c r="F289">
        <v>227</v>
      </c>
      <c r="G289">
        <v>0</v>
      </c>
      <c r="H289">
        <v>227</v>
      </c>
    </row>
    <row r="290" spans="1:8" x14ac:dyDescent="0.3">
      <c r="A290">
        <v>103</v>
      </c>
      <c r="B290" t="s">
        <v>4683</v>
      </c>
      <c r="C290" s="452">
        <v>45789</v>
      </c>
      <c r="D290" t="s">
        <v>4688</v>
      </c>
      <c r="E290" t="s">
        <v>3361</v>
      </c>
      <c r="F290">
        <v>6</v>
      </c>
      <c r="G290">
        <v>1.01</v>
      </c>
      <c r="H290">
        <v>4.99</v>
      </c>
    </row>
    <row r="291" spans="1:8" x14ac:dyDescent="0.3">
      <c r="A291">
        <v>103</v>
      </c>
      <c r="B291" t="s">
        <v>4683</v>
      </c>
      <c r="C291" s="452">
        <v>45789</v>
      </c>
      <c r="D291" t="s">
        <v>4688</v>
      </c>
      <c r="E291" t="s">
        <v>3362</v>
      </c>
      <c r="F291">
        <v>155</v>
      </c>
      <c r="G291">
        <v>25.99</v>
      </c>
      <c r="H291">
        <v>129.01</v>
      </c>
    </row>
    <row r="292" spans="1:8" x14ac:dyDescent="0.3">
      <c r="A292">
        <v>103</v>
      </c>
      <c r="B292" t="s">
        <v>4683</v>
      </c>
      <c r="C292" s="452">
        <v>45787</v>
      </c>
      <c r="D292" t="s">
        <v>4688</v>
      </c>
      <c r="E292" t="s">
        <v>3362</v>
      </c>
      <c r="F292">
        <v>112</v>
      </c>
      <c r="G292">
        <v>0</v>
      </c>
      <c r="H292">
        <v>112</v>
      </c>
    </row>
    <row r="293" spans="1:8" x14ac:dyDescent="0.3">
      <c r="A293">
        <v>103</v>
      </c>
      <c r="B293" t="s">
        <v>4683</v>
      </c>
      <c r="C293" s="452">
        <v>45787</v>
      </c>
      <c r="D293" t="s">
        <v>4688</v>
      </c>
      <c r="E293" t="s">
        <v>3361</v>
      </c>
      <c r="F293">
        <v>5</v>
      </c>
      <c r="G293">
        <v>0</v>
      </c>
      <c r="H293">
        <v>5</v>
      </c>
    </row>
    <row r="294" spans="1:8" x14ac:dyDescent="0.3">
      <c r="A294">
        <v>103</v>
      </c>
      <c r="B294" t="s">
        <v>4683</v>
      </c>
      <c r="C294" s="452">
        <v>45786</v>
      </c>
      <c r="D294" t="s">
        <v>4688</v>
      </c>
      <c r="E294" t="s">
        <v>3361</v>
      </c>
      <c r="F294">
        <v>16</v>
      </c>
      <c r="G294">
        <v>0</v>
      </c>
      <c r="H294">
        <v>16</v>
      </c>
    </row>
    <row r="295" spans="1:8" x14ac:dyDescent="0.3">
      <c r="A295">
        <v>103</v>
      </c>
      <c r="B295" t="s">
        <v>4683</v>
      </c>
      <c r="C295" s="452">
        <v>45786</v>
      </c>
      <c r="D295" t="s">
        <v>4688</v>
      </c>
      <c r="E295" t="s">
        <v>3362</v>
      </c>
      <c r="F295">
        <v>109</v>
      </c>
      <c r="G295">
        <v>0</v>
      </c>
      <c r="H295">
        <v>109</v>
      </c>
    </row>
    <row r="296" spans="1:8" x14ac:dyDescent="0.3">
      <c r="A296">
        <v>103</v>
      </c>
      <c r="B296" t="s">
        <v>4683</v>
      </c>
      <c r="C296" s="452">
        <v>45784</v>
      </c>
      <c r="D296" t="s">
        <v>4688</v>
      </c>
      <c r="E296" t="s">
        <v>3361</v>
      </c>
      <c r="F296">
        <v>6</v>
      </c>
      <c r="G296">
        <v>0</v>
      </c>
      <c r="H296">
        <v>6</v>
      </c>
    </row>
    <row r="297" spans="1:8" x14ac:dyDescent="0.3">
      <c r="A297">
        <v>103</v>
      </c>
      <c r="B297" t="s">
        <v>4683</v>
      </c>
      <c r="C297" s="452">
        <v>45784</v>
      </c>
      <c r="D297" t="s">
        <v>4688</v>
      </c>
      <c r="E297" t="s">
        <v>3362</v>
      </c>
      <c r="F297">
        <v>111</v>
      </c>
      <c r="G297">
        <v>0</v>
      </c>
      <c r="H297">
        <v>111</v>
      </c>
    </row>
    <row r="298" spans="1:8" x14ac:dyDescent="0.3">
      <c r="A298">
        <v>103</v>
      </c>
      <c r="B298" t="s">
        <v>4683</v>
      </c>
      <c r="C298" s="452">
        <v>45778</v>
      </c>
      <c r="D298" t="s">
        <v>4688</v>
      </c>
      <c r="E298" t="s">
        <v>3362</v>
      </c>
      <c r="F298">
        <v>353</v>
      </c>
      <c r="G298">
        <v>0</v>
      </c>
      <c r="H298">
        <v>353</v>
      </c>
    </row>
    <row r="299" spans="1:8" x14ac:dyDescent="0.3">
      <c r="A299">
        <v>103</v>
      </c>
      <c r="B299" t="s">
        <v>4683</v>
      </c>
      <c r="C299" s="452">
        <v>45777</v>
      </c>
      <c r="D299" t="s">
        <v>4689</v>
      </c>
      <c r="E299" t="s">
        <v>3362</v>
      </c>
      <c r="F299">
        <v>65</v>
      </c>
      <c r="G299">
        <v>0</v>
      </c>
      <c r="H299">
        <v>65</v>
      </c>
    </row>
    <row r="300" spans="1:8" x14ac:dyDescent="0.3">
      <c r="A300">
        <v>103</v>
      </c>
      <c r="B300" t="s">
        <v>4683</v>
      </c>
      <c r="C300" s="452">
        <v>45775</v>
      </c>
      <c r="D300" t="s">
        <v>4689</v>
      </c>
      <c r="E300" t="s">
        <v>3362</v>
      </c>
      <c r="F300">
        <v>79</v>
      </c>
      <c r="G300">
        <v>0</v>
      </c>
      <c r="H300">
        <v>79</v>
      </c>
    </row>
    <row r="301" spans="1:8" x14ac:dyDescent="0.3">
      <c r="A301">
        <v>103</v>
      </c>
      <c r="B301" t="s">
        <v>4683</v>
      </c>
      <c r="C301" s="452">
        <v>45773</v>
      </c>
      <c r="D301" t="s">
        <v>4689</v>
      </c>
      <c r="E301" t="s">
        <v>3361</v>
      </c>
      <c r="F301">
        <v>17</v>
      </c>
      <c r="G301">
        <v>0</v>
      </c>
      <c r="H301">
        <v>17</v>
      </c>
    </row>
    <row r="302" spans="1:8" x14ac:dyDescent="0.3">
      <c r="A302">
        <v>103</v>
      </c>
      <c r="B302" t="s">
        <v>4683</v>
      </c>
      <c r="C302" s="452">
        <v>45773</v>
      </c>
      <c r="D302" t="s">
        <v>4689</v>
      </c>
      <c r="E302" t="s">
        <v>3362</v>
      </c>
      <c r="F302">
        <v>98</v>
      </c>
      <c r="G302">
        <v>0</v>
      </c>
      <c r="H302">
        <v>98</v>
      </c>
    </row>
    <row r="303" spans="1:8" x14ac:dyDescent="0.3">
      <c r="A303">
        <v>103</v>
      </c>
      <c r="B303" t="s">
        <v>4683</v>
      </c>
      <c r="C303" s="452">
        <v>45772</v>
      </c>
      <c r="D303" t="s">
        <v>4689</v>
      </c>
      <c r="E303" t="s">
        <v>3361</v>
      </c>
      <c r="F303">
        <v>10</v>
      </c>
      <c r="G303">
        <v>5.62</v>
      </c>
      <c r="H303">
        <v>4.38</v>
      </c>
    </row>
    <row r="304" spans="1:8" x14ac:dyDescent="0.3">
      <c r="A304">
        <v>103</v>
      </c>
      <c r="B304" t="s">
        <v>4683</v>
      </c>
      <c r="C304" s="452">
        <v>45772</v>
      </c>
      <c r="D304" t="s">
        <v>4689</v>
      </c>
      <c r="E304" t="s">
        <v>3362</v>
      </c>
      <c r="F304">
        <v>86</v>
      </c>
      <c r="G304">
        <v>48.38</v>
      </c>
      <c r="H304">
        <v>37.619999999999997</v>
      </c>
    </row>
    <row r="305" spans="1:8" x14ac:dyDescent="0.3">
      <c r="A305">
        <v>103</v>
      </c>
      <c r="B305" t="s">
        <v>4683</v>
      </c>
      <c r="C305" s="452">
        <v>45770</v>
      </c>
      <c r="D305" t="s">
        <v>4689</v>
      </c>
      <c r="E305" t="s">
        <v>3362</v>
      </c>
      <c r="F305">
        <v>37</v>
      </c>
      <c r="G305">
        <v>0</v>
      </c>
      <c r="H305">
        <v>37</v>
      </c>
    </row>
    <row r="306" spans="1:8" x14ac:dyDescent="0.3">
      <c r="A306">
        <v>103</v>
      </c>
      <c r="B306" t="s">
        <v>4683</v>
      </c>
      <c r="C306" s="452">
        <v>45769</v>
      </c>
      <c r="D306" t="s">
        <v>4689</v>
      </c>
      <c r="E306" t="s">
        <v>3362</v>
      </c>
      <c r="F306">
        <v>65</v>
      </c>
      <c r="G306">
        <v>0</v>
      </c>
      <c r="H306">
        <v>65</v>
      </c>
    </row>
    <row r="307" spans="1:8" x14ac:dyDescent="0.3">
      <c r="A307">
        <v>103</v>
      </c>
      <c r="B307" t="s">
        <v>4683</v>
      </c>
      <c r="C307" s="452">
        <v>45763</v>
      </c>
      <c r="D307" t="s">
        <v>4689</v>
      </c>
      <c r="E307" t="s">
        <v>3362</v>
      </c>
      <c r="F307">
        <v>37</v>
      </c>
      <c r="G307">
        <v>0</v>
      </c>
      <c r="H307">
        <v>37</v>
      </c>
    </row>
    <row r="308" spans="1:8" x14ac:dyDescent="0.3">
      <c r="A308">
        <v>103</v>
      </c>
      <c r="B308" t="s">
        <v>4683</v>
      </c>
      <c r="C308" s="452">
        <v>45759</v>
      </c>
      <c r="D308" t="s">
        <v>4689</v>
      </c>
      <c r="E308" t="s">
        <v>3362</v>
      </c>
      <c r="F308">
        <v>65</v>
      </c>
      <c r="G308">
        <v>0</v>
      </c>
      <c r="H308">
        <v>65</v>
      </c>
    </row>
    <row r="309" spans="1:8" x14ac:dyDescent="0.3">
      <c r="A309">
        <v>103</v>
      </c>
      <c r="B309" t="s">
        <v>4683</v>
      </c>
      <c r="C309" s="452">
        <v>45757</v>
      </c>
      <c r="D309" t="s">
        <v>4689</v>
      </c>
      <c r="E309" t="s">
        <v>3362</v>
      </c>
      <c r="F309">
        <v>65</v>
      </c>
      <c r="G309">
        <v>0</v>
      </c>
      <c r="H309">
        <v>65</v>
      </c>
    </row>
    <row r="310" spans="1:8" x14ac:dyDescent="0.3">
      <c r="A310">
        <v>103</v>
      </c>
      <c r="B310" t="s">
        <v>4683</v>
      </c>
      <c r="C310" s="452">
        <v>45756</v>
      </c>
      <c r="D310" t="s">
        <v>4689</v>
      </c>
      <c r="E310" t="s">
        <v>3362</v>
      </c>
      <c r="F310">
        <v>37</v>
      </c>
      <c r="G310">
        <v>0</v>
      </c>
      <c r="H310">
        <v>37</v>
      </c>
    </row>
    <row r="311" spans="1:8" x14ac:dyDescent="0.3">
      <c r="A311">
        <v>103</v>
      </c>
      <c r="B311" t="s">
        <v>4683</v>
      </c>
      <c r="C311" s="452">
        <v>45751</v>
      </c>
      <c r="D311" t="s">
        <v>4689</v>
      </c>
      <c r="E311" t="s">
        <v>3361</v>
      </c>
      <c r="F311">
        <v>6</v>
      </c>
      <c r="G311">
        <v>0</v>
      </c>
      <c r="H311">
        <v>6</v>
      </c>
    </row>
    <row r="312" spans="1:8" x14ac:dyDescent="0.3">
      <c r="A312">
        <v>103</v>
      </c>
      <c r="B312" t="s">
        <v>4683</v>
      </c>
      <c r="C312" s="452">
        <v>45751</v>
      </c>
      <c r="D312" t="s">
        <v>4689</v>
      </c>
      <c r="E312" t="s">
        <v>3362</v>
      </c>
      <c r="F312">
        <v>65</v>
      </c>
      <c r="G312">
        <v>0</v>
      </c>
      <c r="H312">
        <v>65</v>
      </c>
    </row>
    <row r="313" spans="1:8" x14ac:dyDescent="0.3">
      <c r="A313">
        <v>103</v>
      </c>
      <c r="B313" t="s">
        <v>4683</v>
      </c>
      <c r="C313" s="452">
        <v>45745</v>
      </c>
      <c r="D313" t="s">
        <v>4690</v>
      </c>
      <c r="E313" t="s">
        <v>3362</v>
      </c>
      <c r="F313">
        <v>772</v>
      </c>
      <c r="G313">
        <v>0</v>
      </c>
      <c r="H313">
        <v>772</v>
      </c>
    </row>
    <row r="314" spans="1:8" x14ac:dyDescent="0.3">
      <c r="A314">
        <v>103</v>
      </c>
      <c r="B314" t="s">
        <v>4683</v>
      </c>
      <c r="C314" s="452">
        <v>45744</v>
      </c>
      <c r="D314" t="s">
        <v>4690</v>
      </c>
      <c r="E314" t="s">
        <v>3362</v>
      </c>
      <c r="F314">
        <v>108</v>
      </c>
      <c r="G314">
        <v>11</v>
      </c>
      <c r="H314">
        <v>97</v>
      </c>
    </row>
    <row r="315" spans="1:8" x14ac:dyDescent="0.3">
      <c r="A315">
        <v>103</v>
      </c>
      <c r="B315" t="s">
        <v>4683</v>
      </c>
      <c r="C315" s="452">
        <v>45742</v>
      </c>
      <c r="D315" t="s">
        <v>4690</v>
      </c>
      <c r="E315" t="s">
        <v>3362</v>
      </c>
      <c r="F315">
        <v>37</v>
      </c>
      <c r="G315">
        <v>0</v>
      </c>
      <c r="H315">
        <v>37</v>
      </c>
    </row>
    <row r="316" spans="1:8" x14ac:dyDescent="0.3">
      <c r="A316">
        <v>103</v>
      </c>
      <c r="B316" t="s">
        <v>4683</v>
      </c>
      <c r="C316" s="452">
        <v>45741</v>
      </c>
      <c r="D316" t="s">
        <v>4690</v>
      </c>
      <c r="E316" t="s">
        <v>3362</v>
      </c>
      <c r="F316">
        <v>152</v>
      </c>
      <c r="G316">
        <v>0</v>
      </c>
      <c r="H316">
        <v>152</v>
      </c>
    </row>
    <row r="317" spans="1:8" x14ac:dyDescent="0.3">
      <c r="A317">
        <v>103</v>
      </c>
      <c r="B317" t="s">
        <v>4683</v>
      </c>
      <c r="C317" s="452">
        <v>45741</v>
      </c>
      <c r="D317" t="s">
        <v>4690</v>
      </c>
      <c r="E317" t="s">
        <v>3361</v>
      </c>
      <c r="F317">
        <v>6</v>
      </c>
      <c r="G317">
        <v>0</v>
      </c>
      <c r="H317">
        <v>6</v>
      </c>
    </row>
    <row r="318" spans="1:8" x14ac:dyDescent="0.3">
      <c r="A318">
        <v>103</v>
      </c>
      <c r="B318" t="s">
        <v>4683</v>
      </c>
      <c r="C318" s="452">
        <v>45740</v>
      </c>
      <c r="D318" t="s">
        <v>4690</v>
      </c>
      <c r="E318" t="s">
        <v>3362</v>
      </c>
      <c r="F318">
        <v>108</v>
      </c>
      <c r="G318">
        <v>27</v>
      </c>
      <c r="H318">
        <v>81</v>
      </c>
    </row>
    <row r="319" spans="1:8" x14ac:dyDescent="0.3">
      <c r="A319">
        <v>103</v>
      </c>
      <c r="B319" t="s">
        <v>4683</v>
      </c>
      <c r="C319" s="452">
        <v>45738</v>
      </c>
      <c r="D319" t="s">
        <v>4690</v>
      </c>
      <c r="E319" t="s">
        <v>3361</v>
      </c>
      <c r="F319">
        <v>10</v>
      </c>
      <c r="G319">
        <v>0</v>
      </c>
      <c r="H319">
        <v>10</v>
      </c>
    </row>
    <row r="320" spans="1:8" x14ac:dyDescent="0.3">
      <c r="A320">
        <v>103</v>
      </c>
      <c r="B320" t="s">
        <v>4683</v>
      </c>
      <c r="C320" s="452">
        <v>45738</v>
      </c>
      <c r="D320" t="s">
        <v>4690</v>
      </c>
      <c r="E320" t="s">
        <v>3362</v>
      </c>
      <c r="F320">
        <v>66</v>
      </c>
      <c r="G320">
        <v>0</v>
      </c>
      <c r="H320">
        <v>66</v>
      </c>
    </row>
    <row r="321" spans="1:8" x14ac:dyDescent="0.3">
      <c r="A321">
        <v>103</v>
      </c>
      <c r="B321" t="s">
        <v>4683</v>
      </c>
      <c r="C321" s="452">
        <v>45737</v>
      </c>
      <c r="D321" t="s">
        <v>4690</v>
      </c>
      <c r="E321" t="s">
        <v>3362</v>
      </c>
      <c r="F321">
        <v>366</v>
      </c>
      <c r="G321">
        <v>0</v>
      </c>
      <c r="H321">
        <v>366</v>
      </c>
    </row>
    <row r="322" spans="1:8" x14ac:dyDescent="0.3">
      <c r="A322">
        <v>103</v>
      </c>
      <c r="B322" t="s">
        <v>4683</v>
      </c>
      <c r="C322" s="452">
        <v>45735</v>
      </c>
      <c r="D322" t="s">
        <v>4690</v>
      </c>
      <c r="E322" t="s">
        <v>3362</v>
      </c>
      <c r="F322">
        <v>37</v>
      </c>
      <c r="G322">
        <v>0</v>
      </c>
      <c r="H322">
        <v>37</v>
      </c>
    </row>
    <row r="323" spans="1:8" x14ac:dyDescent="0.3">
      <c r="A323">
        <v>103</v>
      </c>
      <c r="B323" t="s">
        <v>4683</v>
      </c>
      <c r="C323" s="452">
        <v>45734</v>
      </c>
      <c r="D323" t="s">
        <v>4690</v>
      </c>
      <c r="E323" t="s">
        <v>3362</v>
      </c>
      <c r="F323">
        <v>195</v>
      </c>
      <c r="G323">
        <v>0</v>
      </c>
      <c r="H323">
        <v>195</v>
      </c>
    </row>
    <row r="324" spans="1:8" x14ac:dyDescent="0.3">
      <c r="A324">
        <v>103</v>
      </c>
      <c r="B324" t="s">
        <v>4683</v>
      </c>
      <c r="C324" s="452">
        <v>45733</v>
      </c>
      <c r="D324" t="s">
        <v>4690</v>
      </c>
      <c r="E324" t="s">
        <v>3361</v>
      </c>
      <c r="F324">
        <v>5</v>
      </c>
      <c r="G324">
        <v>0</v>
      </c>
      <c r="H324">
        <v>5</v>
      </c>
    </row>
    <row r="325" spans="1:8" x14ac:dyDescent="0.3">
      <c r="A325">
        <v>103</v>
      </c>
      <c r="B325" t="s">
        <v>4683</v>
      </c>
      <c r="C325" s="452">
        <v>45733</v>
      </c>
      <c r="D325" t="s">
        <v>4690</v>
      </c>
      <c r="E325" t="s">
        <v>3362</v>
      </c>
      <c r="F325">
        <v>98</v>
      </c>
      <c r="G325">
        <v>0</v>
      </c>
      <c r="H325">
        <v>98</v>
      </c>
    </row>
    <row r="326" spans="1:8" x14ac:dyDescent="0.3">
      <c r="A326">
        <v>103</v>
      </c>
      <c r="B326" t="s">
        <v>4683</v>
      </c>
      <c r="C326" s="452">
        <v>45731</v>
      </c>
      <c r="D326" t="s">
        <v>4690</v>
      </c>
      <c r="E326" t="s">
        <v>3362</v>
      </c>
      <c r="F326">
        <v>79</v>
      </c>
      <c r="G326">
        <v>0</v>
      </c>
      <c r="H326">
        <v>79</v>
      </c>
    </row>
    <row r="327" spans="1:8" x14ac:dyDescent="0.3">
      <c r="A327">
        <v>103</v>
      </c>
      <c r="B327" t="s">
        <v>4683</v>
      </c>
      <c r="C327" s="452">
        <v>45730</v>
      </c>
      <c r="D327" t="s">
        <v>4690</v>
      </c>
      <c r="E327" t="s">
        <v>3361</v>
      </c>
      <c r="F327">
        <v>11</v>
      </c>
      <c r="G327">
        <v>0</v>
      </c>
      <c r="H327">
        <v>11</v>
      </c>
    </row>
    <row r="328" spans="1:8" x14ac:dyDescent="0.3">
      <c r="A328">
        <v>103</v>
      </c>
      <c r="B328" t="s">
        <v>4683</v>
      </c>
      <c r="C328" s="452">
        <v>45730</v>
      </c>
      <c r="D328" t="s">
        <v>4690</v>
      </c>
      <c r="E328" t="s">
        <v>3362</v>
      </c>
      <c r="F328">
        <v>98</v>
      </c>
      <c r="G328">
        <v>0</v>
      </c>
      <c r="H328">
        <v>98</v>
      </c>
    </row>
    <row r="329" spans="1:8" x14ac:dyDescent="0.3">
      <c r="A329">
        <v>103</v>
      </c>
      <c r="B329" t="s">
        <v>4683</v>
      </c>
      <c r="C329" s="452">
        <v>45729</v>
      </c>
      <c r="D329" t="s">
        <v>4690</v>
      </c>
      <c r="E329" t="s">
        <v>3362</v>
      </c>
      <c r="F329">
        <v>79</v>
      </c>
      <c r="G329">
        <v>0</v>
      </c>
      <c r="H329">
        <v>79</v>
      </c>
    </row>
    <row r="330" spans="1:8" x14ac:dyDescent="0.3">
      <c r="A330">
        <v>103</v>
      </c>
      <c r="B330" t="s">
        <v>4683</v>
      </c>
      <c r="C330" s="452">
        <v>45728</v>
      </c>
      <c r="D330" t="s">
        <v>4690</v>
      </c>
      <c r="E330" t="s">
        <v>3362</v>
      </c>
      <c r="F330">
        <v>63</v>
      </c>
      <c r="G330">
        <v>0</v>
      </c>
      <c r="H330">
        <v>63</v>
      </c>
    </row>
    <row r="331" spans="1:8" x14ac:dyDescent="0.3">
      <c r="A331">
        <v>103</v>
      </c>
      <c r="B331" t="s">
        <v>4683</v>
      </c>
      <c r="C331" s="452">
        <v>45727</v>
      </c>
      <c r="D331" t="s">
        <v>4690</v>
      </c>
      <c r="E331" t="s">
        <v>3361</v>
      </c>
      <c r="F331">
        <v>5</v>
      </c>
      <c r="G331">
        <v>0</v>
      </c>
      <c r="H331">
        <v>5</v>
      </c>
    </row>
    <row r="332" spans="1:8" x14ac:dyDescent="0.3">
      <c r="A332">
        <v>103</v>
      </c>
      <c r="B332" t="s">
        <v>4683</v>
      </c>
      <c r="C332" s="452">
        <v>45727</v>
      </c>
      <c r="D332" t="s">
        <v>4690</v>
      </c>
      <c r="E332" t="s">
        <v>3362</v>
      </c>
      <c r="F332">
        <v>33</v>
      </c>
      <c r="G332">
        <v>0</v>
      </c>
      <c r="H332">
        <v>33</v>
      </c>
    </row>
    <row r="333" spans="1:8" x14ac:dyDescent="0.3">
      <c r="A333">
        <v>103</v>
      </c>
      <c r="B333" t="s">
        <v>4683</v>
      </c>
      <c r="C333" s="452">
        <v>45723</v>
      </c>
      <c r="D333" t="s">
        <v>4690</v>
      </c>
      <c r="E333" t="s">
        <v>3361</v>
      </c>
      <c r="F333">
        <v>5</v>
      </c>
      <c r="G333">
        <v>0</v>
      </c>
      <c r="H333">
        <v>5</v>
      </c>
    </row>
    <row r="334" spans="1:8" x14ac:dyDescent="0.3">
      <c r="A334">
        <v>103</v>
      </c>
      <c r="B334" t="s">
        <v>4683</v>
      </c>
      <c r="C334" s="452">
        <v>45723</v>
      </c>
      <c r="D334" t="s">
        <v>4690</v>
      </c>
      <c r="E334" t="s">
        <v>3362</v>
      </c>
      <c r="F334">
        <v>33</v>
      </c>
      <c r="G334">
        <v>0</v>
      </c>
      <c r="H334">
        <v>33</v>
      </c>
    </row>
    <row r="335" spans="1:8" x14ac:dyDescent="0.3">
      <c r="A335">
        <v>103</v>
      </c>
      <c r="B335" t="s">
        <v>4683</v>
      </c>
      <c r="C335" s="452">
        <v>45721</v>
      </c>
      <c r="D335" t="s">
        <v>4690</v>
      </c>
      <c r="E335" t="s">
        <v>3362</v>
      </c>
      <c r="F335">
        <v>37</v>
      </c>
      <c r="G335">
        <v>0</v>
      </c>
      <c r="H335">
        <v>37</v>
      </c>
    </row>
    <row r="336" spans="1:8" x14ac:dyDescent="0.3">
      <c r="A336">
        <v>103</v>
      </c>
      <c r="B336" t="s">
        <v>4683</v>
      </c>
      <c r="C336" s="452">
        <v>45720</v>
      </c>
      <c r="D336" t="s">
        <v>4690</v>
      </c>
      <c r="E336" t="s">
        <v>3361</v>
      </c>
      <c r="F336">
        <v>20</v>
      </c>
      <c r="G336">
        <v>0</v>
      </c>
      <c r="H336">
        <v>20</v>
      </c>
    </row>
    <row r="337" spans="1:8" x14ac:dyDescent="0.3">
      <c r="A337">
        <v>103</v>
      </c>
      <c r="B337" t="s">
        <v>4683</v>
      </c>
      <c r="C337" s="452">
        <v>45720</v>
      </c>
      <c r="D337" t="s">
        <v>4690</v>
      </c>
      <c r="E337" t="s">
        <v>3362</v>
      </c>
      <c r="F337">
        <v>65</v>
      </c>
      <c r="G337">
        <v>0</v>
      </c>
      <c r="H337">
        <v>65</v>
      </c>
    </row>
    <row r="338" spans="1:8" x14ac:dyDescent="0.3">
      <c r="A338">
        <v>103</v>
      </c>
      <c r="B338" t="s">
        <v>4683</v>
      </c>
      <c r="C338" s="452">
        <v>45719</v>
      </c>
      <c r="D338" t="s">
        <v>4690</v>
      </c>
      <c r="E338" t="s">
        <v>3362</v>
      </c>
      <c r="F338">
        <v>37</v>
      </c>
      <c r="G338">
        <v>0</v>
      </c>
      <c r="H338">
        <v>37</v>
      </c>
    </row>
    <row r="339" spans="1:8" x14ac:dyDescent="0.3">
      <c r="A339">
        <v>103</v>
      </c>
      <c r="B339" t="s">
        <v>4683</v>
      </c>
      <c r="C339" s="452">
        <v>45717</v>
      </c>
      <c r="D339" t="s">
        <v>4690</v>
      </c>
      <c r="E339" t="s">
        <v>3361</v>
      </c>
      <c r="F339">
        <v>5</v>
      </c>
      <c r="G339">
        <v>0</v>
      </c>
      <c r="H339">
        <v>5</v>
      </c>
    </row>
    <row r="340" spans="1:8" x14ac:dyDescent="0.3">
      <c r="A340">
        <v>103</v>
      </c>
      <c r="B340" t="s">
        <v>4683</v>
      </c>
      <c r="C340" s="452">
        <v>45717</v>
      </c>
      <c r="D340" t="s">
        <v>4690</v>
      </c>
      <c r="E340" t="s">
        <v>3362</v>
      </c>
      <c r="F340">
        <v>76</v>
      </c>
      <c r="G340">
        <v>0</v>
      </c>
      <c r="H340">
        <v>76</v>
      </c>
    </row>
    <row r="341" spans="1:8" x14ac:dyDescent="0.3">
      <c r="A341">
        <v>103</v>
      </c>
      <c r="B341" t="s">
        <v>4683</v>
      </c>
      <c r="C341" s="452">
        <v>45715</v>
      </c>
      <c r="D341" t="s">
        <v>4691</v>
      </c>
      <c r="E341" t="s">
        <v>3362</v>
      </c>
      <c r="F341">
        <v>65</v>
      </c>
      <c r="G341">
        <v>0</v>
      </c>
      <c r="H341">
        <v>65</v>
      </c>
    </row>
    <row r="342" spans="1:8" x14ac:dyDescent="0.3">
      <c r="A342">
        <v>103</v>
      </c>
      <c r="B342" t="s">
        <v>4683</v>
      </c>
      <c r="C342" s="452">
        <v>45712</v>
      </c>
      <c r="D342" t="s">
        <v>4691</v>
      </c>
      <c r="E342" t="s">
        <v>3362</v>
      </c>
      <c r="F342">
        <v>87</v>
      </c>
      <c r="G342">
        <v>0</v>
      </c>
      <c r="H342">
        <v>87</v>
      </c>
    </row>
    <row r="343" spans="1:8" x14ac:dyDescent="0.3">
      <c r="A343">
        <v>103</v>
      </c>
      <c r="B343" t="s">
        <v>4683</v>
      </c>
      <c r="C343" s="452">
        <v>45709</v>
      </c>
      <c r="D343" t="s">
        <v>4691</v>
      </c>
      <c r="E343" t="s">
        <v>3361</v>
      </c>
      <c r="F343">
        <v>5</v>
      </c>
      <c r="G343">
        <v>0</v>
      </c>
      <c r="H343">
        <v>5</v>
      </c>
    </row>
    <row r="344" spans="1:8" x14ac:dyDescent="0.3">
      <c r="A344">
        <v>103</v>
      </c>
      <c r="B344" t="s">
        <v>4683</v>
      </c>
      <c r="C344" s="452">
        <v>45709</v>
      </c>
      <c r="D344" t="s">
        <v>4691</v>
      </c>
      <c r="E344" t="s">
        <v>3362</v>
      </c>
      <c r="F344">
        <v>70</v>
      </c>
      <c r="G344">
        <v>0</v>
      </c>
      <c r="H344">
        <v>70</v>
      </c>
    </row>
    <row r="345" spans="1:8" x14ac:dyDescent="0.3">
      <c r="A345">
        <v>103</v>
      </c>
      <c r="B345" t="s">
        <v>4683</v>
      </c>
      <c r="C345" s="452">
        <v>45707</v>
      </c>
      <c r="D345" t="s">
        <v>4691</v>
      </c>
      <c r="E345" t="s">
        <v>3362</v>
      </c>
      <c r="F345">
        <v>37</v>
      </c>
      <c r="G345">
        <v>0</v>
      </c>
      <c r="H345">
        <v>37</v>
      </c>
    </row>
    <row r="346" spans="1:8" x14ac:dyDescent="0.3">
      <c r="A346">
        <v>103</v>
      </c>
      <c r="B346" t="s">
        <v>4683</v>
      </c>
      <c r="C346" s="452">
        <v>45705</v>
      </c>
      <c r="D346" t="s">
        <v>4691</v>
      </c>
      <c r="E346" t="s">
        <v>3361</v>
      </c>
      <c r="F346">
        <v>5</v>
      </c>
      <c r="G346">
        <v>0</v>
      </c>
      <c r="H346">
        <v>5</v>
      </c>
    </row>
    <row r="347" spans="1:8" x14ac:dyDescent="0.3">
      <c r="A347">
        <v>103</v>
      </c>
      <c r="B347" t="s">
        <v>4683</v>
      </c>
      <c r="C347" s="452">
        <v>45705</v>
      </c>
      <c r="D347" t="s">
        <v>4691</v>
      </c>
      <c r="E347" t="s">
        <v>3362</v>
      </c>
      <c r="F347">
        <v>120</v>
      </c>
      <c r="G347">
        <v>0</v>
      </c>
      <c r="H347">
        <v>120</v>
      </c>
    </row>
    <row r="348" spans="1:8" x14ac:dyDescent="0.3">
      <c r="A348">
        <v>103</v>
      </c>
      <c r="B348" t="s">
        <v>4683</v>
      </c>
      <c r="C348" s="452">
        <v>45703</v>
      </c>
      <c r="D348" t="s">
        <v>4691</v>
      </c>
      <c r="E348" t="s">
        <v>3362</v>
      </c>
      <c r="F348">
        <v>37</v>
      </c>
      <c r="G348">
        <v>0</v>
      </c>
      <c r="H348">
        <v>37</v>
      </c>
    </row>
    <row r="349" spans="1:8" x14ac:dyDescent="0.3">
      <c r="A349">
        <v>103</v>
      </c>
      <c r="B349" t="s">
        <v>4683</v>
      </c>
      <c r="C349" s="452">
        <v>45702</v>
      </c>
      <c r="D349" t="s">
        <v>4691</v>
      </c>
      <c r="E349" t="s">
        <v>3362</v>
      </c>
      <c r="F349">
        <v>131</v>
      </c>
      <c r="G349">
        <v>0</v>
      </c>
      <c r="H349">
        <v>131</v>
      </c>
    </row>
    <row r="350" spans="1:8" x14ac:dyDescent="0.3">
      <c r="A350">
        <v>103</v>
      </c>
      <c r="B350" t="s">
        <v>4683</v>
      </c>
      <c r="C350" s="452">
        <v>45702</v>
      </c>
      <c r="D350" t="s">
        <v>4691</v>
      </c>
      <c r="E350" t="s">
        <v>3361</v>
      </c>
      <c r="F350">
        <v>10</v>
      </c>
      <c r="G350">
        <v>0</v>
      </c>
      <c r="H350">
        <v>10</v>
      </c>
    </row>
    <row r="351" spans="1:8" x14ac:dyDescent="0.3">
      <c r="A351">
        <v>103</v>
      </c>
      <c r="B351" t="s">
        <v>4683</v>
      </c>
      <c r="C351" s="452">
        <v>45700</v>
      </c>
      <c r="D351" t="s">
        <v>4691</v>
      </c>
      <c r="E351" t="s">
        <v>3362</v>
      </c>
      <c r="F351">
        <v>113</v>
      </c>
      <c r="G351">
        <v>0</v>
      </c>
      <c r="H351">
        <v>113</v>
      </c>
    </row>
    <row r="352" spans="1:8" x14ac:dyDescent="0.3">
      <c r="A352">
        <v>103</v>
      </c>
      <c r="B352" t="s">
        <v>4683</v>
      </c>
      <c r="C352" s="452">
        <v>45700</v>
      </c>
      <c r="D352" t="s">
        <v>4691</v>
      </c>
      <c r="E352" t="s">
        <v>3361</v>
      </c>
      <c r="F352">
        <v>5</v>
      </c>
      <c r="G352">
        <v>0</v>
      </c>
      <c r="H352">
        <v>5</v>
      </c>
    </row>
    <row r="353" spans="1:8" x14ac:dyDescent="0.3">
      <c r="A353">
        <v>103</v>
      </c>
      <c r="B353" t="s">
        <v>4683</v>
      </c>
      <c r="C353" s="452">
        <v>45693</v>
      </c>
      <c r="D353" t="s">
        <v>4691</v>
      </c>
      <c r="E353" t="s">
        <v>3362</v>
      </c>
      <c r="F353">
        <v>37</v>
      </c>
      <c r="G353">
        <v>0</v>
      </c>
      <c r="H353">
        <v>37</v>
      </c>
    </row>
    <row r="354" spans="1:8" x14ac:dyDescent="0.3">
      <c r="A354">
        <v>103</v>
      </c>
      <c r="B354" t="s">
        <v>4683</v>
      </c>
      <c r="C354" s="452">
        <v>45689</v>
      </c>
      <c r="D354" t="s">
        <v>4691</v>
      </c>
      <c r="E354" t="s">
        <v>3362</v>
      </c>
      <c r="F354">
        <v>33</v>
      </c>
      <c r="G354">
        <v>0</v>
      </c>
      <c r="H354">
        <v>33</v>
      </c>
    </row>
    <row r="355" spans="1:8" x14ac:dyDescent="0.3">
      <c r="A355">
        <v>103</v>
      </c>
      <c r="B355" t="s">
        <v>4683</v>
      </c>
      <c r="C355" s="452">
        <v>45689</v>
      </c>
      <c r="D355" t="s">
        <v>4691</v>
      </c>
      <c r="E355" t="s">
        <v>3361</v>
      </c>
      <c r="F355">
        <v>5</v>
      </c>
      <c r="G355">
        <v>0</v>
      </c>
      <c r="H355">
        <v>5</v>
      </c>
    </row>
    <row r="356" spans="1:8" x14ac:dyDescent="0.3">
      <c r="A356">
        <v>103</v>
      </c>
      <c r="B356" t="s">
        <v>4683</v>
      </c>
      <c r="C356" s="452">
        <v>45688</v>
      </c>
      <c r="D356" t="s">
        <v>4692</v>
      </c>
      <c r="E356" t="s">
        <v>3362</v>
      </c>
      <c r="F356">
        <v>179</v>
      </c>
      <c r="G356">
        <v>0</v>
      </c>
      <c r="H356">
        <v>179</v>
      </c>
    </row>
    <row r="357" spans="1:8" x14ac:dyDescent="0.3">
      <c r="A357">
        <v>103</v>
      </c>
      <c r="B357" t="s">
        <v>4683</v>
      </c>
      <c r="C357" s="452">
        <v>45688</v>
      </c>
      <c r="D357" t="s">
        <v>4692</v>
      </c>
      <c r="E357" t="s">
        <v>3361</v>
      </c>
      <c r="F357">
        <v>75</v>
      </c>
      <c r="G357">
        <v>0</v>
      </c>
      <c r="H357">
        <v>75</v>
      </c>
    </row>
    <row r="358" spans="1:8" x14ac:dyDescent="0.3">
      <c r="A358">
        <v>103</v>
      </c>
      <c r="B358" t="s">
        <v>4683</v>
      </c>
      <c r="C358" s="452">
        <v>45686</v>
      </c>
      <c r="D358" t="s">
        <v>4692</v>
      </c>
      <c r="E358" t="s">
        <v>3362</v>
      </c>
      <c r="F358">
        <v>37</v>
      </c>
      <c r="G358">
        <v>0</v>
      </c>
      <c r="H358">
        <v>37</v>
      </c>
    </row>
    <row r="359" spans="1:8" x14ac:dyDescent="0.3">
      <c r="A359">
        <v>103</v>
      </c>
      <c r="B359" t="s">
        <v>4683</v>
      </c>
      <c r="C359" s="452">
        <v>45685</v>
      </c>
      <c r="D359" t="s">
        <v>4692</v>
      </c>
      <c r="E359" t="s">
        <v>3361</v>
      </c>
      <c r="F359">
        <v>125</v>
      </c>
      <c r="G359">
        <v>0</v>
      </c>
      <c r="H359">
        <v>125</v>
      </c>
    </row>
    <row r="360" spans="1:8" x14ac:dyDescent="0.3">
      <c r="A360">
        <v>103</v>
      </c>
      <c r="B360" t="s">
        <v>4683</v>
      </c>
      <c r="C360" s="452">
        <v>45684</v>
      </c>
      <c r="D360" t="s">
        <v>4692</v>
      </c>
      <c r="E360" t="s">
        <v>3362</v>
      </c>
      <c r="F360">
        <v>63</v>
      </c>
      <c r="G360">
        <v>0</v>
      </c>
      <c r="H360">
        <v>63</v>
      </c>
    </row>
    <row r="361" spans="1:8" x14ac:dyDescent="0.3">
      <c r="A361">
        <v>103</v>
      </c>
      <c r="B361" t="s">
        <v>4683</v>
      </c>
      <c r="C361" s="452">
        <v>45681</v>
      </c>
      <c r="D361" t="s">
        <v>4692</v>
      </c>
      <c r="E361" t="s">
        <v>3362</v>
      </c>
      <c r="F361">
        <v>33</v>
      </c>
      <c r="G361">
        <v>0</v>
      </c>
      <c r="H361">
        <v>33</v>
      </c>
    </row>
    <row r="362" spans="1:8" x14ac:dyDescent="0.3">
      <c r="A362">
        <v>103</v>
      </c>
      <c r="B362" t="s">
        <v>4683</v>
      </c>
      <c r="C362" s="452">
        <v>45681</v>
      </c>
      <c r="D362" t="s">
        <v>4692</v>
      </c>
      <c r="E362" t="s">
        <v>3361</v>
      </c>
      <c r="F362">
        <v>5</v>
      </c>
      <c r="G362">
        <v>0</v>
      </c>
      <c r="H362">
        <v>5</v>
      </c>
    </row>
    <row r="363" spans="1:8" x14ac:dyDescent="0.3">
      <c r="A363">
        <v>103</v>
      </c>
      <c r="B363" t="s">
        <v>4683</v>
      </c>
      <c r="C363" s="452">
        <v>45679</v>
      </c>
      <c r="D363" t="s">
        <v>4692</v>
      </c>
      <c r="E363" t="s">
        <v>3362</v>
      </c>
      <c r="F363">
        <v>113</v>
      </c>
      <c r="G363">
        <v>21.32</v>
      </c>
      <c r="H363">
        <v>91.68</v>
      </c>
    </row>
    <row r="364" spans="1:8" x14ac:dyDescent="0.3">
      <c r="A364">
        <v>103</v>
      </c>
      <c r="B364" t="s">
        <v>4683</v>
      </c>
      <c r="C364" s="452">
        <v>45679</v>
      </c>
      <c r="D364" t="s">
        <v>4692</v>
      </c>
      <c r="E364" t="s">
        <v>3361</v>
      </c>
      <c r="F364">
        <v>6</v>
      </c>
      <c r="G364">
        <v>1.68</v>
      </c>
      <c r="H364">
        <v>4.32</v>
      </c>
    </row>
    <row r="365" spans="1:8" x14ac:dyDescent="0.3">
      <c r="A365">
        <v>103</v>
      </c>
      <c r="B365" t="s">
        <v>4683</v>
      </c>
      <c r="C365" s="452">
        <v>45678</v>
      </c>
      <c r="D365" t="s">
        <v>4692</v>
      </c>
      <c r="E365" t="s">
        <v>3362</v>
      </c>
      <c r="F365">
        <v>37</v>
      </c>
      <c r="G365">
        <v>0</v>
      </c>
      <c r="H365">
        <v>37</v>
      </c>
    </row>
    <row r="366" spans="1:8" x14ac:dyDescent="0.3">
      <c r="A366">
        <v>103</v>
      </c>
      <c r="B366" t="s">
        <v>4683</v>
      </c>
      <c r="C366" s="452">
        <v>45677</v>
      </c>
      <c r="D366" t="s">
        <v>4692</v>
      </c>
      <c r="E366" t="s">
        <v>3362</v>
      </c>
      <c r="F366">
        <v>37</v>
      </c>
      <c r="G366">
        <v>0</v>
      </c>
      <c r="H366">
        <v>37</v>
      </c>
    </row>
    <row r="367" spans="1:8" x14ac:dyDescent="0.3">
      <c r="A367">
        <v>103</v>
      </c>
      <c r="B367" t="s">
        <v>4683</v>
      </c>
      <c r="C367" s="452">
        <v>45674</v>
      </c>
      <c r="D367" t="s">
        <v>4692</v>
      </c>
      <c r="E367" t="s">
        <v>3362</v>
      </c>
      <c r="F367">
        <v>37</v>
      </c>
      <c r="G367">
        <v>0</v>
      </c>
      <c r="H367">
        <v>37</v>
      </c>
    </row>
    <row r="368" spans="1:8" x14ac:dyDescent="0.3">
      <c r="A368">
        <v>103</v>
      </c>
      <c r="B368" t="s">
        <v>4683</v>
      </c>
      <c r="C368" s="452">
        <v>45672</v>
      </c>
      <c r="D368" t="s">
        <v>4692</v>
      </c>
      <c r="E368" t="s">
        <v>3362</v>
      </c>
      <c r="F368">
        <v>37</v>
      </c>
      <c r="G368">
        <v>0</v>
      </c>
      <c r="H368">
        <v>37</v>
      </c>
    </row>
    <row r="369" spans="1:8" x14ac:dyDescent="0.3">
      <c r="A369">
        <v>103</v>
      </c>
      <c r="B369" t="s">
        <v>4683</v>
      </c>
      <c r="C369" s="452">
        <v>45671</v>
      </c>
      <c r="D369" t="s">
        <v>4692</v>
      </c>
      <c r="E369" t="s">
        <v>3362</v>
      </c>
      <c r="F369">
        <v>37</v>
      </c>
      <c r="G369">
        <v>0</v>
      </c>
      <c r="H369">
        <v>37</v>
      </c>
    </row>
    <row r="370" spans="1:8" x14ac:dyDescent="0.3">
      <c r="A370">
        <v>103</v>
      </c>
      <c r="B370" t="s">
        <v>4683</v>
      </c>
      <c r="C370" s="452">
        <v>45668</v>
      </c>
      <c r="D370" t="s">
        <v>4692</v>
      </c>
      <c r="E370" t="s">
        <v>3362</v>
      </c>
      <c r="F370">
        <v>149</v>
      </c>
      <c r="G370">
        <v>0</v>
      </c>
      <c r="H370">
        <v>149</v>
      </c>
    </row>
    <row r="371" spans="1:8" x14ac:dyDescent="0.3">
      <c r="A371">
        <v>103</v>
      </c>
      <c r="B371" t="s">
        <v>4683</v>
      </c>
      <c r="C371" s="452">
        <v>45665</v>
      </c>
      <c r="D371" t="s">
        <v>4692</v>
      </c>
      <c r="E371" t="s">
        <v>3362</v>
      </c>
      <c r="F371">
        <v>65</v>
      </c>
      <c r="G371">
        <v>0</v>
      </c>
      <c r="H371">
        <v>65</v>
      </c>
    </row>
    <row r="372" spans="1:8" x14ac:dyDescent="0.3">
      <c r="A372">
        <v>103</v>
      </c>
      <c r="B372" t="s">
        <v>4683</v>
      </c>
      <c r="C372" s="452">
        <v>45663</v>
      </c>
      <c r="D372" t="s">
        <v>4692</v>
      </c>
      <c r="E372" t="s">
        <v>3362</v>
      </c>
      <c r="F372">
        <v>37</v>
      </c>
      <c r="G372">
        <v>0</v>
      </c>
      <c r="H372">
        <v>37</v>
      </c>
    </row>
    <row r="373" spans="1:8" x14ac:dyDescent="0.3">
      <c r="A373">
        <v>103</v>
      </c>
      <c r="B373" t="s">
        <v>4683</v>
      </c>
      <c r="C373" s="452">
        <v>45660</v>
      </c>
      <c r="D373" t="s">
        <v>4692</v>
      </c>
      <c r="E373" t="s">
        <v>3362</v>
      </c>
      <c r="F373">
        <v>33</v>
      </c>
      <c r="G373">
        <v>0</v>
      </c>
      <c r="H373">
        <v>33</v>
      </c>
    </row>
    <row r="374" spans="1:8" x14ac:dyDescent="0.3">
      <c r="A374">
        <v>103</v>
      </c>
      <c r="B374" t="s">
        <v>4683</v>
      </c>
      <c r="C374" s="452">
        <v>45660</v>
      </c>
      <c r="D374" t="s">
        <v>4692</v>
      </c>
      <c r="E374" t="s">
        <v>3361</v>
      </c>
      <c r="F374">
        <v>5</v>
      </c>
      <c r="G374">
        <v>0</v>
      </c>
      <c r="H374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2"/>
  <sheetViews>
    <sheetView workbookViewId="0"/>
  </sheetViews>
  <sheetFormatPr defaultRowHeight="14.4" x14ac:dyDescent="0.3"/>
  <sheetData>
    <row r="1" spans="1:9" x14ac:dyDescent="0.3">
      <c r="A1" t="s">
        <v>4693</v>
      </c>
      <c r="B1" t="s">
        <v>4694</v>
      </c>
      <c r="C1" t="s">
        <v>4695</v>
      </c>
      <c r="D1" t="s">
        <v>4672</v>
      </c>
      <c r="E1" t="s">
        <v>551</v>
      </c>
      <c r="F1" t="s">
        <v>3440</v>
      </c>
      <c r="G1" t="s">
        <v>4673</v>
      </c>
      <c r="H1" t="s">
        <v>4630</v>
      </c>
      <c r="I1" t="s">
        <v>566</v>
      </c>
    </row>
    <row r="2" spans="1:9" x14ac:dyDescent="0.3">
      <c r="A2">
        <v>124311670600</v>
      </c>
      <c r="B2" t="s">
        <v>771</v>
      </c>
      <c r="C2" t="s">
        <v>4696</v>
      </c>
      <c r="D2">
        <v>116</v>
      </c>
      <c r="E2" t="s">
        <v>568</v>
      </c>
      <c r="F2">
        <v>6</v>
      </c>
      <c r="G2">
        <v>2026</v>
      </c>
      <c r="H2">
        <v>818.7</v>
      </c>
      <c r="I2" t="s">
        <v>3364</v>
      </c>
    </row>
    <row r="3" spans="1:9" x14ac:dyDescent="0.3">
      <c r="A3">
        <v>122531514910</v>
      </c>
      <c r="B3" t="s">
        <v>4697</v>
      </c>
      <c r="C3" t="s">
        <v>4698</v>
      </c>
      <c r="D3">
        <v>116</v>
      </c>
      <c r="E3" t="s">
        <v>568</v>
      </c>
      <c r="F3">
        <v>6</v>
      </c>
      <c r="G3">
        <v>2026</v>
      </c>
      <c r="H3">
        <v>410.62</v>
      </c>
      <c r="I3" t="s">
        <v>3364</v>
      </c>
    </row>
    <row r="4" spans="1:9" x14ac:dyDescent="0.3">
      <c r="A4">
        <v>123614017600</v>
      </c>
      <c r="B4" t="s">
        <v>4699</v>
      </c>
      <c r="C4" t="s">
        <v>4698</v>
      </c>
      <c r="D4">
        <v>116</v>
      </c>
      <c r="E4" t="s">
        <v>568</v>
      </c>
      <c r="F4">
        <v>6</v>
      </c>
      <c r="G4">
        <v>2026</v>
      </c>
      <c r="H4">
        <v>772.31</v>
      </c>
      <c r="I4" t="s">
        <v>3364</v>
      </c>
    </row>
    <row r="5" spans="1:9" x14ac:dyDescent="0.3">
      <c r="A5">
        <v>124311670600</v>
      </c>
      <c r="B5" t="s">
        <v>771</v>
      </c>
      <c r="C5" t="s">
        <v>4696</v>
      </c>
      <c r="D5">
        <v>116</v>
      </c>
      <c r="E5" t="s">
        <v>568</v>
      </c>
      <c r="F5">
        <v>5</v>
      </c>
      <c r="G5">
        <v>2026</v>
      </c>
      <c r="H5">
        <v>424.2</v>
      </c>
      <c r="I5" t="s">
        <v>3365</v>
      </c>
    </row>
    <row r="6" spans="1:9" x14ac:dyDescent="0.3">
      <c r="A6">
        <v>122002006008</v>
      </c>
      <c r="B6" t="s">
        <v>4700</v>
      </c>
      <c r="C6" t="s">
        <v>4701</v>
      </c>
      <c r="D6">
        <v>116</v>
      </c>
      <c r="E6" t="s">
        <v>568</v>
      </c>
      <c r="F6">
        <v>5</v>
      </c>
      <c r="G6">
        <v>2026</v>
      </c>
      <c r="H6">
        <v>1097.01</v>
      </c>
      <c r="I6" t="s">
        <v>3365</v>
      </c>
    </row>
    <row r="7" spans="1:9" x14ac:dyDescent="0.3">
      <c r="A7">
        <v>122531514910</v>
      </c>
      <c r="B7" t="s">
        <v>4697</v>
      </c>
      <c r="C7" t="s">
        <v>4698</v>
      </c>
      <c r="D7">
        <v>116</v>
      </c>
      <c r="E7" t="s">
        <v>568</v>
      </c>
      <c r="F7">
        <v>5</v>
      </c>
      <c r="G7">
        <v>2026</v>
      </c>
      <c r="H7">
        <v>324.94</v>
      </c>
      <c r="I7" t="s">
        <v>3365</v>
      </c>
    </row>
    <row r="8" spans="1:9" x14ac:dyDescent="0.3">
      <c r="A8">
        <v>123614017600</v>
      </c>
      <c r="B8" t="s">
        <v>4699</v>
      </c>
      <c r="C8" t="s">
        <v>4698</v>
      </c>
      <c r="D8">
        <v>116</v>
      </c>
      <c r="E8" t="s">
        <v>568</v>
      </c>
      <c r="F8">
        <v>5</v>
      </c>
      <c r="G8">
        <v>2026</v>
      </c>
      <c r="H8">
        <v>1054.76</v>
      </c>
      <c r="I8" t="s">
        <v>3365</v>
      </c>
    </row>
    <row r="9" spans="1:9" x14ac:dyDescent="0.3">
      <c r="A9">
        <v>122270509760</v>
      </c>
      <c r="B9" t="s">
        <v>4702</v>
      </c>
      <c r="C9" t="s">
        <v>4703</v>
      </c>
      <c r="D9">
        <v>116</v>
      </c>
      <c r="E9" t="s">
        <v>568</v>
      </c>
      <c r="F9">
        <v>5</v>
      </c>
      <c r="G9">
        <v>2026</v>
      </c>
      <c r="H9">
        <v>680.35</v>
      </c>
      <c r="I9" t="s">
        <v>3365</v>
      </c>
    </row>
    <row r="10" spans="1:9" x14ac:dyDescent="0.3">
      <c r="A10">
        <v>122270509760</v>
      </c>
      <c r="B10" t="s">
        <v>4702</v>
      </c>
      <c r="C10" t="s">
        <v>4703</v>
      </c>
      <c r="D10">
        <v>116</v>
      </c>
      <c r="E10" t="s">
        <v>568</v>
      </c>
      <c r="F10">
        <v>4</v>
      </c>
      <c r="G10">
        <v>2026</v>
      </c>
      <c r="H10">
        <v>634.85</v>
      </c>
      <c r="I10" t="s">
        <v>3366</v>
      </c>
    </row>
    <row r="11" spans="1:9" x14ac:dyDescent="0.3">
      <c r="A11">
        <v>123614017600</v>
      </c>
      <c r="B11" t="s">
        <v>4699</v>
      </c>
      <c r="C11" t="s">
        <v>4698</v>
      </c>
      <c r="D11">
        <v>116</v>
      </c>
      <c r="E11" t="s">
        <v>568</v>
      </c>
      <c r="F11">
        <v>4</v>
      </c>
      <c r="G11">
        <v>2026</v>
      </c>
      <c r="H11">
        <v>633.86</v>
      </c>
      <c r="I11" t="s">
        <v>3366</v>
      </c>
    </row>
    <row r="12" spans="1:9" x14ac:dyDescent="0.3">
      <c r="A12">
        <v>122531514910</v>
      </c>
      <c r="B12" t="s">
        <v>4697</v>
      </c>
      <c r="C12" t="s">
        <v>4698</v>
      </c>
      <c r="D12">
        <v>116</v>
      </c>
      <c r="E12" t="s">
        <v>568</v>
      </c>
      <c r="F12">
        <v>4</v>
      </c>
      <c r="G12">
        <v>2026</v>
      </c>
      <c r="H12">
        <v>392.94</v>
      </c>
      <c r="I12" t="s">
        <v>3366</v>
      </c>
    </row>
    <row r="13" spans="1:9" x14ac:dyDescent="0.3">
      <c r="A13">
        <v>124311670600</v>
      </c>
      <c r="B13" t="s">
        <v>771</v>
      </c>
      <c r="C13" t="s">
        <v>4696</v>
      </c>
      <c r="D13">
        <v>116</v>
      </c>
      <c r="E13" t="s">
        <v>568</v>
      </c>
      <c r="F13">
        <v>4</v>
      </c>
      <c r="G13">
        <v>2026</v>
      </c>
      <c r="H13">
        <v>530.19000000000005</v>
      </c>
      <c r="I13" t="s">
        <v>3366</v>
      </c>
    </row>
    <row r="14" spans="1:9" x14ac:dyDescent="0.3">
      <c r="A14">
        <v>123614017600</v>
      </c>
      <c r="B14" t="s">
        <v>4699</v>
      </c>
      <c r="C14" t="s">
        <v>4698</v>
      </c>
      <c r="D14">
        <v>116</v>
      </c>
      <c r="E14" t="s">
        <v>568</v>
      </c>
      <c r="F14">
        <v>3</v>
      </c>
      <c r="G14">
        <v>2026</v>
      </c>
      <c r="H14">
        <v>739.23</v>
      </c>
      <c r="I14" t="s">
        <v>3367</v>
      </c>
    </row>
    <row r="15" spans="1:9" x14ac:dyDescent="0.3">
      <c r="A15">
        <v>124311670600</v>
      </c>
      <c r="B15" t="s">
        <v>771</v>
      </c>
      <c r="C15" t="s">
        <v>4696</v>
      </c>
      <c r="D15">
        <v>116</v>
      </c>
      <c r="E15" t="s">
        <v>568</v>
      </c>
      <c r="F15">
        <v>3</v>
      </c>
      <c r="G15">
        <v>2026</v>
      </c>
      <c r="H15">
        <v>567.20000000000005</v>
      </c>
      <c r="I15" t="s">
        <v>3367</v>
      </c>
    </row>
    <row r="16" spans="1:9" x14ac:dyDescent="0.3">
      <c r="A16">
        <v>122531514910</v>
      </c>
      <c r="B16" t="s">
        <v>4697</v>
      </c>
      <c r="C16" t="s">
        <v>4698</v>
      </c>
      <c r="D16">
        <v>116</v>
      </c>
      <c r="E16" t="s">
        <v>568</v>
      </c>
      <c r="F16">
        <v>3</v>
      </c>
      <c r="G16">
        <v>2026</v>
      </c>
      <c r="H16">
        <v>398.38</v>
      </c>
      <c r="I16" t="s">
        <v>3367</v>
      </c>
    </row>
    <row r="17" spans="1:9" x14ac:dyDescent="0.3">
      <c r="A17">
        <v>122270509760</v>
      </c>
      <c r="B17" t="s">
        <v>4702</v>
      </c>
      <c r="C17" t="s">
        <v>4703</v>
      </c>
      <c r="D17">
        <v>116</v>
      </c>
      <c r="E17" t="s">
        <v>568</v>
      </c>
      <c r="F17">
        <v>3</v>
      </c>
      <c r="G17">
        <v>2026</v>
      </c>
      <c r="H17">
        <v>697.2</v>
      </c>
      <c r="I17" t="s">
        <v>3367</v>
      </c>
    </row>
    <row r="18" spans="1:9" x14ac:dyDescent="0.3">
      <c r="A18">
        <v>122531514910</v>
      </c>
      <c r="B18" t="s">
        <v>4697</v>
      </c>
      <c r="C18" t="s">
        <v>4698</v>
      </c>
      <c r="D18">
        <v>116</v>
      </c>
      <c r="E18" t="s">
        <v>568</v>
      </c>
      <c r="F18">
        <v>2</v>
      </c>
      <c r="G18">
        <v>2026</v>
      </c>
      <c r="H18">
        <v>554.41999999999996</v>
      </c>
      <c r="I18" t="s">
        <v>3368</v>
      </c>
    </row>
    <row r="19" spans="1:9" x14ac:dyDescent="0.3">
      <c r="A19">
        <v>123614017600</v>
      </c>
      <c r="B19" t="s">
        <v>4699</v>
      </c>
      <c r="C19" t="s">
        <v>4698</v>
      </c>
      <c r="D19">
        <v>116</v>
      </c>
      <c r="E19" t="s">
        <v>568</v>
      </c>
      <c r="F19">
        <v>2</v>
      </c>
      <c r="G19">
        <v>2026</v>
      </c>
      <c r="H19">
        <v>856.49</v>
      </c>
      <c r="I19" t="s">
        <v>3368</v>
      </c>
    </row>
    <row r="20" spans="1:9" x14ac:dyDescent="0.3">
      <c r="A20">
        <v>122270509760</v>
      </c>
      <c r="B20" t="s">
        <v>4702</v>
      </c>
      <c r="C20" t="s">
        <v>4703</v>
      </c>
      <c r="D20">
        <v>116</v>
      </c>
      <c r="E20" t="s">
        <v>568</v>
      </c>
      <c r="F20">
        <v>2</v>
      </c>
      <c r="G20">
        <v>2026</v>
      </c>
      <c r="H20">
        <v>168.17</v>
      </c>
      <c r="I20" t="s">
        <v>3368</v>
      </c>
    </row>
    <row r="21" spans="1:9" x14ac:dyDescent="0.3">
      <c r="A21">
        <v>122531514910</v>
      </c>
      <c r="B21" t="s">
        <v>4697</v>
      </c>
      <c r="C21" t="s">
        <v>4698</v>
      </c>
      <c r="D21">
        <v>116</v>
      </c>
      <c r="E21" t="s">
        <v>568</v>
      </c>
      <c r="F21">
        <v>1</v>
      </c>
      <c r="G21">
        <v>2026</v>
      </c>
      <c r="H21">
        <v>180.55</v>
      </c>
      <c r="I21" t="s">
        <v>3369</v>
      </c>
    </row>
    <row r="22" spans="1:9" x14ac:dyDescent="0.3">
      <c r="A22">
        <v>123614017600</v>
      </c>
      <c r="B22" t="s">
        <v>4699</v>
      </c>
      <c r="C22" t="s">
        <v>4698</v>
      </c>
      <c r="D22">
        <v>116</v>
      </c>
      <c r="E22" t="s">
        <v>568</v>
      </c>
      <c r="F22">
        <v>1</v>
      </c>
      <c r="G22">
        <v>2026</v>
      </c>
      <c r="H22">
        <v>708.66</v>
      </c>
      <c r="I22" t="s">
        <v>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DRE</vt:lpstr>
      <vt:lpstr>CMV_Manual</vt:lpstr>
      <vt:lpstr>Fiscal</vt:lpstr>
      <vt:lpstr>Aut_BlueMe_Sem_Pedido</vt:lpstr>
      <vt:lpstr>Aut_BlueMe_Com_Pedido</vt:lpstr>
      <vt:lpstr>Aut_Faturamento_Zig</vt:lpstr>
      <vt:lpstr>Aut_Receitas_Extraord</vt:lpstr>
      <vt:lpstr>BD_Eventos_Novo</vt:lpstr>
      <vt:lpstr>Aut_Folha</vt:lpstr>
      <vt:lpstr>Aut_Descontos</vt:lpstr>
      <vt:lpstr>Aut_Promocoes_Utilizadas</vt:lpstr>
      <vt:lpstr>Aut_Endividamentos</vt:lpstr>
      <vt:lpstr>Aut_Contagem</vt:lpstr>
      <vt:lpstr>Aut_Precos_Insumos</vt:lpstr>
      <vt:lpstr>Aut_Valor_Estoque</vt:lpstr>
      <vt:lpstr>Aut_Precos_Consolidados_Mes</vt:lpstr>
      <vt:lpstr>Aut_Eventos_AeB</vt:lpstr>
      <vt:lpstr>Aut_Transferencias</vt:lpstr>
      <vt:lpstr>Aut_Consumo_Funcionarios</vt:lpstr>
      <vt:lpstr>Aut_Insumos_Producao</vt:lpstr>
      <vt:lpstr>Aut_Ajustes_Manuais</vt:lpstr>
      <vt:lpstr>Aut_Faturamento_Zig_Delivery</vt:lpstr>
      <vt:lpstr>Aut_Consumo_Cartao_Black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Lima</dc:creator>
  <cp:lastModifiedBy>Catarina Scabelli</cp:lastModifiedBy>
  <cp:lastPrinted>2026-05-17T19:55:58Z</cp:lastPrinted>
  <dcterms:created xsi:type="dcterms:W3CDTF">2015-06-05T18:19:34Z</dcterms:created>
  <dcterms:modified xsi:type="dcterms:W3CDTF">2026-07-14T14:30:44Z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0x010100AA4EE3D2339629438C37E99AB24C7BEE</vt:lpwstr>
  </property>
  <property fmtid="{D5CDD505-2E9C-101B-9397-08002B2CF9AE}" pid="3" name="MediaServiceImageTags">
    <vt:lpwstr/>
  </property>
</Properties>
</file>